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Raw Data" sheetId="1" r:id="rId4"/>
    <sheet state="visible" name="Day Range Raw Data" sheetId="2" r:id="rId5"/>
    <sheet state="hidden" name="Daily Raw Data" sheetId="3" r:id="rId6"/>
    <sheet state="visible" name="Player Format Data" sheetId="4" r:id="rId7"/>
    <sheet state="hidden" name="Schedule Raw Data" sheetId="5" r:id="rId8"/>
    <sheet state="hidden" name="Schedule CSV" sheetId="6" r:id="rId9"/>
    <sheet state="visible" name="Day Range Format Data" sheetId="7" r:id="rId10"/>
    <sheet state="hidden" name="Daily Format Data" sheetId="8" r:id="rId11"/>
    <sheet state="hidden" name="Schedule Daily" sheetId="9" r:id="rId12"/>
    <sheet state="hidden" name="Schedule Weekly" sheetId="10" r:id="rId13"/>
    <sheet state="visible" name="Schedule Playoffs" sheetId="11" r:id="rId14"/>
    <sheet state="visible" name="Matchup Daily" sheetId="12" r:id="rId15"/>
    <sheet state="visible" name="Matchup Season" sheetId="13" r:id="rId16"/>
    <sheet state="visible" name="Matchup Playoffs" sheetId="14" r:id="rId17"/>
    <sheet state="visible" name="Player Sortable" sheetId="15" r:id="rId18"/>
    <sheet state="visible" name="Day Range Sortable" sheetId="16" r:id="rId19"/>
    <sheet state="visible" name="Daily Sortable" sheetId="17" r:id="rId20"/>
    <sheet state="visible" name="Free Agents" sheetId="18" r:id="rId21"/>
    <sheet state="visible" name="Teams" sheetId="19" r:id="rId22"/>
    <sheet state="visible" name="Current Roster Score v3" sheetId="20" r:id="rId23"/>
    <sheet state="hidden" name="Current Roster Score" sheetId="21" r:id="rId24"/>
    <sheet state="visible" name="Weekly EDSA" sheetId="22" r:id="rId25"/>
    <sheet state="hidden" name="Current Roster Score v2" sheetId="23" r:id="rId26"/>
    <sheet state="hidden" name="Optimized Roster Score" sheetId="24" r:id="rId27"/>
    <sheet state="hidden" name="Global Variables" sheetId="25" r:id="rId28"/>
  </sheets>
  <definedNames>
    <definedName hidden="1" localSheetId="14" name="Z_5DD29FD3_8619_41A3_915E_EA9DCE45E7DC_.wvu.FilterData">'Player Sortable'!$Y$11</definedName>
  </definedNames>
  <calcPr/>
  <customWorkbookViews>
    <customWorkbookView activeSheetId="0" maximized="1" windowHeight="0" windowWidth="0" guid="{5DD29FD3-8619-41A3-915E-EA9DCE45E7DC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=IFERROR( // Checks column A for owner name and then uses column K if the user is not found
IF( 
INDEX(OFFSET(Teams!$A$1,MATCH($A2,Teams!$A:$A,0),6,13),13,0)&gt;0, //Check to see if the user has someone on the IR
AVERAGE(FILTER(
OFFSET(Teams!$A$1,MATCH($A2,Teams!$A:$A,0),3,13), //The entire roster of the owner including IR and RE
NOT(OFFSET(Teams!$A$1,MATCH($A2,Teams!$A:$A,0),1,13)=INDEX(OFFSET(Teams!$A$1,MATCH($A2,Teams!$A:$A,0),1,13),12,0)), // Do not include RE
NOT(OFFSET(Teams!$A$1,MATCH($A2,Teams!$A:$A,0),6,13)=MIN(OFFSET(Teams!$A$1,MATCH($A2,Teams!$A:$A,0),6,11),INDEX(OFFSET(Teams!$A$1,MATCH($A2,Teams!$A:$A,0),3,13),13,0))) // Exclude the player that the IR player would replace (even if it is themselves)
)),
AVERAGE(OFFSET(Teams!$A$1,MATCH($A2,Teams!$A:$A,0),3,11)) // Just average the team without RE or IR
),
// Everything below is the same as above except for column K
IF(
INDEX(OFFSET(Teams!$K$1,MATCH($A2,Teams!$K:$K,0),6,13),13,0)&gt;0,
AVERAGE(FILTER(
OFFSET(Teams!$K$1,MATCH($A2,Teams!$K:$K,0),3,13),
NOT(OFFSET(Teams!$K$1,MATCH($A2,Teams!$K:$K,0),1,13)=INDEX(OFFSET(Teams!$K$1,MATCH($A2,Teams!$K:$K,0),1,13),12,0)),
NOT(OFFSET(Teams!$K$1,MATCH($A2,Teams!$K:$K,0),6,13)=MIN(OFFSET(Teams!$K$1,MATCH($A2,Teams!$K:$K,0),6,11),INDEX(OFFSET(Teams!$K$1,MATCH($A2,Teams!$K:$K,0),3,13),13,0)))
)),
AVERAGE(OFFSET(Teams!$K$1,MATCH($A2,Teams!$K:$K,0),3,11))
)
)
</t>
      </text>
    </comment>
  </commentList>
</comments>
</file>

<file path=xl/sharedStrings.xml><?xml version="1.0" encoding="utf-8"?>
<sst xmlns="http://schemas.openxmlformats.org/spreadsheetml/2006/main" count="4445" uniqueCount="1354">
  <si>
    <t>Player</t>
  </si>
  <si>
    <t>Pos</t>
  </si>
  <si>
    <t>Age</t>
  </si>
  <si>
    <t>Team</t>
  </si>
  <si>
    <t>G</t>
  </si>
  <si>
    <t>MIN</t>
  </si>
  <si>
    <t>FG</t>
  </si>
  <si>
    <t>FGA</t>
  </si>
  <si>
    <t>FT</t>
  </si>
  <si>
    <t>FTA</t>
  </si>
  <si>
    <t>TRB</t>
  </si>
  <si>
    <t>AST</t>
  </si>
  <si>
    <t>STL</t>
  </si>
  <si>
    <t>BLK</t>
  </si>
  <si>
    <t>TOV</t>
  </si>
  <si>
    <t>PTS</t>
  </si>
  <si>
    <t>FPTS</t>
  </si>
  <si>
    <t>FPPG</t>
  </si>
  <si>
    <t>FPPM</t>
  </si>
  <si>
    <t>FPTS RANK</t>
  </si>
  <si>
    <t>FPPG RANK</t>
  </si>
  <si>
    <t>FPPM RANK</t>
  </si>
  <si>
    <t>EDSA RANK</t>
  </si>
  <si>
    <t>Date</t>
  </si>
  <si>
    <t>Visitor/Neutral</t>
  </si>
  <si>
    <t>Home/Neutral</t>
  </si>
  <si>
    <t>BOS</t>
  </si>
  <si>
    <t>DET</t>
  </si>
  <si>
    <t>PHI</t>
  </si>
  <si>
    <t>NYK</t>
  </si>
  <si>
    <t>OKC</t>
  </si>
  <si>
    <t>SAS</t>
  </si>
  <si>
    <t>MIL</t>
  </si>
  <si>
    <t>WAS</t>
  </si>
  <si>
    <t>ATL</t>
  </si>
  <si>
    <t>ORL</t>
  </si>
  <si>
    <t>CHO</t>
  </si>
  <si>
    <t>BRK</t>
  </si>
  <si>
    <t>CHI</t>
  </si>
  <si>
    <t>TOR</t>
  </si>
  <si>
    <t>MIA</t>
  </si>
  <si>
    <t>UTA</t>
  </si>
  <si>
    <t>MEM</t>
  </si>
  <si>
    <t>IND</t>
  </si>
  <si>
    <t>NOP</t>
  </si>
  <si>
    <t>DAL</t>
  </si>
  <si>
    <t>HOU</t>
  </si>
  <si>
    <t>GSW</t>
  </si>
  <si>
    <t>LAL</t>
  </si>
  <si>
    <t>PHO</t>
  </si>
  <si>
    <t>POR</t>
  </si>
  <si>
    <t>SAC</t>
  </si>
  <si>
    <t>LAC</t>
  </si>
  <si>
    <t>CLE</t>
  </si>
  <si>
    <t>DEN</t>
  </si>
  <si>
    <t>CSV Paste</t>
  </si>
  <si>
    <t>Split</t>
  </si>
  <si>
    <t>Team Name</t>
  </si>
  <si>
    <t>Team Key</t>
  </si>
  <si>
    <t>Date,Visitor/Neutral,Home/Neutral</t>
  </si>
  <si>
    <t>Atlanta Hawks</t>
  </si>
  <si>
    <t>Tue Oct 20 2026,Boston Celtics,Detroit Pistons</t>
  </si>
  <si>
    <t>Boston Celtics</t>
  </si>
  <si>
    <t>Tue Oct 20 2026,Philadelphia 76ers,New York Knicks</t>
  </si>
  <si>
    <t>Brooklyn Nets</t>
  </si>
  <si>
    <t>Tue Oct 20 2026,Oklahoma City Thunder,San Antonio Spurs</t>
  </si>
  <si>
    <t>Charlotte Hornets</t>
  </si>
  <si>
    <t>Wed Oct 21 2026,Milwaukee Bucks,Washington Wizards</t>
  </si>
  <si>
    <t>Chicago Bulls</t>
  </si>
  <si>
    <t>Wed Oct 21 2026,Atlanta Hawks,Orlando Magic</t>
  </si>
  <si>
    <t>Cleveland Cavaliers</t>
  </si>
  <si>
    <t>Wed Oct 21 2026,Charlotte Hornets,Brooklyn Nets</t>
  </si>
  <si>
    <t>Dallas Mavericks</t>
  </si>
  <si>
    <t>Wed Oct 21 2026,Chicago Bulls,Toronto Raptors</t>
  </si>
  <si>
    <t>Denver Nuggets</t>
  </si>
  <si>
    <t>Wed Oct 21 2026,Minnesota Timberwolves,Miami Heat</t>
  </si>
  <si>
    <t>Detroit Pistons</t>
  </si>
  <si>
    <t>Wed Oct 21 2026,Utah Jazz,Memphis Grizzlies</t>
  </si>
  <si>
    <t>Golden State Warriors</t>
  </si>
  <si>
    <t>Wed Oct 21 2026,Indiana Pacers,New Orleans Pelicans</t>
  </si>
  <si>
    <t>Houston Rockets</t>
  </si>
  <si>
    <t>Wed Oct 21 2026,Dallas Mavericks,Houston Rockets</t>
  </si>
  <si>
    <t>Indiana Pacers</t>
  </si>
  <si>
    <t>Wed Oct 21 2026,Golden State Warriors,Los Angeles Lakers</t>
  </si>
  <si>
    <t>Los Angeles Clippers</t>
  </si>
  <si>
    <t>Wed Oct 21 2026,Phoenix Suns,Portland Trail Blazers</t>
  </si>
  <si>
    <t>Los Angeles Lakers</t>
  </si>
  <si>
    <t>Wed Oct 21 2026,Sacramento Kings,Los Angeles Clippers</t>
  </si>
  <si>
    <t>Memphis Grizzlies</t>
  </si>
  <si>
    <t>Thu Oct 22 2026,Cleveland Cavaliers,Philadelphia 76ers</t>
  </si>
  <si>
    <t>Miami Heat</t>
  </si>
  <si>
    <t>Thu Oct 22 2026,Denver Nuggets,Oklahoma City Thunder</t>
  </si>
  <si>
    <t>Milwaukee Bucks</t>
  </si>
  <si>
    <t>Fri Oct 23 2026,Toronto Raptors,Washington Wizards</t>
  </si>
  <si>
    <t>Minnesota Timberwolves</t>
  </si>
  <si>
    <t>Fri Oct 23 2026,Minnesota Timberwolves,Orlando Magic</t>
  </si>
  <si>
    <t>New Orleans Pelicans</t>
  </si>
  <si>
    <t>Fri Oct 23 2026,Dallas Mavericks,Indiana Pacers</t>
  </si>
  <si>
    <t>New York Knicks</t>
  </si>
  <si>
    <t>Fri Oct 23 2026,Atlanta Hawks,Charlotte Hornets</t>
  </si>
  <si>
    <t>Oklahoma City Thunder</t>
  </si>
  <si>
    <t>Fri Oct 23 2026,New York Knicks,Boston Celtics</t>
  </si>
  <si>
    <t>Orlando Magic</t>
  </si>
  <si>
    <t>Fri Oct 23 2026,Detroit Pistons,Miami Heat</t>
  </si>
  <si>
    <t>Philadelphia 76ers</t>
  </si>
  <si>
    <t>Fri Oct 23 2026,Chicago Bulls,Milwaukee Bucks</t>
  </si>
  <si>
    <t>Phoenix Suns</t>
  </si>
  <si>
    <t>Fri Oct 23 2026,Houston Rockets,San Antonio Spurs</t>
  </si>
  <si>
    <t>Portland Trail Blazers</t>
  </si>
  <si>
    <t>Fri Oct 23 2026,New Orleans Pelicans,Utah Jazz</t>
  </si>
  <si>
    <t>Sacramento Kings</t>
  </si>
  <si>
    <t>Fri Oct 23 2026,Los Angeles Clippers,Los Angeles Lakers</t>
  </si>
  <si>
    <t>San Antonio Spurs</t>
  </si>
  <si>
    <t>Fri Oct 23 2026,Portland Trail Blazers,Sacramento Kings</t>
  </si>
  <si>
    <t>Toronto Raptors</t>
  </si>
  <si>
    <t>Fri Oct 23 2026,Memphis Grizzlies,Golden State Warriors</t>
  </si>
  <si>
    <t>Utah Jazz</t>
  </si>
  <si>
    <t>Sat Oct 24 2026,Miami Heat,Charlotte Hornets</t>
  </si>
  <si>
    <t>Washington Wizards</t>
  </si>
  <si>
    <t>Sat Oct 24 2026,Milwaukee Bucks,Philadelphia 76ers</t>
  </si>
  <si>
    <t>Sat Oct 24 2026,Brooklyn Nets,Cleveland Cavaliers</t>
  </si>
  <si>
    <t>Sat Oct 24 2026,San Antonio Spurs,Dallas Mavericks</t>
  </si>
  <si>
    <t>Sat Oct 24 2026,Washington Wizards,Chicago Bulls</t>
  </si>
  <si>
    <t>Sat Oct 24 2026,Houston Rockets,Atlanta Hawks</t>
  </si>
  <si>
    <t>Sat Oct 24 2026,New Orleans Pelicans,Denver Nuggets</t>
  </si>
  <si>
    <t>Sat Oct 24 2026,Golden State Warriors,Phoenix Suns</t>
  </si>
  <si>
    <t>Sun Oct 25 2026,Los Angeles Lakers,Utah Jazz</t>
  </si>
  <si>
    <t>Sun Oct 25 2026,Indiana Pacers,Brooklyn Nets</t>
  </si>
  <si>
    <t>Sun Oct 25 2026,Toronto Raptors,Minnesota Timberwolves</t>
  </si>
  <si>
    <t>Sun Oct 25 2026,Orlando Magic,New York Knicks</t>
  </si>
  <si>
    <t>Sun Oct 25 2026,Los Angeles Clippers,Oklahoma City Thunder</t>
  </si>
  <si>
    <t>Sun Oct 25 2026,Detroit Pistons,Philadelphia 76ers</t>
  </si>
  <si>
    <t>Sun Oct 25 2026,Memphis Grizzlies,Sacramento Kings</t>
  </si>
  <si>
    <t>Mon Oct 26 2026,Minnesota Timberwolves,Cleveland Cavaliers</t>
  </si>
  <si>
    <t>Mon Oct 26 2026,Washington Wizards,Charlotte Hornets</t>
  </si>
  <si>
    <t>Mon Oct 26 2026,Dallas Mavericks,Miami Heat</t>
  </si>
  <si>
    <t>Mon Oct 26 2026,Chicago Bulls,Boston Celtics</t>
  </si>
  <si>
    <t/>
  </si>
  <si>
    <t>Mon Oct 26 2026,Indiana Pacers,Milwaukee Bucks</t>
  </si>
  <si>
    <t>Mon Oct 26 2026,Phoenix Suns,Oklahoma City Thunder</t>
  </si>
  <si>
    <t>Mon Oct 26 2026,Atlanta Hawks,Houston Rockets</t>
  </si>
  <si>
    <t>Mon Oct 26 2026,Memphis Grizzlies,Utah Jazz</t>
  </si>
  <si>
    <t>Mon Oct 26 2026,Golden State Warriors,Denver Nuggets</t>
  </si>
  <si>
    <t>Tue Oct 27 2026,Brooklyn Nets,Boston Celtics</t>
  </si>
  <si>
    <t>Tue Oct 27 2026,Detroit Pistons,New York Knicks</t>
  </si>
  <si>
    <t>Tue Oct 27 2026,Sacramento Kings,San Antonio Spurs</t>
  </si>
  <si>
    <t>Tue Oct 27 2026,Portland Trail Blazers,Los Angeles Lakers</t>
  </si>
  <si>
    <t>Wed Oct 28 2026,Miami Heat,Atlanta Hawks</t>
  </si>
  <si>
    <t>Wed Oct 28 2026,Washington Wizards,Cleveland Cavaliers</t>
  </si>
  <si>
    <t>Wed Oct 28 2026,Philadelphia 76ers,Indiana Pacers</t>
  </si>
  <si>
    <t>Wed Oct 28 2026,Charlotte Hornets,Detroit Pistons</t>
  </si>
  <si>
    <t>Wed Oct 28 2026,Orlando Magic,Toronto Raptors</t>
  </si>
  <si>
    <t>Wed Oct 28 2026,Houston Rockets,Milwaukee Bucks</t>
  </si>
  <si>
    <t>Wed Oct 28 2026,Golden State Warriors,Minnesota Timberwolves</t>
  </si>
  <si>
    <t>Wed Oct 28 2026,Denver Nuggets,New Orleans Pelicans</t>
  </si>
  <si>
    <t>Wed Oct 28 2026,New York Knicks,Chicago Bulls</t>
  </si>
  <si>
    <t>Wed Oct 28 2026,San Antonio Spurs,Utah Jazz</t>
  </si>
  <si>
    <t>Wed Oct 28 2026,Oklahoma City Thunder,Dallas Mavericks</t>
  </si>
  <si>
    <t>Wed Oct 28 2026,Los Angeles Lakers,Los Angeles Clippers</t>
  </si>
  <si>
    <t>Thu Oct 29 2026,Cleveland Cavaliers,Atlanta Hawks</t>
  </si>
  <si>
    <t>Thu Oct 29 2026,Sacramento Kings,New Orleans Pelicans</t>
  </si>
  <si>
    <t>Thu Oct 29 2026,Memphis Grizzlies,Portland Trail Blazers</t>
  </si>
  <si>
    <t>Fri Oct 30 2026,Charlotte Hornets,Washington Wizards</t>
  </si>
  <si>
    <t>Fri Oct 30 2026,Chicago Bulls,Boston Celtics</t>
  </si>
  <si>
    <t>Fri Oct 30 2026,Detroit Pistons,Brooklyn Nets</t>
  </si>
  <si>
    <t>Fri Oct 30 2026,New York Knicks,Philadelphia 76ers</t>
  </si>
  <si>
    <t>Fri Oct 30 2026,Orlando Magic,Toronto Raptors</t>
  </si>
  <si>
    <t>Fri Oct 30 2026,Houston Rockets,Dallas Mavericks</t>
  </si>
  <si>
    <t>Fri Oct 30 2026,Indiana Pacers,Miami Heat</t>
  </si>
  <si>
    <t>Fri Oct 30 2026,Los Angeles Clippers,Minnesota Timberwolves</t>
  </si>
  <si>
    <t>Fri Oct 30 2026,Los Angeles Lakers,Golden State Warriors</t>
  </si>
  <si>
    <t>Fri Oct 30 2026,Denver Nuggets,Phoenix Suns</t>
  </si>
  <si>
    <t>Sat Oct 31 2026,Portland Trail Blazers,Utah Jazz</t>
  </si>
  <si>
    <t>Sat Oct 31 2026,Philadelphia 76ers,Charlotte Hornets</t>
  </si>
  <si>
    <t>Sat Oct 31 2026,Atlanta Hawks,New Orleans Pelicans</t>
  </si>
  <si>
    <t>Sat Oct 31 2026,Sacramento Kings,Memphis Grizzlies</t>
  </si>
  <si>
    <t>Sat Oct 31 2026,Cleveland Cavaliers,Milwaukee Bucks</t>
  </si>
  <si>
    <t>Sat Oct 31 2026,Minnesota Timberwolves,San Antonio Spurs</t>
  </si>
  <si>
    <t>Sat Oct 31 2026,Oklahoma City Thunder,Houston Rockets</t>
  </si>
  <si>
    <t>Sun Nov 1 2026,Boston Celtics,Orlando Magic</t>
  </si>
  <si>
    <t>Sun Nov 1 2026,Brooklyn Nets,Indiana Pacers</t>
  </si>
  <si>
    <t>Sun Nov 1 2026,Los Angeles Clippers,Golden State Warriors</t>
  </si>
  <si>
    <t>Sun Nov 1 2026,Toronto Raptors,Los Angeles Lakers</t>
  </si>
  <si>
    <t>Mon Nov 2 2026,Oklahoma City Thunder,Cleveland Cavaliers</t>
  </si>
  <si>
    <t>Mon Nov 2 2026,Detroit Pistons,Charlotte Hornets</t>
  </si>
  <si>
    <t>Mon Nov 2 2026,Atlanta Hawks,Indiana Pacers</t>
  </si>
  <si>
    <t>Mon Nov 2 2026,Brooklyn Nets,New York Knicks</t>
  </si>
  <si>
    <t>Mon Nov 2 2026,Washington Wizards,Orlando Magic</t>
  </si>
  <si>
    <t>Mon Nov 2 2026,Chicago Bulls,Philadelphia 76ers</t>
  </si>
  <si>
    <t>Mon Nov 2 2026,Sacramento Kings,Dallas Mavericks</t>
  </si>
  <si>
    <t>Mon Nov 2 2026,New Orleans Pelicans,Memphis Grizzlies</t>
  </si>
  <si>
    <t>Mon Nov 2 2026,Milwaukee Bucks,Minnesota Timberwolves</t>
  </si>
  <si>
    <t>Mon Nov 2 2026,Boston Celtics,Houston Rockets</t>
  </si>
  <si>
    <t>Mon Nov 2 2026,Utah Jazz,San Antonio Spurs</t>
  </si>
  <si>
    <t>Mon Nov 2 2026,Portland Trail Blazers,Denver Nuggets</t>
  </si>
  <si>
    <t>Mon Nov 2 2026,Phoenix Suns,Golden State Warriors</t>
  </si>
  <si>
    <t>Mon Nov 2 2026,Toronto Raptors,Los Angeles Clippers</t>
  </si>
  <si>
    <t>Mon Nov 2 2026,Miami Heat,Los Angeles Lakers</t>
  </si>
  <si>
    <t>Wed Nov 4 2026,Philadelphia 76ers,Detroit Pistons</t>
  </si>
  <si>
    <t>Wed Nov 4 2026,Atlanta Hawks,Washington Wizards</t>
  </si>
  <si>
    <t>Wed Nov 4 2026,Milwaukee Bucks,Boston Celtics</t>
  </si>
  <si>
    <t>Wed Nov 4 2026,Charlotte Hornets,Brooklyn Nets</t>
  </si>
  <si>
    <t>Wed Nov 4 2026,Chicago Bulls,New York Knicks</t>
  </si>
  <si>
    <t>Wed Nov 4 2026,Indiana Pacers,Memphis Grizzlies</t>
  </si>
  <si>
    <t>Wed Nov 4 2026,Utah Jazz,New Orleans Pelicans</t>
  </si>
  <si>
    <t>Wed Nov 4 2026,Cleveland Cavaliers,Oklahoma City Thunder</t>
  </si>
  <si>
    <t>Wed Nov 4 2026,Minnesota Timberwolves,Houston Rockets</t>
  </si>
  <si>
    <t>Wed Nov 4 2026,Toronto Raptors,Denver Nuggets</t>
  </si>
  <si>
    <t>Wed Nov 4 2026,Portland Trail Blazers,Phoenix Suns</t>
  </si>
  <si>
    <t>Wed Nov 4 2026,Dallas Mavericks,San Antonio Spurs</t>
  </si>
  <si>
    <t>Wed Nov 4 2026,Los Angeles Lakers,Sacramento Kings</t>
  </si>
  <si>
    <t>Wed Nov 4 2026,Miami Heat,Los Angeles Clippers</t>
  </si>
  <si>
    <t>Thu Nov 5 2026,Orlando Magic,Phoenix Suns</t>
  </si>
  <si>
    <t>Thu Nov 5 2026,Miami Heat,Golden State Warriors</t>
  </si>
  <si>
    <t>Fri Nov 6 2026,Washington Wizards,Atlanta Hawks</t>
  </si>
  <si>
    <t>Fri Nov 6 2026,Boston Celtics,Charlotte Hornets</t>
  </si>
  <si>
    <t>Fri Nov 6 2026,Philadelphia 76ers,Cleveland Cavaliers</t>
  </si>
  <si>
    <t>Fri Nov 6 2026,Utah Jazz,Dallas Mavericks</t>
  </si>
  <si>
    <t>Fri Nov 6 2026,Oklahoma City Thunder,Memphis Grizzlies</t>
  </si>
  <si>
    <t>Fri Nov 6 2026,Toronto Raptors,Milwaukee Bucks</t>
  </si>
  <si>
    <t>Fri Nov 6 2026,Minnesota Timberwolves,New Orleans Pelicans</t>
  </si>
  <si>
    <t>Fri Nov 6 2026,Portland Trail Blazers,Los Angeles Lakers</t>
  </si>
  <si>
    <t>Fri Nov 6 2026,San Antonio Spurs,Sacramento Kings</t>
  </si>
  <si>
    <t>Sat Nov 7 2026,Denver Nuggets,Indiana Pacers</t>
  </si>
  <si>
    <t>Sat Nov 7 2026,Brooklyn Nets,Atlanta Hawks</t>
  </si>
  <si>
    <t>Sat Nov 7 2026,New York Knicks,Cleveland Cavaliers</t>
  </si>
  <si>
    <t>Sat Nov 7 2026,Washington Wizards,Oklahoma City Thunder</t>
  </si>
  <si>
    <t>Sat Nov 7 2026,Orlando Magic,Golden State Warriors</t>
  </si>
  <si>
    <t>Sat Nov 7 2026,Houston Rockets,Phoenix Suns</t>
  </si>
  <si>
    <t>Sat Nov 7 2026,San Antonio Spurs,Portland Trail Blazers</t>
  </si>
  <si>
    <t>Sun Nov 8 2026,Philadelphia 76ers,Chicago Bulls</t>
  </si>
  <si>
    <t>Sun Nov 8 2026,Los Angeles Lakers,Detroit Pistons</t>
  </si>
  <si>
    <t>Sun Nov 8 2026,Utah Jazz,Minnesota Timberwolves</t>
  </si>
  <si>
    <t>Sun Nov 8 2026,Brooklyn Nets,Dallas Mavericks</t>
  </si>
  <si>
    <t>Sun Nov 8 2026,Boston Celtics,Milwaukee Bucks</t>
  </si>
  <si>
    <t>Sun Nov 8 2026,New Orleans Pelicans,Los Angeles Clippers</t>
  </si>
  <si>
    <t>Sun Nov 8 2026,Miami Heat,Sacramento Kings</t>
  </si>
  <si>
    <t>Mon Nov 9 2026,Los Angeles Lakers,Atlanta Hawks</t>
  </si>
  <si>
    <t>Mon Nov 9 2026,Cleveland Cavaliers,Charlotte Hornets</t>
  </si>
  <si>
    <t>Mon Nov 9 2026,Washington Wizards,Detroit Pistons</t>
  </si>
  <si>
    <t>Mon Nov 9 2026,Memphis Grizzlies,Toronto Raptors</t>
  </si>
  <si>
    <t>Mon Nov 9 2026,Indiana Pacers,Dallas Mavericks</t>
  </si>
  <si>
    <t>Mon Nov 9 2026,Denver Nuggets,Houston Rockets</t>
  </si>
  <si>
    <t>Mon Nov 9 2026,San Antonio Spurs,Phoenix Suns</t>
  </si>
  <si>
    <t>Mon Nov 9 2026,New Orleans Pelicans,Golden State Warriors</t>
  </si>
  <si>
    <t>Tue Nov 10 2026,Milwaukee Bucks,New York Knicks</t>
  </si>
  <si>
    <t>Tue Nov 10 2026,Boston Celtics,Philadelphia 76ers</t>
  </si>
  <si>
    <t>Tue Nov 10 2026,Los Angeles Clippers,Phoenix Suns</t>
  </si>
  <si>
    <t>Tue Nov 10 2026,Miami Heat,Utah Jazz</t>
  </si>
  <si>
    <t>Tue Nov 10 2026,Orlando Magic,Sacramento Kings</t>
  </si>
  <si>
    <t>Tue Nov 10 2026,Oklahoma City Thunder,Portland Trail Blazers</t>
  </si>
  <si>
    <t>Wed Nov 11 2026,Washington Wizards,Indiana Pacers</t>
  </si>
  <si>
    <t>Wed Nov 11 2026,Cleveland Cavaliers,New York Knicks</t>
  </si>
  <si>
    <t>Wed Nov 11 2026,Boston Celtics,Toronto Raptors</t>
  </si>
  <si>
    <t>Wed Nov 11 2026,San Antonio Spurs,Chicago Bulls</t>
  </si>
  <si>
    <t>Wed Nov 11 2026,Denver Nuggets,Memphis Grizzlies</t>
  </si>
  <si>
    <t>Wed Nov 11 2026,Los Angeles Lakers,Milwaukee Bucks</t>
  </si>
  <si>
    <t>Wed Nov 11 2026,Brooklyn Nets,New Orleans Pelicans</t>
  </si>
  <si>
    <t>Wed Nov 11 2026,Orlando Magic,Utah Jazz</t>
  </si>
  <si>
    <t>Wed Nov 11 2026,Golden State Warriors,Houston Rockets</t>
  </si>
  <si>
    <t>Wed Nov 11 2026,Oklahoma City Thunder,Portland Trail Blazers</t>
  </si>
  <si>
    <t>Thu Nov 12 2026,Toronto Raptors,Philadelphia 76ers</t>
  </si>
  <si>
    <t>Thu Nov 12 2026,Detroit Pistons,Washington Wizards</t>
  </si>
  <si>
    <t>Thu Nov 12 2026,Dallas Mavericks,Minnesota Timberwolves</t>
  </si>
  <si>
    <t>Thu Nov 12 2026,Charlotte Hornets,Phoenix Suns</t>
  </si>
  <si>
    <t>Fri Nov 13 2026,New York Knicks,Indiana Pacers</t>
  </si>
  <si>
    <t>Fri Nov 13 2026,Milwaukee Bucks,Orlando Magic</t>
  </si>
  <si>
    <t>Fri Nov 13 2026,Atlanta Hawks,Chicago Bulls</t>
  </si>
  <si>
    <t>Fri Nov 13 2026,Cleveland Cavaliers,Miami Heat</t>
  </si>
  <si>
    <t>Fri Nov 13 2026,Memphis Grizzlies,New Orleans Pelicans</t>
  </si>
  <si>
    <t>Fri Nov 13 2026,Utah Jazz,Houston Rockets</t>
  </si>
  <si>
    <t>Fri Nov 13 2026,Golden State Warriors,San Antonio Spurs</t>
  </si>
  <si>
    <t>Fri Nov 13 2026,Portland Trail Blazers,Sacramento Kings</t>
  </si>
  <si>
    <t>Fri Nov 13 2026,Oklahoma City Thunder,Los Angeles Clippers</t>
  </si>
  <si>
    <t>Sat Nov 14 2026,Denver Nuggets,New Orleans Pelicans</t>
  </si>
  <si>
    <t>Sat Nov 14 2026,Dallas Mavericks,Cleveland Cavaliers</t>
  </si>
  <si>
    <t>Sat Nov 14 2026,Brooklyn Nets,Memphis Grizzlies</t>
  </si>
  <si>
    <t>Sat Nov 14 2026,Detroit Pistons,Miami Heat</t>
  </si>
  <si>
    <t>Sat Nov 14 2026,Chicago Bulls,Minnesota Timberwolves</t>
  </si>
  <si>
    <t>Sun Nov 15 2026,Indiana Pacers,Philadelphia 76ers</t>
  </si>
  <si>
    <t>Sun Nov 15 2026,Los Angeles Lakers,Phoenix Suns</t>
  </si>
  <si>
    <t>Sun Nov 15 2026,Charlotte Hornets,Los Angeles Clippers</t>
  </si>
  <si>
    <t>Sun Nov 15 2026,San Antonio Spurs,Utah Jazz</t>
  </si>
  <si>
    <t>Sun Nov 15 2026,Dallas Mavericks,Boston Celtics</t>
  </si>
  <si>
    <t>Sun Nov 15 2026,New York Knicks,Toronto Raptors</t>
  </si>
  <si>
    <t>Sun Nov 15 2026,Houston Rockets,Washington Wizards</t>
  </si>
  <si>
    <t>Sun Nov 15 2026,Atlanta Hawks,Milwaukee Bucks</t>
  </si>
  <si>
    <t>Sun Nov 15 2026,Oklahoma City Thunder,Sacramento Kings</t>
  </si>
  <si>
    <t>Mon Nov 16 2026,Orlando Magic,Boston Celtics</t>
  </si>
  <si>
    <t>Mon Nov 16 2026,Chicago Bulls,Cleveland Cavaliers</t>
  </si>
  <si>
    <t>Mon Nov 16 2026,Memphis Grizzlies,Washington Wizards</t>
  </si>
  <si>
    <t>Mon Nov 16 2026,Philadelphia 76ers,Brooklyn Nets</t>
  </si>
  <si>
    <t>Mon Nov 16 2026,Houston Rockets,Miami Heat</t>
  </si>
  <si>
    <t>Mon Nov 16 2026,Portland Trail Blazers,Minnesota Timberwolves</t>
  </si>
  <si>
    <t>Mon Nov 16 2026,Golden State Warriors,New Orleans Pelicans</t>
  </si>
  <si>
    <t>Mon Nov 16 2026,Phoenix Suns,Denver Nuggets</t>
  </si>
  <si>
    <t>Tue Nov 17 2026,New York Knicks,Toronto Raptors</t>
  </si>
  <si>
    <t>Tue Nov 17 2026,Portland Trail Blazers,Minnesota Timberwolves</t>
  </si>
  <si>
    <t>Tue Nov 17 2026,Detroit Pistons,San Antonio Spurs</t>
  </si>
  <si>
    <t>Tue Nov 17 2026,Charlotte Hornets,Los Angeles Lakers</t>
  </si>
  <si>
    <t>Tue Nov 17 2026,Utah Jazz,Los Angeles Clippers</t>
  </si>
  <si>
    <t>Wed Nov 18 2026,Memphis Grizzlies,Cleveland Cavaliers</t>
  </si>
  <si>
    <t>Wed Nov 18 2026,Houston Rockets,Indiana Pacers</t>
  </si>
  <si>
    <t>Wed Nov 18 2026,Milwaukee Bucks,Miami Heat</t>
  </si>
  <si>
    <t>Wed Nov 18 2026,Philadelphia 76ers,Orlando Magic</t>
  </si>
  <si>
    <t>Wed Nov 18 2026,Chicago Bulls,Brooklyn Nets</t>
  </si>
  <si>
    <t>Wed Nov 18 2026,Washington Wizards,Toronto Raptors</t>
  </si>
  <si>
    <t>Wed Nov 18 2026,Detroit Pistons,New Orleans Pelicans</t>
  </si>
  <si>
    <t>Wed Nov 18 2026,Atlanta Hawks,Oklahoma City Thunder</t>
  </si>
  <si>
    <t>Wed Nov 18 2026,Boston Celtics,Denver Nuggets</t>
  </si>
  <si>
    <t>Wed Nov 18 2026,Golden State Warriors,Dallas Mavericks</t>
  </si>
  <si>
    <t>Wed Nov 18 2026,Utah Jazz,Los Angeles Lakers</t>
  </si>
  <si>
    <t>Wed Nov 18 2026,Phoenix Suns,Sacramento Kings</t>
  </si>
  <si>
    <t>Thu Nov 19 2026,Golden State Warriors,Memphis Grizzlies</t>
  </si>
  <si>
    <t>Thu Nov 19 2026,Portland Trail Blazers,Milwaukee Bucks</t>
  </si>
  <si>
    <t>Thu Nov 19 2026,New York Knicks,Minnesota Timberwolves</t>
  </si>
  <si>
    <t>Thu Nov 19 2026,Los Angeles Clippers,San Antonio Spurs</t>
  </si>
  <si>
    <t>Fri Nov 20 2026,Charlotte Hornets,Atlanta Hawks</t>
  </si>
  <si>
    <t>Fri Nov 20 2026,Orlando Magic,Brooklyn Nets</t>
  </si>
  <si>
    <t>Fri Nov 20 2026,Indiana Pacers,Cleveland Cavaliers</t>
  </si>
  <si>
    <t>Fri Nov 20 2026,Toronto Raptors,Detroit Pistons</t>
  </si>
  <si>
    <t>Fri Nov 20 2026,Washington Wizards,Chicago Bulls</t>
  </si>
  <si>
    <t>Fri Nov 20 2026,New Orleans Pelicans,Oklahoma City Thunder</t>
  </si>
  <si>
    <t>Fri Nov 20 2026,Phoenix Suns,Utah Jazz</t>
  </si>
  <si>
    <t>Fri Nov 20 2026,Houston Rockets,Denver Nuggets</t>
  </si>
  <si>
    <t>Fri Nov 20 2026,Sacramento Kings,Los Angeles Lakers</t>
  </si>
  <si>
    <t>Sat Nov 21 2026,Milwaukee Bucks,Philadelphia 76ers</t>
  </si>
  <si>
    <t>Sat Nov 21 2026,Portland Trail Blazers,New York Knicks</t>
  </si>
  <si>
    <t>Sat Nov 21 2026,Los Angeles Clippers,Dallas Mavericks</t>
  </si>
  <si>
    <t>Sat Nov 21 2026,Memphis Grizzlies,Minnesota Timberwolves</t>
  </si>
  <si>
    <t>Sat Nov 21 2026,New Orleans Pelicans,San Antonio Spurs</t>
  </si>
  <si>
    <t>Sat Nov 21 2026,Boston Celtics,Sacramento Kings</t>
  </si>
  <si>
    <t>Sun Nov 22 2026,Detroit Pistons,Atlanta Hawks</t>
  </si>
  <si>
    <t>Sun Nov 22 2026,Oklahoma City Thunder,Miami Heat</t>
  </si>
  <si>
    <t>Sun Nov 22 2026,Denver Nuggets,Chicago Bulls</t>
  </si>
  <si>
    <t>Sun Nov 22 2026,Dallas Mavericks,Utah Jazz</t>
  </si>
  <si>
    <t>Sun Nov 22 2026,Orlando Magic,Washington Wizards</t>
  </si>
  <si>
    <t>Sun Nov 22 2026,Indiana Pacers,New York Knicks</t>
  </si>
  <si>
    <t>Sun Nov 22 2026,Boston Celtics,Golden State Warriors</t>
  </si>
  <si>
    <t>Mon Nov 23 2026,Memphis Grizzlies,Charlotte Hornets</t>
  </si>
  <si>
    <t>Mon Nov 23 2026,Portland Trail Blazers,Philadelphia 76ers</t>
  </si>
  <si>
    <t>Mon Nov 23 2026,Oklahoma City Thunder,Indiana Pacers</t>
  </si>
  <si>
    <t>Mon Nov 23 2026,Brooklyn Nets,Minnesota Timberwolves</t>
  </si>
  <si>
    <t>Mon Nov 23 2026,Milwaukee Bucks,Toronto Raptors</t>
  </si>
  <si>
    <t>Mon Nov 23 2026,Cleveland Cavaliers,Chicago Bulls</t>
  </si>
  <si>
    <t>Mon Nov 23 2026,Phoenix Suns,New Orleans Pelicans</t>
  </si>
  <si>
    <t>Mon Nov 23 2026,Los Angeles Clippers,Houston Rockets</t>
  </si>
  <si>
    <t>Mon Nov 23 2026,Utah Jazz,Los Angeles Lakers</t>
  </si>
  <si>
    <t>Mon Nov 23 2026,San Antonio Spurs,Sacramento Kings</t>
  </si>
  <si>
    <t>Tue Nov 24 2026,Detroit Pistons,Orlando Magic</t>
  </si>
  <si>
    <t>Tue Nov 24 2026,Boston Celtics,Washington Wizards</t>
  </si>
  <si>
    <t>Tue Nov 24 2026,Dallas Mavericks,Denver Nuggets</t>
  </si>
  <si>
    <t>Wed Nov 25 2026,Miami Heat,Philadelphia 76ers</t>
  </si>
  <si>
    <t>Wed Nov 25 2026,Chicago Bulls,Charlotte Hornets</t>
  </si>
  <si>
    <t>Wed Nov 25 2026,Cleveland Cavaliers,New York Knicks</t>
  </si>
  <si>
    <t>Wed Nov 25 2026,Minnesota Timberwolves,Oklahoma City Thunder</t>
  </si>
  <si>
    <t>Wed Nov 25 2026,Los Angeles Clippers,Memphis Grizzlies</t>
  </si>
  <si>
    <t>Wed Nov 25 2026,Brooklyn Nets,Milwaukee Bucks</t>
  </si>
  <si>
    <t>Wed Nov 25 2026,Phoenix Suns,Houston Rockets</t>
  </si>
  <si>
    <t>Wed Nov 25 2026,Sacramento Kings,Golden State Warriors</t>
  </si>
  <si>
    <t>Wed Nov 25 2026,San Antonio Spurs,Portland Trail Blazers</t>
  </si>
  <si>
    <t>Fri Nov 27 2026,Miami Heat,New York Knicks</t>
  </si>
  <si>
    <t>Fri Nov 27 2026,Milwaukee Bucks,Detroit Pistons</t>
  </si>
  <si>
    <t>Fri Nov 27 2026,Philadelphia 76ers,Indiana Pacers</t>
  </si>
  <si>
    <t>Fri Nov 27 2026,Brooklyn Nets,Toronto Raptors</t>
  </si>
  <si>
    <t>Fri Nov 27 2026,Atlanta Hawks,Boston Celtics</t>
  </si>
  <si>
    <t>Fri Nov 27 2026,Memphis Grizzlies,Minnesota Timberwolves</t>
  </si>
  <si>
    <t>Fri Nov 27 2026,Dallas Mavericks,Phoenix Suns</t>
  </si>
  <si>
    <t>Fri Nov 27 2026,New Orleans Pelicans,Los Angeles Clippers</t>
  </si>
  <si>
    <t>Fri Nov 27 2026,Golden State Warriors,Portland Trail Blazers</t>
  </si>
  <si>
    <t>Fri Nov 27 2026,Los Angeles Lakers,San Antonio Spurs</t>
  </si>
  <si>
    <t>Fri Nov 27 2026,Denver Nuggets,Utah Jazz</t>
  </si>
  <si>
    <t>Sat Nov 28 2026,Orlando Magic,Washington Wizards</t>
  </si>
  <si>
    <t>Sat Nov 28 2026,Brooklyn Nets,Charlotte Hornets</t>
  </si>
  <si>
    <t>Sat Nov 28 2026,Indiana Pacers,Chicago Bulls</t>
  </si>
  <si>
    <t>Sat Nov 28 2026,Oklahoma City Thunder,Milwaukee Bucks</t>
  </si>
  <si>
    <t>Sat Nov 28 2026,Philadelphia 76ers,Houston Rockets</t>
  </si>
  <si>
    <t>Sun Nov 29 2026,Los Angeles Lakers,Memphis Grizzlies</t>
  </si>
  <si>
    <t>Sun Nov 29 2026,Boston Celtics,San Antonio Spurs</t>
  </si>
  <si>
    <t>Sun Nov 29 2026,Phoenix Suns,Utah Jazz</t>
  </si>
  <si>
    <t>Sun Nov 29 2026,Miami Heat,Cleveland Cavaliers</t>
  </si>
  <si>
    <t>Sun Nov 29 2026,Orlando Magic,Detroit Pistons</t>
  </si>
  <si>
    <t>Sun Nov 29 2026,Atlanta Hawks,New York Knicks</t>
  </si>
  <si>
    <t>Sun Nov 29 2026,New Orleans Pelicans,Portland Trail Blazers</t>
  </si>
  <si>
    <t>Sun Nov 29 2026,Denver Nuggets,Toronto Raptors</t>
  </si>
  <si>
    <t>Sun Nov 29 2026,Los Angeles Clippers,Golden State Warriors</t>
  </si>
  <si>
    <t>Sun Nov 29 2026,Minnesota Timberwolves,Sacramento Kings</t>
  </si>
  <si>
    <t>Mon Nov 30 2026,Washington Wizards,Charlotte Hornets</t>
  </si>
  <si>
    <t>Mon Nov 30 2026,Denver Nuggets,Detroit Pistons</t>
  </si>
  <si>
    <t>Mon Nov 30 2026,Oklahoma City Thunder,Brooklyn Nets</t>
  </si>
  <si>
    <t>Mon Nov 30 2026,Los Angeles Lakers,Houston Rockets</t>
  </si>
  <si>
    <t>Mon Nov 30 2026,Boston Celtics,Dallas Mavericks</t>
  </si>
  <si>
    <t>Mon Nov 30 2026,San Antonio Spurs,Milwaukee Bucks</t>
  </si>
  <si>
    <t>Mon Nov 30 2026,New Orleans Pelicans,Sacramento Kings</t>
  </si>
  <si>
    <t>Tue Dec 1 2026,Indiana Pacers,Cleveland Cavaliers</t>
  </si>
  <si>
    <t>Tue Dec 1 2026,Memphis Grizzlies,Philadelphia 76ers</t>
  </si>
  <si>
    <t>Tue Dec 1 2026,Atlanta Hawks,Miami Heat</t>
  </si>
  <si>
    <t>Tue Dec 1 2026,New York Knicks,Chicago Bulls</t>
  </si>
  <si>
    <t>Tue Dec 1 2026,Toronto Raptors,Houston Rockets</t>
  </si>
  <si>
    <t>Tue Dec 1 2026,Los Angeles Clippers,Phoenix Suns</t>
  </si>
  <si>
    <t>Tue Dec 1 2026,Minnesota Timberwolves,Portland Trail Blazers</t>
  </si>
  <si>
    <t>Tue Dec 1 2026,Utah Jazz,Golden State Warriors</t>
  </si>
  <si>
    <t>Wed Dec 2 2026,Memphis Grizzlies,Detroit Pistons</t>
  </si>
  <si>
    <t>Wed Dec 2 2026,Denver Nuggets,Philadelphia 76ers</t>
  </si>
  <si>
    <t>Wed Dec 2 2026,Charlotte Hornets,Boston Celtics</t>
  </si>
  <si>
    <t>Wed Dec 2 2026,Orlando Magic,Dallas Mavericks</t>
  </si>
  <si>
    <t>Wed Dec 2 2026,New York Knicks,Milwaukee Bucks</t>
  </si>
  <si>
    <t>Wed Dec 2 2026,Los Angeles Lakers,New Orleans Pelicans</t>
  </si>
  <si>
    <t>Wed Dec 2 2026,Brooklyn Nets,Oklahoma City Thunder</t>
  </si>
  <si>
    <t>Wed Dec 2 2026,Sacramento Kings,Phoenix Suns</t>
  </si>
  <si>
    <t>Wed Dec 2 2026,Minnesota Timberwolves,Los Angeles Clippers</t>
  </si>
  <si>
    <t>Thu Dec 3 2026,Indiana Pacers,Atlanta Hawks</t>
  </si>
  <si>
    <t>Thu Dec 3 2026,Washington Wizards,Miami Heat</t>
  </si>
  <si>
    <t>Thu Dec 3 2026,Cleveland Cavaliers,Chicago Bulls</t>
  </si>
  <si>
    <t>Thu Dec 3 2026,Toronto Raptors,San Antonio Spurs</t>
  </si>
  <si>
    <t>Thu Dec 3 2026,Utah Jazz,Portland Trail Blazers</t>
  </si>
  <si>
    <t>Sat Dec 12 2026,Milwaukee Bucks,Memphis Grizzlies</t>
  </si>
  <si>
    <t>Sat Dec 12 2026,Charlotte Hornets,Washington Wizards</t>
  </si>
  <si>
    <t>Sat Dec 12 2026,Orlando Magic,Philadelphia 76ers</t>
  </si>
  <si>
    <t>Sat Dec 12 2026,Golden State Warriors,Cleveland Cavaliers</t>
  </si>
  <si>
    <t>Sat Dec 12 2026,New York Knicks,Miami Heat</t>
  </si>
  <si>
    <t>Sat Dec 12 2026,Minnesota Timberwolves,Phoenix Suns</t>
  </si>
  <si>
    <t>Sat Dec 12 2026,Denver Nuggets,Utah Jazz</t>
  </si>
  <si>
    <t>Sat Dec 12 2026,Atlanta Hawks,Portland Trail Blazers</t>
  </si>
  <si>
    <t>Sun Dec 13 2026,Boston Celtics,Brooklyn Nets</t>
  </si>
  <si>
    <t>Sun Dec 13 2026,Toronto Raptors,Oklahoma City Thunder</t>
  </si>
  <si>
    <t>Sun Dec 13 2026,Detroit Pistons,Indiana Pacers</t>
  </si>
  <si>
    <t>Sun Dec 13 2026,Houston Rockets,Chicago Bulls</t>
  </si>
  <si>
    <t>Sun Dec 13 2026,Los Angeles Clippers,San Antonio Spurs</t>
  </si>
  <si>
    <t>Sun Dec 13 2026,New Orleans Pelicans,Sacramento Kings</t>
  </si>
  <si>
    <t>Mon Dec 14 2026,Toronto Raptors,Charlotte Hornets</t>
  </si>
  <si>
    <t>Mon Dec 14 2026,Brooklyn Nets,Detroit Pistons</t>
  </si>
  <si>
    <t>Mon Dec 14 2026,Philadelphia 76ers,Orlando Magic</t>
  </si>
  <si>
    <t>Mon Dec 14 2026,Washington Wizards,Boston Celtics</t>
  </si>
  <si>
    <t>Mon Dec 14 2026,Miami Heat,Chicago Bulls</t>
  </si>
  <si>
    <t>Mon Dec 14 2026,Milwaukee Bucks,Dallas Mavericks</t>
  </si>
  <si>
    <t>Mon Dec 14 2026,Golden State Warriors,Memphis Grizzlies</t>
  </si>
  <si>
    <t>Mon Dec 14 2026,New York Knicks,Houston Rockets</t>
  </si>
  <si>
    <t>Mon Dec 14 2026,Atlanta Hawks,Phoenix Suns</t>
  </si>
  <si>
    <t>Mon Dec 14 2026,Minnesota Timberwolves,Utah Jazz</t>
  </si>
  <si>
    <t>Mon Dec 14 2026,New Orleans Pelicans,Los Angeles Lakers</t>
  </si>
  <si>
    <t>Tue Dec 15 2026,San Antonio Spurs,Cleveland Cavaliers</t>
  </si>
  <si>
    <t>Tue Dec 15 2026,Denver Nuggets,Portland Trail Blazers</t>
  </si>
  <si>
    <t>Wed Dec 16 2026,Washington Wizards,Boston Celtics</t>
  </si>
  <si>
    <t>Wed Dec 16 2026,Los Angeles Clippers,Charlotte Hornets</t>
  </si>
  <si>
    <t>Wed Dec 16 2026,Phoenix Suns,Detroit Pistons</t>
  </si>
  <si>
    <t>Wed Dec 16 2026,Golden State Warriors,Indiana Pacers</t>
  </si>
  <si>
    <t>Wed Dec 16 2026,Cleveland Cavaliers,Orlando Magic</t>
  </si>
  <si>
    <t>Wed Dec 16 2026,Dallas Mavericks,Brooklyn Nets</t>
  </si>
  <si>
    <t>Wed Dec 16 2026,San Antonio Spurs,Toronto Raptors</t>
  </si>
  <si>
    <t>Wed Dec 16 2026,Utah Jazz,Chicago Bulls</t>
  </si>
  <si>
    <t>Wed Dec 16 2026,Miami Heat,Memphis Grizzlies</t>
  </si>
  <si>
    <t>Wed Dec 16 2026,New York Knicks,New Orleans Pelicans</t>
  </si>
  <si>
    <t>Wed Dec 16 2026,Sacramento Kings,Oklahoma City Thunder</t>
  </si>
  <si>
    <t>Wed Dec 16 2026,Milwaukee Bucks,Houston Rockets</t>
  </si>
  <si>
    <t>Wed Dec 16 2026,Los Angeles Lakers,Minnesota Timberwolves</t>
  </si>
  <si>
    <t>Thu Dec 17 2026,Portland Trail Blazers,Indiana Pacers</t>
  </si>
  <si>
    <t>Thu Dec 17 2026,Dallas Mavericks,Philadelphia 76ers</t>
  </si>
  <si>
    <t>Thu Dec 17 2026,Atlanta Hawks,Denver Nuggets</t>
  </si>
  <si>
    <t>Fri Dec 18 2026,Oklahoma City Thunder,Charlotte Hornets</t>
  </si>
  <si>
    <t>Fri Dec 18 2026,Los Angeles Clippers,Miami Heat</t>
  </si>
  <si>
    <t>Fri Dec 18 2026,New York Knicks,Washington Wizards</t>
  </si>
  <si>
    <t>Fri Dec 18 2026,Utah Jazz,Boston Celtics</t>
  </si>
  <si>
    <t>Fri Dec 18 2026,Orlando Magic,Brooklyn Nets</t>
  </si>
  <si>
    <t>Fri Dec 18 2026,Cleveland Cavaliers,Detroit Pistons</t>
  </si>
  <si>
    <t>Fri Dec 18 2026,Golden State Warriors,Toronto Raptors</t>
  </si>
  <si>
    <t>Fri Dec 18 2026,Houston Rockets,Memphis Grizzlies</t>
  </si>
  <si>
    <t>Fri Dec 18 2026,Phoenix Suns,Milwaukee Bucks</t>
  </si>
  <si>
    <t>Fri Dec 18 2026,Los Angeles Lakers,Minnesota Timberwolves</t>
  </si>
  <si>
    <t>Fri Dec 18 2026,Sacramento Kings,New Orleans Pelicans</t>
  </si>
  <si>
    <t>Fri Dec 18 2026,Chicago Bulls,San Antonio Spurs</t>
  </si>
  <si>
    <t>Sat Dec 19 2026,Portland Trail Blazers,Charlotte Hornets</t>
  </si>
  <si>
    <t>Sat Dec 19 2026,Orlando Magic,Atlanta Hawks</t>
  </si>
  <si>
    <t>Sat Dec 19 2026,Chicago Bulls,Dallas Mavericks</t>
  </si>
  <si>
    <t>Sat Dec 19 2026,Los Angeles Lakers,Denver Nuggets</t>
  </si>
  <si>
    <t>Sun Dec 20 2026,Washington Wizards,Brooklyn Nets</t>
  </si>
  <si>
    <t>Sun Dec 20 2026,Houston Rockets,Toronto Raptors</t>
  </si>
  <si>
    <t>Sun Dec 20 2026,Phoenix Suns,Memphis Grizzlies</t>
  </si>
  <si>
    <t>Sun Dec 20 2026,Utah Jazz,Cleveland Cavaliers</t>
  </si>
  <si>
    <t>Sun Dec 20 2026,Sacramento Kings,Miami Heat</t>
  </si>
  <si>
    <t>Sun Dec 20 2026,Oklahoma City Thunder,Atlanta Hawks</t>
  </si>
  <si>
    <t>Sun Dec 20 2026,San Antonio Spurs,New Orleans Pelicans</t>
  </si>
  <si>
    <t>Sun Dec 20 2026,Detroit Pistons,Boston Celtics</t>
  </si>
  <si>
    <t>Sun Dec 20 2026,Golden State Warriors,Milwaukee Bucks</t>
  </si>
  <si>
    <t>Sun Dec 20 2026,Indiana Pacers,Los Angeles Clippers</t>
  </si>
  <si>
    <t>Mon Dec 21 2026,Philadelphia 76ers,Charlotte Hornets</t>
  </si>
  <si>
    <t>Mon Dec 21 2026,New York Knicks,Cleveland Cavaliers</t>
  </si>
  <si>
    <t>Mon Dec 21 2026,Sacramento Kings,Orlando Magic</t>
  </si>
  <si>
    <t>Mon Dec 21 2026,Portland Trail Blazers,Brooklyn Nets</t>
  </si>
  <si>
    <t>Mon Dec 21 2026,Chicago Bulls,Miami Heat</t>
  </si>
  <si>
    <t>Mon Dec 21 2026,Phoenix Suns,Minnesota Timberwolves</t>
  </si>
  <si>
    <t>Mon Dec 21 2026,Memphis Grizzlies,New Orleans Pelicans</t>
  </si>
  <si>
    <t>Mon Dec 21 2026,Milwaukee Bucks,San Antonio Spurs</t>
  </si>
  <si>
    <t>Mon Dec 21 2026,Indiana Pacers,Los Angeles Lakers</t>
  </si>
  <si>
    <t>Mon Dec 21 2026,Denver Nuggets,Los Angeles Clippers</t>
  </si>
  <si>
    <t>Tue Dec 22 2026,Toronto Raptors,Washington Wizards</t>
  </si>
  <si>
    <t>Tue Dec 22 2026,Detroit Pistons,Oklahoma City Thunder</t>
  </si>
  <si>
    <t>Tue Dec 22 2026,Dallas Mavericks,Golden State Warriors</t>
  </si>
  <si>
    <t>Wed Dec 23 2026,Detroit Pistons,Atlanta Hawks</t>
  </si>
  <si>
    <t>Wed Dec 23 2026,Charlotte Hornets,Orlando Magic</t>
  </si>
  <si>
    <t>Wed Dec 23 2026,Cleveland Cavaliers,Washington Wizards</t>
  </si>
  <si>
    <t>Wed Dec 23 2026,Portland Trail Blazers,Boston Celtics</t>
  </si>
  <si>
    <t>Wed Dec 23 2026,San Antonio Spurs,Brooklyn Nets</t>
  </si>
  <si>
    <t>Wed Dec 23 2026,Chicago Bulls,Miami Heat</t>
  </si>
  <si>
    <t>Wed Dec 23 2026,Utah Jazz,New York Knicks</t>
  </si>
  <si>
    <t>Wed Dec 23 2026,Houston Rockets,Philadelphia 76ers</t>
  </si>
  <si>
    <t>Wed Dec 23 2026,Toronto Raptors,Memphis Grizzlies</t>
  </si>
  <si>
    <t>Wed Dec 23 2026,Minnesota Timberwolves,Milwaukee Bucks</t>
  </si>
  <si>
    <t>Wed Dec 23 2026,Oklahoma City Thunder,New Orleans Pelicans</t>
  </si>
  <si>
    <t>Wed Dec 23 2026,Indiana Pacers,Phoenix Suns</t>
  </si>
  <si>
    <t>Wed Dec 23 2026,Denver Nuggets,Los Angeles Lakers</t>
  </si>
  <si>
    <t>Wed Dec 23 2026,Dallas Mavericks,Sacramento Kings</t>
  </si>
  <si>
    <t>Wed Dec 23 2026,Golden State Warriors,Los Angeles Clippers</t>
  </si>
  <si>
    <t>Fri Dec 25 2026,San Antonio Spurs,New York Knicks</t>
  </si>
  <si>
    <t>Fri Dec 25 2026,Miami Heat,Boston Celtics</t>
  </si>
  <si>
    <t>Fri Dec 25 2026,Philadelphia 76ers,Los Angeles Lakers</t>
  </si>
  <si>
    <t>Fri Dec 25 2026,Oklahoma City Thunder,Minnesota Timberwolves</t>
  </si>
  <si>
    <t>Fri Dec 25 2026,Denver Nuggets,Golden State Warriors</t>
  </si>
  <si>
    <t>Sat Dec 26 2026,Portland Trail Blazers,Washington Wizards</t>
  </si>
  <si>
    <t>Sat Dec 26 2026,Charlotte Hornets,Atlanta Hawks</t>
  </si>
  <si>
    <t>Sat Dec 26 2026,Indiana Pacers,Utah Jazz</t>
  </si>
  <si>
    <t>Sat Dec 26 2026,New Orleans Pelicans,Brooklyn Nets</t>
  </si>
  <si>
    <t>Sat Dec 26 2026,Toronto Raptors,Orlando Magic</t>
  </si>
  <si>
    <t>Sat Dec 26 2026,Detroit Pistons,Chicago Bulls</t>
  </si>
  <si>
    <t>Sat Dec 26 2026,Phoenix Suns,Dallas Mavericks</t>
  </si>
  <si>
    <t>Sat Dec 26 2026,Memphis Grizzlies,Los Angeles Clippers</t>
  </si>
  <si>
    <t>Sun Dec 27 2026,Oklahoma City Thunder,Houston Rockets</t>
  </si>
  <si>
    <t>Sun Dec 27 2026,Washington Wizards,Cleveland Cavaliers</t>
  </si>
  <si>
    <t>Sun Dec 27 2026,Charlotte Hornets,Miami Heat</t>
  </si>
  <si>
    <t>Sun Dec 27 2026,Brooklyn Nets,New York Knicks</t>
  </si>
  <si>
    <t>Sun Dec 27 2026,Milwaukee Bucks,Orlando Magic</t>
  </si>
  <si>
    <t>Sun Dec 27 2026,Utah Jazz,Sacramento Kings</t>
  </si>
  <si>
    <t>Sun Dec 27 2026,Portland Trail Blazers,Detroit Pistons</t>
  </si>
  <si>
    <t>Sun Dec 27 2026,Atlanta Hawks,San Antonio Spurs</t>
  </si>
  <si>
    <t>Sun Dec 27 2026,Indiana Pacers,Denver Nuggets</t>
  </si>
  <si>
    <t>Sun Dec 27 2026,Minnesota Timberwolves,Golden State Warriors</t>
  </si>
  <si>
    <t>Sun Dec 27 2026,Philadelphia 76ers,Los Angeles Clippers</t>
  </si>
  <si>
    <t>Sun Dec 27 2026,Memphis Grizzlies,Los Angeles Lakers</t>
  </si>
  <si>
    <t>Mon Dec 28 2026,New Orleans Pelicans,Toronto Raptors</t>
  </si>
  <si>
    <t>Mon Dec 28 2026,Cleveland Cavaliers,Boston Celtics</t>
  </si>
  <si>
    <t>Mon Dec 28 2026,Golden State Warriors,Phoenix Suns</t>
  </si>
  <si>
    <t>Mon Dec 28 2026,Minnesota Timberwolves,Denver Nuggets</t>
  </si>
  <si>
    <t>Tue Dec 29 2026,Chicago Bulls,Atlanta Hawks</t>
  </si>
  <si>
    <t>Tue Dec 29 2026,Orlando Magic,Charlotte Hornets</t>
  </si>
  <si>
    <t>Tue Dec 29 2026,Los Angeles Clippers,Indiana Pacers</t>
  </si>
  <si>
    <t>Tue Dec 29 2026,Miami Heat,Dallas Mavericks</t>
  </si>
  <si>
    <t>Tue Dec 29 2026,San Antonio Spurs,Memphis Grizzlies</t>
  </si>
  <si>
    <t>Tue Dec 29 2026,Milwaukee Bucks,Oklahoma City Thunder</t>
  </si>
  <si>
    <t>Tue Dec 29 2026,Brooklyn Nets,Portland Trail Blazers</t>
  </si>
  <si>
    <t>Tue Dec 29 2026,Philadelphia 76ers,Sacramento Kings</t>
  </si>
  <si>
    <t>Tue Dec 29 2026,Houston Rockets,Los Angeles Lakers</t>
  </si>
  <si>
    <t>Wed Dec 30 2026,New Orleans Pelicans,Detroit Pistons</t>
  </si>
  <si>
    <t>Wed Dec 30 2026,Washington Wizards,Toronto Raptors</t>
  </si>
  <si>
    <t>Wed Dec 30 2026,Boston Celtics,Chicago Bulls</t>
  </si>
  <si>
    <t>Wed Dec 30 2026,Philadelphia 76ers,Phoenix Suns</t>
  </si>
  <si>
    <t>Wed Dec 30 2026,New York Knicks,Utah Jazz</t>
  </si>
  <si>
    <t>Wed Dec 30 2026,Houston Rockets,Golden State Warriors</t>
  </si>
  <si>
    <t>Thu Dec 31 2026,San Antonio Spurs,Charlotte Hornets</t>
  </si>
  <si>
    <t>Thu Dec 31 2026,Milwaukee Bucks,Atlanta Hawks</t>
  </si>
  <si>
    <t>Thu Dec 31 2026,Los Angeles Clippers,Cleveland Cavaliers</t>
  </si>
  <si>
    <t>Thu Dec 31 2026,Orlando Magic,Indiana Pacers</t>
  </si>
  <si>
    <t>Thu Dec 31 2026,Denver Nuggets,Minnesota Timberwolves</t>
  </si>
  <si>
    <t>Thu Dec 31 2026,Brooklyn Nets,Sacramento Kings</t>
  </si>
  <si>
    <t>Thu Dec 31 2026,Los Angeles Lakers,New Orleans Pelicans</t>
  </si>
  <si>
    <t>Thu Dec 31 2026,Miami Heat,Oklahoma City Thunder</t>
  </si>
  <si>
    <t>Thu Dec 31 2026,New York Knicks,Phoenix Suns</t>
  </si>
  <si>
    <t>Fri Jan 1 2027,San Antonio Spurs,Washington Wizards</t>
  </si>
  <si>
    <t>Fri Jan 1 2027,Orlando Magic,Detroit Pistons</t>
  </si>
  <si>
    <t>Fri Jan 1 2027,Los Angeles Clippers,Toronto Raptors</t>
  </si>
  <si>
    <t>Fri Jan 1 2027,Philadelphia 76ers,Milwaukee Bucks</t>
  </si>
  <si>
    <t>Fri Jan 1 2027,Dallas Mavericks,Houston Rockets</t>
  </si>
  <si>
    <t>Fri Jan 1 2027,Boston Celtics,Utah Jazz</t>
  </si>
  <si>
    <t>Sat Jan 2 2027,Cleveland Cavaliers,Charlotte Hornets</t>
  </si>
  <si>
    <t>Sat Jan 2 2027,New York Knicks,Denver Nuggets</t>
  </si>
  <si>
    <t>Sat Jan 2 2027,Minnesota Timberwolves,Indiana Pacers</t>
  </si>
  <si>
    <t>Sat Jan 2 2027,Miami Heat,New Orleans Pelicans</t>
  </si>
  <si>
    <t>Sat Jan 2 2027,Dallas Mavericks,Atlanta Hawks</t>
  </si>
  <si>
    <t>Sat Jan 2 2027,Los Angeles Lakers,Chicago Bulls</t>
  </si>
  <si>
    <t>Sat Jan 2 2027,Utah Jazz,Oklahoma City Thunder</t>
  </si>
  <si>
    <t>Sat Jan 2 2027,Brooklyn Nets,Golden State Warriors</t>
  </si>
  <si>
    <t>Sat Jan 2 2027,Sacramento Kings,Phoenix Suns</t>
  </si>
  <si>
    <t>Sat Jan 2 2027,Boston Celtics,Portland Trail Blazers</t>
  </si>
  <si>
    <t>Sun Jan 3 2027,Detroit Pistons,Denver Nuggets</t>
  </si>
  <si>
    <t>Sun Jan 3 2027,Charlotte Hornets,Milwaukee Bucks</t>
  </si>
  <si>
    <t>Sun Jan 3 2027,Memphis Grizzlies,Orlando Magic</t>
  </si>
  <si>
    <t>Sun Jan 3 2027,Cleveland Cavaliers,Houston Rockets</t>
  </si>
  <si>
    <t>Sun Jan 3 2027,San Antonio Spurs,Minnesota Timberwolves</t>
  </si>
  <si>
    <t>Sun Jan 3 2027,Los Angeles Lakers,Toronto Raptors</t>
  </si>
  <si>
    <t>Sun Jan 3 2027,Los Angeles Clippers,Washington Wizards</t>
  </si>
  <si>
    <t>Sun Jan 3 2027,Sacramento Kings,Oklahoma City Thunder</t>
  </si>
  <si>
    <t>Mon Jan 4 2027,Chicago Bulls,Indiana Pacers</t>
  </si>
  <si>
    <t>Mon Jan 4 2027,Atlanta Hawks,Philadelphia 76ers</t>
  </si>
  <si>
    <t>Mon Jan 4 2027,Dallas Mavericks,New Orleans Pelicans</t>
  </si>
  <si>
    <t>Mon Jan 4 2027,Boston Celtics,Phoenix Suns</t>
  </si>
  <si>
    <t>Mon Jan 4 2027,Brooklyn Nets,Utah Jazz</t>
  </si>
  <si>
    <t>Mon Jan 4 2027,New York Knicks,Portland Trail Blazers</t>
  </si>
  <si>
    <t>Tue Jan 5 2027,Atlanta Hawks,Charlotte Hornets</t>
  </si>
  <si>
    <t>Tue Jan 5 2027,Toronto Raptors,Cleveland Cavaliers</t>
  </si>
  <si>
    <t>Tue Jan 5 2027,Los Angeles Clippers,Orlando Magic</t>
  </si>
  <si>
    <t>Tue Jan 5 2027,Los Angeles Lakers,Washington Wizards</t>
  </si>
  <si>
    <t>Tue Jan 5 2027,Memphis Grizzlies,Miami Heat</t>
  </si>
  <si>
    <t>Tue Jan 5 2027,Milwaukee Bucks,Chicago Bulls</t>
  </si>
  <si>
    <t>Tue Jan 5 2027,Minnesota Timberwolves,Houston Rockets</t>
  </si>
  <si>
    <t>Tue Jan 5 2027,Phoenix Suns,Denver Nuggets</t>
  </si>
  <si>
    <t>Tue Jan 5 2027,Detroit Pistons,Sacramento Kings</t>
  </si>
  <si>
    <t>Wed Jan 6 2027,Utah Jazz,Brooklyn Nets</t>
  </si>
  <si>
    <t>Wed Jan 6 2027,Oklahoma City Thunder,Philadelphia 76ers</t>
  </si>
  <si>
    <t>Wed Jan 6 2027,Portland Trail Blazers,New Orleans Pelicans</t>
  </si>
  <si>
    <t>Wed Jan 6 2027,Indiana Pacers,San Antonio Spurs</t>
  </si>
  <si>
    <t>Wed Jan 6 2027,New York Knicks,Golden State Warriors</t>
  </si>
  <si>
    <t>Thu Jan 7 2027,Indiana Pacers,Atlanta Hawks</t>
  </si>
  <si>
    <t>Thu Jan 7 2027,Denver Nuggets,Charlotte Hornets</t>
  </si>
  <si>
    <t>Thu Jan 7 2027,Cleveland Cavaliers,Orlando Magic</t>
  </si>
  <si>
    <t>Thu Jan 7 2027,Oklahoma City Thunder,Washington Wizards</t>
  </si>
  <si>
    <t>Thu Jan 7 2027,Miami Heat,Brooklyn Nets</t>
  </si>
  <si>
    <t>Thu Jan 7 2027,Minnesota Timberwolves,Toronto Raptors</t>
  </si>
  <si>
    <t>Thu Jan 7 2027,Portland Trail Blazers,Dallas Mavericks</t>
  </si>
  <si>
    <t>Thu Jan 7 2027,Los Angeles Clippers,Milwaukee Bucks</t>
  </si>
  <si>
    <t>Thu Jan 7 2027,Memphis Grizzlies,Houston Rockets</t>
  </si>
  <si>
    <t>Thu Jan 7 2027,Detroit Pistons,Golden State Warriors</t>
  </si>
  <si>
    <t>Thu Jan 7 2027,Boston Celtics,Los Angeles Lakers</t>
  </si>
  <si>
    <t>Thu Jan 7 2027,Chicago Bulls,Sacramento Kings</t>
  </si>
  <si>
    <t>Fri Jan 8 2027,Miami Heat,Philadelphia 76ers</t>
  </si>
  <si>
    <t>Fri Jan 8 2027,Minnesota Timberwolves,Washington Wizards</t>
  </si>
  <si>
    <t>Fri Jan 8 2027,Utah Jazz,Toronto Raptors</t>
  </si>
  <si>
    <t>Fri Jan 8 2027,Orlando Magic,New Orleans Pelicans</t>
  </si>
  <si>
    <t>Fri Jan 8 2027,Memphis Grizzlies,San Antonio Spurs</t>
  </si>
  <si>
    <t>Fri Jan 8 2027,Phoenix Suns,Dallas Mavericks</t>
  </si>
  <si>
    <t>Fri Jan 8 2027,Detroit Pistons,Los Angeles Lakers</t>
  </si>
  <si>
    <t>Fri Jan 8 2027,New York Knicks,Sacramento Kings</t>
  </si>
  <si>
    <t>Sat Jan 9 2027,Denver Nuggets,Cleveland Cavaliers</t>
  </si>
  <si>
    <t>Sat Jan 9 2027,Houston Rockets,Brooklyn Nets</t>
  </si>
  <si>
    <t>Sat Jan 9 2027,Milwaukee Bucks,Indiana Pacers</t>
  </si>
  <si>
    <t>Sat Jan 9 2027,Chicago Bulls,Golden State Warriors</t>
  </si>
  <si>
    <t>Sat Jan 9 2027,Charlotte Hornets,Portland Trail Blazers</t>
  </si>
  <si>
    <t>Sat Jan 9 2027,Boston Celtics,Los Angeles Clippers</t>
  </si>
  <si>
    <t>Sun Jan 10 2027,San Antonio Spurs,Atlanta Hawks</t>
  </si>
  <si>
    <t>Sun Jan 10 2027,Utah Jazz,Detroit Pistons</t>
  </si>
  <si>
    <t>Sun Jan 10 2027,Dallas Mavericks,Memphis Grizzlies</t>
  </si>
  <si>
    <t>Sun Jan 10 2027,New Orleans Pelicans,Miami Heat</t>
  </si>
  <si>
    <t>Sun Jan 10 2027,Oklahoma City Thunder,Orlando Magic</t>
  </si>
  <si>
    <t>Sun Jan 10 2027,Philadelphia 76ers,Toronto Raptors</t>
  </si>
  <si>
    <t>Sun Jan 10 2027,Chicago Bulls,Phoenix Suns</t>
  </si>
  <si>
    <t>Sun Jan 10 2027,Charlotte Hornets,Sacramento Kings</t>
  </si>
  <si>
    <t>Mon Jan 11 2027,Brooklyn Nets,Indiana Pacers</t>
  </si>
  <si>
    <t>Mon Jan 11 2027,Atlanta Hawks,Washington Wizards</t>
  </si>
  <si>
    <t>Mon Jan 11 2027,Houston Rockets,Boston Celtics</t>
  </si>
  <si>
    <t>Mon Jan 11 2027,Denver Nuggets,New York Knicks</t>
  </si>
  <si>
    <t>Mon Jan 11 2027,Cleveland Cavaliers,Minnesota Timberwolves</t>
  </si>
  <si>
    <t>Mon Jan 11 2027,Los Angeles Lakers,Los Angeles Clippers</t>
  </si>
  <si>
    <t>Tue Jan 12 2027,Brooklyn Nets,Miami Heat</t>
  </si>
  <si>
    <t>Tue Jan 12 2027,Detroit Pistons,Toronto Raptors</t>
  </si>
  <si>
    <t>Tue Jan 12 2027,Dallas Mavericks,Memphis Grizzlies</t>
  </si>
  <si>
    <t>Tue Jan 12 2027,Denver Nuggets,Milwaukee Bucks</t>
  </si>
  <si>
    <t>Tue Jan 12 2027,Washington Wizards,Philadelphia 76ers</t>
  </si>
  <si>
    <t>Tue Jan 12 2027,Chicago Bulls,Utah Jazz</t>
  </si>
  <si>
    <t>Tue Jan 12 2027,Orlando Magic,Portland Trail Blazers</t>
  </si>
  <si>
    <t>Tue Jan 12 2027,Sacramento Kings,Golden State Warriors</t>
  </si>
  <si>
    <t>Wed Jan 13 2027,Cleveland Cavaliers,Atlanta Hawks</t>
  </si>
  <si>
    <t>Wed Jan 13 2027,New York Knicks,Boston Celtics</t>
  </si>
  <si>
    <t>Wed Jan 13 2027,Milwaukee Bucks,Indiana Pacers</t>
  </si>
  <si>
    <t>Wed Jan 13 2027,Phoenix Suns,Toronto Raptors</t>
  </si>
  <si>
    <t>Wed Jan 13 2027,Houston Rockets,Oklahoma City Thunder</t>
  </si>
  <si>
    <t>Wed Jan 13 2027,Charlotte Hornets,Golden State Warriors</t>
  </si>
  <si>
    <t>Wed Jan 13 2027,Los Angeles Lakers,Portland Trail Blazers</t>
  </si>
  <si>
    <t>Thu Jan 14 2027,New Orleans Pelicans,San Antonio Spurs</t>
  </si>
  <si>
    <t>Thu Jan 14 2027,Dallas Mavericks,Detroit Pistons</t>
  </si>
  <si>
    <t>Thu Jan 14 2027,Brooklyn Nets,Philadelphia 76ers</t>
  </si>
  <si>
    <t>Thu Jan 14 2027,Miami Heat,New York Knicks</t>
  </si>
  <si>
    <t>Thu Jan 14 2027,Minnesota Timberwolves,Chicago Bulls</t>
  </si>
  <si>
    <t>Thu Jan 14 2027,Memphis Grizzlies,Denver Nuggets</t>
  </si>
  <si>
    <t>Thu Jan 14 2027,Charlotte Hornets,Utah Jazz</t>
  </si>
  <si>
    <t>Thu Jan 14 2027,Orlando Magic,Los Angeles Lakers</t>
  </si>
  <si>
    <t>Thu Jan 14 2027,Los Angeles Clippers,Sacramento Kings</t>
  </si>
  <si>
    <t>Fri Jan 15 2027,Golden State Warriors,Atlanta Hawks</t>
  </si>
  <si>
    <t>Fri Jan 15 2027,Phoenix Suns,Indiana Pacers</t>
  </si>
  <si>
    <t>Fri Jan 15 2027,Miami Heat,Toronto Raptors</t>
  </si>
  <si>
    <t>Fri Jan 15 2027,Cleveland Cavaliers,Milwaukee Bucks</t>
  </si>
  <si>
    <t>Fri Jan 15 2027,Utah Jazz,Oklahoma City Thunder</t>
  </si>
  <si>
    <t>Fri Jan 15 2027,Washington Wizards,Houston Rockets</t>
  </si>
  <si>
    <t>Fri Jan 15 2027,Sacramento Kings,Portland Trail Blazers</t>
  </si>
  <si>
    <t>Fri Jan 15 2027,Orlando Magic,Los Angeles Clippers</t>
  </si>
  <si>
    <t>Sat Jan 16 2027,Minnesota Timberwolves,Philadelphia 76ers</t>
  </si>
  <si>
    <t>Sat Jan 16 2027,Brooklyn Nets,Boston Celtics</t>
  </si>
  <si>
    <t>Sat Jan 16 2027,Dallas Mavericks,New York Knicks</t>
  </si>
  <si>
    <t>Sat Jan 16 2027,Cleveland Cavaliers,Memphis Grizzlies</t>
  </si>
  <si>
    <t>Sat Jan 16 2027,Detroit Pistons,Houston Rockets</t>
  </si>
  <si>
    <t>Sat Jan 16 2027,Charlotte Hornets,Denver Nuggets</t>
  </si>
  <si>
    <t>Sun Jan 17 2027,San Antonio Spurs,New Orleans Pelicans</t>
  </si>
  <si>
    <t>Sun Jan 17 2027,Indiana Pacers,Washington Wizards</t>
  </si>
  <si>
    <t>Sun Jan 17 2027,Toronto Raptors,Chicago Bulls</t>
  </si>
  <si>
    <t>Sun Jan 17 2027,Portland Trail Blazers,Oklahoma City Thunder</t>
  </si>
  <si>
    <t>Sun Jan 17 2027,Sacramento Kings,Utah Jazz</t>
  </si>
  <si>
    <t>Sun Jan 17 2027,Golden State Warriors,Miami Heat</t>
  </si>
  <si>
    <t>Sun Jan 17 2027,Orlando Magic,Denver Nuggets</t>
  </si>
  <si>
    <t>Sun Jan 17 2027,Milwaukee Bucks,Los Angeles Lakers</t>
  </si>
  <si>
    <t>Mon Jan 18 2027,Detroit Pistons,Cleveland Cavaliers</t>
  </si>
  <si>
    <t>Mon Jan 18 2027,Philadelphia 76ers,Atlanta Hawks</t>
  </si>
  <si>
    <t>Mon Jan 18 2027,Boston Celtics,Washington Wizards</t>
  </si>
  <si>
    <t>Mon Jan 18 2027,Minnesota Timberwolves,New York Knicks</t>
  </si>
  <si>
    <t>Mon Jan 18 2027,Houston Rockets,Memphis Grizzlies</t>
  </si>
  <si>
    <t>Mon Jan 18 2027,Oklahoma City Thunder,Dallas Mavericks</t>
  </si>
  <si>
    <t>Mon Jan 18 2027,Phoenix Suns,Los Angeles Clippers</t>
  </si>
  <si>
    <t>Tue Jan 19 2027,Golden State Warriors,Orlando Magic</t>
  </si>
  <si>
    <t>Tue Jan 19 2027,Indiana Pacers,Philadelphia 76ers</t>
  </si>
  <si>
    <t>Tue Jan 19 2027,Chicago Bulls,Toronto Raptors</t>
  </si>
  <si>
    <t>Tue Jan 19 2027,Portland Trail Blazers,Miami Heat</t>
  </si>
  <si>
    <t>Tue Jan 19 2027,Charlotte Hornets,Dallas Mavericks</t>
  </si>
  <si>
    <t>Tue Jan 19 2027,Utah Jazz,Denver Nuggets</t>
  </si>
  <si>
    <t>Tue Jan 19 2027,Los Angeles Lakers,Sacramento Kings</t>
  </si>
  <si>
    <t>Wed Jan 20 2027,Portland Trail Blazers,Atlanta Hawks</t>
  </si>
  <si>
    <t>Wed Jan 20 2027,Chicago Bulls,Brooklyn Nets</t>
  </si>
  <si>
    <t>Wed Jan 20 2027,Indiana Pacers,Boston Celtics</t>
  </si>
  <si>
    <t>Wed Jan 20 2027,Toronto Raptors,New York Knicks</t>
  </si>
  <si>
    <t>Wed Jan 20 2027,Houston Rockets,Minnesota Timberwolves</t>
  </si>
  <si>
    <t>Wed Jan 20 2027,Oklahoma City Thunder,New Orleans Pelicans</t>
  </si>
  <si>
    <t>Wed Jan 20 2027,Memphis Grizzlies,Phoenix Suns</t>
  </si>
  <si>
    <t>Wed Jan 20 2027,Los Angeles Clippers,Utah Jazz</t>
  </si>
  <si>
    <t>Wed Jan 20 2027,Miami Heat,San Antonio Spurs</t>
  </si>
  <si>
    <t>Wed Jan 20 2027,Milwaukee Bucks,Sacramento Kings</t>
  </si>
  <si>
    <t>Thu Jan 21 2027,Philadelphia 76ers,Boston Celtics</t>
  </si>
  <si>
    <t>Thu Jan 21 2027,Cleveland Cavaliers,Brooklyn Nets</t>
  </si>
  <si>
    <t>Thu Jan 21 2027,Washington Wizards,Denver Nuggets</t>
  </si>
  <si>
    <t>Thu Jan 21 2027,Los Angeles Lakers,Golden State Warriors</t>
  </si>
  <si>
    <t>Fri Jan 22 2027,New York Knicks,Atlanta Hawks</t>
  </si>
  <si>
    <t>Fri Jan 22 2027,Houston Rockets,Charlotte Hornets</t>
  </si>
  <si>
    <t>Fri Jan 22 2027,Portland Trail Blazers,Orlando Magic</t>
  </si>
  <si>
    <t>Fri Jan 22 2027,Indiana Pacers,Detroit Pistons</t>
  </si>
  <si>
    <t>Fri Jan 22 2027,Dallas Mavericks,New Orleans Pelicans</t>
  </si>
  <si>
    <t>Fri Jan 22 2027,Memphis Grizzlies,Oklahoma City Thunder</t>
  </si>
  <si>
    <t>Fri Jan 22 2027,Utah Jazz,Phoenix Suns</t>
  </si>
  <si>
    <t>Fri Jan 22 2027,Minnesota Timberwolves,San Antonio Spurs</t>
  </si>
  <si>
    <t>Fri Jan 22 2027,Milwaukee Bucks,Golden State Warriors</t>
  </si>
  <si>
    <t>Fri Jan 22 2027,Sacramento Kings,Los Angeles Lakers</t>
  </si>
  <si>
    <t>Fri Jan 22 2027,Washington Wizards,Los Angeles Clippers</t>
  </si>
  <si>
    <t>Sat Jan 23 2027,Philadelphia 76ers,Chicago Bulls</t>
  </si>
  <si>
    <t>Sat Jan 23 2027,Toronto Raptors,Brooklyn Nets</t>
  </si>
  <si>
    <t>Sat Jan 23 2027,Charlotte Hornets,Boston Celtics</t>
  </si>
  <si>
    <t>Sat Jan 23 2027,Cleveland Cavaliers,Dallas Mavericks</t>
  </si>
  <si>
    <t>Sat Jan 23 2027,Atlanta Hawks,Miami Heat</t>
  </si>
  <si>
    <t>Sat Jan 23 2027,Milwaukee Bucks,Denver Nuggets</t>
  </si>
  <si>
    <t>Sun Jan 24 2027,Portland Trail Blazers,San Antonio Spurs</t>
  </si>
  <si>
    <t>Sun Jan 24 2027,Washington Wizards,Los Angeles Lakers</t>
  </si>
  <si>
    <t>Sun Jan 24 2027,Utah Jazz,Phoenix Suns</t>
  </si>
  <si>
    <t>Sun Jan 24 2027,Minnesota Timberwolves,Detroit Pistons</t>
  </si>
  <si>
    <t>Sun Jan 24 2027,Houston Rockets,Orlando Magic</t>
  </si>
  <si>
    <t>Sun Jan 24 2027,Los Angeles Clippers,New York Knicks</t>
  </si>
  <si>
    <t>Sun Jan 24 2027,Oklahoma City Thunder,Golden State Warriors</t>
  </si>
  <si>
    <t>Mon Jan 25 2027,Toronto Raptors,Boston Celtics</t>
  </si>
  <si>
    <t>Mon Jan 25 2027,Orlando Magic,Charlotte Hornets</t>
  </si>
  <si>
    <t>Mon Jan 25 2027,Los Angeles Clippers,Philadelphia 76ers</t>
  </si>
  <si>
    <t>Mon Jan 25 2027,Miami Heat,Brooklyn Nets</t>
  </si>
  <si>
    <t>Mon Jan 25 2027,Dallas Mavericks,Chicago Bulls</t>
  </si>
  <si>
    <t>Mon Jan 25 2027,Minnesota Timberwolves,Memphis Grizzlies</t>
  </si>
  <si>
    <t>Mon Jan 25 2027,Cleveland Cavaliers,New Orleans Pelicans</t>
  </si>
  <si>
    <t>Mon Jan 25 2027,Sacramento Kings,Denver Nuggets</t>
  </si>
  <si>
    <t>Tue Jan 26 2027,Atlanta Hawks,Detroit Pistons</t>
  </si>
  <si>
    <t>Tue Jan 26 2027,Chicago Bulls,Indiana Pacers</t>
  </si>
  <si>
    <t>Tue Jan 26 2027,Phoenix Suns,New York Knicks</t>
  </si>
  <si>
    <t>Tue Jan 26 2027,Houston Rockets,San Antonio Spurs</t>
  </si>
  <si>
    <t>Tue Jan 26 2027,Milwaukee Bucks,Utah Jazz</t>
  </si>
  <si>
    <t>Tue Jan 26 2027,Washington Wizards,Portland Trail Blazers</t>
  </si>
  <si>
    <t>Tue Jan 26 2027,Oklahoma City Thunder,Los Angeles Lakers</t>
  </si>
  <si>
    <t>Wed Jan 27 2027,Detroit Pistons,Cleveland Cavaliers</t>
  </si>
  <si>
    <t>Wed Jan 27 2027,Sacramento Kings,Philadelphia 76ers</t>
  </si>
  <si>
    <t>Wed Jan 27 2027,Los Angeles Clippers,Boston Celtics</t>
  </si>
  <si>
    <t>Wed Jan 27 2027,Phoenix Suns,Brooklyn Nets</t>
  </si>
  <si>
    <t>Wed Jan 27 2027,Dallas Mavericks,Toronto Raptors</t>
  </si>
  <si>
    <t>Wed Jan 27 2027,Charlotte Hornets,San Antonio Spurs</t>
  </si>
  <si>
    <t>Wed Jan 27 2027,New Orleans Pelicans,Houston Rockets</t>
  </si>
  <si>
    <t>Wed Jan 27 2027,Denver Nuggets,Minnesota Timberwolves</t>
  </si>
  <si>
    <t>Wed Jan 27 2027,Golden State Warriors,Portland Trail Blazers</t>
  </si>
  <si>
    <t>Thu Jan 28 2027,Los Angeles Lakers,Indiana Pacers</t>
  </si>
  <si>
    <t>Thu Jan 28 2027,Atlanta Hawks,New York Knicks</t>
  </si>
  <si>
    <t>Thu Jan 28 2027,Chicago Bulls,Orlando Magic</t>
  </si>
  <si>
    <t>Thu Jan 28 2027,Sacramento Kings,Washington Wizards</t>
  </si>
  <si>
    <t>Thu Jan 28 2027,Philadelphia 76ers,New Orleans Pelicans</t>
  </si>
  <si>
    <t>Thu Jan 28 2027,Memphis Grizzlies,Oklahoma City Thunder</t>
  </si>
  <si>
    <t>Thu Jan 28 2027,Golden State Warriors,Utah Jazz</t>
  </si>
  <si>
    <t>Thu Jan 28 2027,Miami Heat,Milwaukee Bucks</t>
  </si>
  <si>
    <t>Fri Jan 29 2027,Cleveland Cavaliers,Toronto Raptors</t>
  </si>
  <si>
    <t>Fri Jan 29 2027,Phoenix Suns,Boston Celtics</t>
  </si>
  <si>
    <t>Fri Jan 29 2027,Los Angeles Clippers,Brooklyn Nets</t>
  </si>
  <si>
    <t>Fri Jan 29 2027,Detroit Pistons,Dallas Mavericks</t>
  </si>
  <si>
    <t>Fri Jan 29 2027,Orlando Magic,Houston Rockets</t>
  </si>
  <si>
    <t>Fri Jan 29 2027,Charlotte Hornets,Minnesota Timberwolves</t>
  </si>
  <si>
    <t>Sat Jan 30 2027,Philadelphia 76ers,Miami Heat</t>
  </si>
  <si>
    <t>Sat Jan 30 2027,Denver Nuggets,Oklahoma City Thunder</t>
  </si>
  <si>
    <t>Sat Jan 30 2027,San Antonio Spurs,Golden State Warriors</t>
  </si>
  <si>
    <t>Sat Jan 30 2027,Washington Wizards,Indiana Pacers</t>
  </si>
  <si>
    <t>Sat Jan 30 2027,New Orleans Pelicans,Cleveland Cavaliers</t>
  </si>
  <si>
    <t>Sat Jan 30 2027,Atlanta Hawks,Milwaukee Bucks</t>
  </si>
  <si>
    <t>Sat Jan 30 2027,Los Angeles Lakers,New York Knicks</t>
  </si>
  <si>
    <t>Sat Jan 30 2027,Memphis Grizzlies,Utah Jazz</t>
  </si>
  <si>
    <t>Sun Jan 31 2027,Sacramento Kings,Detroit Pistons</t>
  </si>
  <si>
    <t>Sun Jan 31 2027,Phoenix Suns,Minnesota Timberwolves</t>
  </si>
  <si>
    <t>Sun Jan 31 2027,Chicago Bulls,Oklahoma City Thunder</t>
  </si>
  <si>
    <t>Sun Jan 31 2027,Brooklyn Nets,Orlando Magic</t>
  </si>
  <si>
    <t>Sun Jan 31 2027,Boston Celtics,Toronto Raptors</t>
  </si>
  <si>
    <t>Sun Jan 31 2027,Los Angeles Lakers,Charlotte Hornets</t>
  </si>
  <si>
    <t>Sun Jan 31 2027,Portland Trail Blazers,Denver Nuggets</t>
  </si>
  <si>
    <t>Sun Jan 31 2027,Houston Rockets,Dallas Mavericks</t>
  </si>
  <si>
    <t>Mon Feb 1 2027,Washington Wizards,Atlanta Hawks</t>
  </si>
  <si>
    <t>Mon Feb 1 2027,New Orleans Pelicans,Philadelphia 76ers</t>
  </si>
  <si>
    <t>Mon Feb 1 2027,New York Knicks,Brooklyn Nets</t>
  </si>
  <si>
    <t>Mon Feb 1 2027,Miami Heat,Indiana Pacers</t>
  </si>
  <si>
    <t>Mon Feb 1 2027,Memphis Grizzlies,Milwaukee Bucks</t>
  </si>
  <si>
    <t>Mon Feb 1 2027,Cleveland Cavaliers,Utah Jazz</t>
  </si>
  <si>
    <t>Mon Feb 1 2027,San Antonio Spurs,Golden State Warriors</t>
  </si>
  <si>
    <t>Tue Feb 2 2027,Chicago Bulls,Detroit Pistons</t>
  </si>
  <si>
    <t>Tue Feb 2 2027,New Orleans Pelicans,Orlando Magic</t>
  </si>
  <si>
    <t>Tue Feb 2 2027,Charlotte Hornets,Miami Heat</t>
  </si>
  <si>
    <t>Tue Feb 2 2027,Los Angeles Lakers,Boston Celtics</t>
  </si>
  <si>
    <t>Tue Feb 2 2027,Toronto Raptors,Dallas Mavericks</t>
  </si>
  <si>
    <t>Tue Feb 2 2027,Oklahoma City Thunder,Denver Nuggets</t>
  </si>
  <si>
    <t>Tue Feb 2 2027,San Antonio Spurs,Los Angeles Clippers</t>
  </si>
  <si>
    <t>Tue Feb 2 2027,Minnesota Timberwolves,Portland Trail Blazers</t>
  </si>
  <si>
    <t>Wed Feb 3 2027,New York Knicks,Detroit Pistons</t>
  </si>
  <si>
    <t>Wed Feb 3 2027,Atlanta Hawks,Indiana Pacers</t>
  </si>
  <si>
    <t>Wed Feb 3 2027,Philadelphia 76ers,Memphis Grizzlies</t>
  </si>
  <si>
    <t>Wed Feb 3 2027,Cleveland Cavaliers,Phoenix Suns</t>
  </si>
  <si>
    <t>Wed Feb 3 2027,Utah Jazz,Houston Rockets</t>
  </si>
  <si>
    <t>Wed Feb 3 2027,Golden State Warriors,Los Angeles Clippers</t>
  </si>
  <si>
    <t>Thu Feb 4 2027,New Orleans Pelicans,Washington Wizards</t>
  </si>
  <si>
    <t>Thu Feb 4 2027,Los Angeles Lakers,Brooklyn Nets</t>
  </si>
  <si>
    <t>Thu Feb 4 2027,Boston Celtics,Charlotte Hornets</t>
  </si>
  <si>
    <t>Thu Feb 4 2027,Milwaukee Bucks,Miami Heat</t>
  </si>
  <si>
    <t>Thu Feb 4 2027,Toronto Raptors,New York Knicks</t>
  </si>
  <si>
    <t>Thu Feb 4 2027,Oklahoma City Thunder,Chicago Bulls</t>
  </si>
  <si>
    <t>Thu Feb 4 2027,Orlando Magic,San Antonio Spurs</t>
  </si>
  <si>
    <t>Thu Feb 4 2027,Dallas Mavericks,Denver Nuggets</t>
  </si>
  <si>
    <t>Thu Feb 4 2027,Cleveland Cavaliers,Portland Trail Blazers</t>
  </si>
  <si>
    <t>Thu Feb 4 2027,Minnesota Timberwolves,Sacramento Kings</t>
  </si>
  <si>
    <t>Fri Feb 5 2027,Boston Celtics,Atlanta Hawks</t>
  </si>
  <si>
    <t>Fri Feb 5 2027,Golden State Warriors,Charlotte Hornets</t>
  </si>
  <si>
    <t>Fri Feb 5 2027,Detroit Pistons,Philadelphia 76ers</t>
  </si>
  <si>
    <t>Fri Feb 5 2027,Los Angeles Clippers,Denver Nuggets</t>
  </si>
  <si>
    <t>Fri Feb 5 2027,Houston Rockets,Phoenix Suns</t>
  </si>
  <si>
    <t>Fri Feb 5 2027,Indiana Pacers,Oklahoma City Thunder</t>
  </si>
  <si>
    <t>Sat Feb 6 2027,Utah Jazz,Dallas Mavericks</t>
  </si>
  <si>
    <t>Sat Feb 6 2027,Miami Heat,Minnesota Timberwolves</t>
  </si>
  <si>
    <t>Sat Feb 6 2027,Portland Trail Blazers,Memphis Grizzlies</t>
  </si>
  <si>
    <t>Sat Feb 6 2027,Washington Wizards,Brooklyn Nets</t>
  </si>
  <si>
    <t>Sat Feb 6 2027,Orlando Magic,Cleveland Cavaliers</t>
  </si>
  <si>
    <t>Sat Feb 6 2027,Milwaukee Bucks,Toronto Raptors</t>
  </si>
  <si>
    <t>Sat Feb 6 2027,New Orleans Pelicans,Chicago Bulls</t>
  </si>
  <si>
    <t>Sat Feb 6 2027,Los Angeles Lakers,San Antonio Spurs</t>
  </si>
  <si>
    <t>Sat Feb 6 2027,Phoenix Suns,Sacramento Kings</t>
  </si>
  <si>
    <t>Sun Feb 7 2027,Denver Nuggets,Atlanta Hawks</t>
  </si>
  <si>
    <t>Sun Feb 7 2027,Golden State Warriors,Detroit Pistons</t>
  </si>
  <si>
    <t>Sun Feb 7 2027,Utah Jazz,Minnesota Timberwolves</t>
  </si>
  <si>
    <t>Sun Feb 7 2027,Los Angeles Clippers,Dallas Mavericks</t>
  </si>
  <si>
    <t>Sun Feb 7 2027,Charlotte Hornets,Toronto Raptors</t>
  </si>
  <si>
    <t>Sun Feb 7 2027,Boston Celtics,Philadelphia 76ers</t>
  </si>
  <si>
    <t>Sun Feb 7 2027,New York Knicks,Oklahoma City Thunder</t>
  </si>
  <si>
    <t>Sun Feb 7 2027,Houston Rockets,Sacramento Kings</t>
  </si>
  <si>
    <t>Mon Feb 8 2027,Miami Heat,Atlanta Hawks</t>
  </si>
  <si>
    <t>Mon Feb 8 2027,New Orleans Pelicans,Indiana Pacers</t>
  </si>
  <si>
    <t>Mon Feb 8 2027,Brooklyn Nets,Philadelphia 76ers</t>
  </si>
  <si>
    <t>Mon Feb 8 2027,Chicago Bulls,Washington Wizards</t>
  </si>
  <si>
    <t>Mon Feb 8 2027,Portland Trail Blazers,Memphis Grizzlies</t>
  </si>
  <si>
    <t>Mon Feb 8 2027,Orlando Magic,Milwaukee Bucks</t>
  </si>
  <si>
    <t>Mon Feb 8 2027,Los Angeles Lakers,Phoenix Suns</t>
  </si>
  <si>
    <t>Tue Feb 9 2027,Toronto Raptors,Cleveland Cavaliers</t>
  </si>
  <si>
    <t>Tue Feb 9 2027,Denver Nuggets,Boston Celtics</t>
  </si>
  <si>
    <t>Tue Feb 9 2027,Minnesota Timberwolves,Brooklyn Nets</t>
  </si>
  <si>
    <t>Tue Feb 9 2027,Charlotte Hornets,New York Knicks</t>
  </si>
  <si>
    <t>Tue Feb 9 2027,Golden State Warriors,Chicago Bulls</t>
  </si>
  <si>
    <t>Tue Feb 9 2027,San Antonio Spurs,Dallas Mavericks</t>
  </si>
  <si>
    <t>Tue Feb 9 2027,Sacramento Kings,Milwaukee Bucks</t>
  </si>
  <si>
    <t>Tue Feb 9 2027,Portland Trail Blazers,Oklahoma City Thunder</t>
  </si>
  <si>
    <t>Tue Feb 9 2027,Houston Rockets,Utah Jazz</t>
  </si>
  <si>
    <t>Tue Feb 9 2027,Detroit Pistons,Los Angeles Clippers</t>
  </si>
  <si>
    <t>Wed Feb 10 2027,New Orleans Pelicans,Atlanta Hawks</t>
  </si>
  <si>
    <t>Wed Feb 10 2027,Cleveland Cavaliers,Indiana Pacers</t>
  </si>
  <si>
    <t>Wed Feb 10 2027,Miami Heat,Washington Wizards</t>
  </si>
  <si>
    <t>Wed Feb 10 2027,Golden State Warriors,Boston Celtics</t>
  </si>
  <si>
    <t>Wed Feb 10 2027,Orlando Magic,Memphis Grizzlies</t>
  </si>
  <si>
    <t>Wed Feb 10 2027,Detroit Pistons,Phoenix Suns</t>
  </si>
  <si>
    <t>Wed Feb 10 2027,Los Angeles Clippers,Los Angeles Lakers</t>
  </si>
  <si>
    <t>Thu Feb 11 2027,Milwaukee Bucks,Charlotte Hornets</t>
  </si>
  <si>
    <t>Thu Feb 11 2027,Utah Jazz,Indiana Pacers</t>
  </si>
  <si>
    <t>Thu Feb 11 2027,New York Knicks,Philadelphia 76ers</t>
  </si>
  <si>
    <t>Thu Feb 11 2027,Portland Trail Blazers,Dallas Mavericks</t>
  </si>
  <si>
    <t>Thu Feb 11 2027,Sacramento Kings,Houston Rockets</t>
  </si>
  <si>
    <t>Thu Feb 11 2027,Chicago Bulls,Denver Nuggets</t>
  </si>
  <si>
    <t>Thu Feb 11 2027,San Antonio Spurs,Oklahoma City Thunder</t>
  </si>
  <si>
    <t>Fri Feb 12 2027,Phoenix Suns,Atlanta Hawks</t>
  </si>
  <si>
    <t>Fri Feb 12 2027,Miami Heat,Orlando Magic</t>
  </si>
  <si>
    <t>Fri Feb 12 2027,Brooklyn Nets,Washington Wizards</t>
  </si>
  <si>
    <t>Fri Feb 12 2027,Cleveland Cavaliers,Toronto Raptors</t>
  </si>
  <si>
    <t>Fri Feb 12 2027,Minnesota Timberwolves,Boston Celtics</t>
  </si>
  <si>
    <t>Fri Feb 12 2027,Los Angeles Clippers,Memphis Grizzlies</t>
  </si>
  <si>
    <t>Fri Feb 12 2027,Houston Rockets,New Orleans Pelicans</t>
  </si>
  <si>
    <t>Fri Feb 12 2027,Denver Nuggets,Los Angeles Lakers</t>
  </si>
  <si>
    <t>Sat Feb 13 2027,Sacramento Kings,Indiana Pacers</t>
  </si>
  <si>
    <t>Sat Feb 13 2027,Dallas Mavericks,Charlotte Hornets</t>
  </si>
  <si>
    <t>Sat Feb 13 2027,Detroit Pistons,Portland Trail Blazers</t>
  </si>
  <si>
    <t>Sat Feb 13 2027,Philadelphia 76ers,Oklahoma City Thunder</t>
  </si>
  <si>
    <t>Sat Feb 13 2027,San Antonio Spurs,Orlando Magic</t>
  </si>
  <si>
    <t>Sat Feb 13 2027,Milwaukee Bucks,Washington Wizards</t>
  </si>
  <si>
    <t>Sat Feb 13 2027,Golden State Warriors,New York Knicks</t>
  </si>
  <si>
    <t>Sun Feb 14 2027,Sacramento Kings,Atlanta Hawks</t>
  </si>
  <si>
    <t>Sun Feb 14 2027,Toronto Raptors,Boston Celtics</t>
  </si>
  <si>
    <t>Sun Feb 14 2027,Phoenix Suns,Cleveland Cavaliers</t>
  </si>
  <si>
    <t>Sun Feb 14 2027,Brooklyn Nets,Miami Heat</t>
  </si>
  <si>
    <t>Sun Feb 14 2027,Denver Nuggets,Houston Rockets</t>
  </si>
  <si>
    <t>Sun Feb 14 2027,Los Angeles Clippers,New Orleans Pelicans</t>
  </si>
  <si>
    <t>Sun Feb 14 2027,Chicago Bulls,Portland Trail Blazers</t>
  </si>
  <si>
    <t>Mon Feb 15 2027,Minnesota Timberwolves,Charlotte Hornets</t>
  </si>
  <si>
    <t>Mon Feb 15 2027,Philadelphia 76ers,Dallas Mavericks</t>
  </si>
  <si>
    <t>Mon Feb 15 2027,San Antonio Spurs,Miami Heat</t>
  </si>
  <si>
    <t>Mon Feb 15 2027,Phoenix Suns,Washington Wizards</t>
  </si>
  <si>
    <t>Mon Feb 15 2027,Indiana Pacers,Golden State Warriors</t>
  </si>
  <si>
    <t>Mon Feb 15 2027,New York Knicks,Memphis Grizzlies</t>
  </si>
  <si>
    <t>Mon Feb 15 2027,Orlando Magic,Oklahoma City Thunder</t>
  </si>
  <si>
    <t>Mon Feb 15 2027,Detroit Pistons,Utah Jazz</t>
  </si>
  <si>
    <t>Tue Feb 16 2027,Milwaukee Bucks,Cleveland Cavaliers</t>
  </si>
  <si>
    <t>Tue Feb 16 2027,Toronto Raptors,Atlanta Hawks</t>
  </si>
  <si>
    <t>Tue Feb 16 2027,Chicago Bulls,Los Angeles Lakers</t>
  </si>
  <si>
    <t>Tue Feb 16 2027,New Orleans Pelicans,Portland Trail Blazers</t>
  </si>
  <si>
    <t>Tue Feb 16 2027,Houston Rockets,Los Angeles Clippers</t>
  </si>
  <si>
    <t>Wed Feb 17 2027,Toronto Raptors,Charlotte Hornets</t>
  </si>
  <si>
    <t>Wed Feb 17 2027,Milwaukee Bucks,Cleveland Cavaliers</t>
  </si>
  <si>
    <t>Wed Feb 17 2027,New York Knicks,Detroit Pistons</t>
  </si>
  <si>
    <t>Wed Feb 17 2027,Dallas Mavericks,Orlando Magic</t>
  </si>
  <si>
    <t>Wed Feb 17 2027,Phoenix Suns,Philadelphia 76ers</t>
  </si>
  <si>
    <t>Wed Feb 17 2027,Miami Heat,Washington Wizards</t>
  </si>
  <si>
    <t>Wed Feb 17 2027,Atlanta Hawks,Brooklyn Nets</t>
  </si>
  <si>
    <t>Wed Feb 17 2027,San Antonio Spurs,Memphis Grizzlies</t>
  </si>
  <si>
    <t>Wed Feb 17 2027,Utah Jazz,Denver Nuggets</t>
  </si>
  <si>
    <t>Wed Feb 17 2027,Boston Celtics,Oklahoma City Thunder</t>
  </si>
  <si>
    <t>Wed Feb 17 2027,New Orleans Pelicans,Golden State Warriors</t>
  </si>
  <si>
    <t>Wed Feb 17 2027,Indiana Pacers,Sacramento Kings</t>
  </si>
  <si>
    <t>Wed Feb 17 2027,Chicago Bulls,Los Angeles Clippers</t>
  </si>
  <si>
    <t>Thu Feb 18 2027,San Antonio Spurs,Minnesota Timberwolves</t>
  </si>
  <si>
    <t>Thu Feb 18 2027,Boston Celtics,Memphis Grizzlies</t>
  </si>
  <si>
    <t>Thu Feb 18 2027,Houston Rockets,Los Angeles Lakers</t>
  </si>
  <si>
    <t>Thu Feb 18 2027,Indiana Pacers,Portland Trail Blazers</t>
  </si>
  <si>
    <t>Thu Feb 25 2027,Sacramento Kings,Cleveland Cavaliers</t>
  </si>
  <si>
    <t>Thu Feb 25 2027,Miami Heat,Detroit Pistons</t>
  </si>
  <si>
    <t>Thu Feb 25 2027,Charlotte Hornets,Orlando Magic</t>
  </si>
  <si>
    <t>Thu Feb 25 2027,Philadelphia 76ers,Brooklyn Nets</t>
  </si>
  <si>
    <t>Thu Feb 25 2027,Oklahoma City Thunder,New York Knicks</t>
  </si>
  <si>
    <t>Thu Feb 25 2027,Atlanta Hawks,Chicago Bulls</t>
  </si>
  <si>
    <t>Thu Feb 25 2027,Washington Wizards,Milwaukee Bucks</t>
  </si>
  <si>
    <t>Thu Feb 25 2027,Phoenix Suns,New Orleans Pelicans</t>
  </si>
  <si>
    <t>Thu Feb 25 2027,Dallas Mavericks,Golden State Warriors</t>
  </si>
  <si>
    <t>Thu Feb 25 2027,Utah Jazz,Los Angeles Clippers</t>
  </si>
  <si>
    <t>Fri Feb 26 2027,Cleveland Cavaliers,Boston Celtics</t>
  </si>
  <si>
    <t>Fri Feb 26 2027,Atlanta Hawks,Toronto Raptors</t>
  </si>
  <si>
    <t>Fri Feb 26 2027,Indiana Pacers,Minnesota Timberwolves</t>
  </si>
  <si>
    <t>Fri Feb 26 2027,Memphis Grizzlies,San Antonio Spurs</t>
  </si>
  <si>
    <t>Fri Feb 26 2027,Charlotte Hornets,Houston Rockets</t>
  </si>
  <si>
    <t>Fri Feb 26 2027,Los Angeles Lakers,Denver Nuggets</t>
  </si>
  <si>
    <t>Fri Feb 26 2027,Dallas Mavericks,Portland Trail Blazers</t>
  </si>
  <si>
    <t>Sat Feb 27 2027,Washington Wizards,Utah Jazz</t>
  </si>
  <si>
    <t>Sat Feb 27 2027,Oklahoma City Thunder,Detroit Pistons</t>
  </si>
  <si>
    <t>Sat Feb 27 2027,Brooklyn Nets,Chicago Bulls</t>
  </si>
  <si>
    <t>Sat Feb 27 2027,Sacramento Kings,Memphis Grizzlies</t>
  </si>
  <si>
    <t>Sat Feb 27 2027,Philadelphia 76ers,New York Knicks</t>
  </si>
  <si>
    <t>Sat Feb 27 2027,New Orleans Pelicans,Phoenix Suns</t>
  </si>
  <si>
    <t>Sun Feb 28 2027,Denver Nuggets,San Antonio Spurs</t>
  </si>
  <si>
    <t>Sun Feb 28 2027,Los Angeles Lakers,Dallas Mavericks</t>
  </si>
  <si>
    <t>Sun Feb 28 2027,Toronto Raptors,Indiana Pacers</t>
  </si>
  <si>
    <t>Sun Feb 28 2027,Atlanta Hawks,Orlando Magic</t>
  </si>
  <si>
    <t>Sun Feb 28 2027,Sacramento Kings,Charlotte Hornets</t>
  </si>
  <si>
    <t>Sun Feb 28 2027,Boston Celtics,Minnesota Timberwolves</t>
  </si>
  <si>
    <t>Sun Feb 28 2027,Milwaukee Bucks,New York Knicks</t>
  </si>
  <si>
    <t>Sun Feb 28 2027,Miami Heat,Houston Rockets</t>
  </si>
  <si>
    <t>Sun Feb 28 2027,Portland Trail Blazers,Los Angeles Clippers</t>
  </si>
  <si>
    <t>Mon Mar 1 2027,Philadelphia 76ers,Cleveland Cavaliers</t>
  </si>
  <si>
    <t>Mon Mar 1 2027,Chicago Bulls,Detroit Pistons</t>
  </si>
  <si>
    <t>Mon Mar 1 2027,Utah Jazz,New Orleans Pelicans</t>
  </si>
  <si>
    <t>Mon Mar 1 2027,Golden State Warriors,Houston Rockets</t>
  </si>
  <si>
    <t>Mon Mar 1 2027,Brooklyn Nets,Denver Nuggets</t>
  </si>
  <si>
    <t>Mon Mar 1 2027,Washington Wizards,Phoenix Suns</t>
  </si>
  <si>
    <t>Tue Mar 2 2027,Boston Celtics,Indiana Pacers</t>
  </si>
  <si>
    <t>Tue Mar 2 2027,Los Angeles Lakers,Orlando Magic</t>
  </si>
  <si>
    <t>Tue Mar 2 2027,Toronto Raptors,Miami Heat</t>
  </si>
  <si>
    <t>Tue Mar 2 2027,Memphis Grizzlies,New York Knicks</t>
  </si>
  <si>
    <t>Tue Mar 2 2027,Golden State Warriors,Dallas Mavericks</t>
  </si>
  <si>
    <t>Tue Mar 2 2027,Detroit Pistons,Milwaukee Bucks</t>
  </si>
  <si>
    <t>Tue Mar 2 2027,Minnesota Timberwolves,Oklahoma City Thunder</t>
  </si>
  <si>
    <t>Tue Mar 2 2027,Washington Wizards,Sacramento Kings</t>
  </si>
  <si>
    <t>Tue Mar 2 2027,Los Angeles Clippers,Portland Trail Blazers</t>
  </si>
  <si>
    <t>Wed Mar 3 2027,Chicago Bulls,Atlanta Hawks</t>
  </si>
  <si>
    <t>Wed Mar 3 2027,Charlotte Hornets,Philadelphia 76ers</t>
  </si>
  <si>
    <t>Wed Mar 3 2027,Toronto Raptors,Miami Heat</t>
  </si>
  <si>
    <t>Wed Mar 3 2027,Utah Jazz,Milwaukee Bucks</t>
  </si>
  <si>
    <t>Wed Mar 3 2027,New Orleans Pelicans,Houston Rockets</t>
  </si>
  <si>
    <t>Wed Mar 3 2027,Brooklyn Nets,Phoenix Suns</t>
  </si>
  <si>
    <t>Wed Mar 3 2027,San Antonio Spurs,Denver Nuggets</t>
  </si>
  <si>
    <t>Thu Mar 4 2027,Portland Trail Blazers,Cleveland Cavaliers</t>
  </si>
  <si>
    <t>Thu Mar 4 2027,Indiana Pacers,Orlando Magic</t>
  </si>
  <si>
    <t>Thu Mar 4 2027,Los Angeles Lakers,Philadelphia 76ers</t>
  </si>
  <si>
    <t>Thu Mar 4 2027,Memphis Grizzlies,Atlanta Hawks</t>
  </si>
  <si>
    <t>Thu Mar 4 2027,New York Knicks,Dallas Mavericks</t>
  </si>
  <si>
    <t>Thu Mar 4 2027,Washington Wizards,Golden State Warriors</t>
  </si>
  <si>
    <t>Thu Mar 4 2027,Oklahoma City Thunder,Sacramento Kings</t>
  </si>
  <si>
    <t>Thu Mar 4 2027,Brooklyn Nets,Los Angeles Clippers</t>
  </si>
  <si>
    <t>Fri Mar 5 2027,Boston Celtics,Detroit Pistons</t>
  </si>
  <si>
    <t>Fri Mar 5 2027,Utah Jazz,Orlando Magic</t>
  </si>
  <si>
    <t>Fri Mar 5 2027,Portland Trail Blazers,Toronto Raptors</t>
  </si>
  <si>
    <t>Fri Mar 5 2027,Milwaukee Bucks,New Orleans Pelicans</t>
  </si>
  <si>
    <t>Fri Mar 5 2027,Minnesota Timberwolves,Phoenix Suns</t>
  </si>
  <si>
    <t>Fri Mar 5 2027,San Antonio Spurs,Houston Rockets</t>
  </si>
  <si>
    <t>Sat Mar 6 2027,Indiana Pacers,Miami Heat</t>
  </si>
  <si>
    <t>Sat Mar 6 2027,Charlotte Hornets,Chicago Bulls</t>
  </si>
  <si>
    <t>Sat Mar 6 2027,Atlanta Hawks,Cleveland Cavaliers</t>
  </si>
  <si>
    <t>Sat Mar 6 2027,Utah Jazz,Washington Wizards</t>
  </si>
  <si>
    <t>Sat Mar 6 2027,New Orleans Pelicans,Memphis Grizzlies</t>
  </si>
  <si>
    <t>Sat Mar 6 2027,Oklahoma City Thunder,Los Angeles Lakers</t>
  </si>
  <si>
    <t>Sat Mar 6 2027,Los Angeles Clippers,Sacramento Kings</t>
  </si>
  <si>
    <t>Sun Mar 7 2027,Philadelphia 76ers,Boston Celtics</t>
  </si>
  <si>
    <t>Sun Mar 7 2027,Minnesota Timberwolves,Denver Nuggets</t>
  </si>
  <si>
    <t>Sun Mar 7 2027,Portland Trail Blazers,Chicago Bulls</t>
  </si>
  <si>
    <t>Sun Mar 7 2027,New York Knicks,San Antonio Spurs</t>
  </si>
  <si>
    <t>Sun Mar 7 2027,Houston Rockets,Golden State Warriors</t>
  </si>
  <si>
    <t>Sun Mar 7 2027,Brooklyn Nets,Los Angeles Lakers</t>
  </si>
  <si>
    <t>Mon Mar 8 2027,Charlotte Hornets,Indiana Pacers</t>
  </si>
  <si>
    <t>Mon Mar 8 2027,Utah Jazz,Philadelphia 76ers</t>
  </si>
  <si>
    <t>Mon Mar 8 2027,Phoenix Suns,Miami Heat</t>
  </si>
  <si>
    <t>Mon Mar 8 2027,Atlanta Hawks,Memphis Grizzlies</t>
  </si>
  <si>
    <t>Mon Mar 8 2027,New Orleans Pelicans,Minnesota Timberwolves</t>
  </si>
  <si>
    <t>Mon Mar 8 2027,Dallas Mavericks,Oklahoma City Thunder</t>
  </si>
  <si>
    <t>Mon Mar 8 2027,Denver Nuggets,Sacramento Kings</t>
  </si>
  <si>
    <t>Mon Mar 8 2027,Houston Rockets,Los Angeles Clippers</t>
  </si>
  <si>
    <t>Tue Mar 9 2027,Phoenix Suns,Orlando Magic</t>
  </si>
  <si>
    <t>Tue Mar 9 2027,Milwaukee Bucks,Brooklyn Nets</t>
  </si>
  <si>
    <t>Tue Mar 9 2027,Boston Celtics,Chicago Bulls</t>
  </si>
  <si>
    <t>Tue Mar 9 2027,Memphis Grizzlies,Dallas Mavericks</t>
  </si>
  <si>
    <t>Tue Mar 9 2027,Cleveland Cavaliers,Detroit Pistons</t>
  </si>
  <si>
    <t>Tue Mar 9 2027,Washington Wizards,San Antonio Spurs</t>
  </si>
  <si>
    <t>Tue Mar 9 2027,Portland Trail Blazers,Golden State Warriors</t>
  </si>
  <si>
    <t>Wed Mar 10 2027,New Orleans Pelicans,Charlotte Hornets</t>
  </si>
  <si>
    <t>Wed Mar 10 2027,Orlando Magic,Miami Heat</t>
  </si>
  <si>
    <t>Wed Mar 10 2027,Oklahoma City Thunder,Toronto Raptors</t>
  </si>
  <si>
    <t>Wed Mar 10 2027,Houston Rockets,Utah Jazz</t>
  </si>
  <si>
    <t>Wed Mar 10 2027,Atlanta Hawks,Minnesota Timberwolves</t>
  </si>
  <si>
    <t>Wed Mar 10 2027,Denver Nuggets,Portland Trail Blazers</t>
  </si>
  <si>
    <t>Wed Mar 10 2027,Golden State Warriors,Sacramento Kings</t>
  </si>
  <si>
    <t>Wed Mar 10 2027,New York Knicks,Los Angeles Clippers</t>
  </si>
  <si>
    <t>Thu Mar 11 2027,Indiana Pacers,Charlotte Hornets</t>
  </si>
  <si>
    <t>Thu Mar 11 2027,Milwaukee Bucks,Detroit Pistons</t>
  </si>
  <si>
    <t>Thu Mar 11 2027,Memphis Grizzlies,Boston Celtics</t>
  </si>
  <si>
    <t>Thu Mar 11 2027,Philadelphia 76ers,San Antonio Spurs</t>
  </si>
  <si>
    <t>Thu Mar 11 2027,Brooklyn Nets,Atlanta Hawks</t>
  </si>
  <si>
    <t>Thu Mar 11 2027,Phoenix Suns,Chicago Bulls</t>
  </si>
  <si>
    <t>Thu Mar 11 2027,Washington Wizards,Dallas Mavericks</t>
  </si>
  <si>
    <t>Thu Mar 11 2027,New York Knicks,Los Angeles Lakers</t>
  </si>
  <si>
    <t>Thu Mar 11 2027,Cleveland Cavaliers,Los Angeles Clippers</t>
  </si>
  <si>
    <t>Fri Mar 12 2027,Oklahoma City Thunder,Boston Celtics</t>
  </si>
  <si>
    <t>Fri Mar 12 2027,Miami Heat,Milwaukee Bucks</t>
  </si>
  <si>
    <t>Fri Mar 12 2027,Toronto Raptors,New Orleans Pelicans</t>
  </si>
  <si>
    <t>Fri Mar 12 2027,Sacramento Kings,Utah Jazz</t>
  </si>
  <si>
    <t>Fri Mar 12 2027,Golden State Warriors,Denver Nuggets</t>
  </si>
  <si>
    <t>Fri Mar 12 2027,Cleveland Cavaliers,Los Angeles Lakers</t>
  </si>
  <si>
    <t>Sat Mar 13 2027,Orlando Magic,Atlanta Hawks</t>
  </si>
  <si>
    <t>Sat Mar 13 2027,Brooklyn Nets,Detroit Pistons</t>
  </si>
  <si>
    <t>Sat Mar 13 2027,Indiana Pacers,Houston Rockets</t>
  </si>
  <si>
    <t>Sat Mar 13 2027,Phoenix Suns,Charlotte Hornets</t>
  </si>
  <si>
    <t>Sat Mar 13 2027,Memphis Grizzlies,Chicago Bulls</t>
  </si>
  <si>
    <t>Sat Mar 13 2027,New Orleans Pelicans,Dallas Mavericks</t>
  </si>
  <si>
    <t>Sat Mar 13 2027,Philadelphia 76ers,Minnesota Timberwolves</t>
  </si>
  <si>
    <t>Sat Mar 13 2027,Los Angeles Clippers,Portland Trail Blazers</t>
  </si>
  <si>
    <t>Sun Mar 14 2027,Boston Celtics,New York Knicks</t>
  </si>
  <si>
    <t>Sun Mar 14 2027,San Antonio Spurs,Oklahoma City Thunder</t>
  </si>
  <si>
    <t>Sun Mar 14 2027,Detroit Pistons,Toronto Raptors</t>
  </si>
  <si>
    <t>Sun Mar 14 2027,Cleveland Cavaliers,Sacramento Kings</t>
  </si>
  <si>
    <t>Sun Mar 14 2027,Miami Heat,Denver Nuggets</t>
  </si>
  <si>
    <t>Sun Mar 14 2027,Washington Wizards,Minnesota Timberwolves</t>
  </si>
  <si>
    <t>Sun Mar 14 2027,Golden State Warriors,Los Angeles Lakers</t>
  </si>
  <si>
    <t>Mon Mar 15 2027,Toronto Raptors,Philadelphia 76ers</t>
  </si>
  <si>
    <t>Mon Mar 15 2027,Indiana Pacers,Brooklyn Nets</t>
  </si>
  <si>
    <t>Mon Mar 15 2027,Orlando Magic,Chicago Bulls</t>
  </si>
  <si>
    <t>Mon Mar 15 2027,Phoenix Suns,Memphis Grizzlies</t>
  </si>
  <si>
    <t>Mon Mar 15 2027,Atlanta Hawks,Dallas Mavericks</t>
  </si>
  <si>
    <t>Tue Mar 16 2027,New York Knicks,Washington Wizards</t>
  </si>
  <si>
    <t>Tue Mar 16 2027,Sacramento Kings,Boston Celtics</t>
  </si>
  <si>
    <t>Tue Mar 16 2027,Detroit Pistons,Indiana Pacers</t>
  </si>
  <si>
    <t>Tue Mar 16 2027,Orlando Magic,Milwaukee Bucks</t>
  </si>
  <si>
    <t>Tue Mar 16 2027,Minnesota Timberwolves,New Orleans Pelicans</t>
  </si>
  <si>
    <t>Tue Mar 16 2027,Charlotte Hornets,Oklahoma City Thunder</t>
  </si>
  <si>
    <t>Tue Mar 16 2027,San Antonio Spurs,Houston Rockets</t>
  </si>
  <si>
    <t>Tue Mar 16 2027,Cleveland Cavaliers,Golden State Warriors</t>
  </si>
  <si>
    <t>Tue Mar 16 2027,Los Angeles Lakers,Portland Trail Blazers</t>
  </si>
  <si>
    <t>Tue Mar 16 2027,Denver Nuggets,Los Angeles Clippers</t>
  </si>
  <si>
    <t>Wed Mar 17 2027,Chicago Bulls,Philadelphia 76ers</t>
  </si>
  <si>
    <t>Wed Mar 17 2027,Sacramento Kings,New York Knicks</t>
  </si>
  <si>
    <t>Wed Mar 17 2027,Dallas Mavericks,Oklahoma City Thunder</t>
  </si>
  <si>
    <t>Wed Mar 17 2027,Brooklyn Nets,Houston Rockets</t>
  </si>
  <si>
    <t>Wed Mar 17 2027,Atlanta Hawks,Utah Jazz</t>
  </si>
  <si>
    <t>Wed Mar 17 2027,Memphis Grizzlies,Golden State Warriors</t>
  </si>
  <si>
    <t>Wed Mar 17 2027,Phoenix Suns,Los Angeles Lakers</t>
  </si>
  <si>
    <t>Wed Mar 17 2027,Miami Heat,Portland Trail Blazers</t>
  </si>
  <si>
    <t>Thu Mar 18 2027,Toronto Raptors,Indiana Pacers</t>
  </si>
  <si>
    <t>Thu Mar 18 2027,Philadelphia 76ers,Washington Wizards</t>
  </si>
  <si>
    <t>Thu Mar 18 2027,Orlando Magic,Boston Celtics</t>
  </si>
  <si>
    <t>Thu Mar 18 2027,Detroit Pistons,Milwaukee Bucks</t>
  </si>
  <si>
    <t>Thu Mar 18 2027,Charlotte Hornets,New Orleans Pelicans</t>
  </si>
  <si>
    <t>Thu Mar 18 2027,Brooklyn Nets,San Antonio Spurs</t>
  </si>
  <si>
    <t>Thu Mar 18 2027,Cleveland Cavaliers,Denver Nuggets</t>
  </si>
  <si>
    <t>Thu Mar 18 2027,Minnesota Timberwolves,Utah Jazz</t>
  </si>
  <si>
    <t>Thu Mar 18 2027,Memphis Grizzlies,Los Angeles Clippers</t>
  </si>
  <si>
    <t>Fri Mar 19 2027,Sacramento Kings,Toronto Raptors</t>
  </si>
  <si>
    <t>Fri Mar 19 2027,Houston Rockets,New Orleans Pelicans</t>
  </si>
  <si>
    <t>Fri Mar 19 2027,Dallas Mavericks,San Antonio Spurs</t>
  </si>
  <si>
    <t>Fri Mar 19 2027,Portland Trail Blazers,Golden State Warriors</t>
  </si>
  <si>
    <t>Fri Mar 19 2027,Atlanta Hawks,Los Angeles Lakers</t>
  </si>
  <si>
    <t>Fri Mar 19 2027,Miami Heat,Phoenix Suns</t>
  </si>
  <si>
    <t>Sat Mar 20 2027,Washington Wizards,New York Knicks</t>
  </si>
  <si>
    <t>Sat Mar 20 2027,Denver Nuggets,Orlando Magic</t>
  </si>
  <si>
    <t>Sat Mar 20 2027,Chicago Bulls,Cleveland Cavaliers</t>
  </si>
  <si>
    <t>Sat Mar 20 2027,Charlotte Hornets,Detroit Pistons</t>
  </si>
  <si>
    <t>Sat Mar 20 2027,Oklahoma City Thunder,Memphis Grizzlies</t>
  </si>
  <si>
    <t>Sat Mar 20 2027,Indiana Pacers,Milwaukee Bucks</t>
  </si>
  <si>
    <t>Sat Mar 20 2027,Atlanta Hawks,Los Angeles Clippers</t>
  </si>
  <si>
    <t>Sun Mar 21 2027,New Orleans Pelicans,Boston Celtics</t>
  </si>
  <si>
    <t>Sun Mar 21 2027,Sacramento Kings,Brooklyn Nets</t>
  </si>
  <si>
    <t>Sun Mar 21 2027,Portland Trail Blazers,Phoenix Suns</t>
  </si>
  <si>
    <t>Sun Mar 21 2027,Toronto Raptors,Utah Jazz</t>
  </si>
  <si>
    <t>Sun Mar 21 2027,Denver Nuggets,Miami Heat</t>
  </si>
  <si>
    <t>Sun Mar 21 2027,San Antonio Spurs,Philadelphia 76ers</t>
  </si>
  <si>
    <t>Sun Mar 21 2027,Dallas Mavericks,Los Angeles Lakers</t>
  </si>
  <si>
    <t>Mon Mar 22 2027,Houston Rockets,Cleveland Cavaliers</t>
  </si>
  <si>
    <t>Mon Mar 22 2027,Indiana Pacers,Orlando Magic</t>
  </si>
  <si>
    <t>Mon Mar 22 2027,Sacramento Kings,Chicago Bulls</t>
  </si>
  <si>
    <t>Mon Mar 22 2027,Charlotte Hornets,Memphis Grizzlies</t>
  </si>
  <si>
    <t>Mon Mar 22 2027,Washington Wizards,Milwaukee Bucks</t>
  </si>
  <si>
    <t>Mon Mar 22 2027,Detroit Pistons,Minnesota Timberwolves</t>
  </si>
  <si>
    <t>Mon Mar 22 2027,Atlanta Hawks,Golden State Warriors</t>
  </si>
  <si>
    <t>Mon Mar 22 2027,Dallas Mavericks,Los Angeles Clippers</t>
  </si>
  <si>
    <t>Tue Mar 23 2027,Boston Celtics,Brooklyn Nets</t>
  </si>
  <si>
    <t>Tue Mar 23 2027,New Orleans Pelicans,New York Knicks</t>
  </si>
  <si>
    <t>Tue Mar 23 2027,Los Angeles Lakers,Miami Heat</t>
  </si>
  <si>
    <t>Tue Mar 23 2027,Philadelphia 76ers,Utah Jazz</t>
  </si>
  <si>
    <t>Tue Mar 23 2027,Toronto Raptors,Portland Trail Blazers</t>
  </si>
  <si>
    <t>Tue Mar 23 2027,Oklahoma City Thunder,Phoenix Suns</t>
  </si>
  <si>
    <t>Wed Mar 24 2027,Detroit Pistons,Charlotte Hornets</t>
  </si>
  <si>
    <t>Wed Mar 24 2027,Memphis Grizzlies,Indiana Pacers</t>
  </si>
  <si>
    <t>Wed Mar 24 2027,Denver Nuggets,Washington Wizards</t>
  </si>
  <si>
    <t>Wed Mar 24 2027,San Antonio Spurs,Boston Celtics</t>
  </si>
  <si>
    <t>Wed Mar 24 2027,Houston Rockets,New York Knicks</t>
  </si>
  <si>
    <t>Wed Mar 24 2027,Orlando Magic,Chicago Bulls</t>
  </si>
  <si>
    <t>Wed Mar 24 2027,Dallas Mavericks,Minnesota Timberwolves</t>
  </si>
  <si>
    <t>Wed Mar 24 2027,Philadelphia 76ers,Golden State Warriors</t>
  </si>
  <si>
    <t>Wed Mar 24 2027,Oklahoma City Thunder,Phoenix Suns</t>
  </si>
  <si>
    <t>Wed Mar 24 2027,Atlanta Hawks,Sacramento Kings</t>
  </si>
  <si>
    <t>Wed Mar 24 2027,Milwaukee Bucks,Los Angeles Clippers</t>
  </si>
  <si>
    <t>Thu Mar 25 2027,Los Angeles Lakers,Cleveland Cavaliers</t>
  </si>
  <si>
    <t>Thu Mar 25 2027,Houston Rockets,Detroit Pistons</t>
  </si>
  <si>
    <t>Thu Mar 25 2027,San Antonio Spurs,Indiana Pacers</t>
  </si>
  <si>
    <t>Thu Mar 25 2027,Denver Nuggets,Brooklyn Nets</t>
  </si>
  <si>
    <t>Thu Mar 25 2027,Utah Jazz,Miami Heat</t>
  </si>
  <si>
    <t>Thu Mar 25 2027,Chicago Bulls,Memphis Grizzlies</t>
  </si>
  <si>
    <t>Thu Mar 25 2027,Toronto Raptors,Golden State Warriors</t>
  </si>
  <si>
    <t>Fri Mar 26 2027,New York Knicks,Charlotte Hornets</t>
  </si>
  <si>
    <t>Fri Mar 26 2027,New Orleans Pelicans,Dallas Mavericks</t>
  </si>
  <si>
    <t>Fri Mar 26 2027,Orlando Magic,Minnesota Timberwolves</t>
  </si>
  <si>
    <t>Fri Mar 26 2027,Los Angeles Clippers,Oklahoma City Thunder</t>
  </si>
  <si>
    <t>Fri Mar 26 2027,Milwaukee Bucks,Phoenix Suns</t>
  </si>
  <si>
    <t>Fri Mar 26 2027,Philadelphia 76ers,Portland Trail Blazers</t>
  </si>
  <si>
    <t>Sat Mar 27 2027,San Antonio Spurs,Detroit Pistons</t>
  </si>
  <si>
    <t>Sat Mar 27 2027,Utah Jazz,Atlanta Hawks</t>
  </si>
  <si>
    <t>Sat Mar 27 2027,Golden State Warriors,Washington Wizards</t>
  </si>
  <si>
    <t>Sat Mar 27 2027,Los Angeles Clippers,Chicago Bulls</t>
  </si>
  <si>
    <t>Sat Mar 27 2027,Boston Celtics,Miami Heat</t>
  </si>
  <si>
    <t>Sat Mar 27 2027,Milwaukee Bucks,Portland Trail Blazers</t>
  </si>
  <si>
    <t>Sat Mar 27 2027,Toronto Raptors,Sacramento Kings</t>
  </si>
  <si>
    <t>Sun Mar 28 2027,New York Knicks,Orlando Magic</t>
  </si>
  <si>
    <t>Sun Mar 28 2027,Memphis Grizzlies,Brooklyn Nets</t>
  </si>
  <si>
    <t>Sun Mar 28 2027,Los Angeles Lakers,Houston Rockets</t>
  </si>
  <si>
    <t>Sun Mar 28 2027,Utah Jazz,Charlotte Hornets</t>
  </si>
  <si>
    <t>Sun Mar 28 2027,Dallas Mavericks,Washington Wizards</t>
  </si>
  <si>
    <t>Sun Mar 28 2027,Boston Celtics,New Orleans Pelicans</t>
  </si>
  <si>
    <t>Sun Mar 28 2027,Oklahoma City Thunder,Minnesota Timberwolves</t>
  </si>
  <si>
    <t>Sun Mar 28 2027,Toronto Raptors,Phoenix Suns</t>
  </si>
  <si>
    <t>Sun Mar 28 2027,Philadelphia 76ers,Denver Nuggets</t>
  </si>
  <si>
    <t>Mon Mar 29 2027,Minnesota Timberwolves,Atlanta Hawks</t>
  </si>
  <si>
    <t>Mon Mar 29 2027,Miami Heat,Cleveland Cavaliers</t>
  </si>
  <si>
    <t>Mon Mar 29 2027,Los Angeles Clippers,Detroit Pistons</t>
  </si>
  <si>
    <t>Mon Mar 29 2027,Golden State Warriors,Brooklyn Nets</t>
  </si>
  <si>
    <t>Mon Mar 29 2027,Indiana Pacers,Chicago Bulls</t>
  </si>
  <si>
    <t>Mon Mar 29 2027,Dallas Mavericks,Milwaukee Bucks</t>
  </si>
  <si>
    <t>Mon Mar 29 2027,Phoenix Suns,San Antonio Spurs</t>
  </si>
  <si>
    <t>Mon Mar 29 2027,Denver Nuggets,Sacramento Kings</t>
  </si>
  <si>
    <t>Tue Mar 30 2027,Miami Heat,Charlotte Hornets</t>
  </si>
  <si>
    <t>Tue Mar 30 2027,Boston Celtics,Indiana Pacers</t>
  </si>
  <si>
    <t>Tue Mar 30 2027,Los Angeles Lakers,Memphis Grizzlies</t>
  </si>
  <si>
    <t>Tue Mar 30 2027,New York Knicks,Orlando Magic</t>
  </si>
  <si>
    <t>Tue Mar 30 2027,Oklahoma City Thunder,Utah Jazz</t>
  </si>
  <si>
    <t>Tue Mar 30 2027,Houston Rockets,Portland Trail Blazers</t>
  </si>
  <si>
    <t>Wed Mar 31 2027,Los Angeles Clippers,Atlanta Hawks</t>
  </si>
  <si>
    <t>Wed Mar 31 2027,Toronto Raptors,Detroit Pistons</t>
  </si>
  <si>
    <t>Wed Mar 31 2027,Golden State Warriors,Philadelphia 76ers</t>
  </si>
  <si>
    <t>Wed Mar 31 2027,Chicago Bulls,Washington Wizards</t>
  </si>
  <si>
    <t>Wed Mar 31 2027,Cleveland Cavaliers,Brooklyn Nets</t>
  </si>
  <si>
    <t>Wed Mar 31 2027,New Orleans Pelicans,Milwaukee Bucks</t>
  </si>
  <si>
    <t>Wed Mar 31 2027,Sacramento Kings,Minnesota Timberwolves</t>
  </si>
  <si>
    <t>Wed Mar 31 2027,Phoenix Suns,San Antonio Spurs</t>
  </si>
  <si>
    <t>Wed Mar 31 2027,Denver Nuggets,Dallas Mavericks</t>
  </si>
  <si>
    <t>Wed Mar 31 2027,Houston Rockets,Portland Trail Blazers</t>
  </si>
  <si>
    <t>Thu Apr 1 2027,Orlando Magic,Indiana Pacers</t>
  </si>
  <si>
    <t>Thu Apr 1 2027,Boston Celtics,Cleveland Cavaliers</t>
  </si>
  <si>
    <t>Thu Apr 1 2027,Charlotte Hornets,New York Knicks</t>
  </si>
  <si>
    <t>Thu Apr 1 2027,Los Angeles Lakers,Oklahoma City Thunder</t>
  </si>
  <si>
    <t>Fri Apr 2 2027,Philadelphia 76ers,Washington Wizards</t>
  </si>
  <si>
    <t>Fri Apr 2 2027,Miami Heat,Boston Celtics</t>
  </si>
  <si>
    <t>Fri Apr 2 2027,New York Knicks,Brooklyn Nets</t>
  </si>
  <si>
    <t>Fri Apr 2 2027,Golden State Warriors,Minnesota Timberwolves</t>
  </si>
  <si>
    <t>Fri Apr 2 2027,Detroit Pistons,Chicago Bulls</t>
  </si>
  <si>
    <t>Fri Apr 2 2027,Sacramento Kings,Dallas Mavericks</t>
  </si>
  <si>
    <t>Fri Apr 2 2027,Charlotte Hornets,Milwaukee Bucks</t>
  </si>
  <si>
    <t>Fri Apr 2 2027,Atlanta Hawks,Toronto Raptors</t>
  </si>
  <si>
    <t>Fri Apr 2 2027,Memphis Grizzlies,Houston Rockets</t>
  </si>
  <si>
    <t>Fri Apr 2 2027,Denver Nuggets,Phoenix Suns</t>
  </si>
  <si>
    <t>Fri Apr 2 2027,Utah Jazz,Portland Trail Blazers</t>
  </si>
  <si>
    <t>Fri Apr 2 2027,San Antonio Spurs,Los Angeles Clippers</t>
  </si>
  <si>
    <t>Sat Apr 3 2027,New Orleans Pelicans,Oklahoma City Thunder</t>
  </si>
  <si>
    <t>Sat Apr 3 2027,Washington Wizards,Orlando Magic</t>
  </si>
  <si>
    <t>Sun Apr 4 2027,Atlanta Hawks,Philadelphia 76ers</t>
  </si>
  <si>
    <t>Sun Apr 4 2027,Brooklyn Nets,Milwaukee Bucks</t>
  </si>
  <si>
    <t>Sun Apr 4 2027,Charlotte Hornets,Cleveland Cavaliers</t>
  </si>
  <si>
    <t>Sun Apr 4 2027,Minnesota Timberwolves,Dallas Mavericks</t>
  </si>
  <si>
    <t>Sun Apr 4 2027,Miami Heat,Detroit Pistons</t>
  </si>
  <si>
    <t>Sun Apr 4 2027,Indiana Pacers,Toronto Raptors</t>
  </si>
  <si>
    <t>Sun Apr 4 2027,Chicago Bulls,Houston Rockets</t>
  </si>
  <si>
    <t>Sun Apr 4 2027,Phoenix Suns,Los Angeles Clippers</t>
  </si>
  <si>
    <t>Sun Apr 4 2027,Memphis Grizzlies,Denver Nuggets</t>
  </si>
  <si>
    <t>Sun Apr 4 2027,Portland Trail Blazers,Utah Jazz</t>
  </si>
  <si>
    <t>Sun Apr 4 2027,Golden State Warriors,Sacramento Kings</t>
  </si>
  <si>
    <t>Sun Apr 4 2027,Boston Celtics,New York Knicks</t>
  </si>
  <si>
    <t>Sun Apr 4 2027,San Antonio Spurs,Los Angeles Lakers</t>
  </si>
  <si>
    <t>Mon Apr 5 2027,Brooklyn Nets,Cleveland Cavaliers</t>
  </si>
  <si>
    <t>Mon Apr 5 2027,Miami Heat,Orlando Magic</t>
  </si>
  <si>
    <t>Mon Apr 5 2027,Washington Wizards,New Orleans Pelicans</t>
  </si>
  <si>
    <t>Tue Apr 6 2027,Indiana Pacers,Charlotte Hornets</t>
  </si>
  <si>
    <t>Tue Apr 6 2027,Philadelphia 76ers,Toronto Raptors</t>
  </si>
  <si>
    <t>Tue Apr 6 2027,New York Knicks,Atlanta Hawks</t>
  </si>
  <si>
    <t>Tue Apr 6 2027,Sacramento Kings,San Antonio Spurs</t>
  </si>
  <si>
    <t>Tue Apr 6 2027,Chicago Bulls,Milwaukee Bucks</t>
  </si>
  <si>
    <t>Tue Apr 6 2027,Detroit Pistons,Memphis Grizzlies</t>
  </si>
  <si>
    <t>Tue Apr 6 2027,Oklahoma City Thunder,Utah Jazz</t>
  </si>
  <si>
    <t>Tue Apr 6 2027,New Orleans Pelicans,Denver Nuggets</t>
  </si>
  <si>
    <t>Tue Apr 6 2027,Dallas Mavericks,Los Angeles Lakers</t>
  </si>
  <si>
    <t>Tue Apr 6 2027,Minnesota Timberwolves,Los Angeles Clippers</t>
  </si>
  <si>
    <t>Tue Apr 6 2027,Phoenix Suns,Golden State Warriors</t>
  </si>
  <si>
    <t>Wed Apr 7 2027,Indiana Pacers,Detroit Pistons</t>
  </si>
  <si>
    <t>Wed Apr 7 2027,Boston Celtics,Orlando Magic</t>
  </si>
  <si>
    <t>Wed Apr 7 2027,Cleveland Cavaliers,San Antonio Spurs</t>
  </si>
  <si>
    <t>Wed Apr 7 2027,Brooklyn Nets,Toronto Raptors</t>
  </si>
  <si>
    <t>Wed Apr 7 2027,Charlotte Hornets,Chicago Bulls</t>
  </si>
  <si>
    <t>Wed Apr 7 2027,Washington Wizards,Memphis Grizzlies</t>
  </si>
  <si>
    <t>Wed Apr 7 2027,Sacramento Kings,Houston Rockets</t>
  </si>
  <si>
    <t>Wed Apr 7 2027,Minnesota Timberwolves,Los Angeles Lakers</t>
  </si>
  <si>
    <t>Wed Apr 7 2027,Dallas Mavericks,Portland Trail Blazers</t>
  </si>
  <si>
    <t>Thu Apr 8 2027,Philadelphia 76ers,Miami Heat</t>
  </si>
  <si>
    <t>Thu Apr 8 2027,New York Knicks,Milwaukee Bucks</t>
  </si>
  <si>
    <t>Thu Apr 8 2027,New Orleans Pelicans,Utah Jazz</t>
  </si>
  <si>
    <t>Thu Apr 8 2027,Los Angeles Clippers,Denver Nuggets</t>
  </si>
  <si>
    <t>Thu Apr 8 2027,Golden State Warriors,Oklahoma City Thunder</t>
  </si>
  <si>
    <t>Fri Apr 9 2027,Boston Celtics,Atlanta Hawks</t>
  </si>
  <si>
    <t>Fri Apr 9 2027,Brooklyn Nets,Charlotte Hornets</t>
  </si>
  <si>
    <t>Fri Apr 9 2027,Cleveland Cavaliers,Indiana Pacers</t>
  </si>
  <si>
    <t>Fri Apr 9 2027,Detroit Pistons,New York Knicks</t>
  </si>
  <si>
    <t>Fri Apr 9 2027,Toronto Raptors,Orlando Magic</t>
  </si>
  <si>
    <t>Fri Apr 9 2027,Milwaukee Bucks,Chicago Bulls</t>
  </si>
  <si>
    <t>Fri Apr 9 2027,Washington Wizards,Miami Heat</t>
  </si>
  <si>
    <t>Fri Apr 9 2027,Golden State Warriors,Oklahoma City Thunder</t>
  </si>
  <si>
    <t>Fri Apr 9 2027,Portland Trail Blazers,Houston Rockets</t>
  </si>
  <si>
    <t>Fri Apr 9 2027,Los Angeles Clippers,Utah Jazz</t>
  </si>
  <si>
    <t>Fri Apr 9 2027,Denver Nuggets,San Antonio Spurs</t>
  </si>
  <si>
    <t>Fri Apr 9 2027,Minnesota Timberwolves,Los Angeles Lakers</t>
  </si>
  <si>
    <t>Fri Apr 9 2027,Memphis Grizzlies,Phoenix Suns</t>
  </si>
  <si>
    <t>Fri Apr 9 2027,Dallas Mavericks,Sacramento Kings</t>
  </si>
  <si>
    <t>Sun Apr 11 2027,Detroit Pistons,Washington Wizards</t>
  </si>
  <si>
    <t>Sun Apr 11 2027,Charlotte Hornets,Philadelphia 76ers</t>
  </si>
  <si>
    <t>Sun Apr 11 2027,Indiana Pacers,New York Knicks</t>
  </si>
  <si>
    <t>Sun Apr 11 2027,Chicago Bulls,New Orleans Pelicans</t>
  </si>
  <si>
    <t>Sun Apr 11 2027,Orlando Magic,Miami Heat</t>
  </si>
  <si>
    <t>Sun Apr 11 2027,Atlanta Hawks,Cleveland Cavaliers</t>
  </si>
  <si>
    <t>Sun Apr 11 2027,Toronto Raptors,Brooklyn Nets</t>
  </si>
  <si>
    <t>Sun Apr 11 2027,Milwaukee Bucks,Boston Celtics</t>
  </si>
  <si>
    <t>Sun Apr 11 2027,Utah Jazz,Golden State Warriors</t>
  </si>
  <si>
    <t>Sun Apr 11 2027,Sacramento Kings,Los Angeles Clippers</t>
  </si>
  <si>
    <t>Sun Apr 11 2027,Phoenix Suns,Los Angeles Lakers</t>
  </si>
  <si>
    <t>Sun Apr 11 2027,Oklahoma City Thunder,Denver Nuggets</t>
  </si>
  <si>
    <t>Sun Apr 11 2027,Houston Rockets,Minnesota Timberwolves</t>
  </si>
  <si>
    <t>Sun Apr 11 2027,Memphis Grizzlies,Dallas Mavericks</t>
  </si>
  <si>
    <t>Sun Apr 11 2027,Portland Trail Blazers,San Antonio Spurs</t>
  </si>
  <si>
    <t>Week</t>
  </si>
  <si>
    <t>Total Games</t>
  </si>
  <si>
    <t>Total</t>
  </si>
  <si>
    <t>Include IR</t>
  </si>
  <si>
    <t>Sort Column</t>
  </si>
  <si>
    <t>Ascending?</t>
  </si>
  <si>
    <t>Days</t>
  </si>
  <si>
    <t>Start Date</t>
  </si>
  <si>
    <t>Free Agents</t>
  </si>
  <si>
    <t>DATE</t>
  </si>
  <si>
    <t>Data Source</t>
  </si>
  <si>
    <t>Day Range Sortable</t>
  </si>
  <si>
    <t xml:space="preserve"> East</t>
  </si>
  <si>
    <t>North</t>
  </si>
  <si>
    <t>Day Range Format Data</t>
  </si>
  <si>
    <t>Robinson</t>
  </si>
  <si>
    <t>EDSA</t>
  </si>
  <si>
    <t>Biales</t>
  </si>
  <si>
    <t>R.E</t>
  </si>
  <si>
    <t>I.R.</t>
  </si>
  <si>
    <t>Brown</t>
  </si>
  <si>
    <t>Trueb</t>
  </si>
  <si>
    <t>Owner</t>
  </si>
  <si>
    <t>F</t>
  </si>
  <si>
    <t>C</t>
  </si>
  <si>
    <t>Avg Age</t>
  </si>
  <si>
    <t>Teams</t>
  </si>
  <si>
    <t>Avg FPTS</t>
  </si>
  <si>
    <t>Avg FPPG</t>
  </si>
  <si>
    <t>Avg FPPM</t>
  </si>
  <si>
    <t>EDSA Rank</t>
  </si>
  <si>
    <t>Methuselah Score</t>
  </si>
  <si>
    <t>Methuselah Rank</t>
  </si>
  <si>
    <t>Bolick</t>
  </si>
  <si>
    <t>Higgins</t>
  </si>
  <si>
    <t>Dean</t>
  </si>
  <si>
    <t>Aceto</t>
  </si>
  <si>
    <t>This chart is based on the top 12 players on a manager's roster regardless of IR or RE status.</t>
  </si>
  <si>
    <t>West</t>
  </si>
  <si>
    <t>South</t>
  </si>
  <si>
    <t>PG</t>
  </si>
  <si>
    <t>SG</t>
  </si>
  <si>
    <t>SF</t>
  </si>
  <si>
    <t>PF</t>
  </si>
  <si>
    <t>Farley</t>
  </si>
  <si>
    <t>Furtney</t>
  </si>
  <si>
    <t>Dextradeur</t>
  </si>
  <si>
    <t>Parkinson</t>
  </si>
  <si>
    <t>Nee</t>
  </si>
  <si>
    <t>Carroll</t>
  </si>
  <si>
    <t>Sullivan</t>
  </si>
  <si>
    <t>Kramer</t>
  </si>
  <si>
    <t>Maguire</t>
  </si>
  <si>
    <t>Connolly</t>
  </si>
  <si>
    <t>Allread</t>
  </si>
  <si>
    <t>This chart accounts for activating RE if they are better(EDSA) than one player on the roster and injured players if they are better than one player on the roster.</t>
  </si>
  <si>
    <t>This chart accounts for injured players if they are better(FPPG) than at least one player on the roster</t>
  </si>
  <si>
    <t>TEAM_SIZE</t>
  </si>
  <si>
    <t>STARTING_ROSTER_SIZE</t>
  </si>
  <si>
    <t>IR_ROSTER_SIZE</t>
  </si>
  <si>
    <t>ACTIVE_ROSTER_SIZE</t>
  </si>
  <si>
    <t>TEAM_DATA_FIELD_COUNT</t>
  </si>
  <si>
    <t>Letourneau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</si>
</sst>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"/>
    <numFmt numFmtId="165" formatCode="ddd&quot; &quot;mmm&quot; &quot;d&quot; &quot;yyyy"/>
    <numFmt numFmtId="166" formatCode="ddd, mmm d, yyyy"/>
    <numFmt numFmtId="167" formatCode="ddd mmm d yyyy"/>
    <numFmt numFmtId="168" formatCode="m/d/yy"/>
    <numFmt numFmtId="169" formatCode="M/d/yyyy"/>
    <numFmt numFmtId="170" formatCode="0.000000"/>
    <numFmt numFmtId="171" formatCode="0.0000000"/>
  </numFmts>
  <fonts count="19">
    <font>
      <sz val="10.0"/>
      <color rgb="FF000000"/>
      <name val="Arial"/>
    </font>
    <font/>
    <font>
      <sz val="11.0"/>
      <color rgb="FF000000"/>
      <name val="Inconsolata"/>
    </font>
    <font>
      <b/>
    </font>
    <font>
      <name val="Arial"/>
    </font>
    <font>
      <sz val="11.0"/>
      <color rgb="FF000000"/>
    </font>
    <font>
      <sz val="10.0"/>
      <name val="Arial"/>
    </font>
    <font>
      <b/>
      <sz val="9.0"/>
      <color rgb="FF000000"/>
      <name val="&quot;Google Sans Mono&quot;"/>
    </font>
    <font>
      <sz val="9.0"/>
      <color rgb="FF000000"/>
      <name val="&quot;Google Sans Mono&quot;"/>
    </font>
    <font>
      <b/>
      <sz val="11.0"/>
    </font>
    <font>
      <sz val="11.0"/>
    </font>
    <font>
      <b/>
      <sz val="14.0"/>
      <name val="Arial"/>
    </font>
    <font>
      <b/>
      <sz val="14.0"/>
    </font>
    <font>
      <sz val="12.0"/>
      <name val="Arial"/>
    </font>
    <font>
      <b/>
      <sz val="12.0"/>
      <name val="Arial"/>
    </font>
    <font>
      <b/>
      <name val="Arial"/>
    </font>
    <font>
      <b/>
      <sz val="10.0"/>
      <name val="Arial"/>
    </font>
    <font>
      <sz val="10.0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FFD966"/>
      </left>
      <top style="thin">
        <color rgb="FFFFD966"/>
      </top>
    </border>
    <border>
      <right style="thin">
        <color rgb="FFFFD966"/>
      </right>
      <top style="thin">
        <color rgb="FFFFD966"/>
      </top>
    </border>
    <border>
      <left style="thin">
        <color rgb="FFFFD966"/>
      </left>
      <bottom style="thin">
        <color rgb="FFFFD966"/>
      </bottom>
    </border>
    <border>
      <right style="thin">
        <color rgb="FFFFD966"/>
      </right>
      <bottom style="thin">
        <color rgb="FFFFD966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right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1" numFmtId="164" xfId="0" applyFont="1" applyNumberFormat="1"/>
    <xf borderId="0" fillId="0" fontId="1" numFmtId="4" xfId="0" applyFont="1" applyNumberFormat="1"/>
    <xf borderId="0" fillId="2" fontId="2" numFmtId="0" xfId="0" applyAlignment="1" applyFill="1" applyFont="1">
      <alignment readingOrder="0"/>
    </xf>
    <xf borderId="0" fillId="2" fontId="2" numFmtId="0" xfId="0" applyAlignment="1" applyFill="1" applyFont="1">
      <alignment horizontal="left"/>
    </xf>
    <xf borderId="0" fillId="0" fontId="1" numFmtId="46" xfId="0" applyFont="1" applyNumberFormat="1"/>
    <xf borderId="0" fillId="0" fontId="1" numFmtId="2" xfId="0" applyFont="1" applyNumberFormat="1"/>
    <xf borderId="0" fillId="0" fontId="1" numFmtId="1" xfId="0" applyFont="1" applyNumberFormat="1"/>
    <xf borderId="0" fillId="2" fontId="2" numFmtId="16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0" xfId="0" applyFont="1" applyNumberFormat="1"/>
    <xf borderId="0" fillId="0" fontId="1" numFmtId="165" xfId="0" applyFont="1" applyNumberFormat="1"/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4" numFmtId="166" xfId="0" applyAlignment="1" applyFont="1" applyNumberFormat="1">
      <alignment readingOrder="0" vertical="bottom"/>
    </xf>
    <xf borderId="0" fillId="0" fontId="1" numFmtId="167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Fill="1" applyFont="1"/>
    <xf borderId="0" fillId="0" fontId="1" numFmtId="0" xfId="0" applyFont="1"/>
    <xf borderId="0" fillId="0" fontId="1" numFmtId="168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" xfId="0" applyAlignment="1" applyFont="1" applyNumberFormat="1">
      <alignment readingOrder="0"/>
    </xf>
    <xf borderId="0" fillId="0" fontId="6" numFmtId="164" xfId="0" applyAlignment="1" applyFont="1" applyNumberFormat="1">
      <alignment horizontal="left" readingOrder="0" vertical="bottom"/>
    </xf>
    <xf borderId="0" fillId="3" fontId="7" numFmtId="0" xfId="0" applyAlignment="1" applyFill="1" applyFont="1">
      <alignment horizontal="center"/>
    </xf>
    <xf borderId="0" fillId="0" fontId="6" numFmtId="0" xfId="0" applyAlignment="1" applyFont="1">
      <alignment horizontal="left" readingOrder="0" vertical="bottom"/>
    </xf>
    <xf borderId="0" fillId="2" fontId="8" numFmtId="1" xfId="0" applyFill="1" applyFont="1" applyNumberFormat="1"/>
    <xf borderId="0" fillId="2" fontId="8" numFmtId="0" xfId="0" applyFill="1" applyFont="1"/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vertical="bottom"/>
    </xf>
    <xf borderId="0" fillId="0" fontId="3" numFmtId="164" xfId="0" applyFont="1" applyNumberFormat="1"/>
    <xf borderId="0" fillId="0" fontId="3" numFmtId="2" xfId="0" applyFont="1" applyNumberFormat="1"/>
    <xf borderId="0" fillId="0" fontId="3" numFmtId="1" xfId="0" applyFont="1" applyNumberFormat="1"/>
    <xf borderId="1" fillId="4" fontId="3" numFmtId="0" xfId="0" applyAlignment="1" applyBorder="1" applyFill="1" applyFont="1">
      <alignment readingOrder="0"/>
    </xf>
    <xf borderId="2" fillId="4" fontId="3" numFmtId="0" xfId="0" applyAlignment="1" applyBorder="1" applyFill="1" applyFont="1">
      <alignment readingOrder="0"/>
    </xf>
    <xf borderId="3" fillId="4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4" fontId="3" numFmtId="0" xfId="0" applyAlignment="1" applyBorder="1" applyFill="1" applyFont="1">
      <alignment readingOrder="0"/>
    </xf>
    <xf borderId="4" fillId="4" fontId="1" numFmtId="169" xfId="0" applyAlignment="1" applyBorder="1" applyFill="1" applyFont="1" applyNumberFormat="1">
      <alignment readingOrder="0"/>
    </xf>
    <xf borderId="0" fillId="0" fontId="9" numFmtId="0" xfId="0" applyAlignment="1" applyFont="1">
      <alignment horizontal="right"/>
    </xf>
    <xf borderId="0" fillId="0" fontId="9" numFmtId="0" xfId="0" applyFont="1"/>
    <xf borderId="0" fillId="0" fontId="9" numFmtId="2" xfId="0" applyFont="1" applyNumberFormat="1"/>
    <xf borderId="1" fillId="4" fontId="9" numFmtId="0" xfId="0" applyAlignment="1" applyBorder="1" applyFill="1" applyFont="1">
      <alignment readingOrder="0"/>
    </xf>
    <xf borderId="2" fillId="4" fontId="9" numFmtId="0" xfId="0" applyAlignment="1" applyBorder="1" applyFill="1" applyFont="1">
      <alignment readingOrder="0"/>
    </xf>
    <xf borderId="0" fillId="0" fontId="10" numFmtId="0" xfId="0" applyFont="1"/>
    <xf borderId="0" fillId="0" fontId="10" numFmtId="2" xfId="0" applyFont="1" applyNumberFormat="1"/>
    <xf borderId="0" fillId="0" fontId="10" numFmtId="1" xfId="0" applyFont="1" applyNumberFormat="1"/>
    <xf borderId="3" fillId="4" fontId="10" numFmtId="0" xfId="0" applyAlignment="1" applyBorder="1" applyFill="1" applyFont="1">
      <alignment readingOrder="0"/>
    </xf>
    <xf borderId="4" fillId="4" fontId="10" numFmtId="0" xfId="0" applyAlignment="1" applyBorder="1" applyFill="1" applyFont="1">
      <alignment readingOrder="0"/>
    </xf>
    <xf borderId="4" fillId="4" fontId="10" numFmtId="169" xfId="0" applyAlignment="1" applyBorder="1" applyFill="1" applyFont="1" applyNumberFormat="1">
      <alignment readingOrder="0"/>
    </xf>
    <xf borderId="0" fillId="0" fontId="11" numFmtId="0" xfId="0" applyAlignment="1" applyFont="1">
      <alignment horizontal="center" readingOrder="0" vertical="bottom"/>
    </xf>
    <xf borderId="1" fillId="4" fontId="12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13" numFmtId="0" xfId="0" applyAlignment="1" applyFont="1">
      <alignment horizontal="left" readingOrder="0" vertical="bottom"/>
    </xf>
    <xf borderId="0" fillId="0" fontId="4" numFmtId="1" xfId="0" applyAlignment="1" applyFont="1" applyNumberFormat="1">
      <alignment horizontal="center" vertical="bottom"/>
    </xf>
    <xf borderId="0" fillId="0" fontId="6" numFmtId="1" xfId="0" applyFont="1" applyNumberFormat="1"/>
    <xf borderId="3" fillId="4" fontId="1" numFmtId="0" xfId="0" applyAlignment="1" applyBorder="1" applyFill="1" applyFont="1">
      <alignment horizontal="right" readingOrder="0"/>
    </xf>
    <xf borderId="0" fillId="0" fontId="14" numFmtId="0" xfId="0" applyAlignment="1" applyFont="1">
      <alignment horizontal="left" readingOrder="0" vertical="bottom"/>
    </xf>
    <xf borderId="0" fillId="0" fontId="15" numFmtId="0" xfId="0" applyAlignment="1" applyFont="1">
      <alignment horizontal="left" readingOrder="0" vertical="bottom"/>
    </xf>
    <xf borderId="0" fillId="0" fontId="3" numFmtId="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15" numFmtId="0" xfId="0" applyAlignment="1" applyFont="1">
      <alignment horizontal="left" readingOrder="0" vertical="bottom"/>
    </xf>
    <xf borderId="0" fillId="0" fontId="15" numFmtId="1" xfId="0" applyAlignment="1" applyFont="1" applyNumberFormat="1">
      <alignment horizontal="center" vertical="bottom"/>
    </xf>
    <xf borderId="0" fillId="0" fontId="15" numFmtId="0" xfId="0" applyAlignment="1" applyFont="1">
      <alignment horizontal="left" readingOrder="0"/>
    </xf>
    <xf borderId="0" fillId="0" fontId="15" numFmtId="164" xfId="0" applyAlignment="1" applyFont="1" applyNumberFormat="1">
      <alignment horizontal="left" readingOrder="0" vertical="bottom"/>
    </xf>
    <xf borderId="0" fillId="0" fontId="16" numFmtId="1" xfId="0" applyAlignment="1" applyFont="1" applyNumberForma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2" xfId="0" applyAlignment="1" applyFont="1" applyNumberFormat="1">
      <alignment horizontal="center" vertical="bottom"/>
    </xf>
    <xf borderId="0" fillId="0" fontId="1" numFmtId="170" xfId="0" applyAlignment="1" applyFont="1" applyNumberFormat="1">
      <alignment readingOrder="0"/>
    </xf>
    <xf borderId="0" fillId="0" fontId="6" numFmtId="4" xfId="0" applyAlignment="1" applyFont="1" applyNumberFormat="1">
      <alignment horizontal="center" vertical="bottom"/>
    </xf>
    <xf borderId="0" fillId="2" fontId="0" numFmtId="0" xfId="0" applyAlignment="1" applyFill="1" applyFont="1">
      <alignment horizontal="left"/>
    </xf>
    <xf borderId="0" fillId="2" fontId="2" numFmtId="1" xfId="0" applyFill="1" applyFont="1" applyNumberFormat="1"/>
    <xf borderId="0" fillId="0" fontId="1" numFmtId="1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readingOrder="0" vertical="bottom"/>
    </xf>
    <xf borderId="0" fillId="2" fontId="4" numFmtId="0" xfId="0" applyAlignment="1" applyFill="1" applyFont="1">
      <alignment horizontal="left" readingOrder="0" vertical="bottom"/>
    </xf>
    <xf borderId="0" fillId="0" fontId="3" numFmtId="0" xfId="0" applyAlignment="1" applyFont="1">
      <alignment horizontal="center" readingOrder="0"/>
    </xf>
    <xf borderId="0" fillId="0" fontId="3" numFmtId="1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 readingOrder="0"/>
    </xf>
    <xf borderId="0" fillId="0" fontId="16" numFmtId="1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vertical="bottom"/>
    </xf>
    <xf borderId="0" fillId="0" fontId="17" numFmtId="0" xfId="0" applyAlignment="1" applyFont="1">
      <alignment horizontal="center" readingOrder="0"/>
    </xf>
    <xf borderId="0" fillId="0" fontId="6" numFmtId="1" xfId="0" applyAlignment="1" applyFont="1" applyNumberForma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0" fontId="6" numFmtId="2" xfId="0" applyAlignment="1" applyFont="1" applyNumberFormat="1">
      <alignment horizontal="center" readingOrder="0" vertical="bottom"/>
    </xf>
    <xf borderId="0" fillId="2" fontId="2" numFmtId="0" xfId="0" applyAlignment="1" applyFill="1" applyFont="1">
      <alignment horizontal="center" readingOrder="0"/>
    </xf>
    <xf borderId="0" fillId="2" fontId="2" numFmtId="1" xfId="0" applyAlignment="1" applyFill="1" applyFont="1" applyNumberFormat="1">
      <alignment readingOrder="0"/>
    </xf>
    <xf borderId="0" fillId="2" fontId="8" numFmtId="1" xfId="0" applyAlignment="1" applyFill="1" applyFont="1" applyNumberFormat="1">
      <alignment readingOrder="0"/>
    </xf>
    <xf borderId="0" fillId="2" fontId="4" numFmtId="0" xfId="0" applyAlignment="1" applyFill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1" numFmtId="0" xfId="0" applyAlignment="1" applyFont="1">
      <alignment horizontal="center"/>
    </xf>
    <xf borderId="0" fillId="2" fontId="2" numFmtId="171" xfId="0" applyFill="1" applyFont="1" applyNumberFormat="1"/>
    <xf borderId="0" fillId="0" fontId="11" numFmtId="4" xfId="0" applyAlignment="1" applyFont="1" applyNumberFormat="1">
      <alignment horizontal="center" readingOrder="0" vertical="bottom"/>
    </xf>
    <xf borderId="0" fillId="0" fontId="13" numFmtId="4" xfId="0" applyAlignment="1" applyFont="1" applyNumberFormat="1">
      <alignment horizontal="left" readingOrder="0" vertical="bottom"/>
    </xf>
    <xf borderId="0" fillId="2" fontId="18" numFmtId="0" xfId="0" applyFill="1" applyFont="1"/>
    <xf borderId="0" fillId="0" fontId="6" numFmtId="0" xfId="0" applyAlignment="1" applyFont="1">
      <alignment horizontal="center" vertical="bottom"/>
    </xf>
    <xf borderId="0" fillId="0" fontId="1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 shrinkToFit="0" wrapText="1"/>
    </xf>
    <xf borderId="0" fillId="2" fontId="2" numFmtId="0" xfId="0" applyAlignment="1" applyFill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Weekly EDSA Rank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'Weekly EDSA'!$A$2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EDSA'!$B$2:$Y$2</c:f>
              <c:numCache/>
            </c:numRef>
          </c:val>
          <c:smooth val="0"/>
        </c:ser>
        <c:ser>
          <c:idx val="1"/>
          <c:order val="1"/>
          <c:tx>
            <c:strRef>
              <c:f>'Weekly EDSA'!$A$3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EDSA'!$B$3:$Y$3</c:f>
              <c:numCache/>
            </c:numRef>
          </c:val>
          <c:smooth val="0"/>
        </c:ser>
        <c:ser>
          <c:idx val="2"/>
          <c:order val="2"/>
          <c:tx>
            <c:strRef>
              <c:f>'Weekly EDSA'!$A$4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EDSA'!$B$4:$Y$4</c:f>
              <c:numCache/>
            </c:numRef>
          </c:val>
          <c:smooth val="0"/>
        </c:ser>
        <c:ser>
          <c:idx val="3"/>
          <c:order val="3"/>
          <c:tx>
            <c:strRef>
              <c:f>'Weekly EDSA'!$A$5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EDSA'!$B$5:$Y$5</c:f>
              <c:numCache/>
            </c:numRef>
          </c:val>
          <c:smooth val="0"/>
        </c:ser>
        <c:ser>
          <c:idx val="4"/>
          <c:order val="4"/>
          <c:tx>
            <c:strRef>
              <c:f>'Weekly EDSA'!$A$6</c:f>
            </c:strRef>
          </c:tx>
          <c:spPr>
            <a:ln cmpd="sng">
              <a:solidFill>
                <a:srgbClr val="990099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EDSA'!$B$6:$Y$6</c:f>
              <c:numCache/>
            </c:numRef>
          </c:val>
          <c:smooth val="0"/>
        </c:ser>
        <c:ser>
          <c:idx val="5"/>
          <c:order val="5"/>
          <c:tx>
            <c:strRef>
              <c:f>'Weekly EDSA'!$A$7</c:f>
            </c:strRef>
          </c:tx>
          <c:spPr>
            <a:ln cmpd="sng">
              <a:solidFill>
                <a:srgbClr val="0099C6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EDSA'!$B$7:$Y$7</c:f>
              <c:numCache/>
            </c:numRef>
          </c:val>
          <c:smooth val="0"/>
        </c:ser>
        <c:ser>
          <c:idx val="6"/>
          <c:order val="6"/>
          <c:tx>
            <c:strRef>
              <c:f>'Weekly EDSA'!$A$8</c:f>
            </c:strRef>
          </c:tx>
          <c:spPr>
            <a:ln cmpd="sng">
              <a:solidFill>
                <a:srgbClr val="DD4477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EDSA'!$B$8:$Y$8</c:f>
              <c:numCache/>
            </c:numRef>
          </c:val>
          <c:smooth val="0"/>
        </c:ser>
        <c:ser>
          <c:idx val="7"/>
          <c:order val="7"/>
          <c:tx>
            <c:strRef>
              <c:f>'Weekly EDSA'!$A$9</c:f>
            </c:strRef>
          </c:tx>
          <c:spPr>
            <a:ln cmpd="sng">
              <a:solidFill>
                <a:srgbClr val="66AA00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EDSA'!$B$9:$Y$9</c:f>
              <c:numCache/>
            </c:numRef>
          </c:val>
          <c:smooth val="0"/>
        </c:ser>
        <c:ser>
          <c:idx val="8"/>
          <c:order val="8"/>
          <c:tx>
            <c:strRef>
              <c:f>'Weekly EDSA'!$A$10</c:f>
            </c:strRef>
          </c:tx>
          <c:spPr>
            <a:ln cmpd="sng">
              <a:solidFill>
                <a:srgbClr val="B82E2E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EDSA'!$B$10:$Y$10</c:f>
              <c:numCache/>
            </c:numRef>
          </c:val>
          <c:smooth val="0"/>
        </c:ser>
        <c:ser>
          <c:idx val="9"/>
          <c:order val="9"/>
          <c:tx>
            <c:strRef>
              <c:f>'Weekly EDSA'!$A$11</c:f>
            </c:strRef>
          </c:tx>
          <c:spPr>
            <a:ln cmpd="sng">
              <a:solidFill>
                <a:srgbClr val="316395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EDSA'!$B$11:$Y$11</c:f>
              <c:numCache/>
            </c:numRef>
          </c:val>
          <c:smooth val="0"/>
        </c:ser>
        <c:ser>
          <c:idx val="10"/>
          <c:order val="10"/>
          <c:tx>
            <c:strRef>
              <c:f>'Weekly EDSA'!$A$12</c:f>
            </c:strRef>
          </c:tx>
          <c:spPr>
            <a:ln cmpd="sng">
              <a:solidFill>
                <a:srgbClr val="994499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EDSA'!$B$12:$Y$12</c:f>
              <c:numCache/>
            </c:numRef>
          </c:val>
          <c:smooth val="0"/>
        </c:ser>
        <c:ser>
          <c:idx val="11"/>
          <c:order val="11"/>
          <c:tx>
            <c:strRef>
              <c:f>'Weekly EDSA'!$A$13</c:f>
            </c:strRef>
          </c:tx>
          <c:spPr>
            <a:ln cmpd="sng">
              <a:solidFill>
                <a:srgbClr val="22AA99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EDSA'!$B$13:$Y$13</c:f>
              <c:numCache/>
            </c:numRef>
          </c:val>
          <c:smooth val="0"/>
        </c:ser>
        <c:ser>
          <c:idx val="12"/>
          <c:order val="12"/>
          <c:tx>
            <c:strRef>
              <c:f>'Weekly EDSA'!$A$14</c:f>
            </c:strRef>
          </c:tx>
          <c:spPr>
            <a:ln cmpd="sng">
              <a:solidFill>
                <a:srgbClr val="AAAA11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EDSA'!$B$14:$Y$14</c:f>
              <c:numCache/>
            </c:numRef>
          </c:val>
          <c:smooth val="0"/>
        </c:ser>
        <c:ser>
          <c:idx val="13"/>
          <c:order val="13"/>
          <c:tx>
            <c:strRef>
              <c:f>'Weekly EDSA'!$A$15</c:f>
            </c:strRef>
          </c:tx>
          <c:spPr>
            <a:ln cmpd="sng">
              <a:solidFill>
                <a:srgbClr val="6633CC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EDSA'!$B$15:$Y$15</c:f>
              <c:numCache/>
            </c:numRef>
          </c:val>
          <c:smooth val="0"/>
        </c:ser>
        <c:ser>
          <c:idx val="14"/>
          <c:order val="14"/>
          <c:tx>
            <c:strRef>
              <c:f>'Weekly EDSA'!$A$16</c:f>
            </c:strRef>
          </c:tx>
          <c:spPr>
            <a:ln cmpd="sng">
              <a:solidFill>
                <a:srgbClr val="E67300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EDSA'!$B$16:$Y$16</c:f>
              <c:numCache/>
            </c:numRef>
          </c:val>
          <c:smooth val="0"/>
        </c:ser>
        <c:ser>
          <c:idx val="15"/>
          <c:order val="15"/>
          <c:tx>
            <c:strRef>
              <c:f>'Weekly EDSA'!$A$17</c:f>
            </c:strRef>
          </c:tx>
          <c:spPr>
            <a:ln cmpd="sng">
              <a:solidFill>
                <a:srgbClr val="8B0707"/>
              </a:solidFill>
            </a:ln>
          </c:spPr>
          <c:marker>
            <c:symbol val="none"/>
          </c:marker>
          <c:cat>
            <c:strRef>
              <c:f>'Weekly EDSA'!$B$1:$Y$1</c:f>
            </c:strRef>
          </c:cat>
          <c:val>
            <c:numRef>
              <c:f>'Weekly EDSA'!$B$17:$Y$17</c:f>
              <c:numCache/>
            </c:numRef>
          </c:val>
          <c:smooth val="0"/>
        </c:ser>
        <c:axId val="1728170569"/>
        <c:axId val="736636661"/>
      </c:lineChart>
      <c:catAx>
        <c:axId val="1728170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6636661"/>
      </c:catAx>
      <c:valAx>
        <c:axId val="736636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8170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0</xdr:rowOff>
    </xdr:from>
    <xdr:ext cx="13811250" cy="8534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9.88"/>
    <col customWidth="1" min="3" max="3" width="5.88"/>
    <col customWidth="1" min="4" max="4" width="3.75"/>
    <col customWidth="1" min="5" max="5" width="4.75"/>
    <col customWidth="1" min="6" max="6" width="2.63"/>
    <col customWidth="1" min="7" max="7" width="3.25"/>
    <col customWidth="1" min="8" max="8" width="4.5"/>
    <col customWidth="1" min="9" max="9" width="3.63"/>
    <col customWidth="1" min="10" max="10" width="4.5"/>
    <col customWidth="1" min="11" max="11" width="5.0"/>
    <col customWidth="1" min="12" max="12" width="3.63"/>
    <col customWidth="1" min="13" max="13" width="3.88"/>
    <col customWidth="1" min="14" max="14" width="5.0"/>
    <col customWidth="1" min="15" max="15" width="3.63"/>
    <col customWidth="1" min="16" max="16" width="4.5"/>
    <col customWidth="1" min="17" max="17" width="5.0"/>
    <col customWidth="1" min="18" max="18" width="5.5"/>
    <col customWidth="1" min="19" max="19" width="3.63"/>
    <col customWidth="1" min="20" max="20" width="3.88"/>
    <col customWidth="1" min="21" max="21" width="5.0"/>
    <col customWidth="1" min="22" max="22" width="4.38"/>
    <col customWidth="1" min="23" max="23" width="4.25"/>
    <col customWidth="1" min="24" max="24" width="4.5"/>
    <col customWidth="1" min="25" max="25" width="4.0"/>
    <col customWidth="1" min="26" max="26" width="3.88"/>
    <col customWidth="1" min="27" max="27" width="4.0"/>
    <col customWidth="1" min="28" max="28" width="4.13"/>
    <col customWidth="1" min="29" max="29" width="3.63"/>
    <col customWidth="1" min="30" max="30" width="4.5"/>
  </cols>
  <sheetData>
    <row r="1">
      <c r="A1" s="1" t="str">
        <f>IFERROR(__xludf.DUMMYFUNCTION("ARRAYFORMULA(
  IFERROR(
   SUBSTITUTE(
    IMPORTHTML(""https://www.basketball-reference.com/leagues/NBA_2027_totals.html"",""table"",1),
    ""*"",""""),
   IMPORTHTML(""https://www.basketball-reference.com/leagues/NBA_2027_totals.html"",""table"",1)))"),"Rk")</f>
        <v>Rk</v>
      </c>
      <c r="B1" s="2" t="str">
        <f>IFERROR(__xludf.DUMMYFUNCTION("""COMPUTED_VALUE"""),"Player")</f>
        <v>Player</v>
      </c>
      <c r="C1" t="str">
        <f>IFERROR(__xludf.DUMMYFUNCTION("""COMPUTED_VALUE"""),"Age")</f>
        <v>Age</v>
      </c>
      <c r="D1" t="str">
        <f>IFERROR(__xludf.DUMMYFUNCTION("""COMPUTED_VALUE"""),"Team")</f>
        <v>Team</v>
      </c>
      <c r="E1" t="str">
        <f>IFERROR(__xludf.DUMMYFUNCTION("""COMPUTED_VALUE"""),"Pos")</f>
        <v>Pos</v>
      </c>
      <c r="F1" t="str">
        <f>IFERROR(__xludf.DUMMYFUNCTION("""COMPUTED_VALUE"""),"G")</f>
        <v>G</v>
      </c>
      <c r="G1" t="str">
        <f>IFERROR(__xludf.DUMMYFUNCTION("""COMPUTED_VALUE"""),"GS")</f>
        <v>GS</v>
      </c>
      <c r="H1" t="str">
        <f>IFERROR(__xludf.DUMMYFUNCTION("""COMPUTED_VALUE"""),"MP")</f>
        <v>MP</v>
      </c>
      <c r="I1" t="str">
        <f>IFERROR(__xludf.DUMMYFUNCTION("""COMPUTED_VALUE"""),"FG")</f>
        <v>FG</v>
      </c>
      <c r="J1" t="str">
        <f>IFERROR(__xludf.DUMMYFUNCTION("""COMPUTED_VALUE"""),"FGA")</f>
        <v>FGA</v>
      </c>
      <c r="K1" t="str">
        <f>IFERROR(__xludf.DUMMYFUNCTION("""COMPUTED_VALUE"""),"FG%")</f>
        <v>FG%</v>
      </c>
      <c r="L1" t="str">
        <f>IFERROR(__xludf.DUMMYFUNCTION("""COMPUTED_VALUE"""),"3P")</f>
        <v>3P</v>
      </c>
      <c r="M1" t="str">
        <f>IFERROR(__xludf.DUMMYFUNCTION("""COMPUTED_VALUE"""),"3PA")</f>
        <v>3PA</v>
      </c>
      <c r="N1" t="str">
        <f>IFERROR(__xludf.DUMMYFUNCTION("""COMPUTED_VALUE"""),"3P%")</f>
        <v>3P%</v>
      </c>
      <c r="O1" t="str">
        <f>IFERROR(__xludf.DUMMYFUNCTION("""COMPUTED_VALUE"""),"2P")</f>
        <v>2P</v>
      </c>
      <c r="P1" t="str">
        <f>IFERROR(__xludf.DUMMYFUNCTION("""COMPUTED_VALUE"""),"2PA")</f>
        <v>2PA</v>
      </c>
      <c r="Q1" t="str">
        <f>IFERROR(__xludf.DUMMYFUNCTION("""COMPUTED_VALUE"""),"2P%")</f>
        <v>2P%</v>
      </c>
      <c r="R1" t="str">
        <f>IFERROR(__xludf.DUMMYFUNCTION("""COMPUTED_VALUE"""),"eFG%")</f>
        <v>eFG%</v>
      </c>
      <c r="S1" t="str">
        <f>IFERROR(__xludf.DUMMYFUNCTION("""COMPUTED_VALUE"""),"FT")</f>
        <v>FT</v>
      </c>
      <c r="T1" t="str">
        <f>IFERROR(__xludf.DUMMYFUNCTION("""COMPUTED_VALUE"""),"FTA")</f>
        <v>FTA</v>
      </c>
      <c r="U1" t="str">
        <f>IFERROR(__xludf.DUMMYFUNCTION("""COMPUTED_VALUE"""),"FT%")</f>
        <v>FT%</v>
      </c>
      <c r="V1" t="str">
        <f>IFERROR(__xludf.DUMMYFUNCTION("""COMPUTED_VALUE"""),"ORB")</f>
        <v>ORB</v>
      </c>
      <c r="W1" t="str">
        <f>IFERROR(__xludf.DUMMYFUNCTION("""COMPUTED_VALUE"""),"DRB")</f>
        <v>DRB</v>
      </c>
      <c r="X1" t="str">
        <f>IFERROR(__xludf.DUMMYFUNCTION("""COMPUTED_VALUE"""),"TRB")</f>
        <v>TRB</v>
      </c>
      <c r="Y1" t="str">
        <f>IFERROR(__xludf.DUMMYFUNCTION("""COMPUTED_VALUE"""),"AST")</f>
        <v>AST</v>
      </c>
      <c r="Z1" t="str">
        <f>IFERROR(__xludf.DUMMYFUNCTION("""COMPUTED_VALUE"""),"STL")</f>
        <v>STL</v>
      </c>
      <c r="AA1" t="str">
        <f>IFERROR(__xludf.DUMMYFUNCTION("""COMPUTED_VALUE"""),"BLK")</f>
        <v>BLK</v>
      </c>
      <c r="AB1" t="str">
        <f>IFERROR(__xludf.DUMMYFUNCTION("""COMPUTED_VALUE"""),"TOV")</f>
        <v>TOV</v>
      </c>
      <c r="AC1" t="str">
        <f>IFERROR(__xludf.DUMMYFUNCTION("""COMPUTED_VALUE"""),"PF")</f>
        <v>PF</v>
      </c>
      <c r="AD1" t="str">
        <f>IFERROR(__xludf.DUMMYFUNCTION("""COMPUTED_VALUE"""),"PTS")</f>
        <v>PTS</v>
      </c>
      <c r="AE1" t="str">
        <f>IFERROR(__xludf.DUMMYFUNCTION("""COMPUTED_VALUE"""),"Trp-Dbl")</f>
        <v>Trp-Dbl</v>
      </c>
      <c r="AF1" t="str">
        <f>IFERROR(__xludf.DUMMYFUNCTION("""COMPUTED_VALUE"""),"Awards")</f>
        <v>Awards</v>
      </c>
    </row>
    <row r="2">
      <c r="A2" s="1" t="str">
        <f>IFERROR(__xludf.DUMMYFUNCTION("""COMPUTED_VALUE"""),"1")</f>
        <v>1</v>
      </c>
      <c r="B2" s="2" t="str">
        <f>IFERROR(__xludf.DUMMYFUNCTION("""COMPUTED_VALUE"""),"Paul George")</f>
        <v>Paul George</v>
      </c>
      <c r="C2" t="str">
        <f>IFERROR(__xludf.DUMMYFUNCTION("""COMPUTED_VALUE"""),"36")</f>
        <v>36</v>
      </c>
      <c r="D2" t="str">
        <f>IFERROR(__xludf.DUMMYFUNCTION("""COMPUTED_VALUE"""),"BOS")</f>
        <v>BOS</v>
      </c>
      <c r="E2" t="str">
        <f>IFERROR(__xludf.DUMMYFUNCTION("""COMPUTED_VALUE"""),"PF")</f>
        <v>PF</v>
      </c>
      <c r="F2" t="str">
        <f>IFERROR(__xludf.DUMMYFUNCTION("""COMPUTED_VALUE"""),"1")</f>
        <v>1</v>
      </c>
      <c r="G2" t="str">
        <f>IFERROR(__xludf.DUMMYFUNCTION("""COMPUTED_VALUE"""),"1")</f>
        <v>1</v>
      </c>
      <c r="H2" t="str">
        <f>IFERROR(__xludf.DUMMYFUNCTION("""COMPUTED_VALUE"""),"31")</f>
        <v>31</v>
      </c>
      <c r="I2" t="str">
        <f>IFERROR(__xludf.DUMMYFUNCTION("""COMPUTED_VALUE"""),"12")</f>
        <v>12</v>
      </c>
      <c r="J2" t="str">
        <f>IFERROR(__xludf.DUMMYFUNCTION("""COMPUTED_VALUE"""),"21")</f>
        <v>21</v>
      </c>
      <c r="K2" t="str">
        <f>IFERROR(__xludf.DUMMYFUNCTION("""COMPUTED_VALUE"""),"0.571")</f>
        <v>0.571</v>
      </c>
      <c r="L2" t="str">
        <f>IFERROR(__xludf.DUMMYFUNCTION("""COMPUTED_VALUE"""),"7")</f>
        <v>7</v>
      </c>
      <c r="M2" t="str">
        <f>IFERROR(__xludf.DUMMYFUNCTION("""COMPUTED_VALUE"""),"12")</f>
        <v>12</v>
      </c>
      <c r="N2" t="str">
        <f>IFERROR(__xludf.DUMMYFUNCTION("""COMPUTED_VALUE"""),"0.583")</f>
        <v>0.583</v>
      </c>
      <c r="O2" t="str">
        <f>IFERROR(__xludf.DUMMYFUNCTION("""COMPUTED_VALUE"""),"5")</f>
        <v>5</v>
      </c>
      <c r="P2" t="str">
        <f>IFERROR(__xludf.DUMMYFUNCTION("""COMPUTED_VALUE"""),"9")</f>
        <v>9</v>
      </c>
      <c r="Q2" t="str">
        <f>IFERROR(__xludf.DUMMYFUNCTION("""COMPUTED_VALUE"""),"0.556")</f>
        <v>0.556</v>
      </c>
      <c r="R2" t="str">
        <f>IFERROR(__xludf.DUMMYFUNCTION("""COMPUTED_VALUE"""),"0.738")</f>
        <v>0.738</v>
      </c>
      <c r="S2" t="str">
        <f>IFERROR(__xludf.DUMMYFUNCTION("""COMPUTED_VALUE"""),"7")</f>
        <v>7</v>
      </c>
      <c r="T2" t="str">
        <f>IFERROR(__xludf.DUMMYFUNCTION("""COMPUTED_VALUE"""),"8")</f>
        <v>8</v>
      </c>
      <c r="U2" t="str">
        <f>IFERROR(__xludf.DUMMYFUNCTION("""COMPUTED_VALUE"""),"0.875")</f>
        <v>0.875</v>
      </c>
      <c r="V2" t="str">
        <f>IFERROR(__xludf.DUMMYFUNCTION("""COMPUTED_VALUE"""),"0")</f>
        <v>0</v>
      </c>
      <c r="W2" t="str">
        <f>IFERROR(__xludf.DUMMYFUNCTION("""COMPUTED_VALUE"""),"5")</f>
        <v>5</v>
      </c>
      <c r="X2" t="str">
        <f>IFERROR(__xludf.DUMMYFUNCTION("""COMPUTED_VALUE"""),"5")</f>
        <v>5</v>
      </c>
      <c r="Y2" t="str">
        <f>IFERROR(__xludf.DUMMYFUNCTION("""COMPUTED_VALUE"""),"3")</f>
        <v>3</v>
      </c>
      <c r="Z2" t="str">
        <f>IFERROR(__xludf.DUMMYFUNCTION("""COMPUTED_VALUE"""),"5")</f>
        <v>5</v>
      </c>
      <c r="AA2" t="str">
        <f>IFERROR(__xludf.DUMMYFUNCTION("""COMPUTED_VALUE"""),"0")</f>
        <v>0</v>
      </c>
      <c r="AB2" t="str">
        <f>IFERROR(__xludf.DUMMYFUNCTION("""COMPUTED_VALUE"""),"3")</f>
        <v>3</v>
      </c>
      <c r="AC2" t="str">
        <f>IFERROR(__xludf.DUMMYFUNCTION("""COMPUTED_VALUE"""),"5")</f>
        <v>5</v>
      </c>
      <c r="AD2" t="str">
        <f>IFERROR(__xludf.DUMMYFUNCTION("""COMPUTED_VALUE"""),"38")</f>
        <v>38</v>
      </c>
      <c r="AE2" t="str">
        <f>IFERROR(__xludf.DUMMYFUNCTION("""COMPUTED_VALUE"""),"0")</f>
        <v>0</v>
      </c>
      <c r="AF2" t="str">
        <f>IFERROR(__xludf.DUMMYFUNCTION("""COMPUTED_VALUE"""),"")</f>
        <v/>
      </c>
    </row>
    <row r="3">
      <c r="A3" t="str">
        <f>IFERROR(__xludf.DUMMYFUNCTION("""COMPUTED_VALUE"""),"2")</f>
        <v>2</v>
      </c>
      <c r="B3" s="2" t="str">
        <f>IFERROR(__xludf.DUMMYFUNCTION("""COMPUTED_VALUE"""),"Shai Gilgeous-Alexander")</f>
        <v>Shai Gilgeous-Alexander</v>
      </c>
      <c r="C3" t="str">
        <f>IFERROR(__xludf.DUMMYFUNCTION("""COMPUTED_VALUE"""),"28")</f>
        <v>28</v>
      </c>
      <c r="D3" t="str">
        <f>IFERROR(__xludf.DUMMYFUNCTION("""COMPUTED_VALUE"""),"OKC")</f>
        <v>OKC</v>
      </c>
      <c r="E3" t="str">
        <f>IFERROR(__xludf.DUMMYFUNCTION("""COMPUTED_VALUE"""),"PG")</f>
        <v>PG</v>
      </c>
      <c r="F3" t="str">
        <f>IFERROR(__xludf.DUMMYFUNCTION("""COMPUTED_VALUE"""),"1")</f>
        <v>1</v>
      </c>
      <c r="G3" t="str">
        <f>IFERROR(__xludf.DUMMYFUNCTION("""COMPUTED_VALUE"""),"1")</f>
        <v>1</v>
      </c>
      <c r="H3" t="str">
        <f>IFERROR(__xludf.DUMMYFUNCTION("""COMPUTED_VALUE"""),"36")</f>
        <v>36</v>
      </c>
      <c r="I3" t="str">
        <f>IFERROR(__xludf.DUMMYFUNCTION("""COMPUTED_VALUE"""),"13")</f>
        <v>13</v>
      </c>
      <c r="J3" t="str">
        <f>IFERROR(__xludf.DUMMYFUNCTION("""COMPUTED_VALUE"""),"27")</f>
        <v>27</v>
      </c>
      <c r="K3" t="str">
        <f>IFERROR(__xludf.DUMMYFUNCTION("""COMPUTED_VALUE"""),"0.481")</f>
        <v>0.481</v>
      </c>
      <c r="L3" t="str">
        <f>IFERROR(__xludf.DUMMYFUNCTION("""COMPUTED_VALUE"""),"3")</f>
        <v>3</v>
      </c>
      <c r="M3" t="str">
        <f>IFERROR(__xludf.DUMMYFUNCTION("""COMPUTED_VALUE"""),"7")</f>
        <v>7</v>
      </c>
      <c r="N3" t="str">
        <f>IFERROR(__xludf.DUMMYFUNCTION("""COMPUTED_VALUE"""),"0.429")</f>
        <v>0.429</v>
      </c>
      <c r="O3" t="str">
        <f>IFERROR(__xludf.DUMMYFUNCTION("""COMPUTED_VALUE"""),"10")</f>
        <v>10</v>
      </c>
      <c r="P3" t="str">
        <f>IFERROR(__xludf.DUMMYFUNCTION("""COMPUTED_VALUE"""),"20")</f>
        <v>20</v>
      </c>
      <c r="Q3" t="str">
        <f>IFERROR(__xludf.DUMMYFUNCTION("""COMPUTED_VALUE"""),"0.5")</f>
        <v>0.5</v>
      </c>
      <c r="R3" t="str">
        <f>IFERROR(__xludf.DUMMYFUNCTION("""COMPUTED_VALUE"""),"0.537")</f>
        <v>0.537</v>
      </c>
      <c r="S3" t="str">
        <f>IFERROR(__xludf.DUMMYFUNCTION("""COMPUTED_VALUE"""),"3")</f>
        <v>3</v>
      </c>
      <c r="T3" t="str">
        <f>IFERROR(__xludf.DUMMYFUNCTION("""COMPUTED_VALUE"""),"4")</f>
        <v>4</v>
      </c>
      <c r="U3" t="str">
        <f>IFERROR(__xludf.DUMMYFUNCTION("""COMPUTED_VALUE"""),"0.75")</f>
        <v>0.75</v>
      </c>
      <c r="V3" t="str">
        <f>IFERROR(__xludf.DUMMYFUNCTION("""COMPUTED_VALUE"""),"2")</f>
        <v>2</v>
      </c>
      <c r="W3" t="str">
        <f>IFERROR(__xludf.DUMMYFUNCTION("""COMPUTED_VALUE"""),"4")</f>
        <v>4</v>
      </c>
      <c r="X3" t="str">
        <f>IFERROR(__xludf.DUMMYFUNCTION("""COMPUTED_VALUE"""),"6")</f>
        <v>6</v>
      </c>
      <c r="Y3" t="str">
        <f>IFERROR(__xludf.DUMMYFUNCTION("""COMPUTED_VALUE"""),"4")</f>
        <v>4</v>
      </c>
      <c r="Z3" t="str">
        <f>IFERROR(__xludf.DUMMYFUNCTION("""COMPUTED_VALUE"""),"3")</f>
        <v>3</v>
      </c>
      <c r="AA3" t="str">
        <f>IFERROR(__xludf.DUMMYFUNCTION("""COMPUTED_VALUE"""),"3")</f>
        <v>3</v>
      </c>
      <c r="AB3" t="str">
        <f>IFERROR(__xludf.DUMMYFUNCTION("""COMPUTED_VALUE"""),"2")</f>
        <v>2</v>
      </c>
      <c r="AC3" t="str">
        <f>IFERROR(__xludf.DUMMYFUNCTION("""COMPUTED_VALUE"""),"2")</f>
        <v>2</v>
      </c>
      <c r="AD3" t="str">
        <f>IFERROR(__xludf.DUMMYFUNCTION("""COMPUTED_VALUE"""),"32")</f>
        <v>32</v>
      </c>
      <c r="AE3" t="str">
        <f>IFERROR(__xludf.DUMMYFUNCTION("""COMPUTED_VALUE"""),"0")</f>
        <v>0</v>
      </c>
      <c r="AF3" t="str">
        <f>IFERROR(__xludf.DUMMYFUNCTION("""COMPUTED_VALUE"""),"")</f>
        <v/>
      </c>
    </row>
    <row r="4">
      <c r="A4" t="str">
        <f>IFERROR(__xludf.DUMMYFUNCTION("""COMPUTED_VALUE"""),"3")</f>
        <v>3</v>
      </c>
      <c r="B4" s="2" t="str">
        <f>IFERROR(__xludf.DUMMYFUNCTION("""COMPUTED_VALUE"""),"Tyrese Maxey")</f>
        <v>Tyrese Maxey</v>
      </c>
      <c r="C4" t="str">
        <f>IFERROR(__xludf.DUMMYFUNCTION("""COMPUTED_VALUE"""),"26")</f>
        <v>26</v>
      </c>
      <c r="D4" t="str">
        <f>IFERROR(__xludf.DUMMYFUNCTION("""COMPUTED_VALUE"""),"PHI")</f>
        <v>PHI</v>
      </c>
      <c r="E4" t="str">
        <f>IFERROR(__xludf.DUMMYFUNCTION("""COMPUTED_VALUE"""),"PG")</f>
        <v>PG</v>
      </c>
      <c r="F4" t="str">
        <f>IFERROR(__xludf.DUMMYFUNCTION("""COMPUTED_VALUE"""),"1")</f>
        <v>1</v>
      </c>
      <c r="G4" t="str">
        <f>IFERROR(__xludf.DUMMYFUNCTION("""COMPUTED_VALUE"""),"1")</f>
        <v>1</v>
      </c>
      <c r="H4" t="str">
        <f>IFERROR(__xludf.DUMMYFUNCTION("""COMPUTED_VALUE"""),"40")</f>
        <v>40</v>
      </c>
      <c r="I4" t="str">
        <f>IFERROR(__xludf.DUMMYFUNCTION("""COMPUTED_VALUE"""),"9")</f>
        <v>9</v>
      </c>
      <c r="J4" t="str">
        <f>IFERROR(__xludf.DUMMYFUNCTION("""COMPUTED_VALUE"""),"19")</f>
        <v>19</v>
      </c>
      <c r="K4" t="str">
        <f>IFERROR(__xludf.DUMMYFUNCTION("""COMPUTED_VALUE"""),"0.474")</f>
        <v>0.474</v>
      </c>
      <c r="L4" t="str">
        <f>IFERROR(__xludf.DUMMYFUNCTION("""COMPUTED_VALUE"""),"2")</f>
        <v>2</v>
      </c>
      <c r="M4" t="str">
        <f>IFERROR(__xludf.DUMMYFUNCTION("""COMPUTED_VALUE"""),"9")</f>
        <v>9</v>
      </c>
      <c r="N4" t="str">
        <f>IFERROR(__xludf.DUMMYFUNCTION("""COMPUTED_VALUE"""),"0.222")</f>
        <v>0.222</v>
      </c>
      <c r="O4" t="str">
        <f>IFERROR(__xludf.DUMMYFUNCTION("""COMPUTED_VALUE"""),"7")</f>
        <v>7</v>
      </c>
      <c r="P4" t="str">
        <f>IFERROR(__xludf.DUMMYFUNCTION("""COMPUTED_VALUE"""),"10")</f>
        <v>10</v>
      </c>
      <c r="Q4" t="str">
        <f>IFERROR(__xludf.DUMMYFUNCTION("""COMPUTED_VALUE"""),"0.7")</f>
        <v>0.7</v>
      </c>
      <c r="R4" t="str">
        <f>IFERROR(__xludf.DUMMYFUNCTION("""COMPUTED_VALUE"""),"0.526")</f>
        <v>0.526</v>
      </c>
      <c r="S4" t="str">
        <f>IFERROR(__xludf.DUMMYFUNCTION("""COMPUTED_VALUE"""),"8")</f>
        <v>8</v>
      </c>
      <c r="T4" t="str">
        <f>IFERROR(__xludf.DUMMYFUNCTION("""COMPUTED_VALUE"""),"9")</f>
        <v>9</v>
      </c>
      <c r="U4" t="str">
        <f>IFERROR(__xludf.DUMMYFUNCTION("""COMPUTED_VALUE"""),"0.889")</f>
        <v>0.889</v>
      </c>
      <c r="V4" t="str">
        <f>IFERROR(__xludf.DUMMYFUNCTION("""COMPUTED_VALUE"""),"1")</f>
        <v>1</v>
      </c>
      <c r="W4" t="str">
        <f>IFERROR(__xludf.DUMMYFUNCTION("""COMPUTED_VALUE"""),"3")</f>
        <v>3</v>
      </c>
      <c r="X4" t="str">
        <f>IFERROR(__xludf.DUMMYFUNCTION("""COMPUTED_VALUE"""),"4")</f>
        <v>4</v>
      </c>
      <c r="Y4" t="str">
        <f>IFERROR(__xludf.DUMMYFUNCTION("""COMPUTED_VALUE"""),"5")</f>
        <v>5</v>
      </c>
      <c r="Z4" t="str">
        <f>IFERROR(__xludf.DUMMYFUNCTION("""COMPUTED_VALUE"""),"3")</f>
        <v>3</v>
      </c>
      <c r="AA4" t="str">
        <f>IFERROR(__xludf.DUMMYFUNCTION("""COMPUTED_VALUE"""),"3")</f>
        <v>3</v>
      </c>
      <c r="AB4" t="str">
        <f>IFERROR(__xludf.DUMMYFUNCTION("""COMPUTED_VALUE"""),"2")</f>
        <v>2</v>
      </c>
      <c r="AC4" t="str">
        <f>IFERROR(__xludf.DUMMYFUNCTION("""COMPUTED_VALUE"""),"3")</f>
        <v>3</v>
      </c>
      <c r="AD4" t="str">
        <f>IFERROR(__xludf.DUMMYFUNCTION("""COMPUTED_VALUE"""),"28")</f>
        <v>28</v>
      </c>
      <c r="AE4" t="str">
        <f>IFERROR(__xludf.DUMMYFUNCTION("""COMPUTED_VALUE"""),"0")</f>
        <v>0</v>
      </c>
      <c r="AF4" t="str">
        <f>IFERROR(__xludf.DUMMYFUNCTION("""COMPUTED_VALUE"""),"")</f>
        <v/>
      </c>
    </row>
    <row r="5">
      <c r="A5" t="str">
        <f>IFERROR(__xludf.DUMMYFUNCTION("""COMPUTED_VALUE"""),"4")</f>
        <v>4</v>
      </c>
      <c r="B5" s="2" t="str">
        <f>IFERROR(__xludf.DUMMYFUNCTION("""COMPUTED_VALUE"""),"Stephon Castle")</f>
        <v>Stephon Castle</v>
      </c>
      <c r="C5" t="str">
        <f>IFERROR(__xludf.DUMMYFUNCTION("""COMPUTED_VALUE"""),"22")</f>
        <v>22</v>
      </c>
      <c r="D5" t="str">
        <f>IFERROR(__xludf.DUMMYFUNCTION("""COMPUTED_VALUE"""),"SAS")</f>
        <v>SAS</v>
      </c>
      <c r="E5" t="str">
        <f>IFERROR(__xludf.DUMMYFUNCTION("""COMPUTED_VALUE"""),"PG")</f>
        <v>PG</v>
      </c>
      <c r="F5" t="str">
        <f>IFERROR(__xludf.DUMMYFUNCTION("""COMPUTED_VALUE"""),"1")</f>
        <v>1</v>
      </c>
      <c r="G5" t="str">
        <f>IFERROR(__xludf.DUMMYFUNCTION("""COMPUTED_VALUE"""),"1")</f>
        <v>1</v>
      </c>
      <c r="H5" t="str">
        <f>IFERROR(__xludf.DUMMYFUNCTION("""COMPUTED_VALUE"""),"28")</f>
        <v>28</v>
      </c>
      <c r="I5" t="str">
        <f>IFERROR(__xludf.DUMMYFUNCTION("""COMPUTED_VALUE"""),"9")</f>
        <v>9</v>
      </c>
      <c r="J5" t="str">
        <f>IFERROR(__xludf.DUMMYFUNCTION("""COMPUTED_VALUE"""),"21")</f>
        <v>21</v>
      </c>
      <c r="K5" t="str">
        <f>IFERROR(__xludf.DUMMYFUNCTION("""COMPUTED_VALUE"""),"0.429")</f>
        <v>0.429</v>
      </c>
      <c r="L5" t="str">
        <f>IFERROR(__xludf.DUMMYFUNCTION("""COMPUTED_VALUE"""),"5")</f>
        <v>5</v>
      </c>
      <c r="M5" t="str">
        <f>IFERROR(__xludf.DUMMYFUNCTION("""COMPUTED_VALUE"""),"12")</f>
        <v>12</v>
      </c>
      <c r="N5" t="str">
        <f>IFERROR(__xludf.DUMMYFUNCTION("""COMPUTED_VALUE"""),"0.417")</f>
        <v>0.417</v>
      </c>
      <c r="O5" t="str">
        <f>IFERROR(__xludf.DUMMYFUNCTION("""COMPUTED_VALUE"""),"4")</f>
        <v>4</v>
      </c>
      <c r="P5" t="str">
        <f>IFERROR(__xludf.DUMMYFUNCTION("""COMPUTED_VALUE"""),"9")</f>
        <v>9</v>
      </c>
      <c r="Q5" t="str">
        <f>IFERROR(__xludf.DUMMYFUNCTION("""COMPUTED_VALUE"""),"0.444")</f>
        <v>0.444</v>
      </c>
      <c r="R5" t="str">
        <f>IFERROR(__xludf.DUMMYFUNCTION("""COMPUTED_VALUE"""),"0.548")</f>
        <v>0.548</v>
      </c>
      <c r="S5" t="str">
        <f>IFERROR(__xludf.DUMMYFUNCTION("""COMPUTED_VALUE"""),"1")</f>
        <v>1</v>
      </c>
      <c r="T5" t="str">
        <f>IFERROR(__xludf.DUMMYFUNCTION("""COMPUTED_VALUE"""),"1")</f>
        <v>1</v>
      </c>
      <c r="U5" t="str">
        <f>IFERROR(__xludf.DUMMYFUNCTION("""COMPUTED_VALUE"""),"1")</f>
        <v>1</v>
      </c>
      <c r="V5" t="str">
        <f>IFERROR(__xludf.DUMMYFUNCTION("""COMPUTED_VALUE"""),"2")</f>
        <v>2</v>
      </c>
      <c r="W5" t="str">
        <f>IFERROR(__xludf.DUMMYFUNCTION("""COMPUTED_VALUE"""),"5")</f>
        <v>5</v>
      </c>
      <c r="X5" t="str">
        <f>IFERROR(__xludf.DUMMYFUNCTION("""COMPUTED_VALUE"""),"7")</f>
        <v>7</v>
      </c>
      <c r="Y5" t="str">
        <f>IFERROR(__xludf.DUMMYFUNCTION("""COMPUTED_VALUE"""),"1")</f>
        <v>1</v>
      </c>
      <c r="Z5" t="str">
        <f>IFERROR(__xludf.DUMMYFUNCTION("""COMPUTED_VALUE"""),"0")</f>
        <v>0</v>
      </c>
      <c r="AA5" t="str">
        <f>IFERROR(__xludf.DUMMYFUNCTION("""COMPUTED_VALUE"""),"0")</f>
        <v>0</v>
      </c>
      <c r="AB5" t="str">
        <f>IFERROR(__xludf.DUMMYFUNCTION("""COMPUTED_VALUE"""),"3")</f>
        <v>3</v>
      </c>
      <c r="AC5" t="str">
        <f>IFERROR(__xludf.DUMMYFUNCTION("""COMPUTED_VALUE"""),"4")</f>
        <v>4</v>
      </c>
      <c r="AD5" t="str">
        <f>IFERROR(__xludf.DUMMYFUNCTION("""COMPUTED_VALUE"""),"24")</f>
        <v>24</v>
      </c>
      <c r="AE5" t="str">
        <f>IFERROR(__xludf.DUMMYFUNCTION("""COMPUTED_VALUE"""),"0")</f>
        <v>0</v>
      </c>
      <c r="AF5" t="str">
        <f>IFERROR(__xludf.DUMMYFUNCTION("""COMPUTED_VALUE"""),"")</f>
        <v/>
      </c>
    </row>
    <row r="6">
      <c r="A6" t="str">
        <f>IFERROR(__xludf.DUMMYFUNCTION("""COMPUTED_VALUE"""),"5")</f>
        <v>5</v>
      </c>
      <c r="B6" s="2" t="str">
        <f>IFERROR(__xludf.DUMMYFUNCTION("""COMPUTED_VALUE"""),"Cade Cunningham")</f>
        <v>Cade Cunningham</v>
      </c>
      <c r="C6" t="str">
        <f>IFERROR(__xludf.DUMMYFUNCTION("""COMPUTED_VALUE"""),"25")</f>
        <v>25</v>
      </c>
      <c r="D6" t="str">
        <f>IFERROR(__xludf.DUMMYFUNCTION("""COMPUTED_VALUE"""),"DET")</f>
        <v>DET</v>
      </c>
      <c r="E6" t="str">
        <f>IFERROR(__xludf.DUMMYFUNCTION("""COMPUTED_VALUE"""),"PG")</f>
        <v>PG</v>
      </c>
      <c r="F6" t="str">
        <f>IFERROR(__xludf.DUMMYFUNCTION("""COMPUTED_VALUE"""),"1")</f>
        <v>1</v>
      </c>
      <c r="G6" t="str">
        <f>IFERROR(__xludf.DUMMYFUNCTION("""COMPUTED_VALUE"""),"1")</f>
        <v>1</v>
      </c>
      <c r="H6" t="str">
        <f>IFERROR(__xludf.DUMMYFUNCTION("""COMPUTED_VALUE"""),"35")</f>
        <v>35</v>
      </c>
      <c r="I6" t="str">
        <f>IFERROR(__xludf.DUMMYFUNCTION("""COMPUTED_VALUE"""),"8")</f>
        <v>8</v>
      </c>
      <c r="J6" t="str">
        <f>IFERROR(__xludf.DUMMYFUNCTION("""COMPUTED_VALUE"""),"18")</f>
        <v>18</v>
      </c>
      <c r="K6" t="str">
        <f>IFERROR(__xludf.DUMMYFUNCTION("""COMPUTED_VALUE"""),"0.444")</f>
        <v>0.444</v>
      </c>
      <c r="L6" t="str">
        <f>IFERROR(__xludf.DUMMYFUNCTION("""COMPUTED_VALUE"""),"1")</f>
        <v>1</v>
      </c>
      <c r="M6" t="str">
        <f>IFERROR(__xludf.DUMMYFUNCTION("""COMPUTED_VALUE"""),"6")</f>
        <v>6</v>
      </c>
      <c r="N6" t="str">
        <f>IFERROR(__xludf.DUMMYFUNCTION("""COMPUTED_VALUE"""),"0.167")</f>
        <v>0.167</v>
      </c>
      <c r="O6" t="str">
        <f>IFERROR(__xludf.DUMMYFUNCTION("""COMPUTED_VALUE"""),"7")</f>
        <v>7</v>
      </c>
      <c r="P6" t="str">
        <f>IFERROR(__xludf.DUMMYFUNCTION("""COMPUTED_VALUE"""),"12")</f>
        <v>12</v>
      </c>
      <c r="Q6" t="str">
        <f>IFERROR(__xludf.DUMMYFUNCTION("""COMPUTED_VALUE"""),"0.583")</f>
        <v>0.583</v>
      </c>
      <c r="R6" t="str">
        <f>IFERROR(__xludf.DUMMYFUNCTION("""COMPUTED_VALUE"""),"0.472")</f>
        <v>0.472</v>
      </c>
      <c r="S6" t="str">
        <f>IFERROR(__xludf.DUMMYFUNCTION("""COMPUTED_VALUE"""),"5")</f>
        <v>5</v>
      </c>
      <c r="T6" t="str">
        <f>IFERROR(__xludf.DUMMYFUNCTION("""COMPUTED_VALUE"""),"5")</f>
        <v>5</v>
      </c>
      <c r="U6" t="str">
        <f>IFERROR(__xludf.DUMMYFUNCTION("""COMPUTED_VALUE"""),"1.000")</f>
        <v>1.000</v>
      </c>
      <c r="V6" t="str">
        <f>IFERROR(__xludf.DUMMYFUNCTION("""COMPUTED_VALUE"""),"0")</f>
        <v>0</v>
      </c>
      <c r="W6" t="str">
        <f>IFERROR(__xludf.DUMMYFUNCTION("""COMPUTED_VALUE"""),"4")</f>
        <v>4</v>
      </c>
      <c r="X6" t="str">
        <f>IFERROR(__xludf.DUMMYFUNCTION("""COMPUTED_VALUE"""),"4")</f>
        <v>4</v>
      </c>
      <c r="Y6" t="str">
        <f>IFERROR(__xludf.DUMMYFUNCTION("""COMPUTED_VALUE"""),"8")</f>
        <v>8</v>
      </c>
      <c r="Z6" t="str">
        <f>IFERROR(__xludf.DUMMYFUNCTION("""COMPUTED_VALUE"""),"1")</f>
        <v>1</v>
      </c>
      <c r="AA6" t="str">
        <f>IFERROR(__xludf.DUMMYFUNCTION("""COMPUTED_VALUE"""),"1")</f>
        <v>1</v>
      </c>
      <c r="AB6" t="str">
        <f>IFERROR(__xludf.DUMMYFUNCTION("""COMPUTED_VALUE"""),"5")</f>
        <v>5</v>
      </c>
      <c r="AC6" t="str">
        <f>IFERROR(__xludf.DUMMYFUNCTION("""COMPUTED_VALUE"""),"0")</f>
        <v>0</v>
      </c>
      <c r="AD6" t="str">
        <f>IFERROR(__xludf.DUMMYFUNCTION("""COMPUTED_VALUE"""),"22")</f>
        <v>22</v>
      </c>
      <c r="AE6" t="str">
        <f>IFERROR(__xludf.DUMMYFUNCTION("""COMPUTED_VALUE"""),"0")</f>
        <v>0</v>
      </c>
      <c r="AF6" t="str">
        <f>IFERROR(__xludf.DUMMYFUNCTION("""COMPUTED_VALUE"""),"")</f>
        <v/>
      </c>
    </row>
    <row r="7">
      <c r="A7" t="str">
        <f>IFERROR(__xludf.DUMMYFUNCTION("""COMPUTED_VALUE"""),"6")</f>
        <v>6</v>
      </c>
      <c r="B7" s="2" t="str">
        <f>IFERROR(__xludf.DUMMYFUNCTION("""COMPUTED_VALUE"""),"Jalen Duren")</f>
        <v>Jalen Duren</v>
      </c>
      <c r="C7" t="str">
        <f>IFERROR(__xludf.DUMMYFUNCTION("""COMPUTED_VALUE"""),"23")</f>
        <v>23</v>
      </c>
      <c r="D7" t="str">
        <f>IFERROR(__xludf.DUMMYFUNCTION("""COMPUTED_VALUE"""),"DET")</f>
        <v>DET</v>
      </c>
      <c r="E7" t="str">
        <f>IFERROR(__xludf.DUMMYFUNCTION("""COMPUTED_VALUE"""),"C")</f>
        <v>C</v>
      </c>
      <c r="F7" t="str">
        <f>IFERROR(__xludf.DUMMYFUNCTION("""COMPUTED_VALUE"""),"1")</f>
        <v>1</v>
      </c>
      <c r="G7" t="str">
        <f>IFERROR(__xludf.DUMMYFUNCTION("""COMPUTED_VALUE"""),"1")</f>
        <v>1</v>
      </c>
      <c r="H7" t="str">
        <f>IFERROR(__xludf.DUMMYFUNCTION("""COMPUTED_VALUE"""),"28")</f>
        <v>28</v>
      </c>
      <c r="I7" t="str">
        <f>IFERROR(__xludf.DUMMYFUNCTION("""COMPUTED_VALUE"""),"8")</f>
        <v>8</v>
      </c>
      <c r="J7" t="str">
        <f>IFERROR(__xludf.DUMMYFUNCTION("""COMPUTED_VALUE"""),"13")</f>
        <v>13</v>
      </c>
      <c r="K7" t="str">
        <f>IFERROR(__xludf.DUMMYFUNCTION("""COMPUTED_VALUE"""),"0.615")</f>
        <v>0.615</v>
      </c>
      <c r="L7" t="str">
        <f>IFERROR(__xludf.DUMMYFUNCTION("""COMPUTED_VALUE"""),"0")</f>
        <v>0</v>
      </c>
      <c r="M7" t="str">
        <f>IFERROR(__xludf.DUMMYFUNCTION("""COMPUTED_VALUE"""),"0")</f>
        <v>0</v>
      </c>
      <c r="N7" t="str">
        <f>IFERROR(__xludf.DUMMYFUNCTION("""COMPUTED_VALUE"""),"")</f>
        <v/>
      </c>
      <c r="O7" t="str">
        <f>IFERROR(__xludf.DUMMYFUNCTION("""COMPUTED_VALUE"""),"8")</f>
        <v>8</v>
      </c>
      <c r="P7" t="str">
        <f>IFERROR(__xludf.DUMMYFUNCTION("""COMPUTED_VALUE"""),"13")</f>
        <v>13</v>
      </c>
      <c r="Q7" t="str">
        <f>IFERROR(__xludf.DUMMYFUNCTION("""COMPUTED_VALUE"""),"0.615")</f>
        <v>0.615</v>
      </c>
      <c r="R7" t="str">
        <f>IFERROR(__xludf.DUMMYFUNCTION("""COMPUTED_VALUE"""),"0.615")</f>
        <v>0.615</v>
      </c>
      <c r="S7" t="str">
        <f>IFERROR(__xludf.DUMMYFUNCTION("""COMPUTED_VALUE"""),"6")</f>
        <v>6</v>
      </c>
      <c r="T7" t="str">
        <f>IFERROR(__xludf.DUMMYFUNCTION("""COMPUTED_VALUE"""),"7")</f>
        <v>7</v>
      </c>
      <c r="U7" t="str">
        <f>IFERROR(__xludf.DUMMYFUNCTION("""COMPUTED_VALUE"""),"0.857")</f>
        <v>0.857</v>
      </c>
      <c r="V7" t="str">
        <f>IFERROR(__xludf.DUMMYFUNCTION("""COMPUTED_VALUE"""),"3")</f>
        <v>3</v>
      </c>
      <c r="W7" t="str">
        <f>IFERROR(__xludf.DUMMYFUNCTION("""COMPUTED_VALUE"""),"6")</f>
        <v>6</v>
      </c>
      <c r="X7" t="str">
        <f>IFERROR(__xludf.DUMMYFUNCTION("""COMPUTED_VALUE"""),"9")</f>
        <v>9</v>
      </c>
      <c r="Y7" t="str">
        <f>IFERROR(__xludf.DUMMYFUNCTION("""COMPUTED_VALUE"""),"1")</f>
        <v>1</v>
      </c>
      <c r="Z7" t="str">
        <f>IFERROR(__xludf.DUMMYFUNCTION("""COMPUTED_VALUE"""),"1")</f>
        <v>1</v>
      </c>
      <c r="AA7" t="str">
        <f>IFERROR(__xludf.DUMMYFUNCTION("""COMPUTED_VALUE"""),"1")</f>
        <v>1</v>
      </c>
      <c r="AB7" t="str">
        <f>IFERROR(__xludf.DUMMYFUNCTION("""COMPUTED_VALUE"""),"1")</f>
        <v>1</v>
      </c>
      <c r="AC7" t="str">
        <f>IFERROR(__xludf.DUMMYFUNCTION("""COMPUTED_VALUE"""),"2")</f>
        <v>2</v>
      </c>
      <c r="AD7" t="str">
        <f>IFERROR(__xludf.DUMMYFUNCTION("""COMPUTED_VALUE"""),"22")</f>
        <v>22</v>
      </c>
      <c r="AE7" t="str">
        <f>IFERROR(__xludf.DUMMYFUNCTION("""COMPUTED_VALUE"""),"0")</f>
        <v>0</v>
      </c>
      <c r="AF7" t="str">
        <f>IFERROR(__xludf.DUMMYFUNCTION("""COMPUTED_VALUE"""),"")</f>
        <v/>
      </c>
    </row>
    <row r="8">
      <c r="A8" t="str">
        <f>IFERROR(__xludf.DUMMYFUNCTION("""COMPUTED_VALUE"""),"7")</f>
        <v>7</v>
      </c>
      <c r="B8" s="2" t="str">
        <f>IFERROR(__xludf.DUMMYFUNCTION("""COMPUTED_VALUE"""),"Jalen Brunson")</f>
        <v>Jalen Brunson</v>
      </c>
      <c r="C8" t="str">
        <f>IFERROR(__xludf.DUMMYFUNCTION("""COMPUTED_VALUE"""),"30")</f>
        <v>30</v>
      </c>
      <c r="D8" t="str">
        <f>IFERROR(__xludf.DUMMYFUNCTION("""COMPUTED_VALUE"""),"NYK")</f>
        <v>NYK</v>
      </c>
      <c r="E8" t="str">
        <f>IFERROR(__xludf.DUMMYFUNCTION("""COMPUTED_VALUE"""),"PG")</f>
        <v>PG</v>
      </c>
      <c r="F8" t="str">
        <f>IFERROR(__xludf.DUMMYFUNCTION("""COMPUTED_VALUE"""),"1")</f>
        <v>1</v>
      </c>
      <c r="G8" t="str">
        <f>IFERROR(__xludf.DUMMYFUNCTION("""COMPUTED_VALUE"""),"1")</f>
        <v>1</v>
      </c>
      <c r="H8" t="str">
        <f>IFERROR(__xludf.DUMMYFUNCTION("""COMPUTED_VALUE"""),"34")</f>
        <v>34</v>
      </c>
      <c r="I8" t="str">
        <f>IFERROR(__xludf.DUMMYFUNCTION("""COMPUTED_VALUE"""),"6")</f>
        <v>6</v>
      </c>
      <c r="J8" t="str">
        <f>IFERROR(__xludf.DUMMYFUNCTION("""COMPUTED_VALUE"""),"19")</f>
        <v>19</v>
      </c>
      <c r="K8" t="str">
        <f>IFERROR(__xludf.DUMMYFUNCTION("""COMPUTED_VALUE"""),"0.316")</f>
        <v>0.316</v>
      </c>
      <c r="L8" t="str">
        <f>IFERROR(__xludf.DUMMYFUNCTION("""COMPUTED_VALUE"""),"1")</f>
        <v>1</v>
      </c>
      <c r="M8" t="str">
        <f>IFERROR(__xludf.DUMMYFUNCTION("""COMPUTED_VALUE"""),"3")</f>
        <v>3</v>
      </c>
      <c r="N8" t="str">
        <f>IFERROR(__xludf.DUMMYFUNCTION("""COMPUTED_VALUE"""),"0.333")</f>
        <v>0.333</v>
      </c>
      <c r="O8" t="str">
        <f>IFERROR(__xludf.DUMMYFUNCTION("""COMPUTED_VALUE"""),"5")</f>
        <v>5</v>
      </c>
      <c r="P8" t="str">
        <f>IFERROR(__xludf.DUMMYFUNCTION("""COMPUTED_VALUE"""),"16")</f>
        <v>16</v>
      </c>
      <c r="Q8" t="str">
        <f>IFERROR(__xludf.DUMMYFUNCTION("""COMPUTED_VALUE"""),"0.313")</f>
        <v>0.313</v>
      </c>
      <c r="R8" t="str">
        <f>IFERROR(__xludf.DUMMYFUNCTION("""COMPUTED_VALUE"""),"0.342")</f>
        <v>0.342</v>
      </c>
      <c r="S8" t="str">
        <f>IFERROR(__xludf.DUMMYFUNCTION("""COMPUTED_VALUE"""),"8")</f>
        <v>8</v>
      </c>
      <c r="T8" t="str">
        <f>IFERROR(__xludf.DUMMYFUNCTION("""COMPUTED_VALUE"""),"8")</f>
        <v>8</v>
      </c>
      <c r="U8" t="str">
        <f>IFERROR(__xludf.DUMMYFUNCTION("""COMPUTED_VALUE"""),"1.000")</f>
        <v>1.000</v>
      </c>
      <c r="V8" t="str">
        <f>IFERROR(__xludf.DUMMYFUNCTION("""COMPUTED_VALUE"""),"0")</f>
        <v>0</v>
      </c>
      <c r="W8" t="str">
        <f>IFERROR(__xludf.DUMMYFUNCTION("""COMPUTED_VALUE"""),"5")</f>
        <v>5</v>
      </c>
      <c r="X8" t="str">
        <f>IFERROR(__xludf.DUMMYFUNCTION("""COMPUTED_VALUE"""),"5")</f>
        <v>5</v>
      </c>
      <c r="Y8" t="str">
        <f>IFERROR(__xludf.DUMMYFUNCTION("""COMPUTED_VALUE"""),"3")</f>
        <v>3</v>
      </c>
      <c r="Z8" t="str">
        <f>IFERROR(__xludf.DUMMYFUNCTION("""COMPUTED_VALUE"""),"0")</f>
        <v>0</v>
      </c>
      <c r="AA8" t="str">
        <f>IFERROR(__xludf.DUMMYFUNCTION("""COMPUTED_VALUE"""),"0")</f>
        <v>0</v>
      </c>
      <c r="AB8" t="str">
        <f>IFERROR(__xludf.DUMMYFUNCTION("""COMPUTED_VALUE"""),"2")</f>
        <v>2</v>
      </c>
      <c r="AC8" t="str">
        <f>IFERROR(__xludf.DUMMYFUNCTION("""COMPUTED_VALUE"""),"1")</f>
        <v>1</v>
      </c>
      <c r="AD8" t="str">
        <f>IFERROR(__xludf.DUMMYFUNCTION("""COMPUTED_VALUE"""),"21")</f>
        <v>21</v>
      </c>
      <c r="AE8" t="str">
        <f>IFERROR(__xludf.DUMMYFUNCTION("""COMPUTED_VALUE"""),"0")</f>
        <v>0</v>
      </c>
      <c r="AF8" t="str">
        <f>IFERROR(__xludf.DUMMYFUNCTION("""COMPUTED_VALUE"""),"")</f>
        <v/>
      </c>
    </row>
    <row r="9">
      <c r="A9" t="str">
        <f>IFERROR(__xludf.DUMMYFUNCTION("""COMPUTED_VALUE"""),"8")</f>
        <v>8</v>
      </c>
      <c r="B9" s="2" t="str">
        <f>IFERROR(__xludf.DUMMYFUNCTION("""COMPUTED_VALUE"""),"Duncan Robinson")</f>
        <v>Duncan Robinson</v>
      </c>
      <c r="C9" t="str">
        <f>IFERROR(__xludf.DUMMYFUNCTION("""COMPUTED_VALUE"""),"32")</f>
        <v>32</v>
      </c>
      <c r="D9" t="str">
        <f>IFERROR(__xludf.DUMMYFUNCTION("""COMPUTED_VALUE"""),"DET")</f>
        <v>DET</v>
      </c>
      <c r="E9" t="str">
        <f>IFERROR(__xludf.DUMMYFUNCTION("""COMPUTED_VALUE"""),"SF")</f>
        <v>SF</v>
      </c>
      <c r="F9" t="str">
        <f>IFERROR(__xludf.DUMMYFUNCTION("""COMPUTED_VALUE"""),"1")</f>
        <v>1</v>
      </c>
      <c r="G9" t="str">
        <f>IFERROR(__xludf.DUMMYFUNCTION("""COMPUTED_VALUE"""),"1")</f>
        <v>1</v>
      </c>
      <c r="H9" t="str">
        <f>IFERROR(__xludf.DUMMYFUNCTION("""COMPUTED_VALUE"""),"28")</f>
        <v>28</v>
      </c>
      <c r="I9" t="str">
        <f>IFERROR(__xludf.DUMMYFUNCTION("""COMPUTED_VALUE"""),"5")</f>
        <v>5</v>
      </c>
      <c r="J9" t="str">
        <f>IFERROR(__xludf.DUMMYFUNCTION("""COMPUTED_VALUE"""),"10")</f>
        <v>10</v>
      </c>
      <c r="K9" t="str">
        <f>IFERROR(__xludf.DUMMYFUNCTION("""COMPUTED_VALUE"""),"0.5")</f>
        <v>0.5</v>
      </c>
      <c r="L9" t="str">
        <f>IFERROR(__xludf.DUMMYFUNCTION("""COMPUTED_VALUE"""),"5")</f>
        <v>5</v>
      </c>
      <c r="M9" t="str">
        <f>IFERROR(__xludf.DUMMYFUNCTION("""COMPUTED_VALUE"""),"9")</f>
        <v>9</v>
      </c>
      <c r="N9" t="str">
        <f>IFERROR(__xludf.DUMMYFUNCTION("""COMPUTED_VALUE"""),"0.556")</f>
        <v>0.556</v>
      </c>
      <c r="O9" t="str">
        <f>IFERROR(__xludf.DUMMYFUNCTION("""COMPUTED_VALUE"""),"0")</f>
        <v>0</v>
      </c>
      <c r="P9" t="str">
        <f>IFERROR(__xludf.DUMMYFUNCTION("""COMPUTED_VALUE"""),"1")</f>
        <v>1</v>
      </c>
      <c r="Q9" t="str">
        <f>IFERROR(__xludf.DUMMYFUNCTION("""COMPUTED_VALUE"""),"0")</f>
        <v>0</v>
      </c>
      <c r="R9" t="str">
        <f>IFERROR(__xludf.DUMMYFUNCTION("""COMPUTED_VALUE"""),"0.75")</f>
        <v>0.75</v>
      </c>
      <c r="S9" t="str">
        <f>IFERROR(__xludf.DUMMYFUNCTION("""COMPUTED_VALUE"""),"6")</f>
        <v>6</v>
      </c>
      <c r="T9" t="str">
        <f>IFERROR(__xludf.DUMMYFUNCTION("""COMPUTED_VALUE"""),"8")</f>
        <v>8</v>
      </c>
      <c r="U9" t="str">
        <f>IFERROR(__xludf.DUMMYFUNCTION("""COMPUTED_VALUE"""),"0.75")</f>
        <v>0.75</v>
      </c>
      <c r="V9" t="str">
        <f>IFERROR(__xludf.DUMMYFUNCTION("""COMPUTED_VALUE"""),"0")</f>
        <v>0</v>
      </c>
      <c r="W9" t="str">
        <f>IFERROR(__xludf.DUMMYFUNCTION("""COMPUTED_VALUE"""),"2")</f>
        <v>2</v>
      </c>
      <c r="X9" t="str">
        <f>IFERROR(__xludf.DUMMYFUNCTION("""COMPUTED_VALUE"""),"2")</f>
        <v>2</v>
      </c>
      <c r="Y9" t="str">
        <f>IFERROR(__xludf.DUMMYFUNCTION("""COMPUTED_VALUE"""),"2")</f>
        <v>2</v>
      </c>
      <c r="Z9" t="str">
        <f>IFERROR(__xludf.DUMMYFUNCTION("""COMPUTED_VALUE"""),"1")</f>
        <v>1</v>
      </c>
      <c r="AA9" t="str">
        <f>IFERROR(__xludf.DUMMYFUNCTION("""COMPUTED_VALUE"""),"0")</f>
        <v>0</v>
      </c>
      <c r="AB9" t="str">
        <f>IFERROR(__xludf.DUMMYFUNCTION("""COMPUTED_VALUE"""),"3")</f>
        <v>3</v>
      </c>
      <c r="AC9" t="str">
        <f>IFERROR(__xludf.DUMMYFUNCTION("""COMPUTED_VALUE"""),"4")</f>
        <v>4</v>
      </c>
      <c r="AD9" t="str">
        <f>IFERROR(__xludf.DUMMYFUNCTION("""COMPUTED_VALUE"""),"21")</f>
        <v>21</v>
      </c>
      <c r="AE9" t="str">
        <f>IFERROR(__xludf.DUMMYFUNCTION("""COMPUTED_VALUE"""),"0")</f>
        <v>0</v>
      </c>
      <c r="AF9" t="str">
        <f>IFERROR(__xludf.DUMMYFUNCTION("""COMPUTED_VALUE"""),"")</f>
        <v/>
      </c>
    </row>
    <row r="10">
      <c r="A10" t="str">
        <f>IFERROR(__xludf.DUMMYFUNCTION("""COMPUTED_VALUE"""),"9")</f>
        <v>9</v>
      </c>
      <c r="B10" s="2" t="str">
        <f>IFERROR(__xludf.DUMMYFUNCTION("""COMPUTED_VALUE"""),"Jared McCain")</f>
        <v>Jared McCain</v>
      </c>
      <c r="C10" t="str">
        <f>IFERROR(__xludf.DUMMYFUNCTION("""COMPUTED_VALUE"""),"22")</f>
        <v>22</v>
      </c>
      <c r="D10" t="str">
        <f>IFERROR(__xludf.DUMMYFUNCTION("""COMPUTED_VALUE"""),"OKC")</f>
        <v>OKC</v>
      </c>
      <c r="E10" t="str">
        <f>IFERROR(__xludf.DUMMYFUNCTION("""COMPUTED_VALUE"""),"SG")</f>
        <v>SG</v>
      </c>
      <c r="F10" t="str">
        <f>IFERROR(__xludf.DUMMYFUNCTION("""COMPUTED_VALUE"""),"1")</f>
        <v>1</v>
      </c>
      <c r="G10" t="str">
        <f>IFERROR(__xludf.DUMMYFUNCTION("""COMPUTED_VALUE"""),"0")</f>
        <v>0</v>
      </c>
      <c r="H10" t="str">
        <f>IFERROR(__xludf.DUMMYFUNCTION("""COMPUTED_VALUE"""),"22")</f>
        <v>22</v>
      </c>
      <c r="I10" t="str">
        <f>IFERROR(__xludf.DUMMYFUNCTION("""COMPUTED_VALUE"""),"7")</f>
        <v>7</v>
      </c>
      <c r="J10" t="str">
        <f>IFERROR(__xludf.DUMMYFUNCTION("""COMPUTED_VALUE"""),"9")</f>
        <v>9</v>
      </c>
      <c r="K10" t="str">
        <f>IFERROR(__xludf.DUMMYFUNCTION("""COMPUTED_VALUE"""),".778")</f>
        <v>.778</v>
      </c>
      <c r="L10" t="str">
        <f>IFERROR(__xludf.DUMMYFUNCTION("""COMPUTED_VALUE"""),"6")</f>
        <v>6</v>
      </c>
      <c r="M10" t="str">
        <f>IFERROR(__xludf.DUMMYFUNCTION("""COMPUTED_VALUE"""),"8")</f>
        <v>8</v>
      </c>
      <c r="N10" t="str">
        <f>IFERROR(__xludf.DUMMYFUNCTION("""COMPUTED_VALUE"""),"0.75")</f>
        <v>0.75</v>
      </c>
      <c r="O10" t="str">
        <f>IFERROR(__xludf.DUMMYFUNCTION("""COMPUTED_VALUE"""),"1")</f>
        <v>1</v>
      </c>
      <c r="P10" t="str">
        <f>IFERROR(__xludf.DUMMYFUNCTION("""COMPUTED_VALUE"""),"1")</f>
        <v>1</v>
      </c>
      <c r="Q10" t="str">
        <f>IFERROR(__xludf.DUMMYFUNCTION("""COMPUTED_VALUE"""),"1.000")</f>
        <v>1.000</v>
      </c>
      <c r="R10" t="str">
        <f>IFERROR(__xludf.DUMMYFUNCTION("""COMPUTED_VALUE"""),"1.111")</f>
        <v>1.111</v>
      </c>
      <c r="S10" t="str">
        <f>IFERROR(__xludf.DUMMYFUNCTION("""COMPUTED_VALUE"""),"0")</f>
        <v>0</v>
      </c>
      <c r="T10" t="str">
        <f>IFERROR(__xludf.DUMMYFUNCTION("""COMPUTED_VALUE"""),"0")</f>
        <v>0</v>
      </c>
      <c r="U10" t="str">
        <f>IFERROR(__xludf.DUMMYFUNCTION("""COMPUTED_VALUE"""),"")</f>
        <v/>
      </c>
      <c r="V10" t="str">
        <f>IFERROR(__xludf.DUMMYFUNCTION("""COMPUTED_VALUE"""),"0")</f>
        <v>0</v>
      </c>
      <c r="W10" t="str">
        <f>IFERROR(__xludf.DUMMYFUNCTION("""COMPUTED_VALUE"""),"2")</f>
        <v>2</v>
      </c>
      <c r="X10" t="str">
        <f>IFERROR(__xludf.DUMMYFUNCTION("""COMPUTED_VALUE"""),"2")</f>
        <v>2</v>
      </c>
      <c r="Y10" t="str">
        <f>IFERROR(__xludf.DUMMYFUNCTION("""COMPUTED_VALUE"""),"2")</f>
        <v>2</v>
      </c>
      <c r="Z10" t="str">
        <f>IFERROR(__xludf.DUMMYFUNCTION("""COMPUTED_VALUE"""),"1")</f>
        <v>1</v>
      </c>
      <c r="AA10" t="str">
        <f>IFERROR(__xludf.DUMMYFUNCTION("""COMPUTED_VALUE"""),"0")</f>
        <v>0</v>
      </c>
      <c r="AB10" t="str">
        <f>IFERROR(__xludf.DUMMYFUNCTION("""COMPUTED_VALUE"""),"2")</f>
        <v>2</v>
      </c>
      <c r="AC10" t="str">
        <f>IFERROR(__xludf.DUMMYFUNCTION("""COMPUTED_VALUE"""),"1")</f>
        <v>1</v>
      </c>
      <c r="AD10" t="str">
        <f>IFERROR(__xludf.DUMMYFUNCTION("""COMPUTED_VALUE"""),"20")</f>
        <v>20</v>
      </c>
      <c r="AE10" t="str">
        <f>IFERROR(__xludf.DUMMYFUNCTION("""COMPUTED_VALUE"""),"0")</f>
        <v>0</v>
      </c>
      <c r="AF10" t="str">
        <f>IFERROR(__xludf.DUMMYFUNCTION("""COMPUTED_VALUE"""),"")</f>
        <v/>
      </c>
    </row>
    <row r="11">
      <c r="A11" t="str">
        <f>IFERROR(__xludf.DUMMYFUNCTION("""COMPUTED_VALUE"""),"10")</f>
        <v>10</v>
      </c>
      <c r="B11" s="2" t="str">
        <f>IFERROR(__xludf.DUMMYFUNCTION("""COMPUTED_VALUE"""),"Jaylen Brown")</f>
        <v>Jaylen Brown</v>
      </c>
      <c r="C11" t="str">
        <f>IFERROR(__xludf.DUMMYFUNCTION("""COMPUTED_VALUE"""),"30")</f>
        <v>30</v>
      </c>
      <c r="D11" t="str">
        <f>IFERROR(__xludf.DUMMYFUNCTION("""COMPUTED_VALUE"""),"PHI")</f>
        <v>PHI</v>
      </c>
      <c r="E11" t="str">
        <f>IFERROR(__xludf.DUMMYFUNCTION("""COMPUTED_VALUE"""),"SF")</f>
        <v>SF</v>
      </c>
      <c r="F11" t="str">
        <f>IFERROR(__xludf.DUMMYFUNCTION("""COMPUTED_VALUE"""),"1")</f>
        <v>1</v>
      </c>
      <c r="G11" t="str">
        <f>IFERROR(__xludf.DUMMYFUNCTION("""COMPUTED_VALUE"""),"1")</f>
        <v>1</v>
      </c>
      <c r="H11" t="str">
        <f>IFERROR(__xludf.DUMMYFUNCTION("""COMPUTED_VALUE"""),"35")</f>
        <v>35</v>
      </c>
      <c r="I11" t="str">
        <f>IFERROR(__xludf.DUMMYFUNCTION("""COMPUTED_VALUE"""),"7")</f>
        <v>7</v>
      </c>
      <c r="J11" t="str">
        <f>IFERROR(__xludf.DUMMYFUNCTION("""COMPUTED_VALUE"""),"14")</f>
        <v>14</v>
      </c>
      <c r="K11" t="str">
        <f>IFERROR(__xludf.DUMMYFUNCTION("""COMPUTED_VALUE"""),"0.5")</f>
        <v>0.5</v>
      </c>
      <c r="L11" t="str">
        <f>IFERROR(__xludf.DUMMYFUNCTION("""COMPUTED_VALUE"""),"2")</f>
        <v>2</v>
      </c>
      <c r="M11" t="str">
        <f>IFERROR(__xludf.DUMMYFUNCTION("""COMPUTED_VALUE"""),"4")</f>
        <v>4</v>
      </c>
      <c r="N11" t="str">
        <f>IFERROR(__xludf.DUMMYFUNCTION("""COMPUTED_VALUE"""),"0.5")</f>
        <v>0.5</v>
      </c>
      <c r="O11" t="str">
        <f>IFERROR(__xludf.DUMMYFUNCTION("""COMPUTED_VALUE"""),"5")</f>
        <v>5</v>
      </c>
      <c r="P11" t="str">
        <f>IFERROR(__xludf.DUMMYFUNCTION("""COMPUTED_VALUE"""),"10")</f>
        <v>10</v>
      </c>
      <c r="Q11" s="1" t="str">
        <f>IFERROR(__xludf.DUMMYFUNCTION("""COMPUTED_VALUE"""),"0.5")</f>
        <v>0.5</v>
      </c>
      <c r="R11" t="str">
        <f>IFERROR(__xludf.DUMMYFUNCTION("""COMPUTED_VALUE"""),"0.571")</f>
        <v>0.571</v>
      </c>
      <c r="S11" t="str">
        <f>IFERROR(__xludf.DUMMYFUNCTION("""COMPUTED_VALUE"""),"3")</f>
        <v>3</v>
      </c>
      <c r="T11" t="str">
        <f>IFERROR(__xludf.DUMMYFUNCTION("""COMPUTED_VALUE"""),"4")</f>
        <v>4</v>
      </c>
      <c r="U11" t="str">
        <f>IFERROR(__xludf.DUMMYFUNCTION("""COMPUTED_VALUE"""),"0.75")</f>
        <v>0.75</v>
      </c>
      <c r="V11" t="str">
        <f>IFERROR(__xludf.DUMMYFUNCTION("""COMPUTED_VALUE"""),"1")</f>
        <v>1</v>
      </c>
      <c r="W11" t="str">
        <f>IFERROR(__xludf.DUMMYFUNCTION("""COMPUTED_VALUE"""),"7")</f>
        <v>7</v>
      </c>
      <c r="X11" t="str">
        <f>IFERROR(__xludf.DUMMYFUNCTION("""COMPUTED_VALUE"""),"8")</f>
        <v>8</v>
      </c>
      <c r="Y11" t="str">
        <f>IFERROR(__xludf.DUMMYFUNCTION("""COMPUTED_VALUE"""),"6")</f>
        <v>6</v>
      </c>
      <c r="Z11" t="str">
        <f>IFERROR(__xludf.DUMMYFUNCTION("""COMPUTED_VALUE"""),"1")</f>
        <v>1</v>
      </c>
      <c r="AA11" t="str">
        <f>IFERROR(__xludf.DUMMYFUNCTION("""COMPUTED_VALUE"""),"1")</f>
        <v>1</v>
      </c>
      <c r="AB11" t="str">
        <f>IFERROR(__xludf.DUMMYFUNCTION("""COMPUTED_VALUE"""),"2")</f>
        <v>2</v>
      </c>
      <c r="AC11" t="str">
        <f>IFERROR(__xludf.DUMMYFUNCTION("""COMPUTED_VALUE"""),"1")</f>
        <v>1</v>
      </c>
      <c r="AD11" t="str">
        <f>IFERROR(__xludf.DUMMYFUNCTION("""COMPUTED_VALUE"""),"19")</f>
        <v>19</v>
      </c>
      <c r="AE11" t="str">
        <f>IFERROR(__xludf.DUMMYFUNCTION("""COMPUTED_VALUE"""),"0")</f>
        <v>0</v>
      </c>
      <c r="AF11" t="str">
        <f>IFERROR(__xludf.DUMMYFUNCTION("""COMPUTED_VALUE"""),"")</f>
        <v/>
      </c>
    </row>
    <row r="12">
      <c r="A12" t="str">
        <f>IFERROR(__xludf.DUMMYFUNCTION("""COMPUTED_VALUE"""),"11")</f>
        <v>11</v>
      </c>
      <c r="B12" s="2" t="str">
        <f>IFERROR(__xludf.DUMMYFUNCTION("""COMPUTED_VALUE"""),"Javonte Green")</f>
        <v>Javonte Green</v>
      </c>
      <c r="C12" t="str">
        <f>IFERROR(__xludf.DUMMYFUNCTION("""COMPUTED_VALUE"""),"33")</f>
        <v>33</v>
      </c>
      <c r="D12" t="str">
        <f>IFERROR(__xludf.DUMMYFUNCTION("""COMPUTED_VALUE"""),"DET")</f>
        <v>DET</v>
      </c>
      <c r="E12" t="str">
        <f>IFERROR(__xludf.DUMMYFUNCTION("""COMPUTED_VALUE"""),"SG")</f>
        <v>SG</v>
      </c>
      <c r="F12" t="str">
        <f>IFERROR(__xludf.DUMMYFUNCTION("""COMPUTED_VALUE"""),"1")</f>
        <v>1</v>
      </c>
      <c r="G12" t="str">
        <f>IFERROR(__xludf.DUMMYFUNCTION("""COMPUTED_VALUE"""),"0")</f>
        <v>0</v>
      </c>
      <c r="H12" t="str">
        <f>IFERROR(__xludf.DUMMYFUNCTION("""COMPUTED_VALUE"""),"18")</f>
        <v>18</v>
      </c>
      <c r="I12" t="str">
        <f>IFERROR(__xludf.DUMMYFUNCTION("""COMPUTED_VALUE"""),"5")</f>
        <v>5</v>
      </c>
      <c r="J12" t="str">
        <f>IFERROR(__xludf.DUMMYFUNCTION("""COMPUTED_VALUE"""),"10")</f>
        <v>10</v>
      </c>
      <c r="K12" t="str">
        <f>IFERROR(__xludf.DUMMYFUNCTION("""COMPUTED_VALUE"""),"0.5")</f>
        <v>0.5</v>
      </c>
      <c r="L12" t="str">
        <f>IFERROR(__xludf.DUMMYFUNCTION("""COMPUTED_VALUE"""),"5")</f>
        <v>5</v>
      </c>
      <c r="M12" t="str">
        <f>IFERROR(__xludf.DUMMYFUNCTION("""COMPUTED_VALUE"""),"8")</f>
        <v>8</v>
      </c>
      <c r="N12" t="str">
        <f>IFERROR(__xludf.DUMMYFUNCTION("""COMPUTED_VALUE"""),"0.625")</f>
        <v>0.625</v>
      </c>
      <c r="O12" t="str">
        <f>IFERROR(__xludf.DUMMYFUNCTION("""COMPUTED_VALUE"""),"0")</f>
        <v>0</v>
      </c>
      <c r="P12" t="str">
        <f>IFERROR(__xludf.DUMMYFUNCTION("""COMPUTED_VALUE"""),"2")</f>
        <v>2</v>
      </c>
      <c r="Q12" t="str">
        <f>IFERROR(__xludf.DUMMYFUNCTION("""COMPUTED_VALUE"""),"0")</f>
        <v>0</v>
      </c>
      <c r="R12" t="str">
        <f>IFERROR(__xludf.DUMMYFUNCTION("""COMPUTED_VALUE"""),"0.75")</f>
        <v>0.75</v>
      </c>
      <c r="S12" t="str">
        <f>IFERROR(__xludf.DUMMYFUNCTION("""COMPUTED_VALUE"""),"4")</f>
        <v>4</v>
      </c>
      <c r="T12" t="str">
        <f>IFERROR(__xludf.DUMMYFUNCTION("""COMPUTED_VALUE"""),"4")</f>
        <v>4</v>
      </c>
      <c r="U12" t="str">
        <f>IFERROR(__xludf.DUMMYFUNCTION("""COMPUTED_VALUE"""),"1.000")</f>
        <v>1.000</v>
      </c>
      <c r="V12" t="str">
        <f>IFERROR(__xludf.DUMMYFUNCTION("""COMPUTED_VALUE"""),"1")</f>
        <v>1</v>
      </c>
      <c r="W12" t="str">
        <f>IFERROR(__xludf.DUMMYFUNCTION("""COMPUTED_VALUE"""),"3")</f>
        <v>3</v>
      </c>
      <c r="X12" t="str">
        <f>IFERROR(__xludf.DUMMYFUNCTION("""COMPUTED_VALUE"""),"4")</f>
        <v>4</v>
      </c>
      <c r="Y12" t="str">
        <f>IFERROR(__xludf.DUMMYFUNCTION("""COMPUTED_VALUE"""),"0")</f>
        <v>0</v>
      </c>
      <c r="Z12" t="str">
        <f>IFERROR(__xludf.DUMMYFUNCTION("""COMPUTED_VALUE"""),"0")</f>
        <v>0</v>
      </c>
      <c r="AA12" t="str">
        <f>IFERROR(__xludf.DUMMYFUNCTION("""COMPUTED_VALUE"""),"0")</f>
        <v>0</v>
      </c>
      <c r="AB12" t="str">
        <f>IFERROR(__xludf.DUMMYFUNCTION("""COMPUTED_VALUE"""),"0")</f>
        <v>0</v>
      </c>
      <c r="AC12" t="str">
        <f>IFERROR(__xludf.DUMMYFUNCTION("""COMPUTED_VALUE"""),"2")</f>
        <v>2</v>
      </c>
      <c r="AD12" t="str">
        <f>IFERROR(__xludf.DUMMYFUNCTION("""COMPUTED_VALUE"""),"19")</f>
        <v>19</v>
      </c>
      <c r="AE12" t="str">
        <f>IFERROR(__xludf.DUMMYFUNCTION("""COMPUTED_VALUE"""),"0")</f>
        <v>0</v>
      </c>
      <c r="AF12" t="str">
        <f>IFERROR(__xludf.DUMMYFUNCTION("""COMPUTED_VALUE"""),"")</f>
        <v/>
      </c>
    </row>
    <row r="13">
      <c r="A13" t="str">
        <f>IFERROR(__xludf.DUMMYFUNCTION("""COMPUTED_VALUE"""),"12")</f>
        <v>12</v>
      </c>
      <c r="B13" s="2" t="str">
        <f>IFERROR(__xludf.DUMMYFUNCTION("""COMPUTED_VALUE"""),"Karl-Anthony Towns")</f>
        <v>Karl-Anthony Towns</v>
      </c>
      <c r="C13" t="str">
        <f>IFERROR(__xludf.DUMMYFUNCTION("""COMPUTED_VALUE"""),"31")</f>
        <v>31</v>
      </c>
      <c r="D13" t="str">
        <f>IFERROR(__xludf.DUMMYFUNCTION("""COMPUTED_VALUE"""),"NYK")</f>
        <v>NYK</v>
      </c>
      <c r="E13" t="str">
        <f>IFERROR(__xludf.DUMMYFUNCTION("""COMPUTED_VALUE"""),"C")</f>
        <v>C</v>
      </c>
      <c r="F13" t="str">
        <f>IFERROR(__xludf.DUMMYFUNCTION("""COMPUTED_VALUE"""),"1")</f>
        <v>1</v>
      </c>
      <c r="G13" t="str">
        <f>IFERROR(__xludf.DUMMYFUNCTION("""COMPUTED_VALUE"""),"1")</f>
        <v>1</v>
      </c>
      <c r="H13" t="str">
        <f>IFERROR(__xludf.DUMMYFUNCTION("""COMPUTED_VALUE"""),"24")</f>
        <v>24</v>
      </c>
      <c r="I13" t="str">
        <f>IFERROR(__xludf.DUMMYFUNCTION("""COMPUTED_VALUE"""),"6")</f>
        <v>6</v>
      </c>
      <c r="J13" t="str">
        <f>IFERROR(__xludf.DUMMYFUNCTION("""COMPUTED_VALUE"""),"9")</f>
        <v>9</v>
      </c>
      <c r="K13" t="str">
        <f>IFERROR(__xludf.DUMMYFUNCTION("""COMPUTED_VALUE"""),"0.667")</f>
        <v>0.667</v>
      </c>
      <c r="L13" t="str">
        <f>IFERROR(__xludf.DUMMYFUNCTION("""COMPUTED_VALUE"""),"3")</f>
        <v>3</v>
      </c>
      <c r="M13" t="str">
        <f>IFERROR(__xludf.DUMMYFUNCTION("""COMPUTED_VALUE"""),"4")</f>
        <v>4</v>
      </c>
      <c r="N13" t="str">
        <f>IFERROR(__xludf.DUMMYFUNCTION("""COMPUTED_VALUE"""),"0.75")</f>
        <v>0.75</v>
      </c>
      <c r="O13" t="str">
        <f>IFERROR(__xludf.DUMMYFUNCTION("""COMPUTED_VALUE"""),"3")</f>
        <v>3</v>
      </c>
      <c r="P13" t="str">
        <f>IFERROR(__xludf.DUMMYFUNCTION("""COMPUTED_VALUE"""),"5")</f>
        <v>5</v>
      </c>
      <c r="Q13" t="str">
        <f>IFERROR(__xludf.DUMMYFUNCTION("""COMPUTED_VALUE"""),"0.6")</f>
        <v>0.6</v>
      </c>
      <c r="R13" t="str">
        <f>IFERROR(__xludf.DUMMYFUNCTION("""COMPUTED_VALUE"""),"0.833")</f>
        <v>0.833</v>
      </c>
      <c r="S13" t="str">
        <f>IFERROR(__xludf.DUMMYFUNCTION("""COMPUTED_VALUE"""),"4")</f>
        <v>4</v>
      </c>
      <c r="T13" t="str">
        <f>IFERROR(__xludf.DUMMYFUNCTION("""COMPUTED_VALUE"""),"7")</f>
        <v>7</v>
      </c>
      <c r="U13" t="str">
        <f>IFERROR(__xludf.DUMMYFUNCTION("""COMPUTED_VALUE"""),"0.571")</f>
        <v>0.571</v>
      </c>
      <c r="V13" t="str">
        <f>IFERROR(__xludf.DUMMYFUNCTION("""COMPUTED_VALUE"""),"3")</f>
        <v>3</v>
      </c>
      <c r="W13" t="str">
        <f>IFERROR(__xludf.DUMMYFUNCTION("""COMPUTED_VALUE"""),"9")</f>
        <v>9</v>
      </c>
      <c r="X13" t="str">
        <f>IFERROR(__xludf.DUMMYFUNCTION("""COMPUTED_VALUE"""),"12")</f>
        <v>12</v>
      </c>
      <c r="Y13" t="str">
        <f>IFERROR(__xludf.DUMMYFUNCTION("""COMPUTED_VALUE"""),"1")</f>
        <v>1</v>
      </c>
      <c r="Z13" t="str">
        <f>IFERROR(__xludf.DUMMYFUNCTION("""COMPUTED_VALUE"""),"1")</f>
        <v>1</v>
      </c>
      <c r="AA13" t="str">
        <f>IFERROR(__xludf.DUMMYFUNCTION("""COMPUTED_VALUE"""),"2")</f>
        <v>2</v>
      </c>
      <c r="AB13" t="str">
        <f>IFERROR(__xludf.DUMMYFUNCTION("""COMPUTED_VALUE"""),"4")</f>
        <v>4</v>
      </c>
      <c r="AC13" t="str">
        <f>IFERROR(__xludf.DUMMYFUNCTION("""COMPUTED_VALUE"""),"4")</f>
        <v>4</v>
      </c>
      <c r="AD13" t="str">
        <f>IFERROR(__xludf.DUMMYFUNCTION("""COMPUTED_VALUE"""),"19")</f>
        <v>19</v>
      </c>
      <c r="AE13" t="str">
        <f>IFERROR(__xludf.DUMMYFUNCTION("""COMPUTED_VALUE"""),"0")</f>
        <v>0</v>
      </c>
      <c r="AF13" t="str">
        <f>IFERROR(__xludf.DUMMYFUNCTION("""COMPUTED_VALUE"""),"")</f>
        <v/>
      </c>
    </row>
    <row r="14">
      <c r="A14" t="str">
        <f>IFERROR(__xludf.DUMMYFUNCTION("""COMPUTED_VALUE"""),"13")</f>
        <v>13</v>
      </c>
      <c r="B14" s="2" t="str">
        <f>IFERROR(__xludf.DUMMYFUNCTION("""COMPUTED_VALUE"""),"Dylan Harper")</f>
        <v>Dylan Harper</v>
      </c>
      <c r="C14" t="str">
        <f>IFERROR(__xludf.DUMMYFUNCTION("""COMPUTED_VALUE"""),"20")</f>
        <v>20</v>
      </c>
      <c r="D14" t="str">
        <f>IFERROR(__xludf.DUMMYFUNCTION("""COMPUTED_VALUE"""),"SAS")</f>
        <v>SAS</v>
      </c>
      <c r="E14" t="str">
        <f>IFERROR(__xludf.DUMMYFUNCTION("""COMPUTED_VALUE"""),"SG")</f>
        <v>SG</v>
      </c>
      <c r="F14" t="str">
        <f>IFERROR(__xludf.DUMMYFUNCTION("""COMPUTED_VALUE"""),"1")</f>
        <v>1</v>
      </c>
      <c r="G14" t="str">
        <f>IFERROR(__xludf.DUMMYFUNCTION("""COMPUTED_VALUE"""),"1")</f>
        <v>1</v>
      </c>
      <c r="H14" t="str">
        <f>IFERROR(__xludf.DUMMYFUNCTION("""COMPUTED_VALUE"""),"32")</f>
        <v>32</v>
      </c>
      <c r="I14" t="str">
        <f>IFERROR(__xludf.DUMMYFUNCTION("""COMPUTED_VALUE"""),"7")</f>
        <v>7</v>
      </c>
      <c r="J14" t="str">
        <f>IFERROR(__xludf.DUMMYFUNCTION("""COMPUTED_VALUE"""),"17")</f>
        <v>17</v>
      </c>
      <c r="K14" t="str">
        <f>IFERROR(__xludf.DUMMYFUNCTION("""COMPUTED_VALUE"""),"0.412")</f>
        <v>0.412</v>
      </c>
      <c r="L14" t="str">
        <f>IFERROR(__xludf.DUMMYFUNCTION("""COMPUTED_VALUE"""),"0")</f>
        <v>0</v>
      </c>
      <c r="M14" t="str">
        <f>IFERROR(__xludf.DUMMYFUNCTION("""COMPUTED_VALUE"""),"2")</f>
        <v>2</v>
      </c>
      <c r="N14" t="str">
        <f>IFERROR(__xludf.DUMMYFUNCTION("""COMPUTED_VALUE"""),"0")</f>
        <v>0</v>
      </c>
      <c r="O14" t="str">
        <f>IFERROR(__xludf.DUMMYFUNCTION("""COMPUTED_VALUE"""),"7")</f>
        <v>7</v>
      </c>
      <c r="P14" t="str">
        <f>IFERROR(__xludf.DUMMYFUNCTION("""COMPUTED_VALUE"""),"15")</f>
        <v>15</v>
      </c>
      <c r="Q14" t="str">
        <f>IFERROR(__xludf.DUMMYFUNCTION("""COMPUTED_VALUE"""),"0.467")</f>
        <v>0.467</v>
      </c>
      <c r="R14" t="str">
        <f>IFERROR(__xludf.DUMMYFUNCTION("""COMPUTED_VALUE"""),"0.412")</f>
        <v>0.412</v>
      </c>
      <c r="S14" t="str">
        <f>IFERROR(__xludf.DUMMYFUNCTION("""COMPUTED_VALUE"""),"4")</f>
        <v>4</v>
      </c>
      <c r="T14" t="str">
        <f>IFERROR(__xludf.DUMMYFUNCTION("""COMPUTED_VALUE"""),"4")</f>
        <v>4</v>
      </c>
      <c r="U14" t="str">
        <f>IFERROR(__xludf.DUMMYFUNCTION("""COMPUTED_VALUE"""),"1.000")</f>
        <v>1.000</v>
      </c>
      <c r="V14" t="str">
        <f>IFERROR(__xludf.DUMMYFUNCTION("""COMPUTED_VALUE"""),"2")</f>
        <v>2</v>
      </c>
      <c r="W14" t="str">
        <f>IFERROR(__xludf.DUMMYFUNCTION("""COMPUTED_VALUE"""),"5")</f>
        <v>5</v>
      </c>
      <c r="X14" t="str">
        <f>IFERROR(__xludf.DUMMYFUNCTION("""COMPUTED_VALUE"""),"7")</f>
        <v>7</v>
      </c>
      <c r="Y14" t="str">
        <f>IFERROR(__xludf.DUMMYFUNCTION("""COMPUTED_VALUE"""),"5")</f>
        <v>5</v>
      </c>
      <c r="Z14" t="str">
        <f>IFERROR(__xludf.DUMMYFUNCTION("""COMPUTED_VALUE"""),"0")</f>
        <v>0</v>
      </c>
      <c r="AA14" t="str">
        <f>IFERROR(__xludf.DUMMYFUNCTION("""COMPUTED_VALUE"""),"0")</f>
        <v>0</v>
      </c>
      <c r="AB14" t="str">
        <f>IFERROR(__xludf.DUMMYFUNCTION("""COMPUTED_VALUE"""),"2")</f>
        <v>2</v>
      </c>
      <c r="AC14" t="str">
        <f>IFERROR(__xludf.DUMMYFUNCTION("""COMPUTED_VALUE"""),"5")</f>
        <v>5</v>
      </c>
      <c r="AD14" t="str">
        <f>IFERROR(__xludf.DUMMYFUNCTION("""COMPUTED_VALUE"""),"18")</f>
        <v>18</v>
      </c>
      <c r="AE14" t="str">
        <f>IFERROR(__xludf.DUMMYFUNCTION("""COMPUTED_VALUE"""),"0")</f>
        <v>0</v>
      </c>
      <c r="AF14" t="str">
        <f>IFERROR(__xludf.DUMMYFUNCTION("""COMPUTED_VALUE"""),"")</f>
        <v/>
      </c>
    </row>
    <row r="15">
      <c r="A15" t="str">
        <f>IFERROR(__xludf.DUMMYFUNCTION("""COMPUTED_VALUE"""),"14")</f>
        <v>14</v>
      </c>
      <c r="B15" s="2" t="str">
        <f>IFERROR(__xludf.DUMMYFUNCTION("""COMPUTED_VALUE"""),"Payton Pritchard")</f>
        <v>Payton Pritchard</v>
      </c>
      <c r="C15" t="str">
        <f>IFERROR(__xludf.DUMMYFUNCTION("""COMPUTED_VALUE"""),"29")</f>
        <v>29</v>
      </c>
      <c r="D15" t="str">
        <f>IFERROR(__xludf.DUMMYFUNCTION("""COMPUTED_VALUE"""),"BOS")</f>
        <v>BOS</v>
      </c>
      <c r="E15" t="str">
        <f>IFERROR(__xludf.DUMMYFUNCTION("""COMPUTED_VALUE"""),"PG")</f>
        <v>PG</v>
      </c>
      <c r="F15" t="str">
        <f>IFERROR(__xludf.DUMMYFUNCTION("""COMPUTED_VALUE"""),"1")</f>
        <v>1</v>
      </c>
      <c r="G15" t="str">
        <f>IFERROR(__xludf.DUMMYFUNCTION("""COMPUTED_VALUE"""),"0")</f>
        <v>0</v>
      </c>
      <c r="H15" t="str">
        <f>IFERROR(__xludf.DUMMYFUNCTION("""COMPUTED_VALUE"""),"28")</f>
        <v>28</v>
      </c>
      <c r="I15" t="str">
        <f>IFERROR(__xludf.DUMMYFUNCTION("""COMPUTED_VALUE"""),"4")</f>
        <v>4</v>
      </c>
      <c r="J15" t="str">
        <f>IFERROR(__xludf.DUMMYFUNCTION("""COMPUTED_VALUE"""),"9")</f>
        <v>9</v>
      </c>
      <c r="K15" t="str">
        <f>IFERROR(__xludf.DUMMYFUNCTION("""COMPUTED_VALUE"""),"0.444")</f>
        <v>0.444</v>
      </c>
      <c r="L15" t="str">
        <f>IFERROR(__xludf.DUMMYFUNCTION("""COMPUTED_VALUE"""),"2")</f>
        <v>2</v>
      </c>
      <c r="M15" t="str">
        <f>IFERROR(__xludf.DUMMYFUNCTION("""COMPUTED_VALUE"""),"5")</f>
        <v>5</v>
      </c>
      <c r="N15" t="str">
        <f>IFERROR(__xludf.DUMMYFUNCTION("""COMPUTED_VALUE"""),"0.4")</f>
        <v>0.4</v>
      </c>
      <c r="O15" t="str">
        <f>IFERROR(__xludf.DUMMYFUNCTION("""COMPUTED_VALUE"""),"2")</f>
        <v>2</v>
      </c>
      <c r="P15" t="str">
        <f>IFERROR(__xludf.DUMMYFUNCTION("""COMPUTED_VALUE"""),"4")</f>
        <v>4</v>
      </c>
      <c r="Q15" t="str">
        <f>IFERROR(__xludf.DUMMYFUNCTION("""COMPUTED_VALUE"""),"0.5")</f>
        <v>0.5</v>
      </c>
      <c r="R15" t="str">
        <f>IFERROR(__xludf.DUMMYFUNCTION("""COMPUTED_VALUE"""),"0.556")</f>
        <v>0.556</v>
      </c>
      <c r="S15" t="str">
        <f>IFERROR(__xludf.DUMMYFUNCTION("""COMPUTED_VALUE"""),"7")</f>
        <v>7</v>
      </c>
      <c r="T15" t="str">
        <f>IFERROR(__xludf.DUMMYFUNCTION("""COMPUTED_VALUE"""),"8")</f>
        <v>8</v>
      </c>
      <c r="U15" t="str">
        <f>IFERROR(__xludf.DUMMYFUNCTION("""COMPUTED_VALUE"""),"0.875")</f>
        <v>0.875</v>
      </c>
      <c r="V15" t="str">
        <f>IFERROR(__xludf.DUMMYFUNCTION("""COMPUTED_VALUE"""),"2")</f>
        <v>2</v>
      </c>
      <c r="W15" t="str">
        <f>IFERROR(__xludf.DUMMYFUNCTION("""COMPUTED_VALUE"""),"2")</f>
        <v>2</v>
      </c>
      <c r="X15" t="str">
        <f>IFERROR(__xludf.DUMMYFUNCTION("""COMPUTED_VALUE"""),"4")</f>
        <v>4</v>
      </c>
      <c r="Y15" t="str">
        <f>IFERROR(__xludf.DUMMYFUNCTION("""COMPUTED_VALUE"""),"1")</f>
        <v>1</v>
      </c>
      <c r="Z15" t="str">
        <f>IFERROR(__xludf.DUMMYFUNCTION("""COMPUTED_VALUE"""),"0")</f>
        <v>0</v>
      </c>
      <c r="AA15" t="str">
        <f>IFERROR(__xludf.DUMMYFUNCTION("""COMPUTED_VALUE"""),"0")</f>
        <v>0</v>
      </c>
      <c r="AB15" t="str">
        <f>IFERROR(__xludf.DUMMYFUNCTION("""COMPUTED_VALUE"""),"0")</f>
        <v>0</v>
      </c>
      <c r="AC15" t="str">
        <f>IFERROR(__xludf.DUMMYFUNCTION("""COMPUTED_VALUE"""),"2")</f>
        <v>2</v>
      </c>
      <c r="AD15" t="str">
        <f>IFERROR(__xludf.DUMMYFUNCTION("""COMPUTED_VALUE"""),"17")</f>
        <v>17</v>
      </c>
      <c r="AE15" t="str">
        <f>IFERROR(__xludf.DUMMYFUNCTION("""COMPUTED_VALUE"""),"0")</f>
        <v>0</v>
      </c>
      <c r="AF15" t="str">
        <f>IFERROR(__xludf.DUMMYFUNCTION("""COMPUTED_VALUE"""),"")</f>
        <v/>
      </c>
    </row>
    <row r="16">
      <c r="A16" t="str">
        <f>IFERROR(__xludf.DUMMYFUNCTION("""COMPUTED_VALUE"""),"15")</f>
        <v>15</v>
      </c>
      <c r="B16" s="2" t="str">
        <f>IFERROR(__xludf.DUMMYFUNCTION("""COMPUTED_VALUE"""),"Derrick White")</f>
        <v>Derrick White</v>
      </c>
      <c r="C16" t="str">
        <f>IFERROR(__xludf.DUMMYFUNCTION("""COMPUTED_VALUE"""),"32")</f>
        <v>32</v>
      </c>
      <c r="D16" t="str">
        <f>IFERROR(__xludf.DUMMYFUNCTION("""COMPUTED_VALUE"""),"BOS")</f>
        <v>BOS</v>
      </c>
      <c r="E16" t="str">
        <f>IFERROR(__xludf.DUMMYFUNCTION("""COMPUTED_VALUE"""),"SG")</f>
        <v>SG</v>
      </c>
      <c r="F16" t="str">
        <f>IFERROR(__xludf.DUMMYFUNCTION("""COMPUTED_VALUE"""),"1")</f>
        <v>1</v>
      </c>
      <c r="G16" t="str">
        <f>IFERROR(__xludf.DUMMYFUNCTION("""COMPUTED_VALUE"""),"1")</f>
        <v>1</v>
      </c>
      <c r="H16" t="str">
        <f>IFERROR(__xludf.DUMMYFUNCTION("""COMPUTED_VALUE"""),"36")</f>
        <v>36</v>
      </c>
      <c r="I16" t="str">
        <f>IFERROR(__xludf.DUMMYFUNCTION("""COMPUTED_VALUE"""),"7")</f>
        <v>7</v>
      </c>
      <c r="J16" t="str">
        <f>IFERROR(__xludf.DUMMYFUNCTION("""COMPUTED_VALUE"""),"13")</f>
        <v>13</v>
      </c>
      <c r="K16" t="str">
        <f>IFERROR(__xludf.DUMMYFUNCTION("""COMPUTED_VALUE"""),"0.538")</f>
        <v>0.538</v>
      </c>
      <c r="L16" t="str">
        <f>IFERROR(__xludf.DUMMYFUNCTION("""COMPUTED_VALUE"""),"3")</f>
        <v>3</v>
      </c>
      <c r="M16" t="str">
        <f>IFERROR(__xludf.DUMMYFUNCTION("""COMPUTED_VALUE"""),"7")</f>
        <v>7</v>
      </c>
      <c r="N16" t="str">
        <f>IFERROR(__xludf.DUMMYFUNCTION("""COMPUTED_VALUE"""),"0.429")</f>
        <v>0.429</v>
      </c>
      <c r="O16" t="str">
        <f>IFERROR(__xludf.DUMMYFUNCTION("""COMPUTED_VALUE"""),"4")</f>
        <v>4</v>
      </c>
      <c r="P16" t="str">
        <f>IFERROR(__xludf.DUMMYFUNCTION("""COMPUTED_VALUE"""),"6")</f>
        <v>6</v>
      </c>
      <c r="Q16" t="str">
        <f>IFERROR(__xludf.DUMMYFUNCTION("""COMPUTED_VALUE"""),"0.667")</f>
        <v>0.667</v>
      </c>
      <c r="R16" t="str">
        <f>IFERROR(__xludf.DUMMYFUNCTION("""COMPUTED_VALUE"""),"0.654")</f>
        <v>0.654</v>
      </c>
      <c r="S16" t="str">
        <f>IFERROR(__xludf.DUMMYFUNCTION("""COMPUTED_VALUE"""),"0")</f>
        <v>0</v>
      </c>
      <c r="T16" t="str">
        <f>IFERROR(__xludf.DUMMYFUNCTION("""COMPUTED_VALUE"""),"0")</f>
        <v>0</v>
      </c>
      <c r="U16" t="str">
        <f>IFERROR(__xludf.DUMMYFUNCTION("""COMPUTED_VALUE"""),"")</f>
        <v/>
      </c>
      <c r="V16" t="str">
        <f>IFERROR(__xludf.DUMMYFUNCTION("""COMPUTED_VALUE"""),"1")</f>
        <v>1</v>
      </c>
      <c r="W16" t="str">
        <f>IFERROR(__xludf.DUMMYFUNCTION("""COMPUTED_VALUE"""),"0")</f>
        <v>0</v>
      </c>
      <c r="X16" t="str">
        <f>IFERROR(__xludf.DUMMYFUNCTION("""COMPUTED_VALUE"""),"1")</f>
        <v>1</v>
      </c>
      <c r="Y16" t="str">
        <f>IFERROR(__xludf.DUMMYFUNCTION("""COMPUTED_VALUE"""),"8")</f>
        <v>8</v>
      </c>
      <c r="Z16" t="str">
        <f>IFERROR(__xludf.DUMMYFUNCTION("""COMPUTED_VALUE"""),"1")</f>
        <v>1</v>
      </c>
      <c r="AA16" t="str">
        <f>IFERROR(__xludf.DUMMYFUNCTION("""COMPUTED_VALUE"""),"0")</f>
        <v>0</v>
      </c>
      <c r="AB16" t="str">
        <f>IFERROR(__xludf.DUMMYFUNCTION("""COMPUTED_VALUE"""),"4")</f>
        <v>4</v>
      </c>
      <c r="AC16" t="str">
        <f>IFERROR(__xludf.DUMMYFUNCTION("""COMPUTED_VALUE"""),"2")</f>
        <v>2</v>
      </c>
      <c r="AD16" t="str">
        <f>IFERROR(__xludf.DUMMYFUNCTION("""COMPUTED_VALUE"""),"17")</f>
        <v>17</v>
      </c>
      <c r="AE16" t="str">
        <f>IFERROR(__xludf.DUMMYFUNCTION("""COMPUTED_VALUE"""),"0")</f>
        <v>0</v>
      </c>
      <c r="AF16" t="str">
        <f>IFERROR(__xludf.DUMMYFUNCTION("""COMPUTED_VALUE"""),"")</f>
        <v/>
      </c>
    </row>
    <row r="17">
      <c r="A17" t="str">
        <f>IFERROR(__xludf.DUMMYFUNCTION("""COMPUTED_VALUE"""),"16")</f>
        <v>16</v>
      </c>
      <c r="B17" s="2" t="str">
        <f>IFERROR(__xludf.DUMMYFUNCTION("""COMPUTED_VALUE"""),"De'Aaron Fox")</f>
        <v>De'Aaron Fox</v>
      </c>
      <c r="C17" t="str">
        <f>IFERROR(__xludf.DUMMYFUNCTION("""COMPUTED_VALUE"""),"29")</f>
        <v>29</v>
      </c>
      <c r="D17" t="str">
        <f>IFERROR(__xludf.DUMMYFUNCTION("""COMPUTED_VALUE"""),"SAS")</f>
        <v>SAS</v>
      </c>
      <c r="E17" t="str">
        <f>IFERROR(__xludf.DUMMYFUNCTION("""COMPUTED_VALUE"""),"PG")</f>
        <v>PG</v>
      </c>
      <c r="F17" t="str">
        <f>IFERROR(__xludf.DUMMYFUNCTION("""COMPUTED_VALUE"""),"1")</f>
        <v>1</v>
      </c>
      <c r="G17" t="str">
        <f>IFERROR(__xludf.DUMMYFUNCTION("""COMPUTED_VALUE"""),"1")</f>
        <v>1</v>
      </c>
      <c r="H17" t="str">
        <f>IFERROR(__xludf.DUMMYFUNCTION("""COMPUTED_VALUE"""),"32")</f>
        <v>32</v>
      </c>
      <c r="I17" t="str">
        <f>IFERROR(__xludf.DUMMYFUNCTION("""COMPUTED_VALUE"""),"6")</f>
        <v>6</v>
      </c>
      <c r="J17" t="str">
        <f>IFERROR(__xludf.DUMMYFUNCTION("""COMPUTED_VALUE"""),"9")</f>
        <v>9</v>
      </c>
      <c r="K17" t="str">
        <f>IFERROR(__xludf.DUMMYFUNCTION("""COMPUTED_VALUE"""),"0.667")</f>
        <v>0.667</v>
      </c>
      <c r="L17" t="str">
        <f>IFERROR(__xludf.DUMMYFUNCTION("""COMPUTED_VALUE"""),"0")</f>
        <v>0</v>
      </c>
      <c r="M17" t="str">
        <f>IFERROR(__xludf.DUMMYFUNCTION("""COMPUTED_VALUE"""),"2")</f>
        <v>2</v>
      </c>
      <c r="N17" t="str">
        <f>IFERROR(__xludf.DUMMYFUNCTION("""COMPUTED_VALUE"""),"0")</f>
        <v>0</v>
      </c>
      <c r="O17" t="str">
        <f>IFERROR(__xludf.DUMMYFUNCTION("""COMPUTED_VALUE"""),"6")</f>
        <v>6</v>
      </c>
      <c r="P17" t="str">
        <f>IFERROR(__xludf.DUMMYFUNCTION("""COMPUTED_VALUE"""),"7")</f>
        <v>7</v>
      </c>
      <c r="Q17" t="str">
        <f>IFERROR(__xludf.DUMMYFUNCTION("""COMPUTED_VALUE"""),"0.857")</f>
        <v>0.857</v>
      </c>
      <c r="R17" t="str">
        <f>IFERROR(__xludf.DUMMYFUNCTION("""COMPUTED_VALUE"""),"0.667")</f>
        <v>0.667</v>
      </c>
      <c r="S17" t="str">
        <f>IFERROR(__xludf.DUMMYFUNCTION("""COMPUTED_VALUE"""),"2")</f>
        <v>2</v>
      </c>
      <c r="T17" t="str">
        <f>IFERROR(__xludf.DUMMYFUNCTION("""COMPUTED_VALUE"""),"3")</f>
        <v>3</v>
      </c>
      <c r="U17" t="str">
        <f>IFERROR(__xludf.DUMMYFUNCTION("""COMPUTED_VALUE"""),"0.667")</f>
        <v>0.667</v>
      </c>
      <c r="V17" t="str">
        <f>IFERROR(__xludf.DUMMYFUNCTION("""COMPUTED_VALUE"""),"0")</f>
        <v>0</v>
      </c>
      <c r="W17" t="str">
        <f>IFERROR(__xludf.DUMMYFUNCTION("""COMPUTED_VALUE"""),"7")</f>
        <v>7</v>
      </c>
      <c r="X17" t="str">
        <f>IFERROR(__xludf.DUMMYFUNCTION("""COMPUTED_VALUE"""),"7")</f>
        <v>7</v>
      </c>
      <c r="Y17" t="str">
        <f>IFERROR(__xludf.DUMMYFUNCTION("""COMPUTED_VALUE"""),"7")</f>
        <v>7</v>
      </c>
      <c r="Z17" t="str">
        <f>IFERROR(__xludf.DUMMYFUNCTION("""COMPUTED_VALUE"""),"1")</f>
        <v>1</v>
      </c>
      <c r="AA17" t="str">
        <f>IFERROR(__xludf.DUMMYFUNCTION("""COMPUTED_VALUE"""),"0")</f>
        <v>0</v>
      </c>
      <c r="AB17" t="str">
        <f>IFERROR(__xludf.DUMMYFUNCTION("""COMPUTED_VALUE"""),"2")</f>
        <v>2</v>
      </c>
      <c r="AC17" t="str">
        <f>IFERROR(__xludf.DUMMYFUNCTION("""COMPUTED_VALUE"""),"1")</f>
        <v>1</v>
      </c>
      <c r="AD17" t="str">
        <f>IFERROR(__xludf.DUMMYFUNCTION("""COMPUTED_VALUE"""),"14")</f>
        <v>14</v>
      </c>
      <c r="AE17" t="str">
        <f>IFERROR(__xludf.DUMMYFUNCTION("""COMPUTED_VALUE"""),"0")</f>
        <v>0</v>
      </c>
      <c r="AF17" t="str">
        <f>IFERROR(__xludf.DUMMYFUNCTION("""COMPUTED_VALUE"""),"")</f>
        <v/>
      </c>
    </row>
    <row r="18">
      <c r="A18" t="str">
        <f>IFERROR(__xludf.DUMMYFUNCTION("""COMPUTED_VALUE"""),"17")</f>
        <v>17</v>
      </c>
      <c r="B18" s="2" t="str">
        <f>IFERROR(__xludf.DUMMYFUNCTION("""COMPUTED_VALUE"""),"Josh Hart")</f>
        <v>Josh Hart</v>
      </c>
      <c r="C18" t="str">
        <f>IFERROR(__xludf.DUMMYFUNCTION("""COMPUTED_VALUE"""),"31")</f>
        <v>31</v>
      </c>
      <c r="D18" t="str">
        <f>IFERROR(__xludf.DUMMYFUNCTION("""COMPUTED_VALUE"""),"NYK")</f>
        <v>NYK</v>
      </c>
      <c r="E18" t="str">
        <f>IFERROR(__xludf.DUMMYFUNCTION("""COMPUTED_VALUE"""),"SG")</f>
        <v>SG</v>
      </c>
      <c r="F18" t="str">
        <f>IFERROR(__xludf.DUMMYFUNCTION("""COMPUTED_VALUE"""),"1")</f>
        <v>1</v>
      </c>
      <c r="G18" t="str">
        <f>IFERROR(__xludf.DUMMYFUNCTION("""COMPUTED_VALUE"""),"1")</f>
        <v>1</v>
      </c>
      <c r="H18" t="str">
        <f>IFERROR(__xludf.DUMMYFUNCTION("""COMPUTED_VALUE"""),"30")</f>
        <v>30</v>
      </c>
      <c r="I18" t="str">
        <f>IFERROR(__xludf.DUMMYFUNCTION("""COMPUTED_VALUE"""),"5")</f>
        <v>5</v>
      </c>
      <c r="J18" t="str">
        <f>IFERROR(__xludf.DUMMYFUNCTION("""COMPUTED_VALUE"""),"10")</f>
        <v>10</v>
      </c>
      <c r="K18" t="str">
        <f>IFERROR(__xludf.DUMMYFUNCTION("""COMPUTED_VALUE"""),"0.5")</f>
        <v>0.5</v>
      </c>
      <c r="L18" t="str">
        <f>IFERROR(__xludf.DUMMYFUNCTION("""COMPUTED_VALUE"""),"2")</f>
        <v>2</v>
      </c>
      <c r="M18" t="str">
        <f>IFERROR(__xludf.DUMMYFUNCTION("""COMPUTED_VALUE"""),"5")</f>
        <v>5</v>
      </c>
      <c r="N18" t="str">
        <f>IFERROR(__xludf.DUMMYFUNCTION("""COMPUTED_VALUE"""),"0.4")</f>
        <v>0.4</v>
      </c>
      <c r="O18" t="str">
        <f>IFERROR(__xludf.DUMMYFUNCTION("""COMPUTED_VALUE"""),"3")</f>
        <v>3</v>
      </c>
      <c r="P18" t="str">
        <f>IFERROR(__xludf.DUMMYFUNCTION("""COMPUTED_VALUE"""),"5")</f>
        <v>5</v>
      </c>
      <c r="Q18" t="str">
        <f>IFERROR(__xludf.DUMMYFUNCTION("""COMPUTED_VALUE"""),"0.6")</f>
        <v>0.6</v>
      </c>
      <c r="R18" t="str">
        <f>IFERROR(__xludf.DUMMYFUNCTION("""COMPUTED_VALUE"""),"0.6")</f>
        <v>0.6</v>
      </c>
      <c r="S18" t="str">
        <f>IFERROR(__xludf.DUMMYFUNCTION("""COMPUTED_VALUE"""),"2")</f>
        <v>2</v>
      </c>
      <c r="T18" t="str">
        <f>IFERROR(__xludf.DUMMYFUNCTION("""COMPUTED_VALUE"""),"3")</f>
        <v>3</v>
      </c>
      <c r="U18" t="str">
        <f>IFERROR(__xludf.DUMMYFUNCTION("""COMPUTED_VALUE"""),"0.667")</f>
        <v>0.667</v>
      </c>
      <c r="V18" t="str">
        <f>IFERROR(__xludf.DUMMYFUNCTION("""COMPUTED_VALUE"""),"0")</f>
        <v>0</v>
      </c>
      <c r="W18" t="str">
        <f>IFERROR(__xludf.DUMMYFUNCTION("""COMPUTED_VALUE"""),"7")</f>
        <v>7</v>
      </c>
      <c r="X18" t="str">
        <f>IFERROR(__xludf.DUMMYFUNCTION("""COMPUTED_VALUE"""),"7")</f>
        <v>7</v>
      </c>
      <c r="Y18" t="str">
        <f>IFERROR(__xludf.DUMMYFUNCTION("""COMPUTED_VALUE"""),"3")</f>
        <v>3</v>
      </c>
      <c r="Z18" t="str">
        <f>IFERROR(__xludf.DUMMYFUNCTION("""COMPUTED_VALUE"""),"1")</f>
        <v>1</v>
      </c>
      <c r="AA18" t="str">
        <f>IFERROR(__xludf.DUMMYFUNCTION("""COMPUTED_VALUE"""),"1")</f>
        <v>1</v>
      </c>
      <c r="AB18" t="str">
        <f>IFERROR(__xludf.DUMMYFUNCTION("""COMPUTED_VALUE"""),"2")</f>
        <v>2</v>
      </c>
      <c r="AC18" t="str">
        <f>IFERROR(__xludf.DUMMYFUNCTION("""COMPUTED_VALUE"""),"3")</f>
        <v>3</v>
      </c>
      <c r="AD18" t="str">
        <f>IFERROR(__xludf.DUMMYFUNCTION("""COMPUTED_VALUE"""),"14")</f>
        <v>14</v>
      </c>
      <c r="AE18" t="str">
        <f>IFERROR(__xludf.DUMMYFUNCTION("""COMPUTED_VALUE"""),"0")</f>
        <v>0</v>
      </c>
      <c r="AF18" t="str">
        <f>IFERROR(__xludf.DUMMYFUNCTION("""COMPUTED_VALUE"""),"")</f>
        <v/>
      </c>
    </row>
    <row r="19">
      <c r="A19" t="str">
        <f>IFERROR(__xludf.DUMMYFUNCTION("""COMPUTED_VALUE"""),"18")</f>
        <v>18</v>
      </c>
      <c r="B19" s="2" t="str">
        <f>IFERROR(__xludf.DUMMYFUNCTION("""COMPUTED_VALUE"""),"Chet Holmgren")</f>
        <v>Chet Holmgren</v>
      </c>
      <c r="C19" t="str">
        <f>IFERROR(__xludf.DUMMYFUNCTION("""COMPUTED_VALUE"""),"24")</f>
        <v>24</v>
      </c>
      <c r="D19" t="str">
        <f>IFERROR(__xludf.DUMMYFUNCTION("""COMPUTED_VALUE"""),"OKC")</f>
        <v>OKC</v>
      </c>
      <c r="E19" t="str">
        <f>IFERROR(__xludf.DUMMYFUNCTION("""COMPUTED_VALUE"""),"C")</f>
        <v>C</v>
      </c>
      <c r="F19" t="str">
        <f>IFERROR(__xludf.DUMMYFUNCTION("""COMPUTED_VALUE"""),"1")</f>
        <v>1</v>
      </c>
      <c r="G19" t="str">
        <f>IFERROR(__xludf.DUMMYFUNCTION("""COMPUTED_VALUE"""),"1")</f>
        <v>1</v>
      </c>
      <c r="H19" t="str">
        <f>IFERROR(__xludf.DUMMYFUNCTION("""COMPUTED_VALUE"""),"31")</f>
        <v>31</v>
      </c>
      <c r="I19" t="str">
        <f>IFERROR(__xludf.DUMMYFUNCTION("""COMPUTED_VALUE"""),"3")</f>
        <v>3</v>
      </c>
      <c r="J19" t="str">
        <f>IFERROR(__xludf.DUMMYFUNCTION("""COMPUTED_VALUE"""),"8")</f>
        <v>8</v>
      </c>
      <c r="K19" t="str">
        <f>IFERROR(__xludf.DUMMYFUNCTION("""COMPUTED_VALUE"""),"0.375")</f>
        <v>0.375</v>
      </c>
      <c r="L19" t="str">
        <f>IFERROR(__xludf.DUMMYFUNCTION("""COMPUTED_VALUE"""),"0")</f>
        <v>0</v>
      </c>
      <c r="M19" t="str">
        <f>IFERROR(__xludf.DUMMYFUNCTION("""COMPUTED_VALUE"""),"1")</f>
        <v>1</v>
      </c>
      <c r="N19" t="str">
        <f>IFERROR(__xludf.DUMMYFUNCTION("""COMPUTED_VALUE"""),"0")</f>
        <v>0</v>
      </c>
      <c r="O19" t="str">
        <f>IFERROR(__xludf.DUMMYFUNCTION("""COMPUTED_VALUE"""),"3")</f>
        <v>3</v>
      </c>
      <c r="P19" t="str">
        <f>IFERROR(__xludf.DUMMYFUNCTION("""COMPUTED_VALUE"""),"7")</f>
        <v>7</v>
      </c>
      <c r="Q19" t="str">
        <f>IFERROR(__xludf.DUMMYFUNCTION("""COMPUTED_VALUE"""),"0.429")</f>
        <v>0.429</v>
      </c>
      <c r="R19" t="str">
        <f>IFERROR(__xludf.DUMMYFUNCTION("""COMPUTED_VALUE"""),"0.375")</f>
        <v>0.375</v>
      </c>
      <c r="S19" t="str">
        <f>IFERROR(__xludf.DUMMYFUNCTION("""COMPUTED_VALUE"""),"8")</f>
        <v>8</v>
      </c>
      <c r="T19" t="str">
        <f>IFERROR(__xludf.DUMMYFUNCTION("""COMPUTED_VALUE"""),"8")</f>
        <v>8</v>
      </c>
      <c r="U19" t="str">
        <f>IFERROR(__xludf.DUMMYFUNCTION("""COMPUTED_VALUE"""),"1.000")</f>
        <v>1.000</v>
      </c>
      <c r="V19" t="str">
        <f>IFERROR(__xludf.DUMMYFUNCTION("""COMPUTED_VALUE"""),"4")</f>
        <v>4</v>
      </c>
      <c r="W19" t="str">
        <f>IFERROR(__xludf.DUMMYFUNCTION("""COMPUTED_VALUE"""),"3")</f>
        <v>3</v>
      </c>
      <c r="X19" t="str">
        <f>IFERROR(__xludf.DUMMYFUNCTION("""COMPUTED_VALUE"""),"7")</f>
        <v>7</v>
      </c>
      <c r="Y19" t="str">
        <f>IFERROR(__xludf.DUMMYFUNCTION("""COMPUTED_VALUE"""),"2")</f>
        <v>2</v>
      </c>
      <c r="Z19" t="str">
        <f>IFERROR(__xludf.DUMMYFUNCTION("""COMPUTED_VALUE"""),"0")</f>
        <v>0</v>
      </c>
      <c r="AA19" t="str">
        <f>IFERROR(__xludf.DUMMYFUNCTION("""COMPUTED_VALUE"""),"4")</f>
        <v>4</v>
      </c>
      <c r="AB19" t="str">
        <f>IFERROR(__xludf.DUMMYFUNCTION("""COMPUTED_VALUE"""),"1")</f>
        <v>1</v>
      </c>
      <c r="AC19" t="str">
        <f>IFERROR(__xludf.DUMMYFUNCTION("""COMPUTED_VALUE"""),"0")</f>
        <v>0</v>
      </c>
      <c r="AD19" t="str">
        <f>IFERROR(__xludf.DUMMYFUNCTION("""COMPUTED_VALUE"""),"14")</f>
        <v>14</v>
      </c>
      <c r="AE19" t="str">
        <f>IFERROR(__xludf.DUMMYFUNCTION("""COMPUTED_VALUE"""),"0")</f>
        <v>0</v>
      </c>
      <c r="AF19" t="str">
        <f>IFERROR(__xludf.DUMMYFUNCTION("""COMPUTED_VALUE"""),"")</f>
        <v/>
      </c>
    </row>
    <row r="20">
      <c r="A20" t="str">
        <f>IFERROR(__xludf.DUMMYFUNCTION("""COMPUTED_VALUE"""),"19")</f>
        <v>19</v>
      </c>
      <c r="B20" s="2" t="str">
        <f>IFERROR(__xludf.DUMMYFUNCTION("""COMPUTED_VALUE"""),"LeBron James")</f>
        <v>LeBron James</v>
      </c>
      <c r="C20" t="str">
        <f>IFERROR(__xludf.DUMMYFUNCTION("""COMPUTED_VALUE"""),"42")</f>
        <v>42</v>
      </c>
      <c r="D20" t="str">
        <f>IFERROR(__xludf.DUMMYFUNCTION("""COMPUTED_VALUE"""),"PHI")</f>
        <v>PHI</v>
      </c>
      <c r="E20" t="str">
        <f>IFERROR(__xludf.DUMMYFUNCTION("""COMPUTED_VALUE"""),"SF")</f>
        <v>SF</v>
      </c>
      <c r="F20" t="str">
        <f>IFERROR(__xludf.DUMMYFUNCTION("""COMPUTED_VALUE"""),"1")</f>
        <v>1</v>
      </c>
      <c r="G20" t="str">
        <f>IFERROR(__xludf.DUMMYFUNCTION("""COMPUTED_VALUE"""),"1")</f>
        <v>1</v>
      </c>
      <c r="H20" t="str">
        <f>IFERROR(__xludf.DUMMYFUNCTION("""COMPUTED_VALUE"""),"34")</f>
        <v>34</v>
      </c>
      <c r="I20" t="str">
        <f>IFERROR(__xludf.DUMMYFUNCTION("""COMPUTED_VALUE"""),"5")</f>
        <v>5</v>
      </c>
      <c r="J20" t="str">
        <f>IFERROR(__xludf.DUMMYFUNCTION("""COMPUTED_VALUE"""),"13")</f>
        <v>13</v>
      </c>
      <c r="K20" t="str">
        <f>IFERROR(__xludf.DUMMYFUNCTION("""COMPUTED_VALUE"""),"0.385")</f>
        <v>0.385</v>
      </c>
      <c r="L20" t="str">
        <f>IFERROR(__xludf.DUMMYFUNCTION("""COMPUTED_VALUE"""),"0")</f>
        <v>0</v>
      </c>
      <c r="M20" t="str">
        <f>IFERROR(__xludf.DUMMYFUNCTION("""COMPUTED_VALUE"""),"3")</f>
        <v>3</v>
      </c>
      <c r="N20" t="str">
        <f>IFERROR(__xludf.DUMMYFUNCTION("""COMPUTED_VALUE"""),"0")</f>
        <v>0</v>
      </c>
      <c r="O20" t="str">
        <f>IFERROR(__xludf.DUMMYFUNCTION("""COMPUTED_VALUE"""),"5")</f>
        <v>5</v>
      </c>
      <c r="P20" t="str">
        <f>IFERROR(__xludf.DUMMYFUNCTION("""COMPUTED_VALUE"""),"10")</f>
        <v>10</v>
      </c>
      <c r="Q20" t="str">
        <f>IFERROR(__xludf.DUMMYFUNCTION("""COMPUTED_VALUE"""),"0.5")</f>
        <v>0.5</v>
      </c>
      <c r="R20" t="str">
        <f>IFERROR(__xludf.DUMMYFUNCTION("""COMPUTED_VALUE"""),"0.385")</f>
        <v>0.385</v>
      </c>
      <c r="S20" t="str">
        <f>IFERROR(__xludf.DUMMYFUNCTION("""COMPUTED_VALUE"""),"4")</f>
        <v>4</v>
      </c>
      <c r="T20" t="str">
        <f>IFERROR(__xludf.DUMMYFUNCTION("""COMPUTED_VALUE"""),"6")</f>
        <v>6</v>
      </c>
      <c r="U20" t="str">
        <f>IFERROR(__xludf.DUMMYFUNCTION("""COMPUTED_VALUE"""),"0.667")</f>
        <v>0.667</v>
      </c>
      <c r="V20" t="str">
        <f>IFERROR(__xludf.DUMMYFUNCTION("""COMPUTED_VALUE"""),"1")</f>
        <v>1</v>
      </c>
      <c r="W20" t="str">
        <f>IFERROR(__xludf.DUMMYFUNCTION("""COMPUTED_VALUE"""),"8")</f>
        <v>8</v>
      </c>
      <c r="X20" t="str">
        <f>IFERROR(__xludf.DUMMYFUNCTION("""COMPUTED_VALUE"""),"9")</f>
        <v>9</v>
      </c>
      <c r="Y20" t="str">
        <f>IFERROR(__xludf.DUMMYFUNCTION("""COMPUTED_VALUE"""),"7")</f>
        <v>7</v>
      </c>
      <c r="Z20" t="str">
        <f>IFERROR(__xludf.DUMMYFUNCTION("""COMPUTED_VALUE"""),"1")</f>
        <v>1</v>
      </c>
      <c r="AA20" t="str">
        <f>IFERROR(__xludf.DUMMYFUNCTION("""COMPUTED_VALUE"""),"1")</f>
        <v>1</v>
      </c>
      <c r="AB20" t="str">
        <f>IFERROR(__xludf.DUMMYFUNCTION("""COMPUTED_VALUE"""),"1")</f>
        <v>1</v>
      </c>
      <c r="AC20" t="str">
        <f>IFERROR(__xludf.DUMMYFUNCTION("""COMPUTED_VALUE"""),"4")</f>
        <v>4</v>
      </c>
      <c r="AD20" t="str">
        <f>IFERROR(__xludf.DUMMYFUNCTION("""COMPUTED_VALUE"""),"14")</f>
        <v>14</v>
      </c>
      <c r="AE20" t="str">
        <f>IFERROR(__xludf.DUMMYFUNCTION("""COMPUTED_VALUE"""),"0")</f>
        <v>0</v>
      </c>
      <c r="AF20" t="str">
        <f>IFERROR(__xludf.DUMMYFUNCTION("""COMPUTED_VALUE"""),"")</f>
        <v/>
      </c>
    </row>
    <row r="21">
      <c r="A21" t="str">
        <f>IFERROR(__xludf.DUMMYFUNCTION("""COMPUTED_VALUE"""),"20")</f>
        <v>20</v>
      </c>
      <c r="B21" s="2" t="str">
        <f>IFERROR(__xludf.DUMMYFUNCTION("""COMPUTED_VALUE"""),"Joel Embiid")</f>
        <v>Joel Embiid</v>
      </c>
      <c r="C21" t="str">
        <f>IFERROR(__xludf.DUMMYFUNCTION("""COMPUTED_VALUE"""),"32")</f>
        <v>32</v>
      </c>
      <c r="D21" t="str">
        <f>IFERROR(__xludf.DUMMYFUNCTION("""COMPUTED_VALUE"""),"PHI")</f>
        <v>PHI</v>
      </c>
      <c r="E21" t="str">
        <f>IFERROR(__xludf.DUMMYFUNCTION("""COMPUTED_VALUE"""),"C")</f>
        <v>C</v>
      </c>
      <c r="F21" t="str">
        <f>IFERROR(__xludf.DUMMYFUNCTION("""COMPUTED_VALUE"""),"1")</f>
        <v>1</v>
      </c>
      <c r="G21" t="str">
        <f>IFERROR(__xludf.DUMMYFUNCTION("""COMPUTED_VALUE"""),"1")</f>
        <v>1</v>
      </c>
      <c r="H21" t="str">
        <f>IFERROR(__xludf.DUMMYFUNCTION("""COMPUTED_VALUE"""),"33")</f>
        <v>33</v>
      </c>
      <c r="I21" t="str">
        <f>IFERROR(__xludf.DUMMYFUNCTION("""COMPUTED_VALUE"""),"4")</f>
        <v>4</v>
      </c>
      <c r="J21" t="str">
        <f>IFERROR(__xludf.DUMMYFUNCTION("""COMPUTED_VALUE"""),"15")</f>
        <v>15</v>
      </c>
      <c r="K21" t="str">
        <f>IFERROR(__xludf.DUMMYFUNCTION("""COMPUTED_VALUE"""),"0.267")</f>
        <v>0.267</v>
      </c>
      <c r="L21" t="str">
        <f>IFERROR(__xludf.DUMMYFUNCTION("""COMPUTED_VALUE"""),"2")</f>
        <v>2</v>
      </c>
      <c r="M21" t="str">
        <f>IFERROR(__xludf.DUMMYFUNCTION("""COMPUTED_VALUE"""),"7")</f>
        <v>7</v>
      </c>
      <c r="N21" t="str">
        <f>IFERROR(__xludf.DUMMYFUNCTION("""COMPUTED_VALUE"""),"0.286")</f>
        <v>0.286</v>
      </c>
      <c r="O21" t="str">
        <f>IFERROR(__xludf.DUMMYFUNCTION("""COMPUTED_VALUE"""),"2")</f>
        <v>2</v>
      </c>
      <c r="P21" t="str">
        <f>IFERROR(__xludf.DUMMYFUNCTION("""COMPUTED_VALUE"""),"8")</f>
        <v>8</v>
      </c>
      <c r="Q21" t="str">
        <f>IFERROR(__xludf.DUMMYFUNCTION("""COMPUTED_VALUE"""),"0.25")</f>
        <v>0.25</v>
      </c>
      <c r="R21" t="str">
        <f>IFERROR(__xludf.DUMMYFUNCTION("""COMPUTED_VALUE"""),"0.333")</f>
        <v>0.333</v>
      </c>
      <c r="S21" t="str">
        <f>IFERROR(__xludf.DUMMYFUNCTION("""COMPUTED_VALUE"""),"3")</f>
        <v>3</v>
      </c>
      <c r="T21" t="str">
        <f>IFERROR(__xludf.DUMMYFUNCTION("""COMPUTED_VALUE"""),"4")</f>
        <v>4</v>
      </c>
      <c r="U21" t="str">
        <f>IFERROR(__xludf.DUMMYFUNCTION("""COMPUTED_VALUE"""),"0.75")</f>
        <v>0.75</v>
      </c>
      <c r="V21" t="str">
        <f>IFERROR(__xludf.DUMMYFUNCTION("""COMPUTED_VALUE"""),"2")</f>
        <v>2</v>
      </c>
      <c r="W21" t="str">
        <f>IFERROR(__xludf.DUMMYFUNCTION("""COMPUTED_VALUE"""),"9")</f>
        <v>9</v>
      </c>
      <c r="X21" t="str">
        <f>IFERROR(__xludf.DUMMYFUNCTION("""COMPUTED_VALUE"""),"11")</f>
        <v>11</v>
      </c>
      <c r="Y21" t="str">
        <f>IFERROR(__xludf.DUMMYFUNCTION("""COMPUTED_VALUE"""),"6")</f>
        <v>6</v>
      </c>
      <c r="Z21" t="str">
        <f>IFERROR(__xludf.DUMMYFUNCTION("""COMPUTED_VALUE"""),"2")</f>
        <v>2</v>
      </c>
      <c r="AA21" t="str">
        <f>IFERROR(__xludf.DUMMYFUNCTION("""COMPUTED_VALUE"""),"3")</f>
        <v>3</v>
      </c>
      <c r="AB21" t="str">
        <f>IFERROR(__xludf.DUMMYFUNCTION("""COMPUTED_VALUE"""),"4")</f>
        <v>4</v>
      </c>
      <c r="AC21" t="str">
        <f>IFERROR(__xludf.DUMMYFUNCTION("""COMPUTED_VALUE"""),"3")</f>
        <v>3</v>
      </c>
      <c r="AD21" t="str">
        <f>IFERROR(__xludf.DUMMYFUNCTION("""COMPUTED_VALUE"""),"13")</f>
        <v>13</v>
      </c>
      <c r="AE21" t="str">
        <f>IFERROR(__xludf.DUMMYFUNCTION("""COMPUTED_VALUE"""),"0")</f>
        <v>0</v>
      </c>
      <c r="AF21" t="str">
        <f>IFERROR(__xludf.DUMMYFUNCTION("""COMPUTED_VALUE"""),"")</f>
        <v/>
      </c>
    </row>
    <row r="22">
      <c r="A22" t="str">
        <f>IFERROR(__xludf.DUMMYFUNCTION("""COMPUTED_VALUE"""),"21")</f>
        <v>21</v>
      </c>
      <c r="B22" s="2" t="str">
        <f>IFERROR(__xludf.DUMMYFUNCTION("""COMPUTED_VALUE"""),"Anfernee Simons")</f>
        <v>Anfernee Simons</v>
      </c>
      <c r="C22" t="str">
        <f>IFERROR(__xludf.DUMMYFUNCTION("""COMPUTED_VALUE"""),"27")</f>
        <v>27</v>
      </c>
      <c r="D22" t="str">
        <f>IFERROR(__xludf.DUMMYFUNCTION("""COMPUTED_VALUE"""),"PHI")</f>
        <v>PHI</v>
      </c>
      <c r="E22" t="str">
        <f>IFERROR(__xludf.DUMMYFUNCTION("""COMPUTED_VALUE"""),"SG")</f>
        <v>SG</v>
      </c>
      <c r="F22" t="str">
        <f>IFERROR(__xludf.DUMMYFUNCTION("""COMPUTED_VALUE"""),"1")</f>
        <v>1</v>
      </c>
      <c r="G22" t="str">
        <f>IFERROR(__xludf.DUMMYFUNCTION("""COMPUTED_VALUE"""),"0")</f>
        <v>0</v>
      </c>
      <c r="H22" t="str">
        <f>IFERROR(__xludf.DUMMYFUNCTION("""COMPUTED_VALUE"""),"25")</f>
        <v>25</v>
      </c>
      <c r="I22" t="str">
        <f>IFERROR(__xludf.DUMMYFUNCTION("""COMPUTED_VALUE"""),"5")</f>
        <v>5</v>
      </c>
      <c r="J22" t="str">
        <f>IFERROR(__xludf.DUMMYFUNCTION("""COMPUTED_VALUE"""),"10")</f>
        <v>10</v>
      </c>
      <c r="K22" t="str">
        <f>IFERROR(__xludf.DUMMYFUNCTION("""COMPUTED_VALUE"""),"0.5")</f>
        <v>0.5</v>
      </c>
      <c r="L22" t="str">
        <f>IFERROR(__xludf.DUMMYFUNCTION("""COMPUTED_VALUE"""),"3")</f>
        <v>3</v>
      </c>
      <c r="M22" t="str">
        <f>IFERROR(__xludf.DUMMYFUNCTION("""COMPUTED_VALUE"""),"8")</f>
        <v>8</v>
      </c>
      <c r="N22" t="str">
        <f>IFERROR(__xludf.DUMMYFUNCTION("""COMPUTED_VALUE"""),"0.375")</f>
        <v>0.375</v>
      </c>
      <c r="O22" t="str">
        <f>IFERROR(__xludf.DUMMYFUNCTION("""COMPUTED_VALUE"""),"2")</f>
        <v>2</v>
      </c>
      <c r="P22" t="str">
        <f>IFERROR(__xludf.DUMMYFUNCTION("""COMPUTED_VALUE"""),"2")</f>
        <v>2</v>
      </c>
      <c r="Q22" t="str">
        <f>IFERROR(__xludf.DUMMYFUNCTION("""COMPUTED_VALUE"""),"1.000")</f>
        <v>1.000</v>
      </c>
      <c r="R22" t="str">
        <f>IFERROR(__xludf.DUMMYFUNCTION("""COMPUTED_VALUE"""),"0.65")</f>
        <v>0.65</v>
      </c>
      <c r="S22" t="str">
        <f>IFERROR(__xludf.DUMMYFUNCTION("""COMPUTED_VALUE"""),"0")</f>
        <v>0</v>
      </c>
      <c r="T22" t="str">
        <f>IFERROR(__xludf.DUMMYFUNCTION("""COMPUTED_VALUE"""),"0")</f>
        <v>0</v>
      </c>
      <c r="U22" t="str">
        <f>IFERROR(__xludf.DUMMYFUNCTION("""COMPUTED_VALUE"""),"")</f>
        <v/>
      </c>
      <c r="V22" t="str">
        <f>IFERROR(__xludf.DUMMYFUNCTION("""COMPUTED_VALUE"""),"0")</f>
        <v>0</v>
      </c>
      <c r="W22" t="str">
        <f>IFERROR(__xludf.DUMMYFUNCTION("""COMPUTED_VALUE"""),"2")</f>
        <v>2</v>
      </c>
      <c r="X22" t="str">
        <f>IFERROR(__xludf.DUMMYFUNCTION("""COMPUTED_VALUE"""),"2")</f>
        <v>2</v>
      </c>
      <c r="Y22" t="str">
        <f>IFERROR(__xludf.DUMMYFUNCTION("""COMPUTED_VALUE"""),"0")</f>
        <v>0</v>
      </c>
      <c r="Z22" t="str">
        <f>IFERROR(__xludf.DUMMYFUNCTION("""COMPUTED_VALUE"""),"0")</f>
        <v>0</v>
      </c>
      <c r="AA22" t="str">
        <f>IFERROR(__xludf.DUMMYFUNCTION("""COMPUTED_VALUE"""),"0")</f>
        <v>0</v>
      </c>
      <c r="AB22" t="str">
        <f>IFERROR(__xludf.DUMMYFUNCTION("""COMPUTED_VALUE"""),"0")</f>
        <v>0</v>
      </c>
      <c r="AC22" t="str">
        <f>IFERROR(__xludf.DUMMYFUNCTION("""COMPUTED_VALUE"""),"2")</f>
        <v>2</v>
      </c>
      <c r="AD22" t="str">
        <f>IFERROR(__xludf.DUMMYFUNCTION("""COMPUTED_VALUE"""),"13")</f>
        <v>13</v>
      </c>
      <c r="AE22" t="str">
        <f>IFERROR(__xludf.DUMMYFUNCTION("""COMPUTED_VALUE"""),"0")</f>
        <v>0</v>
      </c>
      <c r="AF22" t="str">
        <f>IFERROR(__xludf.DUMMYFUNCTION("""COMPUTED_VALUE"""),"")</f>
        <v/>
      </c>
    </row>
    <row r="23">
      <c r="A23" t="str">
        <f>IFERROR(__xludf.DUMMYFUNCTION("""COMPUTED_VALUE"""),"22")</f>
        <v>22</v>
      </c>
      <c r="B23" s="2" t="str">
        <f>IFERROR(__xludf.DUMMYFUNCTION("""COMPUTED_VALUE"""),"Jayson Tatum")</f>
        <v>Jayson Tatum</v>
      </c>
      <c r="C23" t="str">
        <f>IFERROR(__xludf.DUMMYFUNCTION("""COMPUTED_VALUE"""),"28")</f>
        <v>28</v>
      </c>
      <c r="D23" t="str">
        <f>IFERROR(__xludf.DUMMYFUNCTION("""COMPUTED_VALUE"""),"BOS")</f>
        <v>BOS</v>
      </c>
      <c r="E23" t="str">
        <f>IFERROR(__xludf.DUMMYFUNCTION("""COMPUTED_VALUE"""),"PF")</f>
        <v>PF</v>
      </c>
      <c r="F23" t="str">
        <f>IFERROR(__xludf.DUMMYFUNCTION("""COMPUTED_VALUE"""),"1")</f>
        <v>1</v>
      </c>
      <c r="G23" t="str">
        <f>IFERROR(__xludf.DUMMYFUNCTION("""COMPUTED_VALUE"""),"1")</f>
        <v>1</v>
      </c>
      <c r="H23" t="str">
        <f>IFERROR(__xludf.DUMMYFUNCTION("""COMPUTED_VALUE"""),"38")</f>
        <v>38</v>
      </c>
      <c r="I23" t="str">
        <f>IFERROR(__xludf.DUMMYFUNCTION("""COMPUTED_VALUE"""),"6")</f>
        <v>6</v>
      </c>
      <c r="J23" t="str">
        <f>IFERROR(__xludf.DUMMYFUNCTION("""COMPUTED_VALUE"""),"23")</f>
        <v>23</v>
      </c>
      <c r="K23" t="str">
        <f>IFERROR(__xludf.DUMMYFUNCTION("""COMPUTED_VALUE"""),"0.261")</f>
        <v>0.261</v>
      </c>
      <c r="L23" t="str">
        <f>IFERROR(__xludf.DUMMYFUNCTION("""COMPUTED_VALUE"""),"0")</f>
        <v>0</v>
      </c>
      <c r="M23" t="str">
        <f>IFERROR(__xludf.DUMMYFUNCTION("""COMPUTED_VALUE"""),"7")</f>
        <v>7</v>
      </c>
      <c r="N23" t="str">
        <f>IFERROR(__xludf.DUMMYFUNCTION("""COMPUTED_VALUE"""),"0")</f>
        <v>0</v>
      </c>
      <c r="O23" t="str">
        <f>IFERROR(__xludf.DUMMYFUNCTION("""COMPUTED_VALUE"""),"6")</f>
        <v>6</v>
      </c>
      <c r="P23" t="str">
        <f>IFERROR(__xludf.DUMMYFUNCTION("""COMPUTED_VALUE"""),"16")</f>
        <v>16</v>
      </c>
      <c r="Q23" t="str">
        <f>IFERROR(__xludf.DUMMYFUNCTION("""COMPUTED_VALUE"""),"0.375")</f>
        <v>0.375</v>
      </c>
      <c r="R23" t="str">
        <f>IFERROR(__xludf.DUMMYFUNCTION("""COMPUTED_VALUE"""),"0.261")</f>
        <v>0.261</v>
      </c>
      <c r="S23" t="str">
        <f>IFERROR(__xludf.DUMMYFUNCTION("""COMPUTED_VALUE"""),"1")</f>
        <v>1</v>
      </c>
      <c r="T23" t="str">
        <f>IFERROR(__xludf.DUMMYFUNCTION("""COMPUTED_VALUE"""),"1")</f>
        <v>1</v>
      </c>
      <c r="U23" t="str">
        <f>IFERROR(__xludf.DUMMYFUNCTION("""COMPUTED_VALUE"""),"1")</f>
        <v>1</v>
      </c>
      <c r="V23" t="str">
        <f>IFERROR(__xludf.DUMMYFUNCTION("""COMPUTED_VALUE"""),"1")</f>
        <v>1</v>
      </c>
      <c r="W23" t="str">
        <f>IFERROR(__xludf.DUMMYFUNCTION("""COMPUTED_VALUE"""),"3")</f>
        <v>3</v>
      </c>
      <c r="X23" t="str">
        <f>IFERROR(__xludf.DUMMYFUNCTION("""COMPUTED_VALUE"""),"4")</f>
        <v>4</v>
      </c>
      <c r="Y23" t="str">
        <f>IFERROR(__xludf.DUMMYFUNCTION("""COMPUTED_VALUE"""),"11")</f>
        <v>11</v>
      </c>
      <c r="Z23" t="str">
        <f>IFERROR(__xludf.DUMMYFUNCTION("""COMPUTED_VALUE"""),"0")</f>
        <v>0</v>
      </c>
      <c r="AA23" t="str">
        <f>IFERROR(__xludf.DUMMYFUNCTION("""COMPUTED_VALUE"""),"0")</f>
        <v>0</v>
      </c>
      <c r="AB23" t="str">
        <f>IFERROR(__xludf.DUMMYFUNCTION("""COMPUTED_VALUE"""),"2")</f>
        <v>2</v>
      </c>
      <c r="AC23" t="str">
        <f>IFERROR(__xludf.DUMMYFUNCTION("""COMPUTED_VALUE"""),"3")</f>
        <v>3</v>
      </c>
      <c r="AD23" t="str">
        <f>IFERROR(__xludf.DUMMYFUNCTION("""COMPUTED_VALUE"""),"13")</f>
        <v>13</v>
      </c>
      <c r="AE23" t="str">
        <f>IFERROR(__xludf.DUMMYFUNCTION("""COMPUTED_VALUE"""),"0")</f>
        <v>0</v>
      </c>
      <c r="AF23" t="str">
        <f>IFERROR(__xludf.DUMMYFUNCTION("""COMPUTED_VALUE"""),"")</f>
        <v/>
      </c>
    </row>
    <row r="24">
      <c r="A24" t="str">
        <f>IFERROR(__xludf.DUMMYFUNCTION("""COMPUTED_VALUE"""),"23")</f>
        <v>23</v>
      </c>
      <c r="B24" s="2" t="str">
        <f>IFERROR(__xludf.DUMMYFUNCTION("""COMPUTED_VALUE"""),"Andre Drummond")</f>
        <v>Andre Drummond</v>
      </c>
      <c r="C24" t="str">
        <f>IFERROR(__xludf.DUMMYFUNCTION("""COMPUTED_VALUE"""),"33")</f>
        <v>33</v>
      </c>
      <c r="D24" t="str">
        <f>IFERROR(__xludf.DUMMYFUNCTION("""COMPUTED_VALUE"""),"NYK")</f>
        <v>NYK</v>
      </c>
      <c r="E24" t="str">
        <f>IFERROR(__xludf.DUMMYFUNCTION("""COMPUTED_VALUE"""),"C")</f>
        <v>C</v>
      </c>
      <c r="F24" t="str">
        <f>IFERROR(__xludf.DUMMYFUNCTION("""COMPUTED_VALUE"""),"1")</f>
        <v>1</v>
      </c>
      <c r="G24" t="str">
        <f>IFERROR(__xludf.DUMMYFUNCTION("""COMPUTED_VALUE"""),"0")</f>
        <v>0</v>
      </c>
      <c r="H24" t="str">
        <f>IFERROR(__xludf.DUMMYFUNCTION("""COMPUTED_VALUE"""),"24")</f>
        <v>24</v>
      </c>
      <c r="I24" t="str">
        <f>IFERROR(__xludf.DUMMYFUNCTION("""COMPUTED_VALUE"""),"5")</f>
        <v>5</v>
      </c>
      <c r="J24" t="str">
        <f>IFERROR(__xludf.DUMMYFUNCTION("""COMPUTED_VALUE"""),"13")</f>
        <v>13</v>
      </c>
      <c r="K24" t="str">
        <f>IFERROR(__xludf.DUMMYFUNCTION("""COMPUTED_VALUE"""),"0.385")</f>
        <v>0.385</v>
      </c>
      <c r="L24" t="str">
        <f>IFERROR(__xludf.DUMMYFUNCTION("""COMPUTED_VALUE"""),"0")</f>
        <v>0</v>
      </c>
      <c r="M24" t="str">
        <f>IFERROR(__xludf.DUMMYFUNCTION("""COMPUTED_VALUE"""),"0")</f>
        <v>0</v>
      </c>
      <c r="N24" t="str">
        <f>IFERROR(__xludf.DUMMYFUNCTION("""COMPUTED_VALUE"""),"")</f>
        <v/>
      </c>
      <c r="O24" t="str">
        <f>IFERROR(__xludf.DUMMYFUNCTION("""COMPUTED_VALUE"""),"5")</f>
        <v>5</v>
      </c>
      <c r="P24" t="str">
        <f>IFERROR(__xludf.DUMMYFUNCTION("""COMPUTED_VALUE"""),"13")</f>
        <v>13</v>
      </c>
      <c r="Q24" t="str">
        <f>IFERROR(__xludf.DUMMYFUNCTION("""COMPUTED_VALUE"""),"0.385")</f>
        <v>0.385</v>
      </c>
      <c r="R24" t="str">
        <f>IFERROR(__xludf.DUMMYFUNCTION("""COMPUTED_VALUE"""),"0.385")</f>
        <v>0.385</v>
      </c>
      <c r="S24" t="str">
        <f>IFERROR(__xludf.DUMMYFUNCTION("""COMPUTED_VALUE"""),"2")</f>
        <v>2</v>
      </c>
      <c r="T24" t="str">
        <f>IFERROR(__xludf.DUMMYFUNCTION("""COMPUTED_VALUE"""),"4")</f>
        <v>4</v>
      </c>
      <c r="U24" t="str">
        <f>IFERROR(__xludf.DUMMYFUNCTION("""COMPUTED_VALUE"""),"0.5")</f>
        <v>0.5</v>
      </c>
      <c r="V24" t="str">
        <f>IFERROR(__xludf.DUMMYFUNCTION("""COMPUTED_VALUE"""),"7")</f>
        <v>7</v>
      </c>
      <c r="W24" t="str">
        <f>IFERROR(__xludf.DUMMYFUNCTION("""COMPUTED_VALUE"""),"7")</f>
        <v>7</v>
      </c>
      <c r="X24" t="str">
        <f>IFERROR(__xludf.DUMMYFUNCTION("""COMPUTED_VALUE"""),"14")</f>
        <v>14</v>
      </c>
      <c r="Y24" t="str">
        <f>IFERROR(__xludf.DUMMYFUNCTION("""COMPUTED_VALUE"""),"4")</f>
        <v>4</v>
      </c>
      <c r="Z24" t="str">
        <f>IFERROR(__xludf.DUMMYFUNCTION("""COMPUTED_VALUE"""),"1")</f>
        <v>1</v>
      </c>
      <c r="AA24" t="str">
        <f>IFERROR(__xludf.DUMMYFUNCTION("""COMPUTED_VALUE"""),"2")</f>
        <v>2</v>
      </c>
      <c r="AB24" t="str">
        <f>IFERROR(__xludf.DUMMYFUNCTION("""COMPUTED_VALUE"""),"0")</f>
        <v>0</v>
      </c>
      <c r="AC24" t="str">
        <f>IFERROR(__xludf.DUMMYFUNCTION("""COMPUTED_VALUE"""),"3")</f>
        <v>3</v>
      </c>
      <c r="AD24" t="str">
        <f>IFERROR(__xludf.DUMMYFUNCTION("""COMPUTED_VALUE"""),"12")</f>
        <v>12</v>
      </c>
      <c r="AE24" t="str">
        <f>IFERROR(__xludf.DUMMYFUNCTION("""COMPUTED_VALUE"""),"0")</f>
        <v>0</v>
      </c>
      <c r="AF24" t="str">
        <f>IFERROR(__xludf.DUMMYFUNCTION("""COMPUTED_VALUE"""),"")</f>
        <v/>
      </c>
    </row>
    <row r="25">
      <c r="A25" t="str">
        <f>IFERROR(__xludf.DUMMYFUNCTION("""COMPUTED_VALUE"""),"24")</f>
        <v>24</v>
      </c>
      <c r="B25" s="2" t="str">
        <f>IFERROR(__xludf.DUMMYFUNCTION("""COMPUTED_VALUE"""),"Victor Wembanyama")</f>
        <v>Victor Wembanyama</v>
      </c>
      <c r="C25" t="str">
        <f>IFERROR(__xludf.DUMMYFUNCTION("""COMPUTED_VALUE"""),"23")</f>
        <v>23</v>
      </c>
      <c r="D25" t="str">
        <f>IFERROR(__xludf.DUMMYFUNCTION("""COMPUTED_VALUE"""),"SAS")</f>
        <v>SAS</v>
      </c>
      <c r="E25" t="str">
        <f>IFERROR(__xludf.DUMMYFUNCTION("""COMPUTED_VALUE"""),"C")</f>
        <v>C</v>
      </c>
      <c r="F25" t="str">
        <f>IFERROR(__xludf.DUMMYFUNCTION("""COMPUTED_VALUE"""),"1")</f>
        <v>1</v>
      </c>
      <c r="G25" t="str">
        <f>IFERROR(__xludf.DUMMYFUNCTION("""COMPUTED_VALUE"""),"1")</f>
        <v>1</v>
      </c>
      <c r="H25" t="str">
        <f>IFERROR(__xludf.DUMMYFUNCTION("""COMPUTED_VALUE"""),"34")</f>
        <v>34</v>
      </c>
      <c r="I25" t="str">
        <f>IFERROR(__xludf.DUMMYFUNCTION("""COMPUTED_VALUE"""),"1")</f>
        <v>1</v>
      </c>
      <c r="J25" t="str">
        <f>IFERROR(__xludf.DUMMYFUNCTION("""COMPUTED_VALUE"""),"13")</f>
        <v>13</v>
      </c>
      <c r="K25" t="str">
        <f>IFERROR(__xludf.DUMMYFUNCTION("""COMPUTED_VALUE"""),"0.077")</f>
        <v>0.077</v>
      </c>
      <c r="L25" t="str">
        <f>IFERROR(__xludf.DUMMYFUNCTION("""COMPUTED_VALUE"""),"0")</f>
        <v>0</v>
      </c>
      <c r="M25" t="str">
        <f>IFERROR(__xludf.DUMMYFUNCTION("""COMPUTED_VALUE"""),"4")</f>
        <v>4</v>
      </c>
      <c r="N25" t="str">
        <f>IFERROR(__xludf.DUMMYFUNCTION("""COMPUTED_VALUE"""),"0")</f>
        <v>0</v>
      </c>
      <c r="O25" t="str">
        <f>IFERROR(__xludf.DUMMYFUNCTION("""COMPUTED_VALUE"""),"1")</f>
        <v>1</v>
      </c>
      <c r="P25" t="str">
        <f>IFERROR(__xludf.DUMMYFUNCTION("""COMPUTED_VALUE"""),"9")</f>
        <v>9</v>
      </c>
      <c r="Q25" t="str">
        <f>IFERROR(__xludf.DUMMYFUNCTION("""COMPUTED_VALUE"""),"0.111")</f>
        <v>0.111</v>
      </c>
      <c r="R25" t="str">
        <f>IFERROR(__xludf.DUMMYFUNCTION("""COMPUTED_VALUE"""),"0.077")</f>
        <v>0.077</v>
      </c>
      <c r="S25" t="str">
        <f>IFERROR(__xludf.DUMMYFUNCTION("""COMPUTED_VALUE"""),"10")</f>
        <v>10</v>
      </c>
      <c r="T25" t="str">
        <f>IFERROR(__xludf.DUMMYFUNCTION("""COMPUTED_VALUE"""),"12")</f>
        <v>12</v>
      </c>
      <c r="U25" t="str">
        <f>IFERROR(__xludf.DUMMYFUNCTION("""COMPUTED_VALUE"""),"0.833")</f>
        <v>0.833</v>
      </c>
      <c r="V25" t="str">
        <f>IFERROR(__xludf.DUMMYFUNCTION("""COMPUTED_VALUE"""),"2")</f>
        <v>2</v>
      </c>
      <c r="W25" t="str">
        <f>IFERROR(__xludf.DUMMYFUNCTION("""COMPUTED_VALUE"""),"11")</f>
        <v>11</v>
      </c>
      <c r="X25" t="str">
        <f>IFERROR(__xludf.DUMMYFUNCTION("""COMPUTED_VALUE"""),"13")</f>
        <v>13</v>
      </c>
      <c r="Y25" t="str">
        <f>IFERROR(__xludf.DUMMYFUNCTION("""COMPUTED_VALUE"""),"3")</f>
        <v>3</v>
      </c>
      <c r="Z25" t="str">
        <f>IFERROR(__xludf.DUMMYFUNCTION("""COMPUTED_VALUE"""),"1")</f>
        <v>1</v>
      </c>
      <c r="AA25" t="str">
        <f>IFERROR(__xludf.DUMMYFUNCTION("""COMPUTED_VALUE"""),"6")</f>
        <v>6</v>
      </c>
      <c r="AB25" t="str">
        <f>IFERROR(__xludf.DUMMYFUNCTION("""COMPUTED_VALUE"""),"4")</f>
        <v>4</v>
      </c>
      <c r="AC25" t="str">
        <f>IFERROR(__xludf.DUMMYFUNCTION("""COMPUTED_VALUE"""),"3")</f>
        <v>3</v>
      </c>
      <c r="AD25" t="str">
        <f>IFERROR(__xludf.DUMMYFUNCTION("""COMPUTED_VALUE"""),"12")</f>
        <v>12</v>
      </c>
      <c r="AE25" t="str">
        <f>IFERROR(__xludf.DUMMYFUNCTION("""COMPUTED_VALUE"""),"0")</f>
        <v>0</v>
      </c>
      <c r="AF25" t="str">
        <f>IFERROR(__xludf.DUMMYFUNCTION("""COMPUTED_VALUE"""),"")</f>
        <v/>
      </c>
    </row>
    <row r="26">
      <c r="A26" t="str">
        <f>IFERROR(__xludf.DUMMYFUNCTION("""COMPUTED_VALUE"""),"25")</f>
        <v>25</v>
      </c>
      <c r="B26" s="2" t="str">
        <f>IFERROR(__xludf.DUMMYFUNCTION("""COMPUTED_VALUE"""),"Jalen Williams")</f>
        <v>Jalen Williams</v>
      </c>
      <c r="C26" t="str">
        <f>IFERROR(__xludf.DUMMYFUNCTION("""COMPUTED_VALUE"""),"25")</f>
        <v>25</v>
      </c>
      <c r="D26" t="str">
        <f>IFERROR(__xludf.DUMMYFUNCTION("""COMPUTED_VALUE"""),"OKC")</f>
        <v>OKC</v>
      </c>
      <c r="E26" t="str">
        <f>IFERROR(__xludf.DUMMYFUNCTION("""COMPUTED_VALUE"""),"SG")</f>
        <v>SG</v>
      </c>
      <c r="F26" t="str">
        <f>IFERROR(__xludf.DUMMYFUNCTION("""COMPUTED_VALUE"""),"1")</f>
        <v>1</v>
      </c>
      <c r="G26" t="str">
        <f>IFERROR(__xludf.DUMMYFUNCTION("""COMPUTED_VALUE"""),"1")</f>
        <v>1</v>
      </c>
      <c r="H26" t="str">
        <f>IFERROR(__xludf.DUMMYFUNCTION("""COMPUTED_VALUE"""),"30")</f>
        <v>30</v>
      </c>
      <c r="I26" t="str">
        <f>IFERROR(__xludf.DUMMYFUNCTION("""COMPUTED_VALUE"""),"5")</f>
        <v>5</v>
      </c>
      <c r="J26" t="str">
        <f>IFERROR(__xludf.DUMMYFUNCTION("""COMPUTED_VALUE"""),"16")</f>
        <v>16</v>
      </c>
      <c r="K26" t="str">
        <f>IFERROR(__xludf.DUMMYFUNCTION("""COMPUTED_VALUE"""),"0.313")</f>
        <v>0.313</v>
      </c>
      <c r="L26" t="str">
        <f>IFERROR(__xludf.DUMMYFUNCTION("""COMPUTED_VALUE"""),"1")</f>
        <v>1</v>
      </c>
      <c r="M26" t="str">
        <f>IFERROR(__xludf.DUMMYFUNCTION("""COMPUTED_VALUE"""),"2")</f>
        <v>2</v>
      </c>
      <c r="N26" t="str">
        <f>IFERROR(__xludf.DUMMYFUNCTION("""COMPUTED_VALUE"""),"0.5")</f>
        <v>0.5</v>
      </c>
      <c r="O26" t="str">
        <f>IFERROR(__xludf.DUMMYFUNCTION("""COMPUTED_VALUE"""),"4")</f>
        <v>4</v>
      </c>
      <c r="P26" t="str">
        <f>IFERROR(__xludf.DUMMYFUNCTION("""COMPUTED_VALUE"""),"14")</f>
        <v>14</v>
      </c>
      <c r="Q26" t="str">
        <f>IFERROR(__xludf.DUMMYFUNCTION("""COMPUTED_VALUE"""),"0.286")</f>
        <v>0.286</v>
      </c>
      <c r="R26" t="str">
        <f>IFERROR(__xludf.DUMMYFUNCTION("""COMPUTED_VALUE"""),"0.344")</f>
        <v>0.344</v>
      </c>
      <c r="S26" t="str">
        <f>IFERROR(__xludf.DUMMYFUNCTION("""COMPUTED_VALUE"""),"1")</f>
        <v>1</v>
      </c>
      <c r="T26" t="str">
        <f>IFERROR(__xludf.DUMMYFUNCTION("""COMPUTED_VALUE"""),"2")</f>
        <v>2</v>
      </c>
      <c r="U26" t="str">
        <f>IFERROR(__xludf.DUMMYFUNCTION("""COMPUTED_VALUE"""),"0.5")</f>
        <v>0.5</v>
      </c>
      <c r="V26" t="str">
        <f>IFERROR(__xludf.DUMMYFUNCTION("""COMPUTED_VALUE"""),"0")</f>
        <v>0</v>
      </c>
      <c r="W26" t="str">
        <f>IFERROR(__xludf.DUMMYFUNCTION("""COMPUTED_VALUE"""),"7")</f>
        <v>7</v>
      </c>
      <c r="X26" t="str">
        <f>IFERROR(__xludf.DUMMYFUNCTION("""COMPUTED_VALUE"""),"7")</f>
        <v>7</v>
      </c>
      <c r="Y26" t="str">
        <f>IFERROR(__xludf.DUMMYFUNCTION("""COMPUTED_VALUE"""),"2")</f>
        <v>2</v>
      </c>
      <c r="Z26" t="str">
        <f>IFERROR(__xludf.DUMMYFUNCTION("""COMPUTED_VALUE"""),"1")</f>
        <v>1</v>
      </c>
      <c r="AA26" t="str">
        <f>IFERROR(__xludf.DUMMYFUNCTION("""COMPUTED_VALUE"""),"1")</f>
        <v>1</v>
      </c>
      <c r="AB26" t="str">
        <f>IFERROR(__xludf.DUMMYFUNCTION("""COMPUTED_VALUE"""),"0")</f>
        <v>0</v>
      </c>
      <c r="AC26" t="str">
        <f>IFERROR(__xludf.DUMMYFUNCTION("""COMPUTED_VALUE"""),"4")</f>
        <v>4</v>
      </c>
      <c r="AD26" t="str">
        <f>IFERROR(__xludf.DUMMYFUNCTION("""COMPUTED_VALUE"""),"12")</f>
        <v>12</v>
      </c>
      <c r="AE26" t="str">
        <f>IFERROR(__xludf.DUMMYFUNCTION("""COMPUTED_VALUE"""),"0")</f>
        <v>0</v>
      </c>
      <c r="AF26" t="str">
        <f>IFERROR(__xludf.DUMMYFUNCTION("""COMPUTED_VALUE"""),"")</f>
        <v/>
      </c>
    </row>
    <row r="27">
      <c r="A27" t="str">
        <f>IFERROR(__xludf.DUMMYFUNCTION("""COMPUTED_VALUE"""),"26")</f>
        <v>26</v>
      </c>
      <c r="B27" s="2" t="str">
        <f>IFERROR(__xludf.DUMMYFUNCTION("""COMPUTED_VALUE"""),"Sam Hauser")</f>
        <v>Sam Hauser</v>
      </c>
      <c r="C27" t="str">
        <f>IFERROR(__xludf.DUMMYFUNCTION("""COMPUTED_VALUE"""),"29")</f>
        <v>29</v>
      </c>
      <c r="D27" t="str">
        <f>IFERROR(__xludf.DUMMYFUNCTION("""COMPUTED_VALUE"""),"BOS")</f>
        <v>BOS</v>
      </c>
      <c r="E27" t="str">
        <f>IFERROR(__xludf.DUMMYFUNCTION("""COMPUTED_VALUE"""),"PF")</f>
        <v>PF</v>
      </c>
      <c r="F27" t="str">
        <f>IFERROR(__xludf.DUMMYFUNCTION("""COMPUTED_VALUE"""),"1")</f>
        <v>1</v>
      </c>
      <c r="G27" t="str">
        <f>IFERROR(__xludf.DUMMYFUNCTION("""COMPUTED_VALUE"""),"0")</f>
        <v>0</v>
      </c>
      <c r="H27" t="str">
        <f>IFERROR(__xludf.DUMMYFUNCTION("""COMPUTED_VALUE"""),"18")</f>
        <v>18</v>
      </c>
      <c r="I27" t="str">
        <f>IFERROR(__xludf.DUMMYFUNCTION("""COMPUTED_VALUE"""),"4")</f>
        <v>4</v>
      </c>
      <c r="J27" t="str">
        <f>IFERROR(__xludf.DUMMYFUNCTION("""COMPUTED_VALUE"""),"7")</f>
        <v>7</v>
      </c>
      <c r="K27" t="str">
        <f>IFERROR(__xludf.DUMMYFUNCTION("""COMPUTED_VALUE"""),"0.571")</f>
        <v>0.571</v>
      </c>
      <c r="L27" t="str">
        <f>IFERROR(__xludf.DUMMYFUNCTION("""COMPUTED_VALUE"""),"3")</f>
        <v>3</v>
      </c>
      <c r="M27" t="str">
        <f>IFERROR(__xludf.DUMMYFUNCTION("""COMPUTED_VALUE"""),"5")</f>
        <v>5</v>
      </c>
      <c r="N27" t="str">
        <f>IFERROR(__xludf.DUMMYFUNCTION("""COMPUTED_VALUE"""),"0.6")</f>
        <v>0.6</v>
      </c>
      <c r="O27" t="str">
        <f>IFERROR(__xludf.DUMMYFUNCTION("""COMPUTED_VALUE"""),"1")</f>
        <v>1</v>
      </c>
      <c r="P27" t="str">
        <f>IFERROR(__xludf.DUMMYFUNCTION("""COMPUTED_VALUE"""),"2")</f>
        <v>2</v>
      </c>
      <c r="Q27" t="str">
        <f>IFERROR(__xludf.DUMMYFUNCTION("""COMPUTED_VALUE"""),"0.5")</f>
        <v>0.5</v>
      </c>
      <c r="R27" t="str">
        <f>IFERROR(__xludf.DUMMYFUNCTION("""COMPUTED_VALUE"""),"0.786")</f>
        <v>0.786</v>
      </c>
      <c r="S27" t="str">
        <f>IFERROR(__xludf.DUMMYFUNCTION("""COMPUTED_VALUE"""),"0")</f>
        <v>0</v>
      </c>
      <c r="T27" t="str">
        <f>IFERROR(__xludf.DUMMYFUNCTION("""COMPUTED_VALUE"""),"0")</f>
        <v>0</v>
      </c>
      <c r="U27" t="str">
        <f>IFERROR(__xludf.DUMMYFUNCTION("""COMPUTED_VALUE"""),"")</f>
        <v/>
      </c>
      <c r="V27" t="str">
        <f>IFERROR(__xludf.DUMMYFUNCTION("""COMPUTED_VALUE"""),"1")</f>
        <v>1</v>
      </c>
      <c r="W27" t="str">
        <f>IFERROR(__xludf.DUMMYFUNCTION("""COMPUTED_VALUE"""),"3")</f>
        <v>3</v>
      </c>
      <c r="X27" t="str">
        <f>IFERROR(__xludf.DUMMYFUNCTION("""COMPUTED_VALUE"""),"4")</f>
        <v>4</v>
      </c>
      <c r="Y27" t="str">
        <f>IFERROR(__xludf.DUMMYFUNCTION("""COMPUTED_VALUE"""),"1")</f>
        <v>1</v>
      </c>
      <c r="Z27" t="str">
        <f>IFERROR(__xludf.DUMMYFUNCTION("""COMPUTED_VALUE"""),"0")</f>
        <v>0</v>
      </c>
      <c r="AA27" t="str">
        <f>IFERROR(__xludf.DUMMYFUNCTION("""COMPUTED_VALUE"""),"0")</f>
        <v>0</v>
      </c>
      <c r="AB27" t="str">
        <f>IFERROR(__xludf.DUMMYFUNCTION("""COMPUTED_VALUE"""),"0")</f>
        <v>0</v>
      </c>
      <c r="AC27" t="str">
        <f>IFERROR(__xludf.DUMMYFUNCTION("""COMPUTED_VALUE"""),"3")</f>
        <v>3</v>
      </c>
      <c r="AD27" t="str">
        <f>IFERROR(__xludf.DUMMYFUNCTION("""COMPUTED_VALUE"""),"11")</f>
        <v>11</v>
      </c>
      <c r="AE27" t="str">
        <f>IFERROR(__xludf.DUMMYFUNCTION("""COMPUTED_VALUE"""),"0")</f>
        <v>0</v>
      </c>
      <c r="AF27" t="str">
        <f>IFERROR(__xludf.DUMMYFUNCTION("""COMPUTED_VALUE"""),"")</f>
        <v/>
      </c>
    </row>
    <row r="28">
      <c r="A28" t="str">
        <f>IFERROR(__xludf.DUMMYFUNCTION("""COMPUTED_VALUE"""),"27")</f>
        <v>27</v>
      </c>
      <c r="B28" s="2" t="str">
        <f>IFERROR(__xludf.DUMMYFUNCTION("""COMPUTED_VALUE"""),"Ausar Thompson")</f>
        <v>Ausar Thompson</v>
      </c>
      <c r="C28" t="str">
        <f>IFERROR(__xludf.DUMMYFUNCTION("""COMPUTED_VALUE"""),"24")</f>
        <v>24</v>
      </c>
      <c r="D28" t="str">
        <f>IFERROR(__xludf.DUMMYFUNCTION("""COMPUTED_VALUE"""),"DET")</f>
        <v>DET</v>
      </c>
      <c r="E28" t="str">
        <f>IFERROR(__xludf.DUMMYFUNCTION("""COMPUTED_VALUE"""),"SF")</f>
        <v>SF</v>
      </c>
      <c r="F28" t="str">
        <f>IFERROR(__xludf.DUMMYFUNCTION("""COMPUTED_VALUE"""),"1")</f>
        <v>1</v>
      </c>
      <c r="G28" t="str">
        <f>IFERROR(__xludf.DUMMYFUNCTION("""COMPUTED_VALUE"""),"1")</f>
        <v>1</v>
      </c>
      <c r="H28" t="str">
        <f>IFERROR(__xludf.DUMMYFUNCTION("""COMPUTED_VALUE"""),"33")</f>
        <v>33</v>
      </c>
      <c r="I28" t="str">
        <f>IFERROR(__xludf.DUMMYFUNCTION("""COMPUTED_VALUE"""),"4")</f>
        <v>4</v>
      </c>
      <c r="J28" t="str">
        <f>IFERROR(__xludf.DUMMYFUNCTION("""COMPUTED_VALUE"""),"8")</f>
        <v>8</v>
      </c>
      <c r="K28" t="str">
        <f>IFERROR(__xludf.DUMMYFUNCTION("""COMPUTED_VALUE"""),"0.5")</f>
        <v>0.5</v>
      </c>
      <c r="L28" t="str">
        <f>IFERROR(__xludf.DUMMYFUNCTION("""COMPUTED_VALUE"""),"0")</f>
        <v>0</v>
      </c>
      <c r="M28" t="str">
        <f>IFERROR(__xludf.DUMMYFUNCTION("""COMPUTED_VALUE"""),"1")</f>
        <v>1</v>
      </c>
      <c r="N28" t="str">
        <f>IFERROR(__xludf.DUMMYFUNCTION("""COMPUTED_VALUE"""),"0")</f>
        <v>0</v>
      </c>
      <c r="O28" t="str">
        <f>IFERROR(__xludf.DUMMYFUNCTION("""COMPUTED_VALUE"""),"4")</f>
        <v>4</v>
      </c>
      <c r="P28" t="str">
        <f>IFERROR(__xludf.DUMMYFUNCTION("""COMPUTED_VALUE"""),"7")</f>
        <v>7</v>
      </c>
      <c r="Q28" t="str">
        <f>IFERROR(__xludf.DUMMYFUNCTION("""COMPUTED_VALUE"""),"0.571")</f>
        <v>0.571</v>
      </c>
      <c r="R28" t="str">
        <f>IFERROR(__xludf.DUMMYFUNCTION("""COMPUTED_VALUE"""),"0.5")</f>
        <v>0.5</v>
      </c>
      <c r="S28" t="str">
        <f>IFERROR(__xludf.DUMMYFUNCTION("""COMPUTED_VALUE"""),"3")</f>
        <v>3</v>
      </c>
      <c r="T28" t="str">
        <f>IFERROR(__xludf.DUMMYFUNCTION("""COMPUTED_VALUE"""),"3")</f>
        <v>3</v>
      </c>
      <c r="U28" t="str">
        <f>IFERROR(__xludf.DUMMYFUNCTION("""COMPUTED_VALUE"""),"1.000")</f>
        <v>1.000</v>
      </c>
      <c r="V28" t="str">
        <f>IFERROR(__xludf.DUMMYFUNCTION("""COMPUTED_VALUE"""),"3")</f>
        <v>3</v>
      </c>
      <c r="W28" t="str">
        <f>IFERROR(__xludf.DUMMYFUNCTION("""COMPUTED_VALUE"""),"8")</f>
        <v>8</v>
      </c>
      <c r="X28" t="str">
        <f>IFERROR(__xludf.DUMMYFUNCTION("""COMPUTED_VALUE"""),"11")</f>
        <v>11</v>
      </c>
      <c r="Y28" t="str">
        <f>IFERROR(__xludf.DUMMYFUNCTION("""COMPUTED_VALUE"""),"5")</f>
        <v>5</v>
      </c>
      <c r="Z28" t="str">
        <f>IFERROR(__xludf.DUMMYFUNCTION("""COMPUTED_VALUE"""),"1")</f>
        <v>1</v>
      </c>
      <c r="AA28" t="str">
        <f>IFERROR(__xludf.DUMMYFUNCTION("""COMPUTED_VALUE"""),"0")</f>
        <v>0</v>
      </c>
      <c r="AB28" t="str">
        <f>IFERROR(__xludf.DUMMYFUNCTION("""COMPUTED_VALUE"""),"3")</f>
        <v>3</v>
      </c>
      <c r="AC28" t="str">
        <f>IFERROR(__xludf.DUMMYFUNCTION("""COMPUTED_VALUE"""),"3")</f>
        <v>3</v>
      </c>
      <c r="AD28" t="str">
        <f>IFERROR(__xludf.DUMMYFUNCTION("""COMPUTED_VALUE"""),"11")</f>
        <v>11</v>
      </c>
      <c r="AE28" t="str">
        <f>IFERROR(__xludf.DUMMYFUNCTION("""COMPUTED_VALUE"""),"0")</f>
        <v>0</v>
      </c>
      <c r="AF28" t="str">
        <f>IFERROR(__xludf.DUMMYFUNCTION("""COMPUTED_VALUE"""),"")</f>
        <v/>
      </c>
    </row>
    <row r="29">
      <c r="A29" t="str">
        <f>IFERROR(__xludf.DUMMYFUNCTION("""COMPUTED_VALUE"""),"28")</f>
        <v>28</v>
      </c>
      <c r="B29" s="2" t="str">
        <f>IFERROR(__xludf.DUMMYFUNCTION("""COMPUTED_VALUE"""),"OG Anunoby")</f>
        <v>OG Anunoby</v>
      </c>
      <c r="C29" t="str">
        <f>IFERROR(__xludf.DUMMYFUNCTION("""COMPUTED_VALUE"""),"29")</f>
        <v>29</v>
      </c>
      <c r="D29" t="str">
        <f>IFERROR(__xludf.DUMMYFUNCTION("""COMPUTED_VALUE"""),"NYK")</f>
        <v>NYK</v>
      </c>
      <c r="E29" t="str">
        <f>IFERROR(__xludf.DUMMYFUNCTION("""COMPUTED_VALUE"""),"PF")</f>
        <v>PF</v>
      </c>
      <c r="F29" t="str">
        <f>IFERROR(__xludf.DUMMYFUNCTION("""COMPUTED_VALUE"""),"1")</f>
        <v>1</v>
      </c>
      <c r="G29" t="str">
        <f>IFERROR(__xludf.DUMMYFUNCTION("""COMPUTED_VALUE"""),"1")</f>
        <v>1</v>
      </c>
      <c r="H29" t="str">
        <f>IFERROR(__xludf.DUMMYFUNCTION("""COMPUTED_VALUE"""),"32")</f>
        <v>32</v>
      </c>
      <c r="I29" t="str">
        <f>IFERROR(__xludf.DUMMYFUNCTION("""COMPUTED_VALUE"""),"3")</f>
        <v>3</v>
      </c>
      <c r="J29" t="str">
        <f>IFERROR(__xludf.DUMMYFUNCTION("""COMPUTED_VALUE"""),"12")</f>
        <v>12</v>
      </c>
      <c r="K29" t="str">
        <f>IFERROR(__xludf.DUMMYFUNCTION("""COMPUTED_VALUE"""),"0.25")</f>
        <v>0.25</v>
      </c>
      <c r="L29" t="str">
        <f>IFERROR(__xludf.DUMMYFUNCTION("""COMPUTED_VALUE"""),"1")</f>
        <v>1</v>
      </c>
      <c r="M29" t="str">
        <f>IFERROR(__xludf.DUMMYFUNCTION("""COMPUTED_VALUE"""),"9")</f>
        <v>9</v>
      </c>
      <c r="N29" t="str">
        <f>IFERROR(__xludf.DUMMYFUNCTION("""COMPUTED_VALUE"""),"0.111")</f>
        <v>0.111</v>
      </c>
      <c r="O29" t="str">
        <f>IFERROR(__xludf.DUMMYFUNCTION("""COMPUTED_VALUE"""),"2")</f>
        <v>2</v>
      </c>
      <c r="P29" t="str">
        <f>IFERROR(__xludf.DUMMYFUNCTION("""COMPUTED_VALUE"""),"3")</f>
        <v>3</v>
      </c>
      <c r="Q29" t="str">
        <f>IFERROR(__xludf.DUMMYFUNCTION("""COMPUTED_VALUE"""),"0.667")</f>
        <v>0.667</v>
      </c>
      <c r="R29" t="str">
        <f>IFERROR(__xludf.DUMMYFUNCTION("""COMPUTED_VALUE"""),"0.292")</f>
        <v>0.292</v>
      </c>
      <c r="S29" t="str">
        <f>IFERROR(__xludf.DUMMYFUNCTION("""COMPUTED_VALUE"""),"3")</f>
        <v>3</v>
      </c>
      <c r="T29" t="str">
        <f>IFERROR(__xludf.DUMMYFUNCTION("""COMPUTED_VALUE"""),"3")</f>
        <v>3</v>
      </c>
      <c r="U29" t="str">
        <f>IFERROR(__xludf.DUMMYFUNCTION("""COMPUTED_VALUE"""),"1.000")</f>
        <v>1.000</v>
      </c>
      <c r="V29" t="str">
        <f>IFERROR(__xludf.DUMMYFUNCTION("""COMPUTED_VALUE"""),"1")</f>
        <v>1</v>
      </c>
      <c r="W29" t="str">
        <f>IFERROR(__xludf.DUMMYFUNCTION("""COMPUTED_VALUE"""),"4")</f>
        <v>4</v>
      </c>
      <c r="X29" t="str">
        <f>IFERROR(__xludf.DUMMYFUNCTION("""COMPUTED_VALUE"""),"5")</f>
        <v>5</v>
      </c>
      <c r="Y29" t="str">
        <f>IFERROR(__xludf.DUMMYFUNCTION("""COMPUTED_VALUE"""),"0")</f>
        <v>0</v>
      </c>
      <c r="Z29" t="str">
        <f>IFERROR(__xludf.DUMMYFUNCTION("""COMPUTED_VALUE"""),"1")</f>
        <v>1</v>
      </c>
      <c r="AA29" t="str">
        <f>IFERROR(__xludf.DUMMYFUNCTION("""COMPUTED_VALUE"""),"1")</f>
        <v>1</v>
      </c>
      <c r="AB29" t="str">
        <f>IFERROR(__xludf.DUMMYFUNCTION("""COMPUTED_VALUE"""),"2")</f>
        <v>2</v>
      </c>
      <c r="AC29" t="str">
        <f>IFERROR(__xludf.DUMMYFUNCTION("""COMPUTED_VALUE"""),"5")</f>
        <v>5</v>
      </c>
      <c r="AD29" t="str">
        <f>IFERROR(__xludf.DUMMYFUNCTION("""COMPUTED_VALUE"""),"10")</f>
        <v>10</v>
      </c>
      <c r="AE29" t="str">
        <f>IFERROR(__xludf.DUMMYFUNCTION("""COMPUTED_VALUE"""),"0")</f>
        <v>0</v>
      </c>
      <c r="AF29" t="str">
        <f>IFERROR(__xludf.DUMMYFUNCTION("""COMPUTED_VALUE"""),"")</f>
        <v/>
      </c>
    </row>
    <row r="30">
      <c r="A30" t="str">
        <f>IFERROR(__xludf.DUMMYFUNCTION("""COMPUTED_VALUE"""),"29")</f>
        <v>29</v>
      </c>
      <c r="B30" s="2" t="str">
        <f>IFERROR(__xludf.DUMMYFUNCTION("""COMPUTED_VALUE"""),"Kentavious Caldwell-Pope")</f>
        <v>Kentavious Caldwell-Pope</v>
      </c>
      <c r="C30" t="str">
        <f>IFERROR(__xludf.DUMMYFUNCTION("""COMPUTED_VALUE"""),"33")</f>
        <v>33</v>
      </c>
      <c r="D30" t="str">
        <f>IFERROR(__xludf.DUMMYFUNCTION("""COMPUTED_VALUE"""),"PHI")</f>
        <v>PHI</v>
      </c>
      <c r="E30" t="str">
        <f>IFERROR(__xludf.DUMMYFUNCTION("""COMPUTED_VALUE"""),"SG")</f>
        <v>SG</v>
      </c>
      <c r="F30" t="str">
        <f>IFERROR(__xludf.DUMMYFUNCTION("""COMPUTED_VALUE"""),"1")</f>
        <v>1</v>
      </c>
      <c r="G30" t="str">
        <f>IFERROR(__xludf.DUMMYFUNCTION("""COMPUTED_VALUE"""),"0")</f>
        <v>0</v>
      </c>
      <c r="H30" t="str">
        <f>IFERROR(__xludf.DUMMYFUNCTION("""COMPUTED_VALUE"""),"26")</f>
        <v>26</v>
      </c>
      <c r="I30" t="str">
        <f>IFERROR(__xludf.DUMMYFUNCTION("""COMPUTED_VALUE"""),"3")</f>
        <v>3</v>
      </c>
      <c r="J30" t="str">
        <f>IFERROR(__xludf.DUMMYFUNCTION("""COMPUTED_VALUE"""),"8")</f>
        <v>8</v>
      </c>
      <c r="K30" t="str">
        <f>IFERROR(__xludf.DUMMYFUNCTION("""COMPUTED_VALUE"""),"0.375")</f>
        <v>0.375</v>
      </c>
      <c r="L30" t="str">
        <f>IFERROR(__xludf.DUMMYFUNCTION("""COMPUTED_VALUE"""),"2")</f>
        <v>2</v>
      </c>
      <c r="M30" t="str">
        <f>IFERROR(__xludf.DUMMYFUNCTION("""COMPUTED_VALUE"""),"6")</f>
        <v>6</v>
      </c>
      <c r="N30" t="str">
        <f>IFERROR(__xludf.DUMMYFUNCTION("""COMPUTED_VALUE"""),"0.333")</f>
        <v>0.333</v>
      </c>
      <c r="O30" t="str">
        <f>IFERROR(__xludf.DUMMYFUNCTION("""COMPUTED_VALUE"""),"1")</f>
        <v>1</v>
      </c>
      <c r="P30" t="str">
        <f>IFERROR(__xludf.DUMMYFUNCTION("""COMPUTED_VALUE"""),"2")</f>
        <v>2</v>
      </c>
      <c r="Q30" t="str">
        <f>IFERROR(__xludf.DUMMYFUNCTION("""COMPUTED_VALUE"""),"0.5")</f>
        <v>0.5</v>
      </c>
      <c r="R30" t="str">
        <f>IFERROR(__xludf.DUMMYFUNCTION("""COMPUTED_VALUE"""),"0.5")</f>
        <v>0.5</v>
      </c>
      <c r="S30" t="str">
        <f>IFERROR(__xludf.DUMMYFUNCTION("""COMPUTED_VALUE"""),"2")</f>
        <v>2</v>
      </c>
      <c r="T30" t="str">
        <f>IFERROR(__xludf.DUMMYFUNCTION("""COMPUTED_VALUE"""),"2")</f>
        <v>2</v>
      </c>
      <c r="U30" t="str">
        <f>IFERROR(__xludf.DUMMYFUNCTION("""COMPUTED_VALUE"""),"1.000")</f>
        <v>1.000</v>
      </c>
      <c r="V30" t="str">
        <f>IFERROR(__xludf.DUMMYFUNCTION("""COMPUTED_VALUE"""),"1")</f>
        <v>1</v>
      </c>
      <c r="W30" t="str">
        <f>IFERROR(__xludf.DUMMYFUNCTION("""COMPUTED_VALUE"""),"3")</f>
        <v>3</v>
      </c>
      <c r="X30" t="str">
        <f>IFERROR(__xludf.DUMMYFUNCTION("""COMPUTED_VALUE"""),"4")</f>
        <v>4</v>
      </c>
      <c r="Y30" t="str">
        <f>IFERROR(__xludf.DUMMYFUNCTION("""COMPUTED_VALUE"""),"1")</f>
        <v>1</v>
      </c>
      <c r="Z30" t="str">
        <f>IFERROR(__xludf.DUMMYFUNCTION("""COMPUTED_VALUE"""),"0")</f>
        <v>0</v>
      </c>
      <c r="AA30" t="str">
        <f>IFERROR(__xludf.DUMMYFUNCTION("""COMPUTED_VALUE"""),"1")</f>
        <v>1</v>
      </c>
      <c r="AB30" t="str">
        <f>IFERROR(__xludf.DUMMYFUNCTION("""COMPUTED_VALUE"""),"0")</f>
        <v>0</v>
      </c>
      <c r="AC30" t="str">
        <f>IFERROR(__xludf.DUMMYFUNCTION("""COMPUTED_VALUE"""),"3")</f>
        <v>3</v>
      </c>
      <c r="AD30" t="str">
        <f>IFERROR(__xludf.DUMMYFUNCTION("""COMPUTED_VALUE"""),"10")</f>
        <v>10</v>
      </c>
      <c r="AE30" t="str">
        <f>IFERROR(__xludf.DUMMYFUNCTION("""COMPUTED_VALUE"""),"0")</f>
        <v>0</v>
      </c>
      <c r="AF30" t="str">
        <f>IFERROR(__xludf.DUMMYFUNCTION("""COMPUTED_VALUE"""),"")</f>
        <v/>
      </c>
    </row>
    <row r="31">
      <c r="A31" t="str">
        <f>IFERROR(__xludf.DUMMYFUNCTION("""COMPUTED_VALUE"""),"30")</f>
        <v>30</v>
      </c>
      <c r="B31" s="2" t="str">
        <f>IFERROR(__xludf.DUMMYFUNCTION("""COMPUTED_VALUE"""),"Keldon Johnson")</f>
        <v>Keldon Johnson</v>
      </c>
      <c r="C31" t="str">
        <f>IFERROR(__xludf.DUMMYFUNCTION("""COMPUTED_VALUE"""),"27")</f>
        <v>27</v>
      </c>
      <c r="D31" t="str">
        <f>IFERROR(__xludf.DUMMYFUNCTION("""COMPUTED_VALUE"""),"SAS")</f>
        <v>SAS</v>
      </c>
      <c r="E31" t="str">
        <f>IFERROR(__xludf.DUMMYFUNCTION("""COMPUTED_VALUE"""),"SF")</f>
        <v>SF</v>
      </c>
      <c r="F31" t="str">
        <f>IFERROR(__xludf.DUMMYFUNCTION("""COMPUTED_VALUE"""),"1")</f>
        <v>1</v>
      </c>
      <c r="G31" t="str">
        <f>IFERROR(__xludf.DUMMYFUNCTION("""COMPUTED_VALUE"""),"0")</f>
        <v>0</v>
      </c>
      <c r="H31" t="str">
        <f>IFERROR(__xludf.DUMMYFUNCTION("""COMPUTED_VALUE"""),"20")</f>
        <v>20</v>
      </c>
      <c r="I31" t="str">
        <f>IFERROR(__xludf.DUMMYFUNCTION("""COMPUTED_VALUE"""),"4")</f>
        <v>4</v>
      </c>
      <c r="J31" t="str">
        <f>IFERROR(__xludf.DUMMYFUNCTION("""COMPUTED_VALUE"""),"8")</f>
        <v>8</v>
      </c>
      <c r="K31" t="str">
        <f>IFERROR(__xludf.DUMMYFUNCTION("""COMPUTED_VALUE"""),"0.5")</f>
        <v>0.5</v>
      </c>
      <c r="L31" t="str">
        <f>IFERROR(__xludf.DUMMYFUNCTION("""COMPUTED_VALUE"""),"1")</f>
        <v>1</v>
      </c>
      <c r="M31" t="str">
        <f>IFERROR(__xludf.DUMMYFUNCTION("""COMPUTED_VALUE"""),"2")</f>
        <v>2</v>
      </c>
      <c r="N31" t="str">
        <f>IFERROR(__xludf.DUMMYFUNCTION("""COMPUTED_VALUE"""),"0.5")</f>
        <v>0.5</v>
      </c>
      <c r="O31" t="str">
        <f>IFERROR(__xludf.DUMMYFUNCTION("""COMPUTED_VALUE"""),"3")</f>
        <v>3</v>
      </c>
      <c r="P31" t="str">
        <f>IFERROR(__xludf.DUMMYFUNCTION("""COMPUTED_VALUE"""),"6")</f>
        <v>6</v>
      </c>
      <c r="Q31" t="str">
        <f>IFERROR(__xludf.DUMMYFUNCTION("""COMPUTED_VALUE"""),"0.5")</f>
        <v>0.5</v>
      </c>
      <c r="R31" t="str">
        <f>IFERROR(__xludf.DUMMYFUNCTION("""COMPUTED_VALUE"""),"0.563")</f>
        <v>0.563</v>
      </c>
      <c r="S31" t="str">
        <f>IFERROR(__xludf.DUMMYFUNCTION("""COMPUTED_VALUE"""),"1")</f>
        <v>1</v>
      </c>
      <c r="T31" t="str">
        <f>IFERROR(__xludf.DUMMYFUNCTION("""COMPUTED_VALUE"""),"1")</f>
        <v>1</v>
      </c>
      <c r="U31" t="str">
        <f>IFERROR(__xludf.DUMMYFUNCTION("""COMPUTED_VALUE"""),"1")</f>
        <v>1</v>
      </c>
      <c r="V31" t="str">
        <f>IFERROR(__xludf.DUMMYFUNCTION("""COMPUTED_VALUE"""),"3")</f>
        <v>3</v>
      </c>
      <c r="W31" t="str">
        <f>IFERROR(__xludf.DUMMYFUNCTION("""COMPUTED_VALUE"""),"1")</f>
        <v>1</v>
      </c>
      <c r="X31" t="str">
        <f>IFERROR(__xludf.DUMMYFUNCTION("""COMPUTED_VALUE"""),"4")</f>
        <v>4</v>
      </c>
      <c r="Y31" t="str">
        <f>IFERROR(__xludf.DUMMYFUNCTION("""COMPUTED_VALUE"""),"1")</f>
        <v>1</v>
      </c>
      <c r="Z31" t="str">
        <f>IFERROR(__xludf.DUMMYFUNCTION("""COMPUTED_VALUE"""),"2")</f>
        <v>2</v>
      </c>
      <c r="AA31" t="str">
        <f>IFERROR(__xludf.DUMMYFUNCTION("""COMPUTED_VALUE"""),"0")</f>
        <v>0</v>
      </c>
      <c r="AB31" t="str">
        <f>IFERROR(__xludf.DUMMYFUNCTION("""COMPUTED_VALUE"""),"2")</f>
        <v>2</v>
      </c>
      <c r="AC31" t="str">
        <f>IFERROR(__xludf.DUMMYFUNCTION("""COMPUTED_VALUE"""),"2")</f>
        <v>2</v>
      </c>
      <c r="AD31" t="str">
        <f>IFERROR(__xludf.DUMMYFUNCTION("""COMPUTED_VALUE"""),"10")</f>
        <v>10</v>
      </c>
      <c r="AE31" t="str">
        <f>IFERROR(__xludf.DUMMYFUNCTION("""COMPUTED_VALUE"""),"0")</f>
        <v>0</v>
      </c>
      <c r="AF31" t="str">
        <f>IFERROR(__xludf.DUMMYFUNCTION("""COMPUTED_VALUE"""),"")</f>
        <v/>
      </c>
    </row>
    <row r="32">
      <c r="A32" t="str">
        <f>IFERROR(__xludf.DUMMYFUNCTION("""COMPUTED_VALUE"""),"31")</f>
        <v>31</v>
      </c>
      <c r="B32" s="2" t="str">
        <f>IFERROR(__xludf.DUMMYFUNCTION("""COMPUTED_VALUE"""),"Alex Caruso")</f>
        <v>Alex Caruso</v>
      </c>
      <c r="C32" t="str">
        <f>IFERROR(__xludf.DUMMYFUNCTION("""COMPUTED_VALUE"""),"32")</f>
        <v>32</v>
      </c>
      <c r="D32" t="str">
        <f>IFERROR(__xludf.DUMMYFUNCTION("""COMPUTED_VALUE"""),"OKC")</f>
        <v>OKC</v>
      </c>
      <c r="E32" t="str">
        <f>IFERROR(__xludf.DUMMYFUNCTION("""COMPUTED_VALUE"""),"SG")</f>
        <v>SG</v>
      </c>
      <c r="F32" t="str">
        <f>IFERROR(__xludf.DUMMYFUNCTION("""COMPUTED_VALUE"""),"1")</f>
        <v>1</v>
      </c>
      <c r="G32" t="str">
        <f>IFERROR(__xludf.DUMMYFUNCTION("""COMPUTED_VALUE"""),"0")</f>
        <v>0</v>
      </c>
      <c r="H32" t="str">
        <f>IFERROR(__xludf.DUMMYFUNCTION("""COMPUTED_VALUE"""),"25")</f>
        <v>25</v>
      </c>
      <c r="I32" t="str">
        <f>IFERROR(__xludf.DUMMYFUNCTION("""COMPUTED_VALUE"""),"3")</f>
        <v>3</v>
      </c>
      <c r="J32" t="str">
        <f>IFERROR(__xludf.DUMMYFUNCTION("""COMPUTED_VALUE"""),"4")</f>
        <v>4</v>
      </c>
      <c r="K32" t="str">
        <f>IFERROR(__xludf.DUMMYFUNCTION("""COMPUTED_VALUE"""),"0.75")</f>
        <v>0.75</v>
      </c>
      <c r="L32" t="str">
        <f>IFERROR(__xludf.DUMMYFUNCTION("""COMPUTED_VALUE"""),"2")</f>
        <v>2</v>
      </c>
      <c r="M32" t="str">
        <f>IFERROR(__xludf.DUMMYFUNCTION("""COMPUTED_VALUE"""),"2")</f>
        <v>2</v>
      </c>
      <c r="N32" t="str">
        <f>IFERROR(__xludf.DUMMYFUNCTION("""COMPUTED_VALUE"""),"1.000")</f>
        <v>1.000</v>
      </c>
      <c r="O32" t="str">
        <f>IFERROR(__xludf.DUMMYFUNCTION("""COMPUTED_VALUE"""),"1")</f>
        <v>1</v>
      </c>
      <c r="P32" t="str">
        <f>IFERROR(__xludf.DUMMYFUNCTION("""COMPUTED_VALUE"""),"2")</f>
        <v>2</v>
      </c>
      <c r="Q32" t="str">
        <f>IFERROR(__xludf.DUMMYFUNCTION("""COMPUTED_VALUE"""),"0.5")</f>
        <v>0.5</v>
      </c>
      <c r="R32" t="str">
        <f>IFERROR(__xludf.DUMMYFUNCTION("""COMPUTED_VALUE"""),"1")</f>
        <v>1</v>
      </c>
      <c r="S32" t="str">
        <f>IFERROR(__xludf.DUMMYFUNCTION("""COMPUTED_VALUE"""),"1")</f>
        <v>1</v>
      </c>
      <c r="T32" t="str">
        <f>IFERROR(__xludf.DUMMYFUNCTION("""COMPUTED_VALUE"""),"2")</f>
        <v>2</v>
      </c>
      <c r="U32" t="str">
        <f>IFERROR(__xludf.DUMMYFUNCTION("""COMPUTED_VALUE"""),"0.5")</f>
        <v>0.5</v>
      </c>
      <c r="V32" t="str">
        <f>IFERROR(__xludf.DUMMYFUNCTION("""COMPUTED_VALUE"""),"0")</f>
        <v>0</v>
      </c>
      <c r="W32" t="str">
        <f>IFERROR(__xludf.DUMMYFUNCTION("""COMPUTED_VALUE"""),"6")</f>
        <v>6</v>
      </c>
      <c r="X32" t="str">
        <f>IFERROR(__xludf.DUMMYFUNCTION("""COMPUTED_VALUE"""),"6")</f>
        <v>6</v>
      </c>
      <c r="Y32" t="str">
        <f>IFERROR(__xludf.DUMMYFUNCTION("""COMPUTED_VALUE"""),"1")</f>
        <v>1</v>
      </c>
      <c r="Z32" t="str">
        <f>IFERROR(__xludf.DUMMYFUNCTION("""COMPUTED_VALUE"""),"1")</f>
        <v>1</v>
      </c>
      <c r="AA32" t="str">
        <f>IFERROR(__xludf.DUMMYFUNCTION("""COMPUTED_VALUE"""),"0")</f>
        <v>0</v>
      </c>
      <c r="AB32" t="str">
        <f>IFERROR(__xludf.DUMMYFUNCTION("""COMPUTED_VALUE"""),"0")</f>
        <v>0</v>
      </c>
      <c r="AC32" t="str">
        <f>IFERROR(__xludf.DUMMYFUNCTION("""COMPUTED_VALUE"""),"1")</f>
        <v>1</v>
      </c>
      <c r="AD32" t="str">
        <f>IFERROR(__xludf.DUMMYFUNCTION("""COMPUTED_VALUE"""),"9")</f>
        <v>9</v>
      </c>
      <c r="AE32" t="str">
        <f>IFERROR(__xludf.DUMMYFUNCTION("""COMPUTED_VALUE"""),"0")</f>
        <v>0</v>
      </c>
      <c r="AF32" t="str">
        <f>IFERROR(__xludf.DUMMYFUNCTION("""COMPUTED_VALUE"""),"")</f>
        <v/>
      </c>
    </row>
    <row r="33">
      <c r="A33" t="str">
        <f>IFERROR(__xludf.DUMMYFUNCTION("""COMPUTED_VALUE"""),"32")</f>
        <v>32</v>
      </c>
      <c r="B33" s="2" t="str">
        <f>IFERROR(__xludf.DUMMYFUNCTION("""COMPUTED_VALUE"""),"VJ Edgecombe")</f>
        <v>VJ Edgecombe</v>
      </c>
      <c r="C33" t="str">
        <f>IFERROR(__xludf.DUMMYFUNCTION("""COMPUTED_VALUE"""),"21")</f>
        <v>21</v>
      </c>
      <c r="D33" t="str">
        <f>IFERROR(__xludf.DUMMYFUNCTION("""COMPUTED_VALUE"""),"PHI")</f>
        <v>PHI</v>
      </c>
      <c r="E33" t="str">
        <f>IFERROR(__xludf.DUMMYFUNCTION("""COMPUTED_VALUE"""),"SG")</f>
        <v>SG</v>
      </c>
      <c r="F33" t="str">
        <f>IFERROR(__xludf.DUMMYFUNCTION("""COMPUTED_VALUE"""),"1")</f>
        <v>1</v>
      </c>
      <c r="G33" t="str">
        <f>IFERROR(__xludf.DUMMYFUNCTION("""COMPUTED_VALUE"""),"1")</f>
        <v>1</v>
      </c>
      <c r="H33" t="str">
        <f>IFERROR(__xludf.DUMMYFUNCTION("""COMPUTED_VALUE"""),"35")</f>
        <v>35</v>
      </c>
      <c r="I33" t="str">
        <f>IFERROR(__xludf.DUMMYFUNCTION("""COMPUTED_VALUE"""),"4")</f>
        <v>4</v>
      </c>
      <c r="J33" t="str">
        <f>IFERROR(__xludf.DUMMYFUNCTION("""COMPUTED_VALUE"""),"10")</f>
        <v>10</v>
      </c>
      <c r="K33" t="str">
        <f>IFERROR(__xludf.DUMMYFUNCTION("""COMPUTED_VALUE"""),"0.4")</f>
        <v>0.4</v>
      </c>
      <c r="L33" t="str">
        <f>IFERROR(__xludf.DUMMYFUNCTION("""COMPUTED_VALUE"""),"0")</f>
        <v>0</v>
      </c>
      <c r="M33" t="str">
        <f>IFERROR(__xludf.DUMMYFUNCTION("""COMPUTED_VALUE"""),"3")</f>
        <v>3</v>
      </c>
      <c r="N33" t="str">
        <f>IFERROR(__xludf.DUMMYFUNCTION("""COMPUTED_VALUE"""),"0")</f>
        <v>0</v>
      </c>
      <c r="O33" t="str">
        <f>IFERROR(__xludf.DUMMYFUNCTION("""COMPUTED_VALUE"""),"4")</f>
        <v>4</v>
      </c>
      <c r="P33" t="str">
        <f>IFERROR(__xludf.DUMMYFUNCTION("""COMPUTED_VALUE"""),"7")</f>
        <v>7</v>
      </c>
      <c r="Q33" t="str">
        <f>IFERROR(__xludf.DUMMYFUNCTION("""COMPUTED_VALUE"""),"0.571")</f>
        <v>0.571</v>
      </c>
      <c r="R33" t="str">
        <f>IFERROR(__xludf.DUMMYFUNCTION("""COMPUTED_VALUE"""),"0.4")</f>
        <v>0.4</v>
      </c>
      <c r="S33" t="str">
        <f>IFERROR(__xludf.DUMMYFUNCTION("""COMPUTED_VALUE"""),"1")</f>
        <v>1</v>
      </c>
      <c r="T33" t="str">
        <f>IFERROR(__xludf.DUMMYFUNCTION("""COMPUTED_VALUE"""),"2")</f>
        <v>2</v>
      </c>
      <c r="U33" t="str">
        <f>IFERROR(__xludf.DUMMYFUNCTION("""COMPUTED_VALUE"""),"0.5")</f>
        <v>0.5</v>
      </c>
      <c r="V33" t="str">
        <f>IFERROR(__xludf.DUMMYFUNCTION("""COMPUTED_VALUE"""),"0")</f>
        <v>0</v>
      </c>
      <c r="W33" t="str">
        <f>IFERROR(__xludf.DUMMYFUNCTION("""COMPUTED_VALUE"""),"4")</f>
        <v>4</v>
      </c>
      <c r="X33" t="str">
        <f>IFERROR(__xludf.DUMMYFUNCTION("""COMPUTED_VALUE"""),"4")</f>
        <v>4</v>
      </c>
      <c r="Y33" t="str">
        <f>IFERROR(__xludf.DUMMYFUNCTION("""COMPUTED_VALUE"""),"1")</f>
        <v>1</v>
      </c>
      <c r="Z33" t="str">
        <f>IFERROR(__xludf.DUMMYFUNCTION("""COMPUTED_VALUE"""),"1")</f>
        <v>1</v>
      </c>
      <c r="AA33" t="str">
        <f>IFERROR(__xludf.DUMMYFUNCTION("""COMPUTED_VALUE"""),"0")</f>
        <v>0</v>
      </c>
      <c r="AB33" t="str">
        <f>IFERROR(__xludf.DUMMYFUNCTION("""COMPUTED_VALUE"""),"1")</f>
        <v>1</v>
      </c>
      <c r="AC33" t="str">
        <f>IFERROR(__xludf.DUMMYFUNCTION("""COMPUTED_VALUE"""),"4")</f>
        <v>4</v>
      </c>
      <c r="AD33" t="str">
        <f>IFERROR(__xludf.DUMMYFUNCTION("""COMPUTED_VALUE"""),"9")</f>
        <v>9</v>
      </c>
      <c r="AE33" t="str">
        <f>IFERROR(__xludf.DUMMYFUNCTION("""COMPUTED_VALUE"""),"0")</f>
        <v>0</v>
      </c>
      <c r="AF33" t="str">
        <f>IFERROR(__xludf.DUMMYFUNCTION("""COMPUTED_VALUE"""),"")</f>
        <v/>
      </c>
    </row>
    <row r="34">
      <c r="A34" t="str">
        <f>IFERROR(__xludf.DUMMYFUNCTION("""COMPUTED_VALUE"""),"33")</f>
        <v>33</v>
      </c>
      <c r="B34" s="2" t="str">
        <f>IFERROR(__xludf.DUMMYFUNCTION("""COMPUTED_VALUE"""),"Jose Alvarado")</f>
        <v>Jose Alvarado</v>
      </c>
      <c r="C34" t="str">
        <f>IFERROR(__xludf.DUMMYFUNCTION("""COMPUTED_VALUE"""),"28")</f>
        <v>28</v>
      </c>
      <c r="D34" t="str">
        <f>IFERROR(__xludf.DUMMYFUNCTION("""COMPUTED_VALUE"""),"NYK")</f>
        <v>NYK</v>
      </c>
      <c r="E34" t="str">
        <f>IFERROR(__xludf.DUMMYFUNCTION("""COMPUTED_VALUE"""),"PG")</f>
        <v>PG</v>
      </c>
      <c r="F34" t="str">
        <f>IFERROR(__xludf.DUMMYFUNCTION("""COMPUTED_VALUE"""),"1")</f>
        <v>1</v>
      </c>
      <c r="G34" t="str">
        <f>IFERROR(__xludf.DUMMYFUNCTION("""COMPUTED_VALUE"""),"0")</f>
        <v>0</v>
      </c>
      <c r="H34" t="str">
        <f>IFERROR(__xludf.DUMMYFUNCTION("""COMPUTED_VALUE"""),"16")</f>
        <v>16</v>
      </c>
      <c r="I34" t="str">
        <f>IFERROR(__xludf.DUMMYFUNCTION("""COMPUTED_VALUE"""),"3")</f>
        <v>3</v>
      </c>
      <c r="J34" t="str">
        <f>IFERROR(__xludf.DUMMYFUNCTION("""COMPUTED_VALUE"""),"7")</f>
        <v>7</v>
      </c>
      <c r="K34" t="str">
        <f>IFERROR(__xludf.DUMMYFUNCTION("""COMPUTED_VALUE"""),"0.429")</f>
        <v>0.429</v>
      </c>
      <c r="L34" t="str">
        <f>IFERROR(__xludf.DUMMYFUNCTION("""COMPUTED_VALUE"""),"2")</f>
        <v>2</v>
      </c>
      <c r="M34" t="str">
        <f>IFERROR(__xludf.DUMMYFUNCTION("""COMPUTED_VALUE"""),"3")</f>
        <v>3</v>
      </c>
      <c r="N34" t="str">
        <f>IFERROR(__xludf.DUMMYFUNCTION("""COMPUTED_VALUE"""),"0.667")</f>
        <v>0.667</v>
      </c>
      <c r="O34" t="str">
        <f>IFERROR(__xludf.DUMMYFUNCTION("""COMPUTED_VALUE"""),"1")</f>
        <v>1</v>
      </c>
      <c r="P34" t="str">
        <f>IFERROR(__xludf.DUMMYFUNCTION("""COMPUTED_VALUE"""),"4")</f>
        <v>4</v>
      </c>
      <c r="Q34" t="str">
        <f>IFERROR(__xludf.DUMMYFUNCTION("""COMPUTED_VALUE"""),"0.25")</f>
        <v>0.25</v>
      </c>
      <c r="R34" t="str">
        <f>IFERROR(__xludf.DUMMYFUNCTION("""COMPUTED_VALUE"""),"0.571")</f>
        <v>0.571</v>
      </c>
      <c r="S34" t="str">
        <f>IFERROR(__xludf.DUMMYFUNCTION("""COMPUTED_VALUE"""),"0")</f>
        <v>0</v>
      </c>
      <c r="T34" t="str">
        <f>IFERROR(__xludf.DUMMYFUNCTION("""COMPUTED_VALUE"""),"0")</f>
        <v>0</v>
      </c>
      <c r="U34" t="str">
        <f>IFERROR(__xludf.DUMMYFUNCTION("""COMPUTED_VALUE"""),"")</f>
        <v/>
      </c>
      <c r="V34" t="str">
        <f>IFERROR(__xludf.DUMMYFUNCTION("""COMPUTED_VALUE"""),"0")</f>
        <v>0</v>
      </c>
      <c r="W34" t="str">
        <f>IFERROR(__xludf.DUMMYFUNCTION("""COMPUTED_VALUE"""),"3")</f>
        <v>3</v>
      </c>
      <c r="X34" t="str">
        <f>IFERROR(__xludf.DUMMYFUNCTION("""COMPUTED_VALUE"""),"3")</f>
        <v>3</v>
      </c>
      <c r="Y34" t="str">
        <f>IFERROR(__xludf.DUMMYFUNCTION("""COMPUTED_VALUE"""),"3")</f>
        <v>3</v>
      </c>
      <c r="Z34" t="str">
        <f>IFERROR(__xludf.DUMMYFUNCTION("""COMPUTED_VALUE"""),"2")</f>
        <v>2</v>
      </c>
      <c r="AA34" t="str">
        <f>IFERROR(__xludf.DUMMYFUNCTION("""COMPUTED_VALUE"""),"0")</f>
        <v>0</v>
      </c>
      <c r="AB34" t="str">
        <f>IFERROR(__xludf.DUMMYFUNCTION("""COMPUTED_VALUE"""),"1")</f>
        <v>1</v>
      </c>
      <c r="AC34" t="str">
        <f>IFERROR(__xludf.DUMMYFUNCTION("""COMPUTED_VALUE"""),"2")</f>
        <v>2</v>
      </c>
      <c r="AD34" t="str">
        <f>IFERROR(__xludf.DUMMYFUNCTION("""COMPUTED_VALUE"""),"8")</f>
        <v>8</v>
      </c>
      <c r="AE34" t="str">
        <f>IFERROR(__xludf.DUMMYFUNCTION("""COMPUTED_VALUE"""),"0")</f>
        <v>0</v>
      </c>
      <c r="AF34" t="str">
        <f>IFERROR(__xludf.DUMMYFUNCTION("""COMPUTED_VALUE"""),"")</f>
        <v/>
      </c>
    </row>
    <row r="35">
      <c r="A35" t="str">
        <f>IFERROR(__xludf.DUMMYFUNCTION("""COMPUTED_VALUE"""),"34")</f>
        <v>34</v>
      </c>
      <c r="B35" s="2" t="str">
        <f>IFERROR(__xludf.DUMMYFUNCTION("""COMPUTED_VALUE"""),"Julian Champagnie")</f>
        <v>Julian Champagnie</v>
      </c>
      <c r="C35" t="str">
        <f>IFERROR(__xludf.DUMMYFUNCTION("""COMPUTED_VALUE"""),"25")</f>
        <v>25</v>
      </c>
      <c r="D35" t="str">
        <f>IFERROR(__xludf.DUMMYFUNCTION("""COMPUTED_VALUE"""),"SAS")</f>
        <v>SAS</v>
      </c>
      <c r="E35" t="str">
        <f>IFERROR(__xludf.DUMMYFUNCTION("""COMPUTED_VALUE"""),"SF")</f>
        <v>SF</v>
      </c>
      <c r="F35" t="str">
        <f>IFERROR(__xludf.DUMMYFUNCTION("""COMPUTED_VALUE"""),"1")</f>
        <v>1</v>
      </c>
      <c r="G35" t="str">
        <f>IFERROR(__xludf.DUMMYFUNCTION("""COMPUTED_VALUE"""),"0")</f>
        <v>0</v>
      </c>
      <c r="H35" t="str">
        <f>IFERROR(__xludf.DUMMYFUNCTION("""COMPUTED_VALUE"""),"30")</f>
        <v>30</v>
      </c>
      <c r="I35" t="str">
        <f>IFERROR(__xludf.DUMMYFUNCTION("""COMPUTED_VALUE"""),"3")</f>
        <v>3</v>
      </c>
      <c r="J35" t="str">
        <f>IFERROR(__xludf.DUMMYFUNCTION("""COMPUTED_VALUE"""),"8")</f>
        <v>8</v>
      </c>
      <c r="K35" t="str">
        <f>IFERROR(__xludf.DUMMYFUNCTION("""COMPUTED_VALUE"""),"0.375")</f>
        <v>0.375</v>
      </c>
      <c r="L35" t="str">
        <f>IFERROR(__xludf.DUMMYFUNCTION("""COMPUTED_VALUE"""),"2")</f>
        <v>2</v>
      </c>
      <c r="M35" t="str">
        <f>IFERROR(__xludf.DUMMYFUNCTION("""COMPUTED_VALUE"""),"6")</f>
        <v>6</v>
      </c>
      <c r="N35" t="str">
        <f>IFERROR(__xludf.DUMMYFUNCTION("""COMPUTED_VALUE"""),"0.333")</f>
        <v>0.333</v>
      </c>
      <c r="O35" t="str">
        <f>IFERROR(__xludf.DUMMYFUNCTION("""COMPUTED_VALUE"""),"1")</f>
        <v>1</v>
      </c>
      <c r="P35" t="str">
        <f>IFERROR(__xludf.DUMMYFUNCTION("""COMPUTED_VALUE"""),"2")</f>
        <v>2</v>
      </c>
      <c r="Q35" t="str">
        <f>IFERROR(__xludf.DUMMYFUNCTION("""COMPUTED_VALUE"""),"0.5")</f>
        <v>0.5</v>
      </c>
      <c r="R35" t="str">
        <f>IFERROR(__xludf.DUMMYFUNCTION("""COMPUTED_VALUE"""),"0.5")</f>
        <v>0.5</v>
      </c>
      <c r="S35" t="str">
        <f>IFERROR(__xludf.DUMMYFUNCTION("""COMPUTED_VALUE"""),"0")</f>
        <v>0</v>
      </c>
      <c r="T35" t="str">
        <f>IFERROR(__xludf.DUMMYFUNCTION("""COMPUTED_VALUE"""),"0")</f>
        <v>0</v>
      </c>
      <c r="U35" t="str">
        <f>IFERROR(__xludf.DUMMYFUNCTION("""COMPUTED_VALUE"""),"")</f>
        <v/>
      </c>
      <c r="V35" t="str">
        <f>IFERROR(__xludf.DUMMYFUNCTION("""COMPUTED_VALUE"""),"1")</f>
        <v>1</v>
      </c>
      <c r="W35" t="str">
        <f>IFERROR(__xludf.DUMMYFUNCTION("""COMPUTED_VALUE"""),"2")</f>
        <v>2</v>
      </c>
      <c r="X35" t="str">
        <f>IFERROR(__xludf.DUMMYFUNCTION("""COMPUTED_VALUE"""),"3")</f>
        <v>3</v>
      </c>
      <c r="Y35" t="str">
        <f>IFERROR(__xludf.DUMMYFUNCTION("""COMPUTED_VALUE"""),"1")</f>
        <v>1</v>
      </c>
      <c r="Z35" t="str">
        <f>IFERROR(__xludf.DUMMYFUNCTION("""COMPUTED_VALUE"""),"2")</f>
        <v>2</v>
      </c>
      <c r="AA35" t="str">
        <f>IFERROR(__xludf.DUMMYFUNCTION("""COMPUTED_VALUE"""),"3")</f>
        <v>3</v>
      </c>
      <c r="AB35" t="str">
        <f>IFERROR(__xludf.DUMMYFUNCTION("""COMPUTED_VALUE"""),"0")</f>
        <v>0</v>
      </c>
      <c r="AC35" t="str">
        <f>IFERROR(__xludf.DUMMYFUNCTION("""COMPUTED_VALUE"""),"3")</f>
        <v>3</v>
      </c>
      <c r="AD35" t="str">
        <f>IFERROR(__xludf.DUMMYFUNCTION("""COMPUTED_VALUE"""),"8")</f>
        <v>8</v>
      </c>
      <c r="AE35" t="str">
        <f>IFERROR(__xludf.DUMMYFUNCTION("""COMPUTED_VALUE"""),"0")</f>
        <v>0</v>
      </c>
      <c r="AF35" t="str">
        <f>IFERROR(__xludf.DUMMYFUNCTION("""COMPUTED_VALUE"""),"")</f>
        <v/>
      </c>
    </row>
    <row r="36">
      <c r="A36" t="str">
        <f>IFERROR(__xludf.DUMMYFUNCTION("""COMPUTED_VALUE"""),"35")</f>
        <v>35</v>
      </c>
      <c r="B36" s="2" t="str">
        <f>IFERROR(__xludf.DUMMYFUNCTION("""COMPUTED_VALUE"""),"Isaiah Joe")</f>
        <v>Isaiah Joe</v>
      </c>
      <c r="C36" t="str">
        <f>IFERROR(__xludf.DUMMYFUNCTION("""COMPUTED_VALUE"""),"27")</f>
        <v>27</v>
      </c>
      <c r="D36" t="str">
        <f>IFERROR(__xludf.DUMMYFUNCTION("""COMPUTED_VALUE"""),"DET")</f>
        <v>DET</v>
      </c>
      <c r="E36" t="str">
        <f>IFERROR(__xludf.DUMMYFUNCTION("""COMPUTED_VALUE"""),"SG")</f>
        <v>SG</v>
      </c>
      <c r="F36" t="str">
        <f>IFERROR(__xludf.DUMMYFUNCTION("""COMPUTED_VALUE"""),"1")</f>
        <v>1</v>
      </c>
      <c r="G36" t="str">
        <f>IFERROR(__xludf.DUMMYFUNCTION("""COMPUTED_VALUE"""),"0")</f>
        <v>0</v>
      </c>
      <c r="H36" t="str">
        <f>IFERROR(__xludf.DUMMYFUNCTION("""COMPUTED_VALUE"""),"19")</f>
        <v>19</v>
      </c>
      <c r="I36" t="str">
        <f>IFERROR(__xludf.DUMMYFUNCTION("""COMPUTED_VALUE"""),"2")</f>
        <v>2</v>
      </c>
      <c r="J36" t="str">
        <f>IFERROR(__xludf.DUMMYFUNCTION("""COMPUTED_VALUE"""),"9")</f>
        <v>9</v>
      </c>
      <c r="K36" t="str">
        <f>IFERROR(__xludf.DUMMYFUNCTION("""COMPUTED_VALUE"""),"0.222")</f>
        <v>0.222</v>
      </c>
      <c r="L36" t="str">
        <f>IFERROR(__xludf.DUMMYFUNCTION("""COMPUTED_VALUE"""),"2")</f>
        <v>2</v>
      </c>
      <c r="M36" t="str">
        <f>IFERROR(__xludf.DUMMYFUNCTION("""COMPUTED_VALUE"""),"7")</f>
        <v>7</v>
      </c>
      <c r="N36" t="str">
        <f>IFERROR(__xludf.DUMMYFUNCTION("""COMPUTED_VALUE"""),"0.286")</f>
        <v>0.286</v>
      </c>
      <c r="O36" t="str">
        <f>IFERROR(__xludf.DUMMYFUNCTION("""COMPUTED_VALUE"""),"0")</f>
        <v>0</v>
      </c>
      <c r="P36" t="str">
        <f>IFERROR(__xludf.DUMMYFUNCTION("""COMPUTED_VALUE"""),"2")</f>
        <v>2</v>
      </c>
      <c r="Q36" t="str">
        <f>IFERROR(__xludf.DUMMYFUNCTION("""COMPUTED_VALUE"""),"0")</f>
        <v>0</v>
      </c>
      <c r="R36" t="str">
        <f>IFERROR(__xludf.DUMMYFUNCTION("""COMPUTED_VALUE"""),"0.333")</f>
        <v>0.333</v>
      </c>
      <c r="S36" t="str">
        <f>IFERROR(__xludf.DUMMYFUNCTION("""COMPUTED_VALUE"""),"2")</f>
        <v>2</v>
      </c>
      <c r="T36" t="str">
        <f>IFERROR(__xludf.DUMMYFUNCTION("""COMPUTED_VALUE"""),"3")</f>
        <v>3</v>
      </c>
      <c r="U36" t="str">
        <f>IFERROR(__xludf.DUMMYFUNCTION("""COMPUTED_VALUE"""),"0.667")</f>
        <v>0.667</v>
      </c>
      <c r="V36" t="str">
        <f>IFERROR(__xludf.DUMMYFUNCTION("""COMPUTED_VALUE"""),"0")</f>
        <v>0</v>
      </c>
      <c r="W36" t="str">
        <f>IFERROR(__xludf.DUMMYFUNCTION("""COMPUTED_VALUE"""),"2")</f>
        <v>2</v>
      </c>
      <c r="X36" t="str">
        <f>IFERROR(__xludf.DUMMYFUNCTION("""COMPUTED_VALUE"""),"2")</f>
        <v>2</v>
      </c>
      <c r="Y36" t="str">
        <f>IFERROR(__xludf.DUMMYFUNCTION("""COMPUTED_VALUE"""),"2")</f>
        <v>2</v>
      </c>
      <c r="Z36" t="str">
        <f>IFERROR(__xludf.DUMMYFUNCTION("""COMPUTED_VALUE"""),"1")</f>
        <v>1</v>
      </c>
      <c r="AA36" t="str">
        <f>IFERROR(__xludf.DUMMYFUNCTION("""COMPUTED_VALUE"""),"1")</f>
        <v>1</v>
      </c>
      <c r="AB36" t="str">
        <f>IFERROR(__xludf.DUMMYFUNCTION("""COMPUTED_VALUE"""),"1")</f>
        <v>1</v>
      </c>
      <c r="AC36" t="str">
        <f>IFERROR(__xludf.DUMMYFUNCTION("""COMPUTED_VALUE"""),"0")</f>
        <v>0</v>
      </c>
      <c r="AD36" t="str">
        <f>IFERROR(__xludf.DUMMYFUNCTION("""COMPUTED_VALUE"""),"8")</f>
        <v>8</v>
      </c>
      <c r="AE36" t="str">
        <f>IFERROR(__xludf.DUMMYFUNCTION("""COMPUTED_VALUE"""),"0")</f>
        <v>0</v>
      </c>
      <c r="AF36" t="str">
        <f>IFERROR(__xludf.DUMMYFUNCTION("""COMPUTED_VALUE"""),"")</f>
        <v/>
      </c>
    </row>
    <row r="37">
      <c r="A37" t="str">
        <f>IFERROR(__xludf.DUMMYFUNCTION("""COMPUTED_VALUE"""),"36")</f>
        <v>36</v>
      </c>
      <c r="B37" s="2" t="str">
        <f>IFERROR(__xludf.DUMMYFUNCTION("""COMPUTED_VALUE"""),"Baylor Scheierman")</f>
        <v>Baylor Scheierman</v>
      </c>
      <c r="C37" t="str">
        <f>IFERROR(__xludf.DUMMYFUNCTION("""COMPUTED_VALUE"""),"26")</f>
        <v>26</v>
      </c>
      <c r="D37" t="str">
        <f>IFERROR(__xludf.DUMMYFUNCTION("""COMPUTED_VALUE"""),"BOS")</f>
        <v>BOS</v>
      </c>
      <c r="E37" t="str">
        <f>IFERROR(__xludf.DUMMYFUNCTION("""COMPUTED_VALUE"""),"SG")</f>
        <v>SG</v>
      </c>
      <c r="F37" t="str">
        <f>IFERROR(__xludf.DUMMYFUNCTION("""COMPUTED_VALUE"""),"1")</f>
        <v>1</v>
      </c>
      <c r="G37" t="str">
        <f>IFERROR(__xludf.DUMMYFUNCTION("""COMPUTED_VALUE"""),"0")</f>
        <v>0</v>
      </c>
      <c r="H37" t="str">
        <f>IFERROR(__xludf.DUMMYFUNCTION("""COMPUTED_VALUE"""),"18")</f>
        <v>18</v>
      </c>
      <c r="I37" t="str">
        <f>IFERROR(__xludf.DUMMYFUNCTION("""COMPUTED_VALUE"""),"3")</f>
        <v>3</v>
      </c>
      <c r="J37" t="str">
        <f>IFERROR(__xludf.DUMMYFUNCTION("""COMPUTED_VALUE"""),"4")</f>
        <v>4</v>
      </c>
      <c r="K37" t="str">
        <f>IFERROR(__xludf.DUMMYFUNCTION("""COMPUTED_VALUE"""),"0.75")</f>
        <v>0.75</v>
      </c>
      <c r="L37" t="str">
        <f>IFERROR(__xludf.DUMMYFUNCTION("""COMPUTED_VALUE"""),"2")</f>
        <v>2</v>
      </c>
      <c r="M37" t="str">
        <f>IFERROR(__xludf.DUMMYFUNCTION("""COMPUTED_VALUE"""),"2")</f>
        <v>2</v>
      </c>
      <c r="N37" t="str">
        <f>IFERROR(__xludf.DUMMYFUNCTION("""COMPUTED_VALUE"""),"1.000")</f>
        <v>1.000</v>
      </c>
      <c r="O37" t="str">
        <f>IFERROR(__xludf.DUMMYFUNCTION("""COMPUTED_VALUE"""),"1")</f>
        <v>1</v>
      </c>
      <c r="P37" t="str">
        <f>IFERROR(__xludf.DUMMYFUNCTION("""COMPUTED_VALUE"""),"2")</f>
        <v>2</v>
      </c>
      <c r="Q37" t="str">
        <f>IFERROR(__xludf.DUMMYFUNCTION("""COMPUTED_VALUE"""),"0.5")</f>
        <v>0.5</v>
      </c>
      <c r="R37" t="str">
        <f>IFERROR(__xludf.DUMMYFUNCTION("""COMPUTED_VALUE"""),"1")</f>
        <v>1</v>
      </c>
      <c r="S37" t="str">
        <f>IFERROR(__xludf.DUMMYFUNCTION("""COMPUTED_VALUE"""),"0")</f>
        <v>0</v>
      </c>
      <c r="T37" t="str">
        <f>IFERROR(__xludf.DUMMYFUNCTION("""COMPUTED_VALUE"""),"0")</f>
        <v>0</v>
      </c>
      <c r="U37" t="str">
        <f>IFERROR(__xludf.DUMMYFUNCTION("""COMPUTED_VALUE"""),"")</f>
        <v/>
      </c>
      <c r="V37" t="str">
        <f>IFERROR(__xludf.DUMMYFUNCTION("""COMPUTED_VALUE"""),"0")</f>
        <v>0</v>
      </c>
      <c r="W37" t="str">
        <f>IFERROR(__xludf.DUMMYFUNCTION("""COMPUTED_VALUE"""),"3")</f>
        <v>3</v>
      </c>
      <c r="X37" t="str">
        <f>IFERROR(__xludf.DUMMYFUNCTION("""COMPUTED_VALUE"""),"3")</f>
        <v>3</v>
      </c>
      <c r="Y37" t="str">
        <f>IFERROR(__xludf.DUMMYFUNCTION("""COMPUTED_VALUE"""),"0")</f>
        <v>0</v>
      </c>
      <c r="Z37" t="str">
        <f>IFERROR(__xludf.DUMMYFUNCTION("""COMPUTED_VALUE"""),"1")</f>
        <v>1</v>
      </c>
      <c r="AA37" t="str">
        <f>IFERROR(__xludf.DUMMYFUNCTION("""COMPUTED_VALUE"""),"0")</f>
        <v>0</v>
      </c>
      <c r="AB37" t="str">
        <f>IFERROR(__xludf.DUMMYFUNCTION("""COMPUTED_VALUE"""),"1")</f>
        <v>1</v>
      </c>
      <c r="AC37" t="str">
        <f>IFERROR(__xludf.DUMMYFUNCTION("""COMPUTED_VALUE"""),"1")</f>
        <v>1</v>
      </c>
      <c r="AD37" t="str">
        <f>IFERROR(__xludf.DUMMYFUNCTION("""COMPUTED_VALUE"""),"8")</f>
        <v>8</v>
      </c>
      <c r="AE37" t="str">
        <f>IFERROR(__xludf.DUMMYFUNCTION("""COMPUTED_VALUE"""),"0")</f>
        <v>0</v>
      </c>
      <c r="AF37" t="str">
        <f>IFERROR(__xludf.DUMMYFUNCTION("""COMPUTED_VALUE"""),"")</f>
        <v/>
      </c>
    </row>
    <row r="38">
      <c r="A38" t="str">
        <f>IFERROR(__xludf.DUMMYFUNCTION("""COMPUTED_VALUE"""),"37")</f>
        <v>37</v>
      </c>
      <c r="B38" s="2" t="str">
        <f>IFERROR(__xludf.DUMMYFUNCTION("""COMPUTED_VALUE"""),"Aday Mara")</f>
        <v>Aday Mara</v>
      </c>
      <c r="C38" t="str">
        <f>IFERROR(__xludf.DUMMYFUNCTION("""COMPUTED_VALUE"""),"21")</f>
        <v>21</v>
      </c>
      <c r="D38" t="str">
        <f>IFERROR(__xludf.DUMMYFUNCTION("""COMPUTED_VALUE"""),"OKC")</f>
        <v>OKC</v>
      </c>
      <c r="E38" t="str">
        <f>IFERROR(__xludf.DUMMYFUNCTION("""COMPUTED_VALUE"""),"C")</f>
        <v>C</v>
      </c>
      <c r="F38" t="str">
        <f>IFERROR(__xludf.DUMMYFUNCTION("""COMPUTED_VALUE"""),"1")</f>
        <v>1</v>
      </c>
      <c r="G38" t="str">
        <f>IFERROR(__xludf.DUMMYFUNCTION("""COMPUTED_VALUE"""),"0")</f>
        <v>0</v>
      </c>
      <c r="H38" t="str">
        <f>IFERROR(__xludf.DUMMYFUNCTION("""COMPUTED_VALUE"""),"12")</f>
        <v>12</v>
      </c>
      <c r="I38" t="str">
        <f>IFERROR(__xludf.DUMMYFUNCTION("""COMPUTED_VALUE"""),"3")</f>
        <v>3</v>
      </c>
      <c r="J38" t="str">
        <f>IFERROR(__xludf.DUMMYFUNCTION("""COMPUTED_VALUE"""),"4")</f>
        <v>4</v>
      </c>
      <c r="K38" t="str">
        <f>IFERROR(__xludf.DUMMYFUNCTION("""COMPUTED_VALUE"""),"0.75")</f>
        <v>0.75</v>
      </c>
      <c r="L38" t="str">
        <f>IFERROR(__xludf.DUMMYFUNCTION("""COMPUTED_VALUE"""),"0")</f>
        <v>0</v>
      </c>
      <c r="M38" t="str">
        <f>IFERROR(__xludf.DUMMYFUNCTION("""COMPUTED_VALUE"""),"0")</f>
        <v>0</v>
      </c>
      <c r="N38" t="str">
        <f>IFERROR(__xludf.DUMMYFUNCTION("""COMPUTED_VALUE"""),"")</f>
        <v/>
      </c>
      <c r="O38" t="str">
        <f>IFERROR(__xludf.DUMMYFUNCTION("""COMPUTED_VALUE"""),"3")</f>
        <v>3</v>
      </c>
      <c r="P38" t="str">
        <f>IFERROR(__xludf.DUMMYFUNCTION("""COMPUTED_VALUE"""),"4")</f>
        <v>4</v>
      </c>
      <c r="Q38" t="str">
        <f>IFERROR(__xludf.DUMMYFUNCTION("""COMPUTED_VALUE"""),"0.75")</f>
        <v>0.75</v>
      </c>
      <c r="R38" t="str">
        <f>IFERROR(__xludf.DUMMYFUNCTION("""COMPUTED_VALUE"""),"0.75")</f>
        <v>0.75</v>
      </c>
      <c r="S38" t="str">
        <f>IFERROR(__xludf.DUMMYFUNCTION("""COMPUTED_VALUE"""),"1")</f>
        <v>1</v>
      </c>
      <c r="T38" t="str">
        <f>IFERROR(__xludf.DUMMYFUNCTION("""COMPUTED_VALUE"""),"2")</f>
        <v>2</v>
      </c>
      <c r="U38" t="str">
        <f>IFERROR(__xludf.DUMMYFUNCTION("""COMPUTED_VALUE"""),"0.5")</f>
        <v>0.5</v>
      </c>
      <c r="V38" t="str">
        <f>IFERROR(__xludf.DUMMYFUNCTION("""COMPUTED_VALUE"""),"1")</f>
        <v>1</v>
      </c>
      <c r="W38" t="str">
        <f>IFERROR(__xludf.DUMMYFUNCTION("""COMPUTED_VALUE"""),"1")</f>
        <v>1</v>
      </c>
      <c r="X38" t="str">
        <f>IFERROR(__xludf.DUMMYFUNCTION("""COMPUTED_VALUE"""),"2")</f>
        <v>2</v>
      </c>
      <c r="Y38" t="str">
        <f>IFERROR(__xludf.DUMMYFUNCTION("""COMPUTED_VALUE"""),"1")</f>
        <v>1</v>
      </c>
      <c r="Z38" t="str">
        <f>IFERROR(__xludf.DUMMYFUNCTION("""COMPUTED_VALUE"""),"0")</f>
        <v>0</v>
      </c>
      <c r="AA38" t="str">
        <f>IFERROR(__xludf.DUMMYFUNCTION("""COMPUTED_VALUE"""),"1")</f>
        <v>1</v>
      </c>
      <c r="AB38" t="str">
        <f>IFERROR(__xludf.DUMMYFUNCTION("""COMPUTED_VALUE"""),"1")</f>
        <v>1</v>
      </c>
      <c r="AC38" t="str">
        <f>IFERROR(__xludf.DUMMYFUNCTION("""COMPUTED_VALUE"""),"1")</f>
        <v>1</v>
      </c>
      <c r="AD38" t="str">
        <f>IFERROR(__xludf.DUMMYFUNCTION("""COMPUTED_VALUE"""),"7")</f>
        <v>7</v>
      </c>
      <c r="AE38" t="str">
        <f>IFERROR(__xludf.DUMMYFUNCTION("""COMPUTED_VALUE"""),"0")</f>
        <v>0</v>
      </c>
      <c r="AF38" t="str">
        <f>IFERROR(__xludf.DUMMYFUNCTION("""COMPUTED_VALUE"""),"")</f>
        <v/>
      </c>
    </row>
    <row r="39">
      <c r="A39" t="str">
        <f>IFERROR(__xludf.DUMMYFUNCTION("""COMPUTED_VALUE"""),"38")</f>
        <v>38</v>
      </c>
      <c r="B39" s="2" t="str">
        <f>IFERROR(__xludf.DUMMYFUNCTION("""COMPUTED_VALUE"""),"Devin Vassell")</f>
        <v>Devin Vassell</v>
      </c>
      <c r="C39" t="str">
        <f>IFERROR(__xludf.DUMMYFUNCTION("""COMPUTED_VALUE"""),"26")</f>
        <v>26</v>
      </c>
      <c r="D39" t="str">
        <f>IFERROR(__xludf.DUMMYFUNCTION("""COMPUTED_VALUE"""),"SAS")</f>
        <v>SAS</v>
      </c>
      <c r="E39" t="str">
        <f>IFERROR(__xludf.DUMMYFUNCTION("""COMPUTED_VALUE"""),"SG")</f>
        <v>SG</v>
      </c>
      <c r="F39" t="str">
        <f>IFERROR(__xludf.DUMMYFUNCTION("""COMPUTED_VALUE"""),"1")</f>
        <v>1</v>
      </c>
      <c r="G39" t="str">
        <f>IFERROR(__xludf.DUMMYFUNCTION("""COMPUTED_VALUE"""),"1")</f>
        <v>1</v>
      </c>
      <c r="H39" t="str">
        <f>IFERROR(__xludf.DUMMYFUNCTION("""COMPUTED_VALUE"""),"31")</f>
        <v>31</v>
      </c>
      <c r="I39" t="str">
        <f>IFERROR(__xludf.DUMMYFUNCTION("""COMPUTED_VALUE"""),"2")</f>
        <v>2</v>
      </c>
      <c r="J39" t="str">
        <f>IFERROR(__xludf.DUMMYFUNCTION("""COMPUTED_VALUE"""),"8")</f>
        <v>8</v>
      </c>
      <c r="K39" t="str">
        <f>IFERROR(__xludf.DUMMYFUNCTION("""COMPUTED_VALUE"""),"0.25")</f>
        <v>0.25</v>
      </c>
      <c r="L39" t="str">
        <f>IFERROR(__xludf.DUMMYFUNCTION("""COMPUTED_VALUE"""),"1")</f>
        <v>1</v>
      </c>
      <c r="M39" t="str">
        <f>IFERROR(__xludf.DUMMYFUNCTION("""COMPUTED_VALUE"""),"4")</f>
        <v>4</v>
      </c>
      <c r="N39" t="str">
        <f>IFERROR(__xludf.DUMMYFUNCTION("""COMPUTED_VALUE"""),"0.25")</f>
        <v>0.25</v>
      </c>
      <c r="O39" t="str">
        <f>IFERROR(__xludf.DUMMYFUNCTION("""COMPUTED_VALUE"""),"1")</f>
        <v>1</v>
      </c>
      <c r="P39" t="str">
        <f>IFERROR(__xludf.DUMMYFUNCTION("""COMPUTED_VALUE"""),"4")</f>
        <v>4</v>
      </c>
      <c r="Q39" t="str">
        <f>IFERROR(__xludf.DUMMYFUNCTION("""COMPUTED_VALUE"""),"0.25")</f>
        <v>0.25</v>
      </c>
      <c r="R39" t="str">
        <f>IFERROR(__xludf.DUMMYFUNCTION("""COMPUTED_VALUE"""),"0.313")</f>
        <v>0.313</v>
      </c>
      <c r="S39" t="str">
        <f>IFERROR(__xludf.DUMMYFUNCTION("""COMPUTED_VALUE"""),"2")</f>
        <v>2</v>
      </c>
      <c r="T39" t="str">
        <f>IFERROR(__xludf.DUMMYFUNCTION("""COMPUTED_VALUE"""),"2")</f>
        <v>2</v>
      </c>
      <c r="U39" t="str">
        <f>IFERROR(__xludf.DUMMYFUNCTION("""COMPUTED_VALUE"""),"1.000")</f>
        <v>1.000</v>
      </c>
      <c r="V39" t="str">
        <f>IFERROR(__xludf.DUMMYFUNCTION("""COMPUTED_VALUE"""),"0")</f>
        <v>0</v>
      </c>
      <c r="W39" t="str">
        <f>IFERROR(__xludf.DUMMYFUNCTION("""COMPUTED_VALUE"""),"3")</f>
        <v>3</v>
      </c>
      <c r="X39" t="str">
        <f>IFERROR(__xludf.DUMMYFUNCTION("""COMPUTED_VALUE"""),"3")</f>
        <v>3</v>
      </c>
      <c r="Y39" t="str">
        <f>IFERROR(__xludf.DUMMYFUNCTION("""COMPUTED_VALUE"""),"1")</f>
        <v>1</v>
      </c>
      <c r="Z39" t="str">
        <f>IFERROR(__xludf.DUMMYFUNCTION("""COMPUTED_VALUE"""),"0")</f>
        <v>0</v>
      </c>
      <c r="AA39" t="str">
        <f>IFERROR(__xludf.DUMMYFUNCTION("""COMPUTED_VALUE"""),"0")</f>
        <v>0</v>
      </c>
      <c r="AB39" t="str">
        <f>IFERROR(__xludf.DUMMYFUNCTION("""COMPUTED_VALUE"""),"0")</f>
        <v>0</v>
      </c>
      <c r="AC39" t="str">
        <f>IFERROR(__xludf.DUMMYFUNCTION("""COMPUTED_VALUE"""),"4")</f>
        <v>4</v>
      </c>
      <c r="AD39" t="str">
        <f>IFERROR(__xludf.DUMMYFUNCTION("""COMPUTED_VALUE"""),"7")</f>
        <v>7</v>
      </c>
      <c r="AE39" t="str">
        <f>IFERROR(__xludf.DUMMYFUNCTION("""COMPUTED_VALUE"""),"0")</f>
        <v>0</v>
      </c>
      <c r="AF39" t="str">
        <f>IFERROR(__xludf.DUMMYFUNCTION("""COMPUTED_VALUE"""),"")</f>
        <v/>
      </c>
    </row>
    <row r="40">
      <c r="A40" t="str">
        <f>IFERROR(__xludf.DUMMYFUNCTION("""COMPUTED_VALUE"""),"39")</f>
        <v>39</v>
      </c>
      <c r="B40" s="2" t="str">
        <f>IFERROR(__xludf.DUMMYFUNCTION("""COMPUTED_VALUE"""),"John Collins")</f>
        <v>John Collins</v>
      </c>
      <c r="C40" t="str">
        <f>IFERROR(__xludf.DUMMYFUNCTION("""COMPUTED_VALUE"""),"29")</f>
        <v>29</v>
      </c>
      <c r="D40" t="str">
        <f>IFERROR(__xludf.DUMMYFUNCTION("""COMPUTED_VALUE"""),"DET")</f>
        <v>DET</v>
      </c>
      <c r="E40" t="str">
        <f>IFERROR(__xludf.DUMMYFUNCTION("""COMPUTED_VALUE"""),"PF")</f>
        <v>PF</v>
      </c>
      <c r="F40" t="str">
        <f>IFERROR(__xludf.DUMMYFUNCTION("""COMPUTED_VALUE"""),"1")</f>
        <v>1</v>
      </c>
      <c r="G40" t="str">
        <f>IFERROR(__xludf.DUMMYFUNCTION("""COMPUTED_VALUE"""),"1")</f>
        <v>1</v>
      </c>
      <c r="H40" t="str">
        <f>IFERROR(__xludf.DUMMYFUNCTION("""COMPUTED_VALUE"""),"25")</f>
        <v>25</v>
      </c>
      <c r="I40" t="str">
        <f>IFERROR(__xludf.DUMMYFUNCTION("""COMPUTED_VALUE"""),"3")</f>
        <v>3</v>
      </c>
      <c r="J40" t="str">
        <f>IFERROR(__xludf.DUMMYFUNCTION("""COMPUTED_VALUE"""),"7")</f>
        <v>7</v>
      </c>
      <c r="K40" t="str">
        <f>IFERROR(__xludf.DUMMYFUNCTION("""COMPUTED_VALUE"""),"0.429")</f>
        <v>0.429</v>
      </c>
      <c r="L40" t="str">
        <f>IFERROR(__xludf.DUMMYFUNCTION("""COMPUTED_VALUE"""),"0")</f>
        <v>0</v>
      </c>
      <c r="M40" t="str">
        <f>IFERROR(__xludf.DUMMYFUNCTION("""COMPUTED_VALUE"""),"3")</f>
        <v>3</v>
      </c>
      <c r="N40" t="str">
        <f>IFERROR(__xludf.DUMMYFUNCTION("""COMPUTED_VALUE"""),"0")</f>
        <v>0</v>
      </c>
      <c r="O40" t="str">
        <f>IFERROR(__xludf.DUMMYFUNCTION("""COMPUTED_VALUE"""),"3")</f>
        <v>3</v>
      </c>
      <c r="P40" t="str">
        <f>IFERROR(__xludf.DUMMYFUNCTION("""COMPUTED_VALUE"""),"4")</f>
        <v>4</v>
      </c>
      <c r="Q40" t="str">
        <f>IFERROR(__xludf.DUMMYFUNCTION("""COMPUTED_VALUE"""),"0.75")</f>
        <v>0.75</v>
      </c>
      <c r="R40" t="str">
        <f>IFERROR(__xludf.DUMMYFUNCTION("""COMPUTED_VALUE"""),"0.429")</f>
        <v>0.429</v>
      </c>
      <c r="S40" t="str">
        <f>IFERROR(__xludf.DUMMYFUNCTION("""COMPUTED_VALUE"""),"0")</f>
        <v>0</v>
      </c>
      <c r="T40" t="str">
        <f>IFERROR(__xludf.DUMMYFUNCTION("""COMPUTED_VALUE"""),"0")</f>
        <v>0</v>
      </c>
      <c r="U40" t="str">
        <f>IFERROR(__xludf.DUMMYFUNCTION("""COMPUTED_VALUE"""),"")</f>
        <v/>
      </c>
      <c r="V40" t="str">
        <f>IFERROR(__xludf.DUMMYFUNCTION("""COMPUTED_VALUE"""),"2")</f>
        <v>2</v>
      </c>
      <c r="W40" t="str">
        <f>IFERROR(__xludf.DUMMYFUNCTION("""COMPUTED_VALUE"""),"3")</f>
        <v>3</v>
      </c>
      <c r="X40" t="str">
        <f>IFERROR(__xludf.DUMMYFUNCTION("""COMPUTED_VALUE"""),"5")</f>
        <v>5</v>
      </c>
      <c r="Y40" t="str">
        <f>IFERROR(__xludf.DUMMYFUNCTION("""COMPUTED_VALUE"""),"1")</f>
        <v>1</v>
      </c>
      <c r="Z40" t="str">
        <f>IFERROR(__xludf.DUMMYFUNCTION("""COMPUTED_VALUE"""),"1")</f>
        <v>1</v>
      </c>
      <c r="AA40" t="str">
        <f>IFERROR(__xludf.DUMMYFUNCTION("""COMPUTED_VALUE"""),"1")</f>
        <v>1</v>
      </c>
      <c r="AB40" t="str">
        <f>IFERROR(__xludf.DUMMYFUNCTION("""COMPUTED_VALUE"""),"0")</f>
        <v>0</v>
      </c>
      <c r="AC40" t="str">
        <f>IFERROR(__xludf.DUMMYFUNCTION("""COMPUTED_VALUE"""),"0")</f>
        <v>0</v>
      </c>
      <c r="AD40" t="str">
        <f>IFERROR(__xludf.DUMMYFUNCTION("""COMPUTED_VALUE"""),"6")</f>
        <v>6</v>
      </c>
      <c r="AE40" t="str">
        <f>IFERROR(__xludf.DUMMYFUNCTION("""COMPUTED_VALUE"""),"0")</f>
        <v>0</v>
      </c>
      <c r="AF40" t="str">
        <f>IFERROR(__xludf.DUMMYFUNCTION("""COMPUTED_VALUE"""),"")</f>
        <v/>
      </c>
    </row>
    <row r="41">
      <c r="A41" t="str">
        <f>IFERROR(__xludf.DUMMYFUNCTION("""COMPUTED_VALUE"""),"40")</f>
        <v>40</v>
      </c>
      <c r="B41" s="2" t="str">
        <f>IFERROR(__xludf.DUMMYFUNCTION("""COMPUTED_VALUE"""),"Paul Reed")</f>
        <v>Paul Reed</v>
      </c>
      <c r="C41" t="str">
        <f>IFERROR(__xludf.DUMMYFUNCTION("""COMPUTED_VALUE"""),"27")</f>
        <v>27</v>
      </c>
      <c r="D41" t="str">
        <f>IFERROR(__xludf.DUMMYFUNCTION("""COMPUTED_VALUE"""),"DET")</f>
        <v>DET</v>
      </c>
      <c r="E41" t="str">
        <f>IFERROR(__xludf.DUMMYFUNCTION("""COMPUTED_VALUE"""),"C")</f>
        <v>C</v>
      </c>
      <c r="F41" t="str">
        <f>IFERROR(__xludf.DUMMYFUNCTION("""COMPUTED_VALUE"""),"1")</f>
        <v>1</v>
      </c>
      <c r="G41" t="str">
        <f>IFERROR(__xludf.DUMMYFUNCTION("""COMPUTED_VALUE"""),"0")</f>
        <v>0</v>
      </c>
      <c r="H41" t="str">
        <f>IFERROR(__xludf.DUMMYFUNCTION("""COMPUTED_VALUE"""),"17")</f>
        <v>17</v>
      </c>
      <c r="I41" t="str">
        <f>IFERROR(__xludf.DUMMYFUNCTION("""COMPUTED_VALUE"""),"2")</f>
        <v>2</v>
      </c>
      <c r="J41" t="str">
        <f>IFERROR(__xludf.DUMMYFUNCTION("""COMPUTED_VALUE"""),"3")</f>
        <v>3</v>
      </c>
      <c r="K41" t="str">
        <f>IFERROR(__xludf.DUMMYFUNCTION("""COMPUTED_VALUE"""),"0.667")</f>
        <v>0.667</v>
      </c>
      <c r="L41" t="str">
        <f>IFERROR(__xludf.DUMMYFUNCTION("""COMPUTED_VALUE"""),"0")</f>
        <v>0</v>
      </c>
      <c r="M41" t="str">
        <f>IFERROR(__xludf.DUMMYFUNCTION("""COMPUTED_VALUE"""),"0")</f>
        <v>0</v>
      </c>
      <c r="N41" t="str">
        <f>IFERROR(__xludf.DUMMYFUNCTION("""COMPUTED_VALUE"""),"")</f>
        <v/>
      </c>
      <c r="O41" t="str">
        <f>IFERROR(__xludf.DUMMYFUNCTION("""COMPUTED_VALUE"""),"2")</f>
        <v>2</v>
      </c>
      <c r="P41" t="str">
        <f>IFERROR(__xludf.DUMMYFUNCTION("""COMPUTED_VALUE"""),"3")</f>
        <v>3</v>
      </c>
      <c r="Q41" t="str">
        <f>IFERROR(__xludf.DUMMYFUNCTION("""COMPUTED_VALUE"""),"0.667")</f>
        <v>0.667</v>
      </c>
      <c r="R41" t="str">
        <f>IFERROR(__xludf.DUMMYFUNCTION("""COMPUTED_VALUE"""),"0.667")</f>
        <v>0.667</v>
      </c>
      <c r="S41" t="str">
        <f>IFERROR(__xludf.DUMMYFUNCTION("""COMPUTED_VALUE"""),"2")</f>
        <v>2</v>
      </c>
      <c r="T41" t="str">
        <f>IFERROR(__xludf.DUMMYFUNCTION("""COMPUTED_VALUE"""),"2")</f>
        <v>2</v>
      </c>
      <c r="U41" t="str">
        <f>IFERROR(__xludf.DUMMYFUNCTION("""COMPUTED_VALUE"""),"1.000")</f>
        <v>1.000</v>
      </c>
      <c r="V41" t="str">
        <f>IFERROR(__xludf.DUMMYFUNCTION("""COMPUTED_VALUE"""),"2")</f>
        <v>2</v>
      </c>
      <c r="W41" t="str">
        <f>IFERROR(__xludf.DUMMYFUNCTION("""COMPUTED_VALUE"""),"4")</f>
        <v>4</v>
      </c>
      <c r="X41" t="str">
        <f>IFERROR(__xludf.DUMMYFUNCTION("""COMPUTED_VALUE"""),"6")</f>
        <v>6</v>
      </c>
      <c r="Y41" t="str">
        <f>IFERROR(__xludf.DUMMYFUNCTION("""COMPUTED_VALUE"""),"2")</f>
        <v>2</v>
      </c>
      <c r="Z41" t="str">
        <f>IFERROR(__xludf.DUMMYFUNCTION("""COMPUTED_VALUE"""),"1")</f>
        <v>1</v>
      </c>
      <c r="AA41" t="str">
        <f>IFERROR(__xludf.DUMMYFUNCTION("""COMPUTED_VALUE"""),"0")</f>
        <v>0</v>
      </c>
      <c r="AB41" t="str">
        <f>IFERROR(__xludf.DUMMYFUNCTION("""COMPUTED_VALUE"""),"2")</f>
        <v>2</v>
      </c>
      <c r="AC41" t="str">
        <f>IFERROR(__xludf.DUMMYFUNCTION("""COMPUTED_VALUE"""),"3")</f>
        <v>3</v>
      </c>
      <c r="AD41" t="str">
        <f>IFERROR(__xludf.DUMMYFUNCTION("""COMPUTED_VALUE"""),"6")</f>
        <v>6</v>
      </c>
      <c r="AE41" t="str">
        <f>IFERROR(__xludf.DUMMYFUNCTION("""COMPUTED_VALUE"""),"0")</f>
        <v>0</v>
      </c>
      <c r="AF41" t="str">
        <f>IFERROR(__xludf.DUMMYFUNCTION("""COMPUTED_VALUE"""),"")</f>
        <v/>
      </c>
    </row>
    <row r="42">
      <c r="A42" t="str">
        <f>IFERROR(__xludf.DUMMYFUNCTION("""COMPUTED_VALUE"""),"41")</f>
        <v>41</v>
      </c>
      <c r="B42" s="2" t="str">
        <f>IFERROR(__xludf.DUMMYFUNCTION("""COMPUTED_VALUE"""),"Cason Wallace")</f>
        <v>Cason Wallace</v>
      </c>
      <c r="C42" t="str">
        <f>IFERROR(__xludf.DUMMYFUNCTION("""COMPUTED_VALUE"""),"23")</f>
        <v>23</v>
      </c>
      <c r="D42" t="str">
        <f>IFERROR(__xludf.DUMMYFUNCTION("""COMPUTED_VALUE"""),"OKC")</f>
        <v>OKC</v>
      </c>
      <c r="E42" t="str">
        <f>IFERROR(__xludf.DUMMYFUNCTION("""COMPUTED_VALUE"""),"SG")</f>
        <v>SG</v>
      </c>
      <c r="F42" t="str">
        <f>IFERROR(__xludf.DUMMYFUNCTION("""COMPUTED_VALUE"""),"1")</f>
        <v>1</v>
      </c>
      <c r="G42" t="str">
        <f>IFERROR(__xludf.DUMMYFUNCTION("""COMPUTED_VALUE"""),"1")</f>
        <v>1</v>
      </c>
      <c r="H42" t="str">
        <f>IFERROR(__xludf.DUMMYFUNCTION("""COMPUTED_VALUE"""),"19")</f>
        <v>19</v>
      </c>
      <c r="I42" t="str">
        <f>IFERROR(__xludf.DUMMYFUNCTION("""COMPUTED_VALUE"""),"3")</f>
        <v>3</v>
      </c>
      <c r="J42" t="str">
        <f>IFERROR(__xludf.DUMMYFUNCTION("""COMPUTED_VALUE"""),"8")</f>
        <v>8</v>
      </c>
      <c r="K42" t="str">
        <f>IFERROR(__xludf.DUMMYFUNCTION("""COMPUTED_VALUE"""),"0.375")</f>
        <v>0.375</v>
      </c>
      <c r="L42" t="str">
        <f>IFERROR(__xludf.DUMMYFUNCTION("""COMPUTED_VALUE"""),"0")</f>
        <v>0</v>
      </c>
      <c r="M42" t="str">
        <f>IFERROR(__xludf.DUMMYFUNCTION("""COMPUTED_VALUE"""),"4")</f>
        <v>4</v>
      </c>
      <c r="N42" t="str">
        <f>IFERROR(__xludf.DUMMYFUNCTION("""COMPUTED_VALUE"""),"0")</f>
        <v>0</v>
      </c>
      <c r="O42" t="str">
        <f>IFERROR(__xludf.DUMMYFUNCTION("""COMPUTED_VALUE"""),"3")</f>
        <v>3</v>
      </c>
      <c r="P42" t="str">
        <f>IFERROR(__xludf.DUMMYFUNCTION("""COMPUTED_VALUE"""),"4")</f>
        <v>4</v>
      </c>
      <c r="Q42" t="str">
        <f>IFERROR(__xludf.DUMMYFUNCTION("""COMPUTED_VALUE"""),"0.75")</f>
        <v>0.75</v>
      </c>
      <c r="R42" t="str">
        <f>IFERROR(__xludf.DUMMYFUNCTION("""COMPUTED_VALUE"""),"0.375")</f>
        <v>0.375</v>
      </c>
      <c r="S42" t="str">
        <f>IFERROR(__xludf.DUMMYFUNCTION("""COMPUTED_VALUE"""),"0")</f>
        <v>0</v>
      </c>
      <c r="T42" t="str">
        <f>IFERROR(__xludf.DUMMYFUNCTION("""COMPUTED_VALUE"""),"0")</f>
        <v>0</v>
      </c>
      <c r="U42" t="str">
        <f>IFERROR(__xludf.DUMMYFUNCTION("""COMPUTED_VALUE"""),"")</f>
        <v/>
      </c>
      <c r="V42" t="str">
        <f>IFERROR(__xludf.DUMMYFUNCTION("""COMPUTED_VALUE"""),"0")</f>
        <v>0</v>
      </c>
      <c r="W42" t="str">
        <f>IFERROR(__xludf.DUMMYFUNCTION("""COMPUTED_VALUE"""),"3")</f>
        <v>3</v>
      </c>
      <c r="X42" t="str">
        <f>IFERROR(__xludf.DUMMYFUNCTION("""COMPUTED_VALUE"""),"3")</f>
        <v>3</v>
      </c>
      <c r="Y42" t="str">
        <f>IFERROR(__xludf.DUMMYFUNCTION("""COMPUTED_VALUE"""),"2")</f>
        <v>2</v>
      </c>
      <c r="Z42" t="str">
        <f>IFERROR(__xludf.DUMMYFUNCTION("""COMPUTED_VALUE"""),"1")</f>
        <v>1</v>
      </c>
      <c r="AA42" t="str">
        <f>IFERROR(__xludf.DUMMYFUNCTION("""COMPUTED_VALUE"""),"0")</f>
        <v>0</v>
      </c>
      <c r="AB42" t="str">
        <f>IFERROR(__xludf.DUMMYFUNCTION("""COMPUTED_VALUE"""),"1")</f>
        <v>1</v>
      </c>
      <c r="AC42" t="str">
        <f>IFERROR(__xludf.DUMMYFUNCTION("""COMPUTED_VALUE"""),"3")</f>
        <v>3</v>
      </c>
      <c r="AD42" t="str">
        <f>IFERROR(__xludf.DUMMYFUNCTION("""COMPUTED_VALUE"""),"6")</f>
        <v>6</v>
      </c>
      <c r="AE42" t="str">
        <f>IFERROR(__xludf.DUMMYFUNCTION("""COMPUTED_VALUE"""),"0")</f>
        <v>0</v>
      </c>
      <c r="AF42" t="str">
        <f>IFERROR(__xludf.DUMMYFUNCTION("""COMPUTED_VALUE"""),"")</f>
        <v/>
      </c>
    </row>
    <row r="43">
      <c r="A43" t="str">
        <f>IFERROR(__xludf.DUMMYFUNCTION("""COMPUTED_VALUE"""),"42")</f>
        <v>42</v>
      </c>
      <c r="B43" s="2" t="str">
        <f>IFERROR(__xludf.DUMMYFUNCTION("""COMPUTED_VALUE"""),"Landry Shamet")</f>
        <v>Landry Shamet</v>
      </c>
      <c r="C43" t="str">
        <f>IFERROR(__xludf.DUMMYFUNCTION("""COMPUTED_VALUE"""),"29")</f>
        <v>29</v>
      </c>
      <c r="D43" t="str">
        <f>IFERROR(__xludf.DUMMYFUNCTION("""COMPUTED_VALUE"""),"NYK")</f>
        <v>NYK</v>
      </c>
      <c r="E43" t="str">
        <f>IFERROR(__xludf.DUMMYFUNCTION("""COMPUTED_VALUE"""),"SG")</f>
        <v>SG</v>
      </c>
      <c r="F43" t="str">
        <f>IFERROR(__xludf.DUMMYFUNCTION("""COMPUTED_VALUE"""),"1")</f>
        <v>1</v>
      </c>
      <c r="G43" t="str">
        <f>IFERROR(__xludf.DUMMYFUNCTION("""COMPUTED_VALUE"""),"0")</f>
        <v>0</v>
      </c>
      <c r="H43" t="str">
        <f>IFERROR(__xludf.DUMMYFUNCTION("""COMPUTED_VALUE"""),"25")</f>
        <v>25</v>
      </c>
      <c r="I43" t="str">
        <f>IFERROR(__xludf.DUMMYFUNCTION("""COMPUTED_VALUE"""),"2")</f>
        <v>2</v>
      </c>
      <c r="J43" t="str">
        <f>IFERROR(__xludf.DUMMYFUNCTION("""COMPUTED_VALUE"""),"7")</f>
        <v>7</v>
      </c>
      <c r="K43" t="str">
        <f>IFERROR(__xludf.DUMMYFUNCTION("""COMPUTED_VALUE"""),"0.286")</f>
        <v>0.286</v>
      </c>
      <c r="L43" t="str">
        <f>IFERROR(__xludf.DUMMYFUNCTION("""COMPUTED_VALUE"""),"1")</f>
        <v>1</v>
      </c>
      <c r="M43" t="str">
        <f>IFERROR(__xludf.DUMMYFUNCTION("""COMPUTED_VALUE"""),"4")</f>
        <v>4</v>
      </c>
      <c r="N43" t="str">
        <f>IFERROR(__xludf.DUMMYFUNCTION("""COMPUTED_VALUE"""),"0.25")</f>
        <v>0.25</v>
      </c>
      <c r="O43" t="str">
        <f>IFERROR(__xludf.DUMMYFUNCTION("""COMPUTED_VALUE"""),"1")</f>
        <v>1</v>
      </c>
      <c r="P43" t="str">
        <f>IFERROR(__xludf.DUMMYFUNCTION("""COMPUTED_VALUE"""),"3")</f>
        <v>3</v>
      </c>
      <c r="Q43" t="str">
        <f>IFERROR(__xludf.DUMMYFUNCTION("""COMPUTED_VALUE"""),"0.333")</f>
        <v>0.333</v>
      </c>
      <c r="R43" t="str">
        <f>IFERROR(__xludf.DUMMYFUNCTION("""COMPUTED_VALUE"""),"0.357")</f>
        <v>0.357</v>
      </c>
      <c r="S43" t="str">
        <f>IFERROR(__xludf.DUMMYFUNCTION("""COMPUTED_VALUE"""),"0")</f>
        <v>0</v>
      </c>
      <c r="T43" t="str">
        <f>IFERROR(__xludf.DUMMYFUNCTION("""COMPUTED_VALUE"""),"2")</f>
        <v>2</v>
      </c>
      <c r="U43" t="str">
        <f>IFERROR(__xludf.DUMMYFUNCTION("""COMPUTED_VALUE"""),"0")</f>
        <v>0</v>
      </c>
      <c r="V43" t="str">
        <f>IFERROR(__xludf.DUMMYFUNCTION("""COMPUTED_VALUE"""),"1")</f>
        <v>1</v>
      </c>
      <c r="W43" t="str">
        <f>IFERROR(__xludf.DUMMYFUNCTION("""COMPUTED_VALUE"""),"1")</f>
        <v>1</v>
      </c>
      <c r="X43" t="str">
        <f>IFERROR(__xludf.DUMMYFUNCTION("""COMPUTED_VALUE"""),"2")</f>
        <v>2</v>
      </c>
      <c r="Y43" t="str">
        <f>IFERROR(__xludf.DUMMYFUNCTION("""COMPUTED_VALUE"""),"4")</f>
        <v>4</v>
      </c>
      <c r="Z43" t="str">
        <f>IFERROR(__xludf.DUMMYFUNCTION("""COMPUTED_VALUE"""),"0")</f>
        <v>0</v>
      </c>
      <c r="AA43" t="str">
        <f>IFERROR(__xludf.DUMMYFUNCTION("""COMPUTED_VALUE"""),"0")</f>
        <v>0</v>
      </c>
      <c r="AB43" t="str">
        <f>IFERROR(__xludf.DUMMYFUNCTION("""COMPUTED_VALUE"""),"2")</f>
        <v>2</v>
      </c>
      <c r="AC43" t="str">
        <f>IFERROR(__xludf.DUMMYFUNCTION("""COMPUTED_VALUE"""),"1")</f>
        <v>1</v>
      </c>
      <c r="AD43" t="str">
        <f>IFERROR(__xludf.DUMMYFUNCTION("""COMPUTED_VALUE"""),"5")</f>
        <v>5</v>
      </c>
      <c r="AE43" t="str">
        <f>IFERROR(__xludf.DUMMYFUNCTION("""COMPUTED_VALUE"""),"0")</f>
        <v>0</v>
      </c>
      <c r="AF43" t="str">
        <f>IFERROR(__xludf.DUMMYFUNCTION("""COMPUTED_VALUE"""),"")</f>
        <v/>
      </c>
    </row>
    <row r="44">
      <c r="A44" t="str">
        <f>IFERROR(__xludf.DUMMYFUNCTION("""COMPUTED_VALUE"""),"43")</f>
        <v>43</v>
      </c>
      <c r="B44" s="2" t="str">
        <f>IFERROR(__xludf.DUMMYFUNCTION("""COMPUTED_VALUE"""),"Jaylin Williams")</f>
        <v>Jaylin Williams</v>
      </c>
      <c r="C44" t="str">
        <f>IFERROR(__xludf.DUMMYFUNCTION("""COMPUTED_VALUE"""),"24")</f>
        <v>24</v>
      </c>
      <c r="D44" t="str">
        <f>IFERROR(__xludf.DUMMYFUNCTION("""COMPUTED_VALUE"""),"OKC")</f>
        <v>OKC</v>
      </c>
      <c r="E44" t="str">
        <f>IFERROR(__xludf.DUMMYFUNCTION("""COMPUTED_VALUE"""),"PF")</f>
        <v>PF</v>
      </c>
      <c r="F44" t="str">
        <f>IFERROR(__xludf.DUMMYFUNCTION("""COMPUTED_VALUE"""),"1")</f>
        <v>1</v>
      </c>
      <c r="G44" t="str">
        <f>IFERROR(__xludf.DUMMYFUNCTION("""COMPUTED_VALUE"""),"0")</f>
        <v>0</v>
      </c>
      <c r="H44" t="str">
        <f>IFERROR(__xludf.DUMMYFUNCTION("""COMPUTED_VALUE"""),"17")</f>
        <v>17</v>
      </c>
      <c r="I44" t="str">
        <f>IFERROR(__xludf.DUMMYFUNCTION("""COMPUTED_VALUE"""),"1")</f>
        <v>1</v>
      </c>
      <c r="J44" t="str">
        <f>IFERROR(__xludf.DUMMYFUNCTION("""COMPUTED_VALUE"""),"6")</f>
        <v>6</v>
      </c>
      <c r="K44" t="str">
        <f>IFERROR(__xludf.DUMMYFUNCTION("""COMPUTED_VALUE"""),"0.167")</f>
        <v>0.167</v>
      </c>
      <c r="L44" t="str">
        <f>IFERROR(__xludf.DUMMYFUNCTION("""COMPUTED_VALUE"""),"1")</f>
        <v>1</v>
      </c>
      <c r="M44" t="str">
        <f>IFERROR(__xludf.DUMMYFUNCTION("""COMPUTED_VALUE"""),"5")</f>
        <v>5</v>
      </c>
      <c r="N44" t="str">
        <f>IFERROR(__xludf.DUMMYFUNCTION("""COMPUTED_VALUE"""),"0.2")</f>
        <v>0.2</v>
      </c>
      <c r="O44" t="str">
        <f>IFERROR(__xludf.DUMMYFUNCTION("""COMPUTED_VALUE"""),"0")</f>
        <v>0</v>
      </c>
      <c r="P44" t="str">
        <f>IFERROR(__xludf.DUMMYFUNCTION("""COMPUTED_VALUE"""),"1")</f>
        <v>1</v>
      </c>
      <c r="Q44" t="str">
        <f>IFERROR(__xludf.DUMMYFUNCTION("""COMPUTED_VALUE"""),"0")</f>
        <v>0</v>
      </c>
      <c r="R44" t="str">
        <f>IFERROR(__xludf.DUMMYFUNCTION("""COMPUTED_VALUE"""),"0.25")</f>
        <v>0.25</v>
      </c>
      <c r="S44" t="str">
        <f>IFERROR(__xludf.DUMMYFUNCTION("""COMPUTED_VALUE"""),"2")</f>
        <v>2</v>
      </c>
      <c r="T44" t="str">
        <f>IFERROR(__xludf.DUMMYFUNCTION("""COMPUTED_VALUE"""),"2")</f>
        <v>2</v>
      </c>
      <c r="U44" t="str">
        <f>IFERROR(__xludf.DUMMYFUNCTION("""COMPUTED_VALUE"""),"1.000")</f>
        <v>1.000</v>
      </c>
      <c r="V44" t="str">
        <f>IFERROR(__xludf.DUMMYFUNCTION("""COMPUTED_VALUE"""),"1")</f>
        <v>1</v>
      </c>
      <c r="W44" t="str">
        <f>IFERROR(__xludf.DUMMYFUNCTION("""COMPUTED_VALUE"""),"3")</f>
        <v>3</v>
      </c>
      <c r="X44" t="str">
        <f>IFERROR(__xludf.DUMMYFUNCTION("""COMPUTED_VALUE"""),"4")</f>
        <v>4</v>
      </c>
      <c r="Y44" t="str">
        <f>IFERROR(__xludf.DUMMYFUNCTION("""COMPUTED_VALUE"""),"1")</f>
        <v>1</v>
      </c>
      <c r="Z44" t="str">
        <f>IFERROR(__xludf.DUMMYFUNCTION("""COMPUTED_VALUE"""),"0")</f>
        <v>0</v>
      </c>
      <c r="AA44" t="str">
        <f>IFERROR(__xludf.DUMMYFUNCTION("""COMPUTED_VALUE"""),"0")</f>
        <v>0</v>
      </c>
      <c r="AB44" t="str">
        <f>IFERROR(__xludf.DUMMYFUNCTION("""COMPUTED_VALUE"""),"1")</f>
        <v>1</v>
      </c>
      <c r="AC44" t="str">
        <f>IFERROR(__xludf.DUMMYFUNCTION("""COMPUTED_VALUE"""),"1")</f>
        <v>1</v>
      </c>
      <c r="AD44" t="str">
        <f>IFERROR(__xludf.DUMMYFUNCTION("""COMPUTED_VALUE"""),"5")</f>
        <v>5</v>
      </c>
      <c r="AE44" t="str">
        <f>IFERROR(__xludf.DUMMYFUNCTION("""COMPUTED_VALUE"""),"0")</f>
        <v>0</v>
      </c>
      <c r="AF44" t="str">
        <f>IFERROR(__xludf.DUMMYFUNCTION("""COMPUTED_VALUE"""),"")</f>
        <v/>
      </c>
    </row>
    <row r="45">
      <c r="A45" t="str">
        <f>IFERROR(__xludf.DUMMYFUNCTION("""COMPUTED_VALUE"""),"44")</f>
        <v>44</v>
      </c>
      <c r="B45" s="2" t="str">
        <f>IFERROR(__xludf.DUMMYFUNCTION("""COMPUTED_VALUE"""),"Mikal Bridges")</f>
        <v>Mikal Bridges</v>
      </c>
      <c r="C45" t="str">
        <f>IFERROR(__xludf.DUMMYFUNCTION("""COMPUTED_VALUE"""),"30")</f>
        <v>30</v>
      </c>
      <c r="D45" t="str">
        <f>IFERROR(__xludf.DUMMYFUNCTION("""COMPUTED_VALUE"""),"NYK")</f>
        <v>NYK</v>
      </c>
      <c r="E45" t="str">
        <f>IFERROR(__xludf.DUMMYFUNCTION("""COMPUTED_VALUE"""),"SF")</f>
        <v>SF</v>
      </c>
      <c r="F45" t="str">
        <f>IFERROR(__xludf.DUMMYFUNCTION("""COMPUTED_VALUE"""),"1")</f>
        <v>1</v>
      </c>
      <c r="G45" t="str">
        <f>IFERROR(__xludf.DUMMYFUNCTION("""COMPUTED_VALUE"""),"1")</f>
        <v>1</v>
      </c>
      <c r="H45" t="str">
        <f>IFERROR(__xludf.DUMMYFUNCTION("""COMPUTED_VALUE"""),"33")</f>
        <v>33</v>
      </c>
      <c r="I45" t="str">
        <f>IFERROR(__xludf.DUMMYFUNCTION("""COMPUTED_VALUE"""),"2")</f>
        <v>2</v>
      </c>
      <c r="J45" t="str">
        <f>IFERROR(__xludf.DUMMYFUNCTION("""COMPUTED_VALUE"""),"8")</f>
        <v>8</v>
      </c>
      <c r="K45" t="str">
        <f>IFERROR(__xludf.DUMMYFUNCTION("""COMPUTED_VALUE"""),"0.25")</f>
        <v>0.25</v>
      </c>
      <c r="L45" t="str">
        <f>IFERROR(__xludf.DUMMYFUNCTION("""COMPUTED_VALUE"""),"0")</f>
        <v>0</v>
      </c>
      <c r="M45" t="str">
        <f>IFERROR(__xludf.DUMMYFUNCTION("""COMPUTED_VALUE"""),"2")</f>
        <v>2</v>
      </c>
      <c r="N45" t="str">
        <f>IFERROR(__xludf.DUMMYFUNCTION("""COMPUTED_VALUE"""),"0")</f>
        <v>0</v>
      </c>
      <c r="O45" t="str">
        <f>IFERROR(__xludf.DUMMYFUNCTION("""COMPUTED_VALUE"""),"2")</f>
        <v>2</v>
      </c>
      <c r="P45" t="str">
        <f>IFERROR(__xludf.DUMMYFUNCTION("""COMPUTED_VALUE"""),"6")</f>
        <v>6</v>
      </c>
      <c r="Q45" t="str">
        <f>IFERROR(__xludf.DUMMYFUNCTION("""COMPUTED_VALUE"""),"0.333")</f>
        <v>0.333</v>
      </c>
      <c r="R45" t="str">
        <f>IFERROR(__xludf.DUMMYFUNCTION("""COMPUTED_VALUE"""),"0.25")</f>
        <v>0.25</v>
      </c>
      <c r="S45" t="str">
        <f>IFERROR(__xludf.DUMMYFUNCTION("""COMPUTED_VALUE"""),"0")</f>
        <v>0</v>
      </c>
      <c r="T45" t="str">
        <f>IFERROR(__xludf.DUMMYFUNCTION("""COMPUTED_VALUE"""),"0")</f>
        <v>0</v>
      </c>
      <c r="U45" t="str">
        <f>IFERROR(__xludf.DUMMYFUNCTION("""COMPUTED_VALUE"""),"")</f>
        <v/>
      </c>
      <c r="V45" t="str">
        <f>IFERROR(__xludf.DUMMYFUNCTION("""COMPUTED_VALUE"""),"1")</f>
        <v>1</v>
      </c>
      <c r="W45" t="str">
        <f>IFERROR(__xludf.DUMMYFUNCTION("""COMPUTED_VALUE"""),"2")</f>
        <v>2</v>
      </c>
      <c r="X45" t="str">
        <f>IFERROR(__xludf.DUMMYFUNCTION("""COMPUTED_VALUE"""),"3")</f>
        <v>3</v>
      </c>
      <c r="Y45" t="str">
        <f>IFERROR(__xludf.DUMMYFUNCTION("""COMPUTED_VALUE"""),"1")</f>
        <v>1</v>
      </c>
      <c r="Z45" t="str">
        <f>IFERROR(__xludf.DUMMYFUNCTION("""COMPUTED_VALUE"""),"0")</f>
        <v>0</v>
      </c>
      <c r="AA45" t="str">
        <f>IFERROR(__xludf.DUMMYFUNCTION("""COMPUTED_VALUE"""),"1")</f>
        <v>1</v>
      </c>
      <c r="AB45" t="str">
        <f>IFERROR(__xludf.DUMMYFUNCTION("""COMPUTED_VALUE"""),"0")</f>
        <v>0</v>
      </c>
      <c r="AC45" t="str">
        <f>IFERROR(__xludf.DUMMYFUNCTION("""COMPUTED_VALUE"""),"1")</f>
        <v>1</v>
      </c>
      <c r="AD45" t="str">
        <f>IFERROR(__xludf.DUMMYFUNCTION("""COMPUTED_VALUE"""),"4")</f>
        <v>4</v>
      </c>
      <c r="AE45" t="str">
        <f>IFERROR(__xludf.DUMMYFUNCTION("""COMPUTED_VALUE"""),"0")</f>
        <v>0</v>
      </c>
      <c r="AF45" t="str">
        <f>IFERROR(__xludf.DUMMYFUNCTION("""COMPUTED_VALUE"""),"")</f>
        <v/>
      </c>
    </row>
    <row r="46">
      <c r="A46" t="str">
        <f>IFERROR(__xludf.DUMMYFUNCTION("""COMPUTED_VALUE"""),"45")</f>
        <v>45</v>
      </c>
      <c r="B46" s="2" t="str">
        <f>IFERROR(__xludf.DUMMYFUNCTION("""COMPUTED_VALUE"""),"Jordan Clarkson")</f>
        <v>Jordan Clarkson</v>
      </c>
      <c r="C46" t="str">
        <f>IFERROR(__xludf.DUMMYFUNCTION("""COMPUTED_VALUE"""),"34")</f>
        <v>34</v>
      </c>
      <c r="D46" t="str">
        <f>IFERROR(__xludf.DUMMYFUNCTION("""COMPUTED_VALUE"""),"NYK")</f>
        <v>NYK</v>
      </c>
      <c r="E46" t="str">
        <f>IFERROR(__xludf.DUMMYFUNCTION("""COMPUTED_VALUE"""),"SG")</f>
        <v>SG</v>
      </c>
      <c r="F46" t="str">
        <f>IFERROR(__xludf.DUMMYFUNCTION("""COMPUTED_VALUE"""),"1")</f>
        <v>1</v>
      </c>
      <c r="G46" t="str">
        <f>IFERROR(__xludf.DUMMYFUNCTION("""COMPUTED_VALUE"""),"0")</f>
        <v>0</v>
      </c>
      <c r="H46" t="str">
        <f>IFERROR(__xludf.DUMMYFUNCTION("""COMPUTED_VALUE"""),"8")</f>
        <v>8</v>
      </c>
      <c r="I46" t="str">
        <f>IFERROR(__xludf.DUMMYFUNCTION("""COMPUTED_VALUE"""),"2")</f>
        <v>2</v>
      </c>
      <c r="J46" t="str">
        <f>IFERROR(__xludf.DUMMYFUNCTION("""COMPUTED_VALUE"""),"4")</f>
        <v>4</v>
      </c>
      <c r="K46" t="str">
        <f>IFERROR(__xludf.DUMMYFUNCTION("""COMPUTED_VALUE"""),"0.5")</f>
        <v>0.5</v>
      </c>
      <c r="L46" t="str">
        <f>IFERROR(__xludf.DUMMYFUNCTION("""COMPUTED_VALUE"""),"0")</f>
        <v>0</v>
      </c>
      <c r="M46" t="str">
        <f>IFERROR(__xludf.DUMMYFUNCTION("""COMPUTED_VALUE"""),"0")</f>
        <v>0</v>
      </c>
      <c r="N46" t="str">
        <f>IFERROR(__xludf.DUMMYFUNCTION("""COMPUTED_VALUE"""),"")</f>
        <v/>
      </c>
      <c r="O46" t="str">
        <f>IFERROR(__xludf.DUMMYFUNCTION("""COMPUTED_VALUE"""),"2")</f>
        <v>2</v>
      </c>
      <c r="P46" t="str">
        <f>IFERROR(__xludf.DUMMYFUNCTION("""COMPUTED_VALUE"""),"4")</f>
        <v>4</v>
      </c>
      <c r="Q46" t="str">
        <f>IFERROR(__xludf.DUMMYFUNCTION("""COMPUTED_VALUE"""),"0.5")</f>
        <v>0.5</v>
      </c>
      <c r="R46" t="str">
        <f>IFERROR(__xludf.DUMMYFUNCTION("""COMPUTED_VALUE"""),"0.5")</f>
        <v>0.5</v>
      </c>
      <c r="S46" t="str">
        <f>IFERROR(__xludf.DUMMYFUNCTION("""COMPUTED_VALUE"""),"0")</f>
        <v>0</v>
      </c>
      <c r="T46" t="str">
        <f>IFERROR(__xludf.DUMMYFUNCTION("""COMPUTED_VALUE"""),"0")</f>
        <v>0</v>
      </c>
      <c r="U46" t="str">
        <f>IFERROR(__xludf.DUMMYFUNCTION("""COMPUTED_VALUE"""),"")</f>
        <v/>
      </c>
      <c r="V46" t="str">
        <f>IFERROR(__xludf.DUMMYFUNCTION("""COMPUTED_VALUE"""),"1")</f>
        <v>1</v>
      </c>
      <c r="W46" t="str">
        <f>IFERROR(__xludf.DUMMYFUNCTION("""COMPUTED_VALUE"""),"0")</f>
        <v>0</v>
      </c>
      <c r="X46" t="str">
        <f>IFERROR(__xludf.DUMMYFUNCTION("""COMPUTED_VALUE"""),"1")</f>
        <v>1</v>
      </c>
      <c r="Y46" t="str">
        <f>IFERROR(__xludf.DUMMYFUNCTION("""COMPUTED_VALUE"""),"1")</f>
        <v>1</v>
      </c>
      <c r="Z46" t="str">
        <f>IFERROR(__xludf.DUMMYFUNCTION("""COMPUTED_VALUE"""),"0")</f>
        <v>0</v>
      </c>
      <c r="AA46" t="str">
        <f>IFERROR(__xludf.DUMMYFUNCTION("""COMPUTED_VALUE"""),"0")</f>
        <v>0</v>
      </c>
      <c r="AB46" t="str">
        <f>IFERROR(__xludf.DUMMYFUNCTION("""COMPUTED_VALUE"""),"0")</f>
        <v>0</v>
      </c>
      <c r="AC46" t="str">
        <f>IFERROR(__xludf.DUMMYFUNCTION("""COMPUTED_VALUE"""),"2")</f>
        <v>2</v>
      </c>
      <c r="AD46" t="str">
        <f>IFERROR(__xludf.DUMMYFUNCTION("""COMPUTED_VALUE"""),"4")</f>
        <v>4</v>
      </c>
      <c r="AE46" t="str">
        <f>IFERROR(__xludf.DUMMYFUNCTION("""COMPUTED_VALUE"""),"0")</f>
        <v>0</v>
      </c>
      <c r="AF46" t="str">
        <f>IFERROR(__xludf.DUMMYFUNCTION("""COMPUTED_VALUE"""),"")</f>
        <v/>
      </c>
    </row>
    <row r="47">
      <c r="A47" t="str">
        <f>IFERROR(__xludf.DUMMYFUNCTION("""COMPUTED_VALUE"""),"46")</f>
        <v>46</v>
      </c>
      <c r="B47" s="2" t="str">
        <f>IFERROR(__xludf.DUMMYFUNCTION("""COMPUTED_VALUE"""),"Isaiah Hartenstein")</f>
        <v>Isaiah Hartenstein</v>
      </c>
      <c r="C47" t="str">
        <f>IFERROR(__xludf.DUMMYFUNCTION("""COMPUTED_VALUE"""),"28")</f>
        <v>28</v>
      </c>
      <c r="D47" t="str">
        <f>IFERROR(__xludf.DUMMYFUNCTION("""COMPUTED_VALUE"""),"OKC")</f>
        <v>OKC</v>
      </c>
      <c r="E47" t="str">
        <f>IFERROR(__xludf.DUMMYFUNCTION("""COMPUTED_VALUE"""),"C")</f>
        <v>C</v>
      </c>
      <c r="F47" t="str">
        <f>IFERROR(__xludf.DUMMYFUNCTION("""COMPUTED_VALUE"""),"1")</f>
        <v>1</v>
      </c>
      <c r="G47" t="str">
        <f>IFERROR(__xludf.DUMMYFUNCTION("""COMPUTED_VALUE"""),"1")</f>
        <v>1</v>
      </c>
      <c r="H47" t="str">
        <f>IFERROR(__xludf.DUMMYFUNCTION("""COMPUTED_VALUE"""),"17")</f>
        <v>17</v>
      </c>
      <c r="I47" t="str">
        <f>IFERROR(__xludf.DUMMYFUNCTION("""COMPUTED_VALUE"""),"2")</f>
        <v>2</v>
      </c>
      <c r="J47" t="str">
        <f>IFERROR(__xludf.DUMMYFUNCTION("""COMPUTED_VALUE"""),"4")</f>
        <v>4</v>
      </c>
      <c r="K47" t="str">
        <f>IFERROR(__xludf.DUMMYFUNCTION("""COMPUTED_VALUE"""),"0.5")</f>
        <v>0.5</v>
      </c>
      <c r="L47" t="str">
        <f>IFERROR(__xludf.DUMMYFUNCTION("""COMPUTED_VALUE"""),"0")</f>
        <v>0</v>
      </c>
      <c r="M47" t="str">
        <f>IFERROR(__xludf.DUMMYFUNCTION("""COMPUTED_VALUE"""),"0")</f>
        <v>0</v>
      </c>
      <c r="N47" t="str">
        <f>IFERROR(__xludf.DUMMYFUNCTION("""COMPUTED_VALUE"""),"")</f>
        <v/>
      </c>
      <c r="O47" t="str">
        <f>IFERROR(__xludf.DUMMYFUNCTION("""COMPUTED_VALUE"""),"2")</f>
        <v>2</v>
      </c>
      <c r="P47" t="str">
        <f>IFERROR(__xludf.DUMMYFUNCTION("""COMPUTED_VALUE"""),"4")</f>
        <v>4</v>
      </c>
      <c r="Q47" t="str">
        <f>IFERROR(__xludf.DUMMYFUNCTION("""COMPUTED_VALUE"""),"0.5")</f>
        <v>0.5</v>
      </c>
      <c r="R47" t="str">
        <f>IFERROR(__xludf.DUMMYFUNCTION("""COMPUTED_VALUE"""),"0.5")</f>
        <v>0.5</v>
      </c>
      <c r="S47" t="str">
        <f>IFERROR(__xludf.DUMMYFUNCTION("""COMPUTED_VALUE"""),"0")</f>
        <v>0</v>
      </c>
      <c r="T47" t="str">
        <f>IFERROR(__xludf.DUMMYFUNCTION("""COMPUTED_VALUE"""),"0")</f>
        <v>0</v>
      </c>
      <c r="U47" t="str">
        <f>IFERROR(__xludf.DUMMYFUNCTION("""COMPUTED_VALUE"""),"")</f>
        <v/>
      </c>
      <c r="V47" t="str">
        <f>IFERROR(__xludf.DUMMYFUNCTION("""COMPUTED_VALUE"""),"1")</f>
        <v>1</v>
      </c>
      <c r="W47" t="str">
        <f>IFERROR(__xludf.DUMMYFUNCTION("""COMPUTED_VALUE"""),"2")</f>
        <v>2</v>
      </c>
      <c r="X47" t="str">
        <f>IFERROR(__xludf.DUMMYFUNCTION("""COMPUTED_VALUE"""),"3")</f>
        <v>3</v>
      </c>
      <c r="Y47" t="str">
        <f>IFERROR(__xludf.DUMMYFUNCTION("""COMPUTED_VALUE"""),"3")</f>
        <v>3</v>
      </c>
      <c r="Z47" t="str">
        <f>IFERROR(__xludf.DUMMYFUNCTION("""COMPUTED_VALUE"""),"1")</f>
        <v>1</v>
      </c>
      <c r="AA47" t="str">
        <f>IFERROR(__xludf.DUMMYFUNCTION("""COMPUTED_VALUE"""),"1")</f>
        <v>1</v>
      </c>
      <c r="AB47" t="str">
        <f>IFERROR(__xludf.DUMMYFUNCTION("""COMPUTED_VALUE"""),"2")</f>
        <v>2</v>
      </c>
      <c r="AC47" t="str">
        <f>IFERROR(__xludf.DUMMYFUNCTION("""COMPUTED_VALUE"""),"5")</f>
        <v>5</v>
      </c>
      <c r="AD47" t="str">
        <f>IFERROR(__xludf.DUMMYFUNCTION("""COMPUTED_VALUE"""),"4")</f>
        <v>4</v>
      </c>
      <c r="AE47" t="str">
        <f>IFERROR(__xludf.DUMMYFUNCTION("""COMPUTED_VALUE"""),"0")</f>
        <v>0</v>
      </c>
      <c r="AF47" t="str">
        <f>IFERROR(__xludf.DUMMYFUNCTION("""COMPUTED_VALUE"""),"")</f>
        <v/>
      </c>
    </row>
    <row r="48">
      <c r="A48" t="str">
        <f>IFERROR(__xludf.DUMMYFUNCTION("""COMPUTED_VALUE"""),"47")</f>
        <v>47</v>
      </c>
      <c r="B48" s="2" t="str">
        <f>IFERROR(__xludf.DUMMYFUNCTION("""COMPUTED_VALUE"""),"Luke Kornet")</f>
        <v>Luke Kornet</v>
      </c>
      <c r="C48" t="str">
        <f>IFERROR(__xludf.DUMMYFUNCTION("""COMPUTED_VALUE"""),"31")</f>
        <v>31</v>
      </c>
      <c r="D48" t="str">
        <f>IFERROR(__xludf.DUMMYFUNCTION("""COMPUTED_VALUE"""),"SAS")</f>
        <v>SAS</v>
      </c>
      <c r="E48" t="str">
        <f>IFERROR(__xludf.DUMMYFUNCTION("""COMPUTED_VALUE"""),"C")</f>
        <v>C</v>
      </c>
      <c r="F48" t="str">
        <f>IFERROR(__xludf.DUMMYFUNCTION("""COMPUTED_VALUE"""),"1")</f>
        <v>1</v>
      </c>
      <c r="G48" t="str">
        <f>IFERROR(__xludf.DUMMYFUNCTION("""COMPUTED_VALUE"""),"0")</f>
        <v>0</v>
      </c>
      <c r="H48" t="str">
        <f>IFERROR(__xludf.DUMMYFUNCTION("""COMPUTED_VALUE"""),"13")</f>
        <v>13</v>
      </c>
      <c r="I48" t="str">
        <f>IFERROR(__xludf.DUMMYFUNCTION("""COMPUTED_VALUE"""),"2")</f>
        <v>2</v>
      </c>
      <c r="J48" t="str">
        <f>IFERROR(__xludf.DUMMYFUNCTION("""COMPUTED_VALUE"""),"2")</f>
        <v>2</v>
      </c>
      <c r="K48" t="str">
        <f>IFERROR(__xludf.DUMMYFUNCTION("""COMPUTED_VALUE"""),"1")</f>
        <v>1</v>
      </c>
      <c r="L48" t="str">
        <f>IFERROR(__xludf.DUMMYFUNCTION("""COMPUTED_VALUE"""),"0")</f>
        <v>0</v>
      </c>
      <c r="M48" t="str">
        <f>IFERROR(__xludf.DUMMYFUNCTION("""COMPUTED_VALUE"""),"0")</f>
        <v>0</v>
      </c>
      <c r="N48" t="str">
        <f>IFERROR(__xludf.DUMMYFUNCTION("""COMPUTED_VALUE"""),"")</f>
        <v/>
      </c>
      <c r="O48" t="str">
        <f>IFERROR(__xludf.DUMMYFUNCTION("""COMPUTED_VALUE"""),"2")</f>
        <v>2</v>
      </c>
      <c r="P48" t="str">
        <f>IFERROR(__xludf.DUMMYFUNCTION("""COMPUTED_VALUE"""),"2")</f>
        <v>2</v>
      </c>
      <c r="Q48" t="str">
        <f>IFERROR(__xludf.DUMMYFUNCTION("""COMPUTED_VALUE"""),"1")</f>
        <v>1</v>
      </c>
      <c r="R48" t="str">
        <f>IFERROR(__xludf.DUMMYFUNCTION("""COMPUTED_VALUE"""),"1")</f>
        <v>1</v>
      </c>
      <c r="S48" t="str">
        <f>IFERROR(__xludf.DUMMYFUNCTION("""COMPUTED_VALUE"""),"0")</f>
        <v>0</v>
      </c>
      <c r="T48" t="str">
        <f>IFERROR(__xludf.DUMMYFUNCTION("""COMPUTED_VALUE"""),"0")</f>
        <v>0</v>
      </c>
      <c r="U48" t="str">
        <f>IFERROR(__xludf.DUMMYFUNCTION("""COMPUTED_VALUE"""),"")</f>
        <v/>
      </c>
      <c r="V48" t="str">
        <f>IFERROR(__xludf.DUMMYFUNCTION("""COMPUTED_VALUE"""),"0")</f>
        <v>0</v>
      </c>
      <c r="W48" t="str">
        <f>IFERROR(__xludf.DUMMYFUNCTION("""COMPUTED_VALUE"""),"1")</f>
        <v>1</v>
      </c>
      <c r="X48" t="str">
        <f>IFERROR(__xludf.DUMMYFUNCTION("""COMPUTED_VALUE"""),"1")</f>
        <v>1</v>
      </c>
      <c r="Y48" t="str">
        <f>IFERROR(__xludf.DUMMYFUNCTION("""COMPUTED_VALUE"""),"0")</f>
        <v>0</v>
      </c>
      <c r="Z48" t="str">
        <f>IFERROR(__xludf.DUMMYFUNCTION("""COMPUTED_VALUE"""),"0")</f>
        <v>0</v>
      </c>
      <c r="AA48" t="str">
        <f>IFERROR(__xludf.DUMMYFUNCTION("""COMPUTED_VALUE"""),"1")</f>
        <v>1</v>
      </c>
      <c r="AB48" t="str">
        <f>IFERROR(__xludf.DUMMYFUNCTION("""COMPUTED_VALUE"""),"0")</f>
        <v>0</v>
      </c>
      <c r="AC48" t="str">
        <f>IFERROR(__xludf.DUMMYFUNCTION("""COMPUTED_VALUE"""),"0")</f>
        <v>0</v>
      </c>
      <c r="AD48" t="str">
        <f>IFERROR(__xludf.DUMMYFUNCTION("""COMPUTED_VALUE"""),"4")</f>
        <v>4</v>
      </c>
      <c r="AE48" t="str">
        <f>IFERROR(__xludf.DUMMYFUNCTION("""COMPUTED_VALUE"""),"0")</f>
        <v>0</v>
      </c>
      <c r="AF48" t="str">
        <f>IFERROR(__xludf.DUMMYFUNCTION("""COMPUTED_VALUE"""),"")</f>
        <v/>
      </c>
    </row>
    <row r="49">
      <c r="A49" t="str">
        <f>IFERROR(__xludf.DUMMYFUNCTION("""COMPUTED_VALUE"""),"48")</f>
        <v>48</v>
      </c>
      <c r="B49" s="2" t="str">
        <f>IFERROR(__xludf.DUMMYFUNCTION("""COMPUTED_VALUE"""),"Ajay Mitchell")</f>
        <v>Ajay Mitchell</v>
      </c>
      <c r="C49" t="str">
        <f>IFERROR(__xludf.DUMMYFUNCTION("""COMPUTED_VALUE"""),"24")</f>
        <v>24</v>
      </c>
      <c r="D49" t="str">
        <f>IFERROR(__xludf.DUMMYFUNCTION("""COMPUTED_VALUE"""),"OKC")</f>
        <v>OKC</v>
      </c>
      <c r="E49" t="str">
        <f>IFERROR(__xludf.DUMMYFUNCTION("""COMPUTED_VALUE"""),"SG")</f>
        <v>SG</v>
      </c>
      <c r="F49" t="str">
        <f>IFERROR(__xludf.DUMMYFUNCTION("""COMPUTED_VALUE"""),"1")</f>
        <v>1</v>
      </c>
      <c r="G49" t="str">
        <f>IFERROR(__xludf.DUMMYFUNCTION("""COMPUTED_VALUE"""),"0")</f>
        <v>0</v>
      </c>
      <c r="H49" t="str">
        <f>IFERROR(__xludf.DUMMYFUNCTION("""COMPUTED_VALUE"""),"23")</f>
        <v>23</v>
      </c>
      <c r="I49" t="str">
        <f>IFERROR(__xludf.DUMMYFUNCTION("""COMPUTED_VALUE"""),"2")</f>
        <v>2</v>
      </c>
      <c r="J49" t="str">
        <f>IFERROR(__xludf.DUMMYFUNCTION("""COMPUTED_VALUE"""),"8")</f>
        <v>8</v>
      </c>
      <c r="K49" t="str">
        <f>IFERROR(__xludf.DUMMYFUNCTION("""COMPUTED_VALUE"""),"0.25")</f>
        <v>0.25</v>
      </c>
      <c r="L49" t="str">
        <f>IFERROR(__xludf.DUMMYFUNCTION("""COMPUTED_VALUE"""),"0")</f>
        <v>0</v>
      </c>
      <c r="M49" t="str">
        <f>IFERROR(__xludf.DUMMYFUNCTION("""COMPUTED_VALUE"""),"1")</f>
        <v>1</v>
      </c>
      <c r="N49" t="str">
        <f>IFERROR(__xludf.DUMMYFUNCTION("""COMPUTED_VALUE"""),"0")</f>
        <v>0</v>
      </c>
      <c r="O49" t="str">
        <f>IFERROR(__xludf.DUMMYFUNCTION("""COMPUTED_VALUE"""),"2")</f>
        <v>2</v>
      </c>
      <c r="P49" t="str">
        <f>IFERROR(__xludf.DUMMYFUNCTION("""COMPUTED_VALUE"""),"7")</f>
        <v>7</v>
      </c>
      <c r="Q49" t="str">
        <f>IFERROR(__xludf.DUMMYFUNCTION("""COMPUTED_VALUE"""),"0.286")</f>
        <v>0.286</v>
      </c>
      <c r="R49" t="str">
        <f>IFERROR(__xludf.DUMMYFUNCTION("""COMPUTED_VALUE"""),"0.25")</f>
        <v>0.25</v>
      </c>
      <c r="S49" t="str">
        <f>IFERROR(__xludf.DUMMYFUNCTION("""COMPUTED_VALUE"""),"0")</f>
        <v>0</v>
      </c>
      <c r="T49" t="str">
        <f>IFERROR(__xludf.DUMMYFUNCTION("""COMPUTED_VALUE"""),"0")</f>
        <v>0</v>
      </c>
      <c r="U49" t="str">
        <f>IFERROR(__xludf.DUMMYFUNCTION("""COMPUTED_VALUE"""),"")</f>
        <v/>
      </c>
      <c r="V49" t="str">
        <f>IFERROR(__xludf.DUMMYFUNCTION("""COMPUTED_VALUE"""),"0")</f>
        <v>0</v>
      </c>
      <c r="W49" t="str">
        <f>IFERROR(__xludf.DUMMYFUNCTION("""COMPUTED_VALUE"""),"5")</f>
        <v>5</v>
      </c>
      <c r="X49" t="str">
        <f>IFERROR(__xludf.DUMMYFUNCTION("""COMPUTED_VALUE"""),"5")</f>
        <v>5</v>
      </c>
      <c r="Y49" t="str">
        <f>IFERROR(__xludf.DUMMYFUNCTION("""COMPUTED_VALUE"""),"6")</f>
        <v>6</v>
      </c>
      <c r="Z49" t="str">
        <f>IFERROR(__xludf.DUMMYFUNCTION("""COMPUTED_VALUE"""),"0")</f>
        <v>0</v>
      </c>
      <c r="AA49" t="str">
        <f>IFERROR(__xludf.DUMMYFUNCTION("""COMPUTED_VALUE"""),"0")</f>
        <v>0</v>
      </c>
      <c r="AB49" t="str">
        <f>IFERROR(__xludf.DUMMYFUNCTION("""COMPUTED_VALUE"""),"1")</f>
        <v>1</v>
      </c>
      <c r="AC49" t="str">
        <f>IFERROR(__xludf.DUMMYFUNCTION("""COMPUTED_VALUE"""),"3")</f>
        <v>3</v>
      </c>
      <c r="AD49" t="str">
        <f>IFERROR(__xludf.DUMMYFUNCTION("""COMPUTED_VALUE"""),"4")</f>
        <v>4</v>
      </c>
      <c r="AE49" t="str">
        <f>IFERROR(__xludf.DUMMYFUNCTION("""COMPUTED_VALUE"""),"0")</f>
        <v>0</v>
      </c>
      <c r="AF49" t="str">
        <f>IFERROR(__xludf.DUMMYFUNCTION("""COMPUTED_VALUE"""),"")</f>
        <v/>
      </c>
    </row>
    <row r="50">
      <c r="A50" t="str">
        <f>IFERROR(__xludf.DUMMYFUNCTION("""COMPUTED_VALUE"""),"49")</f>
        <v>49</v>
      </c>
      <c r="B50" s="2" t="str">
        <f>IFERROR(__xludf.DUMMYFUNCTION("""COMPUTED_VALUE"""),"Mitchell Robinson")</f>
        <v>Mitchell Robinson</v>
      </c>
      <c r="C50" t="str">
        <f>IFERROR(__xludf.DUMMYFUNCTION("""COMPUTED_VALUE"""),"28")</f>
        <v>28</v>
      </c>
      <c r="D50" t="str">
        <f>IFERROR(__xludf.DUMMYFUNCTION("""COMPUTED_VALUE"""),"BOS")</f>
        <v>BOS</v>
      </c>
      <c r="E50" t="str">
        <f>IFERROR(__xludf.DUMMYFUNCTION("""COMPUTED_VALUE"""),"C")</f>
        <v>C</v>
      </c>
      <c r="F50" t="str">
        <f>IFERROR(__xludf.DUMMYFUNCTION("""COMPUTED_VALUE"""),"1")</f>
        <v>1</v>
      </c>
      <c r="G50" t="str">
        <f>IFERROR(__xludf.DUMMYFUNCTION("""COMPUTED_VALUE"""),"1")</f>
        <v>1</v>
      </c>
      <c r="H50" t="str">
        <f>IFERROR(__xludf.DUMMYFUNCTION("""COMPUTED_VALUE"""),"18")</f>
        <v>18</v>
      </c>
      <c r="I50" t="str">
        <f>IFERROR(__xludf.DUMMYFUNCTION("""COMPUTED_VALUE"""),"2")</f>
        <v>2</v>
      </c>
      <c r="J50" t="str">
        <f>IFERROR(__xludf.DUMMYFUNCTION("""COMPUTED_VALUE"""),"2")</f>
        <v>2</v>
      </c>
      <c r="K50" t="str">
        <f>IFERROR(__xludf.DUMMYFUNCTION("""COMPUTED_VALUE"""),"1")</f>
        <v>1</v>
      </c>
      <c r="L50" t="str">
        <f>IFERROR(__xludf.DUMMYFUNCTION("""COMPUTED_VALUE"""),"0")</f>
        <v>0</v>
      </c>
      <c r="M50" t="str">
        <f>IFERROR(__xludf.DUMMYFUNCTION("""COMPUTED_VALUE"""),"0")</f>
        <v>0</v>
      </c>
      <c r="N50" t="str">
        <f>IFERROR(__xludf.DUMMYFUNCTION("""COMPUTED_VALUE"""),"")</f>
        <v/>
      </c>
      <c r="O50" t="str">
        <f>IFERROR(__xludf.DUMMYFUNCTION("""COMPUTED_VALUE"""),"2")</f>
        <v>2</v>
      </c>
      <c r="P50" t="str">
        <f>IFERROR(__xludf.DUMMYFUNCTION("""COMPUTED_VALUE"""),"2")</f>
        <v>2</v>
      </c>
      <c r="Q50" t="str">
        <f>IFERROR(__xludf.DUMMYFUNCTION("""COMPUTED_VALUE"""),"1")</f>
        <v>1</v>
      </c>
      <c r="R50" t="str">
        <f>IFERROR(__xludf.DUMMYFUNCTION("""COMPUTED_VALUE"""),"1")</f>
        <v>1</v>
      </c>
      <c r="S50" t="str">
        <f>IFERROR(__xludf.DUMMYFUNCTION("""COMPUTED_VALUE"""),"0")</f>
        <v>0</v>
      </c>
      <c r="T50" t="str">
        <f>IFERROR(__xludf.DUMMYFUNCTION("""COMPUTED_VALUE"""),"2")</f>
        <v>2</v>
      </c>
      <c r="U50" t="str">
        <f>IFERROR(__xludf.DUMMYFUNCTION("""COMPUTED_VALUE"""),"0")</f>
        <v>0</v>
      </c>
      <c r="V50" t="str">
        <f>IFERROR(__xludf.DUMMYFUNCTION("""COMPUTED_VALUE"""),"1")</f>
        <v>1</v>
      </c>
      <c r="W50" t="str">
        <f>IFERROR(__xludf.DUMMYFUNCTION("""COMPUTED_VALUE"""),"2")</f>
        <v>2</v>
      </c>
      <c r="X50" t="str">
        <f>IFERROR(__xludf.DUMMYFUNCTION("""COMPUTED_VALUE"""),"3")</f>
        <v>3</v>
      </c>
      <c r="Y50" t="str">
        <f>IFERROR(__xludf.DUMMYFUNCTION("""COMPUTED_VALUE"""),"1")</f>
        <v>1</v>
      </c>
      <c r="Z50" t="str">
        <f>IFERROR(__xludf.DUMMYFUNCTION("""COMPUTED_VALUE"""),"1")</f>
        <v>1</v>
      </c>
      <c r="AA50" t="str">
        <f>IFERROR(__xludf.DUMMYFUNCTION("""COMPUTED_VALUE"""),"2")</f>
        <v>2</v>
      </c>
      <c r="AB50" t="str">
        <f>IFERROR(__xludf.DUMMYFUNCTION("""COMPUTED_VALUE"""),"2")</f>
        <v>2</v>
      </c>
      <c r="AC50" t="str">
        <f>IFERROR(__xludf.DUMMYFUNCTION("""COMPUTED_VALUE"""),"2")</f>
        <v>2</v>
      </c>
      <c r="AD50" t="str">
        <f>IFERROR(__xludf.DUMMYFUNCTION("""COMPUTED_VALUE"""),"4")</f>
        <v>4</v>
      </c>
      <c r="AE50" t="str">
        <f>IFERROR(__xludf.DUMMYFUNCTION("""COMPUTED_VALUE"""),"0")</f>
        <v>0</v>
      </c>
      <c r="AF50" t="str">
        <f>IFERROR(__xludf.DUMMYFUNCTION("""COMPUTED_VALUE"""),"")</f>
        <v/>
      </c>
    </row>
    <row r="51">
      <c r="A51" t="str">
        <f>IFERROR(__xludf.DUMMYFUNCTION("""COMPUTED_VALUE"""),"50")</f>
        <v>50</v>
      </c>
      <c r="B51" s="2" t="str">
        <f>IFERROR(__xludf.DUMMYFUNCTION("""COMPUTED_VALUE"""),"Harrison Barnes")</f>
        <v>Harrison Barnes</v>
      </c>
      <c r="C51" t="str">
        <f>IFERROR(__xludf.DUMMYFUNCTION("""COMPUTED_VALUE"""),"34")</f>
        <v>34</v>
      </c>
      <c r="D51" t="str">
        <f>IFERROR(__xludf.DUMMYFUNCTION("""COMPUTED_VALUE"""),"SAS")</f>
        <v>SAS</v>
      </c>
      <c r="E51" t="str">
        <f>IFERROR(__xludf.DUMMYFUNCTION("""COMPUTED_VALUE"""),"PF")</f>
        <v>PF</v>
      </c>
      <c r="F51" t="str">
        <f>IFERROR(__xludf.DUMMYFUNCTION("""COMPUTED_VALUE"""),"1")</f>
        <v>1</v>
      </c>
      <c r="G51" t="str">
        <f>IFERROR(__xludf.DUMMYFUNCTION("""COMPUTED_VALUE"""),"0")</f>
        <v>0</v>
      </c>
      <c r="H51" t="str">
        <f>IFERROR(__xludf.DUMMYFUNCTION("""COMPUTED_VALUE"""),"9")</f>
        <v>9</v>
      </c>
      <c r="I51" t="str">
        <f>IFERROR(__xludf.DUMMYFUNCTION("""COMPUTED_VALUE"""),"1")</f>
        <v>1</v>
      </c>
      <c r="J51" t="str">
        <f>IFERROR(__xludf.DUMMYFUNCTION("""COMPUTED_VALUE"""),"1")</f>
        <v>1</v>
      </c>
      <c r="K51" t="str">
        <f>IFERROR(__xludf.DUMMYFUNCTION("""COMPUTED_VALUE"""),"1")</f>
        <v>1</v>
      </c>
      <c r="L51" t="str">
        <f>IFERROR(__xludf.DUMMYFUNCTION("""COMPUTED_VALUE"""),"1")</f>
        <v>1</v>
      </c>
      <c r="M51" t="str">
        <f>IFERROR(__xludf.DUMMYFUNCTION("""COMPUTED_VALUE"""),"1")</f>
        <v>1</v>
      </c>
      <c r="N51" t="str">
        <f>IFERROR(__xludf.DUMMYFUNCTION("""COMPUTED_VALUE"""),"1")</f>
        <v>1</v>
      </c>
      <c r="O51" t="str">
        <f>IFERROR(__xludf.DUMMYFUNCTION("""COMPUTED_VALUE"""),"0")</f>
        <v>0</v>
      </c>
      <c r="P51" t="str">
        <f>IFERROR(__xludf.DUMMYFUNCTION("""COMPUTED_VALUE"""),"0")</f>
        <v>0</v>
      </c>
      <c r="Q51" t="str">
        <f>IFERROR(__xludf.DUMMYFUNCTION("""COMPUTED_VALUE"""),"")</f>
        <v/>
      </c>
      <c r="R51" t="str">
        <f>IFERROR(__xludf.DUMMYFUNCTION("""COMPUTED_VALUE"""),"1.5")</f>
        <v>1.5</v>
      </c>
      <c r="S51" t="str">
        <f>IFERROR(__xludf.DUMMYFUNCTION("""COMPUTED_VALUE"""),"0")</f>
        <v>0</v>
      </c>
      <c r="T51" t="str">
        <f>IFERROR(__xludf.DUMMYFUNCTION("""COMPUTED_VALUE"""),"0")</f>
        <v>0</v>
      </c>
      <c r="U51" t="str">
        <f>IFERROR(__xludf.DUMMYFUNCTION("""COMPUTED_VALUE"""),"")</f>
        <v/>
      </c>
      <c r="V51" t="str">
        <f>IFERROR(__xludf.DUMMYFUNCTION("""COMPUTED_VALUE"""),"0")</f>
        <v>0</v>
      </c>
      <c r="W51" t="str">
        <f>IFERROR(__xludf.DUMMYFUNCTION("""COMPUTED_VALUE"""),"0")</f>
        <v>0</v>
      </c>
      <c r="X51" t="str">
        <f>IFERROR(__xludf.DUMMYFUNCTION("""COMPUTED_VALUE"""),"0")</f>
        <v>0</v>
      </c>
      <c r="Y51" t="str">
        <f>IFERROR(__xludf.DUMMYFUNCTION("""COMPUTED_VALUE"""),"0")</f>
        <v>0</v>
      </c>
      <c r="Z51" t="str">
        <f>IFERROR(__xludf.DUMMYFUNCTION("""COMPUTED_VALUE"""),"0")</f>
        <v>0</v>
      </c>
      <c r="AA51" t="str">
        <f>IFERROR(__xludf.DUMMYFUNCTION("""COMPUTED_VALUE"""),"1")</f>
        <v>1</v>
      </c>
      <c r="AB51" t="str">
        <f>IFERROR(__xludf.DUMMYFUNCTION("""COMPUTED_VALUE"""),"0")</f>
        <v>0</v>
      </c>
      <c r="AC51" t="str">
        <f>IFERROR(__xludf.DUMMYFUNCTION("""COMPUTED_VALUE"""),"1")</f>
        <v>1</v>
      </c>
      <c r="AD51" t="str">
        <f>IFERROR(__xludf.DUMMYFUNCTION("""COMPUTED_VALUE"""),"3")</f>
        <v>3</v>
      </c>
      <c r="AE51" t="str">
        <f>IFERROR(__xludf.DUMMYFUNCTION("""COMPUTED_VALUE"""),"0")</f>
        <v>0</v>
      </c>
      <c r="AF51" t="str">
        <f>IFERROR(__xludf.DUMMYFUNCTION("""COMPUTED_VALUE"""),"")</f>
        <v/>
      </c>
    </row>
    <row r="52">
      <c r="A52" t="str">
        <f>IFERROR(__xludf.DUMMYFUNCTION("""COMPUTED_VALUE"""),"51")</f>
        <v>51</v>
      </c>
      <c r="B52" s="2" t="str">
        <f>IFERROR(__xludf.DUMMYFUNCTION("""COMPUTED_VALUE"""),"Kevin Huerter")</f>
        <v>Kevin Huerter</v>
      </c>
      <c r="C52" t="str">
        <f>IFERROR(__xludf.DUMMYFUNCTION("""COMPUTED_VALUE"""),"28")</f>
        <v>28</v>
      </c>
      <c r="D52" t="str">
        <f>IFERROR(__xludf.DUMMYFUNCTION("""COMPUTED_VALUE"""),"DET")</f>
        <v>DET</v>
      </c>
      <c r="E52" t="str">
        <f>IFERROR(__xludf.DUMMYFUNCTION("""COMPUTED_VALUE"""),"SG")</f>
        <v>SG</v>
      </c>
      <c r="F52" t="str">
        <f>IFERROR(__xludf.DUMMYFUNCTION("""COMPUTED_VALUE"""),"1")</f>
        <v>1</v>
      </c>
      <c r="G52" t="str">
        <f>IFERROR(__xludf.DUMMYFUNCTION("""COMPUTED_VALUE"""),"0")</f>
        <v>0</v>
      </c>
      <c r="H52" t="str">
        <f>IFERROR(__xludf.DUMMYFUNCTION("""COMPUTED_VALUE"""),"18")</f>
        <v>18</v>
      </c>
      <c r="I52" t="str">
        <f>IFERROR(__xludf.DUMMYFUNCTION("""COMPUTED_VALUE"""),"1")</f>
        <v>1</v>
      </c>
      <c r="J52" t="str">
        <f>IFERROR(__xludf.DUMMYFUNCTION("""COMPUTED_VALUE"""),"4")</f>
        <v>4</v>
      </c>
      <c r="K52" t="str">
        <f>IFERROR(__xludf.DUMMYFUNCTION("""COMPUTED_VALUE"""),"0.25")</f>
        <v>0.25</v>
      </c>
      <c r="L52" t="str">
        <f>IFERROR(__xludf.DUMMYFUNCTION("""COMPUTED_VALUE"""),"1")</f>
        <v>1</v>
      </c>
      <c r="M52" t="str">
        <f>IFERROR(__xludf.DUMMYFUNCTION("""COMPUTED_VALUE"""),"4")</f>
        <v>4</v>
      </c>
      <c r="N52" t="str">
        <f>IFERROR(__xludf.DUMMYFUNCTION("""COMPUTED_VALUE"""),"0.25")</f>
        <v>0.25</v>
      </c>
      <c r="O52" t="str">
        <f>IFERROR(__xludf.DUMMYFUNCTION("""COMPUTED_VALUE"""),"0")</f>
        <v>0</v>
      </c>
      <c r="P52" t="str">
        <f>IFERROR(__xludf.DUMMYFUNCTION("""COMPUTED_VALUE"""),"0")</f>
        <v>0</v>
      </c>
      <c r="Q52" t="str">
        <f>IFERROR(__xludf.DUMMYFUNCTION("""COMPUTED_VALUE"""),"")</f>
        <v/>
      </c>
      <c r="R52" t="str">
        <f>IFERROR(__xludf.DUMMYFUNCTION("""COMPUTED_VALUE"""),"0.375")</f>
        <v>0.375</v>
      </c>
      <c r="S52" t="str">
        <f>IFERROR(__xludf.DUMMYFUNCTION("""COMPUTED_VALUE"""),"0")</f>
        <v>0</v>
      </c>
      <c r="T52" t="str">
        <f>IFERROR(__xludf.DUMMYFUNCTION("""COMPUTED_VALUE"""),"0")</f>
        <v>0</v>
      </c>
      <c r="U52" t="str">
        <f>IFERROR(__xludf.DUMMYFUNCTION("""COMPUTED_VALUE"""),"")</f>
        <v/>
      </c>
      <c r="V52" t="str">
        <f>IFERROR(__xludf.DUMMYFUNCTION("""COMPUTED_VALUE"""),"0")</f>
        <v>0</v>
      </c>
      <c r="W52" t="str">
        <f>IFERROR(__xludf.DUMMYFUNCTION("""COMPUTED_VALUE"""),"3")</f>
        <v>3</v>
      </c>
      <c r="X52" t="str">
        <f>IFERROR(__xludf.DUMMYFUNCTION("""COMPUTED_VALUE"""),"3")</f>
        <v>3</v>
      </c>
      <c r="Y52" t="str">
        <f>IFERROR(__xludf.DUMMYFUNCTION("""COMPUTED_VALUE"""),"2")</f>
        <v>2</v>
      </c>
      <c r="Z52" t="str">
        <f>IFERROR(__xludf.DUMMYFUNCTION("""COMPUTED_VALUE"""),"0")</f>
        <v>0</v>
      </c>
      <c r="AA52" t="str">
        <f>IFERROR(__xludf.DUMMYFUNCTION("""COMPUTED_VALUE"""),"0")</f>
        <v>0</v>
      </c>
      <c r="AB52" t="str">
        <f>IFERROR(__xludf.DUMMYFUNCTION("""COMPUTED_VALUE"""),"0")</f>
        <v>0</v>
      </c>
      <c r="AC52" t="str">
        <f>IFERROR(__xludf.DUMMYFUNCTION("""COMPUTED_VALUE"""),"2")</f>
        <v>2</v>
      </c>
      <c r="AD52" t="str">
        <f>IFERROR(__xludf.DUMMYFUNCTION("""COMPUTED_VALUE"""),"3")</f>
        <v>3</v>
      </c>
      <c r="AE52" t="str">
        <f>IFERROR(__xludf.DUMMYFUNCTION("""COMPUTED_VALUE"""),"0")</f>
        <v>0</v>
      </c>
      <c r="AF52" t="str">
        <f>IFERROR(__xludf.DUMMYFUNCTION("""COMPUTED_VALUE"""),"")</f>
        <v/>
      </c>
    </row>
    <row r="53">
      <c r="A53" t="str">
        <f>IFERROR(__xludf.DUMMYFUNCTION("""COMPUTED_VALUE"""),"52")</f>
        <v>52</v>
      </c>
      <c r="B53" s="2" t="str">
        <f>IFERROR(__xludf.DUMMYFUNCTION("""COMPUTED_VALUE"""),"Daniss Jenkins")</f>
        <v>Daniss Jenkins</v>
      </c>
      <c r="C53" t="str">
        <f>IFERROR(__xludf.DUMMYFUNCTION("""COMPUTED_VALUE"""),"25")</f>
        <v>25</v>
      </c>
      <c r="D53" t="str">
        <f>IFERROR(__xludf.DUMMYFUNCTION("""COMPUTED_VALUE"""),"DET")</f>
        <v>DET</v>
      </c>
      <c r="E53" t="str">
        <f>IFERROR(__xludf.DUMMYFUNCTION("""COMPUTED_VALUE"""),"PG")</f>
        <v>PG</v>
      </c>
      <c r="F53" t="str">
        <f>IFERROR(__xludf.DUMMYFUNCTION("""COMPUTED_VALUE"""),"1")</f>
        <v>1</v>
      </c>
      <c r="G53" t="str">
        <f>IFERROR(__xludf.DUMMYFUNCTION("""COMPUTED_VALUE"""),"0")</f>
        <v>0</v>
      </c>
      <c r="H53" t="str">
        <f>IFERROR(__xludf.DUMMYFUNCTION("""COMPUTED_VALUE"""),"15")</f>
        <v>15</v>
      </c>
      <c r="I53" t="str">
        <f>IFERROR(__xludf.DUMMYFUNCTION("""COMPUTED_VALUE"""),"1")</f>
        <v>1</v>
      </c>
      <c r="J53" t="str">
        <f>IFERROR(__xludf.DUMMYFUNCTION("""COMPUTED_VALUE"""),"3")</f>
        <v>3</v>
      </c>
      <c r="K53" t="str">
        <f>IFERROR(__xludf.DUMMYFUNCTION("""COMPUTED_VALUE"""),"0.333")</f>
        <v>0.333</v>
      </c>
      <c r="L53" t="str">
        <f>IFERROR(__xludf.DUMMYFUNCTION("""COMPUTED_VALUE"""),"1")</f>
        <v>1</v>
      </c>
      <c r="M53" t="str">
        <f>IFERROR(__xludf.DUMMYFUNCTION("""COMPUTED_VALUE"""),"1")</f>
        <v>1</v>
      </c>
      <c r="N53" t="str">
        <f>IFERROR(__xludf.DUMMYFUNCTION("""COMPUTED_VALUE"""),"1")</f>
        <v>1</v>
      </c>
      <c r="O53" t="str">
        <f>IFERROR(__xludf.DUMMYFUNCTION("""COMPUTED_VALUE"""),"0")</f>
        <v>0</v>
      </c>
      <c r="P53" t="str">
        <f>IFERROR(__xludf.DUMMYFUNCTION("""COMPUTED_VALUE"""),"2")</f>
        <v>2</v>
      </c>
      <c r="Q53" t="str">
        <f>IFERROR(__xludf.DUMMYFUNCTION("""COMPUTED_VALUE"""),"0")</f>
        <v>0</v>
      </c>
      <c r="R53" t="str">
        <f>IFERROR(__xludf.DUMMYFUNCTION("""COMPUTED_VALUE"""),"0.5")</f>
        <v>0.5</v>
      </c>
      <c r="S53" t="str">
        <f>IFERROR(__xludf.DUMMYFUNCTION("""COMPUTED_VALUE"""),"0")</f>
        <v>0</v>
      </c>
      <c r="T53" t="str">
        <f>IFERROR(__xludf.DUMMYFUNCTION("""COMPUTED_VALUE"""),"0")</f>
        <v>0</v>
      </c>
      <c r="U53" t="str">
        <f>IFERROR(__xludf.DUMMYFUNCTION("""COMPUTED_VALUE"""),"")</f>
        <v/>
      </c>
      <c r="V53" t="str">
        <f>IFERROR(__xludf.DUMMYFUNCTION("""COMPUTED_VALUE"""),"2")</f>
        <v>2</v>
      </c>
      <c r="W53" t="str">
        <f>IFERROR(__xludf.DUMMYFUNCTION("""COMPUTED_VALUE"""),"0")</f>
        <v>0</v>
      </c>
      <c r="X53" t="str">
        <f>IFERROR(__xludf.DUMMYFUNCTION("""COMPUTED_VALUE"""),"2")</f>
        <v>2</v>
      </c>
      <c r="Y53" t="str">
        <f>IFERROR(__xludf.DUMMYFUNCTION("""COMPUTED_VALUE"""),"3")</f>
        <v>3</v>
      </c>
      <c r="Z53" t="str">
        <f>IFERROR(__xludf.DUMMYFUNCTION("""COMPUTED_VALUE"""),"0")</f>
        <v>0</v>
      </c>
      <c r="AA53" t="str">
        <f>IFERROR(__xludf.DUMMYFUNCTION("""COMPUTED_VALUE"""),"0")</f>
        <v>0</v>
      </c>
      <c r="AB53" t="str">
        <f>IFERROR(__xludf.DUMMYFUNCTION("""COMPUTED_VALUE"""),"1")</f>
        <v>1</v>
      </c>
      <c r="AC53" t="str">
        <f>IFERROR(__xludf.DUMMYFUNCTION("""COMPUTED_VALUE"""),"4")</f>
        <v>4</v>
      </c>
      <c r="AD53" t="str">
        <f>IFERROR(__xludf.DUMMYFUNCTION("""COMPUTED_VALUE"""),"3")</f>
        <v>3</v>
      </c>
      <c r="AE53" t="str">
        <f>IFERROR(__xludf.DUMMYFUNCTION("""COMPUTED_VALUE"""),"0")</f>
        <v>0</v>
      </c>
      <c r="AF53" t="str">
        <f>IFERROR(__xludf.DUMMYFUNCTION("""COMPUTED_VALUE"""),"")</f>
        <v/>
      </c>
    </row>
    <row r="54">
      <c r="A54" t="str">
        <f>IFERROR(__xludf.DUMMYFUNCTION("""COMPUTED_VALUE"""),"53")</f>
        <v>53</v>
      </c>
      <c r="B54" s="2" t="str">
        <f>IFERROR(__xludf.DUMMYFUNCTION("""COMPUTED_VALUE"""),"Miles McBride")</f>
        <v>Miles McBride</v>
      </c>
      <c r="C54" t="str">
        <f>IFERROR(__xludf.DUMMYFUNCTION("""COMPUTED_VALUE"""),"26")</f>
        <v>26</v>
      </c>
      <c r="D54" t="str">
        <f>IFERROR(__xludf.DUMMYFUNCTION("""COMPUTED_VALUE"""),"NYK")</f>
        <v>NYK</v>
      </c>
      <c r="E54" t="str">
        <f>IFERROR(__xludf.DUMMYFUNCTION("""COMPUTED_VALUE"""),"PG")</f>
        <v>PG</v>
      </c>
      <c r="F54" t="str">
        <f>IFERROR(__xludf.DUMMYFUNCTION("""COMPUTED_VALUE"""),"1")</f>
        <v>1</v>
      </c>
      <c r="G54" t="str">
        <f>IFERROR(__xludf.DUMMYFUNCTION("""COMPUTED_VALUE"""),"0")</f>
        <v>0</v>
      </c>
      <c r="H54" t="str">
        <f>IFERROR(__xludf.DUMMYFUNCTION("""COMPUTED_VALUE"""),"14")</f>
        <v>14</v>
      </c>
      <c r="I54" t="str">
        <f>IFERROR(__xludf.DUMMYFUNCTION("""COMPUTED_VALUE"""),"1")</f>
        <v>1</v>
      </c>
      <c r="J54" t="str">
        <f>IFERROR(__xludf.DUMMYFUNCTION("""COMPUTED_VALUE"""),"5")</f>
        <v>5</v>
      </c>
      <c r="K54" t="str">
        <f>IFERROR(__xludf.DUMMYFUNCTION("""COMPUTED_VALUE"""),"0.2")</f>
        <v>0.2</v>
      </c>
      <c r="L54" t="str">
        <f>IFERROR(__xludf.DUMMYFUNCTION("""COMPUTED_VALUE"""),"1")</f>
        <v>1</v>
      </c>
      <c r="M54" t="str">
        <f>IFERROR(__xludf.DUMMYFUNCTION("""COMPUTED_VALUE"""),"3")</f>
        <v>3</v>
      </c>
      <c r="N54" t="str">
        <f>IFERROR(__xludf.DUMMYFUNCTION("""COMPUTED_VALUE"""),"0.333")</f>
        <v>0.333</v>
      </c>
      <c r="O54" t="str">
        <f>IFERROR(__xludf.DUMMYFUNCTION("""COMPUTED_VALUE"""),"0")</f>
        <v>0</v>
      </c>
      <c r="P54" t="str">
        <f>IFERROR(__xludf.DUMMYFUNCTION("""COMPUTED_VALUE"""),"2")</f>
        <v>2</v>
      </c>
      <c r="Q54" t="str">
        <f>IFERROR(__xludf.DUMMYFUNCTION("""COMPUTED_VALUE"""),"0")</f>
        <v>0</v>
      </c>
      <c r="R54" t="str">
        <f>IFERROR(__xludf.DUMMYFUNCTION("""COMPUTED_VALUE"""),"0.3")</f>
        <v>0.3</v>
      </c>
      <c r="S54" t="str">
        <f>IFERROR(__xludf.DUMMYFUNCTION("""COMPUTED_VALUE"""),"0")</f>
        <v>0</v>
      </c>
      <c r="T54" t="str">
        <f>IFERROR(__xludf.DUMMYFUNCTION("""COMPUTED_VALUE"""),"0")</f>
        <v>0</v>
      </c>
      <c r="U54" t="str">
        <f>IFERROR(__xludf.DUMMYFUNCTION("""COMPUTED_VALUE"""),"")</f>
        <v/>
      </c>
      <c r="V54" t="str">
        <f>IFERROR(__xludf.DUMMYFUNCTION("""COMPUTED_VALUE"""),"0")</f>
        <v>0</v>
      </c>
      <c r="W54" t="str">
        <f>IFERROR(__xludf.DUMMYFUNCTION("""COMPUTED_VALUE"""),"1")</f>
        <v>1</v>
      </c>
      <c r="X54" t="str">
        <f>IFERROR(__xludf.DUMMYFUNCTION("""COMPUTED_VALUE"""),"1")</f>
        <v>1</v>
      </c>
      <c r="Y54" t="str">
        <f>IFERROR(__xludf.DUMMYFUNCTION("""COMPUTED_VALUE"""),"1")</f>
        <v>1</v>
      </c>
      <c r="Z54" t="str">
        <f>IFERROR(__xludf.DUMMYFUNCTION("""COMPUTED_VALUE"""),"0")</f>
        <v>0</v>
      </c>
      <c r="AA54" t="str">
        <f>IFERROR(__xludf.DUMMYFUNCTION("""COMPUTED_VALUE"""),"1")</f>
        <v>1</v>
      </c>
      <c r="AB54" t="str">
        <f>IFERROR(__xludf.DUMMYFUNCTION("""COMPUTED_VALUE"""),"1")</f>
        <v>1</v>
      </c>
      <c r="AC54" t="str">
        <f>IFERROR(__xludf.DUMMYFUNCTION("""COMPUTED_VALUE"""),"0")</f>
        <v>0</v>
      </c>
      <c r="AD54" t="str">
        <f>IFERROR(__xludf.DUMMYFUNCTION("""COMPUTED_VALUE"""),"3")</f>
        <v>3</v>
      </c>
      <c r="AE54" t="str">
        <f>IFERROR(__xludf.DUMMYFUNCTION("""COMPUTED_VALUE"""),"0")</f>
        <v>0</v>
      </c>
      <c r="AF54" t="str">
        <f>IFERROR(__xludf.DUMMYFUNCTION("""COMPUTED_VALUE"""),"")</f>
        <v/>
      </c>
    </row>
    <row r="55">
      <c r="A55" t="str">
        <f>IFERROR(__xludf.DUMMYFUNCTION("""COMPUTED_VALUE"""),"54")</f>
        <v>54</v>
      </c>
      <c r="B55" s="2" t="str">
        <f>IFERROR(__xludf.DUMMYFUNCTION("""COMPUTED_VALUE"""),"Neemias Queta")</f>
        <v>Neemias Queta</v>
      </c>
      <c r="C55" t="str">
        <f>IFERROR(__xludf.DUMMYFUNCTION("""COMPUTED_VALUE"""),"27")</f>
        <v>27</v>
      </c>
      <c r="D55" t="str">
        <f>IFERROR(__xludf.DUMMYFUNCTION("""COMPUTED_VALUE"""),"BOS")</f>
        <v>BOS</v>
      </c>
      <c r="E55" t="str">
        <f>IFERROR(__xludf.DUMMYFUNCTION("""COMPUTED_VALUE"""),"C")</f>
        <v>C</v>
      </c>
      <c r="F55" t="str">
        <f>IFERROR(__xludf.DUMMYFUNCTION("""COMPUTED_VALUE"""),"1")</f>
        <v>1</v>
      </c>
      <c r="G55" t="str">
        <f>IFERROR(__xludf.DUMMYFUNCTION("""COMPUTED_VALUE"""),"0")</f>
        <v>0</v>
      </c>
      <c r="H55" t="str">
        <f>IFERROR(__xludf.DUMMYFUNCTION("""COMPUTED_VALUE"""),"22")</f>
        <v>22</v>
      </c>
      <c r="I55" t="str">
        <f>IFERROR(__xludf.DUMMYFUNCTION("""COMPUTED_VALUE"""),"1")</f>
        <v>1</v>
      </c>
      <c r="J55" t="str">
        <f>IFERROR(__xludf.DUMMYFUNCTION("""COMPUTED_VALUE"""),"3")</f>
        <v>3</v>
      </c>
      <c r="K55" t="str">
        <f>IFERROR(__xludf.DUMMYFUNCTION("""COMPUTED_VALUE"""),"0.333")</f>
        <v>0.333</v>
      </c>
      <c r="L55" t="str">
        <f>IFERROR(__xludf.DUMMYFUNCTION("""COMPUTED_VALUE"""),"0")</f>
        <v>0</v>
      </c>
      <c r="M55" t="str">
        <f>IFERROR(__xludf.DUMMYFUNCTION("""COMPUTED_VALUE"""),"0")</f>
        <v>0</v>
      </c>
      <c r="N55" t="str">
        <f>IFERROR(__xludf.DUMMYFUNCTION("""COMPUTED_VALUE"""),"")</f>
        <v/>
      </c>
      <c r="O55" t="str">
        <f>IFERROR(__xludf.DUMMYFUNCTION("""COMPUTED_VALUE"""),"1")</f>
        <v>1</v>
      </c>
      <c r="P55" t="str">
        <f>IFERROR(__xludf.DUMMYFUNCTION("""COMPUTED_VALUE"""),"3")</f>
        <v>3</v>
      </c>
      <c r="Q55" t="str">
        <f>IFERROR(__xludf.DUMMYFUNCTION("""COMPUTED_VALUE"""),"0.333")</f>
        <v>0.333</v>
      </c>
      <c r="R55" t="str">
        <f>IFERROR(__xludf.DUMMYFUNCTION("""COMPUTED_VALUE"""),"0.333")</f>
        <v>0.333</v>
      </c>
      <c r="S55" t="str">
        <f>IFERROR(__xludf.DUMMYFUNCTION("""COMPUTED_VALUE"""),"1")</f>
        <v>1</v>
      </c>
      <c r="T55" t="str">
        <f>IFERROR(__xludf.DUMMYFUNCTION("""COMPUTED_VALUE"""),"2")</f>
        <v>2</v>
      </c>
      <c r="U55" t="str">
        <f>IFERROR(__xludf.DUMMYFUNCTION("""COMPUTED_VALUE"""),"0.5")</f>
        <v>0.5</v>
      </c>
      <c r="V55" t="str">
        <f>IFERROR(__xludf.DUMMYFUNCTION("""COMPUTED_VALUE"""),"1")</f>
        <v>1</v>
      </c>
      <c r="W55" t="str">
        <f>IFERROR(__xludf.DUMMYFUNCTION("""COMPUTED_VALUE"""),"3")</f>
        <v>3</v>
      </c>
      <c r="X55" t="str">
        <f>IFERROR(__xludf.DUMMYFUNCTION("""COMPUTED_VALUE"""),"4")</f>
        <v>4</v>
      </c>
      <c r="Y55" t="str">
        <f>IFERROR(__xludf.DUMMYFUNCTION("""COMPUTED_VALUE"""),"2")</f>
        <v>2</v>
      </c>
      <c r="Z55" t="str">
        <f>IFERROR(__xludf.DUMMYFUNCTION("""COMPUTED_VALUE"""),"1")</f>
        <v>1</v>
      </c>
      <c r="AA55" t="str">
        <f>IFERROR(__xludf.DUMMYFUNCTION("""COMPUTED_VALUE"""),"2")</f>
        <v>2</v>
      </c>
      <c r="AB55" t="str">
        <f>IFERROR(__xludf.DUMMYFUNCTION("""COMPUTED_VALUE"""),"1")</f>
        <v>1</v>
      </c>
      <c r="AC55" t="str">
        <f>IFERROR(__xludf.DUMMYFUNCTION("""COMPUTED_VALUE"""),"4")</f>
        <v>4</v>
      </c>
      <c r="AD55" t="str">
        <f>IFERROR(__xludf.DUMMYFUNCTION("""COMPUTED_VALUE"""),"3")</f>
        <v>3</v>
      </c>
      <c r="AE55" t="str">
        <f>IFERROR(__xludf.DUMMYFUNCTION("""COMPUTED_VALUE"""),"0")</f>
        <v>0</v>
      </c>
      <c r="AF55" t="str">
        <f>IFERROR(__xludf.DUMMYFUNCTION("""COMPUTED_VALUE"""),"")</f>
        <v/>
      </c>
    </row>
    <row r="56">
      <c r="A56" t="str">
        <f>IFERROR(__xludf.DUMMYFUNCTION("""COMPUTED_VALUE"""),"55")</f>
        <v>55</v>
      </c>
      <c r="B56" s="2" t="str">
        <f>IFERROR(__xludf.DUMMYFUNCTION("""COMPUTED_VALUE"""),"Kenrich Williams")</f>
        <v>Kenrich Williams</v>
      </c>
      <c r="C56" t="str">
        <f>IFERROR(__xludf.DUMMYFUNCTION("""COMPUTED_VALUE"""),"32")</f>
        <v>32</v>
      </c>
      <c r="D56" t="str">
        <f>IFERROR(__xludf.DUMMYFUNCTION("""COMPUTED_VALUE"""),"OKC")</f>
        <v>OKC</v>
      </c>
      <c r="E56" t="str">
        <f>IFERROR(__xludf.DUMMYFUNCTION("""COMPUTED_VALUE"""),"PF")</f>
        <v>PF</v>
      </c>
      <c r="F56" t="str">
        <f>IFERROR(__xludf.DUMMYFUNCTION("""COMPUTED_VALUE"""),"1")</f>
        <v>1</v>
      </c>
      <c r="G56" t="str">
        <f>IFERROR(__xludf.DUMMYFUNCTION("""COMPUTED_VALUE"""),"0")</f>
        <v>0</v>
      </c>
      <c r="H56" t="str">
        <f>IFERROR(__xludf.DUMMYFUNCTION("""COMPUTED_VALUE"""),"7")</f>
        <v>7</v>
      </c>
      <c r="I56" t="str">
        <f>IFERROR(__xludf.DUMMYFUNCTION("""COMPUTED_VALUE"""),"1")</f>
        <v>1</v>
      </c>
      <c r="J56" t="str">
        <f>IFERROR(__xludf.DUMMYFUNCTION("""COMPUTED_VALUE"""),"1")</f>
        <v>1</v>
      </c>
      <c r="K56" t="str">
        <f>IFERROR(__xludf.DUMMYFUNCTION("""COMPUTED_VALUE"""),"1")</f>
        <v>1</v>
      </c>
      <c r="L56" t="str">
        <f>IFERROR(__xludf.DUMMYFUNCTION("""COMPUTED_VALUE"""),"1")</f>
        <v>1</v>
      </c>
      <c r="M56" t="str">
        <f>IFERROR(__xludf.DUMMYFUNCTION("""COMPUTED_VALUE"""),"1")</f>
        <v>1</v>
      </c>
      <c r="N56" t="str">
        <f>IFERROR(__xludf.DUMMYFUNCTION("""COMPUTED_VALUE"""),"1")</f>
        <v>1</v>
      </c>
      <c r="O56" t="str">
        <f>IFERROR(__xludf.DUMMYFUNCTION("""COMPUTED_VALUE"""),"0")</f>
        <v>0</v>
      </c>
      <c r="P56" t="str">
        <f>IFERROR(__xludf.DUMMYFUNCTION("""COMPUTED_VALUE"""),"0")</f>
        <v>0</v>
      </c>
      <c r="Q56" t="str">
        <f>IFERROR(__xludf.DUMMYFUNCTION("""COMPUTED_VALUE"""),"")</f>
        <v/>
      </c>
      <c r="R56" t="str">
        <f>IFERROR(__xludf.DUMMYFUNCTION("""COMPUTED_VALUE"""),"1.5")</f>
        <v>1.5</v>
      </c>
      <c r="S56" t="str">
        <f>IFERROR(__xludf.DUMMYFUNCTION("""COMPUTED_VALUE"""),"0")</f>
        <v>0</v>
      </c>
      <c r="T56" t="str">
        <f>IFERROR(__xludf.DUMMYFUNCTION("""COMPUTED_VALUE"""),"0")</f>
        <v>0</v>
      </c>
      <c r="U56" t="str">
        <f>IFERROR(__xludf.DUMMYFUNCTION("""COMPUTED_VALUE"""),"")</f>
        <v/>
      </c>
      <c r="V56" t="str">
        <f>IFERROR(__xludf.DUMMYFUNCTION("""COMPUTED_VALUE"""),"1")</f>
        <v>1</v>
      </c>
      <c r="W56" t="str">
        <f>IFERROR(__xludf.DUMMYFUNCTION("""COMPUTED_VALUE"""),"1")</f>
        <v>1</v>
      </c>
      <c r="X56" t="str">
        <f>IFERROR(__xludf.DUMMYFUNCTION("""COMPUTED_VALUE"""),"2")</f>
        <v>2</v>
      </c>
      <c r="Y56" t="str">
        <f>IFERROR(__xludf.DUMMYFUNCTION("""COMPUTED_VALUE"""),"0")</f>
        <v>0</v>
      </c>
      <c r="Z56" t="str">
        <f>IFERROR(__xludf.DUMMYFUNCTION("""COMPUTED_VALUE"""),"0")</f>
        <v>0</v>
      </c>
      <c r="AA56" t="str">
        <f>IFERROR(__xludf.DUMMYFUNCTION("""COMPUTED_VALUE"""),"0")</f>
        <v>0</v>
      </c>
      <c r="AB56" t="str">
        <f>IFERROR(__xludf.DUMMYFUNCTION("""COMPUTED_VALUE"""),"0")</f>
        <v>0</v>
      </c>
      <c r="AC56" t="str">
        <f>IFERROR(__xludf.DUMMYFUNCTION("""COMPUTED_VALUE"""),"1")</f>
        <v>1</v>
      </c>
      <c r="AD56" t="str">
        <f>IFERROR(__xludf.DUMMYFUNCTION("""COMPUTED_VALUE"""),"3")</f>
        <v>3</v>
      </c>
      <c r="AE56" t="str">
        <f>IFERROR(__xludf.DUMMYFUNCTION("""COMPUTED_VALUE"""),"0")</f>
        <v>0</v>
      </c>
      <c r="AF56" t="str">
        <f>IFERROR(__xludf.DUMMYFUNCTION("""COMPUTED_VALUE"""),"")</f>
        <v/>
      </c>
    </row>
    <row r="57">
      <c r="A57" t="str">
        <f>IFERROR(__xludf.DUMMYFUNCTION("""COMPUTED_VALUE"""),"56")</f>
        <v>56</v>
      </c>
      <c r="B57" s="2" t="str">
        <f>IFERROR(__xludf.DUMMYFUNCTION("""COMPUTED_VALUE"""),"Luka Garza")</f>
        <v>Luka Garza</v>
      </c>
      <c r="C57" t="str">
        <f>IFERROR(__xludf.DUMMYFUNCTION("""COMPUTED_VALUE"""),"28")</f>
        <v>28</v>
      </c>
      <c r="D57" t="str">
        <f>IFERROR(__xludf.DUMMYFUNCTION("""COMPUTED_VALUE"""),"BOS")</f>
        <v>BOS</v>
      </c>
      <c r="E57" t="str">
        <f>IFERROR(__xludf.DUMMYFUNCTION("""COMPUTED_VALUE"""),"C")</f>
        <v>C</v>
      </c>
      <c r="F57" t="str">
        <f>IFERROR(__xludf.DUMMYFUNCTION("""COMPUTED_VALUE"""),"1")</f>
        <v>1</v>
      </c>
      <c r="G57" t="str">
        <f>IFERROR(__xludf.DUMMYFUNCTION("""COMPUTED_VALUE"""),"0")</f>
        <v>0</v>
      </c>
      <c r="H57" t="str">
        <f>IFERROR(__xludf.DUMMYFUNCTION("""COMPUTED_VALUE"""),"8")</f>
        <v>8</v>
      </c>
      <c r="I57" t="str">
        <f>IFERROR(__xludf.DUMMYFUNCTION("""COMPUTED_VALUE"""),"1")</f>
        <v>1</v>
      </c>
      <c r="J57" t="str">
        <f>IFERROR(__xludf.DUMMYFUNCTION("""COMPUTED_VALUE"""),"3")</f>
        <v>3</v>
      </c>
      <c r="K57" t="str">
        <f>IFERROR(__xludf.DUMMYFUNCTION("""COMPUTED_VALUE"""),"0.333")</f>
        <v>0.333</v>
      </c>
      <c r="L57" t="str">
        <f>IFERROR(__xludf.DUMMYFUNCTION("""COMPUTED_VALUE"""),"0")</f>
        <v>0</v>
      </c>
      <c r="M57" t="str">
        <f>IFERROR(__xludf.DUMMYFUNCTION("""COMPUTED_VALUE"""),"2")</f>
        <v>2</v>
      </c>
      <c r="N57" t="str">
        <f>IFERROR(__xludf.DUMMYFUNCTION("""COMPUTED_VALUE"""),"0")</f>
        <v>0</v>
      </c>
      <c r="O57" t="str">
        <f>IFERROR(__xludf.DUMMYFUNCTION("""COMPUTED_VALUE"""),"1")</f>
        <v>1</v>
      </c>
      <c r="P57" t="str">
        <f>IFERROR(__xludf.DUMMYFUNCTION("""COMPUTED_VALUE"""),"1")</f>
        <v>1</v>
      </c>
      <c r="Q57" t="str">
        <f>IFERROR(__xludf.DUMMYFUNCTION("""COMPUTED_VALUE"""),"1")</f>
        <v>1</v>
      </c>
      <c r="R57" t="str">
        <f>IFERROR(__xludf.DUMMYFUNCTION("""COMPUTED_VALUE"""),"0.333")</f>
        <v>0.333</v>
      </c>
      <c r="S57" t="str">
        <f>IFERROR(__xludf.DUMMYFUNCTION("""COMPUTED_VALUE"""),"0")</f>
        <v>0</v>
      </c>
      <c r="T57" t="str">
        <f>IFERROR(__xludf.DUMMYFUNCTION("""COMPUTED_VALUE"""),"0")</f>
        <v>0</v>
      </c>
      <c r="U57" t="str">
        <f>IFERROR(__xludf.DUMMYFUNCTION("""COMPUTED_VALUE"""),"")</f>
        <v/>
      </c>
      <c r="V57" t="str">
        <f>IFERROR(__xludf.DUMMYFUNCTION("""COMPUTED_VALUE"""),"2")</f>
        <v>2</v>
      </c>
      <c r="W57" t="str">
        <f>IFERROR(__xludf.DUMMYFUNCTION("""COMPUTED_VALUE"""),"0")</f>
        <v>0</v>
      </c>
      <c r="X57" t="str">
        <f>IFERROR(__xludf.DUMMYFUNCTION("""COMPUTED_VALUE"""),"2")</f>
        <v>2</v>
      </c>
      <c r="Y57" t="str">
        <f>IFERROR(__xludf.DUMMYFUNCTION("""COMPUTED_VALUE"""),"0")</f>
        <v>0</v>
      </c>
      <c r="Z57" t="str">
        <f>IFERROR(__xludf.DUMMYFUNCTION("""COMPUTED_VALUE"""),"0")</f>
        <v>0</v>
      </c>
      <c r="AA57" t="str">
        <f>IFERROR(__xludf.DUMMYFUNCTION("""COMPUTED_VALUE"""),"0")</f>
        <v>0</v>
      </c>
      <c r="AB57" t="str">
        <f>IFERROR(__xludf.DUMMYFUNCTION("""COMPUTED_VALUE"""),"1")</f>
        <v>1</v>
      </c>
      <c r="AC57" t="str">
        <f>IFERROR(__xludf.DUMMYFUNCTION("""COMPUTED_VALUE"""),"4")</f>
        <v>4</v>
      </c>
      <c r="AD57" t="str">
        <f>IFERROR(__xludf.DUMMYFUNCTION("""COMPUTED_VALUE"""),"2")</f>
        <v>2</v>
      </c>
      <c r="AE57" t="str">
        <f>IFERROR(__xludf.DUMMYFUNCTION("""COMPUTED_VALUE"""),"0")</f>
        <v>0</v>
      </c>
      <c r="AF57" t="str">
        <f>IFERROR(__xludf.DUMMYFUNCTION("""COMPUTED_VALUE"""),"")</f>
        <v/>
      </c>
    </row>
    <row r="58">
      <c r="A58" t="str">
        <f>IFERROR(__xludf.DUMMYFUNCTION("""COMPUTED_VALUE"""),"57")</f>
        <v>57</v>
      </c>
      <c r="B58" s="2" t="str">
        <f>IFERROR(__xludf.DUMMYFUNCTION("""COMPUTED_VALUE"""),"Ja'Kobi Gillespie")</f>
        <v>Ja'Kobi Gillespie</v>
      </c>
      <c r="C58" t="str">
        <f>IFERROR(__xludf.DUMMYFUNCTION("""COMPUTED_VALUE"""),"22")</f>
        <v>22</v>
      </c>
      <c r="D58" t="str">
        <f>IFERROR(__xludf.DUMMYFUNCTION("""COMPUTED_VALUE"""),"SAS")</f>
        <v>SAS</v>
      </c>
      <c r="E58" t="str">
        <f>IFERROR(__xludf.DUMMYFUNCTION("""COMPUTED_VALUE"""),"PG")</f>
        <v>PG</v>
      </c>
      <c r="F58" t="str">
        <f>IFERROR(__xludf.DUMMYFUNCTION("""COMPUTED_VALUE"""),"1")</f>
        <v>1</v>
      </c>
      <c r="G58" t="str">
        <f>IFERROR(__xludf.DUMMYFUNCTION("""COMPUTED_VALUE"""),"0")</f>
        <v>0</v>
      </c>
      <c r="H58" t="str">
        <f>IFERROR(__xludf.DUMMYFUNCTION("""COMPUTED_VALUE"""),"1")</f>
        <v>1</v>
      </c>
      <c r="I58" t="str">
        <f>IFERROR(__xludf.DUMMYFUNCTION("""COMPUTED_VALUE"""),"1")</f>
        <v>1</v>
      </c>
      <c r="J58" t="str">
        <f>IFERROR(__xludf.DUMMYFUNCTION("""COMPUTED_VALUE"""),"2")</f>
        <v>2</v>
      </c>
      <c r="K58" t="str">
        <f>IFERROR(__xludf.DUMMYFUNCTION("""COMPUTED_VALUE"""),"0.5")</f>
        <v>0.5</v>
      </c>
      <c r="L58" t="str">
        <f>IFERROR(__xludf.DUMMYFUNCTION("""COMPUTED_VALUE"""),"0")</f>
        <v>0</v>
      </c>
      <c r="M58" t="str">
        <f>IFERROR(__xludf.DUMMYFUNCTION("""COMPUTED_VALUE"""),"1")</f>
        <v>1</v>
      </c>
      <c r="N58" t="str">
        <f>IFERROR(__xludf.DUMMYFUNCTION("""COMPUTED_VALUE"""),"0")</f>
        <v>0</v>
      </c>
      <c r="O58" t="str">
        <f>IFERROR(__xludf.DUMMYFUNCTION("""COMPUTED_VALUE"""),"1")</f>
        <v>1</v>
      </c>
      <c r="P58" t="str">
        <f>IFERROR(__xludf.DUMMYFUNCTION("""COMPUTED_VALUE"""),"1")</f>
        <v>1</v>
      </c>
      <c r="Q58" t="str">
        <f>IFERROR(__xludf.DUMMYFUNCTION("""COMPUTED_VALUE"""),"1")</f>
        <v>1</v>
      </c>
      <c r="R58" t="str">
        <f>IFERROR(__xludf.DUMMYFUNCTION("""COMPUTED_VALUE"""),"0.5")</f>
        <v>0.5</v>
      </c>
      <c r="S58" t="str">
        <f>IFERROR(__xludf.DUMMYFUNCTION("""COMPUTED_VALUE"""),"0")</f>
        <v>0</v>
      </c>
      <c r="T58" t="str">
        <f>IFERROR(__xludf.DUMMYFUNCTION("""COMPUTED_VALUE"""),"0")</f>
        <v>0</v>
      </c>
      <c r="U58" t="str">
        <f>IFERROR(__xludf.DUMMYFUNCTION("""COMPUTED_VALUE"""),"")</f>
        <v/>
      </c>
      <c r="V58" t="str">
        <f>IFERROR(__xludf.DUMMYFUNCTION("""COMPUTED_VALUE"""),"0")</f>
        <v>0</v>
      </c>
      <c r="W58" t="str">
        <f>IFERROR(__xludf.DUMMYFUNCTION("""COMPUTED_VALUE"""),"0")</f>
        <v>0</v>
      </c>
      <c r="X58" t="str">
        <f>IFERROR(__xludf.DUMMYFUNCTION("""COMPUTED_VALUE"""),"0")</f>
        <v>0</v>
      </c>
      <c r="Y58" t="str">
        <f>IFERROR(__xludf.DUMMYFUNCTION("""COMPUTED_VALUE"""),"0")</f>
        <v>0</v>
      </c>
      <c r="Z58" t="str">
        <f>IFERROR(__xludf.DUMMYFUNCTION("""COMPUTED_VALUE"""),"0")</f>
        <v>0</v>
      </c>
      <c r="AA58" t="str">
        <f>IFERROR(__xludf.DUMMYFUNCTION("""COMPUTED_VALUE"""),"0")</f>
        <v>0</v>
      </c>
      <c r="AB58" t="str">
        <f>IFERROR(__xludf.DUMMYFUNCTION("""COMPUTED_VALUE"""),"0")</f>
        <v>0</v>
      </c>
      <c r="AC58" t="str">
        <f>IFERROR(__xludf.DUMMYFUNCTION("""COMPUTED_VALUE"""),"0")</f>
        <v>0</v>
      </c>
      <c r="AD58" t="str">
        <f>IFERROR(__xludf.DUMMYFUNCTION("""COMPUTED_VALUE"""),"2")</f>
        <v>2</v>
      </c>
      <c r="AE58" t="str">
        <f>IFERROR(__xludf.DUMMYFUNCTION("""COMPUTED_VALUE"""),"0")</f>
        <v>0</v>
      </c>
      <c r="AF58" t="str">
        <f>IFERROR(__xludf.DUMMYFUNCTION("""COMPUTED_VALUE"""),"")</f>
        <v/>
      </c>
    </row>
    <row r="59">
      <c r="A59" t="str">
        <f>IFERROR(__xludf.DUMMYFUNCTION("""COMPUTED_VALUE"""),"58")</f>
        <v>58</v>
      </c>
      <c r="B59" s="2" t="str">
        <f>IFERROR(__xludf.DUMMYFUNCTION("""COMPUTED_VALUE"""),"David Jones García")</f>
        <v>David Jones García</v>
      </c>
      <c r="C59" t="str">
        <f>IFERROR(__xludf.DUMMYFUNCTION("""COMPUTED_VALUE"""),"25")</f>
        <v>25</v>
      </c>
      <c r="D59" t="str">
        <f>IFERROR(__xludf.DUMMYFUNCTION("""COMPUTED_VALUE"""),"SAS")</f>
        <v>SAS</v>
      </c>
      <c r="E59" t="str">
        <f>IFERROR(__xludf.DUMMYFUNCTION("""COMPUTED_VALUE"""),"SF")</f>
        <v>SF</v>
      </c>
      <c r="F59" t="str">
        <f>IFERROR(__xludf.DUMMYFUNCTION("""COMPUTED_VALUE"""),"1")</f>
        <v>1</v>
      </c>
      <c r="G59" t="str">
        <f>IFERROR(__xludf.DUMMYFUNCTION("""COMPUTED_VALUE"""),"0")</f>
        <v>0</v>
      </c>
      <c r="H59" t="str">
        <f>IFERROR(__xludf.DUMMYFUNCTION("""COMPUTED_VALUE"""),"1")</f>
        <v>1</v>
      </c>
      <c r="I59" t="str">
        <f>IFERROR(__xludf.DUMMYFUNCTION("""COMPUTED_VALUE"""),"0")</f>
        <v>0</v>
      </c>
      <c r="J59" t="str">
        <f>IFERROR(__xludf.DUMMYFUNCTION("""COMPUTED_VALUE"""),"1")</f>
        <v>1</v>
      </c>
      <c r="K59" t="str">
        <f>IFERROR(__xludf.DUMMYFUNCTION("""COMPUTED_VALUE"""),"0")</f>
        <v>0</v>
      </c>
      <c r="L59" t="str">
        <f>IFERROR(__xludf.DUMMYFUNCTION("""COMPUTED_VALUE"""),"0")</f>
        <v>0</v>
      </c>
      <c r="M59" t="str">
        <f>IFERROR(__xludf.DUMMYFUNCTION("""COMPUTED_VALUE"""),"0")</f>
        <v>0</v>
      </c>
      <c r="N59" t="str">
        <f>IFERROR(__xludf.DUMMYFUNCTION("""COMPUTED_VALUE"""),"")</f>
        <v/>
      </c>
      <c r="O59" t="str">
        <f>IFERROR(__xludf.DUMMYFUNCTION("""COMPUTED_VALUE"""),"0")</f>
        <v>0</v>
      </c>
      <c r="P59" t="str">
        <f>IFERROR(__xludf.DUMMYFUNCTION("""COMPUTED_VALUE"""),"1")</f>
        <v>1</v>
      </c>
      <c r="Q59" t="str">
        <f>IFERROR(__xludf.DUMMYFUNCTION("""COMPUTED_VALUE"""),"0")</f>
        <v>0</v>
      </c>
      <c r="R59" t="str">
        <f>IFERROR(__xludf.DUMMYFUNCTION("""COMPUTED_VALUE"""),"0")</f>
        <v>0</v>
      </c>
      <c r="S59" t="str">
        <f>IFERROR(__xludf.DUMMYFUNCTION("""COMPUTED_VALUE"""),"2")</f>
        <v>2</v>
      </c>
      <c r="T59" t="str">
        <f>IFERROR(__xludf.DUMMYFUNCTION("""COMPUTED_VALUE"""),"2")</f>
        <v>2</v>
      </c>
      <c r="U59" t="str">
        <f>IFERROR(__xludf.DUMMYFUNCTION("""COMPUTED_VALUE"""),"1.000")</f>
        <v>1.000</v>
      </c>
      <c r="V59" t="str">
        <f>IFERROR(__xludf.DUMMYFUNCTION("""COMPUTED_VALUE"""),"0")</f>
        <v>0</v>
      </c>
      <c r="W59" t="str">
        <f>IFERROR(__xludf.DUMMYFUNCTION("""COMPUTED_VALUE"""),"0")</f>
        <v>0</v>
      </c>
      <c r="X59" t="str">
        <f>IFERROR(__xludf.DUMMYFUNCTION("""COMPUTED_VALUE"""),"0")</f>
        <v>0</v>
      </c>
      <c r="Y59" t="str">
        <f>IFERROR(__xludf.DUMMYFUNCTION("""COMPUTED_VALUE"""),"0")</f>
        <v>0</v>
      </c>
      <c r="Z59" t="str">
        <f>IFERROR(__xludf.DUMMYFUNCTION("""COMPUTED_VALUE"""),"0")</f>
        <v>0</v>
      </c>
      <c r="AA59" t="str">
        <f>IFERROR(__xludf.DUMMYFUNCTION("""COMPUTED_VALUE"""),"0")</f>
        <v>0</v>
      </c>
      <c r="AB59" t="str">
        <f>IFERROR(__xludf.DUMMYFUNCTION("""COMPUTED_VALUE"""),"0")</f>
        <v>0</v>
      </c>
      <c r="AC59" t="str">
        <f>IFERROR(__xludf.DUMMYFUNCTION("""COMPUTED_VALUE"""),"0")</f>
        <v>0</v>
      </c>
      <c r="AD59" t="str">
        <f>IFERROR(__xludf.DUMMYFUNCTION("""COMPUTED_VALUE"""),"2")</f>
        <v>2</v>
      </c>
      <c r="AE59" t="str">
        <f>IFERROR(__xludf.DUMMYFUNCTION("""COMPUTED_VALUE"""),"0")</f>
        <v>0</v>
      </c>
      <c r="AF59" t="str">
        <f>IFERROR(__xludf.DUMMYFUNCTION("""COMPUTED_VALUE"""),"")</f>
        <v/>
      </c>
    </row>
    <row r="60">
      <c r="A60" t="str">
        <f>IFERROR(__xludf.DUMMYFUNCTION("""COMPUTED_VALUE"""),"59")</f>
        <v>59</v>
      </c>
      <c r="B60" s="2" t="str">
        <f>IFERROR(__xludf.DUMMYFUNCTION("""COMPUTED_VALUE"""),"Brooks Barnhizer")</f>
        <v>Brooks Barnhizer</v>
      </c>
      <c r="C60" t="str">
        <f>IFERROR(__xludf.DUMMYFUNCTION("""COMPUTED_VALUE"""),"24")</f>
        <v>24</v>
      </c>
      <c r="D60" t="str">
        <f>IFERROR(__xludf.DUMMYFUNCTION("""COMPUTED_VALUE"""),"OKC")</f>
        <v>OKC</v>
      </c>
      <c r="E60" t="str">
        <f>IFERROR(__xludf.DUMMYFUNCTION("""COMPUTED_VALUE"""),"SG")</f>
        <v>SG</v>
      </c>
      <c r="F60" t="str">
        <f>IFERROR(__xludf.DUMMYFUNCTION("""COMPUTED_VALUE"""),"1")</f>
        <v>1</v>
      </c>
      <c r="G60" t="str">
        <f>IFERROR(__xludf.DUMMYFUNCTION("""COMPUTED_VALUE"""),"0")</f>
        <v>0</v>
      </c>
      <c r="H60" t="str">
        <f>IFERROR(__xludf.DUMMYFUNCTION("""COMPUTED_VALUE"""),"1")</f>
        <v>1</v>
      </c>
      <c r="I60" t="str">
        <f>IFERROR(__xludf.DUMMYFUNCTION("""COMPUTED_VALUE"""),"0")</f>
        <v>0</v>
      </c>
      <c r="J60" t="str">
        <f>IFERROR(__xludf.DUMMYFUNCTION("""COMPUTED_VALUE"""),"0")</f>
        <v>0</v>
      </c>
      <c r="K60" t="str">
        <f>IFERROR(__xludf.DUMMYFUNCTION("""COMPUTED_VALUE"""),"")</f>
        <v/>
      </c>
      <c r="L60" t="str">
        <f>IFERROR(__xludf.DUMMYFUNCTION("""COMPUTED_VALUE"""),"0")</f>
        <v>0</v>
      </c>
      <c r="M60" t="str">
        <f>IFERROR(__xludf.DUMMYFUNCTION("""COMPUTED_VALUE"""),"0")</f>
        <v>0</v>
      </c>
      <c r="N60" t="str">
        <f>IFERROR(__xludf.DUMMYFUNCTION("""COMPUTED_VALUE"""),"")</f>
        <v/>
      </c>
      <c r="O60" t="str">
        <f>IFERROR(__xludf.DUMMYFUNCTION("""COMPUTED_VALUE"""),"0")</f>
        <v>0</v>
      </c>
      <c r="P60" t="str">
        <f>IFERROR(__xludf.DUMMYFUNCTION("""COMPUTED_VALUE"""),"0")</f>
        <v>0</v>
      </c>
      <c r="Q60" t="str">
        <f>IFERROR(__xludf.DUMMYFUNCTION("""COMPUTED_VALUE"""),"")</f>
        <v/>
      </c>
      <c r="R60" t="str">
        <f>IFERROR(__xludf.DUMMYFUNCTION("""COMPUTED_VALUE"""),"")</f>
        <v/>
      </c>
      <c r="S60" t="str">
        <f>IFERROR(__xludf.DUMMYFUNCTION("""COMPUTED_VALUE"""),"0")</f>
        <v>0</v>
      </c>
      <c r="T60" t="str">
        <f>IFERROR(__xludf.DUMMYFUNCTION("""COMPUTED_VALUE"""),"0")</f>
        <v>0</v>
      </c>
      <c r="U60" t="str">
        <f>IFERROR(__xludf.DUMMYFUNCTION("""COMPUTED_VALUE"""),"")</f>
        <v/>
      </c>
      <c r="V60" t="str">
        <f>IFERROR(__xludf.DUMMYFUNCTION("""COMPUTED_VALUE"""),"0")</f>
        <v>0</v>
      </c>
      <c r="W60" t="str">
        <f>IFERROR(__xludf.DUMMYFUNCTION("""COMPUTED_VALUE"""),"0")</f>
        <v>0</v>
      </c>
      <c r="X60" t="str">
        <f>IFERROR(__xludf.DUMMYFUNCTION("""COMPUTED_VALUE"""),"0")</f>
        <v>0</v>
      </c>
      <c r="Y60" t="str">
        <f>IFERROR(__xludf.DUMMYFUNCTION("""COMPUTED_VALUE"""),"0")</f>
        <v>0</v>
      </c>
      <c r="Z60" t="str">
        <f>IFERROR(__xludf.DUMMYFUNCTION("""COMPUTED_VALUE"""),"0")</f>
        <v>0</v>
      </c>
      <c r="AA60" t="str">
        <f>IFERROR(__xludf.DUMMYFUNCTION("""COMPUTED_VALUE"""),"0")</f>
        <v>0</v>
      </c>
      <c r="AB60" t="str">
        <f>IFERROR(__xludf.DUMMYFUNCTION("""COMPUTED_VALUE"""),"0")</f>
        <v>0</v>
      </c>
      <c r="AC60" t="str">
        <f>IFERROR(__xludf.DUMMYFUNCTION("""COMPUTED_VALUE"""),"0")</f>
        <v>0</v>
      </c>
      <c r="AD60" t="str">
        <f>IFERROR(__xludf.DUMMYFUNCTION("""COMPUTED_VALUE"""),"0")</f>
        <v>0</v>
      </c>
      <c r="AE60" t="str">
        <f>IFERROR(__xludf.DUMMYFUNCTION("""COMPUTED_VALUE"""),"0")</f>
        <v>0</v>
      </c>
      <c r="AF60" t="str">
        <f>IFERROR(__xludf.DUMMYFUNCTION("""COMPUTED_VALUE"""),"")</f>
        <v/>
      </c>
    </row>
    <row r="61">
      <c r="A61" t="str">
        <f>IFERROR(__xludf.DUMMYFUNCTION("""COMPUTED_VALUE"""),"60")</f>
        <v>60</v>
      </c>
      <c r="B61" s="2" t="str">
        <f>IFERROR(__xludf.DUMMYFUNCTION("""COMPUTED_VALUE"""),"Adem Bona")</f>
        <v>Adem Bona</v>
      </c>
      <c r="C61" t="str">
        <f>IFERROR(__xludf.DUMMYFUNCTION("""COMPUTED_VALUE"""),"23")</f>
        <v>23</v>
      </c>
      <c r="D61" t="str">
        <f>IFERROR(__xludf.DUMMYFUNCTION("""COMPUTED_VALUE"""),"PHI")</f>
        <v>PHI</v>
      </c>
      <c r="E61" t="str">
        <f>IFERROR(__xludf.DUMMYFUNCTION("""COMPUTED_VALUE"""),"C")</f>
        <v>C</v>
      </c>
      <c r="F61" t="str">
        <f>IFERROR(__xludf.DUMMYFUNCTION("""COMPUTED_VALUE"""),"1")</f>
        <v>1</v>
      </c>
      <c r="G61" t="str">
        <f>IFERROR(__xludf.DUMMYFUNCTION("""COMPUTED_VALUE"""),"0")</f>
        <v>0</v>
      </c>
      <c r="H61" t="str">
        <f>IFERROR(__xludf.DUMMYFUNCTION("""COMPUTED_VALUE"""),"10")</f>
        <v>10</v>
      </c>
      <c r="I61" t="str">
        <f>IFERROR(__xludf.DUMMYFUNCTION("""COMPUTED_VALUE"""),"0")</f>
        <v>0</v>
      </c>
      <c r="J61" t="str">
        <f>IFERROR(__xludf.DUMMYFUNCTION("""COMPUTED_VALUE"""),"0")</f>
        <v>0</v>
      </c>
      <c r="K61" t="str">
        <f>IFERROR(__xludf.DUMMYFUNCTION("""COMPUTED_VALUE"""),"")</f>
        <v/>
      </c>
      <c r="L61" t="str">
        <f>IFERROR(__xludf.DUMMYFUNCTION("""COMPUTED_VALUE"""),"0")</f>
        <v>0</v>
      </c>
      <c r="M61" t="str">
        <f>IFERROR(__xludf.DUMMYFUNCTION("""COMPUTED_VALUE"""),"0")</f>
        <v>0</v>
      </c>
      <c r="N61" t="str">
        <f>IFERROR(__xludf.DUMMYFUNCTION("""COMPUTED_VALUE"""),"")</f>
        <v/>
      </c>
      <c r="O61" t="str">
        <f>IFERROR(__xludf.DUMMYFUNCTION("""COMPUTED_VALUE"""),"0")</f>
        <v>0</v>
      </c>
      <c r="P61" t="str">
        <f>IFERROR(__xludf.DUMMYFUNCTION("""COMPUTED_VALUE"""),"0")</f>
        <v>0</v>
      </c>
      <c r="Q61" t="str">
        <f>IFERROR(__xludf.DUMMYFUNCTION("""COMPUTED_VALUE"""),"")</f>
        <v/>
      </c>
      <c r="R61" t="str">
        <f>IFERROR(__xludf.DUMMYFUNCTION("""COMPUTED_VALUE"""),"")</f>
        <v/>
      </c>
      <c r="S61" t="str">
        <f>IFERROR(__xludf.DUMMYFUNCTION("""COMPUTED_VALUE"""),"0")</f>
        <v>0</v>
      </c>
      <c r="T61" t="str">
        <f>IFERROR(__xludf.DUMMYFUNCTION("""COMPUTED_VALUE"""),"0")</f>
        <v>0</v>
      </c>
      <c r="U61" t="str">
        <f>IFERROR(__xludf.DUMMYFUNCTION("""COMPUTED_VALUE"""),"")</f>
        <v/>
      </c>
      <c r="V61" t="str">
        <f>IFERROR(__xludf.DUMMYFUNCTION("""COMPUTED_VALUE"""),"0")</f>
        <v>0</v>
      </c>
      <c r="W61" t="str">
        <f>IFERROR(__xludf.DUMMYFUNCTION("""COMPUTED_VALUE"""),"3")</f>
        <v>3</v>
      </c>
      <c r="X61" t="str">
        <f>IFERROR(__xludf.DUMMYFUNCTION("""COMPUTED_VALUE"""),"3")</f>
        <v>3</v>
      </c>
      <c r="Y61" t="str">
        <f>IFERROR(__xludf.DUMMYFUNCTION("""COMPUTED_VALUE"""),"1")</f>
        <v>1</v>
      </c>
      <c r="Z61" t="str">
        <f>IFERROR(__xludf.DUMMYFUNCTION("""COMPUTED_VALUE"""),"0")</f>
        <v>0</v>
      </c>
      <c r="AA61" t="str">
        <f>IFERROR(__xludf.DUMMYFUNCTION("""COMPUTED_VALUE"""),"1")</f>
        <v>1</v>
      </c>
      <c r="AB61" t="str">
        <f>IFERROR(__xludf.DUMMYFUNCTION("""COMPUTED_VALUE"""),"0")</f>
        <v>0</v>
      </c>
      <c r="AC61" t="str">
        <f>IFERROR(__xludf.DUMMYFUNCTION("""COMPUTED_VALUE"""),"2")</f>
        <v>2</v>
      </c>
      <c r="AD61" t="str">
        <f>IFERROR(__xludf.DUMMYFUNCTION("""COMPUTED_VALUE"""),"0")</f>
        <v>0</v>
      </c>
      <c r="AE61" t="str">
        <f>IFERROR(__xludf.DUMMYFUNCTION("""COMPUTED_VALUE"""),"0")</f>
        <v>0</v>
      </c>
      <c r="AF61" t="str">
        <f>IFERROR(__xludf.DUMMYFUNCTION("""COMPUTED_VALUE"""),"")</f>
        <v/>
      </c>
    </row>
    <row r="62">
      <c r="A62" t="str">
        <f>IFERROR(__xludf.DUMMYFUNCTION("""COMPUTED_VALUE"""),"61")</f>
        <v>61</v>
      </c>
      <c r="B62" s="2" t="str">
        <f>IFERROR(__xludf.DUMMYFUNCTION("""COMPUTED_VALUE"""),"Maliq Brown")</f>
        <v>Maliq Brown</v>
      </c>
      <c r="C62" t="str">
        <f>IFERROR(__xludf.DUMMYFUNCTION("""COMPUTED_VALUE"""),"23")</f>
        <v>23</v>
      </c>
      <c r="D62" t="str">
        <f>IFERROR(__xludf.DUMMYFUNCTION("""COMPUTED_VALUE"""),"SAS")</f>
        <v>SAS</v>
      </c>
      <c r="E62" t="str">
        <f>IFERROR(__xludf.DUMMYFUNCTION("""COMPUTED_VALUE"""),"PF")</f>
        <v>PF</v>
      </c>
      <c r="F62" t="str">
        <f>IFERROR(__xludf.DUMMYFUNCTION("""COMPUTED_VALUE"""),"1")</f>
        <v>1</v>
      </c>
      <c r="G62" t="str">
        <f>IFERROR(__xludf.DUMMYFUNCTION("""COMPUTED_VALUE"""),"0")</f>
        <v>0</v>
      </c>
      <c r="H62" t="str">
        <f>IFERROR(__xludf.DUMMYFUNCTION("""COMPUTED_VALUE"""),"1")</f>
        <v>1</v>
      </c>
      <c r="I62" t="str">
        <f>IFERROR(__xludf.DUMMYFUNCTION("""COMPUTED_VALUE"""),"0")</f>
        <v>0</v>
      </c>
      <c r="J62" t="str">
        <f>IFERROR(__xludf.DUMMYFUNCTION("""COMPUTED_VALUE"""),"0")</f>
        <v>0</v>
      </c>
      <c r="K62" t="str">
        <f>IFERROR(__xludf.DUMMYFUNCTION("""COMPUTED_VALUE"""),"")</f>
        <v/>
      </c>
      <c r="L62" t="str">
        <f>IFERROR(__xludf.DUMMYFUNCTION("""COMPUTED_VALUE"""),"0")</f>
        <v>0</v>
      </c>
      <c r="M62" t="str">
        <f>IFERROR(__xludf.DUMMYFUNCTION("""COMPUTED_VALUE"""),"0")</f>
        <v>0</v>
      </c>
      <c r="N62" t="str">
        <f>IFERROR(__xludf.DUMMYFUNCTION("""COMPUTED_VALUE"""),"")</f>
        <v/>
      </c>
      <c r="O62" t="str">
        <f>IFERROR(__xludf.DUMMYFUNCTION("""COMPUTED_VALUE"""),"0")</f>
        <v>0</v>
      </c>
      <c r="P62" t="str">
        <f>IFERROR(__xludf.DUMMYFUNCTION("""COMPUTED_VALUE"""),"0")</f>
        <v>0</v>
      </c>
      <c r="Q62" t="str">
        <f>IFERROR(__xludf.DUMMYFUNCTION("""COMPUTED_VALUE"""),"")</f>
        <v/>
      </c>
      <c r="R62" t="str">
        <f>IFERROR(__xludf.DUMMYFUNCTION("""COMPUTED_VALUE"""),"")</f>
        <v/>
      </c>
      <c r="S62" t="str">
        <f>IFERROR(__xludf.DUMMYFUNCTION("""COMPUTED_VALUE"""),"0")</f>
        <v>0</v>
      </c>
      <c r="T62" t="str">
        <f>IFERROR(__xludf.DUMMYFUNCTION("""COMPUTED_VALUE"""),"0")</f>
        <v>0</v>
      </c>
      <c r="U62" t="str">
        <f>IFERROR(__xludf.DUMMYFUNCTION("""COMPUTED_VALUE"""),"")</f>
        <v/>
      </c>
      <c r="V62" t="str">
        <f>IFERROR(__xludf.DUMMYFUNCTION("""COMPUTED_VALUE"""),"0")</f>
        <v>0</v>
      </c>
      <c r="W62" t="str">
        <f>IFERROR(__xludf.DUMMYFUNCTION("""COMPUTED_VALUE"""),"0")</f>
        <v>0</v>
      </c>
      <c r="X62" t="str">
        <f>IFERROR(__xludf.DUMMYFUNCTION("""COMPUTED_VALUE"""),"0")</f>
        <v>0</v>
      </c>
      <c r="Y62" t="str">
        <f>IFERROR(__xludf.DUMMYFUNCTION("""COMPUTED_VALUE"""),"1")</f>
        <v>1</v>
      </c>
      <c r="Z62" t="str">
        <f>IFERROR(__xludf.DUMMYFUNCTION("""COMPUTED_VALUE"""),"0")</f>
        <v>0</v>
      </c>
      <c r="AA62" t="str">
        <f>IFERROR(__xludf.DUMMYFUNCTION("""COMPUTED_VALUE"""),"0")</f>
        <v>0</v>
      </c>
      <c r="AB62" t="str">
        <f>IFERROR(__xludf.DUMMYFUNCTION("""COMPUTED_VALUE"""),"0")</f>
        <v>0</v>
      </c>
      <c r="AC62" t="str">
        <f>IFERROR(__xludf.DUMMYFUNCTION("""COMPUTED_VALUE"""),"0")</f>
        <v>0</v>
      </c>
      <c r="AD62" t="str">
        <f>IFERROR(__xludf.DUMMYFUNCTION("""COMPUTED_VALUE"""),"0")</f>
        <v>0</v>
      </c>
      <c r="AE62" t="str">
        <f>IFERROR(__xludf.DUMMYFUNCTION("""COMPUTED_VALUE"""),"0")</f>
        <v>0</v>
      </c>
      <c r="AF62" t="str">
        <f>IFERROR(__xludf.DUMMYFUNCTION("""COMPUTED_VALUE"""),"")</f>
        <v/>
      </c>
    </row>
    <row r="63">
      <c r="A63" t="str">
        <f>IFERROR(__xludf.DUMMYFUNCTION("""COMPUTED_VALUE"""),"62")</f>
        <v>62</v>
      </c>
      <c r="B63" s="2" t="str">
        <f>IFERROR(__xludf.DUMMYFUNCTION("""COMPUTED_VALUE"""),"Carter Bryant")</f>
        <v>Carter Bryant</v>
      </c>
      <c r="C63" t="str">
        <f>IFERROR(__xludf.DUMMYFUNCTION("""COMPUTED_VALUE"""),"21")</f>
        <v>21</v>
      </c>
      <c r="D63" t="str">
        <f>IFERROR(__xludf.DUMMYFUNCTION("""COMPUTED_VALUE"""),"SAS")</f>
        <v>SAS</v>
      </c>
      <c r="E63" t="str">
        <f>IFERROR(__xludf.DUMMYFUNCTION("""COMPUTED_VALUE"""),"PF")</f>
        <v>PF</v>
      </c>
      <c r="F63" t="str">
        <f>IFERROR(__xludf.DUMMYFUNCTION("""COMPUTED_VALUE"""),"1")</f>
        <v>1</v>
      </c>
      <c r="G63" t="str">
        <f>IFERROR(__xludf.DUMMYFUNCTION("""COMPUTED_VALUE"""),"0")</f>
        <v>0</v>
      </c>
      <c r="H63" t="str">
        <f>IFERROR(__xludf.DUMMYFUNCTION("""COMPUTED_VALUE"""),"6")</f>
        <v>6</v>
      </c>
      <c r="I63" t="str">
        <f>IFERROR(__xludf.DUMMYFUNCTION("""COMPUTED_VALUE"""),"0")</f>
        <v>0</v>
      </c>
      <c r="J63" t="str">
        <f>IFERROR(__xludf.DUMMYFUNCTION("""COMPUTED_VALUE"""),"3")</f>
        <v>3</v>
      </c>
      <c r="K63" t="str">
        <f>IFERROR(__xludf.DUMMYFUNCTION("""COMPUTED_VALUE"""),"0")</f>
        <v>0</v>
      </c>
      <c r="L63" t="str">
        <f>IFERROR(__xludf.DUMMYFUNCTION("""COMPUTED_VALUE"""),"0")</f>
        <v>0</v>
      </c>
      <c r="M63" t="str">
        <f>IFERROR(__xludf.DUMMYFUNCTION("""COMPUTED_VALUE"""),"3")</f>
        <v>3</v>
      </c>
      <c r="N63" t="str">
        <f>IFERROR(__xludf.DUMMYFUNCTION("""COMPUTED_VALUE"""),"0")</f>
        <v>0</v>
      </c>
      <c r="O63" t="str">
        <f>IFERROR(__xludf.DUMMYFUNCTION("""COMPUTED_VALUE"""),"0")</f>
        <v>0</v>
      </c>
      <c r="P63" t="str">
        <f>IFERROR(__xludf.DUMMYFUNCTION("""COMPUTED_VALUE"""),"0")</f>
        <v>0</v>
      </c>
      <c r="Q63" t="str">
        <f>IFERROR(__xludf.DUMMYFUNCTION("""COMPUTED_VALUE"""),"")</f>
        <v/>
      </c>
      <c r="R63" t="str">
        <f>IFERROR(__xludf.DUMMYFUNCTION("""COMPUTED_VALUE"""),"0")</f>
        <v>0</v>
      </c>
      <c r="S63" t="str">
        <f>IFERROR(__xludf.DUMMYFUNCTION("""COMPUTED_VALUE"""),"0")</f>
        <v>0</v>
      </c>
      <c r="T63" t="str">
        <f>IFERROR(__xludf.DUMMYFUNCTION("""COMPUTED_VALUE"""),"0")</f>
        <v>0</v>
      </c>
      <c r="U63" t="str">
        <f>IFERROR(__xludf.DUMMYFUNCTION("""COMPUTED_VALUE"""),"")</f>
        <v/>
      </c>
      <c r="V63" t="str">
        <f>IFERROR(__xludf.DUMMYFUNCTION("""COMPUTED_VALUE"""),"0")</f>
        <v>0</v>
      </c>
      <c r="W63" t="str">
        <f>IFERROR(__xludf.DUMMYFUNCTION("""COMPUTED_VALUE"""),"0")</f>
        <v>0</v>
      </c>
      <c r="X63" t="str">
        <f>IFERROR(__xludf.DUMMYFUNCTION("""COMPUTED_VALUE"""),"0")</f>
        <v>0</v>
      </c>
      <c r="Y63" t="str">
        <f>IFERROR(__xludf.DUMMYFUNCTION("""COMPUTED_VALUE"""),"1")</f>
        <v>1</v>
      </c>
      <c r="Z63" t="str">
        <f>IFERROR(__xludf.DUMMYFUNCTION("""COMPUTED_VALUE"""),"0")</f>
        <v>0</v>
      </c>
      <c r="AA63" t="str">
        <f>IFERROR(__xludf.DUMMYFUNCTION("""COMPUTED_VALUE"""),"0")</f>
        <v>0</v>
      </c>
      <c r="AB63" t="str">
        <f>IFERROR(__xludf.DUMMYFUNCTION("""COMPUTED_VALUE"""),"0")</f>
        <v>0</v>
      </c>
      <c r="AC63" t="str">
        <f>IFERROR(__xludf.DUMMYFUNCTION("""COMPUTED_VALUE"""),"1")</f>
        <v>1</v>
      </c>
      <c r="AD63" t="str">
        <f>IFERROR(__xludf.DUMMYFUNCTION("""COMPUTED_VALUE"""),"0")</f>
        <v>0</v>
      </c>
      <c r="AE63" t="str">
        <f>IFERROR(__xludf.DUMMYFUNCTION("""COMPUTED_VALUE"""),"0")</f>
        <v>0</v>
      </c>
      <c r="AF63" t="str">
        <f>IFERROR(__xludf.DUMMYFUNCTION("""COMPUTED_VALUE"""),"")</f>
        <v/>
      </c>
    </row>
    <row r="64">
      <c r="A64" t="str">
        <f>IFERROR(__xludf.DUMMYFUNCTION("""COMPUTED_VALUE"""),"63")</f>
        <v>63</v>
      </c>
      <c r="B64" s="2" t="str">
        <f>IFERROR(__xludf.DUMMYFUNCTION("""COMPUTED_VALUE"""),"Hugo González")</f>
        <v>Hugo González</v>
      </c>
      <c r="C64" t="str">
        <f>IFERROR(__xludf.DUMMYFUNCTION("""COMPUTED_VALUE"""),"20")</f>
        <v>20</v>
      </c>
      <c r="D64" t="str">
        <f>IFERROR(__xludf.DUMMYFUNCTION("""COMPUTED_VALUE"""),"BOS")</f>
        <v>BOS</v>
      </c>
      <c r="E64" t="str">
        <f>IFERROR(__xludf.DUMMYFUNCTION("""COMPUTED_VALUE"""),"SG")</f>
        <v>SG</v>
      </c>
      <c r="F64" t="str">
        <f>IFERROR(__xludf.DUMMYFUNCTION("""COMPUTED_VALUE"""),"1")</f>
        <v>1</v>
      </c>
      <c r="G64" t="str">
        <f>IFERROR(__xludf.DUMMYFUNCTION("""COMPUTED_VALUE"""),"0")</f>
        <v>0</v>
      </c>
      <c r="H64" t="str">
        <f>IFERROR(__xludf.DUMMYFUNCTION("""COMPUTED_VALUE"""),"10")</f>
        <v>10</v>
      </c>
      <c r="I64" t="str">
        <f>IFERROR(__xludf.DUMMYFUNCTION("""COMPUTED_VALUE"""),"0")</f>
        <v>0</v>
      </c>
      <c r="J64" t="str">
        <f>IFERROR(__xludf.DUMMYFUNCTION("""COMPUTED_VALUE"""),"1")</f>
        <v>1</v>
      </c>
      <c r="K64" t="str">
        <f>IFERROR(__xludf.DUMMYFUNCTION("""COMPUTED_VALUE"""),"0")</f>
        <v>0</v>
      </c>
      <c r="L64" t="str">
        <f>IFERROR(__xludf.DUMMYFUNCTION("""COMPUTED_VALUE"""),"0")</f>
        <v>0</v>
      </c>
      <c r="M64" t="str">
        <f>IFERROR(__xludf.DUMMYFUNCTION("""COMPUTED_VALUE"""),"1")</f>
        <v>1</v>
      </c>
      <c r="N64" t="str">
        <f>IFERROR(__xludf.DUMMYFUNCTION("""COMPUTED_VALUE"""),"0")</f>
        <v>0</v>
      </c>
      <c r="O64" t="str">
        <f>IFERROR(__xludf.DUMMYFUNCTION("""COMPUTED_VALUE"""),"0")</f>
        <v>0</v>
      </c>
      <c r="P64" t="str">
        <f>IFERROR(__xludf.DUMMYFUNCTION("""COMPUTED_VALUE"""),"0")</f>
        <v>0</v>
      </c>
      <c r="Q64" t="str">
        <f>IFERROR(__xludf.DUMMYFUNCTION("""COMPUTED_VALUE"""),"")</f>
        <v/>
      </c>
      <c r="R64" t="str">
        <f>IFERROR(__xludf.DUMMYFUNCTION("""COMPUTED_VALUE"""),"0")</f>
        <v>0</v>
      </c>
      <c r="S64" t="str">
        <f>IFERROR(__xludf.DUMMYFUNCTION("""COMPUTED_VALUE"""),"0")</f>
        <v>0</v>
      </c>
      <c r="T64" t="str">
        <f>IFERROR(__xludf.DUMMYFUNCTION("""COMPUTED_VALUE"""),"0")</f>
        <v>0</v>
      </c>
      <c r="U64" t="str">
        <f>IFERROR(__xludf.DUMMYFUNCTION("""COMPUTED_VALUE"""),"")</f>
        <v/>
      </c>
      <c r="V64" t="str">
        <f>IFERROR(__xludf.DUMMYFUNCTION("""COMPUTED_VALUE"""),"0")</f>
        <v>0</v>
      </c>
      <c r="W64" t="str">
        <f>IFERROR(__xludf.DUMMYFUNCTION("""COMPUTED_VALUE"""),"3")</f>
        <v>3</v>
      </c>
      <c r="X64" t="str">
        <f>IFERROR(__xludf.DUMMYFUNCTION("""COMPUTED_VALUE"""),"3")</f>
        <v>3</v>
      </c>
      <c r="Y64" t="str">
        <f>IFERROR(__xludf.DUMMYFUNCTION("""COMPUTED_VALUE"""),"0")</f>
        <v>0</v>
      </c>
      <c r="Z64" t="str">
        <f>IFERROR(__xludf.DUMMYFUNCTION("""COMPUTED_VALUE"""),"0")</f>
        <v>0</v>
      </c>
      <c r="AA64" t="str">
        <f>IFERROR(__xludf.DUMMYFUNCTION("""COMPUTED_VALUE"""),"0")</f>
        <v>0</v>
      </c>
      <c r="AB64" t="str">
        <f>IFERROR(__xludf.DUMMYFUNCTION("""COMPUTED_VALUE"""),"0")</f>
        <v>0</v>
      </c>
      <c r="AC64" t="str">
        <f>IFERROR(__xludf.DUMMYFUNCTION("""COMPUTED_VALUE"""),"0")</f>
        <v>0</v>
      </c>
      <c r="AD64" t="str">
        <f>IFERROR(__xludf.DUMMYFUNCTION("""COMPUTED_VALUE"""),"0")</f>
        <v>0</v>
      </c>
      <c r="AE64" t="str">
        <f>IFERROR(__xludf.DUMMYFUNCTION("""COMPUTED_VALUE"""),"0")</f>
        <v>0</v>
      </c>
      <c r="AF64" t="str">
        <f>IFERROR(__xludf.DUMMYFUNCTION("""COMPUTED_VALUE"""),"")</f>
        <v/>
      </c>
    </row>
    <row r="65">
      <c r="A65" t="str">
        <f>IFERROR(__xludf.DUMMYFUNCTION("""COMPUTED_VALUE"""),"64")</f>
        <v>64</v>
      </c>
      <c r="B65" s="2" t="str">
        <f>IFERROR(__xludf.DUMMYFUNCTION("""COMPUTED_VALUE"""),"Ron Holland")</f>
        <v>Ron Holland</v>
      </c>
      <c r="C65" t="str">
        <f>IFERROR(__xludf.DUMMYFUNCTION("""COMPUTED_VALUE"""),"21")</f>
        <v>21</v>
      </c>
      <c r="D65" t="str">
        <f>IFERROR(__xludf.DUMMYFUNCTION("""COMPUTED_VALUE"""),"DET")</f>
        <v>DET</v>
      </c>
      <c r="E65" t="str">
        <f>IFERROR(__xludf.DUMMYFUNCTION("""COMPUTED_VALUE"""),"SF")</f>
        <v>SF</v>
      </c>
      <c r="F65" t="str">
        <f>IFERROR(__xludf.DUMMYFUNCTION("""COMPUTED_VALUE"""),"1")</f>
        <v>1</v>
      </c>
      <c r="G65" t="str">
        <f>IFERROR(__xludf.DUMMYFUNCTION("""COMPUTED_VALUE"""),"0")</f>
        <v>0</v>
      </c>
      <c r="H65" t="str">
        <f>IFERROR(__xludf.DUMMYFUNCTION("""COMPUTED_VALUE"""),"3")</f>
        <v>3</v>
      </c>
      <c r="I65" t="str">
        <f>IFERROR(__xludf.DUMMYFUNCTION("""COMPUTED_VALUE"""),"0")</f>
        <v>0</v>
      </c>
      <c r="J65" t="str">
        <f>IFERROR(__xludf.DUMMYFUNCTION("""COMPUTED_VALUE"""),"1")</f>
        <v>1</v>
      </c>
      <c r="K65" t="str">
        <f>IFERROR(__xludf.DUMMYFUNCTION("""COMPUTED_VALUE"""),"0")</f>
        <v>0</v>
      </c>
      <c r="L65" t="str">
        <f>IFERROR(__xludf.DUMMYFUNCTION("""COMPUTED_VALUE"""),"0")</f>
        <v>0</v>
      </c>
      <c r="M65" t="str">
        <f>IFERROR(__xludf.DUMMYFUNCTION("""COMPUTED_VALUE"""),"1")</f>
        <v>1</v>
      </c>
      <c r="N65" t="str">
        <f>IFERROR(__xludf.DUMMYFUNCTION("""COMPUTED_VALUE"""),"0")</f>
        <v>0</v>
      </c>
      <c r="O65" t="str">
        <f>IFERROR(__xludf.DUMMYFUNCTION("""COMPUTED_VALUE"""),"0")</f>
        <v>0</v>
      </c>
      <c r="P65" t="str">
        <f>IFERROR(__xludf.DUMMYFUNCTION("""COMPUTED_VALUE"""),"0")</f>
        <v>0</v>
      </c>
      <c r="Q65" t="str">
        <f>IFERROR(__xludf.DUMMYFUNCTION("""COMPUTED_VALUE"""),"")</f>
        <v/>
      </c>
      <c r="R65" t="str">
        <f>IFERROR(__xludf.DUMMYFUNCTION("""COMPUTED_VALUE"""),"0")</f>
        <v>0</v>
      </c>
      <c r="S65" t="str">
        <f>IFERROR(__xludf.DUMMYFUNCTION("""COMPUTED_VALUE"""),"0")</f>
        <v>0</v>
      </c>
      <c r="T65" t="str">
        <f>IFERROR(__xludf.DUMMYFUNCTION("""COMPUTED_VALUE"""),"0")</f>
        <v>0</v>
      </c>
      <c r="U65" t="str">
        <f>IFERROR(__xludf.DUMMYFUNCTION("""COMPUTED_VALUE"""),"")</f>
        <v/>
      </c>
      <c r="V65" t="str">
        <f>IFERROR(__xludf.DUMMYFUNCTION("""COMPUTED_VALUE"""),"1")</f>
        <v>1</v>
      </c>
      <c r="W65" t="str">
        <f>IFERROR(__xludf.DUMMYFUNCTION("""COMPUTED_VALUE"""),"0")</f>
        <v>0</v>
      </c>
      <c r="X65" t="str">
        <f>IFERROR(__xludf.DUMMYFUNCTION("""COMPUTED_VALUE"""),"1")</f>
        <v>1</v>
      </c>
      <c r="Y65" t="str">
        <f>IFERROR(__xludf.DUMMYFUNCTION("""COMPUTED_VALUE"""),"1")</f>
        <v>1</v>
      </c>
      <c r="Z65" t="str">
        <f>IFERROR(__xludf.DUMMYFUNCTION("""COMPUTED_VALUE"""),"0")</f>
        <v>0</v>
      </c>
      <c r="AA65" t="str">
        <f>IFERROR(__xludf.DUMMYFUNCTION("""COMPUTED_VALUE"""),"1")</f>
        <v>1</v>
      </c>
      <c r="AB65" t="str">
        <f>IFERROR(__xludf.DUMMYFUNCTION("""COMPUTED_VALUE"""),"1")</f>
        <v>1</v>
      </c>
      <c r="AC65" t="str">
        <f>IFERROR(__xludf.DUMMYFUNCTION("""COMPUTED_VALUE"""),"2")</f>
        <v>2</v>
      </c>
      <c r="AD65" t="str">
        <f>IFERROR(__xludf.DUMMYFUNCTION("""COMPUTED_VALUE"""),"0")</f>
        <v>0</v>
      </c>
      <c r="AE65" t="str">
        <f>IFERROR(__xludf.DUMMYFUNCTION("""COMPUTED_VALUE"""),"0")</f>
        <v>0</v>
      </c>
      <c r="AF65" t="str">
        <f>IFERROR(__xludf.DUMMYFUNCTION("""COMPUTED_VALUE"""),"")</f>
        <v/>
      </c>
    </row>
    <row r="66">
      <c r="A66" t="str">
        <f>IFERROR(__xludf.DUMMYFUNCTION("""COMPUTED_VALUE"""),"65")</f>
        <v>65</v>
      </c>
      <c r="B66" s="2" t="str">
        <f>IFERROR(__xludf.DUMMYFUNCTION("""COMPUTED_VALUE"""),"Tarris Reed Jr.")</f>
        <v>Tarris Reed Jr.</v>
      </c>
      <c r="C66" t="str">
        <f>IFERROR(__xludf.DUMMYFUNCTION("""COMPUTED_VALUE"""),"23")</f>
        <v>23</v>
      </c>
      <c r="D66" t="str">
        <f>IFERROR(__xludf.DUMMYFUNCTION("""COMPUTED_VALUE"""),"SAS")</f>
        <v>SAS</v>
      </c>
      <c r="E66" t="str">
        <f>IFERROR(__xludf.DUMMYFUNCTION("""COMPUTED_VALUE"""),"C")</f>
        <v>C</v>
      </c>
      <c r="F66" t="str">
        <f>IFERROR(__xludf.DUMMYFUNCTION("""COMPUTED_VALUE"""),"1")</f>
        <v>1</v>
      </c>
      <c r="G66" t="str">
        <f>IFERROR(__xludf.DUMMYFUNCTION("""COMPUTED_VALUE"""),"0")</f>
        <v>0</v>
      </c>
      <c r="H66" t="str">
        <f>IFERROR(__xludf.DUMMYFUNCTION("""COMPUTED_VALUE"""),"1")</f>
        <v>1</v>
      </c>
      <c r="I66" t="str">
        <f>IFERROR(__xludf.DUMMYFUNCTION("""COMPUTED_VALUE"""),"0")</f>
        <v>0</v>
      </c>
      <c r="J66" t="str">
        <f>IFERROR(__xludf.DUMMYFUNCTION("""COMPUTED_VALUE"""),"0")</f>
        <v>0</v>
      </c>
      <c r="K66" t="str">
        <f>IFERROR(__xludf.DUMMYFUNCTION("""COMPUTED_VALUE"""),"")</f>
        <v/>
      </c>
      <c r="L66" t="str">
        <f>IFERROR(__xludf.DUMMYFUNCTION("""COMPUTED_VALUE"""),"0")</f>
        <v>0</v>
      </c>
      <c r="M66" t="str">
        <f>IFERROR(__xludf.DUMMYFUNCTION("""COMPUTED_VALUE"""),"0")</f>
        <v>0</v>
      </c>
      <c r="N66" t="str">
        <f>IFERROR(__xludf.DUMMYFUNCTION("""COMPUTED_VALUE"""),"")</f>
        <v/>
      </c>
      <c r="O66" t="str">
        <f>IFERROR(__xludf.DUMMYFUNCTION("""COMPUTED_VALUE"""),"0")</f>
        <v>0</v>
      </c>
      <c r="P66" t="str">
        <f>IFERROR(__xludf.DUMMYFUNCTION("""COMPUTED_VALUE"""),"0")</f>
        <v>0</v>
      </c>
      <c r="Q66" t="str">
        <f>IFERROR(__xludf.DUMMYFUNCTION("""COMPUTED_VALUE"""),"")</f>
        <v/>
      </c>
      <c r="R66" t="str">
        <f>IFERROR(__xludf.DUMMYFUNCTION("""COMPUTED_VALUE"""),"")</f>
        <v/>
      </c>
      <c r="S66" t="str">
        <f>IFERROR(__xludf.DUMMYFUNCTION("""COMPUTED_VALUE"""),"0")</f>
        <v>0</v>
      </c>
      <c r="T66" t="str">
        <f>IFERROR(__xludf.DUMMYFUNCTION("""COMPUTED_VALUE"""),"0")</f>
        <v>0</v>
      </c>
      <c r="U66" t="str">
        <f>IFERROR(__xludf.DUMMYFUNCTION("""COMPUTED_VALUE"""),"")</f>
        <v/>
      </c>
      <c r="V66" t="str">
        <f>IFERROR(__xludf.DUMMYFUNCTION("""COMPUTED_VALUE"""),"0")</f>
        <v>0</v>
      </c>
      <c r="W66" t="str">
        <f>IFERROR(__xludf.DUMMYFUNCTION("""COMPUTED_VALUE"""),"0")</f>
        <v>0</v>
      </c>
      <c r="X66" t="str">
        <f>IFERROR(__xludf.DUMMYFUNCTION("""COMPUTED_VALUE"""),"0")</f>
        <v>0</v>
      </c>
      <c r="Y66" t="str">
        <f>IFERROR(__xludf.DUMMYFUNCTION("""COMPUTED_VALUE"""),"0")</f>
        <v>0</v>
      </c>
      <c r="Z66" t="str">
        <f>IFERROR(__xludf.DUMMYFUNCTION("""COMPUTED_VALUE"""),"0")</f>
        <v>0</v>
      </c>
      <c r="AA66" t="str">
        <f>IFERROR(__xludf.DUMMYFUNCTION("""COMPUTED_VALUE"""),"0")</f>
        <v>0</v>
      </c>
      <c r="AB66" t="str">
        <f>IFERROR(__xludf.DUMMYFUNCTION("""COMPUTED_VALUE"""),"0")</f>
        <v>0</v>
      </c>
      <c r="AC66" t="str">
        <f>IFERROR(__xludf.DUMMYFUNCTION("""COMPUTED_VALUE"""),"0")</f>
        <v>0</v>
      </c>
      <c r="AD66" t="str">
        <f>IFERROR(__xludf.DUMMYFUNCTION("""COMPUTED_VALUE"""),"0")</f>
        <v>0</v>
      </c>
      <c r="AE66" t="str">
        <f>IFERROR(__xludf.DUMMYFUNCTION("""COMPUTED_VALUE"""),"0")</f>
        <v>0</v>
      </c>
      <c r="AF66" t="str">
        <f>IFERROR(__xludf.DUMMYFUNCTION("""COMPUTED_VALUE"""),"")</f>
        <v/>
      </c>
    </row>
    <row r="67">
      <c r="A67" t="str">
        <f>IFERROR(__xludf.DUMMYFUNCTION("""COMPUTED_VALUE"""),"66")</f>
        <v>66</v>
      </c>
      <c r="B67" s="2" t="str">
        <f>IFERROR(__xludf.DUMMYFUNCTION("""COMPUTED_VALUE"""),"Bennett Stirtz")</f>
        <v>Bennett Stirtz</v>
      </c>
      <c r="C67" t="str">
        <f>IFERROR(__xludf.DUMMYFUNCTION("""COMPUTED_VALUE"""),"23")</f>
        <v>23</v>
      </c>
      <c r="D67" t="str">
        <f>IFERROR(__xludf.DUMMYFUNCTION("""COMPUTED_VALUE"""),"OKC")</f>
        <v>OKC</v>
      </c>
      <c r="E67" t="str">
        <f>IFERROR(__xludf.DUMMYFUNCTION("""COMPUTED_VALUE"""),"PG")</f>
        <v>PG</v>
      </c>
      <c r="F67" t="str">
        <f>IFERROR(__xludf.DUMMYFUNCTION("""COMPUTED_VALUE"""),"1")</f>
        <v>1</v>
      </c>
      <c r="G67" t="str">
        <f>IFERROR(__xludf.DUMMYFUNCTION("""COMPUTED_VALUE"""),"0")</f>
        <v>0</v>
      </c>
      <c r="H67" t="str">
        <f>IFERROR(__xludf.DUMMYFUNCTION("""COMPUTED_VALUE"""),"1")</f>
        <v>1</v>
      </c>
      <c r="I67" t="str">
        <f>IFERROR(__xludf.DUMMYFUNCTION("""COMPUTED_VALUE"""),"0")</f>
        <v>0</v>
      </c>
      <c r="J67" t="str">
        <f>IFERROR(__xludf.DUMMYFUNCTION("""COMPUTED_VALUE"""),"0")</f>
        <v>0</v>
      </c>
      <c r="K67" t="str">
        <f>IFERROR(__xludf.DUMMYFUNCTION("""COMPUTED_VALUE"""),"")</f>
        <v/>
      </c>
      <c r="L67" t="str">
        <f>IFERROR(__xludf.DUMMYFUNCTION("""COMPUTED_VALUE"""),"0")</f>
        <v>0</v>
      </c>
      <c r="M67" t="str">
        <f>IFERROR(__xludf.DUMMYFUNCTION("""COMPUTED_VALUE"""),"0")</f>
        <v>0</v>
      </c>
      <c r="N67" t="str">
        <f>IFERROR(__xludf.DUMMYFUNCTION("""COMPUTED_VALUE"""),"")</f>
        <v/>
      </c>
      <c r="O67" t="str">
        <f>IFERROR(__xludf.DUMMYFUNCTION("""COMPUTED_VALUE"""),"0")</f>
        <v>0</v>
      </c>
      <c r="P67" t="str">
        <f>IFERROR(__xludf.DUMMYFUNCTION("""COMPUTED_VALUE"""),"0")</f>
        <v>0</v>
      </c>
      <c r="Q67" t="str">
        <f>IFERROR(__xludf.DUMMYFUNCTION("""COMPUTED_VALUE"""),"")</f>
        <v/>
      </c>
      <c r="R67" t="str">
        <f>IFERROR(__xludf.DUMMYFUNCTION("""COMPUTED_VALUE"""),"")</f>
        <v/>
      </c>
      <c r="S67" t="str">
        <f>IFERROR(__xludf.DUMMYFUNCTION("""COMPUTED_VALUE"""),"0")</f>
        <v>0</v>
      </c>
      <c r="T67" t="str">
        <f>IFERROR(__xludf.DUMMYFUNCTION("""COMPUTED_VALUE"""),"0")</f>
        <v>0</v>
      </c>
      <c r="U67" t="str">
        <f>IFERROR(__xludf.DUMMYFUNCTION("""COMPUTED_VALUE"""),"")</f>
        <v/>
      </c>
      <c r="V67" t="str">
        <f>IFERROR(__xludf.DUMMYFUNCTION("""COMPUTED_VALUE"""),"0")</f>
        <v>0</v>
      </c>
      <c r="W67" t="str">
        <f>IFERROR(__xludf.DUMMYFUNCTION("""COMPUTED_VALUE"""),"0")</f>
        <v>0</v>
      </c>
      <c r="X67" t="str">
        <f>IFERROR(__xludf.DUMMYFUNCTION("""COMPUTED_VALUE"""),"0")</f>
        <v>0</v>
      </c>
      <c r="Y67" t="str">
        <f>IFERROR(__xludf.DUMMYFUNCTION("""COMPUTED_VALUE"""),"0")</f>
        <v>0</v>
      </c>
      <c r="Z67" t="str">
        <f>IFERROR(__xludf.DUMMYFUNCTION("""COMPUTED_VALUE"""),"0")</f>
        <v>0</v>
      </c>
      <c r="AA67" t="str">
        <f>IFERROR(__xludf.DUMMYFUNCTION("""COMPUTED_VALUE"""),"0")</f>
        <v>0</v>
      </c>
      <c r="AB67" t="str">
        <f>IFERROR(__xludf.DUMMYFUNCTION("""COMPUTED_VALUE"""),"0")</f>
        <v>0</v>
      </c>
      <c r="AC67" t="str">
        <f>IFERROR(__xludf.DUMMYFUNCTION("""COMPUTED_VALUE"""),"0")</f>
        <v>0</v>
      </c>
      <c r="AD67" t="str">
        <f>IFERROR(__xludf.DUMMYFUNCTION("""COMPUTED_VALUE"""),"0")</f>
        <v>0</v>
      </c>
      <c r="AE67" t="str">
        <f>IFERROR(__xludf.DUMMYFUNCTION("""COMPUTED_VALUE"""),"0")</f>
        <v>0</v>
      </c>
      <c r="AF67" t="str">
        <f>IFERROR(__xludf.DUMMYFUNCTION("""COMPUTED_VALUE"""),"")</f>
        <v/>
      </c>
    </row>
    <row r="68">
      <c r="A68" t="str">
        <f>IFERROR(__xludf.DUMMYFUNCTION("""COMPUTED_VALUE"""),"67")</f>
        <v>67</v>
      </c>
      <c r="B68" s="2" t="str">
        <f>IFERROR(__xludf.DUMMYFUNCTION("""COMPUTED_VALUE"""),"Jabari Walker")</f>
        <v>Jabari Walker</v>
      </c>
      <c r="C68" t="str">
        <f>IFERROR(__xludf.DUMMYFUNCTION("""COMPUTED_VALUE"""),"24")</f>
        <v>24</v>
      </c>
      <c r="D68" t="str">
        <f>IFERROR(__xludf.DUMMYFUNCTION("""COMPUTED_VALUE"""),"PHI")</f>
        <v>PHI</v>
      </c>
      <c r="E68" t="str">
        <f>IFERROR(__xludf.DUMMYFUNCTION("""COMPUTED_VALUE"""),"SF")</f>
        <v>SF</v>
      </c>
      <c r="F68" t="str">
        <f>IFERROR(__xludf.DUMMYFUNCTION("""COMPUTED_VALUE"""),"1")</f>
        <v>1</v>
      </c>
      <c r="G68" t="str">
        <f>IFERROR(__xludf.DUMMYFUNCTION("""COMPUTED_VALUE"""),"0")</f>
        <v>0</v>
      </c>
      <c r="H68" t="str">
        <f>IFERROR(__xludf.DUMMYFUNCTION("""COMPUTED_VALUE"""),"3")</f>
        <v>3</v>
      </c>
      <c r="I68" t="str">
        <f>IFERROR(__xludf.DUMMYFUNCTION("""COMPUTED_VALUE"""),"0")</f>
        <v>0</v>
      </c>
      <c r="J68" t="str">
        <f>IFERROR(__xludf.DUMMYFUNCTION("""COMPUTED_VALUE"""),"0")</f>
        <v>0</v>
      </c>
      <c r="K68" t="str">
        <f>IFERROR(__xludf.DUMMYFUNCTION("""COMPUTED_VALUE"""),"")</f>
        <v/>
      </c>
      <c r="L68" t="str">
        <f>IFERROR(__xludf.DUMMYFUNCTION("""COMPUTED_VALUE"""),"0")</f>
        <v>0</v>
      </c>
      <c r="M68" t="str">
        <f>IFERROR(__xludf.DUMMYFUNCTION("""COMPUTED_VALUE"""),"0")</f>
        <v>0</v>
      </c>
      <c r="N68" t="str">
        <f>IFERROR(__xludf.DUMMYFUNCTION("""COMPUTED_VALUE"""),"")</f>
        <v/>
      </c>
      <c r="O68" t="str">
        <f>IFERROR(__xludf.DUMMYFUNCTION("""COMPUTED_VALUE"""),"0")</f>
        <v>0</v>
      </c>
      <c r="P68" t="str">
        <f>IFERROR(__xludf.DUMMYFUNCTION("""COMPUTED_VALUE"""),"0")</f>
        <v>0</v>
      </c>
      <c r="Q68" t="str">
        <f>IFERROR(__xludf.DUMMYFUNCTION("""COMPUTED_VALUE"""),"")</f>
        <v/>
      </c>
      <c r="R68" t="str">
        <f>IFERROR(__xludf.DUMMYFUNCTION("""COMPUTED_VALUE"""),"")</f>
        <v/>
      </c>
      <c r="S68" t="str">
        <f>IFERROR(__xludf.DUMMYFUNCTION("""COMPUTED_VALUE"""),"0")</f>
        <v>0</v>
      </c>
      <c r="T68" t="str">
        <f>IFERROR(__xludf.DUMMYFUNCTION("""COMPUTED_VALUE"""),"0")</f>
        <v>0</v>
      </c>
      <c r="U68" t="str">
        <f>IFERROR(__xludf.DUMMYFUNCTION("""COMPUTED_VALUE"""),"")</f>
        <v/>
      </c>
      <c r="V68" t="str">
        <f>IFERROR(__xludf.DUMMYFUNCTION("""COMPUTED_VALUE"""),"0")</f>
        <v>0</v>
      </c>
      <c r="W68" t="str">
        <f>IFERROR(__xludf.DUMMYFUNCTION("""COMPUTED_VALUE"""),"0")</f>
        <v>0</v>
      </c>
      <c r="X68" t="str">
        <f>IFERROR(__xludf.DUMMYFUNCTION("""COMPUTED_VALUE"""),"0")</f>
        <v>0</v>
      </c>
      <c r="Y68" t="str">
        <f>IFERROR(__xludf.DUMMYFUNCTION("""COMPUTED_VALUE"""),"1")</f>
        <v>1</v>
      </c>
      <c r="Z68" t="str">
        <f>IFERROR(__xludf.DUMMYFUNCTION("""COMPUTED_VALUE"""),"0")</f>
        <v>0</v>
      </c>
      <c r="AA68" t="str">
        <f>IFERROR(__xludf.DUMMYFUNCTION("""COMPUTED_VALUE"""),"0")</f>
        <v>0</v>
      </c>
      <c r="AB68" t="str">
        <f>IFERROR(__xludf.DUMMYFUNCTION("""COMPUTED_VALUE"""),"0")</f>
        <v>0</v>
      </c>
      <c r="AC68" t="str">
        <f>IFERROR(__xludf.DUMMYFUNCTION("""COMPUTED_VALUE"""),"1")</f>
        <v>1</v>
      </c>
      <c r="AD68" t="str">
        <f>IFERROR(__xludf.DUMMYFUNCTION("""COMPUTED_VALUE"""),"0")</f>
        <v>0</v>
      </c>
      <c r="AE68" t="str">
        <f>IFERROR(__xludf.DUMMYFUNCTION("""COMPUTED_VALUE"""),"0")</f>
        <v>0</v>
      </c>
      <c r="AF68" t="str">
        <f>IFERROR(__xludf.DUMMYFUNCTION("""COMPUTED_VALUE"""),"")</f>
        <v/>
      </c>
    </row>
    <row r="69">
      <c r="A69" t="str">
        <f>IFERROR(__xludf.DUMMYFUNCTION("""COMPUTED_VALUE"""),"68")</f>
        <v>68</v>
      </c>
      <c r="B69" s="2" t="str">
        <f>IFERROR(__xludf.DUMMYFUNCTION("""COMPUTED_VALUE"""),"Jordan Walsh")</f>
        <v>Jordan Walsh</v>
      </c>
      <c r="C69" t="str">
        <f>IFERROR(__xludf.DUMMYFUNCTION("""COMPUTED_VALUE"""),"22")</f>
        <v>22</v>
      </c>
      <c r="D69" t="str">
        <f>IFERROR(__xludf.DUMMYFUNCTION("""COMPUTED_VALUE"""),"BOS")</f>
        <v>BOS</v>
      </c>
      <c r="E69" t="str">
        <f>IFERROR(__xludf.DUMMYFUNCTION("""COMPUTED_VALUE"""),"PF")</f>
        <v>PF</v>
      </c>
      <c r="F69" t="str">
        <f>IFERROR(__xludf.DUMMYFUNCTION("""COMPUTED_VALUE"""),"1")</f>
        <v>1</v>
      </c>
      <c r="G69" t="str">
        <f>IFERROR(__xludf.DUMMYFUNCTION("""COMPUTED_VALUE"""),"1")</f>
        <v>1</v>
      </c>
      <c r="H69" t="str">
        <f>IFERROR(__xludf.DUMMYFUNCTION("""COMPUTED_VALUE"""),"13")</f>
        <v>13</v>
      </c>
      <c r="I69" t="str">
        <f>IFERROR(__xludf.DUMMYFUNCTION("""COMPUTED_VALUE"""),"0")</f>
        <v>0</v>
      </c>
      <c r="J69" t="str">
        <f>IFERROR(__xludf.DUMMYFUNCTION("""COMPUTED_VALUE"""),"2")</f>
        <v>2</v>
      </c>
      <c r="K69" t="str">
        <f>IFERROR(__xludf.DUMMYFUNCTION("""COMPUTED_VALUE"""),"0")</f>
        <v>0</v>
      </c>
      <c r="L69" t="str">
        <f>IFERROR(__xludf.DUMMYFUNCTION("""COMPUTED_VALUE"""),"0")</f>
        <v>0</v>
      </c>
      <c r="M69" t="str">
        <f>IFERROR(__xludf.DUMMYFUNCTION("""COMPUTED_VALUE"""),"1")</f>
        <v>1</v>
      </c>
      <c r="N69" t="str">
        <f>IFERROR(__xludf.DUMMYFUNCTION("""COMPUTED_VALUE"""),"0")</f>
        <v>0</v>
      </c>
      <c r="O69" t="str">
        <f>IFERROR(__xludf.DUMMYFUNCTION("""COMPUTED_VALUE"""),"0")</f>
        <v>0</v>
      </c>
      <c r="P69" t="str">
        <f>IFERROR(__xludf.DUMMYFUNCTION("""COMPUTED_VALUE"""),"1")</f>
        <v>1</v>
      </c>
      <c r="Q69" t="str">
        <f>IFERROR(__xludf.DUMMYFUNCTION("""COMPUTED_VALUE"""),"0")</f>
        <v>0</v>
      </c>
      <c r="R69" t="str">
        <f>IFERROR(__xludf.DUMMYFUNCTION("""COMPUTED_VALUE"""),"0")</f>
        <v>0</v>
      </c>
      <c r="S69" t="str">
        <f>IFERROR(__xludf.DUMMYFUNCTION("""COMPUTED_VALUE"""),"0")</f>
        <v>0</v>
      </c>
      <c r="T69" t="str">
        <f>IFERROR(__xludf.DUMMYFUNCTION("""COMPUTED_VALUE"""),"0")</f>
        <v>0</v>
      </c>
      <c r="U69" t="str">
        <f>IFERROR(__xludf.DUMMYFUNCTION("""COMPUTED_VALUE"""),"")</f>
        <v/>
      </c>
      <c r="V69" t="str">
        <f>IFERROR(__xludf.DUMMYFUNCTION("""COMPUTED_VALUE"""),"3")</f>
        <v>3</v>
      </c>
      <c r="W69" t="str">
        <f>IFERROR(__xludf.DUMMYFUNCTION("""COMPUTED_VALUE"""),"3")</f>
        <v>3</v>
      </c>
      <c r="X69" t="str">
        <f>IFERROR(__xludf.DUMMYFUNCTION("""COMPUTED_VALUE"""),"6")</f>
        <v>6</v>
      </c>
      <c r="Y69" t="str">
        <f>IFERROR(__xludf.DUMMYFUNCTION("""COMPUTED_VALUE"""),"1")</f>
        <v>1</v>
      </c>
      <c r="Z69" t="str">
        <f>IFERROR(__xludf.DUMMYFUNCTION("""COMPUTED_VALUE"""),"1")</f>
        <v>1</v>
      </c>
      <c r="AA69" t="str">
        <f>IFERROR(__xludf.DUMMYFUNCTION("""COMPUTED_VALUE"""),"1")</f>
        <v>1</v>
      </c>
      <c r="AB69" t="str">
        <f>IFERROR(__xludf.DUMMYFUNCTION("""COMPUTED_VALUE"""),"0")</f>
        <v>0</v>
      </c>
      <c r="AC69" t="str">
        <f>IFERROR(__xludf.DUMMYFUNCTION("""COMPUTED_VALUE"""),"0")</f>
        <v>0</v>
      </c>
      <c r="AD69" t="str">
        <f>IFERROR(__xludf.DUMMYFUNCTION("""COMPUTED_VALUE"""),"0")</f>
        <v>0</v>
      </c>
      <c r="AE69" t="str">
        <f>IFERROR(__xludf.DUMMYFUNCTION("""COMPUTED_VALUE"""),"0")</f>
        <v>0</v>
      </c>
      <c r="AF69" t="str">
        <f>IFERROR(__xludf.DUMMYFUNCTION("""COMPUTED_VALUE"""),"")</f>
        <v/>
      </c>
    </row>
    <row r="70">
      <c r="A70" t="str">
        <f>IFERROR(__xludf.DUMMYFUNCTION("""COMPUTED_VALUE"""),"")</f>
        <v/>
      </c>
      <c r="B70" s="2" t="str">
        <f>IFERROR(__xludf.DUMMYFUNCTION("""COMPUTED_VALUE"""),"League Average")</f>
        <v>League Average</v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IFERROR(__xludf.DUMMYFUNCTION("""COMPUTED_VALUE"""),"0.422")</f>
        <v>0.422</v>
      </c>
      <c r="L70" t="str">
        <f>IFERROR(__xludf.DUMMYFUNCTION("""COMPUTED_VALUE"""),"")</f>
        <v/>
      </c>
      <c r="M70" t="str">
        <f>IFERROR(__xludf.DUMMYFUNCTION("""COMPUTED_VALUE"""),"")</f>
        <v/>
      </c>
      <c r="N70" t="str">
        <f>IFERROR(__xludf.DUMMYFUNCTION("""COMPUTED_VALUE"""),"0.35")</f>
        <v>0.35</v>
      </c>
      <c r="O70" t="str">
        <f>IFERROR(__xludf.DUMMYFUNCTION("""COMPUTED_VALUE"""),"")</f>
        <v/>
      </c>
      <c r="P70" t="str">
        <f>IFERROR(__xludf.DUMMYFUNCTION("""COMPUTED_VALUE"""),"")</f>
        <v/>
      </c>
      <c r="Q70" t="str">
        <f>IFERROR(__xludf.DUMMYFUNCTION("""COMPUTED_VALUE"""),"0.472")</f>
        <v>0.472</v>
      </c>
      <c r="R70" t="str">
        <f>IFERROR(__xludf.DUMMYFUNCTION("""COMPUTED_VALUE"""),"0.494")</f>
        <v>0.494</v>
      </c>
      <c r="S70" t="str">
        <f>IFERROR(__xludf.DUMMYFUNCTION("""COMPUTED_VALUE"""),"")</f>
        <v/>
      </c>
      <c r="T70" t="str">
        <f>IFERROR(__xludf.DUMMYFUNCTION("""COMPUTED_VALUE"""),"")</f>
        <v/>
      </c>
      <c r="U70" t="str">
        <f>IFERROR(__xludf.DUMMYFUNCTION("""COMPUTED_VALUE"""),"0.803")</f>
        <v>0.803</v>
      </c>
      <c r="V70" t="str">
        <f>IFERROR(__xludf.DUMMYFUNCTION("""COMPUTED_VALUE"""),"")</f>
        <v/>
      </c>
      <c r="W70" t="str">
        <f>IFERROR(__xludf.DUMMYFUNCTION("""COMPUTED_VALUE"""),"")</f>
        <v/>
      </c>
      <c r="X70" t="str">
        <f>IFERROR(__xludf.DUMMYFUNCTION("""COMPUTED_VALUE"""),"")</f>
        <v/>
      </c>
      <c r="Y70" t="str">
        <f>IFERROR(__xludf.DUMMYFUNCTION("""COMPUTED_VALUE"""),"")</f>
        <v/>
      </c>
      <c r="Z70" t="str">
        <f>IFERROR(__xludf.DUMMYFUNCTION("""COMPUTED_VALUE"""),"")</f>
        <v/>
      </c>
      <c r="AA70" t="str">
        <f>IFERROR(__xludf.DUMMYFUNCTION("""COMPUTED_VALUE"""),"")</f>
        <v/>
      </c>
      <c r="AB70" t="str">
        <f>IFERROR(__xludf.DUMMYFUNCTION("""COMPUTED_VALUE"""),"")</f>
        <v/>
      </c>
      <c r="AC70" t="str">
        <f>IFERROR(__xludf.DUMMYFUNCTION("""COMPUTED_VALUE"""),"")</f>
        <v/>
      </c>
      <c r="AD70" t="str">
        <f>IFERROR(__xludf.DUMMYFUNCTION("""COMPUTED_VALUE"""),"")</f>
        <v/>
      </c>
      <c r="AE70" t="str">
        <f>IFERROR(__xludf.DUMMYFUNCTION("""COMPUTED_VALUE"""),"")</f>
        <v/>
      </c>
      <c r="AF70" t="str">
        <f>IFERROR(__xludf.DUMMYFUNCTION("""COMPUTED_VALUE"""),"")</f>
        <v/>
      </c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9.0"/>
    <col customWidth="1" min="3" max="3" width="4.88"/>
    <col customWidth="1" min="4" max="4" width="2.25"/>
    <col customWidth="1" min="5" max="5" width="3.38"/>
    <col customWidth="1" min="6" max="6" width="3.5"/>
    <col customWidth="1" min="7" max="7" width="3.25"/>
    <col customWidth="1" min="8" max="8" width="4.38"/>
    <col customWidth="1" min="9" max="9" width="5.13"/>
    <col customWidth="1" min="10" max="10" width="3.0"/>
    <col customWidth="1" min="11" max="11" width="4.0"/>
    <col customWidth="1" min="12" max="12" width="5.13"/>
    <col customWidth="1" min="13" max="13" width="3.0"/>
    <col customWidth="1" min="14" max="14" width="4.0"/>
    <col customWidth="1" min="15" max="15" width="5.13"/>
    <col customWidth="1" min="16" max="16" width="4.5"/>
    <col customWidth="1" min="17" max="17" width="4.38"/>
    <col customWidth="1" min="18" max="18" width="4.25"/>
    <col customWidth="1" min="19" max="19" width="4.13"/>
    <col customWidth="1" min="20" max="20" width="4.0"/>
    <col customWidth="1" min="21" max="21" width="4.13"/>
    <col customWidth="1" min="22" max="22" width="4.25"/>
    <col customWidth="1" min="23" max="23" width="3.13"/>
    <col customWidth="1" min="24" max="24" width="4.13"/>
    <col customWidth="1" min="25" max="25" width="5.5"/>
  </cols>
  <sheetData>
    <row r="1">
      <c r="A1" s="3" t="str">
        <f>IFERROR(__xludf.DUMMYFUNCTION("IMPORTHTML(""https://www.basketball-reference.com/friv/last_n_days.fcgi?type=totals&amp;n=""&amp;INDEX('Day Range Sortable'!Z2),""table"",1)"),"Loading...")</f>
        <v>Loading...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9.0"/>
    <col customWidth="1" min="3" max="3" width="4.75"/>
    <col customWidth="1" min="4" max="4" width="2.63"/>
    <col customWidth="1" min="5" max="5" width="4.75"/>
    <col customWidth="1" min="6" max="6" width="2.5"/>
    <col customWidth="1" min="7" max="7" width="7.38"/>
    <col customWidth="1" min="8" max="8" width="3.25"/>
    <col customWidth="1" min="9" max="9" width="4.38"/>
    <col customWidth="1" min="10" max="10" width="5.13"/>
    <col customWidth="1" min="11" max="11" width="3.0"/>
    <col customWidth="1" min="12" max="12" width="4.0"/>
    <col customWidth="1" min="13" max="13" width="5.13"/>
    <col customWidth="1" min="14" max="14" width="3.0"/>
    <col customWidth="1" min="15" max="15" width="4.0"/>
    <col customWidth="1" min="16" max="16" width="5.13"/>
    <col customWidth="1" min="17" max="17" width="4.5"/>
    <col customWidth="1" min="18" max="18" width="4.38"/>
    <col customWidth="1" min="19" max="19" width="4.25"/>
    <col customWidth="1" min="20" max="20" width="4.13"/>
    <col customWidth="1" min="21" max="21" width="4.0"/>
    <col customWidth="1" min="22" max="22" width="4.13"/>
    <col customWidth="1" min="23" max="23" width="4.25"/>
    <col customWidth="1" min="24" max="24" width="3.13"/>
    <col customWidth="1" min="25" max="25" width="4.13"/>
    <col customWidth="1" min="26" max="26" width="6.88"/>
  </cols>
  <sheetData>
    <row r="1">
      <c r="A1" s="3" t="str">
        <f>IFERROR(__xludf.DUMMYFUNCTION("IMPORTHTML(""https://www.basketball-reference.com/friv/dailyleaders.fcgi?month=""&amp;MONTH('Daily Sortable'!V2)&amp;""&amp;day=""&amp;DAY('Daily Sortable'!V2)&amp;""&amp;year=""&amp;YEAR('Daily Sortable'!V2)&amp;""&amp;type=all"",""table"",1)"),"Rk")</f>
        <v>Rk</v>
      </c>
      <c r="B1" t="str">
        <f>IFERROR(__xludf.DUMMYFUNCTION("""COMPUTED_VALUE"""),"Player")</f>
        <v>Player</v>
      </c>
      <c r="C1" t="str">
        <f>IFERROR(__xludf.DUMMYFUNCTION("""COMPUTED_VALUE"""),"Tm")</f>
        <v>Tm</v>
      </c>
      <c r="E1" t="str">
        <f>IFERROR(__xludf.DUMMYFUNCTION("""COMPUTED_VALUE"""),"Opp")</f>
        <v>Opp</v>
      </c>
      <c r="G1" t="str">
        <f>IFERROR(__xludf.DUMMYFUNCTION("""COMPUTED_VALUE"""),"MP")</f>
        <v>MP</v>
      </c>
      <c r="H1" t="str">
        <f>IFERROR(__xludf.DUMMYFUNCTION("""COMPUTED_VALUE"""),"FG")</f>
        <v>FG</v>
      </c>
      <c r="I1" t="str">
        <f>IFERROR(__xludf.DUMMYFUNCTION("""COMPUTED_VALUE"""),"FGA")</f>
        <v>FGA</v>
      </c>
      <c r="J1" t="str">
        <f>IFERROR(__xludf.DUMMYFUNCTION("""COMPUTED_VALUE"""),"FG%")</f>
        <v>FG%</v>
      </c>
      <c r="K1" t="str">
        <f>IFERROR(__xludf.DUMMYFUNCTION("""COMPUTED_VALUE"""),"3P")</f>
        <v>3P</v>
      </c>
      <c r="L1" t="str">
        <f>IFERROR(__xludf.DUMMYFUNCTION("""COMPUTED_VALUE"""),"3PA")</f>
        <v>3PA</v>
      </c>
      <c r="M1" t="str">
        <f>IFERROR(__xludf.DUMMYFUNCTION("""COMPUTED_VALUE"""),"3P%")</f>
        <v>3P%</v>
      </c>
      <c r="N1" t="str">
        <f>IFERROR(__xludf.DUMMYFUNCTION("""COMPUTED_VALUE"""),"FT")</f>
        <v>FT</v>
      </c>
      <c r="O1" t="str">
        <f>IFERROR(__xludf.DUMMYFUNCTION("""COMPUTED_VALUE"""),"FTA")</f>
        <v>FTA</v>
      </c>
      <c r="P1" t="str">
        <f>IFERROR(__xludf.DUMMYFUNCTION("""COMPUTED_VALUE"""),"FT%")</f>
        <v>FT%</v>
      </c>
      <c r="Q1" t="str">
        <f>IFERROR(__xludf.DUMMYFUNCTION("""COMPUTED_VALUE"""),"ORB")</f>
        <v>ORB</v>
      </c>
      <c r="R1" t="str">
        <f>IFERROR(__xludf.DUMMYFUNCTION("""COMPUTED_VALUE"""),"DRB")</f>
        <v>DRB</v>
      </c>
      <c r="S1" t="str">
        <f>IFERROR(__xludf.DUMMYFUNCTION("""COMPUTED_VALUE"""),"TRB")</f>
        <v>TRB</v>
      </c>
      <c r="T1" t="str">
        <f>IFERROR(__xludf.DUMMYFUNCTION("""COMPUTED_VALUE"""),"AST")</f>
        <v>AST</v>
      </c>
      <c r="U1" t="str">
        <f>IFERROR(__xludf.DUMMYFUNCTION("""COMPUTED_VALUE"""),"STL")</f>
        <v>STL</v>
      </c>
      <c r="V1" t="str">
        <f>IFERROR(__xludf.DUMMYFUNCTION("""COMPUTED_VALUE"""),"BLK")</f>
        <v>BLK</v>
      </c>
      <c r="W1" t="str">
        <f>IFERROR(__xludf.DUMMYFUNCTION("""COMPUTED_VALUE"""),"TOV")</f>
        <v>TOV</v>
      </c>
      <c r="X1" t="str">
        <f>IFERROR(__xludf.DUMMYFUNCTION("""COMPUTED_VALUE"""),"PF")</f>
        <v>PF</v>
      </c>
      <c r="Y1" t="str">
        <f>IFERROR(__xludf.DUMMYFUNCTION("""COMPUTED_VALUE"""),"PTS")</f>
        <v>PTS</v>
      </c>
      <c r="Z1" t="str">
        <f>IFERROR(__xludf.DUMMYFUNCTION("""COMPUTED_VALUE"""),"+/-")</f>
        <v>+/-</v>
      </c>
      <c r="AA1" t="str">
        <f>IFERROR(__xludf.DUMMYFUNCTION("""COMPUTED_VALUE"""),"GmSc")</f>
        <v>GmSc</v>
      </c>
      <c r="AB1" s="10"/>
    </row>
    <row r="2">
      <c r="A2" s="11">
        <f>IFERROR(__xludf.DUMMYFUNCTION("""COMPUTED_VALUE"""),1.0)</f>
        <v>1</v>
      </c>
      <c r="B2" t="str">
        <f>IFERROR(__xludf.DUMMYFUNCTION("""COMPUTED_VALUE"""),"Shai Gilgeous-Alexander")</f>
        <v>Shai Gilgeous-Alexander</v>
      </c>
      <c r="C2" t="str">
        <f>IFERROR(__xludf.DUMMYFUNCTION("""COMPUTED_VALUE"""),"OKC")</f>
        <v>OKC</v>
      </c>
      <c r="E2" t="str">
        <f>IFERROR(__xludf.DUMMYFUNCTION("""COMPUTED_VALUE"""),"DEN")</f>
        <v>DEN</v>
      </c>
      <c r="F2" t="str">
        <f>IFERROR(__xludf.DUMMYFUNCTION("""COMPUTED_VALUE"""),"L")</f>
        <v>L</v>
      </c>
      <c r="G2" s="13">
        <f>IFERROR(__xludf.DUMMYFUNCTION("""COMPUTED_VALUE"""),1.4666666666666666)</f>
        <v>1.466666667</v>
      </c>
      <c r="H2">
        <f>IFERROR(__xludf.DUMMYFUNCTION("""COMPUTED_VALUE"""),13.0)</f>
        <v>13</v>
      </c>
      <c r="I2">
        <f>IFERROR(__xludf.DUMMYFUNCTION("""COMPUTED_VALUE"""),17.0)</f>
        <v>17</v>
      </c>
      <c r="J2">
        <f>IFERROR(__xludf.DUMMYFUNCTION("""COMPUTED_VALUE"""),0.765)</f>
        <v>0.765</v>
      </c>
      <c r="K2">
        <f>IFERROR(__xludf.DUMMYFUNCTION("""COMPUTED_VALUE"""),0.0)</f>
        <v>0</v>
      </c>
      <c r="L2">
        <f>IFERROR(__xludf.DUMMYFUNCTION("""COMPUTED_VALUE"""),0.0)</f>
        <v>0</v>
      </c>
      <c r="N2">
        <f>IFERROR(__xludf.DUMMYFUNCTION("""COMPUTED_VALUE"""),11.0)</f>
        <v>11</v>
      </c>
      <c r="O2">
        <f>IFERROR(__xludf.DUMMYFUNCTION("""COMPUTED_VALUE"""),11.0)</f>
        <v>11</v>
      </c>
      <c r="P2">
        <f>IFERROR(__xludf.DUMMYFUNCTION("""COMPUTED_VALUE"""),1.0)</f>
        <v>1</v>
      </c>
      <c r="Q2">
        <f>IFERROR(__xludf.DUMMYFUNCTION("""COMPUTED_VALUE"""),1.0)</f>
        <v>1</v>
      </c>
      <c r="R2">
        <f>IFERROR(__xludf.DUMMYFUNCTION("""COMPUTED_VALUE"""),3.0)</f>
        <v>3</v>
      </c>
      <c r="S2">
        <f>IFERROR(__xludf.DUMMYFUNCTION("""COMPUTED_VALUE"""),4.0)</f>
        <v>4</v>
      </c>
      <c r="T2">
        <f>IFERROR(__xludf.DUMMYFUNCTION("""COMPUTED_VALUE"""),3.0)</f>
        <v>3</v>
      </c>
      <c r="U2">
        <f>IFERROR(__xludf.DUMMYFUNCTION("""COMPUTED_VALUE"""),2.0)</f>
        <v>2</v>
      </c>
      <c r="V2">
        <f>IFERROR(__xludf.DUMMYFUNCTION("""COMPUTED_VALUE"""),0.0)</f>
        <v>0</v>
      </c>
      <c r="W2">
        <f>IFERROR(__xludf.DUMMYFUNCTION("""COMPUTED_VALUE"""),4.0)</f>
        <v>4</v>
      </c>
      <c r="X2">
        <f>IFERROR(__xludf.DUMMYFUNCTION("""COMPUTED_VALUE"""),3.0)</f>
        <v>3</v>
      </c>
      <c r="Y2">
        <f>IFERROR(__xludf.DUMMYFUNCTION("""COMPUTED_VALUE"""),37.0)</f>
        <v>37</v>
      </c>
      <c r="Z2">
        <f>IFERROR(__xludf.DUMMYFUNCTION("""COMPUTED_VALUE"""),-6.0)</f>
        <v>-6</v>
      </c>
      <c r="AA2">
        <f>IFERROR(__xludf.DUMMYFUNCTION("""COMPUTED_VALUE"""),30.8)</f>
        <v>30.8</v>
      </c>
      <c r="AB2" s="10"/>
    </row>
    <row r="3">
      <c r="A3">
        <f>IFERROR(__xludf.DUMMYFUNCTION("""COMPUTED_VALUE"""),2.0)</f>
        <v>2</v>
      </c>
      <c r="B3" t="str">
        <f>IFERROR(__xludf.DUMMYFUNCTION("""COMPUTED_VALUE"""),"Stephen Curry")</f>
        <v>Stephen Curry</v>
      </c>
      <c r="C3" t="str">
        <f>IFERROR(__xludf.DUMMYFUNCTION("""COMPUTED_VALUE"""),"GSW")</f>
        <v>GSW</v>
      </c>
      <c r="D3" t="str">
        <f>IFERROR(__xludf.DUMMYFUNCTION("""COMPUTED_VALUE"""),"@")</f>
        <v>@</v>
      </c>
      <c r="E3" t="str">
        <f>IFERROR(__xludf.DUMMYFUNCTION("""COMPUTED_VALUE"""),"ORL")</f>
        <v>ORL</v>
      </c>
      <c r="F3" t="str">
        <f>IFERROR(__xludf.DUMMYFUNCTION("""COMPUTED_VALUE"""),"L")</f>
        <v>L</v>
      </c>
      <c r="G3" s="13">
        <f>IFERROR(__xludf.DUMMYFUNCTION("""COMPUTED_VALUE"""),1.5972222222222223)</f>
        <v>1.597222222</v>
      </c>
      <c r="H3">
        <f>IFERROR(__xludf.DUMMYFUNCTION("""COMPUTED_VALUE"""),13.0)</f>
        <v>13</v>
      </c>
      <c r="I3">
        <f>IFERROR(__xludf.DUMMYFUNCTION("""COMPUTED_VALUE"""),22.0)</f>
        <v>22</v>
      </c>
      <c r="J3">
        <f>IFERROR(__xludf.DUMMYFUNCTION("""COMPUTED_VALUE"""),0.591)</f>
        <v>0.591</v>
      </c>
      <c r="K3">
        <f>IFERROR(__xludf.DUMMYFUNCTION("""COMPUTED_VALUE"""),8.0)</f>
        <v>8</v>
      </c>
      <c r="L3">
        <f>IFERROR(__xludf.DUMMYFUNCTION("""COMPUTED_VALUE"""),15.0)</f>
        <v>15</v>
      </c>
      <c r="M3">
        <f>IFERROR(__xludf.DUMMYFUNCTION("""COMPUTED_VALUE"""),0.533)</f>
        <v>0.533</v>
      </c>
      <c r="N3">
        <f>IFERROR(__xludf.DUMMYFUNCTION("""COMPUTED_VALUE"""),5.0)</f>
        <v>5</v>
      </c>
      <c r="O3">
        <f>IFERROR(__xludf.DUMMYFUNCTION("""COMPUTED_VALUE"""),5.0)</f>
        <v>5</v>
      </c>
      <c r="P3">
        <f>IFERROR(__xludf.DUMMYFUNCTION("""COMPUTED_VALUE"""),1.0)</f>
        <v>1</v>
      </c>
      <c r="Q3">
        <f>IFERROR(__xludf.DUMMYFUNCTION("""COMPUTED_VALUE"""),1.0)</f>
        <v>1</v>
      </c>
      <c r="R3">
        <f>IFERROR(__xludf.DUMMYFUNCTION("""COMPUTED_VALUE"""),2.0)</f>
        <v>2</v>
      </c>
      <c r="S3">
        <f>IFERROR(__xludf.DUMMYFUNCTION("""COMPUTED_VALUE"""),3.0)</f>
        <v>3</v>
      </c>
      <c r="T3">
        <f>IFERROR(__xludf.DUMMYFUNCTION("""COMPUTED_VALUE"""),9.0)</f>
        <v>9</v>
      </c>
      <c r="U3">
        <f>IFERROR(__xludf.DUMMYFUNCTION("""COMPUTED_VALUE"""),0.0)</f>
        <v>0</v>
      </c>
      <c r="V3">
        <f>IFERROR(__xludf.DUMMYFUNCTION("""COMPUTED_VALUE"""),0.0)</f>
        <v>0</v>
      </c>
      <c r="W3">
        <f>IFERROR(__xludf.DUMMYFUNCTION("""COMPUTED_VALUE"""),5.0)</f>
        <v>5</v>
      </c>
      <c r="X3">
        <f>IFERROR(__xludf.DUMMYFUNCTION("""COMPUTED_VALUE"""),3.0)</f>
        <v>3</v>
      </c>
      <c r="Y3">
        <f>IFERROR(__xludf.DUMMYFUNCTION("""COMPUTED_VALUE"""),39.0)</f>
        <v>39</v>
      </c>
      <c r="Z3" t="str">
        <f>IFERROR(__xludf.DUMMYFUNCTION("""COMPUTED_VALUE"""),"+4")</f>
        <v>+4</v>
      </c>
      <c r="AA3">
        <f>IFERROR(__xludf.DUMMYFUNCTION("""COMPUTED_VALUE"""),30.2)</f>
        <v>30.2</v>
      </c>
      <c r="AB3" s="10"/>
    </row>
    <row r="4">
      <c r="A4">
        <f>IFERROR(__xludf.DUMMYFUNCTION("""COMPUTED_VALUE"""),3.0)</f>
        <v>3</v>
      </c>
      <c r="B4" t="str">
        <f>IFERROR(__xludf.DUMMYFUNCTION("""COMPUTED_VALUE"""),"Aaron Gordon")</f>
        <v>Aaron Gordon</v>
      </c>
      <c r="C4" t="str">
        <f>IFERROR(__xludf.DUMMYFUNCTION("""COMPUTED_VALUE"""),"DEN")</f>
        <v>DEN</v>
      </c>
      <c r="D4" t="str">
        <f>IFERROR(__xludf.DUMMYFUNCTION("""COMPUTED_VALUE"""),"@")</f>
        <v>@</v>
      </c>
      <c r="E4" t="str">
        <f>IFERROR(__xludf.DUMMYFUNCTION("""COMPUTED_VALUE"""),"OKC")</f>
        <v>OKC</v>
      </c>
      <c r="F4" t="str">
        <f>IFERROR(__xludf.DUMMYFUNCTION("""COMPUTED_VALUE"""),"W")</f>
        <v>W</v>
      </c>
      <c r="G4" s="13">
        <f>IFERROR(__xludf.DUMMYFUNCTION("""COMPUTED_VALUE"""),1.4805555555555556)</f>
        <v>1.480555556</v>
      </c>
      <c r="H4">
        <f>IFERROR(__xludf.DUMMYFUNCTION("""COMPUTED_VALUE"""),10.0)</f>
        <v>10</v>
      </c>
      <c r="I4">
        <f>IFERROR(__xludf.DUMMYFUNCTION("""COMPUTED_VALUE"""),13.0)</f>
        <v>13</v>
      </c>
      <c r="J4">
        <f>IFERROR(__xludf.DUMMYFUNCTION("""COMPUTED_VALUE"""),0.769)</f>
        <v>0.769</v>
      </c>
      <c r="K4">
        <f>IFERROR(__xludf.DUMMYFUNCTION("""COMPUTED_VALUE"""),3.0)</f>
        <v>3</v>
      </c>
      <c r="L4">
        <f>IFERROR(__xludf.DUMMYFUNCTION("""COMPUTED_VALUE"""),4.0)</f>
        <v>4</v>
      </c>
      <c r="M4">
        <f>IFERROR(__xludf.DUMMYFUNCTION("""COMPUTED_VALUE"""),0.75)</f>
        <v>0.75</v>
      </c>
      <c r="N4">
        <f>IFERROR(__xludf.DUMMYFUNCTION("""COMPUTED_VALUE"""),4.0)</f>
        <v>4</v>
      </c>
      <c r="O4">
        <f>IFERROR(__xludf.DUMMYFUNCTION("""COMPUTED_VALUE"""),5.0)</f>
        <v>5</v>
      </c>
      <c r="P4">
        <f>IFERROR(__xludf.DUMMYFUNCTION("""COMPUTED_VALUE"""),0.8)</f>
        <v>0.8</v>
      </c>
      <c r="Q4">
        <f>IFERROR(__xludf.DUMMYFUNCTION("""COMPUTED_VALUE"""),2.0)</f>
        <v>2</v>
      </c>
      <c r="R4">
        <f>IFERROR(__xludf.DUMMYFUNCTION("""COMPUTED_VALUE"""),3.0)</f>
        <v>3</v>
      </c>
      <c r="S4">
        <f>IFERROR(__xludf.DUMMYFUNCTION("""COMPUTED_VALUE"""),5.0)</f>
        <v>5</v>
      </c>
      <c r="T4">
        <f>IFERROR(__xludf.DUMMYFUNCTION("""COMPUTED_VALUE"""),3.0)</f>
        <v>3</v>
      </c>
      <c r="U4">
        <f>IFERROR(__xludf.DUMMYFUNCTION("""COMPUTED_VALUE"""),1.0)</f>
        <v>1</v>
      </c>
      <c r="V4">
        <f>IFERROR(__xludf.DUMMYFUNCTION("""COMPUTED_VALUE"""),0.0)</f>
        <v>0</v>
      </c>
      <c r="W4">
        <f>IFERROR(__xludf.DUMMYFUNCTION("""COMPUTED_VALUE"""),0.0)</f>
        <v>0</v>
      </c>
      <c r="X4">
        <f>IFERROR(__xludf.DUMMYFUNCTION("""COMPUTED_VALUE"""),0.0)</f>
        <v>0</v>
      </c>
      <c r="Y4">
        <f>IFERROR(__xludf.DUMMYFUNCTION("""COMPUTED_VALUE"""),27.0)</f>
        <v>27</v>
      </c>
      <c r="Z4">
        <f>IFERROR(__xludf.DUMMYFUNCTION("""COMPUTED_VALUE"""),-1.0)</f>
        <v>-1</v>
      </c>
      <c r="AA4">
        <f>IFERROR(__xludf.DUMMYFUNCTION("""COMPUTED_VALUE"""),26.9)</f>
        <v>26.9</v>
      </c>
      <c r="AB4" s="10"/>
    </row>
    <row r="5">
      <c r="A5">
        <f>IFERROR(__xludf.DUMMYFUNCTION("""COMPUTED_VALUE"""),4.0)</f>
        <v>4</v>
      </c>
      <c r="B5" t="str">
        <f>IFERROR(__xludf.DUMMYFUNCTION("""COMPUTED_VALUE"""),"Jalen Suggs")</f>
        <v>Jalen Suggs</v>
      </c>
      <c r="C5" t="str">
        <f>IFERROR(__xludf.DUMMYFUNCTION("""COMPUTED_VALUE"""),"ORL")</f>
        <v>ORL</v>
      </c>
      <c r="E5" t="str">
        <f>IFERROR(__xludf.DUMMYFUNCTION("""COMPUTED_VALUE"""),"GSW")</f>
        <v>GSW</v>
      </c>
      <c r="F5" t="str">
        <f>IFERROR(__xludf.DUMMYFUNCTION("""COMPUTED_VALUE"""),"W")</f>
        <v>W</v>
      </c>
      <c r="G5" s="13">
        <f>IFERROR(__xludf.DUMMYFUNCTION("""COMPUTED_VALUE"""),1.5090277777777779)</f>
        <v>1.509027778</v>
      </c>
      <c r="H5">
        <f>IFERROR(__xludf.DUMMYFUNCTION("""COMPUTED_VALUE"""),9.0)</f>
        <v>9</v>
      </c>
      <c r="I5">
        <f>IFERROR(__xludf.DUMMYFUNCTION("""COMPUTED_VALUE"""),17.0)</f>
        <v>17</v>
      </c>
      <c r="J5">
        <f>IFERROR(__xludf.DUMMYFUNCTION("""COMPUTED_VALUE"""),0.529)</f>
        <v>0.529</v>
      </c>
      <c r="K5">
        <f>IFERROR(__xludf.DUMMYFUNCTION("""COMPUTED_VALUE"""),2.0)</f>
        <v>2</v>
      </c>
      <c r="L5">
        <f>IFERROR(__xludf.DUMMYFUNCTION("""COMPUTED_VALUE"""),6.0)</f>
        <v>6</v>
      </c>
      <c r="M5">
        <f>IFERROR(__xludf.DUMMYFUNCTION("""COMPUTED_VALUE"""),0.333)</f>
        <v>0.333</v>
      </c>
      <c r="N5">
        <f>IFERROR(__xludf.DUMMYFUNCTION("""COMPUTED_VALUE"""),6.0)</f>
        <v>6</v>
      </c>
      <c r="O5">
        <f>IFERROR(__xludf.DUMMYFUNCTION("""COMPUTED_VALUE"""),11.0)</f>
        <v>11</v>
      </c>
      <c r="P5">
        <f>IFERROR(__xludf.DUMMYFUNCTION("""COMPUTED_VALUE"""),0.545)</f>
        <v>0.545</v>
      </c>
      <c r="Q5">
        <f>IFERROR(__xludf.DUMMYFUNCTION("""COMPUTED_VALUE"""),0.0)</f>
        <v>0</v>
      </c>
      <c r="R5">
        <f>IFERROR(__xludf.DUMMYFUNCTION("""COMPUTED_VALUE"""),1.0)</f>
        <v>1</v>
      </c>
      <c r="S5">
        <f>IFERROR(__xludf.DUMMYFUNCTION("""COMPUTED_VALUE"""),1.0)</f>
        <v>1</v>
      </c>
      <c r="T5">
        <f>IFERROR(__xludf.DUMMYFUNCTION("""COMPUTED_VALUE"""),9.0)</f>
        <v>9</v>
      </c>
      <c r="U5">
        <f>IFERROR(__xludf.DUMMYFUNCTION("""COMPUTED_VALUE"""),4.0)</f>
        <v>4</v>
      </c>
      <c r="V5">
        <f>IFERROR(__xludf.DUMMYFUNCTION("""COMPUTED_VALUE"""),0.0)</f>
        <v>0</v>
      </c>
      <c r="W5">
        <f>IFERROR(__xludf.DUMMYFUNCTION("""COMPUTED_VALUE"""),3.0)</f>
        <v>3</v>
      </c>
      <c r="X5">
        <f>IFERROR(__xludf.DUMMYFUNCTION("""COMPUTED_VALUE"""),4.0)</f>
        <v>4</v>
      </c>
      <c r="Y5">
        <f>IFERROR(__xludf.DUMMYFUNCTION("""COMPUTED_VALUE"""),26.0)</f>
        <v>26</v>
      </c>
      <c r="Z5">
        <f>IFERROR(__xludf.DUMMYFUNCTION("""COMPUTED_VALUE"""),-3.0)</f>
        <v>-3</v>
      </c>
      <c r="AA5">
        <f>IFERROR(__xludf.DUMMYFUNCTION("""COMPUTED_VALUE"""),21.7)</f>
        <v>21.7</v>
      </c>
      <c r="AB5" s="10"/>
    </row>
    <row r="6">
      <c r="A6">
        <f>IFERROR(__xludf.DUMMYFUNCTION("""COMPUTED_VALUE"""),5.0)</f>
        <v>5</v>
      </c>
      <c r="B6" t="str">
        <f>IFERROR(__xludf.DUMMYFUNCTION("""COMPUTED_VALUE"""),"Chuma Okeke")</f>
        <v>Chuma Okeke</v>
      </c>
      <c r="C6" t="str">
        <f>IFERROR(__xludf.DUMMYFUNCTION("""COMPUTED_VALUE"""),"ORL")</f>
        <v>ORL</v>
      </c>
      <c r="E6" t="str">
        <f>IFERROR(__xludf.DUMMYFUNCTION("""COMPUTED_VALUE"""),"GSW")</f>
        <v>GSW</v>
      </c>
      <c r="F6" t="str">
        <f>IFERROR(__xludf.DUMMYFUNCTION("""COMPUTED_VALUE"""),"W")</f>
        <v>W</v>
      </c>
      <c r="G6" s="13">
        <f>IFERROR(__xludf.DUMMYFUNCTION("""COMPUTED_VALUE"""),1.1444444444444444)</f>
        <v>1.144444444</v>
      </c>
      <c r="H6">
        <f>IFERROR(__xludf.DUMMYFUNCTION("""COMPUTED_VALUE"""),4.0)</f>
        <v>4</v>
      </c>
      <c r="I6">
        <f>IFERROR(__xludf.DUMMYFUNCTION("""COMPUTED_VALUE"""),6.0)</f>
        <v>6</v>
      </c>
      <c r="J6">
        <f>IFERROR(__xludf.DUMMYFUNCTION("""COMPUTED_VALUE"""),0.667)</f>
        <v>0.667</v>
      </c>
      <c r="K6">
        <f>IFERROR(__xludf.DUMMYFUNCTION("""COMPUTED_VALUE"""),3.0)</f>
        <v>3</v>
      </c>
      <c r="L6">
        <f>IFERROR(__xludf.DUMMYFUNCTION("""COMPUTED_VALUE"""),5.0)</f>
        <v>5</v>
      </c>
      <c r="M6">
        <f>IFERROR(__xludf.DUMMYFUNCTION("""COMPUTED_VALUE"""),0.6)</f>
        <v>0.6</v>
      </c>
      <c r="N6">
        <f>IFERROR(__xludf.DUMMYFUNCTION("""COMPUTED_VALUE"""),5.0)</f>
        <v>5</v>
      </c>
      <c r="O6">
        <f>IFERROR(__xludf.DUMMYFUNCTION("""COMPUTED_VALUE"""),6.0)</f>
        <v>6</v>
      </c>
      <c r="P6">
        <f>IFERROR(__xludf.DUMMYFUNCTION("""COMPUTED_VALUE"""),0.833)</f>
        <v>0.833</v>
      </c>
      <c r="Q6">
        <f>IFERROR(__xludf.DUMMYFUNCTION("""COMPUTED_VALUE"""),2.0)</f>
        <v>2</v>
      </c>
      <c r="R6">
        <f>IFERROR(__xludf.DUMMYFUNCTION("""COMPUTED_VALUE"""),7.0)</f>
        <v>7</v>
      </c>
      <c r="S6">
        <f>IFERROR(__xludf.DUMMYFUNCTION("""COMPUTED_VALUE"""),9.0)</f>
        <v>9</v>
      </c>
      <c r="T6">
        <f>IFERROR(__xludf.DUMMYFUNCTION("""COMPUTED_VALUE"""),3.0)</f>
        <v>3</v>
      </c>
      <c r="U6">
        <f>IFERROR(__xludf.DUMMYFUNCTION("""COMPUTED_VALUE"""),0.0)</f>
        <v>0</v>
      </c>
      <c r="V6">
        <f>IFERROR(__xludf.DUMMYFUNCTION("""COMPUTED_VALUE"""),1.0)</f>
        <v>1</v>
      </c>
      <c r="W6">
        <f>IFERROR(__xludf.DUMMYFUNCTION("""COMPUTED_VALUE"""),0.0)</f>
        <v>0</v>
      </c>
      <c r="X6">
        <f>IFERROR(__xludf.DUMMYFUNCTION("""COMPUTED_VALUE"""),2.0)</f>
        <v>2</v>
      </c>
      <c r="Y6">
        <f>IFERROR(__xludf.DUMMYFUNCTION("""COMPUTED_VALUE"""),16.0)</f>
        <v>16</v>
      </c>
      <c r="Z6" t="str">
        <f>IFERROR(__xludf.DUMMYFUNCTION("""COMPUTED_VALUE"""),"+13")</f>
        <v>+13</v>
      </c>
      <c r="AA6">
        <f>IFERROR(__xludf.DUMMYFUNCTION("""COMPUTED_VALUE"""),18.5)</f>
        <v>18.5</v>
      </c>
      <c r="AB6" s="10"/>
    </row>
    <row r="7">
      <c r="A7">
        <f>IFERROR(__xludf.DUMMYFUNCTION("""COMPUTED_VALUE"""),6.0)</f>
        <v>6</v>
      </c>
      <c r="B7" t="str">
        <f>IFERROR(__xludf.DUMMYFUNCTION("""COMPUTED_VALUE"""),"Klay Thompson")</f>
        <v>Klay Thompson</v>
      </c>
      <c r="C7" t="str">
        <f>IFERROR(__xludf.DUMMYFUNCTION("""COMPUTED_VALUE"""),"GSW")</f>
        <v>GSW</v>
      </c>
      <c r="D7" t="str">
        <f>IFERROR(__xludf.DUMMYFUNCTION("""COMPUTED_VALUE"""),"@")</f>
        <v>@</v>
      </c>
      <c r="E7" t="str">
        <f>IFERROR(__xludf.DUMMYFUNCTION("""COMPUTED_VALUE"""),"ORL")</f>
        <v>ORL</v>
      </c>
      <c r="F7" t="str">
        <f>IFERROR(__xludf.DUMMYFUNCTION("""COMPUTED_VALUE"""),"L")</f>
        <v>L</v>
      </c>
      <c r="G7" s="13">
        <f>IFERROR(__xludf.DUMMYFUNCTION("""COMPUTED_VALUE"""),1.417361111111111)</f>
        <v>1.417361111</v>
      </c>
      <c r="H7">
        <f>IFERROR(__xludf.DUMMYFUNCTION("""COMPUTED_VALUE"""),10.0)</f>
        <v>10</v>
      </c>
      <c r="I7">
        <f>IFERROR(__xludf.DUMMYFUNCTION("""COMPUTED_VALUE"""),24.0)</f>
        <v>24</v>
      </c>
      <c r="J7">
        <f>IFERROR(__xludf.DUMMYFUNCTION("""COMPUTED_VALUE"""),0.417)</f>
        <v>0.417</v>
      </c>
      <c r="K7">
        <f>IFERROR(__xludf.DUMMYFUNCTION("""COMPUTED_VALUE"""),7.0)</f>
        <v>7</v>
      </c>
      <c r="L7">
        <f>IFERROR(__xludf.DUMMYFUNCTION("""COMPUTED_VALUE"""),15.0)</f>
        <v>15</v>
      </c>
      <c r="M7">
        <f>IFERROR(__xludf.DUMMYFUNCTION("""COMPUTED_VALUE"""),0.467)</f>
        <v>0.467</v>
      </c>
      <c r="N7">
        <f>IFERROR(__xludf.DUMMYFUNCTION("""COMPUTED_VALUE"""),0.0)</f>
        <v>0</v>
      </c>
      <c r="O7">
        <f>IFERROR(__xludf.DUMMYFUNCTION("""COMPUTED_VALUE"""),0.0)</f>
        <v>0</v>
      </c>
      <c r="Q7">
        <f>IFERROR(__xludf.DUMMYFUNCTION("""COMPUTED_VALUE"""),1.0)</f>
        <v>1</v>
      </c>
      <c r="R7">
        <f>IFERROR(__xludf.DUMMYFUNCTION("""COMPUTED_VALUE"""),3.0)</f>
        <v>3</v>
      </c>
      <c r="S7">
        <f>IFERROR(__xludf.DUMMYFUNCTION("""COMPUTED_VALUE"""),4.0)</f>
        <v>4</v>
      </c>
      <c r="T7">
        <f>IFERROR(__xludf.DUMMYFUNCTION("""COMPUTED_VALUE"""),3.0)</f>
        <v>3</v>
      </c>
      <c r="U7">
        <f>IFERROR(__xludf.DUMMYFUNCTION("""COMPUTED_VALUE"""),1.0)</f>
        <v>1</v>
      </c>
      <c r="V7">
        <f>IFERROR(__xludf.DUMMYFUNCTION("""COMPUTED_VALUE"""),0.0)</f>
        <v>0</v>
      </c>
      <c r="W7">
        <f>IFERROR(__xludf.DUMMYFUNCTION("""COMPUTED_VALUE"""),0.0)</f>
        <v>0</v>
      </c>
      <c r="X7">
        <f>IFERROR(__xludf.DUMMYFUNCTION("""COMPUTED_VALUE"""),2.0)</f>
        <v>2</v>
      </c>
      <c r="Y7">
        <f>IFERROR(__xludf.DUMMYFUNCTION("""COMPUTED_VALUE"""),27.0)</f>
        <v>27</v>
      </c>
      <c r="Z7" t="str">
        <f>IFERROR(__xludf.DUMMYFUNCTION("""COMPUTED_VALUE"""),"+13")</f>
        <v>+13</v>
      </c>
      <c r="AA7">
        <f>IFERROR(__xludf.DUMMYFUNCTION("""COMPUTED_VALUE"""),18.1)</f>
        <v>18.1</v>
      </c>
      <c r="AB7" s="10"/>
    </row>
    <row r="8">
      <c r="A8">
        <f>IFERROR(__xludf.DUMMYFUNCTION("""COMPUTED_VALUE"""),7.0)</f>
        <v>7</v>
      </c>
      <c r="B8" t="str">
        <f>IFERROR(__xludf.DUMMYFUNCTION("""COMPUTED_VALUE"""),"Bruce Brown")</f>
        <v>Bruce Brown</v>
      </c>
      <c r="C8" t="str">
        <f>IFERROR(__xludf.DUMMYFUNCTION("""COMPUTED_VALUE"""),"DEN")</f>
        <v>DEN</v>
      </c>
      <c r="D8" t="str">
        <f>IFERROR(__xludf.DUMMYFUNCTION("""COMPUTED_VALUE"""),"@")</f>
        <v>@</v>
      </c>
      <c r="E8" t="str">
        <f>IFERROR(__xludf.DUMMYFUNCTION("""COMPUTED_VALUE"""),"OKC")</f>
        <v>OKC</v>
      </c>
      <c r="F8" t="str">
        <f>IFERROR(__xludf.DUMMYFUNCTION("""COMPUTED_VALUE"""),"W")</f>
        <v>W</v>
      </c>
      <c r="G8" s="13">
        <f>IFERROR(__xludf.DUMMYFUNCTION("""COMPUTED_VALUE"""),1.3270833333333334)</f>
        <v>1.327083333</v>
      </c>
      <c r="H8">
        <f>IFERROR(__xludf.DUMMYFUNCTION("""COMPUTED_VALUE"""),6.0)</f>
        <v>6</v>
      </c>
      <c r="I8">
        <f>IFERROR(__xludf.DUMMYFUNCTION("""COMPUTED_VALUE"""),11.0)</f>
        <v>11</v>
      </c>
      <c r="J8">
        <f>IFERROR(__xludf.DUMMYFUNCTION("""COMPUTED_VALUE"""),0.545)</f>
        <v>0.545</v>
      </c>
      <c r="K8">
        <f>IFERROR(__xludf.DUMMYFUNCTION("""COMPUTED_VALUE"""),3.0)</f>
        <v>3</v>
      </c>
      <c r="L8">
        <f>IFERROR(__xludf.DUMMYFUNCTION("""COMPUTED_VALUE"""),6.0)</f>
        <v>6</v>
      </c>
      <c r="M8">
        <f>IFERROR(__xludf.DUMMYFUNCTION("""COMPUTED_VALUE"""),0.5)</f>
        <v>0.5</v>
      </c>
      <c r="N8">
        <f>IFERROR(__xludf.DUMMYFUNCTION("""COMPUTED_VALUE"""),0.0)</f>
        <v>0</v>
      </c>
      <c r="O8">
        <f>IFERROR(__xludf.DUMMYFUNCTION("""COMPUTED_VALUE"""),0.0)</f>
        <v>0</v>
      </c>
      <c r="Q8">
        <f>IFERROR(__xludf.DUMMYFUNCTION("""COMPUTED_VALUE"""),1.0)</f>
        <v>1</v>
      </c>
      <c r="R8">
        <f>IFERROR(__xludf.DUMMYFUNCTION("""COMPUTED_VALUE"""),4.0)</f>
        <v>4</v>
      </c>
      <c r="S8">
        <f>IFERROR(__xludf.DUMMYFUNCTION("""COMPUTED_VALUE"""),5.0)</f>
        <v>5</v>
      </c>
      <c r="T8">
        <f>IFERROR(__xludf.DUMMYFUNCTION("""COMPUTED_VALUE"""),9.0)</f>
        <v>9</v>
      </c>
      <c r="U8">
        <f>IFERROR(__xludf.DUMMYFUNCTION("""COMPUTED_VALUE"""),1.0)</f>
        <v>1</v>
      </c>
      <c r="V8">
        <f>IFERROR(__xludf.DUMMYFUNCTION("""COMPUTED_VALUE"""),1.0)</f>
        <v>1</v>
      </c>
      <c r="W8">
        <f>IFERROR(__xludf.DUMMYFUNCTION("""COMPUTED_VALUE"""),0.0)</f>
        <v>0</v>
      </c>
      <c r="X8">
        <f>IFERROR(__xludf.DUMMYFUNCTION("""COMPUTED_VALUE"""),4.0)</f>
        <v>4</v>
      </c>
      <c r="Y8">
        <f>IFERROR(__xludf.DUMMYFUNCTION("""COMPUTED_VALUE"""),15.0)</f>
        <v>15</v>
      </c>
      <c r="Z8" t="str">
        <f>IFERROR(__xludf.DUMMYFUNCTION("""COMPUTED_VALUE"""),"+8")</f>
        <v>+8</v>
      </c>
      <c r="AA8">
        <f>IFERROR(__xludf.DUMMYFUNCTION("""COMPUTED_VALUE"""),18.0)</f>
        <v>18</v>
      </c>
      <c r="AB8" s="10"/>
    </row>
    <row r="9">
      <c r="A9">
        <f>IFERROR(__xludf.DUMMYFUNCTION("""COMPUTED_VALUE"""),8.0)</f>
        <v>8</v>
      </c>
      <c r="B9" t="str">
        <f>IFERROR(__xludf.DUMMYFUNCTION("""COMPUTED_VALUE"""),"Kevon Looney")</f>
        <v>Kevon Looney</v>
      </c>
      <c r="C9" t="str">
        <f>IFERROR(__xludf.DUMMYFUNCTION("""COMPUTED_VALUE"""),"GSW")</f>
        <v>GSW</v>
      </c>
      <c r="D9" t="str">
        <f>IFERROR(__xludf.DUMMYFUNCTION("""COMPUTED_VALUE"""),"@")</f>
        <v>@</v>
      </c>
      <c r="E9" t="str">
        <f>IFERROR(__xludf.DUMMYFUNCTION("""COMPUTED_VALUE"""),"ORL")</f>
        <v>ORL</v>
      </c>
      <c r="F9" t="str">
        <f>IFERROR(__xludf.DUMMYFUNCTION("""COMPUTED_VALUE"""),"L")</f>
        <v>L</v>
      </c>
      <c r="G9" s="13">
        <f>IFERROR(__xludf.DUMMYFUNCTION("""COMPUTED_VALUE"""),1.2236111111111112)</f>
        <v>1.223611111</v>
      </c>
      <c r="H9">
        <f>IFERROR(__xludf.DUMMYFUNCTION("""COMPUTED_VALUE"""),8.0)</f>
        <v>8</v>
      </c>
      <c r="I9">
        <f>IFERROR(__xludf.DUMMYFUNCTION("""COMPUTED_VALUE"""),11.0)</f>
        <v>11</v>
      </c>
      <c r="J9">
        <f>IFERROR(__xludf.DUMMYFUNCTION("""COMPUTED_VALUE"""),0.727)</f>
        <v>0.727</v>
      </c>
      <c r="K9">
        <f>IFERROR(__xludf.DUMMYFUNCTION("""COMPUTED_VALUE"""),0.0)</f>
        <v>0</v>
      </c>
      <c r="L9">
        <f>IFERROR(__xludf.DUMMYFUNCTION("""COMPUTED_VALUE"""),0.0)</f>
        <v>0</v>
      </c>
      <c r="N9">
        <f>IFERROR(__xludf.DUMMYFUNCTION("""COMPUTED_VALUE"""),1.0)</f>
        <v>1</v>
      </c>
      <c r="O9">
        <f>IFERROR(__xludf.DUMMYFUNCTION("""COMPUTED_VALUE"""),1.0)</f>
        <v>1</v>
      </c>
      <c r="P9">
        <f>IFERROR(__xludf.DUMMYFUNCTION("""COMPUTED_VALUE"""),1.0)</f>
        <v>1</v>
      </c>
      <c r="Q9">
        <f>IFERROR(__xludf.DUMMYFUNCTION("""COMPUTED_VALUE"""),2.0)</f>
        <v>2</v>
      </c>
      <c r="R9">
        <f>IFERROR(__xludf.DUMMYFUNCTION("""COMPUTED_VALUE"""),5.0)</f>
        <v>5</v>
      </c>
      <c r="S9">
        <f>IFERROR(__xludf.DUMMYFUNCTION("""COMPUTED_VALUE"""),7.0)</f>
        <v>7</v>
      </c>
      <c r="T9">
        <f>IFERROR(__xludf.DUMMYFUNCTION("""COMPUTED_VALUE"""),3.0)</f>
        <v>3</v>
      </c>
      <c r="U9">
        <f>IFERROR(__xludf.DUMMYFUNCTION("""COMPUTED_VALUE"""),1.0)</f>
        <v>1</v>
      </c>
      <c r="V9">
        <f>IFERROR(__xludf.DUMMYFUNCTION("""COMPUTED_VALUE"""),0.0)</f>
        <v>0</v>
      </c>
      <c r="W9">
        <f>IFERROR(__xludf.DUMMYFUNCTION("""COMPUTED_VALUE"""),0.0)</f>
        <v>0</v>
      </c>
      <c r="X9">
        <f>IFERROR(__xludf.DUMMYFUNCTION("""COMPUTED_VALUE"""),5.0)</f>
        <v>5</v>
      </c>
      <c r="Y9">
        <f>IFERROR(__xludf.DUMMYFUNCTION("""COMPUTED_VALUE"""),17.0)</f>
        <v>17</v>
      </c>
      <c r="Z9" t="str">
        <f>IFERROR(__xludf.DUMMYFUNCTION("""COMPUTED_VALUE"""),"+10")</f>
        <v>+10</v>
      </c>
      <c r="AA9">
        <f>IFERROR(__xludf.DUMMYFUNCTION("""COMPUTED_VALUE"""),16.5)</f>
        <v>16.5</v>
      </c>
      <c r="AB9" s="10"/>
    </row>
    <row r="10">
      <c r="A10">
        <f>IFERROR(__xludf.DUMMYFUNCTION("""COMPUTED_VALUE"""),9.0)</f>
        <v>9</v>
      </c>
      <c r="B10" t="str">
        <f>IFERROR(__xludf.DUMMYFUNCTION("""COMPUTED_VALUE"""),"Jamal Murray")</f>
        <v>Jamal Murray</v>
      </c>
      <c r="C10" t="str">
        <f>IFERROR(__xludf.DUMMYFUNCTION("""COMPUTED_VALUE"""),"DEN")</f>
        <v>DEN</v>
      </c>
      <c r="D10" t="str">
        <f>IFERROR(__xludf.DUMMYFUNCTION("""COMPUTED_VALUE"""),"@")</f>
        <v>@</v>
      </c>
      <c r="E10" t="str">
        <f>IFERROR(__xludf.DUMMYFUNCTION("""COMPUTED_VALUE"""),"OKC")</f>
        <v>OKC</v>
      </c>
      <c r="F10" t="str">
        <f>IFERROR(__xludf.DUMMYFUNCTION("""COMPUTED_VALUE"""),"W")</f>
        <v>W</v>
      </c>
      <c r="G10" s="13">
        <f>IFERROR(__xludf.DUMMYFUNCTION("""COMPUTED_VALUE"""),1.3729166666666666)</f>
        <v>1.372916667</v>
      </c>
      <c r="H10">
        <f>IFERROR(__xludf.DUMMYFUNCTION("""COMPUTED_VALUE"""),8.0)</f>
        <v>8</v>
      </c>
      <c r="I10">
        <f>IFERROR(__xludf.DUMMYFUNCTION("""COMPUTED_VALUE"""),19.0)</f>
        <v>19</v>
      </c>
      <c r="J10">
        <f>IFERROR(__xludf.DUMMYFUNCTION("""COMPUTED_VALUE"""),0.421)</f>
        <v>0.421</v>
      </c>
      <c r="K10">
        <f>IFERROR(__xludf.DUMMYFUNCTION("""COMPUTED_VALUE"""),4.0)</f>
        <v>4</v>
      </c>
      <c r="L10">
        <f>IFERROR(__xludf.DUMMYFUNCTION("""COMPUTED_VALUE"""),6.0)</f>
        <v>6</v>
      </c>
      <c r="M10">
        <f>IFERROR(__xludf.DUMMYFUNCTION("""COMPUTED_VALUE"""),0.667)</f>
        <v>0.667</v>
      </c>
      <c r="N10">
        <f>IFERROR(__xludf.DUMMYFUNCTION("""COMPUTED_VALUE"""),4.0)</f>
        <v>4</v>
      </c>
      <c r="O10">
        <f>IFERROR(__xludf.DUMMYFUNCTION("""COMPUTED_VALUE"""),4.0)</f>
        <v>4</v>
      </c>
      <c r="P10">
        <f>IFERROR(__xludf.DUMMYFUNCTION("""COMPUTED_VALUE"""),1.0)</f>
        <v>1</v>
      </c>
      <c r="Q10">
        <f>IFERROR(__xludf.DUMMYFUNCTION("""COMPUTED_VALUE"""),1.0)</f>
        <v>1</v>
      </c>
      <c r="R10">
        <f>IFERROR(__xludf.DUMMYFUNCTION("""COMPUTED_VALUE"""),4.0)</f>
        <v>4</v>
      </c>
      <c r="S10">
        <f>IFERROR(__xludf.DUMMYFUNCTION("""COMPUTED_VALUE"""),5.0)</f>
        <v>5</v>
      </c>
      <c r="T10">
        <f>IFERROR(__xludf.DUMMYFUNCTION("""COMPUTED_VALUE"""),2.0)</f>
        <v>2</v>
      </c>
      <c r="U10">
        <f>IFERROR(__xludf.DUMMYFUNCTION("""COMPUTED_VALUE"""),0.0)</f>
        <v>0</v>
      </c>
      <c r="V10">
        <f>IFERROR(__xludf.DUMMYFUNCTION("""COMPUTED_VALUE"""),0.0)</f>
        <v>0</v>
      </c>
      <c r="W10">
        <f>IFERROR(__xludf.DUMMYFUNCTION("""COMPUTED_VALUE"""),2.0)</f>
        <v>2</v>
      </c>
      <c r="X10">
        <f>IFERROR(__xludf.DUMMYFUNCTION("""COMPUTED_VALUE"""),0.0)</f>
        <v>0</v>
      </c>
      <c r="Y10">
        <f>IFERROR(__xludf.DUMMYFUNCTION("""COMPUTED_VALUE"""),24.0)</f>
        <v>24</v>
      </c>
      <c r="Z10" t="str">
        <f>IFERROR(__xludf.DUMMYFUNCTION("""COMPUTED_VALUE"""),"+2")</f>
        <v>+2</v>
      </c>
      <c r="AA10">
        <f>IFERROR(__xludf.DUMMYFUNCTION("""COMPUTED_VALUE"""),15.2)</f>
        <v>15.2</v>
      </c>
      <c r="AB10" s="10"/>
    </row>
    <row r="11">
      <c r="A11">
        <f>IFERROR(__xludf.DUMMYFUNCTION("""COMPUTED_VALUE"""),10.0)</f>
        <v>10</v>
      </c>
      <c r="B11" t="str">
        <f>IFERROR(__xludf.DUMMYFUNCTION("""COMPUTED_VALUE"""),"Nikola Jokić")</f>
        <v>Nikola Jokić</v>
      </c>
      <c r="C11" t="str">
        <f>IFERROR(__xludf.DUMMYFUNCTION("""COMPUTED_VALUE"""),"DEN")</f>
        <v>DEN</v>
      </c>
      <c r="D11" t="str">
        <f>IFERROR(__xludf.DUMMYFUNCTION("""COMPUTED_VALUE"""),"@")</f>
        <v>@</v>
      </c>
      <c r="E11" t="str">
        <f>IFERROR(__xludf.DUMMYFUNCTION("""COMPUTED_VALUE"""),"OKC")</f>
        <v>OKC</v>
      </c>
      <c r="F11" t="str">
        <f>IFERROR(__xludf.DUMMYFUNCTION("""COMPUTED_VALUE"""),"W")</f>
        <v>W</v>
      </c>
      <c r="G11" s="13">
        <f>IFERROR(__xludf.DUMMYFUNCTION("""COMPUTED_VALUE"""),1.4847222222222223)</f>
        <v>1.484722222</v>
      </c>
      <c r="H11">
        <f>IFERROR(__xludf.DUMMYFUNCTION("""COMPUTED_VALUE"""),6.0)</f>
        <v>6</v>
      </c>
      <c r="I11">
        <f>IFERROR(__xludf.DUMMYFUNCTION("""COMPUTED_VALUE"""),9.0)</f>
        <v>9</v>
      </c>
      <c r="J11">
        <f>IFERROR(__xludf.DUMMYFUNCTION("""COMPUTED_VALUE"""),0.667)</f>
        <v>0.667</v>
      </c>
      <c r="K11">
        <f>IFERROR(__xludf.DUMMYFUNCTION("""COMPUTED_VALUE"""),0.0)</f>
        <v>0</v>
      </c>
      <c r="L11">
        <f>IFERROR(__xludf.DUMMYFUNCTION("""COMPUTED_VALUE"""),0.0)</f>
        <v>0</v>
      </c>
      <c r="N11">
        <f>IFERROR(__xludf.DUMMYFUNCTION("""COMPUTED_VALUE"""),3.0)</f>
        <v>3</v>
      </c>
      <c r="O11">
        <f>IFERROR(__xludf.DUMMYFUNCTION("""COMPUTED_VALUE"""),3.0)</f>
        <v>3</v>
      </c>
      <c r="P11">
        <f>IFERROR(__xludf.DUMMYFUNCTION("""COMPUTED_VALUE"""),1.0)</f>
        <v>1</v>
      </c>
      <c r="Q11">
        <f>IFERROR(__xludf.DUMMYFUNCTION("""COMPUTED_VALUE"""),0.0)</f>
        <v>0</v>
      </c>
      <c r="R11">
        <f>IFERROR(__xludf.DUMMYFUNCTION("""COMPUTED_VALUE"""),13.0)</f>
        <v>13</v>
      </c>
      <c r="S11">
        <f>IFERROR(__xludf.DUMMYFUNCTION("""COMPUTED_VALUE"""),13.0)</f>
        <v>13</v>
      </c>
      <c r="T11">
        <f>IFERROR(__xludf.DUMMYFUNCTION("""COMPUTED_VALUE"""),14.0)</f>
        <v>14</v>
      </c>
      <c r="U11">
        <f>IFERROR(__xludf.DUMMYFUNCTION("""COMPUTED_VALUE"""),1.0)</f>
        <v>1</v>
      </c>
      <c r="V11">
        <f>IFERROR(__xludf.DUMMYFUNCTION("""COMPUTED_VALUE"""),0.0)</f>
        <v>0</v>
      </c>
      <c r="W11">
        <f>IFERROR(__xludf.DUMMYFUNCTION("""COMPUTED_VALUE"""),10.0)</f>
        <v>10</v>
      </c>
      <c r="X11">
        <f>IFERROR(__xludf.DUMMYFUNCTION("""COMPUTED_VALUE"""),3.0)</f>
        <v>3</v>
      </c>
      <c r="Y11">
        <f>IFERROR(__xludf.DUMMYFUNCTION("""COMPUTED_VALUE"""),15.0)</f>
        <v>15</v>
      </c>
      <c r="Z11" t="str">
        <f>IFERROR(__xludf.DUMMYFUNCTION("""COMPUTED_VALUE"""),"+15")</f>
        <v>+15</v>
      </c>
      <c r="AA11">
        <f>IFERROR(__xludf.DUMMYFUNCTION("""COMPUTED_VALUE"""),14.6)</f>
        <v>14.6</v>
      </c>
      <c r="AB11" s="10"/>
    </row>
    <row r="12">
      <c r="A12">
        <f>IFERROR(__xludf.DUMMYFUNCTION("""COMPUTED_VALUE"""),11.0)</f>
        <v>11</v>
      </c>
      <c r="B12" t="str">
        <f>IFERROR(__xludf.DUMMYFUNCTION("""COMPUTED_VALUE"""),"Luguentz Dort")</f>
        <v>Luguentz Dort</v>
      </c>
      <c r="C12" t="str">
        <f>IFERROR(__xludf.DUMMYFUNCTION("""COMPUTED_VALUE"""),"OKC")</f>
        <v>OKC</v>
      </c>
      <c r="E12" t="str">
        <f>IFERROR(__xludf.DUMMYFUNCTION("""COMPUTED_VALUE"""),"DEN")</f>
        <v>DEN</v>
      </c>
      <c r="F12" t="str">
        <f>IFERROR(__xludf.DUMMYFUNCTION("""COMPUTED_VALUE"""),"L")</f>
        <v>L</v>
      </c>
      <c r="G12" s="13">
        <f>IFERROR(__xludf.DUMMYFUNCTION("""COMPUTED_VALUE"""),1.275)</f>
        <v>1.275</v>
      </c>
      <c r="H12">
        <f>IFERROR(__xludf.DUMMYFUNCTION("""COMPUTED_VALUE"""),8.0)</f>
        <v>8</v>
      </c>
      <c r="I12">
        <f>IFERROR(__xludf.DUMMYFUNCTION("""COMPUTED_VALUE"""),15.0)</f>
        <v>15</v>
      </c>
      <c r="J12">
        <f>IFERROR(__xludf.DUMMYFUNCTION("""COMPUTED_VALUE"""),0.533)</f>
        <v>0.533</v>
      </c>
      <c r="K12">
        <f>IFERROR(__xludf.DUMMYFUNCTION("""COMPUTED_VALUE"""),1.0)</f>
        <v>1</v>
      </c>
      <c r="L12">
        <f>IFERROR(__xludf.DUMMYFUNCTION("""COMPUTED_VALUE"""),6.0)</f>
        <v>6</v>
      </c>
      <c r="M12">
        <f>IFERROR(__xludf.DUMMYFUNCTION("""COMPUTED_VALUE"""),0.167)</f>
        <v>0.167</v>
      </c>
      <c r="N12">
        <f>IFERROR(__xludf.DUMMYFUNCTION("""COMPUTED_VALUE"""),2.0)</f>
        <v>2</v>
      </c>
      <c r="O12">
        <f>IFERROR(__xludf.DUMMYFUNCTION("""COMPUTED_VALUE"""),3.0)</f>
        <v>3</v>
      </c>
      <c r="P12">
        <f>IFERROR(__xludf.DUMMYFUNCTION("""COMPUTED_VALUE"""),0.667)</f>
        <v>0.667</v>
      </c>
      <c r="Q12">
        <f>IFERROR(__xludf.DUMMYFUNCTION("""COMPUTED_VALUE"""),0.0)</f>
        <v>0</v>
      </c>
      <c r="R12">
        <f>IFERROR(__xludf.DUMMYFUNCTION("""COMPUTED_VALUE"""),3.0)</f>
        <v>3</v>
      </c>
      <c r="S12">
        <f>IFERROR(__xludf.DUMMYFUNCTION("""COMPUTED_VALUE"""),3.0)</f>
        <v>3</v>
      </c>
      <c r="T12">
        <f>IFERROR(__xludf.DUMMYFUNCTION("""COMPUTED_VALUE"""),1.0)</f>
        <v>1</v>
      </c>
      <c r="U12">
        <f>IFERROR(__xludf.DUMMYFUNCTION("""COMPUTED_VALUE"""),1.0)</f>
        <v>1</v>
      </c>
      <c r="V12">
        <f>IFERROR(__xludf.DUMMYFUNCTION("""COMPUTED_VALUE"""),1.0)</f>
        <v>1</v>
      </c>
      <c r="W12">
        <f>IFERROR(__xludf.DUMMYFUNCTION("""COMPUTED_VALUE"""),0.0)</f>
        <v>0</v>
      </c>
      <c r="X12">
        <f>IFERROR(__xludf.DUMMYFUNCTION("""COMPUTED_VALUE"""),2.0)</f>
        <v>2</v>
      </c>
      <c r="Y12">
        <f>IFERROR(__xludf.DUMMYFUNCTION("""COMPUTED_VALUE"""),19.0)</f>
        <v>19</v>
      </c>
      <c r="Z12">
        <f>IFERROR(__xludf.DUMMYFUNCTION("""COMPUTED_VALUE"""),-4.0)</f>
        <v>-4</v>
      </c>
      <c r="AA12">
        <f>IFERROR(__xludf.DUMMYFUNCTION("""COMPUTED_VALUE"""),13.8)</f>
        <v>13.8</v>
      </c>
      <c r="AB12" s="10"/>
    </row>
    <row r="13">
      <c r="A13">
        <f>IFERROR(__xludf.DUMMYFUNCTION("""COMPUTED_VALUE"""),12.0)</f>
        <v>12</v>
      </c>
      <c r="B13" t="str">
        <f>IFERROR(__xludf.DUMMYFUNCTION("""COMPUTED_VALUE"""),"Paolo Banchero")</f>
        <v>Paolo Banchero</v>
      </c>
      <c r="C13" t="str">
        <f>IFERROR(__xludf.DUMMYFUNCTION("""COMPUTED_VALUE"""),"ORL")</f>
        <v>ORL</v>
      </c>
      <c r="E13" t="str">
        <f>IFERROR(__xludf.DUMMYFUNCTION("""COMPUTED_VALUE"""),"GSW")</f>
        <v>GSW</v>
      </c>
      <c r="F13" t="str">
        <f>IFERROR(__xludf.DUMMYFUNCTION("""COMPUTED_VALUE"""),"W")</f>
        <v>W</v>
      </c>
      <c r="G13" s="13">
        <f>IFERROR(__xludf.DUMMYFUNCTION("""COMPUTED_VALUE"""),1.5041666666666667)</f>
        <v>1.504166667</v>
      </c>
      <c r="H13">
        <f>IFERROR(__xludf.DUMMYFUNCTION("""COMPUTED_VALUE"""),8.0)</f>
        <v>8</v>
      </c>
      <c r="I13">
        <f>IFERROR(__xludf.DUMMYFUNCTION("""COMPUTED_VALUE"""),17.0)</f>
        <v>17</v>
      </c>
      <c r="J13">
        <f>IFERROR(__xludf.DUMMYFUNCTION("""COMPUTED_VALUE"""),0.471)</f>
        <v>0.471</v>
      </c>
      <c r="K13">
        <f>IFERROR(__xludf.DUMMYFUNCTION("""COMPUTED_VALUE"""),0.0)</f>
        <v>0</v>
      </c>
      <c r="L13">
        <f>IFERROR(__xludf.DUMMYFUNCTION("""COMPUTED_VALUE"""),4.0)</f>
        <v>4</v>
      </c>
      <c r="M13">
        <f>IFERROR(__xludf.DUMMYFUNCTION("""COMPUTED_VALUE"""),0.0)</f>
        <v>0</v>
      </c>
      <c r="N13">
        <f>IFERROR(__xludf.DUMMYFUNCTION("""COMPUTED_VALUE"""),6.0)</f>
        <v>6</v>
      </c>
      <c r="O13">
        <f>IFERROR(__xludf.DUMMYFUNCTION("""COMPUTED_VALUE"""),9.0)</f>
        <v>9</v>
      </c>
      <c r="P13">
        <f>IFERROR(__xludf.DUMMYFUNCTION("""COMPUTED_VALUE"""),0.667)</f>
        <v>0.667</v>
      </c>
      <c r="Q13">
        <f>IFERROR(__xludf.DUMMYFUNCTION("""COMPUTED_VALUE"""),0.0)</f>
        <v>0</v>
      </c>
      <c r="R13">
        <f>IFERROR(__xludf.DUMMYFUNCTION("""COMPUTED_VALUE"""),8.0)</f>
        <v>8</v>
      </c>
      <c r="S13">
        <f>IFERROR(__xludf.DUMMYFUNCTION("""COMPUTED_VALUE"""),8.0)</f>
        <v>8</v>
      </c>
      <c r="T13">
        <f>IFERROR(__xludf.DUMMYFUNCTION("""COMPUTED_VALUE"""),3.0)</f>
        <v>3</v>
      </c>
      <c r="U13">
        <f>IFERROR(__xludf.DUMMYFUNCTION("""COMPUTED_VALUE"""),1.0)</f>
        <v>1</v>
      </c>
      <c r="V13">
        <f>IFERROR(__xludf.DUMMYFUNCTION("""COMPUTED_VALUE"""),1.0)</f>
        <v>1</v>
      </c>
      <c r="W13">
        <f>IFERROR(__xludf.DUMMYFUNCTION("""COMPUTED_VALUE"""),5.0)</f>
        <v>5</v>
      </c>
      <c r="X13">
        <f>IFERROR(__xludf.DUMMYFUNCTION("""COMPUTED_VALUE"""),3.0)</f>
        <v>3</v>
      </c>
      <c r="Y13">
        <f>IFERROR(__xludf.DUMMYFUNCTION("""COMPUTED_VALUE"""),22.0)</f>
        <v>22</v>
      </c>
      <c r="Z13">
        <f>IFERROR(__xludf.DUMMYFUNCTION("""COMPUTED_VALUE"""),-19.0)</f>
        <v>-19</v>
      </c>
      <c r="AA13">
        <f>IFERROR(__xludf.DUMMYFUNCTION("""COMPUTED_VALUE"""),12.1)</f>
        <v>12.1</v>
      </c>
      <c r="AB13" s="10"/>
    </row>
    <row r="14">
      <c r="A14">
        <f>IFERROR(__xludf.DUMMYFUNCTION("""COMPUTED_VALUE"""),13.0)</f>
        <v>13</v>
      </c>
      <c r="B14" t="str">
        <f>IFERROR(__xludf.DUMMYFUNCTION("""COMPUTED_VALUE"""),"Wendell Carter Jr.")</f>
        <v>Wendell Carter Jr.</v>
      </c>
      <c r="C14" t="str">
        <f>IFERROR(__xludf.DUMMYFUNCTION("""COMPUTED_VALUE"""),"ORL")</f>
        <v>ORL</v>
      </c>
      <c r="E14" t="str">
        <f>IFERROR(__xludf.DUMMYFUNCTION("""COMPUTED_VALUE"""),"GSW")</f>
        <v>GSW</v>
      </c>
      <c r="F14" t="str">
        <f>IFERROR(__xludf.DUMMYFUNCTION("""COMPUTED_VALUE"""),"W")</f>
        <v>W</v>
      </c>
      <c r="G14" s="13">
        <f>IFERROR(__xludf.DUMMYFUNCTION("""COMPUTED_VALUE"""),1.3881944444444445)</f>
        <v>1.388194444</v>
      </c>
      <c r="H14">
        <f>IFERROR(__xludf.DUMMYFUNCTION("""COMPUTED_VALUE"""),4.0)</f>
        <v>4</v>
      </c>
      <c r="I14">
        <f>IFERROR(__xludf.DUMMYFUNCTION("""COMPUTED_VALUE"""),9.0)</f>
        <v>9</v>
      </c>
      <c r="J14">
        <f>IFERROR(__xludf.DUMMYFUNCTION("""COMPUTED_VALUE"""),0.444)</f>
        <v>0.444</v>
      </c>
      <c r="K14">
        <f>IFERROR(__xludf.DUMMYFUNCTION("""COMPUTED_VALUE"""),2.0)</f>
        <v>2</v>
      </c>
      <c r="L14">
        <f>IFERROR(__xludf.DUMMYFUNCTION("""COMPUTED_VALUE"""),4.0)</f>
        <v>4</v>
      </c>
      <c r="M14">
        <f>IFERROR(__xludf.DUMMYFUNCTION("""COMPUTED_VALUE"""),0.5)</f>
        <v>0.5</v>
      </c>
      <c r="N14">
        <f>IFERROR(__xludf.DUMMYFUNCTION("""COMPUTED_VALUE"""),4.0)</f>
        <v>4</v>
      </c>
      <c r="O14">
        <f>IFERROR(__xludf.DUMMYFUNCTION("""COMPUTED_VALUE"""),6.0)</f>
        <v>6</v>
      </c>
      <c r="P14">
        <f>IFERROR(__xludf.DUMMYFUNCTION("""COMPUTED_VALUE"""),0.667)</f>
        <v>0.667</v>
      </c>
      <c r="Q14">
        <f>IFERROR(__xludf.DUMMYFUNCTION("""COMPUTED_VALUE"""),2.0)</f>
        <v>2</v>
      </c>
      <c r="R14">
        <f>IFERROR(__xludf.DUMMYFUNCTION("""COMPUTED_VALUE"""),7.0)</f>
        <v>7</v>
      </c>
      <c r="S14">
        <f>IFERROR(__xludf.DUMMYFUNCTION("""COMPUTED_VALUE"""),9.0)</f>
        <v>9</v>
      </c>
      <c r="T14">
        <f>IFERROR(__xludf.DUMMYFUNCTION("""COMPUTED_VALUE"""),2.0)</f>
        <v>2</v>
      </c>
      <c r="U14">
        <f>IFERROR(__xludf.DUMMYFUNCTION("""COMPUTED_VALUE"""),1.0)</f>
        <v>1</v>
      </c>
      <c r="V14">
        <f>IFERROR(__xludf.DUMMYFUNCTION("""COMPUTED_VALUE"""),1.0)</f>
        <v>1</v>
      </c>
      <c r="W14">
        <f>IFERROR(__xludf.DUMMYFUNCTION("""COMPUTED_VALUE"""),2.0)</f>
        <v>2</v>
      </c>
      <c r="X14">
        <f>IFERROR(__xludf.DUMMYFUNCTION("""COMPUTED_VALUE"""),3.0)</f>
        <v>3</v>
      </c>
      <c r="Y14">
        <f>IFERROR(__xludf.DUMMYFUNCTION("""COMPUTED_VALUE"""),14.0)</f>
        <v>14</v>
      </c>
      <c r="Z14">
        <f>IFERROR(__xludf.DUMMYFUNCTION("""COMPUTED_VALUE"""),-2.0)</f>
        <v>-2</v>
      </c>
      <c r="AA14">
        <f>IFERROR(__xludf.DUMMYFUNCTION("""COMPUTED_VALUE"""),11.9)</f>
        <v>11.9</v>
      </c>
      <c r="AB14" s="10"/>
    </row>
    <row r="15">
      <c r="A15">
        <f>IFERROR(__xludf.DUMMYFUNCTION("""COMPUTED_VALUE"""),14.0)</f>
        <v>14</v>
      </c>
      <c r="B15" t="str">
        <f>IFERROR(__xludf.DUMMYFUNCTION("""COMPUTED_VALUE"""),"R.J. Hampton")</f>
        <v>R.J. Hampton</v>
      </c>
      <c r="C15" t="str">
        <f>IFERROR(__xludf.DUMMYFUNCTION("""COMPUTED_VALUE"""),"ORL")</f>
        <v>ORL</v>
      </c>
      <c r="E15" t="str">
        <f>IFERROR(__xludf.DUMMYFUNCTION("""COMPUTED_VALUE"""),"GSW")</f>
        <v>GSW</v>
      </c>
      <c r="F15" t="str">
        <f>IFERROR(__xludf.DUMMYFUNCTION("""COMPUTED_VALUE"""),"W")</f>
        <v>W</v>
      </c>
      <c r="G15" s="18">
        <f>IFERROR(__xludf.DUMMYFUNCTION("""COMPUTED_VALUE"""),0.8451388888888889)</f>
        <v>0.8451388889</v>
      </c>
      <c r="H15">
        <f>IFERROR(__xludf.DUMMYFUNCTION("""COMPUTED_VALUE"""),4.0)</f>
        <v>4</v>
      </c>
      <c r="I15">
        <f>IFERROR(__xludf.DUMMYFUNCTION("""COMPUTED_VALUE"""),6.0)</f>
        <v>6</v>
      </c>
      <c r="J15">
        <f>IFERROR(__xludf.DUMMYFUNCTION("""COMPUTED_VALUE"""),0.667)</f>
        <v>0.667</v>
      </c>
      <c r="K15">
        <f>IFERROR(__xludf.DUMMYFUNCTION("""COMPUTED_VALUE"""),3.0)</f>
        <v>3</v>
      </c>
      <c r="L15">
        <f>IFERROR(__xludf.DUMMYFUNCTION("""COMPUTED_VALUE"""),5.0)</f>
        <v>5</v>
      </c>
      <c r="M15">
        <f>IFERROR(__xludf.DUMMYFUNCTION("""COMPUTED_VALUE"""),0.6)</f>
        <v>0.6</v>
      </c>
      <c r="N15">
        <f>IFERROR(__xludf.DUMMYFUNCTION("""COMPUTED_VALUE"""),4.0)</f>
        <v>4</v>
      </c>
      <c r="O15">
        <f>IFERROR(__xludf.DUMMYFUNCTION("""COMPUTED_VALUE"""),4.0)</f>
        <v>4</v>
      </c>
      <c r="P15">
        <f>IFERROR(__xludf.DUMMYFUNCTION("""COMPUTED_VALUE"""),1.0)</f>
        <v>1</v>
      </c>
      <c r="Q15">
        <f>IFERROR(__xludf.DUMMYFUNCTION("""COMPUTED_VALUE"""),1.0)</f>
        <v>1</v>
      </c>
      <c r="R15">
        <f>IFERROR(__xludf.DUMMYFUNCTION("""COMPUTED_VALUE"""),1.0)</f>
        <v>1</v>
      </c>
      <c r="S15">
        <f>IFERROR(__xludf.DUMMYFUNCTION("""COMPUTED_VALUE"""),2.0)</f>
        <v>2</v>
      </c>
      <c r="T15">
        <f>IFERROR(__xludf.DUMMYFUNCTION("""COMPUTED_VALUE"""),0.0)</f>
        <v>0</v>
      </c>
      <c r="U15">
        <f>IFERROR(__xludf.DUMMYFUNCTION("""COMPUTED_VALUE"""),1.0)</f>
        <v>1</v>
      </c>
      <c r="V15">
        <f>IFERROR(__xludf.DUMMYFUNCTION("""COMPUTED_VALUE"""),1.0)</f>
        <v>1</v>
      </c>
      <c r="W15">
        <f>IFERROR(__xludf.DUMMYFUNCTION("""COMPUTED_VALUE"""),3.0)</f>
        <v>3</v>
      </c>
      <c r="X15">
        <f>IFERROR(__xludf.DUMMYFUNCTION("""COMPUTED_VALUE"""),3.0)</f>
        <v>3</v>
      </c>
      <c r="Y15">
        <f>IFERROR(__xludf.DUMMYFUNCTION("""COMPUTED_VALUE"""),15.0)</f>
        <v>15</v>
      </c>
      <c r="Z15" t="str">
        <f>IFERROR(__xludf.DUMMYFUNCTION("""COMPUTED_VALUE"""),"+6")</f>
        <v>+6</v>
      </c>
      <c r="AA15">
        <f>IFERROR(__xludf.DUMMYFUNCTION("""COMPUTED_VALUE"""),10.9)</f>
        <v>10.9</v>
      </c>
      <c r="AB15" s="10"/>
    </row>
    <row r="16">
      <c r="A16">
        <f>IFERROR(__xludf.DUMMYFUNCTION("""COMPUTED_VALUE"""),15.0)</f>
        <v>15</v>
      </c>
      <c r="B16" t="str">
        <f>IFERROR(__xludf.DUMMYFUNCTION("""COMPUTED_VALUE"""),"Draymond Green")</f>
        <v>Draymond Green</v>
      </c>
      <c r="C16" t="str">
        <f>IFERROR(__xludf.DUMMYFUNCTION("""COMPUTED_VALUE"""),"GSW")</f>
        <v>GSW</v>
      </c>
      <c r="D16" t="str">
        <f>IFERROR(__xludf.DUMMYFUNCTION("""COMPUTED_VALUE"""),"@")</f>
        <v>@</v>
      </c>
      <c r="E16" t="str">
        <f>IFERROR(__xludf.DUMMYFUNCTION("""COMPUTED_VALUE"""),"ORL")</f>
        <v>ORL</v>
      </c>
      <c r="F16" t="str">
        <f>IFERROR(__xludf.DUMMYFUNCTION("""COMPUTED_VALUE"""),"L")</f>
        <v>L</v>
      </c>
      <c r="G16" s="13">
        <f>IFERROR(__xludf.DUMMYFUNCTION("""COMPUTED_VALUE"""),1.24375)</f>
        <v>1.24375</v>
      </c>
      <c r="H16">
        <f>IFERROR(__xludf.DUMMYFUNCTION("""COMPUTED_VALUE"""),4.0)</f>
        <v>4</v>
      </c>
      <c r="I16">
        <f>IFERROR(__xludf.DUMMYFUNCTION("""COMPUTED_VALUE"""),5.0)</f>
        <v>5</v>
      </c>
      <c r="J16">
        <f>IFERROR(__xludf.DUMMYFUNCTION("""COMPUTED_VALUE"""),0.8)</f>
        <v>0.8</v>
      </c>
      <c r="K16">
        <f>IFERROR(__xludf.DUMMYFUNCTION("""COMPUTED_VALUE"""),0.0)</f>
        <v>0</v>
      </c>
      <c r="L16">
        <f>IFERROR(__xludf.DUMMYFUNCTION("""COMPUTED_VALUE"""),0.0)</f>
        <v>0</v>
      </c>
      <c r="N16">
        <f>IFERROR(__xludf.DUMMYFUNCTION("""COMPUTED_VALUE"""),0.0)</f>
        <v>0</v>
      </c>
      <c r="O16">
        <f>IFERROR(__xludf.DUMMYFUNCTION("""COMPUTED_VALUE"""),1.0)</f>
        <v>1</v>
      </c>
      <c r="P16">
        <f>IFERROR(__xludf.DUMMYFUNCTION("""COMPUTED_VALUE"""),0.0)</f>
        <v>0</v>
      </c>
      <c r="Q16">
        <f>IFERROR(__xludf.DUMMYFUNCTION("""COMPUTED_VALUE"""),0.0)</f>
        <v>0</v>
      </c>
      <c r="R16">
        <f>IFERROR(__xludf.DUMMYFUNCTION("""COMPUTED_VALUE"""),5.0)</f>
        <v>5</v>
      </c>
      <c r="S16">
        <f>IFERROR(__xludf.DUMMYFUNCTION("""COMPUTED_VALUE"""),5.0)</f>
        <v>5</v>
      </c>
      <c r="T16">
        <f>IFERROR(__xludf.DUMMYFUNCTION("""COMPUTED_VALUE"""),7.0)</f>
        <v>7</v>
      </c>
      <c r="U16">
        <f>IFERROR(__xludf.DUMMYFUNCTION("""COMPUTED_VALUE"""),1.0)</f>
        <v>1</v>
      </c>
      <c r="V16">
        <f>IFERROR(__xludf.DUMMYFUNCTION("""COMPUTED_VALUE"""),0.0)</f>
        <v>0</v>
      </c>
      <c r="W16">
        <f>IFERROR(__xludf.DUMMYFUNCTION("""COMPUTED_VALUE"""),0.0)</f>
        <v>0</v>
      </c>
      <c r="X16">
        <f>IFERROR(__xludf.DUMMYFUNCTION("""COMPUTED_VALUE"""),6.0)</f>
        <v>6</v>
      </c>
      <c r="Y16">
        <f>IFERROR(__xludf.DUMMYFUNCTION("""COMPUTED_VALUE"""),8.0)</f>
        <v>8</v>
      </c>
      <c r="Z16" t="str">
        <f>IFERROR(__xludf.DUMMYFUNCTION("""COMPUTED_VALUE"""),"+5")</f>
        <v>+5</v>
      </c>
      <c r="AA16">
        <f>IFERROR(__xludf.DUMMYFUNCTION("""COMPUTED_VALUE"""),10.7)</f>
        <v>10.7</v>
      </c>
      <c r="AB16" s="10"/>
    </row>
    <row r="17">
      <c r="A17">
        <f>IFERROR(__xludf.DUMMYFUNCTION("""COMPUTED_VALUE"""),16.0)</f>
        <v>16</v>
      </c>
      <c r="B17" t="str">
        <f>IFERROR(__xludf.DUMMYFUNCTION("""COMPUTED_VALUE"""),"Kevon Harris")</f>
        <v>Kevon Harris</v>
      </c>
      <c r="C17" t="str">
        <f>IFERROR(__xludf.DUMMYFUNCTION("""COMPUTED_VALUE"""),"ORL")</f>
        <v>ORL</v>
      </c>
      <c r="E17" t="str">
        <f>IFERROR(__xludf.DUMMYFUNCTION("""COMPUTED_VALUE"""),"GSW")</f>
        <v>GSW</v>
      </c>
      <c r="F17" t="str">
        <f>IFERROR(__xludf.DUMMYFUNCTION("""COMPUTED_VALUE"""),"W")</f>
        <v>W</v>
      </c>
      <c r="G17" s="18">
        <f>IFERROR(__xludf.DUMMYFUNCTION("""COMPUTED_VALUE"""),0.8680555555555556)</f>
        <v>0.8680555556</v>
      </c>
      <c r="H17">
        <f>IFERROR(__xludf.DUMMYFUNCTION("""COMPUTED_VALUE"""),4.0)</f>
        <v>4</v>
      </c>
      <c r="I17">
        <f>IFERROR(__xludf.DUMMYFUNCTION("""COMPUTED_VALUE"""),7.0)</f>
        <v>7</v>
      </c>
      <c r="J17">
        <f>IFERROR(__xludf.DUMMYFUNCTION("""COMPUTED_VALUE"""),0.571)</f>
        <v>0.571</v>
      </c>
      <c r="K17">
        <f>IFERROR(__xludf.DUMMYFUNCTION("""COMPUTED_VALUE"""),2.0)</f>
        <v>2</v>
      </c>
      <c r="L17">
        <f>IFERROR(__xludf.DUMMYFUNCTION("""COMPUTED_VALUE"""),3.0)</f>
        <v>3</v>
      </c>
      <c r="M17">
        <f>IFERROR(__xludf.DUMMYFUNCTION("""COMPUTED_VALUE"""),0.667)</f>
        <v>0.667</v>
      </c>
      <c r="N17">
        <f>IFERROR(__xludf.DUMMYFUNCTION("""COMPUTED_VALUE"""),2.0)</f>
        <v>2</v>
      </c>
      <c r="O17">
        <f>IFERROR(__xludf.DUMMYFUNCTION("""COMPUTED_VALUE"""),3.0)</f>
        <v>3</v>
      </c>
      <c r="P17">
        <f>IFERROR(__xludf.DUMMYFUNCTION("""COMPUTED_VALUE"""),0.667)</f>
        <v>0.667</v>
      </c>
      <c r="Q17">
        <f>IFERROR(__xludf.DUMMYFUNCTION("""COMPUTED_VALUE"""),4.0)</f>
        <v>4</v>
      </c>
      <c r="R17">
        <f>IFERROR(__xludf.DUMMYFUNCTION("""COMPUTED_VALUE"""),1.0)</f>
        <v>1</v>
      </c>
      <c r="S17">
        <f>IFERROR(__xludf.DUMMYFUNCTION("""COMPUTED_VALUE"""),5.0)</f>
        <v>5</v>
      </c>
      <c r="T17">
        <f>IFERROR(__xludf.DUMMYFUNCTION("""COMPUTED_VALUE"""),0.0)</f>
        <v>0</v>
      </c>
      <c r="U17">
        <f>IFERROR(__xludf.DUMMYFUNCTION("""COMPUTED_VALUE"""),1.0)</f>
        <v>1</v>
      </c>
      <c r="V17">
        <f>IFERROR(__xludf.DUMMYFUNCTION("""COMPUTED_VALUE"""),0.0)</f>
        <v>0</v>
      </c>
      <c r="W17">
        <f>IFERROR(__xludf.DUMMYFUNCTION("""COMPUTED_VALUE"""),1.0)</f>
        <v>1</v>
      </c>
      <c r="X17">
        <f>IFERROR(__xludf.DUMMYFUNCTION("""COMPUTED_VALUE"""),2.0)</f>
        <v>2</v>
      </c>
      <c r="Y17">
        <f>IFERROR(__xludf.DUMMYFUNCTION("""COMPUTED_VALUE"""),12.0)</f>
        <v>12</v>
      </c>
      <c r="Z17" t="str">
        <f>IFERROR(__xludf.DUMMYFUNCTION("""COMPUTED_VALUE"""),"+12")</f>
        <v>+12</v>
      </c>
      <c r="AA17">
        <f>IFERROR(__xludf.DUMMYFUNCTION("""COMPUTED_VALUE"""),10.6)</f>
        <v>10.6</v>
      </c>
      <c r="AB17" s="10"/>
    </row>
    <row r="18">
      <c r="A18">
        <f>IFERROR(__xludf.DUMMYFUNCTION("""COMPUTED_VALUE"""),17.0)</f>
        <v>17</v>
      </c>
      <c r="B18" t="str">
        <f>IFERROR(__xludf.DUMMYFUNCTION("""COMPUTED_VALUE"""),"Franz Wagner")</f>
        <v>Franz Wagner</v>
      </c>
      <c r="C18" t="str">
        <f>IFERROR(__xludf.DUMMYFUNCTION("""COMPUTED_VALUE"""),"ORL")</f>
        <v>ORL</v>
      </c>
      <c r="E18" t="str">
        <f>IFERROR(__xludf.DUMMYFUNCTION("""COMPUTED_VALUE"""),"GSW")</f>
        <v>GSW</v>
      </c>
      <c r="F18" t="str">
        <f>IFERROR(__xludf.DUMMYFUNCTION("""COMPUTED_VALUE"""),"W")</f>
        <v>W</v>
      </c>
      <c r="G18" s="13">
        <f>IFERROR(__xludf.DUMMYFUNCTION("""COMPUTED_VALUE"""),1.5263888888888888)</f>
        <v>1.526388889</v>
      </c>
      <c r="H18">
        <f>IFERROR(__xludf.DUMMYFUNCTION("""COMPUTED_VALUE"""),7.0)</f>
        <v>7</v>
      </c>
      <c r="I18">
        <f>IFERROR(__xludf.DUMMYFUNCTION("""COMPUTED_VALUE"""),12.0)</f>
        <v>12</v>
      </c>
      <c r="J18">
        <f>IFERROR(__xludf.DUMMYFUNCTION("""COMPUTED_VALUE"""),0.583)</f>
        <v>0.583</v>
      </c>
      <c r="K18">
        <f>IFERROR(__xludf.DUMMYFUNCTION("""COMPUTED_VALUE"""),1.0)</f>
        <v>1</v>
      </c>
      <c r="L18">
        <f>IFERROR(__xludf.DUMMYFUNCTION("""COMPUTED_VALUE"""),1.0)</f>
        <v>1</v>
      </c>
      <c r="M18">
        <f>IFERROR(__xludf.DUMMYFUNCTION("""COMPUTED_VALUE"""),1.0)</f>
        <v>1</v>
      </c>
      <c r="N18">
        <f>IFERROR(__xludf.DUMMYFUNCTION("""COMPUTED_VALUE"""),4.0)</f>
        <v>4</v>
      </c>
      <c r="O18">
        <f>IFERROR(__xludf.DUMMYFUNCTION("""COMPUTED_VALUE"""),5.0)</f>
        <v>5</v>
      </c>
      <c r="P18">
        <f>IFERROR(__xludf.DUMMYFUNCTION("""COMPUTED_VALUE"""),0.8)</f>
        <v>0.8</v>
      </c>
      <c r="Q18">
        <f>IFERROR(__xludf.DUMMYFUNCTION("""COMPUTED_VALUE"""),0.0)</f>
        <v>0</v>
      </c>
      <c r="R18">
        <f>IFERROR(__xludf.DUMMYFUNCTION("""COMPUTED_VALUE"""),3.0)</f>
        <v>3</v>
      </c>
      <c r="S18">
        <f>IFERROR(__xludf.DUMMYFUNCTION("""COMPUTED_VALUE"""),3.0)</f>
        <v>3</v>
      </c>
      <c r="T18">
        <f>IFERROR(__xludf.DUMMYFUNCTION("""COMPUTED_VALUE"""),2.0)</f>
        <v>2</v>
      </c>
      <c r="U18">
        <f>IFERROR(__xludf.DUMMYFUNCTION("""COMPUTED_VALUE"""),0.0)</f>
        <v>0</v>
      </c>
      <c r="V18">
        <f>IFERROR(__xludf.DUMMYFUNCTION("""COMPUTED_VALUE"""),0.0)</f>
        <v>0</v>
      </c>
      <c r="W18">
        <f>IFERROR(__xludf.DUMMYFUNCTION("""COMPUTED_VALUE"""),4.0)</f>
        <v>4</v>
      </c>
      <c r="X18">
        <f>IFERROR(__xludf.DUMMYFUNCTION("""COMPUTED_VALUE"""),2.0)</f>
        <v>2</v>
      </c>
      <c r="Y18">
        <f>IFERROR(__xludf.DUMMYFUNCTION("""COMPUTED_VALUE"""),19.0)</f>
        <v>19</v>
      </c>
      <c r="Z18" t="str">
        <f>IFERROR(__xludf.DUMMYFUNCTION("""COMPUTED_VALUE"""),"+2")</f>
        <v>+2</v>
      </c>
      <c r="AA18">
        <f>IFERROR(__xludf.DUMMYFUNCTION("""COMPUTED_VALUE"""),10.5)</f>
        <v>10.5</v>
      </c>
      <c r="AB18" s="10"/>
    </row>
    <row r="19">
      <c r="A19">
        <f>IFERROR(__xludf.DUMMYFUNCTION("""COMPUTED_VALUE"""),18.0)</f>
        <v>18</v>
      </c>
      <c r="B19" t="str">
        <f>IFERROR(__xludf.DUMMYFUNCTION("""COMPUTED_VALUE"""),"Andrew Wiggins")</f>
        <v>Andrew Wiggins</v>
      </c>
      <c r="C19" t="str">
        <f>IFERROR(__xludf.DUMMYFUNCTION("""COMPUTED_VALUE"""),"GSW")</f>
        <v>GSW</v>
      </c>
      <c r="D19" t="str">
        <f>IFERROR(__xludf.DUMMYFUNCTION("""COMPUTED_VALUE"""),"@")</f>
        <v>@</v>
      </c>
      <c r="E19" t="str">
        <f>IFERROR(__xludf.DUMMYFUNCTION("""COMPUTED_VALUE"""),"ORL")</f>
        <v>ORL</v>
      </c>
      <c r="F19" t="str">
        <f>IFERROR(__xludf.DUMMYFUNCTION("""COMPUTED_VALUE"""),"L")</f>
        <v>L</v>
      </c>
      <c r="G19" s="13">
        <f>IFERROR(__xludf.DUMMYFUNCTION("""COMPUTED_VALUE"""),1.3729166666666666)</f>
        <v>1.372916667</v>
      </c>
      <c r="H19">
        <f>IFERROR(__xludf.DUMMYFUNCTION("""COMPUTED_VALUE"""),6.0)</f>
        <v>6</v>
      </c>
      <c r="I19">
        <f>IFERROR(__xludf.DUMMYFUNCTION("""COMPUTED_VALUE"""),12.0)</f>
        <v>12</v>
      </c>
      <c r="J19">
        <f>IFERROR(__xludf.DUMMYFUNCTION("""COMPUTED_VALUE"""),0.5)</f>
        <v>0.5</v>
      </c>
      <c r="K19">
        <f>IFERROR(__xludf.DUMMYFUNCTION("""COMPUTED_VALUE"""),2.0)</f>
        <v>2</v>
      </c>
      <c r="L19">
        <f>IFERROR(__xludf.DUMMYFUNCTION("""COMPUTED_VALUE"""),5.0)</f>
        <v>5</v>
      </c>
      <c r="M19">
        <f>IFERROR(__xludf.DUMMYFUNCTION("""COMPUTED_VALUE"""),0.4)</f>
        <v>0.4</v>
      </c>
      <c r="N19">
        <f>IFERROR(__xludf.DUMMYFUNCTION("""COMPUTED_VALUE"""),1.0)</f>
        <v>1</v>
      </c>
      <c r="O19">
        <f>IFERROR(__xludf.DUMMYFUNCTION("""COMPUTED_VALUE"""),3.0)</f>
        <v>3</v>
      </c>
      <c r="P19">
        <f>IFERROR(__xludf.DUMMYFUNCTION("""COMPUTED_VALUE"""),0.333)</f>
        <v>0.333</v>
      </c>
      <c r="Q19">
        <f>IFERROR(__xludf.DUMMYFUNCTION("""COMPUTED_VALUE"""),1.0)</f>
        <v>1</v>
      </c>
      <c r="R19">
        <f>IFERROR(__xludf.DUMMYFUNCTION("""COMPUTED_VALUE"""),2.0)</f>
        <v>2</v>
      </c>
      <c r="S19">
        <f>IFERROR(__xludf.DUMMYFUNCTION("""COMPUTED_VALUE"""),3.0)</f>
        <v>3</v>
      </c>
      <c r="T19">
        <f>IFERROR(__xludf.DUMMYFUNCTION("""COMPUTED_VALUE"""),3.0)</f>
        <v>3</v>
      </c>
      <c r="U19">
        <f>IFERROR(__xludf.DUMMYFUNCTION("""COMPUTED_VALUE"""),0.0)</f>
        <v>0</v>
      </c>
      <c r="V19">
        <f>IFERROR(__xludf.DUMMYFUNCTION("""COMPUTED_VALUE"""),2.0)</f>
        <v>2</v>
      </c>
      <c r="W19">
        <f>IFERROR(__xludf.DUMMYFUNCTION("""COMPUTED_VALUE"""),3.0)</f>
        <v>3</v>
      </c>
      <c r="X19">
        <f>IFERROR(__xludf.DUMMYFUNCTION("""COMPUTED_VALUE"""),3.0)</f>
        <v>3</v>
      </c>
      <c r="Y19">
        <f>IFERROR(__xludf.DUMMYFUNCTION("""COMPUTED_VALUE"""),15.0)</f>
        <v>15</v>
      </c>
      <c r="Z19" t="str">
        <f>IFERROR(__xludf.DUMMYFUNCTION("""COMPUTED_VALUE"""),"+3")</f>
        <v>+3</v>
      </c>
      <c r="AA19">
        <f>IFERROR(__xludf.DUMMYFUNCTION("""COMPUTED_VALUE"""),8.8)</f>
        <v>8.8</v>
      </c>
      <c r="AB19" s="10"/>
    </row>
    <row r="20">
      <c r="A20">
        <f>IFERROR(__xludf.DUMMYFUNCTION("""COMPUTED_VALUE"""),19.0)</f>
        <v>19</v>
      </c>
      <c r="B20" t="str">
        <f>IFERROR(__xludf.DUMMYFUNCTION("""COMPUTED_VALUE"""),"Josh Giddey")</f>
        <v>Josh Giddey</v>
      </c>
      <c r="C20" t="str">
        <f>IFERROR(__xludf.DUMMYFUNCTION("""COMPUTED_VALUE"""),"OKC")</f>
        <v>OKC</v>
      </c>
      <c r="E20" t="str">
        <f>IFERROR(__xludf.DUMMYFUNCTION("""COMPUTED_VALUE"""),"DEN")</f>
        <v>DEN</v>
      </c>
      <c r="F20" t="str">
        <f>IFERROR(__xludf.DUMMYFUNCTION("""COMPUTED_VALUE"""),"L")</f>
        <v>L</v>
      </c>
      <c r="G20" s="13">
        <f>IFERROR(__xludf.DUMMYFUNCTION("""COMPUTED_VALUE"""),1.3291666666666666)</f>
        <v>1.329166667</v>
      </c>
      <c r="H20">
        <f>IFERROR(__xludf.DUMMYFUNCTION("""COMPUTED_VALUE"""),7.0)</f>
        <v>7</v>
      </c>
      <c r="I20">
        <f>IFERROR(__xludf.DUMMYFUNCTION("""COMPUTED_VALUE"""),14.0)</f>
        <v>14</v>
      </c>
      <c r="J20">
        <f>IFERROR(__xludf.DUMMYFUNCTION("""COMPUTED_VALUE"""),0.5)</f>
        <v>0.5</v>
      </c>
      <c r="K20">
        <f>IFERROR(__xludf.DUMMYFUNCTION("""COMPUTED_VALUE"""),2.0)</f>
        <v>2</v>
      </c>
      <c r="L20">
        <f>IFERROR(__xludf.DUMMYFUNCTION("""COMPUTED_VALUE"""),4.0)</f>
        <v>4</v>
      </c>
      <c r="M20">
        <f>IFERROR(__xludf.DUMMYFUNCTION("""COMPUTED_VALUE"""),0.5)</f>
        <v>0.5</v>
      </c>
      <c r="N20">
        <f>IFERROR(__xludf.DUMMYFUNCTION("""COMPUTED_VALUE"""),0.0)</f>
        <v>0</v>
      </c>
      <c r="O20">
        <f>IFERROR(__xludf.DUMMYFUNCTION("""COMPUTED_VALUE"""),0.0)</f>
        <v>0</v>
      </c>
      <c r="Q20">
        <f>IFERROR(__xludf.DUMMYFUNCTION("""COMPUTED_VALUE"""),0.0)</f>
        <v>0</v>
      </c>
      <c r="R20">
        <f>IFERROR(__xludf.DUMMYFUNCTION("""COMPUTED_VALUE"""),1.0)</f>
        <v>1</v>
      </c>
      <c r="S20">
        <f>IFERROR(__xludf.DUMMYFUNCTION("""COMPUTED_VALUE"""),1.0)</f>
        <v>1</v>
      </c>
      <c r="T20">
        <f>IFERROR(__xludf.DUMMYFUNCTION("""COMPUTED_VALUE"""),5.0)</f>
        <v>5</v>
      </c>
      <c r="U20">
        <f>IFERROR(__xludf.DUMMYFUNCTION("""COMPUTED_VALUE"""),1.0)</f>
        <v>1</v>
      </c>
      <c r="V20">
        <f>IFERROR(__xludf.DUMMYFUNCTION("""COMPUTED_VALUE"""),0.0)</f>
        <v>0</v>
      </c>
      <c r="W20">
        <f>IFERROR(__xludf.DUMMYFUNCTION("""COMPUTED_VALUE"""),4.0)</f>
        <v>4</v>
      </c>
      <c r="X20">
        <f>IFERROR(__xludf.DUMMYFUNCTION("""COMPUTED_VALUE"""),3.0)</f>
        <v>3</v>
      </c>
      <c r="Y20">
        <f>IFERROR(__xludf.DUMMYFUNCTION("""COMPUTED_VALUE"""),16.0)</f>
        <v>16</v>
      </c>
      <c r="Z20">
        <f>IFERROR(__xludf.DUMMYFUNCTION("""COMPUTED_VALUE"""),-10.0)</f>
        <v>-10</v>
      </c>
      <c r="AA20">
        <f>IFERROR(__xludf.DUMMYFUNCTION("""COMPUTED_VALUE"""),8.6)</f>
        <v>8.6</v>
      </c>
      <c r="AB20" s="10"/>
    </row>
    <row r="21">
      <c r="A21">
        <f>IFERROR(__xludf.DUMMYFUNCTION("""COMPUTED_VALUE"""),20.0)</f>
        <v>20</v>
      </c>
      <c r="B21" t="str">
        <f>IFERROR(__xludf.DUMMYFUNCTION("""COMPUTED_VALUE"""),"Jeremiah Robinson-Earl")</f>
        <v>Jeremiah Robinson-Earl</v>
      </c>
      <c r="C21" t="str">
        <f>IFERROR(__xludf.DUMMYFUNCTION("""COMPUTED_VALUE"""),"OKC")</f>
        <v>OKC</v>
      </c>
      <c r="E21" t="str">
        <f>IFERROR(__xludf.DUMMYFUNCTION("""COMPUTED_VALUE"""),"DEN")</f>
        <v>DEN</v>
      </c>
      <c r="F21" t="str">
        <f>IFERROR(__xludf.DUMMYFUNCTION("""COMPUTED_VALUE"""),"L")</f>
        <v>L</v>
      </c>
      <c r="G21" s="18">
        <f>IFERROR(__xludf.DUMMYFUNCTION("""COMPUTED_VALUE"""),0.9493055555555555)</f>
        <v>0.9493055556</v>
      </c>
      <c r="H21">
        <f>IFERROR(__xludf.DUMMYFUNCTION("""COMPUTED_VALUE"""),4.0)</f>
        <v>4</v>
      </c>
      <c r="I21">
        <f>IFERROR(__xludf.DUMMYFUNCTION("""COMPUTED_VALUE"""),10.0)</f>
        <v>10</v>
      </c>
      <c r="J21">
        <f>IFERROR(__xludf.DUMMYFUNCTION("""COMPUTED_VALUE"""),0.4)</f>
        <v>0.4</v>
      </c>
      <c r="K21">
        <f>IFERROR(__xludf.DUMMYFUNCTION("""COMPUTED_VALUE"""),2.0)</f>
        <v>2</v>
      </c>
      <c r="L21">
        <f>IFERROR(__xludf.DUMMYFUNCTION("""COMPUTED_VALUE"""),5.0)</f>
        <v>5</v>
      </c>
      <c r="M21">
        <f>IFERROR(__xludf.DUMMYFUNCTION("""COMPUTED_VALUE"""),0.4)</f>
        <v>0.4</v>
      </c>
      <c r="N21">
        <f>IFERROR(__xludf.DUMMYFUNCTION("""COMPUTED_VALUE"""),0.0)</f>
        <v>0</v>
      </c>
      <c r="O21">
        <f>IFERROR(__xludf.DUMMYFUNCTION("""COMPUTED_VALUE"""),2.0)</f>
        <v>2</v>
      </c>
      <c r="P21">
        <f>IFERROR(__xludf.DUMMYFUNCTION("""COMPUTED_VALUE"""),0.0)</f>
        <v>0</v>
      </c>
      <c r="Q21">
        <f>IFERROR(__xludf.DUMMYFUNCTION("""COMPUTED_VALUE"""),1.0)</f>
        <v>1</v>
      </c>
      <c r="R21">
        <f>IFERROR(__xludf.DUMMYFUNCTION("""COMPUTED_VALUE"""),6.0)</f>
        <v>6</v>
      </c>
      <c r="S21">
        <f>IFERROR(__xludf.DUMMYFUNCTION("""COMPUTED_VALUE"""),7.0)</f>
        <v>7</v>
      </c>
      <c r="T21">
        <f>IFERROR(__xludf.DUMMYFUNCTION("""COMPUTED_VALUE"""),1.0)</f>
        <v>1</v>
      </c>
      <c r="U21">
        <f>IFERROR(__xludf.DUMMYFUNCTION("""COMPUTED_VALUE"""),2.0)</f>
        <v>2</v>
      </c>
      <c r="V21">
        <f>IFERROR(__xludf.DUMMYFUNCTION("""COMPUTED_VALUE"""),0.0)</f>
        <v>0</v>
      </c>
      <c r="W21">
        <f>IFERROR(__xludf.DUMMYFUNCTION("""COMPUTED_VALUE"""),0.0)</f>
        <v>0</v>
      </c>
      <c r="X21">
        <f>IFERROR(__xludf.DUMMYFUNCTION("""COMPUTED_VALUE"""),1.0)</f>
        <v>1</v>
      </c>
      <c r="Y21">
        <f>IFERROR(__xludf.DUMMYFUNCTION("""COMPUTED_VALUE"""),10.0)</f>
        <v>10</v>
      </c>
      <c r="Z21">
        <f>IFERROR(__xludf.DUMMYFUNCTION("""COMPUTED_VALUE"""),-22.0)</f>
        <v>-22</v>
      </c>
      <c r="AA21">
        <f>IFERROR(__xludf.DUMMYFUNCTION("""COMPUTED_VALUE"""),8.6)</f>
        <v>8.6</v>
      </c>
      <c r="AB21" s="10"/>
    </row>
    <row r="22">
      <c r="A22" t="str">
        <f>IFERROR(__xludf.DUMMYFUNCTION("""COMPUTED_VALUE"""),"Rk")</f>
        <v>Rk</v>
      </c>
      <c r="B22" t="str">
        <f>IFERROR(__xludf.DUMMYFUNCTION("""COMPUTED_VALUE"""),"Player")</f>
        <v>Player</v>
      </c>
      <c r="C22" t="str">
        <f>IFERROR(__xludf.DUMMYFUNCTION("""COMPUTED_VALUE"""),"Tm")</f>
        <v>Tm</v>
      </c>
      <c r="E22" t="str">
        <f>IFERROR(__xludf.DUMMYFUNCTION("""COMPUTED_VALUE"""),"Opp")</f>
        <v>Opp</v>
      </c>
      <c r="G22" t="str">
        <f>IFERROR(__xludf.DUMMYFUNCTION("""COMPUTED_VALUE"""),"MP")</f>
        <v>MP</v>
      </c>
      <c r="H22" t="str">
        <f>IFERROR(__xludf.DUMMYFUNCTION("""COMPUTED_VALUE"""),"FG")</f>
        <v>FG</v>
      </c>
      <c r="I22" t="str">
        <f>IFERROR(__xludf.DUMMYFUNCTION("""COMPUTED_VALUE"""),"FGA")</f>
        <v>FGA</v>
      </c>
      <c r="J22" t="str">
        <f>IFERROR(__xludf.DUMMYFUNCTION("""COMPUTED_VALUE"""),"FG%")</f>
        <v>FG%</v>
      </c>
      <c r="K22" t="str">
        <f>IFERROR(__xludf.DUMMYFUNCTION("""COMPUTED_VALUE"""),"3P")</f>
        <v>3P</v>
      </c>
      <c r="L22" t="str">
        <f>IFERROR(__xludf.DUMMYFUNCTION("""COMPUTED_VALUE"""),"3PA")</f>
        <v>3PA</v>
      </c>
      <c r="M22" t="str">
        <f>IFERROR(__xludf.DUMMYFUNCTION("""COMPUTED_VALUE"""),"3P%")</f>
        <v>3P%</v>
      </c>
      <c r="N22" t="str">
        <f>IFERROR(__xludf.DUMMYFUNCTION("""COMPUTED_VALUE"""),"FT")</f>
        <v>FT</v>
      </c>
      <c r="O22" t="str">
        <f>IFERROR(__xludf.DUMMYFUNCTION("""COMPUTED_VALUE"""),"FTA")</f>
        <v>FTA</v>
      </c>
      <c r="P22" t="str">
        <f>IFERROR(__xludf.DUMMYFUNCTION("""COMPUTED_VALUE"""),"FT%")</f>
        <v>FT%</v>
      </c>
      <c r="Q22" t="str">
        <f>IFERROR(__xludf.DUMMYFUNCTION("""COMPUTED_VALUE"""),"ORB")</f>
        <v>ORB</v>
      </c>
      <c r="R22" t="str">
        <f>IFERROR(__xludf.DUMMYFUNCTION("""COMPUTED_VALUE"""),"DRB")</f>
        <v>DRB</v>
      </c>
      <c r="S22" t="str">
        <f>IFERROR(__xludf.DUMMYFUNCTION("""COMPUTED_VALUE"""),"TRB")</f>
        <v>TRB</v>
      </c>
      <c r="T22" t="str">
        <f>IFERROR(__xludf.DUMMYFUNCTION("""COMPUTED_VALUE"""),"AST")</f>
        <v>AST</v>
      </c>
      <c r="U22" t="str">
        <f>IFERROR(__xludf.DUMMYFUNCTION("""COMPUTED_VALUE"""),"STL")</f>
        <v>STL</v>
      </c>
      <c r="V22" t="str">
        <f>IFERROR(__xludf.DUMMYFUNCTION("""COMPUTED_VALUE"""),"BLK")</f>
        <v>BLK</v>
      </c>
      <c r="W22" t="str">
        <f>IFERROR(__xludf.DUMMYFUNCTION("""COMPUTED_VALUE"""),"TOV")</f>
        <v>TOV</v>
      </c>
      <c r="X22" t="str">
        <f>IFERROR(__xludf.DUMMYFUNCTION("""COMPUTED_VALUE"""),"PF")</f>
        <v>PF</v>
      </c>
      <c r="Y22" t="str">
        <f>IFERROR(__xludf.DUMMYFUNCTION("""COMPUTED_VALUE"""),"PTS")</f>
        <v>PTS</v>
      </c>
      <c r="Z22" t="str">
        <f>IFERROR(__xludf.DUMMYFUNCTION("""COMPUTED_VALUE"""),"+/-")</f>
        <v>+/-</v>
      </c>
      <c r="AA22" t="str">
        <f>IFERROR(__xludf.DUMMYFUNCTION("""COMPUTED_VALUE"""),"GmSc")</f>
        <v>GmSc</v>
      </c>
      <c r="AB22" s="10"/>
    </row>
    <row r="23">
      <c r="A23">
        <f>IFERROR(__xludf.DUMMYFUNCTION("""COMPUTED_VALUE"""),21.0)</f>
        <v>21</v>
      </c>
      <c r="B23" t="str">
        <f>IFERROR(__xludf.DUMMYFUNCTION("""COMPUTED_VALUE"""),"Kentavious Caldwell-Pope")</f>
        <v>Kentavious Caldwell-Pope</v>
      </c>
      <c r="C23" t="str">
        <f>IFERROR(__xludf.DUMMYFUNCTION("""COMPUTED_VALUE"""),"DEN")</f>
        <v>DEN</v>
      </c>
      <c r="D23" t="str">
        <f>IFERROR(__xludf.DUMMYFUNCTION("""COMPUTED_VALUE"""),"@")</f>
        <v>@</v>
      </c>
      <c r="E23" t="str">
        <f>IFERROR(__xludf.DUMMYFUNCTION("""COMPUTED_VALUE"""),"OKC")</f>
        <v>OKC</v>
      </c>
      <c r="F23" t="str">
        <f>IFERROR(__xludf.DUMMYFUNCTION("""COMPUTED_VALUE"""),"W")</f>
        <v>W</v>
      </c>
      <c r="G23" s="13">
        <f>IFERROR(__xludf.DUMMYFUNCTION("""COMPUTED_VALUE"""),1.4625)</f>
        <v>1.4625</v>
      </c>
      <c r="H23">
        <f>IFERROR(__xludf.DUMMYFUNCTION("""COMPUTED_VALUE"""),4.0)</f>
        <v>4</v>
      </c>
      <c r="I23">
        <f>IFERROR(__xludf.DUMMYFUNCTION("""COMPUTED_VALUE"""),9.0)</f>
        <v>9</v>
      </c>
      <c r="J23">
        <f>IFERROR(__xludf.DUMMYFUNCTION("""COMPUTED_VALUE"""),0.444)</f>
        <v>0.444</v>
      </c>
      <c r="K23">
        <f>IFERROR(__xludf.DUMMYFUNCTION("""COMPUTED_VALUE"""),3.0)</f>
        <v>3</v>
      </c>
      <c r="L23">
        <f>IFERROR(__xludf.DUMMYFUNCTION("""COMPUTED_VALUE"""),6.0)</f>
        <v>6</v>
      </c>
      <c r="M23">
        <f>IFERROR(__xludf.DUMMYFUNCTION("""COMPUTED_VALUE"""),0.5)</f>
        <v>0.5</v>
      </c>
      <c r="N23">
        <f>IFERROR(__xludf.DUMMYFUNCTION("""COMPUTED_VALUE"""),0.0)</f>
        <v>0</v>
      </c>
      <c r="O23">
        <f>IFERROR(__xludf.DUMMYFUNCTION("""COMPUTED_VALUE"""),0.0)</f>
        <v>0</v>
      </c>
      <c r="Q23">
        <f>IFERROR(__xludf.DUMMYFUNCTION("""COMPUTED_VALUE"""),0.0)</f>
        <v>0</v>
      </c>
      <c r="R23">
        <f>IFERROR(__xludf.DUMMYFUNCTION("""COMPUTED_VALUE"""),3.0)</f>
        <v>3</v>
      </c>
      <c r="S23">
        <f>IFERROR(__xludf.DUMMYFUNCTION("""COMPUTED_VALUE"""),3.0)</f>
        <v>3</v>
      </c>
      <c r="T23">
        <f>IFERROR(__xludf.DUMMYFUNCTION("""COMPUTED_VALUE"""),1.0)</f>
        <v>1</v>
      </c>
      <c r="U23">
        <f>IFERROR(__xludf.DUMMYFUNCTION("""COMPUTED_VALUE"""),0.0)</f>
        <v>0</v>
      </c>
      <c r="V23">
        <f>IFERROR(__xludf.DUMMYFUNCTION("""COMPUTED_VALUE"""),1.0)</f>
        <v>1</v>
      </c>
      <c r="W23">
        <f>IFERROR(__xludf.DUMMYFUNCTION("""COMPUTED_VALUE"""),0.0)</f>
        <v>0</v>
      </c>
      <c r="X23">
        <f>IFERROR(__xludf.DUMMYFUNCTION("""COMPUTED_VALUE"""),2.0)</f>
        <v>2</v>
      </c>
      <c r="Y23">
        <f>IFERROR(__xludf.DUMMYFUNCTION("""COMPUTED_VALUE"""),11.0)</f>
        <v>11</v>
      </c>
      <c r="Z23" t="str">
        <f>IFERROR(__xludf.DUMMYFUNCTION("""COMPUTED_VALUE"""),"+14")</f>
        <v>+14</v>
      </c>
      <c r="AA23">
        <f>IFERROR(__xludf.DUMMYFUNCTION("""COMPUTED_VALUE"""),7.8)</f>
        <v>7.8</v>
      </c>
      <c r="AB23" s="10"/>
    </row>
    <row r="24">
      <c r="A24">
        <f>IFERROR(__xludf.DUMMYFUNCTION("""COMPUTED_VALUE"""),22.0)</f>
        <v>22</v>
      </c>
      <c r="B24" t="str">
        <f>IFERROR(__xludf.DUMMYFUNCTION("""COMPUTED_VALUE"""),"Michael Porter Jr.")</f>
        <v>Michael Porter Jr.</v>
      </c>
      <c r="C24" t="str">
        <f>IFERROR(__xludf.DUMMYFUNCTION("""COMPUTED_VALUE"""),"DEN")</f>
        <v>DEN</v>
      </c>
      <c r="D24" t="str">
        <f>IFERROR(__xludf.DUMMYFUNCTION("""COMPUTED_VALUE"""),"@")</f>
        <v>@</v>
      </c>
      <c r="E24" t="str">
        <f>IFERROR(__xludf.DUMMYFUNCTION("""COMPUTED_VALUE"""),"OKC")</f>
        <v>OKC</v>
      </c>
      <c r="F24" t="str">
        <f>IFERROR(__xludf.DUMMYFUNCTION("""COMPUTED_VALUE"""),"W")</f>
        <v>W</v>
      </c>
      <c r="G24" s="13">
        <f>IFERROR(__xludf.DUMMYFUNCTION("""COMPUTED_VALUE"""),1.1916666666666667)</f>
        <v>1.191666667</v>
      </c>
      <c r="H24">
        <f>IFERROR(__xludf.DUMMYFUNCTION("""COMPUTED_VALUE"""),4.0)</f>
        <v>4</v>
      </c>
      <c r="I24">
        <f>IFERROR(__xludf.DUMMYFUNCTION("""COMPUTED_VALUE"""),10.0)</f>
        <v>10</v>
      </c>
      <c r="J24">
        <f>IFERROR(__xludf.DUMMYFUNCTION("""COMPUTED_VALUE"""),0.4)</f>
        <v>0.4</v>
      </c>
      <c r="K24">
        <f>IFERROR(__xludf.DUMMYFUNCTION("""COMPUTED_VALUE"""),3.0)</f>
        <v>3</v>
      </c>
      <c r="L24">
        <f>IFERROR(__xludf.DUMMYFUNCTION("""COMPUTED_VALUE"""),6.0)</f>
        <v>6</v>
      </c>
      <c r="M24">
        <f>IFERROR(__xludf.DUMMYFUNCTION("""COMPUTED_VALUE"""),0.5)</f>
        <v>0.5</v>
      </c>
      <c r="N24">
        <f>IFERROR(__xludf.DUMMYFUNCTION("""COMPUTED_VALUE"""),0.0)</f>
        <v>0</v>
      </c>
      <c r="O24">
        <f>IFERROR(__xludf.DUMMYFUNCTION("""COMPUTED_VALUE"""),0.0)</f>
        <v>0</v>
      </c>
      <c r="Q24">
        <f>IFERROR(__xludf.DUMMYFUNCTION("""COMPUTED_VALUE"""),1.0)</f>
        <v>1</v>
      </c>
      <c r="R24">
        <f>IFERROR(__xludf.DUMMYFUNCTION("""COMPUTED_VALUE"""),5.0)</f>
        <v>5</v>
      </c>
      <c r="S24">
        <f>IFERROR(__xludf.DUMMYFUNCTION("""COMPUTED_VALUE"""),6.0)</f>
        <v>6</v>
      </c>
      <c r="T24">
        <f>IFERROR(__xludf.DUMMYFUNCTION("""COMPUTED_VALUE"""),2.0)</f>
        <v>2</v>
      </c>
      <c r="U24">
        <f>IFERROR(__xludf.DUMMYFUNCTION("""COMPUTED_VALUE"""),0.0)</f>
        <v>0</v>
      </c>
      <c r="V24">
        <f>IFERROR(__xludf.DUMMYFUNCTION("""COMPUTED_VALUE"""),0.0)</f>
        <v>0</v>
      </c>
      <c r="W24">
        <f>IFERROR(__xludf.DUMMYFUNCTION("""COMPUTED_VALUE"""),1.0)</f>
        <v>1</v>
      </c>
      <c r="X24">
        <f>IFERROR(__xludf.DUMMYFUNCTION("""COMPUTED_VALUE"""),1.0)</f>
        <v>1</v>
      </c>
      <c r="Y24">
        <f>IFERROR(__xludf.DUMMYFUNCTION("""COMPUTED_VALUE"""),11.0)</f>
        <v>11</v>
      </c>
      <c r="Z24" t="str">
        <f>IFERROR(__xludf.DUMMYFUNCTION("""COMPUTED_VALUE"""),"+7")</f>
        <v>+7</v>
      </c>
      <c r="AA24">
        <f>IFERROR(__xludf.DUMMYFUNCTION("""COMPUTED_VALUE"""),7.8)</f>
        <v>7.8</v>
      </c>
      <c r="AB24" s="10"/>
    </row>
    <row r="25">
      <c r="A25">
        <f>IFERROR(__xludf.DUMMYFUNCTION("""COMPUTED_VALUE"""),23.0)</f>
        <v>23</v>
      </c>
      <c r="B25" t="str">
        <f>IFERROR(__xludf.DUMMYFUNCTION("""COMPUTED_VALUE"""),"Bol Bol")</f>
        <v>Bol Bol</v>
      </c>
      <c r="C25" t="str">
        <f>IFERROR(__xludf.DUMMYFUNCTION("""COMPUTED_VALUE"""),"ORL")</f>
        <v>ORL</v>
      </c>
      <c r="E25" t="str">
        <f>IFERROR(__xludf.DUMMYFUNCTION("""COMPUTED_VALUE"""),"GSW")</f>
        <v>GSW</v>
      </c>
      <c r="F25" t="str">
        <f>IFERROR(__xludf.DUMMYFUNCTION("""COMPUTED_VALUE"""),"W")</f>
        <v>W</v>
      </c>
      <c r="G25" s="18">
        <f>IFERROR(__xludf.DUMMYFUNCTION("""COMPUTED_VALUE"""),0.7770833333333333)</f>
        <v>0.7770833333</v>
      </c>
      <c r="H25">
        <f>IFERROR(__xludf.DUMMYFUNCTION("""COMPUTED_VALUE"""),2.0)</f>
        <v>2</v>
      </c>
      <c r="I25">
        <f>IFERROR(__xludf.DUMMYFUNCTION("""COMPUTED_VALUE"""),3.0)</f>
        <v>3</v>
      </c>
      <c r="J25">
        <f>IFERROR(__xludf.DUMMYFUNCTION("""COMPUTED_VALUE"""),0.667)</f>
        <v>0.667</v>
      </c>
      <c r="K25">
        <f>IFERROR(__xludf.DUMMYFUNCTION("""COMPUTED_VALUE"""),0.0)</f>
        <v>0</v>
      </c>
      <c r="L25">
        <f>IFERROR(__xludf.DUMMYFUNCTION("""COMPUTED_VALUE"""),1.0)</f>
        <v>1</v>
      </c>
      <c r="M25">
        <f>IFERROR(__xludf.DUMMYFUNCTION("""COMPUTED_VALUE"""),0.0)</f>
        <v>0</v>
      </c>
      <c r="N25">
        <f>IFERROR(__xludf.DUMMYFUNCTION("""COMPUTED_VALUE"""),0.0)</f>
        <v>0</v>
      </c>
      <c r="O25">
        <f>IFERROR(__xludf.DUMMYFUNCTION("""COMPUTED_VALUE"""),0.0)</f>
        <v>0</v>
      </c>
      <c r="Q25">
        <f>IFERROR(__xludf.DUMMYFUNCTION("""COMPUTED_VALUE"""),1.0)</f>
        <v>1</v>
      </c>
      <c r="R25">
        <f>IFERROR(__xludf.DUMMYFUNCTION("""COMPUTED_VALUE"""),5.0)</f>
        <v>5</v>
      </c>
      <c r="S25">
        <f>IFERROR(__xludf.DUMMYFUNCTION("""COMPUTED_VALUE"""),6.0)</f>
        <v>6</v>
      </c>
      <c r="T25">
        <f>IFERROR(__xludf.DUMMYFUNCTION("""COMPUTED_VALUE"""),1.0)</f>
        <v>1</v>
      </c>
      <c r="U25">
        <f>IFERROR(__xludf.DUMMYFUNCTION("""COMPUTED_VALUE"""),0.0)</f>
        <v>0</v>
      </c>
      <c r="V25">
        <f>IFERROR(__xludf.DUMMYFUNCTION("""COMPUTED_VALUE"""),2.0)</f>
        <v>2</v>
      </c>
      <c r="W25">
        <f>IFERROR(__xludf.DUMMYFUNCTION("""COMPUTED_VALUE"""),0.0)</f>
        <v>0</v>
      </c>
      <c r="X25">
        <f>IFERROR(__xludf.DUMMYFUNCTION("""COMPUTED_VALUE"""),1.0)</f>
        <v>1</v>
      </c>
      <c r="Y25">
        <f>IFERROR(__xludf.DUMMYFUNCTION("""COMPUTED_VALUE"""),4.0)</f>
        <v>4</v>
      </c>
      <c r="Z25">
        <f>IFERROR(__xludf.DUMMYFUNCTION("""COMPUTED_VALUE"""),-11.0)</f>
        <v>-11</v>
      </c>
      <c r="AA25">
        <f>IFERROR(__xludf.DUMMYFUNCTION("""COMPUTED_VALUE"""),6.6)</f>
        <v>6.6</v>
      </c>
      <c r="AB25" s="10"/>
    </row>
    <row r="26">
      <c r="A26">
        <f>IFERROR(__xludf.DUMMYFUNCTION("""COMPUTED_VALUE"""),24.0)</f>
        <v>24</v>
      </c>
      <c r="B26" t="str">
        <f>IFERROR(__xludf.DUMMYFUNCTION("""COMPUTED_VALUE"""),"Kenrich Williams")</f>
        <v>Kenrich Williams</v>
      </c>
      <c r="C26" t="str">
        <f>IFERROR(__xludf.DUMMYFUNCTION("""COMPUTED_VALUE"""),"OKC")</f>
        <v>OKC</v>
      </c>
      <c r="E26" t="str">
        <f>IFERROR(__xludf.DUMMYFUNCTION("""COMPUTED_VALUE"""),"DEN")</f>
        <v>DEN</v>
      </c>
      <c r="F26" t="str">
        <f>IFERROR(__xludf.DUMMYFUNCTION("""COMPUTED_VALUE"""),"L")</f>
        <v>L</v>
      </c>
      <c r="G26" s="18">
        <f>IFERROR(__xludf.DUMMYFUNCTION("""COMPUTED_VALUE"""),0.9222222222222223)</f>
        <v>0.9222222222</v>
      </c>
      <c r="H26">
        <f>IFERROR(__xludf.DUMMYFUNCTION("""COMPUTED_VALUE"""),2.0)</f>
        <v>2</v>
      </c>
      <c r="I26">
        <f>IFERROR(__xludf.DUMMYFUNCTION("""COMPUTED_VALUE"""),5.0)</f>
        <v>5</v>
      </c>
      <c r="J26">
        <f>IFERROR(__xludf.DUMMYFUNCTION("""COMPUTED_VALUE"""),0.4)</f>
        <v>0.4</v>
      </c>
      <c r="K26">
        <f>IFERROR(__xludf.DUMMYFUNCTION("""COMPUTED_VALUE"""),1.0)</f>
        <v>1</v>
      </c>
      <c r="L26">
        <f>IFERROR(__xludf.DUMMYFUNCTION("""COMPUTED_VALUE"""),2.0)</f>
        <v>2</v>
      </c>
      <c r="M26">
        <f>IFERROR(__xludf.DUMMYFUNCTION("""COMPUTED_VALUE"""),0.5)</f>
        <v>0.5</v>
      </c>
      <c r="N26">
        <f>IFERROR(__xludf.DUMMYFUNCTION("""COMPUTED_VALUE"""),0.0)</f>
        <v>0</v>
      </c>
      <c r="O26">
        <f>IFERROR(__xludf.DUMMYFUNCTION("""COMPUTED_VALUE"""),0.0)</f>
        <v>0</v>
      </c>
      <c r="Q26">
        <f>IFERROR(__xludf.DUMMYFUNCTION("""COMPUTED_VALUE"""),3.0)</f>
        <v>3</v>
      </c>
      <c r="R26">
        <f>IFERROR(__xludf.DUMMYFUNCTION("""COMPUTED_VALUE"""),3.0)</f>
        <v>3</v>
      </c>
      <c r="S26">
        <f>IFERROR(__xludf.DUMMYFUNCTION("""COMPUTED_VALUE"""),6.0)</f>
        <v>6</v>
      </c>
      <c r="T26">
        <f>IFERROR(__xludf.DUMMYFUNCTION("""COMPUTED_VALUE"""),1.0)</f>
        <v>1</v>
      </c>
      <c r="U26">
        <f>IFERROR(__xludf.DUMMYFUNCTION("""COMPUTED_VALUE"""),1.0)</f>
        <v>1</v>
      </c>
      <c r="V26">
        <f>IFERROR(__xludf.DUMMYFUNCTION("""COMPUTED_VALUE"""),0.0)</f>
        <v>0</v>
      </c>
      <c r="W26">
        <f>IFERROR(__xludf.DUMMYFUNCTION("""COMPUTED_VALUE"""),0.0)</f>
        <v>0</v>
      </c>
      <c r="X26">
        <f>IFERROR(__xludf.DUMMYFUNCTION("""COMPUTED_VALUE"""),2.0)</f>
        <v>2</v>
      </c>
      <c r="Y26">
        <f>IFERROR(__xludf.DUMMYFUNCTION("""COMPUTED_VALUE"""),5.0)</f>
        <v>5</v>
      </c>
      <c r="Z26">
        <f>IFERROR(__xludf.DUMMYFUNCTION("""COMPUTED_VALUE"""),-4.0)</f>
        <v>-4</v>
      </c>
      <c r="AA26">
        <f>IFERROR(__xludf.DUMMYFUNCTION("""COMPUTED_VALUE"""),6.2)</f>
        <v>6.2</v>
      </c>
      <c r="AB26" s="10"/>
    </row>
    <row r="27">
      <c r="A27">
        <f>IFERROR(__xludf.DUMMYFUNCTION("""COMPUTED_VALUE"""),25.0)</f>
        <v>25</v>
      </c>
      <c r="B27" t="str">
        <f>IFERROR(__xludf.DUMMYFUNCTION("""COMPUTED_VALUE"""),"Jalen Williams")</f>
        <v>Jalen Williams</v>
      </c>
      <c r="C27" t="str">
        <f>IFERROR(__xludf.DUMMYFUNCTION("""COMPUTED_VALUE"""),"OKC")</f>
        <v>OKC</v>
      </c>
      <c r="E27" t="str">
        <f>IFERROR(__xludf.DUMMYFUNCTION("""COMPUTED_VALUE"""),"DEN")</f>
        <v>DEN</v>
      </c>
      <c r="F27" t="str">
        <f>IFERROR(__xludf.DUMMYFUNCTION("""COMPUTED_VALUE"""),"L")</f>
        <v>L</v>
      </c>
      <c r="G27" s="18">
        <f>IFERROR(__xludf.DUMMYFUNCTION("""COMPUTED_VALUE"""),0.5965277777777778)</f>
        <v>0.5965277778</v>
      </c>
      <c r="H27">
        <f>IFERROR(__xludf.DUMMYFUNCTION("""COMPUTED_VALUE"""),4.0)</f>
        <v>4</v>
      </c>
      <c r="I27">
        <f>IFERROR(__xludf.DUMMYFUNCTION("""COMPUTED_VALUE"""),7.0)</f>
        <v>7</v>
      </c>
      <c r="J27">
        <f>IFERROR(__xludf.DUMMYFUNCTION("""COMPUTED_VALUE"""),0.571)</f>
        <v>0.571</v>
      </c>
      <c r="K27">
        <f>IFERROR(__xludf.DUMMYFUNCTION("""COMPUTED_VALUE"""),0.0)</f>
        <v>0</v>
      </c>
      <c r="L27">
        <f>IFERROR(__xludf.DUMMYFUNCTION("""COMPUTED_VALUE"""),1.0)</f>
        <v>1</v>
      </c>
      <c r="M27">
        <f>IFERROR(__xludf.DUMMYFUNCTION("""COMPUTED_VALUE"""),0.0)</f>
        <v>0</v>
      </c>
      <c r="N27">
        <f>IFERROR(__xludf.DUMMYFUNCTION("""COMPUTED_VALUE"""),0.0)</f>
        <v>0</v>
      </c>
      <c r="O27">
        <f>IFERROR(__xludf.DUMMYFUNCTION("""COMPUTED_VALUE"""),0.0)</f>
        <v>0</v>
      </c>
      <c r="Q27">
        <f>IFERROR(__xludf.DUMMYFUNCTION("""COMPUTED_VALUE"""),0.0)</f>
        <v>0</v>
      </c>
      <c r="R27">
        <f>IFERROR(__xludf.DUMMYFUNCTION("""COMPUTED_VALUE"""),0.0)</f>
        <v>0</v>
      </c>
      <c r="S27">
        <f>IFERROR(__xludf.DUMMYFUNCTION("""COMPUTED_VALUE"""),0.0)</f>
        <v>0</v>
      </c>
      <c r="T27">
        <f>IFERROR(__xludf.DUMMYFUNCTION("""COMPUTED_VALUE"""),2.0)</f>
        <v>2</v>
      </c>
      <c r="U27">
        <f>IFERROR(__xludf.DUMMYFUNCTION("""COMPUTED_VALUE"""),0.0)</f>
        <v>0</v>
      </c>
      <c r="V27">
        <f>IFERROR(__xludf.DUMMYFUNCTION("""COMPUTED_VALUE"""),0.0)</f>
        <v>0</v>
      </c>
      <c r="W27">
        <f>IFERROR(__xludf.DUMMYFUNCTION("""COMPUTED_VALUE"""),0.0)</f>
        <v>0</v>
      </c>
      <c r="X27">
        <f>IFERROR(__xludf.DUMMYFUNCTION("""COMPUTED_VALUE"""),0.0)</f>
        <v>0</v>
      </c>
      <c r="Y27">
        <f>IFERROR(__xludf.DUMMYFUNCTION("""COMPUTED_VALUE"""),8.0)</f>
        <v>8</v>
      </c>
      <c r="Z27">
        <f>IFERROR(__xludf.DUMMYFUNCTION("""COMPUTED_VALUE"""),-11.0)</f>
        <v>-11</v>
      </c>
      <c r="AA27">
        <f>IFERROR(__xludf.DUMMYFUNCTION("""COMPUTED_VALUE"""),6.1)</f>
        <v>6.1</v>
      </c>
      <c r="AB27" s="10"/>
    </row>
    <row r="28">
      <c r="A28">
        <f>IFERROR(__xludf.DUMMYFUNCTION("""COMPUTED_VALUE"""),26.0)</f>
        <v>26</v>
      </c>
      <c r="B28" t="str">
        <f>IFERROR(__xludf.DUMMYFUNCTION("""COMPUTED_VALUE"""),"Aleksej Pokusevski")</f>
        <v>Aleksej Pokusevski</v>
      </c>
      <c r="C28" t="str">
        <f>IFERROR(__xludf.DUMMYFUNCTION("""COMPUTED_VALUE"""),"OKC")</f>
        <v>OKC</v>
      </c>
      <c r="E28" t="str">
        <f>IFERROR(__xludf.DUMMYFUNCTION("""COMPUTED_VALUE"""),"DEN")</f>
        <v>DEN</v>
      </c>
      <c r="F28" t="str">
        <f>IFERROR(__xludf.DUMMYFUNCTION("""COMPUTED_VALUE"""),"L")</f>
        <v>L</v>
      </c>
      <c r="G28" s="13">
        <f>IFERROR(__xludf.DUMMYFUNCTION("""COMPUTED_VALUE"""),1.1520833333333333)</f>
        <v>1.152083333</v>
      </c>
      <c r="H28">
        <f>IFERROR(__xludf.DUMMYFUNCTION("""COMPUTED_VALUE"""),3.0)</f>
        <v>3</v>
      </c>
      <c r="I28">
        <f>IFERROR(__xludf.DUMMYFUNCTION("""COMPUTED_VALUE"""),9.0)</f>
        <v>9</v>
      </c>
      <c r="J28">
        <f>IFERROR(__xludf.DUMMYFUNCTION("""COMPUTED_VALUE"""),0.333)</f>
        <v>0.333</v>
      </c>
      <c r="K28">
        <f>IFERROR(__xludf.DUMMYFUNCTION("""COMPUTED_VALUE"""),0.0)</f>
        <v>0</v>
      </c>
      <c r="L28">
        <f>IFERROR(__xludf.DUMMYFUNCTION("""COMPUTED_VALUE"""),4.0)</f>
        <v>4</v>
      </c>
      <c r="M28">
        <f>IFERROR(__xludf.DUMMYFUNCTION("""COMPUTED_VALUE"""),0.0)</f>
        <v>0</v>
      </c>
      <c r="N28">
        <f>IFERROR(__xludf.DUMMYFUNCTION("""COMPUTED_VALUE"""),0.0)</f>
        <v>0</v>
      </c>
      <c r="O28">
        <f>IFERROR(__xludf.DUMMYFUNCTION("""COMPUTED_VALUE"""),0.0)</f>
        <v>0</v>
      </c>
      <c r="Q28">
        <f>IFERROR(__xludf.DUMMYFUNCTION("""COMPUTED_VALUE"""),1.0)</f>
        <v>1</v>
      </c>
      <c r="R28">
        <f>IFERROR(__xludf.DUMMYFUNCTION("""COMPUTED_VALUE"""),6.0)</f>
        <v>6</v>
      </c>
      <c r="S28">
        <f>IFERROR(__xludf.DUMMYFUNCTION("""COMPUTED_VALUE"""),7.0)</f>
        <v>7</v>
      </c>
      <c r="T28">
        <f>IFERROR(__xludf.DUMMYFUNCTION("""COMPUTED_VALUE"""),1.0)</f>
        <v>1</v>
      </c>
      <c r="U28">
        <f>IFERROR(__xludf.DUMMYFUNCTION("""COMPUTED_VALUE"""),1.0)</f>
        <v>1</v>
      </c>
      <c r="V28">
        <f>IFERROR(__xludf.DUMMYFUNCTION("""COMPUTED_VALUE"""),2.0)</f>
        <v>2</v>
      </c>
      <c r="W28">
        <f>IFERROR(__xludf.DUMMYFUNCTION("""COMPUTED_VALUE"""),0.0)</f>
        <v>0</v>
      </c>
      <c r="X28">
        <f>IFERROR(__xludf.DUMMYFUNCTION("""COMPUTED_VALUE"""),2.0)</f>
        <v>2</v>
      </c>
      <c r="Y28">
        <f>IFERROR(__xludf.DUMMYFUNCTION("""COMPUTED_VALUE"""),6.0)</f>
        <v>6</v>
      </c>
      <c r="Z28">
        <f>IFERROR(__xludf.DUMMYFUNCTION("""COMPUTED_VALUE"""),-11.0)</f>
        <v>-11</v>
      </c>
      <c r="AA28">
        <f>IFERROR(__xludf.DUMMYFUNCTION("""COMPUTED_VALUE"""),5.7)</f>
        <v>5.7</v>
      </c>
      <c r="AB28" s="10"/>
    </row>
    <row r="29">
      <c r="A29">
        <f>IFERROR(__xludf.DUMMYFUNCTION("""COMPUTED_VALUE"""),27.0)</f>
        <v>27</v>
      </c>
      <c r="B29" t="str">
        <f>IFERROR(__xludf.DUMMYFUNCTION("""COMPUTED_VALUE"""),"JaMychal Green")</f>
        <v>JaMychal Green</v>
      </c>
      <c r="C29" t="str">
        <f>IFERROR(__xludf.DUMMYFUNCTION("""COMPUTED_VALUE"""),"GSW")</f>
        <v>GSW</v>
      </c>
      <c r="D29" t="str">
        <f>IFERROR(__xludf.DUMMYFUNCTION("""COMPUTED_VALUE"""),"@")</f>
        <v>@</v>
      </c>
      <c r="E29" t="str">
        <f>IFERROR(__xludf.DUMMYFUNCTION("""COMPUTED_VALUE"""),"ORL")</f>
        <v>ORL</v>
      </c>
      <c r="F29" t="str">
        <f>IFERROR(__xludf.DUMMYFUNCTION("""COMPUTED_VALUE"""),"L")</f>
        <v>L</v>
      </c>
      <c r="G29" s="18">
        <f>IFERROR(__xludf.DUMMYFUNCTION("""COMPUTED_VALUE"""),0.6805555555555556)</f>
        <v>0.6805555556</v>
      </c>
      <c r="H29">
        <f>IFERROR(__xludf.DUMMYFUNCTION("""COMPUTED_VALUE"""),3.0)</f>
        <v>3</v>
      </c>
      <c r="I29">
        <f>IFERROR(__xludf.DUMMYFUNCTION("""COMPUTED_VALUE"""),5.0)</f>
        <v>5</v>
      </c>
      <c r="J29">
        <f>IFERROR(__xludf.DUMMYFUNCTION("""COMPUTED_VALUE"""),0.6)</f>
        <v>0.6</v>
      </c>
      <c r="K29">
        <f>IFERROR(__xludf.DUMMYFUNCTION("""COMPUTED_VALUE"""),1.0)</f>
        <v>1</v>
      </c>
      <c r="L29">
        <f>IFERROR(__xludf.DUMMYFUNCTION("""COMPUTED_VALUE"""),1.0)</f>
        <v>1</v>
      </c>
      <c r="M29">
        <f>IFERROR(__xludf.DUMMYFUNCTION("""COMPUTED_VALUE"""),1.0)</f>
        <v>1</v>
      </c>
      <c r="N29">
        <f>IFERROR(__xludf.DUMMYFUNCTION("""COMPUTED_VALUE"""),0.0)</f>
        <v>0</v>
      </c>
      <c r="O29">
        <f>IFERROR(__xludf.DUMMYFUNCTION("""COMPUTED_VALUE"""),0.0)</f>
        <v>0</v>
      </c>
      <c r="Q29">
        <f>IFERROR(__xludf.DUMMYFUNCTION("""COMPUTED_VALUE"""),2.0)</f>
        <v>2</v>
      </c>
      <c r="R29">
        <f>IFERROR(__xludf.DUMMYFUNCTION("""COMPUTED_VALUE"""),4.0)</f>
        <v>4</v>
      </c>
      <c r="S29">
        <f>IFERROR(__xludf.DUMMYFUNCTION("""COMPUTED_VALUE"""),6.0)</f>
        <v>6</v>
      </c>
      <c r="T29">
        <f>IFERROR(__xludf.DUMMYFUNCTION("""COMPUTED_VALUE"""),0.0)</f>
        <v>0</v>
      </c>
      <c r="U29">
        <f>IFERROR(__xludf.DUMMYFUNCTION("""COMPUTED_VALUE"""),0.0)</f>
        <v>0</v>
      </c>
      <c r="V29">
        <f>IFERROR(__xludf.DUMMYFUNCTION("""COMPUTED_VALUE"""),1.0)</f>
        <v>1</v>
      </c>
      <c r="W29">
        <f>IFERROR(__xludf.DUMMYFUNCTION("""COMPUTED_VALUE"""),1.0)</f>
        <v>1</v>
      </c>
      <c r="X29">
        <f>IFERROR(__xludf.DUMMYFUNCTION("""COMPUTED_VALUE"""),5.0)</f>
        <v>5</v>
      </c>
      <c r="Y29">
        <f>IFERROR(__xludf.DUMMYFUNCTION("""COMPUTED_VALUE"""),7.0)</f>
        <v>7</v>
      </c>
      <c r="Z29">
        <f>IFERROR(__xludf.DUMMYFUNCTION("""COMPUTED_VALUE"""),-15.0)</f>
        <v>-15</v>
      </c>
      <c r="AA29">
        <f>IFERROR(__xludf.DUMMYFUNCTION("""COMPUTED_VALUE"""),5.0)</f>
        <v>5</v>
      </c>
      <c r="AB29" s="10"/>
    </row>
    <row r="30">
      <c r="A30">
        <f>IFERROR(__xludf.DUMMYFUNCTION("""COMPUTED_VALUE"""),28.0)</f>
        <v>28</v>
      </c>
      <c r="B30" t="str">
        <f>IFERROR(__xludf.DUMMYFUNCTION("""COMPUTED_VALUE"""),"Zeke Nnaji")</f>
        <v>Zeke Nnaji</v>
      </c>
      <c r="C30" t="str">
        <f>IFERROR(__xludf.DUMMYFUNCTION("""COMPUTED_VALUE"""),"DEN")</f>
        <v>DEN</v>
      </c>
      <c r="D30" t="str">
        <f>IFERROR(__xludf.DUMMYFUNCTION("""COMPUTED_VALUE"""),"@")</f>
        <v>@</v>
      </c>
      <c r="E30" t="str">
        <f>IFERROR(__xludf.DUMMYFUNCTION("""COMPUTED_VALUE"""),"OKC")</f>
        <v>OKC</v>
      </c>
      <c r="F30" t="str">
        <f>IFERROR(__xludf.DUMMYFUNCTION("""COMPUTED_VALUE"""),"W")</f>
        <v>W</v>
      </c>
      <c r="G30" s="18">
        <f>IFERROR(__xludf.DUMMYFUNCTION("""COMPUTED_VALUE"""),0.22847222222222222)</f>
        <v>0.2284722222</v>
      </c>
      <c r="H30">
        <f>IFERROR(__xludf.DUMMYFUNCTION("""COMPUTED_VALUE"""),1.0)</f>
        <v>1</v>
      </c>
      <c r="I30">
        <f>IFERROR(__xludf.DUMMYFUNCTION("""COMPUTED_VALUE"""),3.0)</f>
        <v>3</v>
      </c>
      <c r="J30">
        <f>IFERROR(__xludf.DUMMYFUNCTION("""COMPUTED_VALUE"""),0.333)</f>
        <v>0.333</v>
      </c>
      <c r="K30">
        <f>IFERROR(__xludf.DUMMYFUNCTION("""COMPUTED_VALUE"""),0.0)</f>
        <v>0</v>
      </c>
      <c r="L30">
        <f>IFERROR(__xludf.DUMMYFUNCTION("""COMPUTED_VALUE"""),0.0)</f>
        <v>0</v>
      </c>
      <c r="N30">
        <f>IFERROR(__xludf.DUMMYFUNCTION("""COMPUTED_VALUE"""),2.0)</f>
        <v>2</v>
      </c>
      <c r="O30">
        <f>IFERROR(__xludf.DUMMYFUNCTION("""COMPUTED_VALUE"""),2.0)</f>
        <v>2</v>
      </c>
      <c r="P30">
        <f>IFERROR(__xludf.DUMMYFUNCTION("""COMPUTED_VALUE"""),1.0)</f>
        <v>1</v>
      </c>
      <c r="Q30">
        <f>IFERROR(__xludf.DUMMYFUNCTION("""COMPUTED_VALUE"""),3.0)</f>
        <v>3</v>
      </c>
      <c r="R30">
        <f>IFERROR(__xludf.DUMMYFUNCTION("""COMPUTED_VALUE"""),2.0)</f>
        <v>2</v>
      </c>
      <c r="S30">
        <f>IFERROR(__xludf.DUMMYFUNCTION("""COMPUTED_VALUE"""),5.0)</f>
        <v>5</v>
      </c>
      <c r="T30">
        <f>IFERROR(__xludf.DUMMYFUNCTION("""COMPUTED_VALUE"""),0.0)</f>
        <v>0</v>
      </c>
      <c r="U30">
        <f>IFERROR(__xludf.DUMMYFUNCTION("""COMPUTED_VALUE"""),0.0)</f>
        <v>0</v>
      </c>
      <c r="V30">
        <f>IFERROR(__xludf.DUMMYFUNCTION("""COMPUTED_VALUE"""),0.0)</f>
        <v>0</v>
      </c>
      <c r="W30">
        <f>IFERROR(__xludf.DUMMYFUNCTION("""COMPUTED_VALUE"""),0.0)</f>
        <v>0</v>
      </c>
      <c r="X30">
        <f>IFERROR(__xludf.DUMMYFUNCTION("""COMPUTED_VALUE"""),0.0)</f>
        <v>0</v>
      </c>
      <c r="Y30">
        <f>IFERROR(__xludf.DUMMYFUNCTION("""COMPUTED_VALUE"""),4.0)</f>
        <v>4</v>
      </c>
      <c r="Z30" t="str">
        <f>IFERROR(__xludf.DUMMYFUNCTION("""COMPUTED_VALUE"""),"+4")</f>
        <v>+4</v>
      </c>
      <c r="AA30">
        <f>IFERROR(__xludf.DUMMYFUNCTION("""COMPUTED_VALUE"""),5.0)</f>
        <v>5</v>
      </c>
      <c r="AB30" s="10"/>
    </row>
    <row r="31">
      <c r="A31">
        <f>IFERROR(__xludf.DUMMYFUNCTION("""COMPUTED_VALUE"""),29.0)</f>
        <v>29</v>
      </c>
      <c r="B31" t="str">
        <f>IFERROR(__xludf.DUMMYFUNCTION("""COMPUTED_VALUE"""),"Jeff Green")</f>
        <v>Jeff Green</v>
      </c>
      <c r="C31" t="str">
        <f>IFERROR(__xludf.DUMMYFUNCTION("""COMPUTED_VALUE"""),"DEN")</f>
        <v>DEN</v>
      </c>
      <c r="D31" t="str">
        <f>IFERROR(__xludf.DUMMYFUNCTION("""COMPUTED_VALUE"""),"@")</f>
        <v>@</v>
      </c>
      <c r="E31" t="str">
        <f>IFERROR(__xludf.DUMMYFUNCTION("""COMPUTED_VALUE"""),"OKC")</f>
        <v>OKC</v>
      </c>
      <c r="F31" t="str">
        <f>IFERROR(__xludf.DUMMYFUNCTION("""COMPUTED_VALUE"""),"W")</f>
        <v>W</v>
      </c>
      <c r="G31" s="18">
        <f>IFERROR(__xludf.DUMMYFUNCTION("""COMPUTED_VALUE"""),0.80625)</f>
        <v>0.80625</v>
      </c>
      <c r="H31">
        <f>IFERROR(__xludf.DUMMYFUNCTION("""COMPUTED_VALUE"""),3.0)</f>
        <v>3</v>
      </c>
      <c r="I31">
        <f>IFERROR(__xludf.DUMMYFUNCTION("""COMPUTED_VALUE"""),5.0)</f>
        <v>5</v>
      </c>
      <c r="J31">
        <f>IFERROR(__xludf.DUMMYFUNCTION("""COMPUTED_VALUE"""),0.6)</f>
        <v>0.6</v>
      </c>
      <c r="K31">
        <f>IFERROR(__xludf.DUMMYFUNCTION("""COMPUTED_VALUE"""),0.0)</f>
        <v>0</v>
      </c>
      <c r="L31">
        <f>IFERROR(__xludf.DUMMYFUNCTION("""COMPUTED_VALUE"""),1.0)</f>
        <v>1</v>
      </c>
      <c r="M31">
        <f>IFERROR(__xludf.DUMMYFUNCTION("""COMPUTED_VALUE"""),0.0)</f>
        <v>0</v>
      </c>
      <c r="N31">
        <f>IFERROR(__xludf.DUMMYFUNCTION("""COMPUTED_VALUE"""),1.0)</f>
        <v>1</v>
      </c>
      <c r="O31">
        <f>IFERROR(__xludf.DUMMYFUNCTION("""COMPUTED_VALUE"""),2.0)</f>
        <v>2</v>
      </c>
      <c r="P31">
        <f>IFERROR(__xludf.DUMMYFUNCTION("""COMPUTED_VALUE"""),0.5)</f>
        <v>0.5</v>
      </c>
      <c r="Q31">
        <f>IFERROR(__xludf.DUMMYFUNCTION("""COMPUTED_VALUE"""),0.0)</f>
        <v>0</v>
      </c>
      <c r="R31">
        <f>IFERROR(__xludf.DUMMYFUNCTION("""COMPUTED_VALUE"""),4.0)</f>
        <v>4</v>
      </c>
      <c r="S31">
        <f>IFERROR(__xludf.DUMMYFUNCTION("""COMPUTED_VALUE"""),4.0)</f>
        <v>4</v>
      </c>
      <c r="T31">
        <f>IFERROR(__xludf.DUMMYFUNCTION("""COMPUTED_VALUE"""),0.0)</f>
        <v>0</v>
      </c>
      <c r="U31">
        <f>IFERROR(__xludf.DUMMYFUNCTION("""COMPUTED_VALUE"""),2.0)</f>
        <v>2</v>
      </c>
      <c r="V31">
        <f>IFERROR(__xludf.DUMMYFUNCTION("""COMPUTED_VALUE"""),0.0)</f>
        <v>0</v>
      </c>
      <c r="W31">
        <f>IFERROR(__xludf.DUMMYFUNCTION("""COMPUTED_VALUE"""),3.0)</f>
        <v>3</v>
      </c>
      <c r="X31">
        <f>IFERROR(__xludf.DUMMYFUNCTION("""COMPUTED_VALUE"""),2.0)</f>
        <v>2</v>
      </c>
      <c r="Y31">
        <f>IFERROR(__xludf.DUMMYFUNCTION("""COMPUTED_VALUE"""),7.0)</f>
        <v>7</v>
      </c>
      <c r="Z31" t="str">
        <f>IFERROR(__xludf.DUMMYFUNCTION("""COMPUTED_VALUE"""),"+6")</f>
        <v>+6</v>
      </c>
      <c r="AA31">
        <f>IFERROR(__xludf.DUMMYFUNCTION("""COMPUTED_VALUE"""),3.7)</f>
        <v>3.7</v>
      </c>
      <c r="AB31" s="10"/>
    </row>
    <row r="32">
      <c r="A32">
        <f>IFERROR(__xludf.DUMMYFUNCTION("""COMPUTED_VALUE"""),30.0)</f>
        <v>30</v>
      </c>
      <c r="B32" t="str">
        <f>IFERROR(__xludf.DUMMYFUNCTION("""COMPUTED_VALUE"""),"Tre Mann")</f>
        <v>Tre Mann</v>
      </c>
      <c r="C32" t="str">
        <f>IFERROR(__xludf.DUMMYFUNCTION("""COMPUTED_VALUE"""),"OKC")</f>
        <v>OKC</v>
      </c>
      <c r="E32" t="str">
        <f>IFERROR(__xludf.DUMMYFUNCTION("""COMPUTED_VALUE"""),"DEN")</f>
        <v>DEN</v>
      </c>
      <c r="F32" t="str">
        <f>IFERROR(__xludf.DUMMYFUNCTION("""COMPUTED_VALUE"""),"L")</f>
        <v>L</v>
      </c>
      <c r="G32" s="18">
        <f>IFERROR(__xludf.DUMMYFUNCTION("""COMPUTED_VALUE"""),0.725)</f>
        <v>0.725</v>
      </c>
      <c r="H32">
        <f>IFERROR(__xludf.DUMMYFUNCTION("""COMPUTED_VALUE"""),2.0)</f>
        <v>2</v>
      </c>
      <c r="I32">
        <f>IFERROR(__xludf.DUMMYFUNCTION("""COMPUTED_VALUE"""),5.0)</f>
        <v>5</v>
      </c>
      <c r="J32">
        <f>IFERROR(__xludf.DUMMYFUNCTION("""COMPUTED_VALUE"""),0.4)</f>
        <v>0.4</v>
      </c>
      <c r="K32">
        <f>IFERROR(__xludf.DUMMYFUNCTION("""COMPUTED_VALUE"""),0.0)</f>
        <v>0</v>
      </c>
      <c r="L32">
        <f>IFERROR(__xludf.DUMMYFUNCTION("""COMPUTED_VALUE"""),2.0)</f>
        <v>2</v>
      </c>
      <c r="M32">
        <f>IFERROR(__xludf.DUMMYFUNCTION("""COMPUTED_VALUE"""),0.0)</f>
        <v>0</v>
      </c>
      <c r="N32">
        <f>IFERROR(__xludf.DUMMYFUNCTION("""COMPUTED_VALUE"""),0.0)</f>
        <v>0</v>
      </c>
      <c r="O32">
        <f>IFERROR(__xludf.DUMMYFUNCTION("""COMPUTED_VALUE"""),1.0)</f>
        <v>1</v>
      </c>
      <c r="P32">
        <f>IFERROR(__xludf.DUMMYFUNCTION("""COMPUTED_VALUE"""),0.0)</f>
        <v>0</v>
      </c>
      <c r="Q32">
        <f>IFERROR(__xludf.DUMMYFUNCTION("""COMPUTED_VALUE"""),0.0)</f>
        <v>0</v>
      </c>
      <c r="R32">
        <f>IFERROR(__xludf.DUMMYFUNCTION("""COMPUTED_VALUE"""),2.0)</f>
        <v>2</v>
      </c>
      <c r="S32">
        <f>IFERROR(__xludf.DUMMYFUNCTION("""COMPUTED_VALUE"""),2.0)</f>
        <v>2</v>
      </c>
      <c r="T32">
        <f>IFERROR(__xludf.DUMMYFUNCTION("""COMPUTED_VALUE"""),2.0)</f>
        <v>2</v>
      </c>
      <c r="U32">
        <f>IFERROR(__xludf.DUMMYFUNCTION("""COMPUTED_VALUE"""),0.0)</f>
        <v>0</v>
      </c>
      <c r="V32">
        <f>IFERROR(__xludf.DUMMYFUNCTION("""COMPUTED_VALUE"""),1.0)</f>
        <v>1</v>
      </c>
      <c r="W32">
        <f>IFERROR(__xludf.DUMMYFUNCTION("""COMPUTED_VALUE"""),0.0)</f>
        <v>0</v>
      </c>
      <c r="X32">
        <f>IFERROR(__xludf.DUMMYFUNCTION("""COMPUTED_VALUE"""),0.0)</f>
        <v>0</v>
      </c>
      <c r="Y32">
        <f>IFERROR(__xludf.DUMMYFUNCTION("""COMPUTED_VALUE"""),4.0)</f>
        <v>4</v>
      </c>
      <c r="Z32">
        <f>IFERROR(__xludf.DUMMYFUNCTION("""COMPUTED_VALUE"""),-8.0)</f>
        <v>-8</v>
      </c>
      <c r="AA32">
        <f>IFERROR(__xludf.DUMMYFUNCTION("""COMPUTED_VALUE"""),3.6)</f>
        <v>3.6</v>
      </c>
      <c r="AB32" s="10"/>
    </row>
    <row r="33">
      <c r="A33">
        <f>IFERROR(__xludf.DUMMYFUNCTION("""COMPUTED_VALUE"""),31.0)</f>
        <v>31</v>
      </c>
      <c r="B33" t="str">
        <f>IFERROR(__xludf.DUMMYFUNCTION("""COMPUTED_VALUE"""),"Darius Bazley")</f>
        <v>Darius Bazley</v>
      </c>
      <c r="C33" t="str">
        <f>IFERROR(__xludf.DUMMYFUNCTION("""COMPUTED_VALUE"""),"OKC")</f>
        <v>OKC</v>
      </c>
      <c r="E33" t="str">
        <f>IFERROR(__xludf.DUMMYFUNCTION("""COMPUTED_VALUE"""),"DEN")</f>
        <v>DEN</v>
      </c>
      <c r="F33" t="str">
        <f>IFERROR(__xludf.DUMMYFUNCTION("""COMPUTED_VALUE"""),"L")</f>
        <v>L</v>
      </c>
      <c r="G33" s="18">
        <f>IFERROR(__xludf.DUMMYFUNCTION("""COMPUTED_VALUE"""),0.5458333333333333)</f>
        <v>0.5458333333</v>
      </c>
      <c r="H33">
        <f>IFERROR(__xludf.DUMMYFUNCTION("""COMPUTED_VALUE"""),1.0)</f>
        <v>1</v>
      </c>
      <c r="I33">
        <f>IFERROR(__xludf.DUMMYFUNCTION("""COMPUTED_VALUE"""),5.0)</f>
        <v>5</v>
      </c>
      <c r="J33">
        <f>IFERROR(__xludf.DUMMYFUNCTION("""COMPUTED_VALUE"""),0.2)</f>
        <v>0.2</v>
      </c>
      <c r="K33">
        <f>IFERROR(__xludf.DUMMYFUNCTION("""COMPUTED_VALUE"""),0.0)</f>
        <v>0</v>
      </c>
      <c r="L33">
        <f>IFERROR(__xludf.DUMMYFUNCTION("""COMPUTED_VALUE"""),1.0)</f>
        <v>1</v>
      </c>
      <c r="M33">
        <f>IFERROR(__xludf.DUMMYFUNCTION("""COMPUTED_VALUE"""),0.0)</f>
        <v>0</v>
      </c>
      <c r="N33">
        <f>IFERROR(__xludf.DUMMYFUNCTION("""COMPUTED_VALUE"""),0.0)</f>
        <v>0</v>
      </c>
      <c r="O33">
        <f>IFERROR(__xludf.DUMMYFUNCTION("""COMPUTED_VALUE"""),0.0)</f>
        <v>0</v>
      </c>
      <c r="Q33">
        <f>IFERROR(__xludf.DUMMYFUNCTION("""COMPUTED_VALUE"""),3.0)</f>
        <v>3</v>
      </c>
      <c r="R33">
        <f>IFERROR(__xludf.DUMMYFUNCTION("""COMPUTED_VALUE"""),2.0)</f>
        <v>2</v>
      </c>
      <c r="S33">
        <f>IFERROR(__xludf.DUMMYFUNCTION("""COMPUTED_VALUE"""),5.0)</f>
        <v>5</v>
      </c>
      <c r="T33">
        <f>IFERROR(__xludf.DUMMYFUNCTION("""COMPUTED_VALUE"""),2.0)</f>
        <v>2</v>
      </c>
      <c r="U33">
        <f>IFERROR(__xludf.DUMMYFUNCTION("""COMPUTED_VALUE"""),1.0)</f>
        <v>1</v>
      </c>
      <c r="V33">
        <f>IFERROR(__xludf.DUMMYFUNCTION("""COMPUTED_VALUE"""),1.0)</f>
        <v>1</v>
      </c>
      <c r="W33">
        <f>IFERROR(__xludf.DUMMYFUNCTION("""COMPUTED_VALUE"""),1.0)</f>
        <v>1</v>
      </c>
      <c r="X33">
        <f>IFERROR(__xludf.DUMMYFUNCTION("""COMPUTED_VALUE"""),2.0)</f>
        <v>2</v>
      </c>
      <c r="Y33">
        <f>IFERROR(__xludf.DUMMYFUNCTION("""COMPUTED_VALUE"""),2.0)</f>
        <v>2</v>
      </c>
      <c r="Z33" t="str">
        <f>IFERROR(__xludf.DUMMYFUNCTION("""COMPUTED_VALUE"""),"+9")</f>
        <v>+9</v>
      </c>
      <c r="AA33">
        <f>IFERROR(__xludf.DUMMYFUNCTION("""COMPUTED_VALUE"""),2.9)</f>
        <v>2.9</v>
      </c>
      <c r="AB33" s="10"/>
    </row>
    <row r="34">
      <c r="A34">
        <f>IFERROR(__xludf.DUMMYFUNCTION("""COMPUTED_VALUE"""),32.0)</f>
        <v>32</v>
      </c>
      <c r="B34" t="str">
        <f>IFERROR(__xludf.DUMMYFUNCTION("""COMPUTED_VALUE"""),"Christian Braun")</f>
        <v>Christian Braun</v>
      </c>
      <c r="C34" t="str">
        <f>IFERROR(__xludf.DUMMYFUNCTION("""COMPUTED_VALUE"""),"DEN")</f>
        <v>DEN</v>
      </c>
      <c r="D34" t="str">
        <f>IFERROR(__xludf.DUMMYFUNCTION("""COMPUTED_VALUE"""),"@")</f>
        <v>@</v>
      </c>
      <c r="E34" t="str">
        <f>IFERROR(__xludf.DUMMYFUNCTION("""COMPUTED_VALUE"""),"OKC")</f>
        <v>OKC</v>
      </c>
      <c r="F34" t="str">
        <f>IFERROR(__xludf.DUMMYFUNCTION("""COMPUTED_VALUE"""),"W")</f>
        <v>W</v>
      </c>
      <c r="G34" s="18">
        <f>IFERROR(__xludf.DUMMYFUNCTION("""COMPUTED_VALUE"""),0.30277777777777776)</f>
        <v>0.3027777778</v>
      </c>
      <c r="H34">
        <f>IFERROR(__xludf.DUMMYFUNCTION("""COMPUTED_VALUE"""),1.0)</f>
        <v>1</v>
      </c>
      <c r="I34">
        <f>IFERROR(__xludf.DUMMYFUNCTION("""COMPUTED_VALUE"""),1.0)</f>
        <v>1</v>
      </c>
      <c r="J34">
        <f>IFERROR(__xludf.DUMMYFUNCTION("""COMPUTED_VALUE"""),1.0)</f>
        <v>1</v>
      </c>
      <c r="K34">
        <f>IFERROR(__xludf.DUMMYFUNCTION("""COMPUTED_VALUE"""),1.0)</f>
        <v>1</v>
      </c>
      <c r="L34">
        <f>IFERROR(__xludf.DUMMYFUNCTION("""COMPUTED_VALUE"""),1.0)</f>
        <v>1</v>
      </c>
      <c r="M34">
        <f>IFERROR(__xludf.DUMMYFUNCTION("""COMPUTED_VALUE"""),1.0)</f>
        <v>1</v>
      </c>
      <c r="N34">
        <f>IFERROR(__xludf.DUMMYFUNCTION("""COMPUTED_VALUE"""),0.0)</f>
        <v>0</v>
      </c>
      <c r="O34">
        <f>IFERROR(__xludf.DUMMYFUNCTION("""COMPUTED_VALUE"""),0.0)</f>
        <v>0</v>
      </c>
      <c r="Q34">
        <f>IFERROR(__xludf.DUMMYFUNCTION("""COMPUTED_VALUE"""),0.0)</f>
        <v>0</v>
      </c>
      <c r="R34">
        <f>IFERROR(__xludf.DUMMYFUNCTION("""COMPUTED_VALUE"""),0.0)</f>
        <v>0</v>
      </c>
      <c r="S34">
        <f>IFERROR(__xludf.DUMMYFUNCTION("""COMPUTED_VALUE"""),0.0)</f>
        <v>0</v>
      </c>
      <c r="T34">
        <f>IFERROR(__xludf.DUMMYFUNCTION("""COMPUTED_VALUE"""),1.0)</f>
        <v>1</v>
      </c>
      <c r="U34">
        <f>IFERROR(__xludf.DUMMYFUNCTION("""COMPUTED_VALUE"""),0.0)</f>
        <v>0</v>
      </c>
      <c r="V34">
        <f>IFERROR(__xludf.DUMMYFUNCTION("""COMPUTED_VALUE"""),0.0)</f>
        <v>0</v>
      </c>
      <c r="W34">
        <f>IFERROR(__xludf.DUMMYFUNCTION("""COMPUTED_VALUE"""),0.0)</f>
        <v>0</v>
      </c>
      <c r="X34">
        <f>IFERROR(__xludf.DUMMYFUNCTION("""COMPUTED_VALUE"""),2.0)</f>
        <v>2</v>
      </c>
      <c r="Y34">
        <f>IFERROR(__xludf.DUMMYFUNCTION("""COMPUTED_VALUE"""),3.0)</f>
        <v>3</v>
      </c>
      <c r="Z34" t="str">
        <f>IFERROR(__xludf.DUMMYFUNCTION("""COMPUTED_VALUE"""),"+2")</f>
        <v>+2</v>
      </c>
      <c r="AA34">
        <f>IFERROR(__xludf.DUMMYFUNCTION("""COMPUTED_VALUE"""),2.6)</f>
        <v>2.6</v>
      </c>
      <c r="AB34" s="10"/>
    </row>
    <row r="35">
      <c r="A35">
        <f>IFERROR(__xludf.DUMMYFUNCTION("""COMPUTED_VALUE"""),33.0)</f>
        <v>33</v>
      </c>
      <c r="B35" t="str">
        <f>IFERROR(__xludf.DUMMYFUNCTION("""COMPUTED_VALUE"""),"Caleb Houstan")</f>
        <v>Caleb Houstan</v>
      </c>
      <c r="C35" t="str">
        <f>IFERROR(__xludf.DUMMYFUNCTION("""COMPUTED_VALUE"""),"ORL")</f>
        <v>ORL</v>
      </c>
      <c r="E35" t="str">
        <f>IFERROR(__xludf.DUMMYFUNCTION("""COMPUTED_VALUE"""),"GSW")</f>
        <v>GSW</v>
      </c>
      <c r="F35" t="str">
        <f>IFERROR(__xludf.DUMMYFUNCTION("""COMPUTED_VALUE"""),"W")</f>
        <v>W</v>
      </c>
      <c r="G35" s="18">
        <f>IFERROR(__xludf.DUMMYFUNCTION("""COMPUTED_VALUE"""),0.20277777777777778)</f>
        <v>0.2027777778</v>
      </c>
      <c r="H35">
        <f>IFERROR(__xludf.DUMMYFUNCTION("""COMPUTED_VALUE"""),0.0)</f>
        <v>0</v>
      </c>
      <c r="I35">
        <f>IFERROR(__xludf.DUMMYFUNCTION("""COMPUTED_VALUE"""),1.0)</f>
        <v>1</v>
      </c>
      <c r="J35">
        <f>IFERROR(__xludf.DUMMYFUNCTION("""COMPUTED_VALUE"""),0.0)</f>
        <v>0</v>
      </c>
      <c r="K35">
        <f>IFERROR(__xludf.DUMMYFUNCTION("""COMPUTED_VALUE"""),0.0)</f>
        <v>0</v>
      </c>
      <c r="L35">
        <f>IFERROR(__xludf.DUMMYFUNCTION("""COMPUTED_VALUE"""),1.0)</f>
        <v>1</v>
      </c>
      <c r="M35">
        <f>IFERROR(__xludf.DUMMYFUNCTION("""COMPUTED_VALUE"""),0.0)</f>
        <v>0</v>
      </c>
      <c r="N35">
        <f>IFERROR(__xludf.DUMMYFUNCTION("""COMPUTED_VALUE"""),2.0)</f>
        <v>2</v>
      </c>
      <c r="O35">
        <f>IFERROR(__xludf.DUMMYFUNCTION("""COMPUTED_VALUE"""),2.0)</f>
        <v>2</v>
      </c>
      <c r="P35">
        <f>IFERROR(__xludf.DUMMYFUNCTION("""COMPUTED_VALUE"""),1.0)</f>
        <v>1</v>
      </c>
      <c r="Q35">
        <f>IFERROR(__xludf.DUMMYFUNCTION("""COMPUTED_VALUE"""),1.0)</f>
        <v>1</v>
      </c>
      <c r="R35">
        <f>IFERROR(__xludf.DUMMYFUNCTION("""COMPUTED_VALUE"""),0.0)</f>
        <v>0</v>
      </c>
      <c r="S35">
        <f>IFERROR(__xludf.DUMMYFUNCTION("""COMPUTED_VALUE"""),1.0)</f>
        <v>1</v>
      </c>
      <c r="T35">
        <f>IFERROR(__xludf.DUMMYFUNCTION("""COMPUTED_VALUE"""),0.0)</f>
        <v>0</v>
      </c>
      <c r="U35">
        <f>IFERROR(__xludf.DUMMYFUNCTION("""COMPUTED_VALUE"""),1.0)</f>
        <v>1</v>
      </c>
      <c r="V35">
        <f>IFERROR(__xludf.DUMMYFUNCTION("""COMPUTED_VALUE"""),0.0)</f>
        <v>0</v>
      </c>
      <c r="W35">
        <f>IFERROR(__xludf.DUMMYFUNCTION("""COMPUTED_VALUE"""),0.0)</f>
        <v>0</v>
      </c>
      <c r="X35">
        <f>IFERROR(__xludf.DUMMYFUNCTION("""COMPUTED_VALUE"""),1.0)</f>
        <v>1</v>
      </c>
      <c r="Y35">
        <f>IFERROR(__xludf.DUMMYFUNCTION("""COMPUTED_VALUE"""),2.0)</f>
        <v>2</v>
      </c>
      <c r="Z35" t="str">
        <f>IFERROR(__xludf.DUMMYFUNCTION("""COMPUTED_VALUE"""),"+11")</f>
        <v>+11</v>
      </c>
      <c r="AA35">
        <f>IFERROR(__xludf.DUMMYFUNCTION("""COMPUTED_VALUE"""),2.6)</f>
        <v>2.6</v>
      </c>
      <c r="AB35" s="10"/>
    </row>
    <row r="36">
      <c r="A36">
        <f>IFERROR(__xludf.DUMMYFUNCTION("""COMPUTED_VALUE"""),34.0)</f>
        <v>34</v>
      </c>
      <c r="B36" t="str">
        <f>IFERROR(__xludf.DUMMYFUNCTION("""COMPUTED_VALUE"""),"James Wiseman")</f>
        <v>James Wiseman</v>
      </c>
      <c r="C36" t="str">
        <f>IFERROR(__xludf.DUMMYFUNCTION("""COMPUTED_VALUE"""),"GSW")</f>
        <v>GSW</v>
      </c>
      <c r="D36" t="str">
        <f>IFERROR(__xludf.DUMMYFUNCTION("""COMPUTED_VALUE"""),"@")</f>
        <v>@</v>
      </c>
      <c r="E36" t="str">
        <f>IFERROR(__xludf.DUMMYFUNCTION("""COMPUTED_VALUE"""),"ORL")</f>
        <v>ORL</v>
      </c>
      <c r="F36" t="str">
        <f>IFERROR(__xludf.DUMMYFUNCTION("""COMPUTED_VALUE"""),"L")</f>
        <v>L</v>
      </c>
      <c r="G36" s="18">
        <f>IFERROR(__xludf.DUMMYFUNCTION("""COMPUTED_VALUE"""),0.39861111111111114)</f>
        <v>0.3986111111</v>
      </c>
      <c r="H36">
        <f>IFERROR(__xludf.DUMMYFUNCTION("""COMPUTED_VALUE"""),1.0)</f>
        <v>1</v>
      </c>
      <c r="I36">
        <f>IFERROR(__xludf.DUMMYFUNCTION("""COMPUTED_VALUE"""),3.0)</f>
        <v>3</v>
      </c>
      <c r="J36">
        <f>IFERROR(__xludf.DUMMYFUNCTION("""COMPUTED_VALUE"""),0.333)</f>
        <v>0.333</v>
      </c>
      <c r="K36">
        <f>IFERROR(__xludf.DUMMYFUNCTION("""COMPUTED_VALUE"""),0.0)</f>
        <v>0</v>
      </c>
      <c r="L36">
        <f>IFERROR(__xludf.DUMMYFUNCTION("""COMPUTED_VALUE"""),0.0)</f>
        <v>0</v>
      </c>
      <c r="N36">
        <f>IFERROR(__xludf.DUMMYFUNCTION("""COMPUTED_VALUE"""),0.0)</f>
        <v>0</v>
      </c>
      <c r="O36">
        <f>IFERROR(__xludf.DUMMYFUNCTION("""COMPUTED_VALUE"""),0.0)</f>
        <v>0</v>
      </c>
      <c r="Q36">
        <f>IFERROR(__xludf.DUMMYFUNCTION("""COMPUTED_VALUE"""),1.0)</f>
        <v>1</v>
      </c>
      <c r="R36">
        <f>IFERROR(__xludf.DUMMYFUNCTION("""COMPUTED_VALUE"""),2.0)</f>
        <v>2</v>
      </c>
      <c r="S36">
        <f>IFERROR(__xludf.DUMMYFUNCTION("""COMPUTED_VALUE"""),3.0)</f>
        <v>3</v>
      </c>
      <c r="T36">
        <f>IFERROR(__xludf.DUMMYFUNCTION("""COMPUTED_VALUE"""),1.0)</f>
        <v>1</v>
      </c>
      <c r="U36">
        <f>IFERROR(__xludf.DUMMYFUNCTION("""COMPUTED_VALUE"""),1.0)</f>
        <v>1</v>
      </c>
      <c r="V36">
        <f>IFERROR(__xludf.DUMMYFUNCTION("""COMPUTED_VALUE"""),0.0)</f>
        <v>0</v>
      </c>
      <c r="W36">
        <f>IFERROR(__xludf.DUMMYFUNCTION("""COMPUTED_VALUE"""),0.0)</f>
        <v>0</v>
      </c>
      <c r="X36">
        <f>IFERROR(__xludf.DUMMYFUNCTION("""COMPUTED_VALUE"""),3.0)</f>
        <v>3</v>
      </c>
      <c r="Y36">
        <f>IFERROR(__xludf.DUMMYFUNCTION("""COMPUTED_VALUE"""),2.0)</f>
        <v>2</v>
      </c>
      <c r="Z36">
        <f>IFERROR(__xludf.DUMMYFUNCTION("""COMPUTED_VALUE"""),-9.0)</f>
        <v>-9</v>
      </c>
      <c r="AA36">
        <f>IFERROR(__xludf.DUMMYFUNCTION("""COMPUTED_VALUE"""),2.1)</f>
        <v>2.1</v>
      </c>
      <c r="AB36" s="10"/>
    </row>
    <row r="37">
      <c r="A37">
        <f>IFERROR(__xludf.DUMMYFUNCTION("""COMPUTED_VALUE"""),35.0)</f>
        <v>35</v>
      </c>
      <c r="B37" t="str">
        <f>IFERROR(__xludf.DUMMYFUNCTION("""COMPUTED_VALUE"""),"Ty Jerome")</f>
        <v>Ty Jerome</v>
      </c>
      <c r="C37" t="str">
        <f>IFERROR(__xludf.DUMMYFUNCTION("""COMPUTED_VALUE"""),"GSW")</f>
        <v>GSW</v>
      </c>
      <c r="D37" t="str">
        <f>IFERROR(__xludf.DUMMYFUNCTION("""COMPUTED_VALUE"""),"@")</f>
        <v>@</v>
      </c>
      <c r="E37" t="str">
        <f>IFERROR(__xludf.DUMMYFUNCTION("""COMPUTED_VALUE"""),"ORL")</f>
        <v>ORL</v>
      </c>
      <c r="F37" t="str">
        <f>IFERROR(__xludf.DUMMYFUNCTION("""COMPUTED_VALUE"""),"L")</f>
        <v>L</v>
      </c>
      <c r="G37" s="18">
        <f>IFERROR(__xludf.DUMMYFUNCTION("""COMPUTED_VALUE"""),0.5736111111111111)</f>
        <v>0.5736111111</v>
      </c>
      <c r="H37">
        <f>IFERROR(__xludf.DUMMYFUNCTION("""COMPUTED_VALUE"""),1.0)</f>
        <v>1</v>
      </c>
      <c r="I37">
        <f>IFERROR(__xludf.DUMMYFUNCTION("""COMPUTED_VALUE"""),2.0)</f>
        <v>2</v>
      </c>
      <c r="J37">
        <f>IFERROR(__xludf.DUMMYFUNCTION("""COMPUTED_VALUE"""),0.5)</f>
        <v>0.5</v>
      </c>
      <c r="K37">
        <f>IFERROR(__xludf.DUMMYFUNCTION("""COMPUTED_VALUE"""),0.0)</f>
        <v>0</v>
      </c>
      <c r="L37">
        <f>IFERROR(__xludf.DUMMYFUNCTION("""COMPUTED_VALUE"""),1.0)</f>
        <v>1</v>
      </c>
      <c r="M37">
        <f>IFERROR(__xludf.DUMMYFUNCTION("""COMPUTED_VALUE"""),0.0)</f>
        <v>0</v>
      </c>
      <c r="N37">
        <f>IFERROR(__xludf.DUMMYFUNCTION("""COMPUTED_VALUE"""),0.0)</f>
        <v>0</v>
      </c>
      <c r="O37">
        <f>IFERROR(__xludf.DUMMYFUNCTION("""COMPUTED_VALUE"""),0.0)</f>
        <v>0</v>
      </c>
      <c r="Q37">
        <f>IFERROR(__xludf.DUMMYFUNCTION("""COMPUTED_VALUE"""),0.0)</f>
        <v>0</v>
      </c>
      <c r="R37">
        <f>IFERROR(__xludf.DUMMYFUNCTION("""COMPUTED_VALUE"""),0.0)</f>
        <v>0</v>
      </c>
      <c r="S37">
        <f>IFERROR(__xludf.DUMMYFUNCTION("""COMPUTED_VALUE"""),0.0)</f>
        <v>0</v>
      </c>
      <c r="T37">
        <f>IFERROR(__xludf.DUMMYFUNCTION("""COMPUTED_VALUE"""),3.0)</f>
        <v>3</v>
      </c>
      <c r="U37">
        <f>IFERROR(__xludf.DUMMYFUNCTION("""COMPUTED_VALUE"""),0.0)</f>
        <v>0</v>
      </c>
      <c r="V37">
        <f>IFERROR(__xludf.DUMMYFUNCTION("""COMPUTED_VALUE"""),0.0)</f>
        <v>0</v>
      </c>
      <c r="W37">
        <f>IFERROR(__xludf.DUMMYFUNCTION("""COMPUTED_VALUE"""),1.0)</f>
        <v>1</v>
      </c>
      <c r="X37">
        <f>IFERROR(__xludf.DUMMYFUNCTION("""COMPUTED_VALUE"""),1.0)</f>
        <v>1</v>
      </c>
      <c r="Y37">
        <f>IFERROR(__xludf.DUMMYFUNCTION("""COMPUTED_VALUE"""),2.0)</f>
        <v>2</v>
      </c>
      <c r="Z37" t="str">
        <f>IFERROR(__xludf.DUMMYFUNCTION("""COMPUTED_VALUE"""),"+3")</f>
        <v>+3</v>
      </c>
      <c r="AA37">
        <f>IFERROR(__xludf.DUMMYFUNCTION("""COMPUTED_VALUE"""),1.7)</f>
        <v>1.7</v>
      </c>
      <c r="AB37" s="10"/>
    </row>
    <row r="38">
      <c r="A38">
        <f>IFERROR(__xludf.DUMMYFUNCTION("""COMPUTED_VALUE"""),36.0)</f>
        <v>36</v>
      </c>
      <c r="B38" t="str">
        <f>IFERROR(__xludf.DUMMYFUNCTION("""COMPUTED_VALUE"""),"Ousmane Dieng")</f>
        <v>Ousmane Dieng</v>
      </c>
      <c r="C38" t="str">
        <f>IFERROR(__xludf.DUMMYFUNCTION("""COMPUTED_VALUE"""),"OKC")</f>
        <v>OKC</v>
      </c>
      <c r="E38" t="str">
        <f>IFERROR(__xludf.DUMMYFUNCTION("""COMPUTED_VALUE"""),"DEN")</f>
        <v>DEN</v>
      </c>
      <c r="F38" t="str">
        <f>IFERROR(__xludf.DUMMYFUNCTION("""COMPUTED_VALUE"""),"L")</f>
        <v>L</v>
      </c>
      <c r="G38" s="18">
        <f>IFERROR(__xludf.DUMMYFUNCTION("""COMPUTED_VALUE"""),0.5027777777777778)</f>
        <v>0.5027777778</v>
      </c>
      <c r="H38">
        <f>IFERROR(__xludf.DUMMYFUNCTION("""COMPUTED_VALUE"""),1.0)</f>
        <v>1</v>
      </c>
      <c r="I38">
        <f>IFERROR(__xludf.DUMMYFUNCTION("""COMPUTED_VALUE"""),3.0)</f>
        <v>3</v>
      </c>
      <c r="J38">
        <f>IFERROR(__xludf.DUMMYFUNCTION("""COMPUTED_VALUE"""),0.333)</f>
        <v>0.333</v>
      </c>
      <c r="K38">
        <f>IFERROR(__xludf.DUMMYFUNCTION("""COMPUTED_VALUE"""),0.0)</f>
        <v>0</v>
      </c>
      <c r="L38">
        <f>IFERROR(__xludf.DUMMYFUNCTION("""COMPUTED_VALUE"""),2.0)</f>
        <v>2</v>
      </c>
      <c r="M38">
        <f>IFERROR(__xludf.DUMMYFUNCTION("""COMPUTED_VALUE"""),0.0)</f>
        <v>0</v>
      </c>
      <c r="N38">
        <f>IFERROR(__xludf.DUMMYFUNCTION("""COMPUTED_VALUE"""),1.0)</f>
        <v>1</v>
      </c>
      <c r="O38">
        <f>IFERROR(__xludf.DUMMYFUNCTION("""COMPUTED_VALUE"""),2.0)</f>
        <v>2</v>
      </c>
      <c r="P38">
        <f>IFERROR(__xludf.DUMMYFUNCTION("""COMPUTED_VALUE"""),0.5)</f>
        <v>0.5</v>
      </c>
      <c r="Q38">
        <f>IFERROR(__xludf.DUMMYFUNCTION("""COMPUTED_VALUE"""),1.0)</f>
        <v>1</v>
      </c>
      <c r="R38">
        <f>IFERROR(__xludf.DUMMYFUNCTION("""COMPUTED_VALUE"""),2.0)</f>
        <v>2</v>
      </c>
      <c r="S38">
        <f>IFERROR(__xludf.DUMMYFUNCTION("""COMPUTED_VALUE"""),3.0)</f>
        <v>3</v>
      </c>
      <c r="T38">
        <f>IFERROR(__xludf.DUMMYFUNCTION("""COMPUTED_VALUE"""),1.0)</f>
        <v>1</v>
      </c>
      <c r="U38">
        <f>IFERROR(__xludf.DUMMYFUNCTION("""COMPUTED_VALUE"""),0.0)</f>
        <v>0</v>
      </c>
      <c r="V38">
        <f>IFERROR(__xludf.DUMMYFUNCTION("""COMPUTED_VALUE"""),0.0)</f>
        <v>0</v>
      </c>
      <c r="W38">
        <f>IFERROR(__xludf.DUMMYFUNCTION("""COMPUTED_VALUE"""),1.0)</f>
        <v>1</v>
      </c>
      <c r="X38">
        <f>IFERROR(__xludf.DUMMYFUNCTION("""COMPUTED_VALUE"""),1.0)</f>
        <v>1</v>
      </c>
      <c r="Y38">
        <f>IFERROR(__xludf.DUMMYFUNCTION("""COMPUTED_VALUE"""),3.0)</f>
        <v>3</v>
      </c>
      <c r="Z38">
        <f>IFERROR(__xludf.DUMMYFUNCTION("""COMPUTED_VALUE"""),0.0)</f>
        <v>0</v>
      </c>
      <c r="AA38">
        <f>IFERROR(__xludf.DUMMYFUNCTION("""COMPUTED_VALUE"""),1.5)</f>
        <v>1.5</v>
      </c>
      <c r="AB38" s="10"/>
    </row>
    <row r="39">
      <c r="A39">
        <f>IFERROR(__xludf.DUMMYFUNCTION("""COMPUTED_VALUE"""),37.0)</f>
        <v>37</v>
      </c>
      <c r="B39" t="str">
        <f>IFERROR(__xludf.DUMMYFUNCTION("""COMPUTED_VALUE"""),"Jordan Poole")</f>
        <v>Jordan Poole</v>
      </c>
      <c r="C39" t="str">
        <f>IFERROR(__xludf.DUMMYFUNCTION("""COMPUTED_VALUE"""),"GSW")</f>
        <v>GSW</v>
      </c>
      <c r="D39" t="str">
        <f>IFERROR(__xludf.DUMMYFUNCTION("""COMPUTED_VALUE"""),"@")</f>
        <v>@</v>
      </c>
      <c r="E39" t="str">
        <f>IFERROR(__xludf.DUMMYFUNCTION("""COMPUTED_VALUE"""),"ORL")</f>
        <v>ORL</v>
      </c>
      <c r="F39" t="str">
        <f>IFERROR(__xludf.DUMMYFUNCTION("""COMPUTED_VALUE"""),"L")</f>
        <v>L</v>
      </c>
      <c r="G39" s="13">
        <f>IFERROR(__xludf.DUMMYFUNCTION("""COMPUTED_VALUE"""),1.0131944444444445)</f>
        <v>1.013194444</v>
      </c>
      <c r="H39">
        <f>IFERROR(__xludf.DUMMYFUNCTION("""COMPUTED_VALUE"""),4.0)</f>
        <v>4</v>
      </c>
      <c r="I39">
        <f>IFERROR(__xludf.DUMMYFUNCTION("""COMPUTED_VALUE"""),12.0)</f>
        <v>12</v>
      </c>
      <c r="J39">
        <f>IFERROR(__xludf.DUMMYFUNCTION("""COMPUTED_VALUE"""),0.333)</f>
        <v>0.333</v>
      </c>
      <c r="K39">
        <f>IFERROR(__xludf.DUMMYFUNCTION("""COMPUTED_VALUE"""),1.0)</f>
        <v>1</v>
      </c>
      <c r="L39">
        <f>IFERROR(__xludf.DUMMYFUNCTION("""COMPUTED_VALUE"""),5.0)</f>
        <v>5</v>
      </c>
      <c r="M39">
        <f>IFERROR(__xludf.DUMMYFUNCTION("""COMPUTED_VALUE"""),0.2)</f>
        <v>0.2</v>
      </c>
      <c r="N39">
        <f>IFERROR(__xludf.DUMMYFUNCTION("""COMPUTED_VALUE"""),2.0)</f>
        <v>2</v>
      </c>
      <c r="O39">
        <f>IFERROR(__xludf.DUMMYFUNCTION("""COMPUTED_VALUE"""),3.0)</f>
        <v>3</v>
      </c>
      <c r="P39">
        <f>IFERROR(__xludf.DUMMYFUNCTION("""COMPUTED_VALUE"""),0.667)</f>
        <v>0.667</v>
      </c>
      <c r="Q39">
        <f>IFERROR(__xludf.DUMMYFUNCTION("""COMPUTED_VALUE"""),1.0)</f>
        <v>1</v>
      </c>
      <c r="R39">
        <f>IFERROR(__xludf.DUMMYFUNCTION("""COMPUTED_VALUE"""),1.0)</f>
        <v>1</v>
      </c>
      <c r="S39">
        <f>IFERROR(__xludf.DUMMYFUNCTION("""COMPUTED_VALUE"""),2.0)</f>
        <v>2</v>
      </c>
      <c r="T39">
        <f>IFERROR(__xludf.DUMMYFUNCTION("""COMPUTED_VALUE"""),2.0)</f>
        <v>2</v>
      </c>
      <c r="U39">
        <f>IFERROR(__xludf.DUMMYFUNCTION("""COMPUTED_VALUE"""),0.0)</f>
        <v>0</v>
      </c>
      <c r="V39">
        <f>IFERROR(__xludf.DUMMYFUNCTION("""COMPUTED_VALUE"""),0.0)</f>
        <v>0</v>
      </c>
      <c r="W39">
        <f>IFERROR(__xludf.DUMMYFUNCTION("""COMPUTED_VALUE"""),4.0)</f>
        <v>4</v>
      </c>
      <c r="X39">
        <f>IFERROR(__xludf.DUMMYFUNCTION("""COMPUTED_VALUE"""),2.0)</f>
        <v>2</v>
      </c>
      <c r="Y39">
        <f>IFERROR(__xludf.DUMMYFUNCTION("""COMPUTED_VALUE"""),11.0)</f>
        <v>11</v>
      </c>
      <c r="Z39">
        <f>IFERROR(__xludf.DUMMYFUNCTION("""COMPUTED_VALUE"""),-10.0)</f>
        <v>-10</v>
      </c>
      <c r="AA39">
        <f>IFERROR(__xludf.DUMMYFUNCTION("""COMPUTED_VALUE"""),1.4)</f>
        <v>1.4</v>
      </c>
      <c r="AB39" s="10"/>
    </row>
    <row r="40">
      <c r="A40">
        <f>IFERROR(__xludf.DUMMYFUNCTION("""COMPUTED_VALUE"""),38.0)</f>
        <v>38</v>
      </c>
      <c r="B40" t="str">
        <f>IFERROR(__xludf.DUMMYFUNCTION("""COMPUTED_VALUE"""),"Davon Reed")</f>
        <v>Davon Reed</v>
      </c>
      <c r="C40" t="str">
        <f>IFERROR(__xludf.DUMMYFUNCTION("""COMPUTED_VALUE"""),"DEN")</f>
        <v>DEN</v>
      </c>
      <c r="D40" t="str">
        <f>IFERROR(__xludf.DUMMYFUNCTION("""COMPUTED_VALUE"""),"@")</f>
        <v>@</v>
      </c>
      <c r="E40" t="str">
        <f>IFERROR(__xludf.DUMMYFUNCTION("""COMPUTED_VALUE"""),"OKC")</f>
        <v>OKC</v>
      </c>
      <c r="F40" t="str">
        <f>IFERROR(__xludf.DUMMYFUNCTION("""COMPUTED_VALUE"""),"W")</f>
        <v>W</v>
      </c>
      <c r="G40" s="18">
        <f>IFERROR(__xludf.DUMMYFUNCTION("""COMPUTED_VALUE"""),0.34305555555555556)</f>
        <v>0.3430555556</v>
      </c>
      <c r="H40">
        <f>IFERROR(__xludf.DUMMYFUNCTION("""COMPUTED_VALUE"""),2.0)</f>
        <v>2</v>
      </c>
      <c r="I40">
        <f>IFERROR(__xludf.DUMMYFUNCTION("""COMPUTED_VALUE"""),4.0)</f>
        <v>4</v>
      </c>
      <c r="J40">
        <f>IFERROR(__xludf.DUMMYFUNCTION("""COMPUTED_VALUE"""),0.5)</f>
        <v>0.5</v>
      </c>
      <c r="K40">
        <f>IFERROR(__xludf.DUMMYFUNCTION("""COMPUTED_VALUE"""),1.0)</f>
        <v>1</v>
      </c>
      <c r="L40">
        <f>IFERROR(__xludf.DUMMYFUNCTION("""COMPUTED_VALUE"""),1.0)</f>
        <v>1</v>
      </c>
      <c r="M40">
        <f>IFERROR(__xludf.DUMMYFUNCTION("""COMPUTED_VALUE"""),1.0)</f>
        <v>1</v>
      </c>
      <c r="N40">
        <f>IFERROR(__xludf.DUMMYFUNCTION("""COMPUTED_VALUE"""),0.0)</f>
        <v>0</v>
      </c>
      <c r="O40">
        <f>IFERROR(__xludf.DUMMYFUNCTION("""COMPUTED_VALUE"""),0.0)</f>
        <v>0</v>
      </c>
      <c r="Q40">
        <f>IFERROR(__xludf.DUMMYFUNCTION("""COMPUTED_VALUE"""),0.0)</f>
        <v>0</v>
      </c>
      <c r="R40">
        <f>IFERROR(__xludf.DUMMYFUNCTION("""COMPUTED_VALUE"""),1.0)</f>
        <v>1</v>
      </c>
      <c r="S40">
        <f>IFERROR(__xludf.DUMMYFUNCTION("""COMPUTED_VALUE"""),1.0)</f>
        <v>1</v>
      </c>
      <c r="T40">
        <f>IFERROR(__xludf.DUMMYFUNCTION("""COMPUTED_VALUE"""),0.0)</f>
        <v>0</v>
      </c>
      <c r="U40">
        <f>IFERROR(__xludf.DUMMYFUNCTION("""COMPUTED_VALUE"""),0.0)</f>
        <v>0</v>
      </c>
      <c r="V40">
        <f>IFERROR(__xludf.DUMMYFUNCTION("""COMPUTED_VALUE"""),0.0)</f>
        <v>0</v>
      </c>
      <c r="W40">
        <f>IFERROR(__xludf.DUMMYFUNCTION("""COMPUTED_VALUE"""),2.0)</f>
        <v>2</v>
      </c>
      <c r="X40">
        <f>IFERROR(__xludf.DUMMYFUNCTION("""COMPUTED_VALUE"""),1.0)</f>
        <v>1</v>
      </c>
      <c r="Y40">
        <f>IFERROR(__xludf.DUMMYFUNCTION("""COMPUTED_VALUE"""),5.0)</f>
        <v>5</v>
      </c>
      <c r="Z40" t="str">
        <f>IFERROR(__xludf.DUMMYFUNCTION("""COMPUTED_VALUE"""),"+3")</f>
        <v>+3</v>
      </c>
      <c r="AA40">
        <f>IFERROR(__xludf.DUMMYFUNCTION("""COMPUTED_VALUE"""),0.9)</f>
        <v>0.9</v>
      </c>
      <c r="AB40" s="10"/>
    </row>
    <row r="41">
      <c r="A41">
        <f>IFERROR(__xludf.DUMMYFUNCTION("""COMPUTED_VALUE"""),39.0)</f>
        <v>39</v>
      </c>
      <c r="B41" t="str">
        <f>IFERROR(__xludf.DUMMYFUNCTION("""COMPUTED_VALUE"""),"Moses Moody")</f>
        <v>Moses Moody</v>
      </c>
      <c r="C41" t="str">
        <f>IFERROR(__xludf.DUMMYFUNCTION("""COMPUTED_VALUE"""),"GSW")</f>
        <v>GSW</v>
      </c>
      <c r="D41" t="str">
        <f>IFERROR(__xludf.DUMMYFUNCTION("""COMPUTED_VALUE"""),"@")</f>
        <v>@</v>
      </c>
      <c r="E41" t="str">
        <f>IFERROR(__xludf.DUMMYFUNCTION("""COMPUTED_VALUE"""),"ORL")</f>
        <v>ORL</v>
      </c>
      <c r="F41" t="str">
        <f>IFERROR(__xludf.DUMMYFUNCTION("""COMPUTED_VALUE"""),"L")</f>
        <v>L</v>
      </c>
      <c r="G41" s="18">
        <f>IFERROR(__xludf.DUMMYFUNCTION("""COMPUTED_VALUE"""),0.4791666666666667)</f>
        <v>0.4791666667</v>
      </c>
      <c r="H41">
        <f>IFERROR(__xludf.DUMMYFUNCTION("""COMPUTED_VALUE"""),0.0)</f>
        <v>0</v>
      </c>
      <c r="I41">
        <f>IFERROR(__xludf.DUMMYFUNCTION("""COMPUTED_VALUE"""),1.0)</f>
        <v>1</v>
      </c>
      <c r="J41">
        <f>IFERROR(__xludf.DUMMYFUNCTION("""COMPUTED_VALUE"""),0.0)</f>
        <v>0</v>
      </c>
      <c r="K41">
        <f>IFERROR(__xludf.DUMMYFUNCTION("""COMPUTED_VALUE"""),0.0)</f>
        <v>0</v>
      </c>
      <c r="L41">
        <f>IFERROR(__xludf.DUMMYFUNCTION("""COMPUTED_VALUE"""),1.0)</f>
        <v>1</v>
      </c>
      <c r="M41">
        <f>IFERROR(__xludf.DUMMYFUNCTION("""COMPUTED_VALUE"""),0.0)</f>
        <v>0</v>
      </c>
      <c r="N41">
        <f>IFERROR(__xludf.DUMMYFUNCTION("""COMPUTED_VALUE"""),1.0)</f>
        <v>1</v>
      </c>
      <c r="O41">
        <f>IFERROR(__xludf.DUMMYFUNCTION("""COMPUTED_VALUE"""),2.0)</f>
        <v>2</v>
      </c>
      <c r="P41">
        <f>IFERROR(__xludf.DUMMYFUNCTION("""COMPUTED_VALUE"""),0.5)</f>
        <v>0.5</v>
      </c>
      <c r="Q41">
        <f>IFERROR(__xludf.DUMMYFUNCTION("""COMPUTED_VALUE"""),0.0)</f>
        <v>0</v>
      </c>
      <c r="R41">
        <f>IFERROR(__xludf.DUMMYFUNCTION("""COMPUTED_VALUE"""),2.0)</f>
        <v>2</v>
      </c>
      <c r="S41">
        <f>IFERROR(__xludf.DUMMYFUNCTION("""COMPUTED_VALUE"""),2.0)</f>
        <v>2</v>
      </c>
      <c r="T41">
        <f>IFERROR(__xludf.DUMMYFUNCTION("""COMPUTED_VALUE"""),0.0)</f>
        <v>0</v>
      </c>
      <c r="U41">
        <f>IFERROR(__xludf.DUMMYFUNCTION("""COMPUTED_VALUE"""),1.0)</f>
        <v>1</v>
      </c>
      <c r="V41">
        <f>IFERROR(__xludf.DUMMYFUNCTION("""COMPUTED_VALUE"""),0.0)</f>
        <v>0</v>
      </c>
      <c r="W41">
        <f>IFERROR(__xludf.DUMMYFUNCTION("""COMPUTED_VALUE"""),0.0)</f>
        <v>0</v>
      </c>
      <c r="X41">
        <f>IFERROR(__xludf.DUMMYFUNCTION("""COMPUTED_VALUE"""),2.0)</f>
        <v>2</v>
      </c>
      <c r="Y41">
        <f>IFERROR(__xludf.DUMMYFUNCTION("""COMPUTED_VALUE"""),1.0)</f>
        <v>1</v>
      </c>
      <c r="Z41">
        <f>IFERROR(__xludf.DUMMYFUNCTION("""COMPUTED_VALUE"""),-9.0)</f>
        <v>-9</v>
      </c>
      <c r="AA41">
        <f>IFERROR(__xludf.DUMMYFUNCTION("""COMPUTED_VALUE"""),0.7)</f>
        <v>0.7</v>
      </c>
      <c r="AB41" s="10"/>
    </row>
    <row r="42">
      <c r="A42">
        <f>IFERROR(__xludf.DUMMYFUNCTION("""COMPUTED_VALUE"""),40.0)</f>
        <v>40</v>
      </c>
      <c r="B42" t="str">
        <f>IFERROR(__xludf.DUMMYFUNCTION("""COMPUTED_VALUE"""),"Mo Bamba")</f>
        <v>Mo Bamba</v>
      </c>
      <c r="C42" t="str">
        <f>IFERROR(__xludf.DUMMYFUNCTION("""COMPUTED_VALUE"""),"ORL")</f>
        <v>ORL</v>
      </c>
      <c r="E42" t="str">
        <f>IFERROR(__xludf.DUMMYFUNCTION("""COMPUTED_VALUE"""),"GSW")</f>
        <v>GSW</v>
      </c>
      <c r="F42" t="str">
        <f>IFERROR(__xludf.DUMMYFUNCTION("""COMPUTED_VALUE"""),"W")</f>
        <v>W</v>
      </c>
      <c r="G42" s="18">
        <f>IFERROR(__xludf.DUMMYFUNCTION("""COMPUTED_VALUE"""),0.23472222222222222)</f>
        <v>0.2347222222</v>
      </c>
      <c r="H42">
        <f>IFERROR(__xludf.DUMMYFUNCTION("""COMPUTED_VALUE"""),0.0)</f>
        <v>0</v>
      </c>
      <c r="I42">
        <f>IFERROR(__xludf.DUMMYFUNCTION("""COMPUTED_VALUE"""),0.0)</f>
        <v>0</v>
      </c>
      <c r="K42">
        <f>IFERROR(__xludf.DUMMYFUNCTION("""COMPUTED_VALUE"""),0.0)</f>
        <v>0</v>
      </c>
      <c r="L42">
        <f>IFERROR(__xludf.DUMMYFUNCTION("""COMPUTED_VALUE"""),0.0)</f>
        <v>0</v>
      </c>
      <c r="N42">
        <f>IFERROR(__xludf.DUMMYFUNCTION("""COMPUTED_VALUE"""),0.0)</f>
        <v>0</v>
      </c>
      <c r="O42">
        <f>IFERROR(__xludf.DUMMYFUNCTION("""COMPUTED_VALUE"""),0.0)</f>
        <v>0</v>
      </c>
      <c r="Q42">
        <f>IFERROR(__xludf.DUMMYFUNCTION("""COMPUTED_VALUE"""),0.0)</f>
        <v>0</v>
      </c>
      <c r="R42">
        <f>IFERROR(__xludf.DUMMYFUNCTION("""COMPUTED_VALUE"""),2.0)</f>
        <v>2</v>
      </c>
      <c r="S42">
        <f>IFERROR(__xludf.DUMMYFUNCTION("""COMPUTED_VALUE"""),2.0)</f>
        <v>2</v>
      </c>
      <c r="T42">
        <f>IFERROR(__xludf.DUMMYFUNCTION("""COMPUTED_VALUE"""),0.0)</f>
        <v>0</v>
      </c>
      <c r="U42">
        <f>IFERROR(__xludf.DUMMYFUNCTION("""COMPUTED_VALUE"""),0.0)</f>
        <v>0</v>
      </c>
      <c r="V42">
        <f>IFERROR(__xludf.DUMMYFUNCTION("""COMPUTED_VALUE"""),0.0)</f>
        <v>0</v>
      </c>
      <c r="W42">
        <f>IFERROR(__xludf.DUMMYFUNCTION("""COMPUTED_VALUE"""),1.0)</f>
        <v>1</v>
      </c>
      <c r="X42">
        <f>IFERROR(__xludf.DUMMYFUNCTION("""COMPUTED_VALUE"""),1.0)</f>
        <v>1</v>
      </c>
      <c r="Y42">
        <f>IFERROR(__xludf.DUMMYFUNCTION("""COMPUTED_VALUE"""),0.0)</f>
        <v>0</v>
      </c>
      <c r="Z42">
        <f>IFERROR(__xludf.DUMMYFUNCTION("""COMPUTED_VALUE"""),-4.0)</f>
        <v>-4</v>
      </c>
      <c r="AA42">
        <f>IFERROR(__xludf.DUMMYFUNCTION("""COMPUTED_VALUE"""),-0.8)</f>
        <v>-0.8</v>
      </c>
      <c r="AB42" s="10"/>
    </row>
    <row r="43">
      <c r="A43" t="str">
        <f>IFERROR(__xludf.DUMMYFUNCTION("""COMPUTED_VALUE"""),"Rk")</f>
        <v>Rk</v>
      </c>
      <c r="B43" t="str">
        <f>IFERROR(__xludf.DUMMYFUNCTION("""COMPUTED_VALUE"""),"Player")</f>
        <v>Player</v>
      </c>
      <c r="C43" t="str">
        <f>IFERROR(__xludf.DUMMYFUNCTION("""COMPUTED_VALUE"""),"Tm")</f>
        <v>Tm</v>
      </c>
      <c r="E43" t="str">
        <f>IFERROR(__xludf.DUMMYFUNCTION("""COMPUTED_VALUE"""),"Opp")</f>
        <v>Opp</v>
      </c>
      <c r="G43" t="str">
        <f>IFERROR(__xludf.DUMMYFUNCTION("""COMPUTED_VALUE"""),"MP")</f>
        <v>MP</v>
      </c>
      <c r="H43" t="str">
        <f>IFERROR(__xludf.DUMMYFUNCTION("""COMPUTED_VALUE"""),"FG")</f>
        <v>FG</v>
      </c>
      <c r="I43" t="str">
        <f>IFERROR(__xludf.DUMMYFUNCTION("""COMPUTED_VALUE"""),"FGA")</f>
        <v>FGA</v>
      </c>
      <c r="J43" t="str">
        <f>IFERROR(__xludf.DUMMYFUNCTION("""COMPUTED_VALUE"""),"FG%")</f>
        <v>FG%</v>
      </c>
      <c r="K43" t="str">
        <f>IFERROR(__xludf.DUMMYFUNCTION("""COMPUTED_VALUE"""),"3P")</f>
        <v>3P</v>
      </c>
      <c r="L43" t="str">
        <f>IFERROR(__xludf.DUMMYFUNCTION("""COMPUTED_VALUE"""),"3PA")</f>
        <v>3PA</v>
      </c>
      <c r="M43" t="str">
        <f>IFERROR(__xludf.DUMMYFUNCTION("""COMPUTED_VALUE"""),"3P%")</f>
        <v>3P%</v>
      </c>
      <c r="N43" t="str">
        <f>IFERROR(__xludf.DUMMYFUNCTION("""COMPUTED_VALUE"""),"FT")</f>
        <v>FT</v>
      </c>
      <c r="O43" t="str">
        <f>IFERROR(__xludf.DUMMYFUNCTION("""COMPUTED_VALUE"""),"FTA")</f>
        <v>FTA</v>
      </c>
      <c r="P43" t="str">
        <f>IFERROR(__xludf.DUMMYFUNCTION("""COMPUTED_VALUE"""),"FT%")</f>
        <v>FT%</v>
      </c>
      <c r="Q43" t="str">
        <f>IFERROR(__xludf.DUMMYFUNCTION("""COMPUTED_VALUE"""),"ORB")</f>
        <v>ORB</v>
      </c>
      <c r="R43" t="str">
        <f>IFERROR(__xludf.DUMMYFUNCTION("""COMPUTED_VALUE"""),"DRB")</f>
        <v>DRB</v>
      </c>
      <c r="S43" t="str">
        <f>IFERROR(__xludf.DUMMYFUNCTION("""COMPUTED_VALUE"""),"TRB")</f>
        <v>TRB</v>
      </c>
      <c r="T43" t="str">
        <f>IFERROR(__xludf.DUMMYFUNCTION("""COMPUTED_VALUE"""),"AST")</f>
        <v>AST</v>
      </c>
      <c r="U43" t="str">
        <f>IFERROR(__xludf.DUMMYFUNCTION("""COMPUTED_VALUE"""),"STL")</f>
        <v>STL</v>
      </c>
      <c r="V43" t="str">
        <f>IFERROR(__xludf.DUMMYFUNCTION("""COMPUTED_VALUE"""),"BLK")</f>
        <v>BLK</v>
      </c>
      <c r="W43" t="str">
        <f>IFERROR(__xludf.DUMMYFUNCTION("""COMPUTED_VALUE"""),"TOV")</f>
        <v>TOV</v>
      </c>
      <c r="X43" t="str">
        <f>IFERROR(__xludf.DUMMYFUNCTION("""COMPUTED_VALUE"""),"PF")</f>
        <v>PF</v>
      </c>
      <c r="Y43" t="str">
        <f>IFERROR(__xludf.DUMMYFUNCTION("""COMPUTED_VALUE"""),"PTS")</f>
        <v>PTS</v>
      </c>
      <c r="Z43" t="str">
        <f>IFERROR(__xludf.DUMMYFUNCTION("""COMPUTED_VALUE"""),"+/-")</f>
        <v>+/-</v>
      </c>
      <c r="AA43" t="str">
        <f>IFERROR(__xludf.DUMMYFUNCTION("""COMPUTED_VALUE"""),"GmSc")</f>
        <v>GmSc</v>
      </c>
      <c r="AB43" s="10"/>
    </row>
    <row r="44">
      <c r="A44">
        <f>IFERROR(__xludf.DUMMYFUNCTION("""COMPUTED_VALUE"""),41.0)</f>
        <v>41</v>
      </c>
      <c r="B44" t="str">
        <f>IFERROR(__xludf.DUMMYFUNCTION("""COMPUTED_VALUE"""),"Mike Muscala")</f>
        <v>Mike Muscala</v>
      </c>
      <c r="C44" t="str">
        <f>IFERROR(__xludf.DUMMYFUNCTION("""COMPUTED_VALUE"""),"OKC")</f>
        <v>OKC</v>
      </c>
      <c r="E44" t="str">
        <f>IFERROR(__xludf.DUMMYFUNCTION("""COMPUTED_VALUE"""),"DEN")</f>
        <v>DEN</v>
      </c>
      <c r="F44" t="str">
        <f>IFERROR(__xludf.DUMMYFUNCTION("""COMPUTED_VALUE"""),"L")</f>
        <v>L</v>
      </c>
      <c r="G44" s="18">
        <f>IFERROR(__xludf.DUMMYFUNCTION("""COMPUTED_VALUE"""),0.5354166666666667)</f>
        <v>0.5354166667</v>
      </c>
      <c r="H44">
        <f>IFERROR(__xludf.DUMMYFUNCTION("""COMPUTED_VALUE"""),0.0)</f>
        <v>0</v>
      </c>
      <c r="I44">
        <f>IFERROR(__xludf.DUMMYFUNCTION("""COMPUTED_VALUE"""),3.0)</f>
        <v>3</v>
      </c>
      <c r="J44">
        <f>IFERROR(__xludf.DUMMYFUNCTION("""COMPUTED_VALUE"""),0.0)</f>
        <v>0</v>
      </c>
      <c r="K44">
        <f>IFERROR(__xludf.DUMMYFUNCTION("""COMPUTED_VALUE"""),0.0)</f>
        <v>0</v>
      </c>
      <c r="L44">
        <f>IFERROR(__xludf.DUMMYFUNCTION("""COMPUTED_VALUE"""),2.0)</f>
        <v>2</v>
      </c>
      <c r="M44">
        <f>IFERROR(__xludf.DUMMYFUNCTION("""COMPUTED_VALUE"""),0.0)</f>
        <v>0</v>
      </c>
      <c r="N44">
        <f>IFERROR(__xludf.DUMMYFUNCTION("""COMPUTED_VALUE"""),0.0)</f>
        <v>0</v>
      </c>
      <c r="O44">
        <f>IFERROR(__xludf.DUMMYFUNCTION("""COMPUTED_VALUE"""),0.0)</f>
        <v>0</v>
      </c>
      <c r="Q44">
        <f>IFERROR(__xludf.DUMMYFUNCTION("""COMPUTED_VALUE"""),0.0)</f>
        <v>0</v>
      </c>
      <c r="R44">
        <f>IFERROR(__xludf.DUMMYFUNCTION("""COMPUTED_VALUE"""),2.0)</f>
        <v>2</v>
      </c>
      <c r="S44">
        <f>IFERROR(__xludf.DUMMYFUNCTION("""COMPUTED_VALUE"""),2.0)</f>
        <v>2</v>
      </c>
      <c r="T44">
        <f>IFERROR(__xludf.DUMMYFUNCTION("""COMPUTED_VALUE"""),0.0)</f>
        <v>0</v>
      </c>
      <c r="U44">
        <f>IFERROR(__xludf.DUMMYFUNCTION("""COMPUTED_VALUE"""),0.0)</f>
        <v>0</v>
      </c>
      <c r="V44">
        <f>IFERROR(__xludf.DUMMYFUNCTION("""COMPUTED_VALUE"""),0.0)</f>
        <v>0</v>
      </c>
      <c r="W44">
        <f>IFERROR(__xludf.DUMMYFUNCTION("""COMPUTED_VALUE"""),0.0)</f>
        <v>0</v>
      </c>
      <c r="X44">
        <f>IFERROR(__xludf.DUMMYFUNCTION("""COMPUTED_VALUE"""),3.0)</f>
        <v>3</v>
      </c>
      <c r="Y44">
        <f>IFERROR(__xludf.DUMMYFUNCTION("""COMPUTED_VALUE"""),0.0)</f>
        <v>0</v>
      </c>
      <c r="Z44" t="str">
        <f>IFERROR(__xludf.DUMMYFUNCTION("""COMPUTED_VALUE"""),"+7")</f>
        <v>+7</v>
      </c>
      <c r="AA44">
        <f>IFERROR(__xludf.DUMMYFUNCTION("""COMPUTED_VALUE"""),-2.7)</f>
        <v>-2.7</v>
      </c>
      <c r="AB44" s="10"/>
    </row>
    <row r="45">
      <c r="AB45" s="10"/>
    </row>
    <row r="46">
      <c r="AB46" s="10"/>
    </row>
    <row r="47">
      <c r="AB47" s="10"/>
    </row>
    <row r="48">
      <c r="AB48" s="10"/>
    </row>
    <row r="49">
      <c r="AB49" s="10"/>
    </row>
    <row r="50">
      <c r="AB50" s="10"/>
    </row>
    <row r="51">
      <c r="AB51" s="10"/>
    </row>
    <row r="52">
      <c r="AB52" s="10"/>
    </row>
    <row r="53">
      <c r="AB53" s="10"/>
    </row>
    <row r="54">
      <c r="AB54" s="10"/>
    </row>
    <row r="55">
      <c r="AB55" s="10"/>
    </row>
    <row r="56">
      <c r="AB56" s="10"/>
    </row>
    <row r="57">
      <c r="AB57" s="10"/>
    </row>
    <row r="58">
      <c r="AB58" s="10"/>
    </row>
    <row r="59">
      <c r="AB59" s="10"/>
    </row>
    <row r="60">
      <c r="AB60" s="10"/>
    </row>
    <row r="61">
      <c r="AB61" s="10"/>
    </row>
    <row r="62">
      <c r="AB62" s="10"/>
    </row>
    <row r="63">
      <c r="AB63" s="10"/>
    </row>
    <row r="64">
      <c r="AB64" s="10"/>
    </row>
    <row r="65">
      <c r="AB65" s="10"/>
    </row>
    <row r="66">
      <c r="AB66" s="10"/>
    </row>
    <row r="67">
      <c r="AB67" s="10"/>
    </row>
    <row r="68">
      <c r="AB68" s="10"/>
    </row>
    <row r="69">
      <c r="AB69" s="10"/>
    </row>
    <row r="70">
      <c r="AB70" s="10"/>
    </row>
    <row r="71">
      <c r="AB71" s="10"/>
    </row>
    <row r="72">
      <c r="AB72" s="10"/>
    </row>
    <row r="73">
      <c r="AB73" s="10"/>
    </row>
    <row r="74">
      <c r="AB74" s="10"/>
    </row>
    <row r="75">
      <c r="AB75" s="10"/>
    </row>
    <row r="76">
      <c r="AB76" s="10"/>
    </row>
    <row r="77">
      <c r="AB77" s="10"/>
    </row>
    <row r="78">
      <c r="AB78" s="10"/>
    </row>
    <row r="79">
      <c r="AB79" s="10"/>
    </row>
    <row r="80">
      <c r="AB80" s="10"/>
    </row>
    <row r="81">
      <c r="AB81" s="10"/>
    </row>
    <row r="82">
      <c r="AB82" s="10"/>
    </row>
    <row r="83">
      <c r="AB83" s="10"/>
    </row>
    <row r="84">
      <c r="AB84" s="10"/>
    </row>
    <row r="85">
      <c r="AB85" s="10"/>
    </row>
    <row r="86">
      <c r="AB86" s="10"/>
    </row>
    <row r="87">
      <c r="AB87" s="10"/>
    </row>
    <row r="88">
      <c r="AB88" s="10"/>
    </row>
    <row r="89">
      <c r="AB89" s="10"/>
    </row>
    <row r="90">
      <c r="AB90" s="10"/>
    </row>
    <row r="91">
      <c r="AB91" s="10"/>
    </row>
    <row r="92">
      <c r="AB92" s="10"/>
    </row>
    <row r="93">
      <c r="AB93" s="10"/>
    </row>
    <row r="94">
      <c r="AB94" s="10"/>
    </row>
    <row r="95">
      <c r="AB95" s="10"/>
    </row>
    <row r="96">
      <c r="AB96" s="10"/>
    </row>
    <row r="97">
      <c r="AB97" s="10"/>
    </row>
    <row r="98">
      <c r="AB98" s="10"/>
    </row>
    <row r="99">
      <c r="AB99" s="10"/>
    </row>
    <row r="100">
      <c r="AB100" s="10"/>
    </row>
    <row r="101">
      <c r="AB101" s="10"/>
    </row>
    <row r="102">
      <c r="AB102" s="10"/>
    </row>
    <row r="103">
      <c r="AB103" s="10"/>
    </row>
    <row r="104">
      <c r="AB104" s="10"/>
    </row>
    <row r="105">
      <c r="AB105" s="10"/>
    </row>
    <row r="106">
      <c r="AB106" s="10"/>
    </row>
    <row r="107">
      <c r="AB107" s="10"/>
    </row>
    <row r="108">
      <c r="AB108" s="10"/>
    </row>
    <row r="109">
      <c r="AB109" s="10"/>
    </row>
    <row r="110">
      <c r="AB110" s="10"/>
    </row>
    <row r="111">
      <c r="AB111" s="10"/>
    </row>
    <row r="112">
      <c r="AB112" s="10"/>
    </row>
    <row r="113">
      <c r="AB113" s="10"/>
    </row>
    <row r="114">
      <c r="AB114" s="10"/>
    </row>
    <row r="115">
      <c r="AB115" s="10"/>
    </row>
    <row r="116">
      <c r="AB116" s="10"/>
    </row>
    <row r="117">
      <c r="AB117" s="10"/>
    </row>
    <row r="118">
      <c r="AB118" s="10"/>
    </row>
    <row r="119">
      <c r="AB119" s="10"/>
    </row>
    <row r="120">
      <c r="AB120" s="10"/>
    </row>
    <row r="121">
      <c r="AB121" s="10"/>
    </row>
    <row r="122">
      <c r="AB122" s="10"/>
    </row>
    <row r="123">
      <c r="AB123" s="10"/>
    </row>
    <row r="124">
      <c r="AB124" s="10"/>
    </row>
    <row r="125">
      <c r="AB125" s="10"/>
    </row>
    <row r="126">
      <c r="AB126" s="10"/>
    </row>
    <row r="127">
      <c r="AB127" s="10"/>
    </row>
    <row r="128">
      <c r="AB128" s="10"/>
    </row>
    <row r="129">
      <c r="AB129" s="10"/>
    </row>
    <row r="130">
      <c r="AB130" s="10"/>
    </row>
    <row r="131">
      <c r="AB131" s="10"/>
    </row>
    <row r="132">
      <c r="AB132" s="10"/>
    </row>
    <row r="133">
      <c r="AB133" s="10"/>
    </row>
    <row r="134">
      <c r="AB134" s="10"/>
    </row>
    <row r="135">
      <c r="AB135" s="10"/>
    </row>
    <row r="136">
      <c r="AB136" s="10"/>
    </row>
    <row r="137">
      <c r="AB137" s="10"/>
    </row>
    <row r="138">
      <c r="AB138" s="10"/>
    </row>
    <row r="139">
      <c r="AB139" s="10"/>
    </row>
    <row r="140">
      <c r="AB140" s="10"/>
    </row>
    <row r="141">
      <c r="AB141" s="10"/>
    </row>
    <row r="142">
      <c r="AB142" s="10"/>
    </row>
    <row r="143">
      <c r="AB143" s="10"/>
    </row>
    <row r="144">
      <c r="AB144" s="10"/>
    </row>
    <row r="145">
      <c r="AB145" s="10"/>
    </row>
    <row r="146">
      <c r="AB146" s="10"/>
    </row>
    <row r="147">
      <c r="AB147" s="10"/>
    </row>
    <row r="148">
      <c r="AB148" s="10"/>
    </row>
    <row r="149">
      <c r="AB149" s="10"/>
    </row>
    <row r="150">
      <c r="AB150" s="10"/>
    </row>
    <row r="151">
      <c r="AB151" s="10"/>
    </row>
    <row r="152">
      <c r="AB152" s="10"/>
    </row>
    <row r="153">
      <c r="AB153" s="10"/>
    </row>
    <row r="154">
      <c r="AB154" s="10"/>
    </row>
    <row r="155">
      <c r="AB155" s="10"/>
    </row>
    <row r="156">
      <c r="AB156" s="10"/>
    </row>
    <row r="157">
      <c r="AB157" s="10"/>
    </row>
    <row r="158">
      <c r="AB158" s="10"/>
    </row>
    <row r="159">
      <c r="AB159" s="10"/>
    </row>
    <row r="160">
      <c r="AB160" s="10"/>
    </row>
    <row r="161">
      <c r="AB161" s="10"/>
    </row>
    <row r="162">
      <c r="AB162" s="10"/>
    </row>
    <row r="163">
      <c r="AB163" s="10"/>
    </row>
    <row r="164">
      <c r="AB164" s="10"/>
    </row>
    <row r="165">
      <c r="AB165" s="10"/>
    </row>
    <row r="166">
      <c r="AB166" s="10"/>
    </row>
    <row r="167">
      <c r="AB167" s="10"/>
    </row>
    <row r="168">
      <c r="AB168" s="10"/>
    </row>
    <row r="169">
      <c r="AB169" s="10"/>
    </row>
    <row r="170">
      <c r="AB170" s="10"/>
    </row>
    <row r="171">
      <c r="AB171" s="10"/>
    </row>
    <row r="172">
      <c r="AB172" s="10"/>
    </row>
    <row r="173">
      <c r="AB173" s="10"/>
    </row>
    <row r="174">
      <c r="AB174" s="10"/>
    </row>
    <row r="175">
      <c r="AB175" s="10"/>
    </row>
    <row r="176">
      <c r="AB176" s="10"/>
    </row>
    <row r="177">
      <c r="AB177" s="10"/>
    </row>
    <row r="178">
      <c r="AB178" s="10"/>
    </row>
    <row r="179">
      <c r="AB179" s="10"/>
    </row>
    <row r="180">
      <c r="AB180" s="10"/>
    </row>
    <row r="181">
      <c r="AB181" s="10"/>
    </row>
    <row r="182">
      <c r="AB182" s="10"/>
    </row>
    <row r="183">
      <c r="AB183" s="10"/>
    </row>
    <row r="184">
      <c r="AB184" s="10"/>
    </row>
    <row r="185">
      <c r="AB185" s="10"/>
    </row>
    <row r="186">
      <c r="AB186" s="10"/>
    </row>
    <row r="187">
      <c r="AB187" s="10"/>
    </row>
    <row r="188">
      <c r="AB188" s="10"/>
    </row>
    <row r="189">
      <c r="AB189" s="10"/>
    </row>
    <row r="190">
      <c r="AB190" s="10"/>
    </row>
    <row r="191">
      <c r="AB191" s="10"/>
    </row>
    <row r="192">
      <c r="AB192" s="10"/>
    </row>
    <row r="193">
      <c r="AB193" s="10"/>
    </row>
    <row r="194">
      <c r="AB194" s="10"/>
    </row>
    <row r="195">
      <c r="AB195" s="10"/>
    </row>
    <row r="196">
      <c r="AB196" s="10"/>
    </row>
    <row r="197">
      <c r="AB197" s="10"/>
    </row>
    <row r="198">
      <c r="AB198" s="10"/>
    </row>
    <row r="199">
      <c r="AB199" s="10"/>
    </row>
    <row r="200">
      <c r="AB200" s="10"/>
    </row>
    <row r="201">
      <c r="AB201" s="10"/>
    </row>
    <row r="202">
      <c r="AB202" s="10"/>
    </row>
    <row r="203">
      <c r="AB203" s="10"/>
    </row>
    <row r="204">
      <c r="AB204" s="10"/>
    </row>
    <row r="205">
      <c r="AB205" s="10"/>
    </row>
    <row r="206">
      <c r="AB206" s="10"/>
    </row>
    <row r="207">
      <c r="AB207" s="10"/>
    </row>
    <row r="208">
      <c r="AB208" s="10"/>
    </row>
    <row r="209">
      <c r="AB209" s="10"/>
    </row>
    <row r="210">
      <c r="AB210" s="10"/>
    </row>
    <row r="211">
      <c r="AB211" s="10"/>
    </row>
    <row r="212">
      <c r="AB212" s="10"/>
    </row>
    <row r="213">
      <c r="AB213" s="10"/>
    </row>
    <row r="214">
      <c r="AB214" s="10"/>
    </row>
    <row r="215">
      <c r="AB215" s="10"/>
    </row>
    <row r="216">
      <c r="AB216" s="10"/>
    </row>
    <row r="217">
      <c r="AB217" s="10"/>
    </row>
    <row r="218">
      <c r="AB218" s="10"/>
    </row>
    <row r="219">
      <c r="AB219" s="10"/>
    </row>
    <row r="220">
      <c r="AB220" s="10"/>
    </row>
    <row r="221">
      <c r="AB221" s="10"/>
    </row>
    <row r="222">
      <c r="AB222" s="10"/>
    </row>
    <row r="223">
      <c r="AB223" s="10"/>
    </row>
    <row r="224">
      <c r="AB224" s="10"/>
    </row>
    <row r="225">
      <c r="AB225" s="10"/>
    </row>
    <row r="226">
      <c r="AB226" s="10"/>
    </row>
    <row r="227">
      <c r="AB227" s="10"/>
    </row>
    <row r="228">
      <c r="AB228" s="10"/>
    </row>
    <row r="229">
      <c r="AB229" s="10"/>
    </row>
    <row r="230">
      <c r="AB230" s="10"/>
    </row>
    <row r="231">
      <c r="AB231" s="10"/>
    </row>
    <row r="232">
      <c r="AB232" s="10"/>
    </row>
    <row r="233">
      <c r="AB233" s="10"/>
    </row>
    <row r="234">
      <c r="AB234" s="10"/>
    </row>
    <row r="235">
      <c r="AB235" s="10"/>
    </row>
    <row r="236">
      <c r="AB236" s="10"/>
    </row>
    <row r="237">
      <c r="AB237" s="10"/>
    </row>
    <row r="238">
      <c r="AB238" s="10"/>
    </row>
    <row r="239">
      <c r="AB239" s="10"/>
    </row>
    <row r="240">
      <c r="AB240" s="10"/>
    </row>
    <row r="241">
      <c r="AB241" s="10"/>
    </row>
    <row r="242">
      <c r="AB242" s="10"/>
    </row>
    <row r="243">
      <c r="AB243" s="10"/>
    </row>
    <row r="244">
      <c r="AB244" s="10"/>
    </row>
    <row r="245">
      <c r="AB245" s="10"/>
    </row>
    <row r="246">
      <c r="AB246" s="10"/>
    </row>
    <row r="247">
      <c r="AB247" s="10"/>
    </row>
    <row r="248">
      <c r="AB248" s="10"/>
    </row>
    <row r="249">
      <c r="AB249" s="10"/>
    </row>
    <row r="250">
      <c r="AB250" s="10"/>
    </row>
    <row r="251">
      <c r="AB251" s="10"/>
    </row>
    <row r="252">
      <c r="AB252" s="10"/>
    </row>
    <row r="253">
      <c r="AB253" s="10"/>
    </row>
    <row r="254">
      <c r="AB254" s="10"/>
    </row>
    <row r="255">
      <c r="AB255" s="10"/>
    </row>
    <row r="256">
      <c r="AB256" s="10"/>
    </row>
    <row r="257">
      <c r="AB257" s="10"/>
    </row>
    <row r="258">
      <c r="AB258" s="10"/>
    </row>
    <row r="259">
      <c r="AB259" s="10"/>
    </row>
    <row r="260">
      <c r="AB260" s="10"/>
    </row>
    <row r="261">
      <c r="AB261" s="10"/>
    </row>
    <row r="262">
      <c r="AB262" s="10"/>
    </row>
    <row r="263">
      <c r="AB263" s="10"/>
    </row>
    <row r="264">
      <c r="AB264" s="10"/>
    </row>
    <row r="265">
      <c r="AB265" s="10"/>
    </row>
    <row r="266">
      <c r="AB266" s="10"/>
    </row>
    <row r="267">
      <c r="AB267" s="10"/>
    </row>
    <row r="268">
      <c r="AB268" s="10"/>
    </row>
    <row r="269">
      <c r="AB269" s="10"/>
    </row>
    <row r="270">
      <c r="AB270" s="10"/>
    </row>
    <row r="271">
      <c r="AB271" s="10"/>
    </row>
    <row r="272">
      <c r="AB272" s="10"/>
    </row>
    <row r="273">
      <c r="AB273" s="10"/>
    </row>
    <row r="274">
      <c r="AB274" s="10"/>
    </row>
    <row r="275">
      <c r="AB275" s="10"/>
    </row>
    <row r="276">
      <c r="AB276" s="10"/>
    </row>
    <row r="277">
      <c r="AB277" s="10"/>
    </row>
    <row r="278">
      <c r="AB278" s="10"/>
    </row>
    <row r="279">
      <c r="AB279" s="10"/>
    </row>
    <row r="280">
      <c r="AB280" s="10"/>
    </row>
    <row r="281">
      <c r="AB281" s="10"/>
    </row>
    <row r="282">
      <c r="AB282" s="10"/>
    </row>
    <row r="283">
      <c r="AB283" s="10"/>
    </row>
    <row r="284">
      <c r="AB284" s="10"/>
    </row>
    <row r="285">
      <c r="AB285" s="10"/>
    </row>
    <row r="286">
      <c r="AB286" s="10"/>
    </row>
    <row r="287">
      <c r="AB287" s="10"/>
    </row>
    <row r="288">
      <c r="AB288" s="10"/>
    </row>
    <row r="289">
      <c r="AB289" s="10"/>
    </row>
    <row r="290">
      <c r="AB290" s="10"/>
    </row>
    <row r="291">
      <c r="AB291" s="10"/>
    </row>
    <row r="292">
      <c r="AB292" s="10"/>
    </row>
    <row r="293">
      <c r="AB293" s="10"/>
    </row>
    <row r="294">
      <c r="AB294" s="10"/>
    </row>
    <row r="295">
      <c r="AB295" s="10"/>
    </row>
    <row r="296">
      <c r="AB296" s="10"/>
    </row>
    <row r="297">
      <c r="AB297" s="10"/>
    </row>
    <row r="298">
      <c r="AB298" s="10"/>
    </row>
    <row r="299">
      <c r="AB299" s="10"/>
    </row>
    <row r="300">
      <c r="AB300" s="10"/>
    </row>
    <row r="301">
      <c r="AB301" s="10"/>
    </row>
    <row r="302">
      <c r="AB302" s="10"/>
    </row>
    <row r="303">
      <c r="AB303" s="10"/>
    </row>
    <row r="304">
      <c r="AB304" s="10"/>
    </row>
    <row r="305">
      <c r="AB305" s="10"/>
    </row>
    <row r="306">
      <c r="AB306" s="10"/>
    </row>
    <row r="307">
      <c r="AB307" s="10"/>
    </row>
    <row r="308">
      <c r="AB308" s="10"/>
    </row>
    <row r="309">
      <c r="AB309" s="10"/>
    </row>
    <row r="310">
      <c r="AB310" s="10"/>
    </row>
    <row r="311">
      <c r="AB311" s="10"/>
    </row>
    <row r="312">
      <c r="AB312" s="10"/>
    </row>
    <row r="313">
      <c r="AB313" s="10"/>
    </row>
    <row r="314">
      <c r="AB314" s="10"/>
    </row>
    <row r="315">
      <c r="AB315" s="10"/>
    </row>
    <row r="316">
      <c r="AB316" s="10"/>
    </row>
    <row r="317">
      <c r="AB317" s="10"/>
    </row>
    <row r="318">
      <c r="AB318" s="10"/>
    </row>
    <row r="319">
      <c r="AB319" s="10"/>
    </row>
    <row r="320">
      <c r="AB320" s="10"/>
    </row>
    <row r="321">
      <c r="AB321" s="10"/>
    </row>
    <row r="322">
      <c r="AB322" s="10"/>
    </row>
    <row r="323">
      <c r="AB323" s="10"/>
    </row>
    <row r="324">
      <c r="AB324" s="10"/>
    </row>
    <row r="325">
      <c r="AB325" s="10"/>
    </row>
    <row r="326">
      <c r="AB326" s="10"/>
    </row>
    <row r="327">
      <c r="AB327" s="10"/>
    </row>
    <row r="328">
      <c r="AB328" s="10"/>
    </row>
    <row r="329">
      <c r="AB329" s="10"/>
    </row>
    <row r="330">
      <c r="AB330" s="10"/>
    </row>
    <row r="331">
      <c r="AB331" s="10"/>
    </row>
    <row r="332">
      <c r="AB332" s="10"/>
    </row>
    <row r="333">
      <c r="AB333" s="10"/>
    </row>
    <row r="334">
      <c r="AB334" s="10"/>
    </row>
    <row r="335">
      <c r="AB335" s="10"/>
    </row>
    <row r="336">
      <c r="AB336" s="10"/>
    </row>
    <row r="337">
      <c r="AB337" s="10"/>
    </row>
    <row r="338">
      <c r="AB338" s="10"/>
    </row>
    <row r="339">
      <c r="AB339" s="10"/>
    </row>
    <row r="340">
      <c r="AB340" s="10"/>
    </row>
    <row r="341">
      <c r="AB341" s="10"/>
    </row>
    <row r="342">
      <c r="AB342" s="10"/>
    </row>
    <row r="343">
      <c r="AB343" s="10"/>
    </row>
    <row r="344">
      <c r="AB344" s="10"/>
    </row>
    <row r="345">
      <c r="AB345" s="10"/>
    </row>
    <row r="346">
      <c r="AB346" s="10"/>
    </row>
    <row r="347">
      <c r="AB347" s="10"/>
    </row>
    <row r="348">
      <c r="AB348" s="10"/>
    </row>
    <row r="349">
      <c r="AB349" s="10"/>
    </row>
    <row r="350">
      <c r="AB350" s="10"/>
    </row>
    <row r="351">
      <c r="AB351" s="10"/>
    </row>
    <row r="352">
      <c r="AB352" s="10"/>
    </row>
    <row r="353">
      <c r="AB353" s="10"/>
    </row>
    <row r="354">
      <c r="AB354" s="10"/>
    </row>
    <row r="355">
      <c r="AB355" s="10"/>
    </row>
    <row r="356">
      <c r="AB356" s="10"/>
    </row>
    <row r="357">
      <c r="AB357" s="10"/>
    </row>
    <row r="358">
      <c r="AB358" s="10"/>
    </row>
    <row r="359">
      <c r="AB359" s="10"/>
    </row>
    <row r="360">
      <c r="AB360" s="10"/>
    </row>
    <row r="361">
      <c r="AB361" s="10"/>
    </row>
    <row r="362">
      <c r="AB362" s="10"/>
    </row>
    <row r="363">
      <c r="AB363" s="10"/>
    </row>
    <row r="364">
      <c r="AB364" s="10"/>
    </row>
    <row r="365">
      <c r="AB365" s="10"/>
    </row>
    <row r="366">
      <c r="AB366" s="10"/>
    </row>
    <row r="367">
      <c r="AB367" s="10"/>
    </row>
    <row r="368">
      <c r="AB368" s="10"/>
    </row>
    <row r="369">
      <c r="AB369" s="10"/>
    </row>
    <row r="370">
      <c r="AB370" s="10"/>
    </row>
    <row r="371">
      <c r="AB371" s="10"/>
    </row>
    <row r="372">
      <c r="AB372" s="10"/>
    </row>
    <row r="373">
      <c r="AB373" s="10"/>
    </row>
    <row r="374">
      <c r="AB374" s="10"/>
    </row>
    <row r="375">
      <c r="AB375" s="10"/>
    </row>
    <row r="376">
      <c r="AB376" s="10"/>
    </row>
    <row r="377">
      <c r="AB377" s="10"/>
    </row>
    <row r="378">
      <c r="AB378" s="10"/>
    </row>
    <row r="379">
      <c r="AB379" s="10"/>
    </row>
    <row r="380">
      <c r="AB380" s="10"/>
    </row>
    <row r="381">
      <c r="AB381" s="10"/>
    </row>
    <row r="382">
      <c r="AB382" s="10"/>
    </row>
    <row r="383">
      <c r="AB383" s="10"/>
    </row>
    <row r="384">
      <c r="AB384" s="10"/>
    </row>
    <row r="385">
      <c r="AB385" s="10"/>
    </row>
    <row r="386">
      <c r="AB386" s="10"/>
    </row>
    <row r="387">
      <c r="AB387" s="10"/>
    </row>
    <row r="388">
      <c r="AB388" s="10"/>
    </row>
    <row r="389">
      <c r="AB389" s="10"/>
    </row>
    <row r="390">
      <c r="AB390" s="10"/>
    </row>
    <row r="391">
      <c r="AB391" s="10"/>
    </row>
    <row r="392">
      <c r="AB392" s="10"/>
    </row>
    <row r="393">
      <c r="AB393" s="10"/>
    </row>
    <row r="394">
      <c r="AB394" s="10"/>
    </row>
    <row r="395">
      <c r="AB395" s="10"/>
    </row>
    <row r="396">
      <c r="AB396" s="10"/>
    </row>
    <row r="397">
      <c r="AB397" s="10"/>
    </row>
    <row r="398">
      <c r="AB398" s="10"/>
    </row>
    <row r="399">
      <c r="AB399" s="10"/>
    </row>
    <row r="400">
      <c r="AB400" s="10"/>
    </row>
    <row r="401">
      <c r="AB401" s="10"/>
    </row>
    <row r="402">
      <c r="AB402" s="10"/>
    </row>
    <row r="403">
      <c r="AB403" s="10"/>
    </row>
    <row r="404">
      <c r="AB404" s="10"/>
    </row>
    <row r="405">
      <c r="AB405" s="10"/>
    </row>
    <row r="406">
      <c r="AB406" s="10"/>
    </row>
    <row r="407">
      <c r="AB407" s="10"/>
    </row>
    <row r="408">
      <c r="AB408" s="10"/>
    </row>
    <row r="409">
      <c r="AB409" s="10"/>
    </row>
    <row r="410">
      <c r="AB410" s="10"/>
    </row>
    <row r="411">
      <c r="AB411" s="10"/>
    </row>
    <row r="412">
      <c r="AB412" s="10"/>
    </row>
    <row r="413">
      <c r="AB413" s="10"/>
    </row>
    <row r="414">
      <c r="AB414" s="10"/>
    </row>
    <row r="415">
      <c r="AB415" s="10"/>
    </row>
    <row r="416">
      <c r="AB416" s="10"/>
    </row>
    <row r="417">
      <c r="AB417" s="10"/>
    </row>
    <row r="418">
      <c r="AB418" s="10"/>
    </row>
    <row r="419">
      <c r="AB419" s="10"/>
    </row>
    <row r="420">
      <c r="AB420" s="10"/>
    </row>
    <row r="421">
      <c r="AB421" s="10"/>
    </row>
    <row r="422">
      <c r="AB422" s="10"/>
    </row>
    <row r="423">
      <c r="AB423" s="10"/>
    </row>
    <row r="424">
      <c r="AB424" s="10"/>
    </row>
    <row r="425">
      <c r="AB425" s="10"/>
    </row>
    <row r="426">
      <c r="AB426" s="10"/>
    </row>
    <row r="427">
      <c r="AB427" s="10"/>
    </row>
    <row r="428">
      <c r="AB428" s="10"/>
    </row>
    <row r="429">
      <c r="AB429" s="10"/>
    </row>
    <row r="430">
      <c r="AB430" s="10"/>
    </row>
    <row r="431">
      <c r="AB431" s="10"/>
    </row>
    <row r="432">
      <c r="AB432" s="10"/>
    </row>
    <row r="433">
      <c r="AB433" s="10"/>
    </row>
    <row r="434">
      <c r="AB434" s="10"/>
    </row>
    <row r="435">
      <c r="AB435" s="10"/>
    </row>
    <row r="436">
      <c r="AB436" s="10"/>
    </row>
    <row r="437">
      <c r="AB437" s="10"/>
    </row>
    <row r="438">
      <c r="AB438" s="10"/>
    </row>
    <row r="439">
      <c r="AB439" s="10"/>
    </row>
    <row r="440">
      <c r="AB440" s="10"/>
    </row>
    <row r="441">
      <c r="AB441" s="10"/>
    </row>
    <row r="442">
      <c r="AB442" s="10"/>
    </row>
    <row r="443">
      <c r="AB443" s="10"/>
    </row>
    <row r="444">
      <c r="AB444" s="10"/>
    </row>
    <row r="445">
      <c r="AB445" s="10"/>
    </row>
    <row r="446">
      <c r="AB446" s="10"/>
    </row>
    <row r="447">
      <c r="AB447" s="10"/>
    </row>
    <row r="448">
      <c r="AB448" s="10"/>
    </row>
    <row r="449">
      <c r="AB449" s="10"/>
    </row>
    <row r="450">
      <c r="AB450" s="10"/>
    </row>
    <row r="451">
      <c r="AB451" s="10"/>
    </row>
    <row r="452">
      <c r="AB452" s="10"/>
    </row>
    <row r="453">
      <c r="AB453" s="10"/>
    </row>
    <row r="454">
      <c r="AB454" s="10"/>
    </row>
    <row r="455">
      <c r="AB455" s="10"/>
    </row>
    <row r="456">
      <c r="AB456" s="10"/>
    </row>
    <row r="457">
      <c r="AB457" s="10"/>
    </row>
    <row r="458">
      <c r="AB458" s="10"/>
    </row>
    <row r="459">
      <c r="AB459" s="10"/>
    </row>
    <row r="460">
      <c r="AB460" s="10"/>
    </row>
    <row r="461">
      <c r="AB461" s="10"/>
    </row>
    <row r="462">
      <c r="AB462" s="10"/>
    </row>
    <row r="463">
      <c r="AB463" s="10"/>
    </row>
    <row r="464">
      <c r="AB464" s="10"/>
    </row>
    <row r="465">
      <c r="AB465" s="10"/>
    </row>
    <row r="466">
      <c r="AB466" s="10"/>
    </row>
    <row r="467">
      <c r="AB467" s="10"/>
    </row>
    <row r="468">
      <c r="AB468" s="10"/>
    </row>
    <row r="469">
      <c r="AB469" s="10"/>
    </row>
    <row r="470">
      <c r="AB470" s="10"/>
    </row>
    <row r="471">
      <c r="AB471" s="10"/>
    </row>
    <row r="472">
      <c r="AB472" s="10"/>
    </row>
    <row r="473">
      <c r="AB473" s="10"/>
    </row>
    <row r="474">
      <c r="AB474" s="10"/>
    </row>
    <row r="475">
      <c r="AB475" s="10"/>
    </row>
    <row r="476">
      <c r="AB476" s="10"/>
    </row>
    <row r="477">
      <c r="AB477" s="10"/>
    </row>
    <row r="478">
      <c r="AB478" s="10"/>
    </row>
    <row r="479">
      <c r="AB479" s="10"/>
    </row>
    <row r="480">
      <c r="AB480" s="10"/>
    </row>
    <row r="481">
      <c r="AB481" s="10"/>
    </row>
    <row r="482">
      <c r="AB482" s="10"/>
    </row>
    <row r="483">
      <c r="AB483" s="10"/>
    </row>
    <row r="484">
      <c r="AB484" s="10"/>
    </row>
    <row r="485">
      <c r="AB485" s="10"/>
    </row>
    <row r="486">
      <c r="AB486" s="10"/>
    </row>
    <row r="487">
      <c r="AB487" s="10"/>
    </row>
    <row r="488">
      <c r="AB488" s="10"/>
    </row>
    <row r="489">
      <c r="AB489" s="10"/>
    </row>
    <row r="490">
      <c r="AB490" s="10"/>
    </row>
    <row r="491">
      <c r="AB491" s="10"/>
    </row>
    <row r="492">
      <c r="AB492" s="10"/>
    </row>
    <row r="493">
      <c r="AB493" s="10"/>
    </row>
    <row r="494">
      <c r="AB494" s="10"/>
    </row>
    <row r="495">
      <c r="AB495" s="10"/>
    </row>
    <row r="496">
      <c r="AB496" s="10"/>
    </row>
    <row r="497">
      <c r="AB497" s="10"/>
    </row>
    <row r="498">
      <c r="AB498" s="10"/>
    </row>
    <row r="499">
      <c r="AB499" s="10"/>
    </row>
    <row r="500">
      <c r="AB500" s="10"/>
    </row>
    <row r="501">
      <c r="AB501" s="10"/>
    </row>
    <row r="502">
      <c r="AB502" s="10"/>
    </row>
    <row r="503">
      <c r="AB503" s="10"/>
    </row>
    <row r="504">
      <c r="AB504" s="10"/>
    </row>
    <row r="505">
      <c r="AB505" s="10"/>
    </row>
    <row r="506">
      <c r="AB506" s="10"/>
    </row>
    <row r="507">
      <c r="AB507" s="10"/>
    </row>
    <row r="508">
      <c r="AB508" s="10"/>
    </row>
    <row r="509">
      <c r="AB509" s="10"/>
    </row>
    <row r="510">
      <c r="AB510" s="10"/>
    </row>
    <row r="511">
      <c r="AB511" s="10"/>
    </row>
    <row r="512">
      <c r="AB512" s="10"/>
    </row>
    <row r="513">
      <c r="AB513" s="10"/>
    </row>
    <row r="514">
      <c r="AB514" s="10"/>
    </row>
    <row r="515">
      <c r="AB515" s="10"/>
    </row>
    <row r="516">
      <c r="AB516" s="10"/>
    </row>
    <row r="517">
      <c r="AB517" s="10"/>
    </row>
    <row r="518">
      <c r="AB518" s="10"/>
    </row>
    <row r="519">
      <c r="AB519" s="10"/>
    </row>
    <row r="520">
      <c r="AB520" s="10"/>
    </row>
    <row r="521">
      <c r="AB521" s="10"/>
    </row>
    <row r="522">
      <c r="AB522" s="10"/>
    </row>
    <row r="523">
      <c r="AB523" s="10"/>
    </row>
    <row r="524">
      <c r="AB524" s="10"/>
    </row>
    <row r="525">
      <c r="AB525" s="10"/>
    </row>
    <row r="526">
      <c r="AB526" s="10"/>
    </row>
    <row r="527">
      <c r="AB527" s="10"/>
    </row>
    <row r="528">
      <c r="AB528" s="10"/>
    </row>
    <row r="529">
      <c r="AB529" s="10"/>
    </row>
    <row r="530">
      <c r="AB530" s="10"/>
    </row>
    <row r="531">
      <c r="AB531" s="10"/>
    </row>
    <row r="532">
      <c r="AB532" s="10"/>
    </row>
    <row r="533">
      <c r="AB533" s="10"/>
    </row>
    <row r="534">
      <c r="AB534" s="10"/>
    </row>
    <row r="535">
      <c r="AB535" s="10"/>
    </row>
    <row r="536">
      <c r="AB536" s="10"/>
    </row>
    <row r="537">
      <c r="AB537" s="10"/>
    </row>
    <row r="538">
      <c r="AB538" s="10"/>
    </row>
    <row r="539">
      <c r="AB539" s="10"/>
    </row>
    <row r="540">
      <c r="AB540" s="10"/>
    </row>
    <row r="541">
      <c r="AB541" s="10"/>
    </row>
    <row r="542">
      <c r="AB542" s="10"/>
    </row>
    <row r="543">
      <c r="AB543" s="10"/>
    </row>
    <row r="544">
      <c r="AB544" s="10"/>
    </row>
    <row r="545">
      <c r="AB545" s="10"/>
    </row>
    <row r="546">
      <c r="AB546" s="10"/>
    </row>
    <row r="547">
      <c r="AB547" s="10"/>
    </row>
    <row r="548">
      <c r="AB548" s="10"/>
    </row>
    <row r="549">
      <c r="AB549" s="10"/>
    </row>
    <row r="550">
      <c r="AB550" s="10"/>
    </row>
    <row r="551">
      <c r="AB551" s="10"/>
    </row>
    <row r="552">
      <c r="AB552" s="10"/>
    </row>
    <row r="553">
      <c r="AB553" s="10"/>
    </row>
    <row r="554">
      <c r="AB554" s="10"/>
    </row>
    <row r="555">
      <c r="AB555" s="10"/>
    </row>
    <row r="556">
      <c r="AB556" s="10"/>
    </row>
    <row r="557">
      <c r="AB557" s="10"/>
    </row>
    <row r="558">
      <c r="AB558" s="10"/>
    </row>
    <row r="559">
      <c r="AB559" s="10"/>
    </row>
    <row r="560">
      <c r="AB560" s="10"/>
    </row>
    <row r="561">
      <c r="AB561" s="10"/>
    </row>
    <row r="562">
      <c r="AB562" s="10"/>
    </row>
    <row r="563">
      <c r="AB563" s="10"/>
    </row>
    <row r="564">
      <c r="AB564" s="10"/>
    </row>
    <row r="565">
      <c r="AB565" s="10"/>
    </row>
    <row r="566">
      <c r="AB566" s="10"/>
    </row>
    <row r="567">
      <c r="AB567" s="10"/>
    </row>
    <row r="568">
      <c r="AB568" s="10"/>
    </row>
    <row r="569">
      <c r="AB569" s="10"/>
    </row>
    <row r="570">
      <c r="AB570" s="10"/>
    </row>
    <row r="571">
      <c r="AB571" s="10"/>
    </row>
    <row r="572">
      <c r="AB572" s="10"/>
    </row>
    <row r="573">
      <c r="AB573" s="10"/>
    </row>
    <row r="574">
      <c r="AB574" s="10"/>
    </row>
    <row r="575">
      <c r="AB575" s="10"/>
    </row>
    <row r="576">
      <c r="AB576" s="10"/>
    </row>
    <row r="577">
      <c r="AB577" s="10"/>
    </row>
    <row r="578">
      <c r="AB578" s="10"/>
    </row>
    <row r="579">
      <c r="AB579" s="10"/>
    </row>
    <row r="580">
      <c r="AB580" s="10"/>
    </row>
    <row r="581">
      <c r="AB581" s="10"/>
    </row>
    <row r="582">
      <c r="AB582" s="10"/>
    </row>
    <row r="583">
      <c r="AB583" s="10"/>
    </row>
    <row r="584">
      <c r="AB584" s="10"/>
    </row>
    <row r="585">
      <c r="AB585" s="10"/>
    </row>
    <row r="586">
      <c r="AB586" s="10"/>
    </row>
    <row r="587">
      <c r="AB587" s="10"/>
    </row>
    <row r="588">
      <c r="AB588" s="10"/>
    </row>
    <row r="589">
      <c r="AB589" s="10"/>
    </row>
    <row r="590">
      <c r="AB590" s="10"/>
    </row>
    <row r="591">
      <c r="AB591" s="10"/>
    </row>
    <row r="592">
      <c r="AB592" s="10"/>
    </row>
    <row r="593">
      <c r="AB593" s="10"/>
    </row>
    <row r="594">
      <c r="AB594" s="10"/>
    </row>
    <row r="595">
      <c r="AB595" s="10"/>
    </row>
    <row r="596">
      <c r="AB596" s="10"/>
    </row>
    <row r="597">
      <c r="AB597" s="10"/>
    </row>
    <row r="598">
      <c r="AB598" s="10"/>
    </row>
    <row r="599">
      <c r="AB599" s="10"/>
    </row>
    <row r="600">
      <c r="AB600" s="10"/>
    </row>
    <row r="601">
      <c r="AB601" s="10"/>
    </row>
    <row r="602">
      <c r="AB602" s="10"/>
    </row>
    <row r="603">
      <c r="AB603" s="10"/>
    </row>
    <row r="604">
      <c r="AB604" s="10"/>
    </row>
    <row r="605">
      <c r="AB605" s="10"/>
    </row>
    <row r="606">
      <c r="AB606" s="10"/>
    </row>
    <row r="607">
      <c r="AB607" s="10"/>
    </row>
    <row r="608">
      <c r="AB608" s="10"/>
    </row>
    <row r="609">
      <c r="AB609" s="10"/>
    </row>
    <row r="610">
      <c r="AB610" s="10"/>
    </row>
    <row r="611">
      <c r="AB611" s="10"/>
    </row>
    <row r="612">
      <c r="AB612" s="10"/>
    </row>
    <row r="613">
      <c r="AB613" s="10"/>
    </row>
    <row r="614">
      <c r="AB614" s="10"/>
    </row>
    <row r="615">
      <c r="AB615" s="10"/>
    </row>
    <row r="616">
      <c r="AB616" s="10"/>
    </row>
    <row r="617">
      <c r="AB617" s="10"/>
    </row>
    <row r="618">
      <c r="AB618" s="10"/>
    </row>
    <row r="619">
      <c r="AB619" s="10"/>
    </row>
    <row r="620">
      <c r="AB620" s="10"/>
    </row>
    <row r="621">
      <c r="AB621" s="10"/>
    </row>
    <row r="622">
      <c r="AB622" s="10"/>
    </row>
    <row r="623">
      <c r="AB623" s="10"/>
    </row>
    <row r="624">
      <c r="AB624" s="10"/>
    </row>
    <row r="625">
      <c r="AB625" s="10"/>
    </row>
    <row r="626">
      <c r="AB626" s="10"/>
    </row>
    <row r="627">
      <c r="AB627" s="10"/>
    </row>
    <row r="628">
      <c r="AB628" s="10"/>
    </row>
    <row r="629">
      <c r="AB629" s="10"/>
    </row>
    <row r="630">
      <c r="AB630" s="10"/>
    </row>
    <row r="631">
      <c r="AB631" s="10"/>
    </row>
    <row r="632">
      <c r="AB632" s="10"/>
    </row>
    <row r="633">
      <c r="AB633" s="10"/>
    </row>
    <row r="634">
      <c r="AB634" s="10"/>
    </row>
    <row r="635">
      <c r="AB635" s="10"/>
    </row>
    <row r="636">
      <c r="AB636" s="10"/>
    </row>
    <row r="637">
      <c r="AB637" s="10"/>
    </row>
    <row r="638">
      <c r="AB638" s="10"/>
    </row>
    <row r="639">
      <c r="AB639" s="10"/>
    </row>
    <row r="640">
      <c r="AB640" s="10"/>
    </row>
    <row r="641">
      <c r="AB641" s="10"/>
    </row>
    <row r="642">
      <c r="AB642" s="10"/>
    </row>
    <row r="643">
      <c r="AB643" s="10"/>
    </row>
    <row r="644">
      <c r="AB644" s="10"/>
    </row>
    <row r="645">
      <c r="AB645" s="10"/>
    </row>
    <row r="646">
      <c r="AB646" s="10"/>
    </row>
    <row r="647">
      <c r="AB647" s="10"/>
    </row>
    <row r="648">
      <c r="AB648" s="10"/>
    </row>
    <row r="649">
      <c r="AB649" s="10"/>
    </row>
    <row r="650">
      <c r="AB650" s="10"/>
    </row>
    <row r="651">
      <c r="AB651" s="10"/>
    </row>
    <row r="652">
      <c r="AB652" s="10"/>
    </row>
    <row r="653">
      <c r="AB653" s="10"/>
    </row>
    <row r="654">
      <c r="AB654" s="10"/>
    </row>
    <row r="655">
      <c r="AB655" s="10"/>
    </row>
    <row r="656">
      <c r="AB656" s="10"/>
    </row>
    <row r="657">
      <c r="AB657" s="10"/>
    </row>
    <row r="658">
      <c r="AB658" s="10"/>
    </row>
    <row r="659">
      <c r="AB659" s="10"/>
    </row>
    <row r="660">
      <c r="AB660" s="10"/>
    </row>
    <row r="661">
      <c r="AB661" s="10"/>
    </row>
    <row r="662">
      <c r="AB662" s="10"/>
    </row>
    <row r="663">
      <c r="AB663" s="10"/>
    </row>
    <row r="664">
      <c r="AB664" s="10"/>
    </row>
    <row r="665">
      <c r="AB665" s="10"/>
    </row>
    <row r="666">
      <c r="AB666" s="10"/>
    </row>
    <row r="667">
      <c r="AB667" s="10"/>
    </row>
    <row r="668">
      <c r="AB668" s="10"/>
    </row>
    <row r="669">
      <c r="AB669" s="10"/>
    </row>
    <row r="670">
      <c r="AB670" s="10"/>
    </row>
    <row r="671">
      <c r="AB671" s="10"/>
    </row>
    <row r="672">
      <c r="AB672" s="10"/>
    </row>
    <row r="673">
      <c r="AB673" s="10"/>
    </row>
    <row r="674">
      <c r="AB674" s="10"/>
    </row>
    <row r="675">
      <c r="AB675" s="10"/>
    </row>
    <row r="676">
      <c r="AB676" s="10"/>
    </row>
    <row r="677">
      <c r="AB677" s="10"/>
    </row>
    <row r="678">
      <c r="AB678" s="10"/>
    </row>
    <row r="679">
      <c r="AB679" s="10"/>
    </row>
    <row r="680">
      <c r="AB680" s="10"/>
    </row>
    <row r="681">
      <c r="AB681" s="10"/>
    </row>
    <row r="682">
      <c r="AB682" s="10"/>
    </row>
    <row r="683">
      <c r="AB683" s="10"/>
    </row>
    <row r="684">
      <c r="AB684" s="10"/>
    </row>
    <row r="685">
      <c r="AB685" s="10"/>
    </row>
    <row r="686">
      <c r="AB686" s="10"/>
    </row>
    <row r="687">
      <c r="AB687" s="10"/>
    </row>
    <row r="688">
      <c r="AB688" s="10"/>
    </row>
    <row r="689">
      <c r="AB689" s="10"/>
    </row>
    <row r="690">
      <c r="AB690" s="10"/>
    </row>
    <row r="691">
      <c r="AB691" s="10"/>
    </row>
    <row r="692">
      <c r="AB692" s="10"/>
    </row>
    <row r="693">
      <c r="AB693" s="10"/>
    </row>
    <row r="694">
      <c r="AB694" s="10"/>
    </row>
    <row r="695">
      <c r="AB695" s="10"/>
    </row>
    <row r="696">
      <c r="AB696" s="10"/>
    </row>
    <row r="697">
      <c r="AB697" s="10"/>
    </row>
    <row r="698">
      <c r="AB698" s="10"/>
    </row>
    <row r="699">
      <c r="AB699" s="10"/>
    </row>
    <row r="700">
      <c r="AB700" s="10"/>
    </row>
    <row r="701">
      <c r="AB701" s="10"/>
    </row>
    <row r="702">
      <c r="AB702" s="10"/>
    </row>
    <row r="703">
      <c r="AB703" s="10"/>
    </row>
    <row r="704">
      <c r="AB704" s="10"/>
    </row>
    <row r="705">
      <c r="AB705" s="10"/>
    </row>
    <row r="706">
      <c r="AB706" s="10"/>
    </row>
    <row r="707">
      <c r="AB707" s="10"/>
    </row>
    <row r="708">
      <c r="AB708" s="10"/>
    </row>
    <row r="709">
      <c r="AB709" s="10"/>
    </row>
    <row r="710">
      <c r="AB710" s="10"/>
    </row>
    <row r="711">
      <c r="AB711" s="10"/>
    </row>
    <row r="712">
      <c r="AB712" s="10"/>
    </row>
    <row r="713">
      <c r="AB713" s="10"/>
    </row>
    <row r="714">
      <c r="AB714" s="10"/>
    </row>
    <row r="715">
      <c r="AB715" s="10"/>
    </row>
    <row r="716">
      <c r="AB716" s="10"/>
    </row>
    <row r="717">
      <c r="AB717" s="10"/>
    </row>
    <row r="718">
      <c r="AB718" s="10"/>
    </row>
    <row r="719">
      <c r="AB719" s="10"/>
    </row>
    <row r="720">
      <c r="AB720" s="10"/>
    </row>
    <row r="721">
      <c r="AB721" s="10"/>
    </row>
    <row r="722">
      <c r="AB722" s="10"/>
    </row>
    <row r="723">
      <c r="AB723" s="10"/>
    </row>
    <row r="724">
      <c r="AB724" s="10"/>
    </row>
    <row r="725">
      <c r="AB725" s="10"/>
    </row>
    <row r="726">
      <c r="AB726" s="10"/>
    </row>
    <row r="727">
      <c r="AB727" s="10"/>
    </row>
    <row r="728">
      <c r="AB728" s="10"/>
    </row>
    <row r="729">
      <c r="AB729" s="10"/>
    </row>
    <row r="730">
      <c r="AB730" s="10"/>
    </row>
    <row r="731">
      <c r="AB731" s="10"/>
    </row>
    <row r="732">
      <c r="AB732" s="10"/>
    </row>
    <row r="733">
      <c r="AB733" s="10"/>
    </row>
    <row r="734">
      <c r="AB734" s="10"/>
    </row>
    <row r="735">
      <c r="AB735" s="10"/>
    </row>
    <row r="736">
      <c r="AB736" s="10"/>
    </row>
    <row r="737">
      <c r="AB737" s="10"/>
    </row>
    <row r="738">
      <c r="AB738" s="10"/>
    </row>
    <row r="739">
      <c r="AB739" s="10"/>
    </row>
    <row r="740">
      <c r="AB740" s="10"/>
    </row>
    <row r="741">
      <c r="AB741" s="10"/>
    </row>
    <row r="742">
      <c r="AB742" s="10"/>
    </row>
    <row r="743">
      <c r="AB743" s="10"/>
    </row>
    <row r="744">
      <c r="AB744" s="10"/>
    </row>
    <row r="745">
      <c r="AB745" s="10"/>
    </row>
    <row r="746">
      <c r="AB746" s="10"/>
    </row>
    <row r="747">
      <c r="AB747" s="10"/>
    </row>
    <row r="748">
      <c r="AB748" s="10"/>
    </row>
    <row r="749">
      <c r="AB749" s="10"/>
    </row>
    <row r="750">
      <c r="AB750" s="10"/>
    </row>
    <row r="751">
      <c r="AB751" s="10"/>
    </row>
    <row r="752">
      <c r="AB752" s="10"/>
    </row>
    <row r="753">
      <c r="AB753" s="10"/>
    </row>
    <row r="754">
      <c r="AB754" s="10"/>
    </row>
    <row r="755">
      <c r="AB755" s="10"/>
    </row>
    <row r="756">
      <c r="AB756" s="10"/>
    </row>
    <row r="757">
      <c r="AB757" s="10"/>
    </row>
    <row r="758">
      <c r="AB758" s="10"/>
    </row>
    <row r="759">
      <c r="AB759" s="10"/>
    </row>
    <row r="760">
      <c r="AB760" s="10"/>
    </row>
    <row r="761">
      <c r="AB761" s="10"/>
    </row>
    <row r="762">
      <c r="AB762" s="10"/>
    </row>
    <row r="763">
      <c r="AB763" s="10"/>
    </row>
    <row r="764">
      <c r="AB764" s="10"/>
    </row>
    <row r="765">
      <c r="AB765" s="10"/>
    </row>
    <row r="766">
      <c r="AB766" s="10"/>
    </row>
    <row r="767">
      <c r="AB767" s="10"/>
    </row>
    <row r="768">
      <c r="AB768" s="10"/>
    </row>
    <row r="769">
      <c r="AB769" s="10"/>
    </row>
    <row r="770">
      <c r="AB770" s="10"/>
    </row>
    <row r="771">
      <c r="AB771" s="10"/>
    </row>
    <row r="772">
      <c r="AB772" s="10"/>
    </row>
    <row r="773">
      <c r="AB773" s="10"/>
    </row>
    <row r="774">
      <c r="AB774" s="10"/>
    </row>
    <row r="775">
      <c r="AB775" s="10"/>
    </row>
    <row r="776">
      <c r="AB776" s="10"/>
    </row>
    <row r="777">
      <c r="AB777" s="10"/>
    </row>
    <row r="778">
      <c r="AB778" s="10"/>
    </row>
    <row r="779">
      <c r="AB779" s="10"/>
    </row>
    <row r="780">
      <c r="AB780" s="10"/>
    </row>
    <row r="781">
      <c r="AB781" s="10"/>
    </row>
    <row r="782">
      <c r="AB782" s="10"/>
    </row>
    <row r="783">
      <c r="AB783" s="10"/>
    </row>
    <row r="784">
      <c r="AB784" s="10"/>
    </row>
    <row r="785">
      <c r="AB785" s="10"/>
    </row>
    <row r="786">
      <c r="AB786" s="10"/>
    </row>
    <row r="787">
      <c r="AB787" s="10"/>
    </row>
    <row r="788">
      <c r="AB788" s="10"/>
    </row>
    <row r="789">
      <c r="AB789" s="10"/>
    </row>
    <row r="790">
      <c r="AB790" s="10"/>
    </row>
    <row r="791">
      <c r="AB791" s="10"/>
    </row>
    <row r="792">
      <c r="AB792" s="10"/>
    </row>
    <row r="793">
      <c r="AB793" s="10"/>
    </row>
    <row r="794">
      <c r="AB794" s="10"/>
    </row>
    <row r="795">
      <c r="AB795" s="10"/>
    </row>
    <row r="796">
      <c r="AB796" s="10"/>
    </row>
    <row r="797">
      <c r="AB797" s="10"/>
    </row>
    <row r="798">
      <c r="AB798" s="10"/>
    </row>
    <row r="799">
      <c r="AB799" s="10"/>
    </row>
    <row r="800">
      <c r="AB800" s="10"/>
    </row>
    <row r="801">
      <c r="AB801" s="10"/>
    </row>
    <row r="802">
      <c r="AB802" s="10"/>
    </row>
    <row r="803">
      <c r="AB803" s="10"/>
    </row>
    <row r="804">
      <c r="AB804" s="10"/>
    </row>
    <row r="805">
      <c r="AB805" s="10"/>
    </row>
    <row r="806">
      <c r="AB806" s="10"/>
    </row>
    <row r="807">
      <c r="AB807" s="10"/>
    </row>
    <row r="808">
      <c r="AB808" s="10"/>
    </row>
    <row r="809">
      <c r="AB809" s="10"/>
    </row>
    <row r="810">
      <c r="AB810" s="10"/>
    </row>
    <row r="811">
      <c r="AB811" s="10"/>
    </row>
    <row r="812">
      <c r="AB812" s="10"/>
    </row>
    <row r="813">
      <c r="AB813" s="10"/>
    </row>
    <row r="814">
      <c r="AB814" s="10"/>
    </row>
    <row r="815">
      <c r="AB815" s="10"/>
    </row>
    <row r="816">
      <c r="AB816" s="10"/>
    </row>
    <row r="817">
      <c r="AB817" s="10"/>
    </row>
    <row r="818">
      <c r="AB818" s="10"/>
    </row>
    <row r="819">
      <c r="AB819" s="10"/>
    </row>
    <row r="820">
      <c r="AB820" s="10"/>
    </row>
    <row r="821">
      <c r="AB821" s="10"/>
    </row>
    <row r="822">
      <c r="AB822" s="10"/>
    </row>
    <row r="823">
      <c r="AB823" s="10"/>
    </row>
    <row r="824">
      <c r="AB824" s="10"/>
    </row>
    <row r="825">
      <c r="AB825" s="10"/>
    </row>
    <row r="826">
      <c r="AB826" s="10"/>
    </row>
    <row r="827">
      <c r="AB827" s="10"/>
    </row>
    <row r="828">
      <c r="AB828" s="10"/>
    </row>
    <row r="829">
      <c r="AB829" s="10"/>
    </row>
    <row r="830">
      <c r="AB830" s="10"/>
    </row>
    <row r="831">
      <c r="AB831" s="10"/>
    </row>
    <row r="832">
      <c r="AB832" s="10"/>
    </row>
    <row r="833">
      <c r="AB833" s="10"/>
    </row>
    <row r="834">
      <c r="AB834" s="10"/>
    </row>
    <row r="835">
      <c r="AB835" s="10"/>
    </row>
    <row r="836">
      <c r="AB836" s="10"/>
    </row>
    <row r="837">
      <c r="AB837" s="10"/>
    </row>
    <row r="838">
      <c r="AB838" s="10"/>
    </row>
    <row r="839">
      <c r="AB839" s="10"/>
    </row>
    <row r="840">
      <c r="AB840" s="10"/>
    </row>
    <row r="841">
      <c r="AB841" s="10"/>
    </row>
    <row r="842">
      <c r="AB842" s="10"/>
    </row>
    <row r="843">
      <c r="AB843" s="10"/>
    </row>
    <row r="844">
      <c r="AB844" s="10"/>
    </row>
    <row r="845">
      <c r="AB845" s="10"/>
    </row>
    <row r="846">
      <c r="AB846" s="10"/>
    </row>
    <row r="847">
      <c r="AB847" s="10"/>
    </row>
    <row r="848">
      <c r="AB848" s="10"/>
    </row>
    <row r="849">
      <c r="AB849" s="10"/>
    </row>
    <row r="850">
      <c r="AB850" s="10"/>
    </row>
    <row r="851">
      <c r="AB851" s="10"/>
    </row>
    <row r="852">
      <c r="AB852" s="10"/>
    </row>
    <row r="853">
      <c r="AB853" s="10"/>
    </row>
    <row r="854">
      <c r="AB854" s="10"/>
    </row>
    <row r="855">
      <c r="AB855" s="10"/>
    </row>
    <row r="856">
      <c r="AB856" s="10"/>
    </row>
    <row r="857">
      <c r="AB857" s="10"/>
    </row>
    <row r="858">
      <c r="AB858" s="10"/>
    </row>
    <row r="859">
      <c r="AB859" s="10"/>
    </row>
    <row r="860">
      <c r="AB860" s="10"/>
    </row>
    <row r="861">
      <c r="AB861" s="10"/>
    </row>
    <row r="862">
      <c r="AB862" s="10"/>
    </row>
    <row r="863">
      <c r="AB863" s="10"/>
    </row>
    <row r="864">
      <c r="AB864" s="10"/>
    </row>
    <row r="865">
      <c r="AB865" s="10"/>
    </row>
    <row r="866">
      <c r="AB866" s="10"/>
    </row>
    <row r="867">
      <c r="AB867" s="10"/>
    </row>
    <row r="868">
      <c r="AB868" s="10"/>
    </row>
    <row r="869">
      <c r="AB869" s="10"/>
    </row>
    <row r="870">
      <c r="AB870" s="10"/>
    </row>
    <row r="871">
      <c r="AB871" s="10"/>
    </row>
    <row r="872">
      <c r="AB872" s="10"/>
    </row>
    <row r="873">
      <c r="AB873" s="10"/>
    </row>
    <row r="874">
      <c r="AB874" s="10"/>
    </row>
    <row r="875">
      <c r="AB875" s="10"/>
    </row>
    <row r="876">
      <c r="AB876" s="10"/>
    </row>
    <row r="877">
      <c r="AB877" s="10"/>
    </row>
    <row r="878">
      <c r="AB878" s="10"/>
    </row>
    <row r="879">
      <c r="AB879" s="10"/>
    </row>
    <row r="880">
      <c r="AB880" s="10"/>
    </row>
    <row r="881">
      <c r="AB881" s="10"/>
    </row>
    <row r="882">
      <c r="AB882" s="10"/>
    </row>
    <row r="883">
      <c r="AB883" s="10"/>
    </row>
    <row r="884">
      <c r="AB884" s="10"/>
    </row>
    <row r="885">
      <c r="AB885" s="10"/>
    </row>
    <row r="886">
      <c r="AB886" s="10"/>
    </row>
    <row r="887">
      <c r="AB887" s="10"/>
    </row>
    <row r="888">
      <c r="AB888" s="10"/>
    </row>
    <row r="889">
      <c r="AB889" s="10"/>
    </row>
    <row r="890">
      <c r="AB890" s="10"/>
    </row>
    <row r="891">
      <c r="AB891" s="10"/>
    </row>
    <row r="892">
      <c r="AB892" s="10"/>
    </row>
    <row r="893">
      <c r="AB893" s="10"/>
    </row>
    <row r="894">
      <c r="AB894" s="10"/>
    </row>
    <row r="895">
      <c r="AB895" s="10"/>
    </row>
    <row r="896">
      <c r="AB896" s="10"/>
    </row>
    <row r="897">
      <c r="AB897" s="10"/>
    </row>
    <row r="898">
      <c r="AB898" s="10"/>
    </row>
    <row r="899">
      <c r="AB899" s="10"/>
    </row>
    <row r="900">
      <c r="AB900" s="10"/>
    </row>
    <row r="901">
      <c r="AB901" s="10"/>
    </row>
    <row r="902">
      <c r="AB902" s="10"/>
    </row>
    <row r="903">
      <c r="AB903" s="10"/>
    </row>
    <row r="904">
      <c r="AB904" s="10"/>
    </row>
    <row r="905">
      <c r="AB905" s="10"/>
    </row>
    <row r="906">
      <c r="AB906" s="10"/>
    </row>
    <row r="907">
      <c r="AB907" s="10"/>
    </row>
    <row r="908">
      <c r="AB908" s="10"/>
    </row>
    <row r="909">
      <c r="AB909" s="10"/>
    </row>
    <row r="910">
      <c r="AB910" s="10"/>
    </row>
    <row r="911">
      <c r="AB911" s="10"/>
    </row>
    <row r="912">
      <c r="AB912" s="10"/>
    </row>
    <row r="913">
      <c r="AB913" s="10"/>
    </row>
    <row r="914">
      <c r="AB914" s="10"/>
    </row>
    <row r="915">
      <c r="AB915" s="10"/>
    </row>
    <row r="916">
      <c r="AB916" s="10"/>
    </row>
    <row r="917">
      <c r="AB917" s="10"/>
    </row>
    <row r="918">
      <c r="AB918" s="10"/>
    </row>
    <row r="919">
      <c r="AB919" s="10"/>
    </row>
    <row r="920">
      <c r="AB920" s="10"/>
    </row>
    <row r="921">
      <c r="AB921" s="10"/>
    </row>
    <row r="922">
      <c r="AB922" s="10"/>
    </row>
    <row r="923">
      <c r="AB923" s="10"/>
    </row>
    <row r="924">
      <c r="AB924" s="10"/>
    </row>
    <row r="925">
      <c r="AB925" s="10"/>
    </row>
    <row r="926">
      <c r="AB926" s="10"/>
    </row>
    <row r="927">
      <c r="AB927" s="10"/>
    </row>
    <row r="928">
      <c r="AB928" s="10"/>
    </row>
    <row r="929">
      <c r="AB929" s="10"/>
    </row>
    <row r="930">
      <c r="AB930" s="10"/>
    </row>
    <row r="931">
      <c r="AB931" s="10"/>
    </row>
    <row r="932">
      <c r="AB932" s="10"/>
    </row>
    <row r="933">
      <c r="AB933" s="10"/>
    </row>
    <row r="934">
      <c r="AB934" s="10"/>
    </row>
    <row r="935">
      <c r="AB935" s="10"/>
    </row>
    <row r="936">
      <c r="AB936" s="10"/>
    </row>
    <row r="937">
      <c r="AB937" s="10"/>
    </row>
    <row r="938">
      <c r="AB938" s="10"/>
    </row>
    <row r="939">
      <c r="AB939" s="10"/>
    </row>
    <row r="940">
      <c r="AB940" s="10"/>
    </row>
    <row r="941">
      <c r="AB941" s="10"/>
    </row>
    <row r="942">
      <c r="AB942" s="10"/>
    </row>
    <row r="943">
      <c r="AB943" s="10"/>
    </row>
    <row r="944">
      <c r="AB944" s="10"/>
    </row>
    <row r="945">
      <c r="AB945" s="10"/>
    </row>
    <row r="946">
      <c r="AB946" s="10"/>
    </row>
    <row r="947">
      <c r="AB947" s="10"/>
    </row>
    <row r="948">
      <c r="AB948" s="10"/>
    </row>
    <row r="949">
      <c r="AB949" s="10"/>
    </row>
    <row r="950">
      <c r="AB950" s="10"/>
    </row>
    <row r="951">
      <c r="AB951" s="10"/>
    </row>
    <row r="952">
      <c r="AB952" s="10"/>
    </row>
    <row r="953">
      <c r="AB953" s="10"/>
    </row>
    <row r="954">
      <c r="AB954" s="10"/>
    </row>
    <row r="955">
      <c r="AB955" s="10"/>
    </row>
    <row r="956">
      <c r="AB956" s="10"/>
    </row>
    <row r="957">
      <c r="AB957" s="10"/>
    </row>
    <row r="958">
      <c r="AB958" s="10"/>
    </row>
    <row r="959">
      <c r="AB959" s="10"/>
    </row>
    <row r="960">
      <c r="AB960" s="10"/>
    </row>
    <row r="961">
      <c r="AB961" s="10"/>
    </row>
    <row r="962">
      <c r="AB962" s="10"/>
    </row>
    <row r="963">
      <c r="AB963" s="10"/>
    </row>
    <row r="964">
      <c r="AB964" s="10"/>
    </row>
    <row r="965">
      <c r="AB965" s="10"/>
    </row>
    <row r="966">
      <c r="AB966" s="10"/>
    </row>
    <row r="967">
      <c r="AB967" s="10"/>
    </row>
    <row r="968">
      <c r="AB968" s="10"/>
    </row>
    <row r="969">
      <c r="AB969" s="10"/>
    </row>
    <row r="970">
      <c r="AB970" s="10"/>
    </row>
    <row r="971">
      <c r="AB971" s="10"/>
    </row>
    <row r="972">
      <c r="AB972" s="10"/>
    </row>
    <row r="973">
      <c r="AB973" s="10"/>
    </row>
    <row r="974">
      <c r="AB974" s="10"/>
    </row>
    <row r="975">
      <c r="AB975" s="10"/>
    </row>
    <row r="976">
      <c r="AB976" s="10"/>
    </row>
    <row r="977">
      <c r="AB977" s="10"/>
    </row>
    <row r="978">
      <c r="AB978" s="10"/>
    </row>
    <row r="979">
      <c r="AB979" s="10"/>
    </row>
    <row r="980">
      <c r="AB980" s="10"/>
    </row>
    <row r="981">
      <c r="AB981" s="10"/>
    </row>
    <row r="982">
      <c r="AB982" s="10"/>
    </row>
    <row r="983">
      <c r="AB983" s="10"/>
    </row>
    <row r="984">
      <c r="AB984" s="10"/>
    </row>
    <row r="985">
      <c r="AB985" s="10"/>
    </row>
    <row r="986">
      <c r="AB986" s="10"/>
    </row>
    <row r="987">
      <c r="AB987" s="10"/>
    </row>
    <row r="988">
      <c r="AB988" s="10"/>
    </row>
    <row r="989">
      <c r="AB989" s="10"/>
    </row>
    <row r="990">
      <c r="AB990" s="10"/>
    </row>
    <row r="991">
      <c r="AB991" s="10"/>
    </row>
    <row r="992">
      <c r="AB992" s="10"/>
    </row>
    <row r="993">
      <c r="AB993" s="10"/>
    </row>
    <row r="994">
      <c r="AB994" s="10"/>
    </row>
    <row r="995">
      <c r="AB995" s="10"/>
    </row>
    <row r="996">
      <c r="AB996" s="10"/>
    </row>
    <row r="997">
      <c r="AB997" s="10"/>
    </row>
    <row r="998">
      <c r="AB998" s="10"/>
    </row>
    <row r="999">
      <c r="AB999" s="10"/>
    </row>
    <row r="1000">
      <c r="AB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6.0"/>
    <col customWidth="1" min="3" max="3" width="4.13"/>
    <col customWidth="1" min="4" max="4" width="5.13"/>
    <col customWidth="1" min="5" max="5" width="2.75"/>
    <col customWidth="1" min="6" max="6" width="4.63"/>
    <col customWidth="1" min="7" max="7" width="3.75"/>
    <col customWidth="1" min="8" max="8" width="4.63"/>
    <col customWidth="1" min="9" max="9" width="3.75"/>
    <col customWidth="1" min="10" max="10" width="4.0"/>
    <col customWidth="1" min="11" max="11" width="4.38"/>
    <col customWidth="1" min="12" max="12" width="4.25"/>
    <col customWidth="1" min="13" max="13" width="4.13"/>
    <col customWidth="1" min="14" max="14" width="4.38"/>
    <col customWidth="1" min="15" max="15" width="4.25"/>
    <col customWidth="1" min="16" max="16" width="4.63"/>
    <col customWidth="1" min="17" max="17" width="5.13"/>
    <col customWidth="1" min="18" max="18" width="5.38"/>
    <col customWidth="1" min="19" max="19" width="5.5"/>
    <col customWidth="1" min="20" max="20" width="10.25"/>
    <col customWidth="1" min="21" max="23" width="10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7" t="s">
        <v>18</v>
      </c>
      <c r="T1" s="4" t="s">
        <v>19</v>
      </c>
      <c r="U1" s="4" t="s">
        <v>20</v>
      </c>
      <c r="V1" s="4" t="s">
        <v>21</v>
      </c>
      <c r="W1" s="8" t="s">
        <v>22</v>
      </c>
      <c r="X1" s="9"/>
      <c r="Y1" s="9"/>
      <c r="Z1" s="9"/>
    </row>
    <row r="2">
      <c r="A2" s="12" t="str">
        <f>IFERROR(__xludf.DUMMYFUNCTION("FILTER('Player Raw Data'!B:B,'Player Raw Data'!B:B&lt;&gt;""Player"")"),"Paul George")</f>
        <v>Paul George</v>
      </c>
      <c r="B2" t="str">
        <f t="array" ref="B2">IFERROR(INDEX('Player Raw Data'!E:E,Match($A2,'Player Raw Data'!$B:$B,0)),"")</f>
        <v>PF</v>
      </c>
      <c r="C2" t="str">
        <f t="array" ref="C2">IFERROR(INDEX('Player Raw Data'!C:C,Match($A2,'Player Raw Data'!$B:$B,0)),"")</f>
        <v>36</v>
      </c>
      <c r="D2" t="str">
        <f t="array" ref="D2">IFERROR(IF(A2=A1, INDEX('Player Raw Data'!D:D,Match($A2,'Player Raw Data'!$B:$B,0)+2),INDEX('Player Raw Data'!D:D,Match($A2,'Player Raw Data'!$B:$B,0))),"")</f>
        <v>BOS</v>
      </c>
      <c r="E2" t="str">
        <f t="array" ref="E2">IFERROR(INDEX('Player Raw Data'!F:F,Match($A2,'Player Raw Data'!$B:$B,0)),"")</f>
        <v>1</v>
      </c>
      <c r="F2" t="str">
        <f t="array" ref="F2">IFERROR(INDEX('Player Raw Data'!H:H,Match($A2,'Player Raw Data'!$B:$B,0)),"")</f>
        <v>31</v>
      </c>
      <c r="G2" t="str">
        <f t="array" ref="G2">IFERROR(INDEX('Player Raw Data'!I:I,Match($A2,'Player Raw Data'!$B:$B,0)),"")</f>
        <v>12</v>
      </c>
      <c r="H2" t="str">
        <f t="array" ref="H2">IFERROR(INDEX('Player Raw Data'!J:J,Match($A2,'Player Raw Data'!$B:$B,0)),"")</f>
        <v>21</v>
      </c>
      <c r="I2" t="str">
        <f t="array" ref="I2">IFERROR(INDEX('Player Raw Data'!S:S,Match($A2,'Player Raw Data'!$B:$B,0)),"")</f>
        <v>7</v>
      </c>
      <c r="J2" t="str">
        <f t="array" ref="J2">IFERROR(INDEX('Player Raw Data'!T:T,Match($A2,'Player Raw Data'!$B:$B,0)),"")</f>
        <v>8</v>
      </c>
      <c r="K2" t="str">
        <f t="array" ref="K2">IFERROR(INDEX('Player Raw Data'!X:X,Match($A2,'Player Raw Data'!$B:$B,0)),"")</f>
        <v>5</v>
      </c>
      <c r="L2" t="str">
        <f t="array" ref="L2">IFERROR(INDEX('Player Raw Data'!Y:Y,Match($A2,'Player Raw Data'!$B:$B,0)),"")</f>
        <v>3</v>
      </c>
      <c r="M2" t="str">
        <f t="array" ref="M2">IFERROR(INDEX('Player Raw Data'!Z:Z,Match($A2,'Player Raw Data'!$B:$B,0)),"")</f>
        <v>5</v>
      </c>
      <c r="N2" t="str">
        <f t="array" ref="N2">IFERROR(INDEX('Player Raw Data'!AA:AA,Match($A2,'Player Raw Data'!$B:$B,0)),"")</f>
        <v>0</v>
      </c>
      <c r="O2" t="str">
        <f t="array" ref="O2">IFERROR(INDEX('Player Raw Data'!AB:AB,Match($A2,'Player Raw Data'!$B:$B,0)),"")</f>
        <v>3</v>
      </c>
      <c r="P2" t="str">
        <f t="array" ref="P2">IFERROR(INDEX('Player Raw Data'!AD:AD,Match($A2,'Player Raw Data'!$B:$B,0)),"")</f>
        <v>38</v>
      </c>
      <c r="Q2">
        <f t="shared" ref="Q2:Q999" si="1">IF(IFERROR(G2-H2+I2-J2+K2+L2+M2+N2-O2+P2,"")=0,0,IFERROR(G2-H2+I2-J2+K2+L2+M2+N2-O2+P2,""))</f>
        <v>38</v>
      </c>
      <c r="R2" s="9">
        <f t="shared" ref="R2:R999" si="2">IFERROR(Q2/E2,0)</f>
        <v>38</v>
      </c>
      <c r="S2" s="14">
        <f t="shared" ref="S2:S999" si="3">IFERROR(Q2/F2,0)</f>
        <v>1.225806452</v>
      </c>
      <c r="T2" s="15">
        <f>IFERROR(__xludf.DUMMYFUNCTION("IFERROR(PERCENTRANK.INC(FILTER(Q:Q,$F:$F&lt;&gt;""""),Q2)*100,"""")"),100.0)</f>
        <v>100</v>
      </c>
      <c r="U2" s="15">
        <f>IFERROR(__xludf.DUMMYFUNCTION("IFERROR(PERCENTRANK.INC(FILTER(R:R,$F:$F&lt;&gt;""""),R2)*100,"""")"),100.0)</f>
        <v>100</v>
      </c>
      <c r="V2" s="15">
        <f>IFERROR(__xludf.DUMMYFUNCTION("IFERROR(PERCENTRANK.INC(FILTER(S:S,$F:$F&lt;&gt;""""),S2)*100,"""")"),100.0)</f>
        <v>100</v>
      </c>
      <c r="W2" s="15">
        <f t="shared" ref="W2:W999" si="4">IF($A2="","",(IFERROR((((ABS(C2-32)-C2+32)-(ABS(C2-22)-C2+22))/20*100)*0.64+T2*2+U2*3.86+V2*1.25,"")))</f>
        <v>711</v>
      </c>
      <c r="X2" s="16"/>
      <c r="Y2" s="9"/>
      <c r="Z2" s="9"/>
    </row>
    <row r="3">
      <c r="A3" s="17" t="str">
        <f>IFERROR(__xludf.DUMMYFUNCTION("""COMPUTED_VALUE"""),"Shai Gilgeous-Alexander")</f>
        <v>Shai Gilgeous-Alexander</v>
      </c>
      <c r="B3" t="str">
        <f t="array" ref="B3">IFERROR(INDEX('Player Raw Data'!E:E,Match($A3,'Player Raw Data'!$B:$B,0)),"")</f>
        <v>PG</v>
      </c>
      <c r="C3" t="str">
        <f t="array" ref="C3">IFERROR(INDEX('Player Raw Data'!C:C,Match($A3,'Player Raw Data'!$B:$B,0)),"")</f>
        <v>28</v>
      </c>
      <c r="D3" t="str">
        <f t="array" ref="D3">IFERROR(IF(A3=A2, INDEX('Player Raw Data'!D:D,Match($A3,'Player Raw Data'!$B:$B,0)+2),INDEX('Player Raw Data'!D:D,Match($A3,'Player Raw Data'!$B:$B,0))),"")</f>
        <v>OKC</v>
      </c>
      <c r="E3" t="str">
        <f t="array" ref="E3">IFERROR(INDEX('Player Raw Data'!F:F,Match($A3,'Player Raw Data'!$B:$B,0)),"")</f>
        <v>1</v>
      </c>
      <c r="F3" t="str">
        <f t="array" ref="F3">IFERROR(INDEX('Player Raw Data'!H:H,Match($A3,'Player Raw Data'!$B:$B,0)),"")</f>
        <v>36</v>
      </c>
      <c r="G3" t="str">
        <f t="array" ref="G3">IFERROR(INDEX('Player Raw Data'!I:I,Match($A3,'Player Raw Data'!$B:$B,0)),"")</f>
        <v>13</v>
      </c>
      <c r="H3" t="str">
        <f t="array" ref="H3">IFERROR(INDEX('Player Raw Data'!J:J,Match($A3,'Player Raw Data'!$B:$B,0)),"")</f>
        <v>27</v>
      </c>
      <c r="I3" t="str">
        <f t="array" ref="I3">IFERROR(INDEX('Player Raw Data'!S:S,Match($A3,'Player Raw Data'!$B:$B,0)),"")</f>
        <v>3</v>
      </c>
      <c r="J3" t="str">
        <f t="array" ref="J3">IFERROR(INDEX('Player Raw Data'!T:T,Match($A3,'Player Raw Data'!$B:$B,0)),"")</f>
        <v>4</v>
      </c>
      <c r="K3" t="str">
        <f t="array" ref="K3">IFERROR(INDEX('Player Raw Data'!X:X,Match($A3,'Player Raw Data'!$B:$B,0)),"")</f>
        <v>6</v>
      </c>
      <c r="L3" t="str">
        <f t="array" ref="L3">IFERROR(INDEX('Player Raw Data'!Y:Y,Match($A3,'Player Raw Data'!$B:$B,0)),"")</f>
        <v>4</v>
      </c>
      <c r="M3" t="str">
        <f t="array" ref="M3">IFERROR(INDEX('Player Raw Data'!Z:Z,Match($A3,'Player Raw Data'!$B:$B,0)),"")</f>
        <v>3</v>
      </c>
      <c r="N3" t="str">
        <f t="array" ref="N3">IFERROR(INDEX('Player Raw Data'!AA:AA,Match($A3,'Player Raw Data'!$B:$B,0)),"")</f>
        <v>3</v>
      </c>
      <c r="O3" t="str">
        <f t="array" ref="O3">IFERROR(INDEX('Player Raw Data'!AB:AB,Match($A3,'Player Raw Data'!$B:$B,0)),"")</f>
        <v>2</v>
      </c>
      <c r="P3" t="str">
        <f t="array" ref="P3">IFERROR(INDEX('Player Raw Data'!AD:AD,Match($A3,'Player Raw Data'!$B:$B,0)),"")</f>
        <v>32</v>
      </c>
      <c r="Q3">
        <f t="shared" si="1"/>
        <v>31</v>
      </c>
      <c r="R3" s="9">
        <f t="shared" si="2"/>
        <v>31</v>
      </c>
      <c r="S3" s="14">
        <f t="shared" si="3"/>
        <v>0.8611111111</v>
      </c>
      <c r="T3" s="15">
        <f>IFERROR(__xludf.DUMMYFUNCTION("IFERROR(PERCENTRANK.INC(FILTER(Q:Q,$F:$F&lt;&gt;""""),Q3)*100,"""")"),98.5)</f>
        <v>98.5</v>
      </c>
      <c r="U3" s="15">
        <f>IFERROR(__xludf.DUMMYFUNCTION("IFERROR(PERCENTRANK.INC(FILTER(R:R,$F:$F&lt;&gt;""""),R3)*100,"""")"),98.5)</f>
        <v>98.5</v>
      </c>
      <c r="V3" s="15">
        <f>IFERROR(__xludf.DUMMYFUNCTION("IFERROR(PERCENTRANK.INC(FILTER(S:S,$F:$F&lt;&gt;""""),S3)*100,"""")"),86.6)</f>
        <v>86.6</v>
      </c>
      <c r="W3" s="15">
        <f t="shared" si="4"/>
        <v>711.06</v>
      </c>
      <c r="X3" s="16"/>
      <c r="Y3" s="9"/>
      <c r="Z3" s="9"/>
    </row>
    <row r="4">
      <c r="A4" t="str">
        <f>IFERROR(__xludf.DUMMYFUNCTION("""COMPUTED_VALUE"""),"Tyrese Maxey")</f>
        <v>Tyrese Maxey</v>
      </c>
      <c r="B4" t="str">
        <f t="array" ref="B4">IFERROR(INDEX('Player Raw Data'!E:E,Match($A4,'Player Raw Data'!$B:$B,0)),"")</f>
        <v>PG</v>
      </c>
      <c r="C4" t="str">
        <f t="array" ref="C4">IFERROR(INDEX('Player Raw Data'!C:C,Match($A4,'Player Raw Data'!$B:$B,0)),"")</f>
        <v>26</v>
      </c>
      <c r="D4" t="str">
        <f t="array" ref="D4">IFERROR(IF(A4=A3, INDEX('Player Raw Data'!D:D,Match($A4,'Player Raw Data'!$B:$B,0)+2),INDEX('Player Raw Data'!D:D,Match($A4,'Player Raw Data'!$B:$B,0))),"")</f>
        <v>PHI</v>
      </c>
      <c r="E4" t="str">
        <f t="array" ref="E4">IFERROR(INDEX('Player Raw Data'!F:F,Match($A4,'Player Raw Data'!$B:$B,0)),"")</f>
        <v>1</v>
      </c>
      <c r="F4" t="str">
        <f t="array" ref="F4">IFERROR(INDEX('Player Raw Data'!H:H,Match($A4,'Player Raw Data'!$B:$B,0)),"")</f>
        <v>40</v>
      </c>
      <c r="G4" t="str">
        <f t="array" ref="G4">IFERROR(INDEX('Player Raw Data'!I:I,Match($A4,'Player Raw Data'!$B:$B,0)),"")</f>
        <v>9</v>
      </c>
      <c r="H4" t="str">
        <f t="array" ref="H4">IFERROR(INDEX('Player Raw Data'!J:J,Match($A4,'Player Raw Data'!$B:$B,0)),"")</f>
        <v>19</v>
      </c>
      <c r="I4" t="str">
        <f t="array" ref="I4">IFERROR(INDEX('Player Raw Data'!S:S,Match($A4,'Player Raw Data'!$B:$B,0)),"")</f>
        <v>8</v>
      </c>
      <c r="J4" t="str">
        <f t="array" ref="J4">IFERROR(INDEX('Player Raw Data'!T:T,Match($A4,'Player Raw Data'!$B:$B,0)),"")</f>
        <v>9</v>
      </c>
      <c r="K4" t="str">
        <f t="array" ref="K4">IFERROR(INDEX('Player Raw Data'!X:X,Match($A4,'Player Raw Data'!$B:$B,0)),"")</f>
        <v>4</v>
      </c>
      <c r="L4" t="str">
        <f t="array" ref="L4">IFERROR(INDEX('Player Raw Data'!Y:Y,Match($A4,'Player Raw Data'!$B:$B,0)),"")</f>
        <v>5</v>
      </c>
      <c r="M4" t="str">
        <f t="array" ref="M4">IFERROR(INDEX('Player Raw Data'!Z:Z,Match($A4,'Player Raw Data'!$B:$B,0)),"")</f>
        <v>3</v>
      </c>
      <c r="N4" t="str">
        <f t="array" ref="N4">IFERROR(INDEX('Player Raw Data'!AA:AA,Match($A4,'Player Raw Data'!$B:$B,0)),"")</f>
        <v>3</v>
      </c>
      <c r="O4" t="str">
        <f t="array" ref="O4">IFERROR(INDEX('Player Raw Data'!AB:AB,Match($A4,'Player Raw Data'!$B:$B,0)),"")</f>
        <v>2</v>
      </c>
      <c r="P4" t="str">
        <f t="array" ref="P4">IFERROR(INDEX('Player Raw Data'!AD:AD,Match($A4,'Player Raw Data'!$B:$B,0)),"")</f>
        <v>28</v>
      </c>
      <c r="Q4">
        <f t="shared" si="1"/>
        <v>30</v>
      </c>
      <c r="R4" s="9">
        <f t="shared" si="2"/>
        <v>30</v>
      </c>
      <c r="S4" s="14">
        <f t="shared" si="3"/>
        <v>0.75</v>
      </c>
      <c r="T4" s="15">
        <f>IFERROR(__xludf.DUMMYFUNCTION("IFERROR(PERCENTRANK.INC(FILTER(Q:Q,$F:$F&lt;&gt;""""),Q4)*100,"""")"),97.0)</f>
        <v>97</v>
      </c>
      <c r="U4" s="15">
        <f>IFERROR(__xludf.DUMMYFUNCTION("IFERROR(PERCENTRANK.INC(FILTER(R:R,$F:$F&lt;&gt;""""),R4)*100,"""")"),97.0)</f>
        <v>97</v>
      </c>
      <c r="V4" s="15">
        <f>IFERROR(__xludf.DUMMYFUNCTION("IFERROR(PERCENTRANK.INC(FILTER(S:S,$F:$F&lt;&gt;""""),S4)*100,"""")"),85.1)</f>
        <v>85.1</v>
      </c>
      <c r="W4" s="15">
        <f t="shared" si="4"/>
        <v>713.195</v>
      </c>
      <c r="X4" s="16"/>
      <c r="Y4" s="9"/>
      <c r="Z4" s="9"/>
    </row>
    <row r="5">
      <c r="A5" t="str">
        <f>IFERROR(__xludf.DUMMYFUNCTION("""COMPUTED_VALUE"""),"Stephon Castle")</f>
        <v>Stephon Castle</v>
      </c>
      <c r="B5" t="str">
        <f t="array" ref="B5">IFERROR(INDEX('Player Raw Data'!E:E,Match($A5,'Player Raw Data'!$B:$B,0)),"")</f>
        <v>PG</v>
      </c>
      <c r="C5" t="str">
        <f t="array" ref="C5">IFERROR(INDEX('Player Raw Data'!C:C,Match($A5,'Player Raw Data'!$B:$B,0)),"")</f>
        <v>22</v>
      </c>
      <c r="D5" t="str">
        <f t="array" ref="D5">IFERROR(IF(A5=A4, INDEX('Player Raw Data'!D:D,Match($A5,'Player Raw Data'!$B:$B,0)+2),INDEX('Player Raw Data'!D:D,Match($A5,'Player Raw Data'!$B:$B,0))),"")</f>
        <v>SAS</v>
      </c>
      <c r="E5" t="str">
        <f t="array" ref="E5">IFERROR(INDEX('Player Raw Data'!F:F,Match($A5,'Player Raw Data'!$B:$B,0)),"")</f>
        <v>1</v>
      </c>
      <c r="F5" t="str">
        <f t="array" ref="F5">IFERROR(INDEX('Player Raw Data'!H:H,Match($A5,'Player Raw Data'!$B:$B,0)),"")</f>
        <v>28</v>
      </c>
      <c r="G5" t="str">
        <f t="array" ref="G5">IFERROR(INDEX('Player Raw Data'!I:I,Match($A5,'Player Raw Data'!$B:$B,0)),"")</f>
        <v>9</v>
      </c>
      <c r="H5" t="str">
        <f t="array" ref="H5">IFERROR(INDEX('Player Raw Data'!J:J,Match($A5,'Player Raw Data'!$B:$B,0)),"")</f>
        <v>21</v>
      </c>
      <c r="I5" t="str">
        <f t="array" ref="I5">IFERROR(INDEX('Player Raw Data'!S:S,Match($A5,'Player Raw Data'!$B:$B,0)),"")</f>
        <v>1</v>
      </c>
      <c r="J5" t="str">
        <f t="array" ref="J5">IFERROR(INDEX('Player Raw Data'!T:T,Match($A5,'Player Raw Data'!$B:$B,0)),"")</f>
        <v>1</v>
      </c>
      <c r="K5" t="str">
        <f t="array" ref="K5">IFERROR(INDEX('Player Raw Data'!X:X,Match($A5,'Player Raw Data'!$B:$B,0)),"")</f>
        <v>7</v>
      </c>
      <c r="L5" t="str">
        <f t="array" ref="L5">IFERROR(INDEX('Player Raw Data'!Y:Y,Match($A5,'Player Raw Data'!$B:$B,0)),"")</f>
        <v>1</v>
      </c>
      <c r="M5" t="str">
        <f t="array" ref="M5">IFERROR(INDEX('Player Raw Data'!Z:Z,Match($A5,'Player Raw Data'!$B:$B,0)),"")</f>
        <v>0</v>
      </c>
      <c r="N5" t="str">
        <f t="array" ref="N5">IFERROR(INDEX('Player Raw Data'!AA:AA,Match($A5,'Player Raw Data'!$B:$B,0)),"")</f>
        <v>0</v>
      </c>
      <c r="O5" t="str">
        <f t="array" ref="O5">IFERROR(INDEX('Player Raw Data'!AB:AB,Match($A5,'Player Raw Data'!$B:$B,0)),"")</f>
        <v>3</v>
      </c>
      <c r="P5" t="str">
        <f t="array" ref="P5">IFERROR(INDEX('Player Raw Data'!AD:AD,Match($A5,'Player Raw Data'!$B:$B,0)),"")</f>
        <v>24</v>
      </c>
      <c r="Q5">
        <f t="shared" si="1"/>
        <v>17</v>
      </c>
      <c r="R5" s="9">
        <f t="shared" si="2"/>
        <v>17</v>
      </c>
      <c r="S5" s="14">
        <f t="shared" si="3"/>
        <v>0.6071428571</v>
      </c>
      <c r="T5" s="15">
        <f>IFERROR(__xludf.DUMMYFUNCTION("IFERROR(PERCENTRANK.INC(FILTER(Q:Q,$F:$F&lt;&gt;""""),Q5)*100,"""")"),71.6)</f>
        <v>71.6</v>
      </c>
      <c r="U5" s="15">
        <f>IFERROR(__xludf.DUMMYFUNCTION("IFERROR(PERCENTRANK.INC(FILTER(R:R,$F:$F&lt;&gt;""""),R5)*100,"""")"),71.6)</f>
        <v>71.6</v>
      </c>
      <c r="V5" s="15">
        <f>IFERROR(__xludf.DUMMYFUNCTION("IFERROR(PERCENTRANK.INC(FILTER(S:S,$F:$F&lt;&gt;""""),S5)*100,"""")"),68.7)</f>
        <v>68.7</v>
      </c>
      <c r="W5" s="15">
        <f t="shared" si="4"/>
        <v>569.451</v>
      </c>
      <c r="X5" s="16"/>
      <c r="Y5" s="9"/>
      <c r="Z5" s="9"/>
    </row>
    <row r="6">
      <c r="A6" t="str">
        <f>IFERROR(__xludf.DUMMYFUNCTION("""COMPUTED_VALUE"""),"Cade Cunningham")</f>
        <v>Cade Cunningham</v>
      </c>
      <c r="B6" t="str">
        <f t="array" ref="B6">IFERROR(INDEX('Player Raw Data'!E:E,Match($A6,'Player Raw Data'!$B:$B,0)),"")</f>
        <v>PG</v>
      </c>
      <c r="C6" t="str">
        <f t="array" ref="C6">IFERROR(INDEX('Player Raw Data'!C:C,Match($A6,'Player Raw Data'!$B:$B,0)),"")</f>
        <v>25</v>
      </c>
      <c r="D6" t="str">
        <f t="array" ref="D6">IFERROR(IF(A6=A5, INDEX('Player Raw Data'!D:D,Match($A6,'Player Raw Data'!$B:$B,0)+2),INDEX('Player Raw Data'!D:D,Match($A6,'Player Raw Data'!$B:$B,0))),"")</f>
        <v>DET</v>
      </c>
      <c r="E6" t="str">
        <f t="array" ref="E6">IFERROR(INDEX('Player Raw Data'!F:F,Match($A6,'Player Raw Data'!$B:$B,0)),"")</f>
        <v>1</v>
      </c>
      <c r="F6" t="str">
        <f t="array" ref="F6">IFERROR(INDEX('Player Raw Data'!H:H,Match($A6,'Player Raw Data'!$B:$B,0)),"")</f>
        <v>35</v>
      </c>
      <c r="G6" t="str">
        <f t="array" ref="G6">IFERROR(INDEX('Player Raw Data'!I:I,Match($A6,'Player Raw Data'!$B:$B,0)),"")</f>
        <v>8</v>
      </c>
      <c r="H6" t="str">
        <f t="array" ref="H6">IFERROR(INDEX('Player Raw Data'!J:J,Match($A6,'Player Raw Data'!$B:$B,0)),"")</f>
        <v>18</v>
      </c>
      <c r="I6" t="str">
        <f t="array" ref="I6">IFERROR(INDEX('Player Raw Data'!S:S,Match($A6,'Player Raw Data'!$B:$B,0)),"")</f>
        <v>5</v>
      </c>
      <c r="J6" t="str">
        <f t="array" ref="J6">IFERROR(INDEX('Player Raw Data'!T:T,Match($A6,'Player Raw Data'!$B:$B,0)),"")</f>
        <v>5</v>
      </c>
      <c r="K6" t="str">
        <f t="array" ref="K6">IFERROR(INDEX('Player Raw Data'!X:X,Match($A6,'Player Raw Data'!$B:$B,0)),"")</f>
        <v>4</v>
      </c>
      <c r="L6" t="str">
        <f t="array" ref="L6">IFERROR(INDEX('Player Raw Data'!Y:Y,Match($A6,'Player Raw Data'!$B:$B,0)),"")</f>
        <v>8</v>
      </c>
      <c r="M6" t="str">
        <f t="array" ref="M6">IFERROR(INDEX('Player Raw Data'!Z:Z,Match($A6,'Player Raw Data'!$B:$B,0)),"")</f>
        <v>1</v>
      </c>
      <c r="N6" t="str">
        <f t="array" ref="N6">IFERROR(INDEX('Player Raw Data'!AA:AA,Match($A6,'Player Raw Data'!$B:$B,0)),"")</f>
        <v>1</v>
      </c>
      <c r="O6" t="str">
        <f t="array" ref="O6">IFERROR(INDEX('Player Raw Data'!AB:AB,Match($A6,'Player Raw Data'!$B:$B,0)),"")</f>
        <v>5</v>
      </c>
      <c r="P6" t="str">
        <f t="array" ref="P6">IFERROR(INDEX('Player Raw Data'!AD:AD,Match($A6,'Player Raw Data'!$B:$B,0)),"")</f>
        <v>22</v>
      </c>
      <c r="Q6">
        <f t="shared" si="1"/>
        <v>21</v>
      </c>
      <c r="R6" s="9">
        <f t="shared" si="2"/>
        <v>21</v>
      </c>
      <c r="S6" s="14">
        <f t="shared" si="3"/>
        <v>0.6</v>
      </c>
      <c r="T6" s="15">
        <f>IFERROR(__xludf.DUMMYFUNCTION("IFERROR(PERCENTRANK.INC(FILTER(Q:Q,$F:$F&lt;&gt;""""),Q6)*100,"""")"),82.1)</f>
        <v>82.1</v>
      </c>
      <c r="U6" s="15">
        <f>IFERROR(__xludf.DUMMYFUNCTION("IFERROR(PERCENTRANK.INC(FILTER(R:R,$F:$F&lt;&gt;""""),R6)*100,"""")"),82.1)</f>
        <v>82.1</v>
      </c>
      <c r="V6" s="15">
        <f>IFERROR(__xludf.DUMMYFUNCTION("IFERROR(PERCENTRANK.INC(FILTER(S:S,$F:$F&lt;&gt;""""),S6)*100,"""")"),64.2)</f>
        <v>64.2</v>
      </c>
      <c r="W6" s="15">
        <f t="shared" si="4"/>
        <v>606.156</v>
      </c>
      <c r="X6" s="16"/>
      <c r="Y6" s="9"/>
      <c r="Z6" s="9"/>
    </row>
    <row r="7">
      <c r="A7" t="str">
        <f>IFERROR(__xludf.DUMMYFUNCTION("""COMPUTED_VALUE"""),"Jalen Duren")</f>
        <v>Jalen Duren</v>
      </c>
      <c r="B7" t="str">
        <f t="array" ref="B7">IFERROR(INDEX('Player Raw Data'!E:E,Match($A7,'Player Raw Data'!$B:$B,0)),"")</f>
        <v>C</v>
      </c>
      <c r="C7" t="str">
        <f t="array" ref="C7">IFERROR(INDEX('Player Raw Data'!C:C,Match($A7,'Player Raw Data'!$B:$B,0)),"")</f>
        <v>23</v>
      </c>
      <c r="D7" t="str">
        <f t="array" ref="D7">IFERROR(IF(A7=A6, INDEX('Player Raw Data'!D:D,Match($A7,'Player Raw Data'!$B:$B,0)+2),INDEX('Player Raw Data'!D:D,Match($A7,'Player Raw Data'!$B:$B,0))),"")</f>
        <v>DET</v>
      </c>
      <c r="E7" t="str">
        <f t="array" ref="E7">IFERROR(INDEX('Player Raw Data'!F:F,Match($A7,'Player Raw Data'!$B:$B,0)),"")</f>
        <v>1</v>
      </c>
      <c r="F7" t="str">
        <f t="array" ref="F7">IFERROR(INDEX('Player Raw Data'!H:H,Match($A7,'Player Raw Data'!$B:$B,0)),"")</f>
        <v>28</v>
      </c>
      <c r="G7" t="str">
        <f t="array" ref="G7">IFERROR(INDEX('Player Raw Data'!I:I,Match($A7,'Player Raw Data'!$B:$B,0)),"")</f>
        <v>8</v>
      </c>
      <c r="H7" t="str">
        <f t="array" ref="H7">IFERROR(INDEX('Player Raw Data'!J:J,Match($A7,'Player Raw Data'!$B:$B,0)),"")</f>
        <v>13</v>
      </c>
      <c r="I7" t="str">
        <f t="array" ref="I7">IFERROR(INDEX('Player Raw Data'!S:S,Match($A7,'Player Raw Data'!$B:$B,0)),"")</f>
        <v>6</v>
      </c>
      <c r="J7" t="str">
        <f t="array" ref="J7">IFERROR(INDEX('Player Raw Data'!T:T,Match($A7,'Player Raw Data'!$B:$B,0)),"")</f>
        <v>7</v>
      </c>
      <c r="K7" t="str">
        <f t="array" ref="K7">IFERROR(INDEX('Player Raw Data'!X:X,Match($A7,'Player Raw Data'!$B:$B,0)),"")</f>
        <v>9</v>
      </c>
      <c r="L7" t="str">
        <f t="array" ref="L7">IFERROR(INDEX('Player Raw Data'!Y:Y,Match($A7,'Player Raw Data'!$B:$B,0)),"")</f>
        <v>1</v>
      </c>
      <c r="M7" t="str">
        <f t="array" ref="M7">IFERROR(INDEX('Player Raw Data'!Z:Z,Match($A7,'Player Raw Data'!$B:$B,0)),"")</f>
        <v>1</v>
      </c>
      <c r="N7" t="str">
        <f t="array" ref="N7">IFERROR(INDEX('Player Raw Data'!AA:AA,Match($A7,'Player Raw Data'!$B:$B,0)),"")</f>
        <v>1</v>
      </c>
      <c r="O7" t="str">
        <f t="array" ref="O7">IFERROR(INDEX('Player Raw Data'!AB:AB,Match($A7,'Player Raw Data'!$B:$B,0)),"")</f>
        <v>1</v>
      </c>
      <c r="P7" t="str">
        <f t="array" ref="P7">IFERROR(INDEX('Player Raw Data'!AD:AD,Match($A7,'Player Raw Data'!$B:$B,0)),"")</f>
        <v>22</v>
      </c>
      <c r="Q7">
        <f t="shared" si="1"/>
        <v>27</v>
      </c>
      <c r="R7" s="9">
        <f t="shared" si="2"/>
        <v>27</v>
      </c>
      <c r="S7" s="14">
        <f t="shared" si="3"/>
        <v>0.9642857143</v>
      </c>
      <c r="T7" s="15">
        <f>IFERROR(__xludf.DUMMYFUNCTION("IFERROR(PERCENTRANK.INC(FILTER(Q:Q,$F:$F&lt;&gt;""""),Q7)*100,"""")"),95.5)</f>
        <v>95.5</v>
      </c>
      <c r="U7" s="15">
        <f>IFERROR(__xludf.DUMMYFUNCTION("IFERROR(PERCENTRANK.INC(FILTER(R:R,$F:$F&lt;&gt;""""),R7)*100,"""")"),95.5)</f>
        <v>95.5</v>
      </c>
      <c r="V7" s="15">
        <f>IFERROR(__xludf.DUMMYFUNCTION("IFERROR(PERCENTRANK.INC(FILTER(S:S,$F:$F&lt;&gt;""""),S7)*100,"""")"),91.0)</f>
        <v>91</v>
      </c>
      <c r="W7" s="15">
        <f t="shared" si="4"/>
        <v>730.98</v>
      </c>
      <c r="X7" s="16"/>
      <c r="Y7" s="9"/>
      <c r="Z7" s="9"/>
    </row>
    <row r="8">
      <c r="A8" t="str">
        <f>IFERROR(__xludf.DUMMYFUNCTION("""COMPUTED_VALUE"""),"Jalen Brunson")</f>
        <v>Jalen Brunson</v>
      </c>
      <c r="B8" t="str">
        <f t="array" ref="B8">IFERROR(INDEX('Player Raw Data'!E:E,Match($A8,'Player Raw Data'!$B:$B,0)),"")</f>
        <v>PG</v>
      </c>
      <c r="C8" t="str">
        <f t="array" ref="C8">IFERROR(INDEX('Player Raw Data'!C:C,Match($A8,'Player Raw Data'!$B:$B,0)),"")</f>
        <v>30</v>
      </c>
      <c r="D8" t="str">
        <f t="array" ref="D8">IFERROR(IF(A8=A7, INDEX('Player Raw Data'!D:D,Match($A8,'Player Raw Data'!$B:$B,0)+2),INDEX('Player Raw Data'!D:D,Match($A8,'Player Raw Data'!$B:$B,0))),"")</f>
        <v>NYK</v>
      </c>
      <c r="E8" t="str">
        <f t="array" ref="E8">IFERROR(INDEX('Player Raw Data'!F:F,Match($A8,'Player Raw Data'!$B:$B,0)),"")</f>
        <v>1</v>
      </c>
      <c r="F8" t="str">
        <f t="array" ref="F8">IFERROR(INDEX('Player Raw Data'!H:H,Match($A8,'Player Raw Data'!$B:$B,0)),"")</f>
        <v>34</v>
      </c>
      <c r="G8" t="str">
        <f t="array" ref="G8">IFERROR(INDEX('Player Raw Data'!I:I,Match($A8,'Player Raw Data'!$B:$B,0)),"")</f>
        <v>6</v>
      </c>
      <c r="H8" t="str">
        <f t="array" ref="H8">IFERROR(INDEX('Player Raw Data'!J:J,Match($A8,'Player Raw Data'!$B:$B,0)),"")</f>
        <v>19</v>
      </c>
      <c r="I8" t="str">
        <f t="array" ref="I8">IFERROR(INDEX('Player Raw Data'!S:S,Match($A8,'Player Raw Data'!$B:$B,0)),"")</f>
        <v>8</v>
      </c>
      <c r="J8" t="str">
        <f t="array" ref="J8">IFERROR(INDEX('Player Raw Data'!T:T,Match($A8,'Player Raw Data'!$B:$B,0)),"")</f>
        <v>8</v>
      </c>
      <c r="K8" t="str">
        <f t="array" ref="K8">IFERROR(INDEX('Player Raw Data'!X:X,Match($A8,'Player Raw Data'!$B:$B,0)),"")</f>
        <v>5</v>
      </c>
      <c r="L8" t="str">
        <f t="array" ref="L8">IFERROR(INDEX('Player Raw Data'!Y:Y,Match($A8,'Player Raw Data'!$B:$B,0)),"")</f>
        <v>3</v>
      </c>
      <c r="M8" t="str">
        <f t="array" ref="M8">IFERROR(INDEX('Player Raw Data'!Z:Z,Match($A8,'Player Raw Data'!$B:$B,0)),"")</f>
        <v>0</v>
      </c>
      <c r="N8" t="str">
        <f t="array" ref="N8">IFERROR(INDEX('Player Raw Data'!AA:AA,Match($A8,'Player Raw Data'!$B:$B,0)),"")</f>
        <v>0</v>
      </c>
      <c r="O8" t="str">
        <f t="array" ref="O8">IFERROR(INDEX('Player Raw Data'!AB:AB,Match($A8,'Player Raw Data'!$B:$B,0)),"")</f>
        <v>2</v>
      </c>
      <c r="P8" t="str">
        <f t="array" ref="P8">IFERROR(INDEX('Player Raw Data'!AD:AD,Match($A8,'Player Raw Data'!$B:$B,0)),"")</f>
        <v>21</v>
      </c>
      <c r="Q8">
        <f t="shared" si="1"/>
        <v>14</v>
      </c>
      <c r="R8" s="9">
        <f t="shared" si="2"/>
        <v>14</v>
      </c>
      <c r="S8" s="14">
        <f t="shared" si="3"/>
        <v>0.4117647059</v>
      </c>
      <c r="T8" s="15">
        <f>IFERROR(__xludf.DUMMYFUNCTION("IFERROR(PERCENTRANK.INC(FILTER(Q:Q,$F:$F&lt;&gt;""""),Q8)*100,"""")"),65.7)</f>
        <v>65.7</v>
      </c>
      <c r="U8" s="15">
        <f>IFERROR(__xludf.DUMMYFUNCTION("IFERROR(PERCENTRANK.INC(FILTER(R:R,$F:$F&lt;&gt;""""),R8)*100,"""")"),65.7)</f>
        <v>65.7</v>
      </c>
      <c r="V8" s="15">
        <f>IFERROR(__xludf.DUMMYFUNCTION("IFERROR(PERCENTRANK.INC(FILTER(S:S,$F:$F&lt;&gt;""""),S8)*100,"""")"),40.300000000000004)</f>
        <v>40.3</v>
      </c>
      <c r="W8" s="15">
        <f t="shared" si="4"/>
        <v>448.177</v>
      </c>
      <c r="X8" s="16"/>
      <c r="Y8" s="9"/>
      <c r="Z8" s="9"/>
    </row>
    <row r="9">
      <c r="A9" t="str">
        <f>IFERROR(__xludf.DUMMYFUNCTION("""COMPUTED_VALUE"""),"Duncan Robinson")</f>
        <v>Duncan Robinson</v>
      </c>
      <c r="B9" t="str">
        <f t="array" ref="B9">IFERROR(INDEX('Player Raw Data'!E:E,Match($A9,'Player Raw Data'!$B:$B,0)),"")</f>
        <v>SF</v>
      </c>
      <c r="C9" t="str">
        <f t="array" ref="C9">IFERROR(INDEX('Player Raw Data'!C:C,Match($A9,'Player Raw Data'!$B:$B,0)),"")</f>
        <v>32</v>
      </c>
      <c r="D9" t="str">
        <f t="array" ref="D9">IFERROR(IF(A9=A8, INDEX('Player Raw Data'!D:D,Match($A9,'Player Raw Data'!$B:$B,0)+2),INDEX('Player Raw Data'!D:D,Match($A9,'Player Raw Data'!$B:$B,0))),"")</f>
        <v>DET</v>
      </c>
      <c r="E9" t="str">
        <f t="array" ref="E9">IFERROR(INDEX('Player Raw Data'!F:F,Match($A9,'Player Raw Data'!$B:$B,0)),"")</f>
        <v>1</v>
      </c>
      <c r="F9" t="str">
        <f t="array" ref="F9">IFERROR(INDEX('Player Raw Data'!H:H,Match($A9,'Player Raw Data'!$B:$B,0)),"")</f>
        <v>28</v>
      </c>
      <c r="G9" t="str">
        <f t="array" ref="G9">IFERROR(INDEX('Player Raw Data'!I:I,Match($A9,'Player Raw Data'!$B:$B,0)),"")</f>
        <v>5</v>
      </c>
      <c r="H9" t="str">
        <f t="array" ref="H9">IFERROR(INDEX('Player Raw Data'!J:J,Match($A9,'Player Raw Data'!$B:$B,0)),"")</f>
        <v>10</v>
      </c>
      <c r="I9" t="str">
        <f t="array" ref="I9">IFERROR(INDEX('Player Raw Data'!S:S,Match($A9,'Player Raw Data'!$B:$B,0)),"")</f>
        <v>6</v>
      </c>
      <c r="J9" t="str">
        <f t="array" ref="J9">IFERROR(INDEX('Player Raw Data'!T:T,Match($A9,'Player Raw Data'!$B:$B,0)),"")</f>
        <v>8</v>
      </c>
      <c r="K9" t="str">
        <f t="array" ref="K9">IFERROR(INDEX('Player Raw Data'!X:X,Match($A9,'Player Raw Data'!$B:$B,0)),"")</f>
        <v>2</v>
      </c>
      <c r="L9" t="str">
        <f t="array" ref="L9">IFERROR(INDEX('Player Raw Data'!Y:Y,Match($A9,'Player Raw Data'!$B:$B,0)),"")</f>
        <v>2</v>
      </c>
      <c r="M9" t="str">
        <f t="array" ref="M9">IFERROR(INDEX('Player Raw Data'!Z:Z,Match($A9,'Player Raw Data'!$B:$B,0)),"")</f>
        <v>1</v>
      </c>
      <c r="N9" t="str">
        <f t="array" ref="N9">IFERROR(INDEX('Player Raw Data'!AA:AA,Match($A9,'Player Raw Data'!$B:$B,0)),"")</f>
        <v>0</v>
      </c>
      <c r="O9" t="str">
        <f t="array" ref="O9">IFERROR(INDEX('Player Raw Data'!AB:AB,Match($A9,'Player Raw Data'!$B:$B,0)),"")</f>
        <v>3</v>
      </c>
      <c r="P9" t="str">
        <f t="array" ref="P9">IFERROR(INDEX('Player Raw Data'!AD:AD,Match($A9,'Player Raw Data'!$B:$B,0)),"")</f>
        <v>21</v>
      </c>
      <c r="Q9">
        <f t="shared" si="1"/>
        <v>16</v>
      </c>
      <c r="R9" s="9">
        <f t="shared" si="2"/>
        <v>16</v>
      </c>
      <c r="S9" s="14">
        <f t="shared" si="3"/>
        <v>0.5714285714</v>
      </c>
      <c r="T9" s="15">
        <f>IFERROR(__xludf.DUMMYFUNCTION("IFERROR(PERCENTRANK.INC(FILTER(Q:Q,$F:$F&lt;&gt;""""),Q9)*100,"""")"),68.7)</f>
        <v>68.7</v>
      </c>
      <c r="U9" s="15">
        <f>IFERROR(__xludf.DUMMYFUNCTION("IFERROR(PERCENTRANK.INC(FILTER(R:R,$F:$F&lt;&gt;""""),R9)*100,"""")"),68.7)</f>
        <v>68.7</v>
      </c>
      <c r="V9" s="15">
        <f>IFERROR(__xludf.DUMMYFUNCTION("IFERROR(PERCENTRANK.INC(FILTER(S:S,$F:$F&lt;&gt;""""),S9)*100,"""")"),59.699999999999996)</f>
        <v>59.7</v>
      </c>
      <c r="W9" s="15">
        <f t="shared" si="4"/>
        <v>477.207</v>
      </c>
      <c r="X9" s="16"/>
      <c r="Y9" s="9"/>
      <c r="Z9" s="9"/>
    </row>
    <row r="10">
      <c r="A10" t="str">
        <f>IFERROR(__xludf.DUMMYFUNCTION("""COMPUTED_VALUE"""),"Jared McCain")</f>
        <v>Jared McCain</v>
      </c>
      <c r="B10" t="str">
        <f t="array" ref="B10">IFERROR(INDEX('Player Raw Data'!E:E,Match($A10,'Player Raw Data'!$B:$B,0)),"")</f>
        <v>SG</v>
      </c>
      <c r="C10" t="str">
        <f t="array" ref="C10">IFERROR(INDEX('Player Raw Data'!C:C,Match($A10,'Player Raw Data'!$B:$B,0)),"")</f>
        <v>22</v>
      </c>
      <c r="D10" t="str">
        <f t="array" ref="D10">IFERROR(IF(A10=A9, INDEX('Player Raw Data'!D:D,Match($A10,'Player Raw Data'!$B:$B,0)+2),INDEX('Player Raw Data'!D:D,Match($A10,'Player Raw Data'!$B:$B,0))),"")</f>
        <v>OKC</v>
      </c>
      <c r="E10" t="str">
        <f t="array" ref="E10">IFERROR(INDEX('Player Raw Data'!F:F,Match($A10,'Player Raw Data'!$B:$B,0)),"")</f>
        <v>1</v>
      </c>
      <c r="F10" t="str">
        <f t="array" ref="F10">IFERROR(INDEX('Player Raw Data'!H:H,Match($A10,'Player Raw Data'!$B:$B,0)),"")</f>
        <v>22</v>
      </c>
      <c r="G10" t="str">
        <f t="array" ref="G10">IFERROR(INDEX('Player Raw Data'!I:I,Match($A10,'Player Raw Data'!$B:$B,0)),"")</f>
        <v>7</v>
      </c>
      <c r="H10" t="str">
        <f t="array" ref="H10">IFERROR(INDEX('Player Raw Data'!J:J,Match($A10,'Player Raw Data'!$B:$B,0)),"")</f>
        <v>9</v>
      </c>
      <c r="I10" t="str">
        <f t="array" ref="I10">IFERROR(INDEX('Player Raw Data'!S:S,Match($A10,'Player Raw Data'!$B:$B,0)),"")</f>
        <v>0</v>
      </c>
      <c r="J10" t="str">
        <f t="array" ref="J10">IFERROR(INDEX('Player Raw Data'!T:T,Match($A10,'Player Raw Data'!$B:$B,0)),"")</f>
        <v>0</v>
      </c>
      <c r="K10" t="str">
        <f t="array" ref="K10">IFERROR(INDEX('Player Raw Data'!X:X,Match($A10,'Player Raw Data'!$B:$B,0)),"")</f>
        <v>2</v>
      </c>
      <c r="L10" t="str">
        <f t="array" ref="L10">IFERROR(INDEX('Player Raw Data'!Y:Y,Match($A10,'Player Raw Data'!$B:$B,0)),"")</f>
        <v>2</v>
      </c>
      <c r="M10" t="str">
        <f t="array" ref="M10">IFERROR(INDEX('Player Raw Data'!Z:Z,Match($A10,'Player Raw Data'!$B:$B,0)),"")</f>
        <v>1</v>
      </c>
      <c r="N10" t="str">
        <f t="array" ref="N10">IFERROR(INDEX('Player Raw Data'!AA:AA,Match($A10,'Player Raw Data'!$B:$B,0)),"")</f>
        <v>0</v>
      </c>
      <c r="O10" t="str">
        <f t="array" ref="O10">IFERROR(INDEX('Player Raw Data'!AB:AB,Match($A10,'Player Raw Data'!$B:$B,0)),"")</f>
        <v>2</v>
      </c>
      <c r="P10" t="str">
        <f t="array" ref="P10">IFERROR(INDEX('Player Raw Data'!AD:AD,Match($A10,'Player Raw Data'!$B:$B,0)),"")</f>
        <v>20</v>
      </c>
      <c r="Q10">
        <f t="shared" si="1"/>
        <v>21</v>
      </c>
      <c r="R10" s="9">
        <f t="shared" si="2"/>
        <v>21</v>
      </c>
      <c r="S10" s="14">
        <f t="shared" si="3"/>
        <v>0.9545454545</v>
      </c>
      <c r="T10" s="15">
        <f>IFERROR(__xludf.DUMMYFUNCTION("IFERROR(PERCENTRANK.INC(FILTER(Q:Q,$F:$F&lt;&gt;""""),Q10)*100,"""")"),82.1)</f>
        <v>82.1</v>
      </c>
      <c r="U10" s="15">
        <f>IFERROR(__xludf.DUMMYFUNCTION("IFERROR(PERCENTRANK.INC(FILTER(R:R,$F:$F&lt;&gt;""""),R10)*100,"""")"),82.1)</f>
        <v>82.1</v>
      </c>
      <c r="V10" s="15">
        <f>IFERROR(__xludf.DUMMYFUNCTION("IFERROR(PERCENTRANK.INC(FILTER(S:S,$F:$F&lt;&gt;""""),S10)*100,"""")"),88.1)</f>
        <v>88.1</v>
      </c>
      <c r="W10" s="15">
        <f t="shared" si="4"/>
        <v>655.231</v>
      </c>
      <c r="X10" s="16"/>
      <c r="Y10" s="9"/>
      <c r="Z10" s="9"/>
    </row>
    <row r="11">
      <c r="A11" t="str">
        <f>IFERROR(__xludf.DUMMYFUNCTION("""COMPUTED_VALUE"""),"Jaylen Brown")</f>
        <v>Jaylen Brown</v>
      </c>
      <c r="B11" t="str">
        <f t="array" ref="B11">IFERROR(INDEX('Player Raw Data'!E:E,Match($A11,'Player Raw Data'!$B:$B,0)),"")</f>
        <v>SF</v>
      </c>
      <c r="C11" t="str">
        <f t="array" ref="C11">IFERROR(INDEX('Player Raw Data'!C:C,Match($A11,'Player Raw Data'!$B:$B,0)),"")</f>
        <v>30</v>
      </c>
      <c r="D11" t="str">
        <f t="array" ref="D11">IFERROR(IF(A11=A10, INDEX('Player Raw Data'!D:D,Match($A11,'Player Raw Data'!$B:$B,0)+2),INDEX('Player Raw Data'!D:D,Match($A11,'Player Raw Data'!$B:$B,0))),"")</f>
        <v>PHI</v>
      </c>
      <c r="E11" t="str">
        <f t="array" ref="E11">IFERROR(INDEX('Player Raw Data'!F:F,Match($A11,'Player Raw Data'!$B:$B,0)),"")</f>
        <v>1</v>
      </c>
      <c r="F11" t="str">
        <f t="array" ref="F11">IFERROR(INDEX('Player Raw Data'!H:H,Match($A11,'Player Raw Data'!$B:$B,0)),"")</f>
        <v>35</v>
      </c>
      <c r="G11" t="str">
        <f t="array" ref="G11">IFERROR(INDEX('Player Raw Data'!I:I,Match($A11,'Player Raw Data'!$B:$B,0)),"")</f>
        <v>7</v>
      </c>
      <c r="H11" t="str">
        <f t="array" ref="H11">IFERROR(INDEX('Player Raw Data'!J:J,Match($A11,'Player Raw Data'!$B:$B,0)),"")</f>
        <v>14</v>
      </c>
      <c r="I11" t="str">
        <f t="array" ref="I11">IFERROR(INDEX('Player Raw Data'!S:S,Match($A11,'Player Raw Data'!$B:$B,0)),"")</f>
        <v>3</v>
      </c>
      <c r="J11" t="str">
        <f t="array" ref="J11">IFERROR(INDEX('Player Raw Data'!T:T,Match($A11,'Player Raw Data'!$B:$B,0)),"")</f>
        <v>4</v>
      </c>
      <c r="K11" t="str">
        <f t="array" ref="K11">IFERROR(INDEX('Player Raw Data'!X:X,Match($A11,'Player Raw Data'!$B:$B,0)),"")</f>
        <v>8</v>
      </c>
      <c r="L11" t="str">
        <f t="array" ref="L11">IFERROR(INDEX('Player Raw Data'!Y:Y,Match($A11,'Player Raw Data'!$B:$B,0)),"")</f>
        <v>6</v>
      </c>
      <c r="M11" t="str">
        <f t="array" ref="M11">IFERROR(INDEX('Player Raw Data'!Z:Z,Match($A11,'Player Raw Data'!$B:$B,0)),"")</f>
        <v>1</v>
      </c>
      <c r="N11" t="str">
        <f t="array" ref="N11">IFERROR(INDEX('Player Raw Data'!AA:AA,Match($A11,'Player Raw Data'!$B:$B,0)),"")</f>
        <v>1</v>
      </c>
      <c r="O11" t="str">
        <f t="array" ref="O11">IFERROR(INDEX('Player Raw Data'!AB:AB,Match($A11,'Player Raw Data'!$B:$B,0)),"")</f>
        <v>2</v>
      </c>
      <c r="P11" t="str">
        <f t="array" ref="P11">IFERROR(INDEX('Player Raw Data'!AD:AD,Match($A11,'Player Raw Data'!$B:$B,0)),"")</f>
        <v>19</v>
      </c>
      <c r="Q11">
        <f t="shared" si="1"/>
        <v>25</v>
      </c>
      <c r="R11" s="9">
        <f t="shared" si="2"/>
        <v>25</v>
      </c>
      <c r="S11" s="14">
        <f t="shared" si="3"/>
        <v>0.7142857143</v>
      </c>
      <c r="T11" s="15">
        <f>IFERROR(__xludf.DUMMYFUNCTION("IFERROR(PERCENTRANK.INC(FILTER(Q:Q,$F:$F&lt;&gt;""""),Q11)*100,"""")"),92.5)</f>
        <v>92.5</v>
      </c>
      <c r="U11" s="15">
        <f>IFERROR(__xludf.DUMMYFUNCTION("IFERROR(PERCENTRANK.INC(FILTER(R:R,$F:$F&lt;&gt;""""),R11)*100,"""")"),92.5)</f>
        <v>92.5</v>
      </c>
      <c r="V11" s="15">
        <f>IFERROR(__xludf.DUMMYFUNCTION("IFERROR(PERCENTRANK.INC(FILTER(S:S,$F:$F&lt;&gt;""""),S11)*100,"""")"),79.10000000000001)</f>
        <v>79.1</v>
      </c>
      <c r="W11" s="15">
        <f t="shared" si="4"/>
        <v>653.725</v>
      </c>
      <c r="X11" s="16"/>
      <c r="Y11" s="9"/>
      <c r="Z11" s="9"/>
    </row>
    <row r="12">
      <c r="A12" t="str">
        <f>IFERROR(__xludf.DUMMYFUNCTION("""COMPUTED_VALUE"""),"Javonte Green")</f>
        <v>Javonte Green</v>
      </c>
      <c r="B12" t="str">
        <f t="array" ref="B12">IFERROR(INDEX('Player Raw Data'!E:E,Match($A12,'Player Raw Data'!$B:$B,0)),"")</f>
        <v>SG</v>
      </c>
      <c r="C12" t="str">
        <f t="array" ref="C12">IFERROR(INDEX('Player Raw Data'!C:C,Match($A12,'Player Raw Data'!$B:$B,0)),"")</f>
        <v>33</v>
      </c>
      <c r="D12" t="str">
        <f t="array" ref="D12">IFERROR(IF(A12=A11, INDEX('Player Raw Data'!D:D,Match($A12,'Player Raw Data'!$B:$B,0)+2),INDEX('Player Raw Data'!D:D,Match($A12,'Player Raw Data'!$B:$B,0))),"")</f>
        <v>DET</v>
      </c>
      <c r="E12" t="str">
        <f t="array" ref="E12">IFERROR(INDEX('Player Raw Data'!F:F,Match($A12,'Player Raw Data'!$B:$B,0)),"")</f>
        <v>1</v>
      </c>
      <c r="F12" t="str">
        <f t="array" ref="F12">IFERROR(INDEX('Player Raw Data'!H:H,Match($A12,'Player Raw Data'!$B:$B,0)),"")</f>
        <v>18</v>
      </c>
      <c r="G12" t="str">
        <f t="array" ref="G12">IFERROR(INDEX('Player Raw Data'!I:I,Match($A12,'Player Raw Data'!$B:$B,0)),"")</f>
        <v>5</v>
      </c>
      <c r="H12" t="str">
        <f t="array" ref="H12">IFERROR(INDEX('Player Raw Data'!J:J,Match($A12,'Player Raw Data'!$B:$B,0)),"")</f>
        <v>10</v>
      </c>
      <c r="I12" t="str">
        <f t="array" ref="I12">IFERROR(INDEX('Player Raw Data'!S:S,Match($A12,'Player Raw Data'!$B:$B,0)),"")</f>
        <v>4</v>
      </c>
      <c r="J12" t="str">
        <f t="array" ref="J12">IFERROR(INDEX('Player Raw Data'!T:T,Match($A12,'Player Raw Data'!$B:$B,0)),"")</f>
        <v>4</v>
      </c>
      <c r="K12" t="str">
        <f t="array" ref="K12">IFERROR(INDEX('Player Raw Data'!X:X,Match($A12,'Player Raw Data'!$B:$B,0)),"")</f>
        <v>4</v>
      </c>
      <c r="L12" t="str">
        <f t="array" ref="L12">IFERROR(INDEX('Player Raw Data'!Y:Y,Match($A12,'Player Raw Data'!$B:$B,0)),"")</f>
        <v>0</v>
      </c>
      <c r="M12" t="str">
        <f t="array" ref="M12">IFERROR(INDEX('Player Raw Data'!Z:Z,Match($A12,'Player Raw Data'!$B:$B,0)),"")</f>
        <v>0</v>
      </c>
      <c r="N12" t="str">
        <f t="array" ref="N12">IFERROR(INDEX('Player Raw Data'!AA:AA,Match($A12,'Player Raw Data'!$B:$B,0)),"")</f>
        <v>0</v>
      </c>
      <c r="O12" t="str">
        <f t="array" ref="O12">IFERROR(INDEX('Player Raw Data'!AB:AB,Match($A12,'Player Raw Data'!$B:$B,0)),"")</f>
        <v>0</v>
      </c>
      <c r="P12" t="str">
        <f t="array" ref="P12">IFERROR(INDEX('Player Raw Data'!AD:AD,Match($A12,'Player Raw Data'!$B:$B,0)),"")</f>
        <v>19</v>
      </c>
      <c r="Q12">
        <f t="shared" si="1"/>
        <v>18</v>
      </c>
      <c r="R12" s="9">
        <f t="shared" si="2"/>
        <v>18</v>
      </c>
      <c r="S12" s="14">
        <f t="shared" si="3"/>
        <v>1</v>
      </c>
      <c r="T12" s="15">
        <f>IFERROR(__xludf.DUMMYFUNCTION("IFERROR(PERCENTRANK.INC(FILTER(Q:Q,$F:$F&lt;&gt;""""),Q12)*100,"""")"),76.1)</f>
        <v>76.1</v>
      </c>
      <c r="U12" s="15">
        <f>IFERROR(__xludf.DUMMYFUNCTION("IFERROR(PERCENTRANK.INC(FILTER(R:R,$F:$F&lt;&gt;""""),R12)*100,"""")"),76.1)</f>
        <v>76.1</v>
      </c>
      <c r="V12" s="15">
        <f>IFERROR(__xludf.DUMMYFUNCTION("IFERROR(PERCENTRANK.INC(FILTER(S:S,$F:$F&lt;&gt;""""),S12)*100,"""")"),92.5)</f>
        <v>92.5</v>
      </c>
      <c r="W12" s="15">
        <f t="shared" si="4"/>
        <v>561.571</v>
      </c>
      <c r="X12" s="16"/>
      <c r="Y12" s="9"/>
      <c r="Z12" s="9"/>
    </row>
    <row r="13">
      <c r="A13" t="str">
        <f>IFERROR(__xludf.DUMMYFUNCTION("""COMPUTED_VALUE"""),"Karl-Anthony Towns")</f>
        <v>Karl-Anthony Towns</v>
      </c>
      <c r="B13" t="str">
        <f t="array" ref="B13">IFERROR(INDEX('Player Raw Data'!E:E,Match($A13,'Player Raw Data'!$B:$B,0)),"")</f>
        <v>C</v>
      </c>
      <c r="C13" t="str">
        <f t="array" ref="C13">IFERROR(INDEX('Player Raw Data'!C:C,Match($A13,'Player Raw Data'!$B:$B,0)),"")</f>
        <v>31</v>
      </c>
      <c r="D13" t="str">
        <f t="array" ref="D13">IFERROR(IF(A13=A12, INDEX('Player Raw Data'!D:D,Match($A13,'Player Raw Data'!$B:$B,0)+2),INDEX('Player Raw Data'!D:D,Match($A13,'Player Raw Data'!$B:$B,0))),"")</f>
        <v>NYK</v>
      </c>
      <c r="E13" t="str">
        <f t="array" ref="E13">IFERROR(INDEX('Player Raw Data'!F:F,Match($A13,'Player Raw Data'!$B:$B,0)),"")</f>
        <v>1</v>
      </c>
      <c r="F13" t="str">
        <f t="array" ref="F13">IFERROR(INDEX('Player Raw Data'!H:H,Match($A13,'Player Raw Data'!$B:$B,0)),"")</f>
        <v>24</v>
      </c>
      <c r="G13" t="str">
        <f t="array" ref="G13">IFERROR(INDEX('Player Raw Data'!I:I,Match($A13,'Player Raw Data'!$B:$B,0)),"")</f>
        <v>6</v>
      </c>
      <c r="H13" t="str">
        <f t="array" ref="H13">IFERROR(INDEX('Player Raw Data'!J:J,Match($A13,'Player Raw Data'!$B:$B,0)),"")</f>
        <v>9</v>
      </c>
      <c r="I13" t="str">
        <f t="array" ref="I13">IFERROR(INDEX('Player Raw Data'!S:S,Match($A13,'Player Raw Data'!$B:$B,0)),"")</f>
        <v>4</v>
      </c>
      <c r="J13" t="str">
        <f t="array" ref="J13">IFERROR(INDEX('Player Raw Data'!T:T,Match($A13,'Player Raw Data'!$B:$B,0)),"")</f>
        <v>7</v>
      </c>
      <c r="K13" t="str">
        <f t="array" ref="K13">IFERROR(INDEX('Player Raw Data'!X:X,Match($A13,'Player Raw Data'!$B:$B,0)),"")</f>
        <v>12</v>
      </c>
      <c r="L13" t="str">
        <f t="array" ref="L13">IFERROR(INDEX('Player Raw Data'!Y:Y,Match($A13,'Player Raw Data'!$B:$B,0)),"")</f>
        <v>1</v>
      </c>
      <c r="M13" t="str">
        <f t="array" ref="M13">IFERROR(INDEX('Player Raw Data'!Z:Z,Match($A13,'Player Raw Data'!$B:$B,0)),"")</f>
        <v>1</v>
      </c>
      <c r="N13" t="str">
        <f t="array" ref="N13">IFERROR(INDEX('Player Raw Data'!AA:AA,Match($A13,'Player Raw Data'!$B:$B,0)),"")</f>
        <v>2</v>
      </c>
      <c r="O13" t="str">
        <f t="array" ref="O13">IFERROR(INDEX('Player Raw Data'!AB:AB,Match($A13,'Player Raw Data'!$B:$B,0)),"")</f>
        <v>4</v>
      </c>
      <c r="P13" t="str">
        <f t="array" ref="P13">IFERROR(INDEX('Player Raw Data'!AD:AD,Match($A13,'Player Raw Data'!$B:$B,0)),"")</f>
        <v>19</v>
      </c>
      <c r="Q13">
        <f t="shared" si="1"/>
        <v>25</v>
      </c>
      <c r="R13" s="9">
        <f t="shared" si="2"/>
        <v>25</v>
      </c>
      <c r="S13" s="14">
        <f t="shared" si="3"/>
        <v>1.041666667</v>
      </c>
      <c r="T13" s="15">
        <f>IFERROR(__xludf.DUMMYFUNCTION("IFERROR(PERCENTRANK.INC(FILTER(Q:Q,$F:$F&lt;&gt;""""),Q13)*100,"""")"),92.5)</f>
        <v>92.5</v>
      </c>
      <c r="U13" s="15">
        <f>IFERROR(__xludf.DUMMYFUNCTION("IFERROR(PERCENTRANK.INC(FILTER(R:R,$F:$F&lt;&gt;""""),R13)*100,"""")"),92.5)</f>
        <v>92.5</v>
      </c>
      <c r="V13" s="15">
        <f>IFERROR(__xludf.DUMMYFUNCTION("IFERROR(PERCENTRANK.INC(FILTER(S:S,$F:$F&lt;&gt;""""),S13)*100,"""")"),98.5)</f>
        <v>98.5</v>
      </c>
      <c r="W13" s="15">
        <f t="shared" si="4"/>
        <v>671.575</v>
      </c>
      <c r="X13" s="16"/>
      <c r="Y13" s="9"/>
      <c r="Z13" s="9"/>
    </row>
    <row r="14">
      <c r="A14" t="str">
        <f>IFERROR(__xludf.DUMMYFUNCTION("""COMPUTED_VALUE"""),"Dylan Harper")</f>
        <v>Dylan Harper</v>
      </c>
      <c r="B14" t="str">
        <f t="array" ref="B14">IFERROR(INDEX('Player Raw Data'!E:E,Match($A14,'Player Raw Data'!$B:$B,0)),"")</f>
        <v>SG</v>
      </c>
      <c r="C14" t="str">
        <f t="array" ref="C14">IFERROR(INDEX('Player Raw Data'!C:C,Match($A14,'Player Raw Data'!$B:$B,0)),"")</f>
        <v>20</v>
      </c>
      <c r="D14" t="str">
        <f t="array" ref="D14">IFERROR(IF(A14=A13, INDEX('Player Raw Data'!D:D,Match($A14,'Player Raw Data'!$B:$B,0)+2),INDEX('Player Raw Data'!D:D,Match($A14,'Player Raw Data'!$B:$B,0))),"")</f>
        <v>SAS</v>
      </c>
      <c r="E14" t="str">
        <f t="array" ref="E14">IFERROR(INDEX('Player Raw Data'!F:F,Match($A14,'Player Raw Data'!$B:$B,0)),"")</f>
        <v>1</v>
      </c>
      <c r="F14" t="str">
        <f t="array" ref="F14">IFERROR(INDEX('Player Raw Data'!H:H,Match($A14,'Player Raw Data'!$B:$B,0)),"")</f>
        <v>32</v>
      </c>
      <c r="G14" t="str">
        <f t="array" ref="G14">IFERROR(INDEX('Player Raw Data'!I:I,Match($A14,'Player Raw Data'!$B:$B,0)),"")</f>
        <v>7</v>
      </c>
      <c r="H14" t="str">
        <f t="array" ref="H14">IFERROR(INDEX('Player Raw Data'!J:J,Match($A14,'Player Raw Data'!$B:$B,0)),"")</f>
        <v>17</v>
      </c>
      <c r="I14" t="str">
        <f t="array" ref="I14">IFERROR(INDEX('Player Raw Data'!S:S,Match($A14,'Player Raw Data'!$B:$B,0)),"")</f>
        <v>4</v>
      </c>
      <c r="J14" t="str">
        <f t="array" ref="J14">IFERROR(INDEX('Player Raw Data'!T:T,Match($A14,'Player Raw Data'!$B:$B,0)),"")</f>
        <v>4</v>
      </c>
      <c r="K14" t="str">
        <f t="array" ref="K14">IFERROR(INDEX('Player Raw Data'!X:X,Match($A14,'Player Raw Data'!$B:$B,0)),"")</f>
        <v>7</v>
      </c>
      <c r="L14" t="str">
        <f t="array" ref="L14">IFERROR(INDEX('Player Raw Data'!Y:Y,Match($A14,'Player Raw Data'!$B:$B,0)),"")</f>
        <v>5</v>
      </c>
      <c r="M14" t="str">
        <f t="array" ref="M14">IFERROR(INDEX('Player Raw Data'!Z:Z,Match($A14,'Player Raw Data'!$B:$B,0)),"")</f>
        <v>0</v>
      </c>
      <c r="N14" t="str">
        <f t="array" ref="N14">IFERROR(INDEX('Player Raw Data'!AA:AA,Match($A14,'Player Raw Data'!$B:$B,0)),"")</f>
        <v>0</v>
      </c>
      <c r="O14" t="str">
        <f t="array" ref="O14">IFERROR(INDEX('Player Raw Data'!AB:AB,Match($A14,'Player Raw Data'!$B:$B,0)),"")</f>
        <v>2</v>
      </c>
      <c r="P14" t="str">
        <f t="array" ref="P14">IFERROR(INDEX('Player Raw Data'!AD:AD,Match($A14,'Player Raw Data'!$B:$B,0)),"")</f>
        <v>18</v>
      </c>
      <c r="Q14">
        <f t="shared" si="1"/>
        <v>18</v>
      </c>
      <c r="R14" s="9">
        <f t="shared" si="2"/>
        <v>18</v>
      </c>
      <c r="S14" s="14">
        <f t="shared" si="3"/>
        <v>0.5625</v>
      </c>
      <c r="T14" s="15">
        <f>IFERROR(__xludf.DUMMYFUNCTION("IFERROR(PERCENTRANK.INC(FILTER(Q:Q,$F:$F&lt;&gt;""""),Q14)*100,"""")"),76.1)</f>
        <v>76.1</v>
      </c>
      <c r="U14" s="15">
        <f>IFERROR(__xludf.DUMMYFUNCTION("IFERROR(PERCENTRANK.INC(FILTER(R:R,$F:$F&lt;&gt;""""),R14)*100,"""")"),76.1)</f>
        <v>76.1</v>
      </c>
      <c r="V14" s="15">
        <f>IFERROR(__xludf.DUMMYFUNCTION("IFERROR(PERCENTRANK.INC(FILTER(S:S,$F:$F&lt;&gt;""""),S14)*100,"""")"),58.199999999999996)</f>
        <v>58.2</v>
      </c>
      <c r="W14" s="15">
        <f t="shared" si="4"/>
        <v>582.696</v>
      </c>
      <c r="X14" s="16"/>
      <c r="Y14" s="9"/>
      <c r="Z14" s="9"/>
    </row>
    <row r="15">
      <c r="A15" t="str">
        <f>IFERROR(__xludf.DUMMYFUNCTION("""COMPUTED_VALUE"""),"Payton Pritchard")</f>
        <v>Payton Pritchard</v>
      </c>
      <c r="B15" t="str">
        <f t="array" ref="B15">IFERROR(INDEX('Player Raw Data'!E:E,Match($A15,'Player Raw Data'!$B:$B,0)),"")</f>
        <v>PG</v>
      </c>
      <c r="C15" t="str">
        <f t="array" ref="C15">IFERROR(INDEX('Player Raw Data'!C:C,Match($A15,'Player Raw Data'!$B:$B,0)),"")</f>
        <v>29</v>
      </c>
      <c r="D15" t="str">
        <f t="array" ref="D15">IFERROR(IF(A15=A14, INDEX('Player Raw Data'!D:D,Match($A15,'Player Raw Data'!$B:$B,0)+2),INDEX('Player Raw Data'!D:D,Match($A15,'Player Raw Data'!$B:$B,0))),"")</f>
        <v>BOS</v>
      </c>
      <c r="E15" t="str">
        <f t="array" ref="E15">IFERROR(INDEX('Player Raw Data'!F:F,Match($A15,'Player Raw Data'!$B:$B,0)),"")</f>
        <v>1</v>
      </c>
      <c r="F15" t="str">
        <f t="array" ref="F15">IFERROR(INDEX('Player Raw Data'!H:H,Match($A15,'Player Raw Data'!$B:$B,0)),"")</f>
        <v>28</v>
      </c>
      <c r="G15" t="str">
        <f t="array" ref="G15">IFERROR(INDEX('Player Raw Data'!I:I,Match($A15,'Player Raw Data'!$B:$B,0)),"")</f>
        <v>4</v>
      </c>
      <c r="H15" t="str">
        <f t="array" ref="H15">IFERROR(INDEX('Player Raw Data'!J:J,Match($A15,'Player Raw Data'!$B:$B,0)),"")</f>
        <v>9</v>
      </c>
      <c r="I15" t="str">
        <f t="array" ref="I15">IFERROR(INDEX('Player Raw Data'!S:S,Match($A15,'Player Raw Data'!$B:$B,0)),"")</f>
        <v>7</v>
      </c>
      <c r="J15" t="str">
        <f t="array" ref="J15">IFERROR(INDEX('Player Raw Data'!T:T,Match($A15,'Player Raw Data'!$B:$B,0)),"")</f>
        <v>8</v>
      </c>
      <c r="K15" t="str">
        <f t="array" ref="K15">IFERROR(INDEX('Player Raw Data'!X:X,Match($A15,'Player Raw Data'!$B:$B,0)),"")</f>
        <v>4</v>
      </c>
      <c r="L15" t="str">
        <f t="array" ref="L15">IFERROR(INDEX('Player Raw Data'!Y:Y,Match($A15,'Player Raw Data'!$B:$B,0)),"")</f>
        <v>1</v>
      </c>
      <c r="M15" t="str">
        <f t="array" ref="M15">IFERROR(INDEX('Player Raw Data'!Z:Z,Match($A15,'Player Raw Data'!$B:$B,0)),"")</f>
        <v>0</v>
      </c>
      <c r="N15" t="str">
        <f t="array" ref="N15">IFERROR(INDEX('Player Raw Data'!AA:AA,Match($A15,'Player Raw Data'!$B:$B,0)),"")</f>
        <v>0</v>
      </c>
      <c r="O15" t="str">
        <f t="array" ref="O15">IFERROR(INDEX('Player Raw Data'!AB:AB,Match($A15,'Player Raw Data'!$B:$B,0)),"")</f>
        <v>0</v>
      </c>
      <c r="P15" t="str">
        <f t="array" ref="P15">IFERROR(INDEX('Player Raw Data'!AD:AD,Match($A15,'Player Raw Data'!$B:$B,0)),"")</f>
        <v>17</v>
      </c>
      <c r="Q15">
        <f t="shared" si="1"/>
        <v>16</v>
      </c>
      <c r="R15" s="9">
        <f t="shared" si="2"/>
        <v>16</v>
      </c>
      <c r="S15" s="14">
        <f t="shared" si="3"/>
        <v>0.5714285714</v>
      </c>
      <c r="T15" s="15">
        <f>IFERROR(__xludf.DUMMYFUNCTION("IFERROR(PERCENTRANK.INC(FILTER(Q:Q,$F:$F&lt;&gt;""""),Q15)*100,"""")"),68.7)</f>
        <v>68.7</v>
      </c>
      <c r="U15" s="15">
        <f>IFERROR(__xludf.DUMMYFUNCTION("IFERROR(PERCENTRANK.INC(FILTER(R:R,$F:$F&lt;&gt;""""),R15)*100,"""")"),68.7)</f>
        <v>68.7</v>
      </c>
      <c r="V15" s="15">
        <f>IFERROR(__xludf.DUMMYFUNCTION("IFERROR(PERCENTRANK.INC(FILTER(S:S,$F:$F&lt;&gt;""""),S15)*100,"""")"),59.699999999999996)</f>
        <v>59.7</v>
      </c>
      <c r="W15" s="15">
        <f t="shared" si="4"/>
        <v>496.407</v>
      </c>
      <c r="X15" s="16"/>
      <c r="Y15" s="9"/>
      <c r="Z15" s="9"/>
    </row>
    <row r="16">
      <c r="A16" t="str">
        <f>IFERROR(__xludf.DUMMYFUNCTION("""COMPUTED_VALUE"""),"Derrick White")</f>
        <v>Derrick White</v>
      </c>
      <c r="B16" t="str">
        <f t="array" ref="B16">IFERROR(INDEX('Player Raw Data'!E:E,Match($A16,'Player Raw Data'!$B:$B,0)),"")</f>
        <v>SG</v>
      </c>
      <c r="C16" t="str">
        <f t="array" ref="C16">IFERROR(INDEX('Player Raw Data'!C:C,Match($A16,'Player Raw Data'!$B:$B,0)),"")</f>
        <v>32</v>
      </c>
      <c r="D16" t="str">
        <f t="array" ref="D16">IFERROR(IF(A16=A15, INDEX('Player Raw Data'!D:D,Match($A16,'Player Raw Data'!$B:$B,0)+2),INDEX('Player Raw Data'!D:D,Match($A16,'Player Raw Data'!$B:$B,0))),"")</f>
        <v>BOS</v>
      </c>
      <c r="E16" t="str">
        <f t="array" ref="E16">IFERROR(INDEX('Player Raw Data'!F:F,Match($A16,'Player Raw Data'!$B:$B,0)),"")</f>
        <v>1</v>
      </c>
      <c r="F16" t="str">
        <f t="array" ref="F16">IFERROR(INDEX('Player Raw Data'!H:H,Match($A16,'Player Raw Data'!$B:$B,0)),"")</f>
        <v>36</v>
      </c>
      <c r="G16" t="str">
        <f t="array" ref="G16">IFERROR(INDEX('Player Raw Data'!I:I,Match($A16,'Player Raw Data'!$B:$B,0)),"")</f>
        <v>7</v>
      </c>
      <c r="H16" t="str">
        <f t="array" ref="H16">IFERROR(INDEX('Player Raw Data'!J:J,Match($A16,'Player Raw Data'!$B:$B,0)),"")</f>
        <v>13</v>
      </c>
      <c r="I16" t="str">
        <f t="array" ref="I16">IFERROR(INDEX('Player Raw Data'!S:S,Match($A16,'Player Raw Data'!$B:$B,0)),"")</f>
        <v>0</v>
      </c>
      <c r="J16" t="str">
        <f t="array" ref="J16">IFERROR(INDEX('Player Raw Data'!T:T,Match($A16,'Player Raw Data'!$B:$B,0)),"")</f>
        <v>0</v>
      </c>
      <c r="K16" t="str">
        <f t="array" ref="K16">IFERROR(INDEX('Player Raw Data'!X:X,Match($A16,'Player Raw Data'!$B:$B,0)),"")</f>
        <v>1</v>
      </c>
      <c r="L16" t="str">
        <f t="array" ref="L16">IFERROR(INDEX('Player Raw Data'!Y:Y,Match($A16,'Player Raw Data'!$B:$B,0)),"")</f>
        <v>8</v>
      </c>
      <c r="M16" t="str">
        <f t="array" ref="M16">IFERROR(INDEX('Player Raw Data'!Z:Z,Match($A16,'Player Raw Data'!$B:$B,0)),"")</f>
        <v>1</v>
      </c>
      <c r="N16" t="str">
        <f t="array" ref="N16">IFERROR(INDEX('Player Raw Data'!AA:AA,Match($A16,'Player Raw Data'!$B:$B,0)),"")</f>
        <v>0</v>
      </c>
      <c r="O16" t="str">
        <f t="array" ref="O16">IFERROR(INDEX('Player Raw Data'!AB:AB,Match($A16,'Player Raw Data'!$B:$B,0)),"")</f>
        <v>4</v>
      </c>
      <c r="P16" t="str">
        <f t="array" ref="P16">IFERROR(INDEX('Player Raw Data'!AD:AD,Match($A16,'Player Raw Data'!$B:$B,0)),"")</f>
        <v>17</v>
      </c>
      <c r="Q16">
        <f t="shared" si="1"/>
        <v>17</v>
      </c>
      <c r="R16" s="9">
        <f t="shared" si="2"/>
        <v>17</v>
      </c>
      <c r="S16" s="14">
        <f t="shared" si="3"/>
        <v>0.4722222222</v>
      </c>
      <c r="T16" s="15">
        <f>IFERROR(__xludf.DUMMYFUNCTION("IFERROR(PERCENTRANK.INC(FILTER(Q:Q,$F:$F&lt;&gt;""""),Q16)*100,"""")"),71.6)</f>
        <v>71.6</v>
      </c>
      <c r="U16" s="15">
        <f>IFERROR(__xludf.DUMMYFUNCTION("IFERROR(PERCENTRANK.INC(FILTER(R:R,$F:$F&lt;&gt;""""),R16)*100,"""")"),71.6)</f>
        <v>71.6</v>
      </c>
      <c r="V16" s="15">
        <f>IFERROR(__xludf.DUMMYFUNCTION("IFERROR(PERCENTRANK.INC(FILTER(S:S,$F:$F&lt;&gt;""""),S16)*100,"""")"),47.8)</f>
        <v>47.8</v>
      </c>
      <c r="W16" s="15">
        <f t="shared" si="4"/>
        <v>479.326</v>
      </c>
      <c r="X16" s="16"/>
      <c r="Y16" s="9"/>
      <c r="Z16" s="9"/>
    </row>
    <row r="17">
      <c r="A17" t="str">
        <f>IFERROR(__xludf.DUMMYFUNCTION("""COMPUTED_VALUE"""),"De'Aaron Fox")</f>
        <v>De'Aaron Fox</v>
      </c>
      <c r="B17" t="str">
        <f t="array" ref="B17">IFERROR(INDEX('Player Raw Data'!E:E,Match($A17,'Player Raw Data'!$B:$B,0)),"")</f>
        <v>PG</v>
      </c>
      <c r="C17" t="str">
        <f t="array" ref="C17">IFERROR(INDEX('Player Raw Data'!C:C,Match($A17,'Player Raw Data'!$B:$B,0)),"")</f>
        <v>29</v>
      </c>
      <c r="D17" t="str">
        <f t="array" ref="D17">IFERROR(IF(A17=A16, INDEX('Player Raw Data'!D:D,Match($A17,'Player Raw Data'!$B:$B,0)+2),INDEX('Player Raw Data'!D:D,Match($A17,'Player Raw Data'!$B:$B,0))),"")</f>
        <v>SAS</v>
      </c>
      <c r="E17" t="str">
        <f t="array" ref="E17">IFERROR(INDEX('Player Raw Data'!F:F,Match($A17,'Player Raw Data'!$B:$B,0)),"")</f>
        <v>1</v>
      </c>
      <c r="F17" t="str">
        <f t="array" ref="F17">IFERROR(INDEX('Player Raw Data'!H:H,Match($A17,'Player Raw Data'!$B:$B,0)),"")</f>
        <v>32</v>
      </c>
      <c r="G17" t="str">
        <f t="array" ref="G17">IFERROR(INDEX('Player Raw Data'!I:I,Match($A17,'Player Raw Data'!$B:$B,0)),"")</f>
        <v>6</v>
      </c>
      <c r="H17" t="str">
        <f t="array" ref="H17">IFERROR(INDEX('Player Raw Data'!J:J,Match($A17,'Player Raw Data'!$B:$B,0)),"")</f>
        <v>9</v>
      </c>
      <c r="I17" t="str">
        <f t="array" ref="I17">IFERROR(INDEX('Player Raw Data'!S:S,Match($A17,'Player Raw Data'!$B:$B,0)),"")</f>
        <v>2</v>
      </c>
      <c r="J17" t="str">
        <f t="array" ref="J17">IFERROR(INDEX('Player Raw Data'!T:T,Match($A17,'Player Raw Data'!$B:$B,0)),"")</f>
        <v>3</v>
      </c>
      <c r="K17" t="str">
        <f t="array" ref="K17">IFERROR(INDEX('Player Raw Data'!X:X,Match($A17,'Player Raw Data'!$B:$B,0)),"")</f>
        <v>7</v>
      </c>
      <c r="L17" t="str">
        <f t="array" ref="L17">IFERROR(INDEX('Player Raw Data'!Y:Y,Match($A17,'Player Raw Data'!$B:$B,0)),"")</f>
        <v>7</v>
      </c>
      <c r="M17" t="str">
        <f t="array" ref="M17">IFERROR(INDEX('Player Raw Data'!Z:Z,Match($A17,'Player Raw Data'!$B:$B,0)),"")</f>
        <v>1</v>
      </c>
      <c r="N17" t="str">
        <f t="array" ref="N17">IFERROR(INDEX('Player Raw Data'!AA:AA,Match($A17,'Player Raw Data'!$B:$B,0)),"")</f>
        <v>0</v>
      </c>
      <c r="O17" t="str">
        <f t="array" ref="O17">IFERROR(INDEX('Player Raw Data'!AB:AB,Match($A17,'Player Raw Data'!$B:$B,0)),"")</f>
        <v>2</v>
      </c>
      <c r="P17" t="str">
        <f t="array" ref="P17">IFERROR(INDEX('Player Raw Data'!AD:AD,Match($A17,'Player Raw Data'!$B:$B,0)),"")</f>
        <v>14</v>
      </c>
      <c r="Q17">
        <f t="shared" si="1"/>
        <v>23</v>
      </c>
      <c r="R17" s="9">
        <f t="shared" si="2"/>
        <v>23</v>
      </c>
      <c r="S17" s="14">
        <f t="shared" si="3"/>
        <v>0.71875</v>
      </c>
      <c r="T17" s="15">
        <f>IFERROR(__xludf.DUMMYFUNCTION("IFERROR(PERCENTRANK.INC(FILTER(Q:Q,$F:$F&lt;&gt;""""),Q17)*100,"""")"),89.60000000000001)</f>
        <v>89.6</v>
      </c>
      <c r="U17" s="15">
        <f>IFERROR(__xludf.DUMMYFUNCTION("IFERROR(PERCENTRANK.INC(FILTER(R:R,$F:$F&lt;&gt;""""),R17)*100,"""")"),89.60000000000001)</f>
        <v>89.6</v>
      </c>
      <c r="V17" s="15">
        <f>IFERROR(__xludf.DUMMYFUNCTION("IFERROR(PERCENTRANK.INC(FILTER(S:S,$F:$F&lt;&gt;""""),S17)*100,"""")"),82.1)</f>
        <v>82.1</v>
      </c>
      <c r="W17" s="15">
        <f t="shared" si="4"/>
        <v>646.881</v>
      </c>
      <c r="X17" s="16"/>
      <c r="Y17" s="9"/>
      <c r="Z17" s="9"/>
    </row>
    <row r="18">
      <c r="A18" t="str">
        <f>IFERROR(__xludf.DUMMYFUNCTION("""COMPUTED_VALUE"""),"Josh Hart")</f>
        <v>Josh Hart</v>
      </c>
      <c r="B18" t="str">
        <f t="array" ref="B18">IFERROR(INDEX('Player Raw Data'!E:E,Match($A18,'Player Raw Data'!$B:$B,0)),"")</f>
        <v>SG</v>
      </c>
      <c r="C18" t="str">
        <f t="array" ref="C18">IFERROR(INDEX('Player Raw Data'!C:C,Match($A18,'Player Raw Data'!$B:$B,0)),"")</f>
        <v>31</v>
      </c>
      <c r="D18" t="str">
        <f t="array" ref="D18">IFERROR(IF(A18=A17, INDEX('Player Raw Data'!D:D,Match($A18,'Player Raw Data'!$B:$B,0)+2),INDEX('Player Raw Data'!D:D,Match($A18,'Player Raw Data'!$B:$B,0))),"")</f>
        <v>NYK</v>
      </c>
      <c r="E18" t="str">
        <f t="array" ref="E18">IFERROR(INDEX('Player Raw Data'!F:F,Match($A18,'Player Raw Data'!$B:$B,0)),"")</f>
        <v>1</v>
      </c>
      <c r="F18" t="str">
        <f t="array" ref="F18">IFERROR(INDEX('Player Raw Data'!H:H,Match($A18,'Player Raw Data'!$B:$B,0)),"")</f>
        <v>30</v>
      </c>
      <c r="G18" t="str">
        <f t="array" ref="G18">IFERROR(INDEX('Player Raw Data'!I:I,Match($A18,'Player Raw Data'!$B:$B,0)),"")</f>
        <v>5</v>
      </c>
      <c r="H18" t="str">
        <f t="array" ref="H18">IFERROR(INDEX('Player Raw Data'!J:J,Match($A18,'Player Raw Data'!$B:$B,0)),"")</f>
        <v>10</v>
      </c>
      <c r="I18" t="str">
        <f t="array" ref="I18">IFERROR(INDEX('Player Raw Data'!S:S,Match($A18,'Player Raw Data'!$B:$B,0)),"")</f>
        <v>2</v>
      </c>
      <c r="J18" t="str">
        <f t="array" ref="J18">IFERROR(INDEX('Player Raw Data'!T:T,Match($A18,'Player Raw Data'!$B:$B,0)),"")</f>
        <v>3</v>
      </c>
      <c r="K18" t="str">
        <f t="array" ref="K18">IFERROR(INDEX('Player Raw Data'!X:X,Match($A18,'Player Raw Data'!$B:$B,0)),"")</f>
        <v>7</v>
      </c>
      <c r="L18" t="str">
        <f t="array" ref="L18">IFERROR(INDEX('Player Raw Data'!Y:Y,Match($A18,'Player Raw Data'!$B:$B,0)),"")</f>
        <v>3</v>
      </c>
      <c r="M18" t="str">
        <f t="array" ref="M18">IFERROR(INDEX('Player Raw Data'!Z:Z,Match($A18,'Player Raw Data'!$B:$B,0)),"")</f>
        <v>1</v>
      </c>
      <c r="N18" t="str">
        <f t="array" ref="N18">IFERROR(INDEX('Player Raw Data'!AA:AA,Match($A18,'Player Raw Data'!$B:$B,0)),"")</f>
        <v>1</v>
      </c>
      <c r="O18" t="str">
        <f t="array" ref="O18">IFERROR(INDEX('Player Raw Data'!AB:AB,Match($A18,'Player Raw Data'!$B:$B,0)),"")</f>
        <v>2</v>
      </c>
      <c r="P18" t="str">
        <f t="array" ref="P18">IFERROR(INDEX('Player Raw Data'!AD:AD,Match($A18,'Player Raw Data'!$B:$B,0)),"")</f>
        <v>14</v>
      </c>
      <c r="Q18">
        <f t="shared" si="1"/>
        <v>18</v>
      </c>
      <c r="R18" s="9">
        <f t="shared" si="2"/>
        <v>18</v>
      </c>
      <c r="S18" s="14">
        <f t="shared" si="3"/>
        <v>0.6</v>
      </c>
      <c r="T18" s="15">
        <f>IFERROR(__xludf.DUMMYFUNCTION("IFERROR(PERCENTRANK.INC(FILTER(Q:Q,$F:$F&lt;&gt;""""),Q18)*100,"""")"),76.1)</f>
        <v>76.1</v>
      </c>
      <c r="U18" s="15">
        <f>IFERROR(__xludf.DUMMYFUNCTION("IFERROR(PERCENTRANK.INC(FILTER(R:R,$F:$F&lt;&gt;""""),R18)*100,"""")"),76.1)</f>
        <v>76.1</v>
      </c>
      <c r="V18" s="15">
        <f>IFERROR(__xludf.DUMMYFUNCTION("IFERROR(PERCENTRANK.INC(FILTER(S:S,$F:$F&lt;&gt;""""),S18)*100,"""")"),64.2)</f>
        <v>64.2</v>
      </c>
      <c r="W18" s="15">
        <f t="shared" si="4"/>
        <v>532.596</v>
      </c>
      <c r="X18" s="16"/>
      <c r="Y18" s="9"/>
      <c r="Z18" s="9"/>
    </row>
    <row r="19">
      <c r="A19" t="str">
        <f>IFERROR(__xludf.DUMMYFUNCTION("""COMPUTED_VALUE"""),"Chet Holmgren")</f>
        <v>Chet Holmgren</v>
      </c>
      <c r="B19" t="str">
        <f t="array" ref="B19">IFERROR(INDEX('Player Raw Data'!E:E,Match($A19,'Player Raw Data'!$B:$B,0)),"")</f>
        <v>C</v>
      </c>
      <c r="C19" t="str">
        <f t="array" ref="C19">IFERROR(INDEX('Player Raw Data'!C:C,Match($A19,'Player Raw Data'!$B:$B,0)),"")</f>
        <v>24</v>
      </c>
      <c r="D19" t="str">
        <f t="array" ref="D19">IFERROR(IF(A19=A18, INDEX('Player Raw Data'!D:D,Match($A19,'Player Raw Data'!$B:$B,0)+2),INDEX('Player Raw Data'!D:D,Match($A19,'Player Raw Data'!$B:$B,0))),"")</f>
        <v>OKC</v>
      </c>
      <c r="E19" t="str">
        <f t="array" ref="E19">IFERROR(INDEX('Player Raw Data'!F:F,Match($A19,'Player Raw Data'!$B:$B,0)),"")</f>
        <v>1</v>
      </c>
      <c r="F19" t="str">
        <f t="array" ref="F19">IFERROR(INDEX('Player Raw Data'!H:H,Match($A19,'Player Raw Data'!$B:$B,0)),"")</f>
        <v>31</v>
      </c>
      <c r="G19" t="str">
        <f t="array" ref="G19">IFERROR(INDEX('Player Raw Data'!I:I,Match($A19,'Player Raw Data'!$B:$B,0)),"")</f>
        <v>3</v>
      </c>
      <c r="H19" t="str">
        <f t="array" ref="H19">IFERROR(INDEX('Player Raw Data'!J:J,Match($A19,'Player Raw Data'!$B:$B,0)),"")</f>
        <v>8</v>
      </c>
      <c r="I19" t="str">
        <f t="array" ref="I19">IFERROR(INDEX('Player Raw Data'!S:S,Match($A19,'Player Raw Data'!$B:$B,0)),"")</f>
        <v>8</v>
      </c>
      <c r="J19" t="str">
        <f t="array" ref="J19">IFERROR(INDEX('Player Raw Data'!T:T,Match($A19,'Player Raw Data'!$B:$B,0)),"")</f>
        <v>8</v>
      </c>
      <c r="K19" t="str">
        <f t="array" ref="K19">IFERROR(INDEX('Player Raw Data'!X:X,Match($A19,'Player Raw Data'!$B:$B,0)),"")</f>
        <v>7</v>
      </c>
      <c r="L19" t="str">
        <f t="array" ref="L19">IFERROR(INDEX('Player Raw Data'!Y:Y,Match($A19,'Player Raw Data'!$B:$B,0)),"")</f>
        <v>2</v>
      </c>
      <c r="M19" t="str">
        <f t="array" ref="M19">IFERROR(INDEX('Player Raw Data'!Z:Z,Match($A19,'Player Raw Data'!$B:$B,0)),"")</f>
        <v>0</v>
      </c>
      <c r="N19" t="str">
        <f t="array" ref="N19">IFERROR(INDEX('Player Raw Data'!AA:AA,Match($A19,'Player Raw Data'!$B:$B,0)),"")</f>
        <v>4</v>
      </c>
      <c r="O19" t="str">
        <f t="array" ref="O19">IFERROR(INDEX('Player Raw Data'!AB:AB,Match($A19,'Player Raw Data'!$B:$B,0)),"")</f>
        <v>1</v>
      </c>
      <c r="P19" t="str">
        <f t="array" ref="P19">IFERROR(INDEX('Player Raw Data'!AD:AD,Match($A19,'Player Raw Data'!$B:$B,0)),"")</f>
        <v>14</v>
      </c>
      <c r="Q19">
        <f t="shared" si="1"/>
        <v>21</v>
      </c>
      <c r="R19" s="9">
        <f t="shared" si="2"/>
        <v>21</v>
      </c>
      <c r="S19" s="14">
        <f t="shared" si="3"/>
        <v>0.6774193548</v>
      </c>
      <c r="T19" s="15">
        <f>IFERROR(__xludf.DUMMYFUNCTION("IFERROR(PERCENTRANK.INC(FILTER(Q:Q,$F:$F&lt;&gt;""""),Q19)*100,"""")"),82.1)</f>
        <v>82.1</v>
      </c>
      <c r="U19" s="15">
        <f>IFERROR(__xludf.DUMMYFUNCTION("IFERROR(PERCENTRANK.INC(FILTER(R:R,$F:$F&lt;&gt;""""),R19)*100,"""")"),82.1)</f>
        <v>82.1</v>
      </c>
      <c r="V19" s="15">
        <f>IFERROR(__xludf.DUMMYFUNCTION("IFERROR(PERCENTRANK.INC(FILTER(S:S,$F:$F&lt;&gt;""""),S19)*100,"""")"),74.6)</f>
        <v>74.6</v>
      </c>
      <c r="W19" s="15">
        <f t="shared" si="4"/>
        <v>625.556</v>
      </c>
      <c r="X19" s="16"/>
      <c r="Y19" s="9"/>
      <c r="Z19" s="9"/>
    </row>
    <row r="20">
      <c r="A20" t="str">
        <f>IFERROR(__xludf.DUMMYFUNCTION("""COMPUTED_VALUE"""),"LeBron James")</f>
        <v>LeBron James</v>
      </c>
      <c r="B20" t="str">
        <f t="array" ref="B20">IFERROR(INDEX('Player Raw Data'!E:E,Match($A20,'Player Raw Data'!$B:$B,0)),"")</f>
        <v>SF</v>
      </c>
      <c r="C20" t="str">
        <f t="array" ref="C20">IFERROR(INDEX('Player Raw Data'!C:C,Match($A20,'Player Raw Data'!$B:$B,0)),"")</f>
        <v>42</v>
      </c>
      <c r="D20" t="str">
        <f t="array" ref="D20">IFERROR(IF(A20=A19, INDEX('Player Raw Data'!D:D,Match($A20,'Player Raw Data'!$B:$B,0)+2),INDEX('Player Raw Data'!D:D,Match($A20,'Player Raw Data'!$B:$B,0))),"")</f>
        <v>PHI</v>
      </c>
      <c r="E20" t="str">
        <f t="array" ref="E20">IFERROR(INDEX('Player Raw Data'!F:F,Match($A20,'Player Raw Data'!$B:$B,0)),"")</f>
        <v>1</v>
      </c>
      <c r="F20" t="str">
        <f t="array" ref="F20">IFERROR(INDEX('Player Raw Data'!H:H,Match($A20,'Player Raw Data'!$B:$B,0)),"")</f>
        <v>34</v>
      </c>
      <c r="G20" t="str">
        <f t="array" ref="G20">IFERROR(INDEX('Player Raw Data'!I:I,Match($A20,'Player Raw Data'!$B:$B,0)),"")</f>
        <v>5</v>
      </c>
      <c r="H20" t="str">
        <f t="array" ref="H20">IFERROR(INDEX('Player Raw Data'!J:J,Match($A20,'Player Raw Data'!$B:$B,0)),"")</f>
        <v>13</v>
      </c>
      <c r="I20" t="str">
        <f t="array" ref="I20">IFERROR(INDEX('Player Raw Data'!S:S,Match($A20,'Player Raw Data'!$B:$B,0)),"")</f>
        <v>4</v>
      </c>
      <c r="J20" t="str">
        <f t="array" ref="J20">IFERROR(INDEX('Player Raw Data'!T:T,Match($A20,'Player Raw Data'!$B:$B,0)),"")</f>
        <v>6</v>
      </c>
      <c r="K20" t="str">
        <f t="array" ref="K20">IFERROR(INDEX('Player Raw Data'!X:X,Match($A20,'Player Raw Data'!$B:$B,0)),"")</f>
        <v>9</v>
      </c>
      <c r="L20" t="str">
        <f t="array" ref="L20">IFERROR(INDEX('Player Raw Data'!Y:Y,Match($A20,'Player Raw Data'!$B:$B,0)),"")</f>
        <v>7</v>
      </c>
      <c r="M20" t="str">
        <f t="array" ref="M20">IFERROR(INDEX('Player Raw Data'!Z:Z,Match($A20,'Player Raw Data'!$B:$B,0)),"")</f>
        <v>1</v>
      </c>
      <c r="N20" t="str">
        <f t="array" ref="N20">IFERROR(INDEX('Player Raw Data'!AA:AA,Match($A20,'Player Raw Data'!$B:$B,0)),"")</f>
        <v>1</v>
      </c>
      <c r="O20" t="str">
        <f t="array" ref="O20">IFERROR(INDEX('Player Raw Data'!AB:AB,Match($A20,'Player Raw Data'!$B:$B,0)),"")</f>
        <v>1</v>
      </c>
      <c r="P20" t="str">
        <f t="array" ref="P20">IFERROR(INDEX('Player Raw Data'!AD:AD,Match($A20,'Player Raw Data'!$B:$B,0)),"")</f>
        <v>14</v>
      </c>
      <c r="Q20">
        <f t="shared" si="1"/>
        <v>21</v>
      </c>
      <c r="R20" s="9">
        <f t="shared" si="2"/>
        <v>21</v>
      </c>
      <c r="S20" s="14">
        <f t="shared" si="3"/>
        <v>0.6176470588</v>
      </c>
      <c r="T20" s="15">
        <f>IFERROR(__xludf.DUMMYFUNCTION("IFERROR(PERCENTRANK.INC(FILTER(Q:Q,$F:$F&lt;&gt;""""),Q20)*100,"""")"),82.1)</f>
        <v>82.1</v>
      </c>
      <c r="U20" s="15">
        <f>IFERROR(__xludf.DUMMYFUNCTION("IFERROR(PERCENTRANK.INC(FILTER(R:R,$F:$F&lt;&gt;""""),R20)*100,"""")"),82.1)</f>
        <v>82.1</v>
      </c>
      <c r="V20" s="15">
        <f>IFERROR(__xludf.DUMMYFUNCTION("IFERROR(PERCENTRANK.INC(FILTER(S:S,$F:$F&lt;&gt;""""),S20)*100,"""")"),70.1)</f>
        <v>70.1</v>
      </c>
      <c r="W20" s="15">
        <f t="shared" si="4"/>
        <v>568.731</v>
      </c>
      <c r="X20" s="16"/>
      <c r="Y20" s="9"/>
      <c r="Z20" s="9"/>
    </row>
    <row r="21">
      <c r="A21" t="str">
        <f>IFERROR(__xludf.DUMMYFUNCTION("""COMPUTED_VALUE"""),"Joel Embiid")</f>
        <v>Joel Embiid</v>
      </c>
      <c r="B21" t="str">
        <f t="array" ref="B21">IFERROR(INDEX('Player Raw Data'!E:E,Match($A21,'Player Raw Data'!$B:$B,0)),"")</f>
        <v>C</v>
      </c>
      <c r="C21" t="str">
        <f t="array" ref="C21">IFERROR(INDEX('Player Raw Data'!C:C,Match($A21,'Player Raw Data'!$B:$B,0)),"")</f>
        <v>32</v>
      </c>
      <c r="D21" t="str">
        <f t="array" ref="D21">IFERROR(IF(A21=A20, INDEX('Player Raw Data'!D:D,Match($A21,'Player Raw Data'!$B:$B,0)+2),INDEX('Player Raw Data'!D:D,Match($A21,'Player Raw Data'!$B:$B,0))),"")</f>
        <v>PHI</v>
      </c>
      <c r="E21" t="str">
        <f t="array" ref="E21">IFERROR(INDEX('Player Raw Data'!F:F,Match($A21,'Player Raw Data'!$B:$B,0)),"")</f>
        <v>1</v>
      </c>
      <c r="F21" t="str">
        <f t="array" ref="F21">IFERROR(INDEX('Player Raw Data'!H:H,Match($A21,'Player Raw Data'!$B:$B,0)),"")</f>
        <v>33</v>
      </c>
      <c r="G21" t="str">
        <f t="array" ref="G21">IFERROR(INDEX('Player Raw Data'!I:I,Match($A21,'Player Raw Data'!$B:$B,0)),"")</f>
        <v>4</v>
      </c>
      <c r="H21" t="str">
        <f t="array" ref="H21">IFERROR(INDEX('Player Raw Data'!J:J,Match($A21,'Player Raw Data'!$B:$B,0)),"")</f>
        <v>15</v>
      </c>
      <c r="I21" t="str">
        <f t="array" ref="I21">IFERROR(INDEX('Player Raw Data'!S:S,Match($A21,'Player Raw Data'!$B:$B,0)),"")</f>
        <v>3</v>
      </c>
      <c r="J21" t="str">
        <f t="array" ref="J21">IFERROR(INDEX('Player Raw Data'!T:T,Match($A21,'Player Raw Data'!$B:$B,0)),"")</f>
        <v>4</v>
      </c>
      <c r="K21" t="str">
        <f t="array" ref="K21">IFERROR(INDEX('Player Raw Data'!X:X,Match($A21,'Player Raw Data'!$B:$B,0)),"")</f>
        <v>11</v>
      </c>
      <c r="L21" t="str">
        <f t="array" ref="L21">IFERROR(INDEX('Player Raw Data'!Y:Y,Match($A21,'Player Raw Data'!$B:$B,0)),"")</f>
        <v>6</v>
      </c>
      <c r="M21" t="str">
        <f t="array" ref="M21">IFERROR(INDEX('Player Raw Data'!Z:Z,Match($A21,'Player Raw Data'!$B:$B,0)),"")</f>
        <v>2</v>
      </c>
      <c r="N21" t="str">
        <f t="array" ref="N21">IFERROR(INDEX('Player Raw Data'!AA:AA,Match($A21,'Player Raw Data'!$B:$B,0)),"")</f>
        <v>3</v>
      </c>
      <c r="O21" t="str">
        <f t="array" ref="O21">IFERROR(INDEX('Player Raw Data'!AB:AB,Match($A21,'Player Raw Data'!$B:$B,0)),"")</f>
        <v>4</v>
      </c>
      <c r="P21" t="str">
        <f t="array" ref="P21">IFERROR(INDEX('Player Raw Data'!AD:AD,Match($A21,'Player Raw Data'!$B:$B,0)),"")</f>
        <v>13</v>
      </c>
      <c r="Q21">
        <f t="shared" si="1"/>
        <v>19</v>
      </c>
      <c r="R21" s="9">
        <f t="shared" si="2"/>
        <v>19</v>
      </c>
      <c r="S21" s="14">
        <f t="shared" si="3"/>
        <v>0.5757575758</v>
      </c>
      <c r="T21" s="15">
        <f>IFERROR(__xludf.DUMMYFUNCTION("IFERROR(PERCENTRANK.INC(FILTER(Q:Q,$F:$F&lt;&gt;""""),Q21)*100,"""")"),80.60000000000001)</f>
        <v>80.6</v>
      </c>
      <c r="U21" s="15">
        <f>IFERROR(__xludf.DUMMYFUNCTION("IFERROR(PERCENTRANK.INC(FILTER(R:R,$F:$F&lt;&gt;""""),R21)*100,"""")"),80.60000000000001)</f>
        <v>80.6</v>
      </c>
      <c r="V21" s="15">
        <f>IFERROR(__xludf.DUMMYFUNCTION("IFERROR(PERCENTRANK.INC(FILTER(S:S,$F:$F&lt;&gt;""""),S21)*100,"""")"),62.7)</f>
        <v>62.7</v>
      </c>
      <c r="W21" s="15">
        <f t="shared" si="4"/>
        <v>550.691</v>
      </c>
      <c r="X21" s="16"/>
      <c r="Y21" s="9"/>
      <c r="Z21" s="9"/>
    </row>
    <row r="22">
      <c r="A22" t="str">
        <f>IFERROR(__xludf.DUMMYFUNCTION("""COMPUTED_VALUE"""),"Anfernee Simons")</f>
        <v>Anfernee Simons</v>
      </c>
      <c r="B22" t="str">
        <f t="array" ref="B22">IFERROR(INDEX('Player Raw Data'!E:E,Match($A22,'Player Raw Data'!$B:$B,0)),"")</f>
        <v>SG</v>
      </c>
      <c r="C22" t="str">
        <f t="array" ref="C22">IFERROR(INDEX('Player Raw Data'!C:C,Match($A22,'Player Raw Data'!$B:$B,0)),"")</f>
        <v>27</v>
      </c>
      <c r="D22" t="str">
        <f t="array" ref="D22">IFERROR(IF(A22=A21, INDEX('Player Raw Data'!D:D,Match($A22,'Player Raw Data'!$B:$B,0)+2),INDEX('Player Raw Data'!D:D,Match($A22,'Player Raw Data'!$B:$B,0))),"")</f>
        <v>PHI</v>
      </c>
      <c r="E22" t="str">
        <f t="array" ref="E22">IFERROR(INDEX('Player Raw Data'!F:F,Match($A22,'Player Raw Data'!$B:$B,0)),"")</f>
        <v>1</v>
      </c>
      <c r="F22" t="str">
        <f t="array" ref="F22">IFERROR(INDEX('Player Raw Data'!H:H,Match($A22,'Player Raw Data'!$B:$B,0)),"")</f>
        <v>25</v>
      </c>
      <c r="G22" t="str">
        <f t="array" ref="G22">IFERROR(INDEX('Player Raw Data'!I:I,Match($A22,'Player Raw Data'!$B:$B,0)),"")</f>
        <v>5</v>
      </c>
      <c r="H22" t="str">
        <f t="array" ref="H22">IFERROR(INDEX('Player Raw Data'!J:J,Match($A22,'Player Raw Data'!$B:$B,0)),"")</f>
        <v>10</v>
      </c>
      <c r="I22" t="str">
        <f t="array" ref="I22">IFERROR(INDEX('Player Raw Data'!S:S,Match($A22,'Player Raw Data'!$B:$B,0)),"")</f>
        <v>0</v>
      </c>
      <c r="J22" t="str">
        <f t="array" ref="J22">IFERROR(INDEX('Player Raw Data'!T:T,Match($A22,'Player Raw Data'!$B:$B,0)),"")</f>
        <v>0</v>
      </c>
      <c r="K22" t="str">
        <f t="array" ref="K22">IFERROR(INDEX('Player Raw Data'!X:X,Match($A22,'Player Raw Data'!$B:$B,0)),"")</f>
        <v>2</v>
      </c>
      <c r="L22" t="str">
        <f t="array" ref="L22">IFERROR(INDEX('Player Raw Data'!Y:Y,Match($A22,'Player Raw Data'!$B:$B,0)),"")</f>
        <v>0</v>
      </c>
      <c r="M22" t="str">
        <f t="array" ref="M22">IFERROR(INDEX('Player Raw Data'!Z:Z,Match($A22,'Player Raw Data'!$B:$B,0)),"")</f>
        <v>0</v>
      </c>
      <c r="N22" t="str">
        <f t="array" ref="N22">IFERROR(INDEX('Player Raw Data'!AA:AA,Match($A22,'Player Raw Data'!$B:$B,0)),"")</f>
        <v>0</v>
      </c>
      <c r="O22" t="str">
        <f t="array" ref="O22">IFERROR(INDEX('Player Raw Data'!AB:AB,Match($A22,'Player Raw Data'!$B:$B,0)),"")</f>
        <v>0</v>
      </c>
      <c r="P22" t="str">
        <f t="array" ref="P22">IFERROR(INDEX('Player Raw Data'!AD:AD,Match($A22,'Player Raw Data'!$B:$B,0)),"")</f>
        <v>13</v>
      </c>
      <c r="Q22">
        <f t="shared" si="1"/>
        <v>10</v>
      </c>
      <c r="R22" s="9">
        <f t="shared" si="2"/>
        <v>10</v>
      </c>
      <c r="S22" s="14">
        <f t="shared" si="3"/>
        <v>0.4</v>
      </c>
      <c r="T22" s="15">
        <f>IFERROR(__xludf.DUMMYFUNCTION("IFERROR(PERCENTRANK.INC(FILTER(Q:Q,$F:$F&lt;&gt;""""),Q22)*100,"""")"),50.7)</f>
        <v>50.7</v>
      </c>
      <c r="U22" s="15">
        <f>IFERROR(__xludf.DUMMYFUNCTION("IFERROR(PERCENTRANK.INC(FILTER(R:R,$F:$F&lt;&gt;""""),R22)*100,"""")"),50.7)</f>
        <v>50.7</v>
      </c>
      <c r="V22" s="15">
        <f>IFERROR(__xludf.DUMMYFUNCTION("IFERROR(PERCENTRANK.INC(FILTER(S:S,$F:$F&lt;&gt;""""),S22)*100,"""")"),35.8)</f>
        <v>35.8</v>
      </c>
      <c r="W22" s="15">
        <f t="shared" si="4"/>
        <v>373.852</v>
      </c>
      <c r="X22" s="16"/>
      <c r="Y22" s="9"/>
      <c r="Z22" s="9"/>
    </row>
    <row r="23">
      <c r="A23" t="str">
        <f>IFERROR(__xludf.DUMMYFUNCTION("""COMPUTED_VALUE"""),"Jayson Tatum")</f>
        <v>Jayson Tatum</v>
      </c>
      <c r="B23" t="str">
        <f t="array" ref="B23">IFERROR(INDEX('Player Raw Data'!E:E,Match($A23,'Player Raw Data'!$B:$B,0)),"")</f>
        <v>PF</v>
      </c>
      <c r="C23" t="str">
        <f t="array" ref="C23">IFERROR(INDEX('Player Raw Data'!C:C,Match($A23,'Player Raw Data'!$B:$B,0)),"")</f>
        <v>28</v>
      </c>
      <c r="D23" t="str">
        <f t="array" ref="D23">IFERROR(IF(A23=A22, INDEX('Player Raw Data'!D:D,Match($A23,'Player Raw Data'!$B:$B,0)+2),INDEX('Player Raw Data'!D:D,Match($A23,'Player Raw Data'!$B:$B,0))),"")</f>
        <v>BOS</v>
      </c>
      <c r="E23" t="str">
        <f t="array" ref="E23">IFERROR(INDEX('Player Raw Data'!F:F,Match($A23,'Player Raw Data'!$B:$B,0)),"")</f>
        <v>1</v>
      </c>
      <c r="F23" t="str">
        <f t="array" ref="F23">IFERROR(INDEX('Player Raw Data'!H:H,Match($A23,'Player Raw Data'!$B:$B,0)),"")</f>
        <v>38</v>
      </c>
      <c r="G23" t="str">
        <f t="array" ref="G23">IFERROR(INDEX('Player Raw Data'!I:I,Match($A23,'Player Raw Data'!$B:$B,0)),"")</f>
        <v>6</v>
      </c>
      <c r="H23" t="str">
        <f t="array" ref="H23">IFERROR(INDEX('Player Raw Data'!J:J,Match($A23,'Player Raw Data'!$B:$B,0)),"")</f>
        <v>23</v>
      </c>
      <c r="I23" t="str">
        <f t="array" ref="I23">IFERROR(INDEX('Player Raw Data'!S:S,Match($A23,'Player Raw Data'!$B:$B,0)),"")</f>
        <v>1</v>
      </c>
      <c r="J23" t="str">
        <f t="array" ref="J23">IFERROR(INDEX('Player Raw Data'!T:T,Match($A23,'Player Raw Data'!$B:$B,0)),"")</f>
        <v>1</v>
      </c>
      <c r="K23" t="str">
        <f t="array" ref="K23">IFERROR(INDEX('Player Raw Data'!X:X,Match($A23,'Player Raw Data'!$B:$B,0)),"")</f>
        <v>4</v>
      </c>
      <c r="L23" t="str">
        <f t="array" ref="L23">IFERROR(INDEX('Player Raw Data'!Y:Y,Match($A23,'Player Raw Data'!$B:$B,0)),"")</f>
        <v>11</v>
      </c>
      <c r="M23" t="str">
        <f t="array" ref="M23">IFERROR(INDEX('Player Raw Data'!Z:Z,Match($A23,'Player Raw Data'!$B:$B,0)),"")</f>
        <v>0</v>
      </c>
      <c r="N23" t="str">
        <f t="array" ref="N23">IFERROR(INDEX('Player Raw Data'!AA:AA,Match($A23,'Player Raw Data'!$B:$B,0)),"")</f>
        <v>0</v>
      </c>
      <c r="O23" t="str">
        <f t="array" ref="O23">IFERROR(INDEX('Player Raw Data'!AB:AB,Match($A23,'Player Raw Data'!$B:$B,0)),"")</f>
        <v>2</v>
      </c>
      <c r="P23" t="str">
        <f t="array" ref="P23">IFERROR(INDEX('Player Raw Data'!AD:AD,Match($A23,'Player Raw Data'!$B:$B,0)),"")</f>
        <v>13</v>
      </c>
      <c r="Q23">
        <f t="shared" si="1"/>
        <v>9</v>
      </c>
      <c r="R23" s="9">
        <f t="shared" si="2"/>
        <v>9</v>
      </c>
      <c r="S23" s="14">
        <f t="shared" si="3"/>
        <v>0.2368421053</v>
      </c>
      <c r="T23" s="15">
        <f>IFERROR(__xludf.DUMMYFUNCTION("IFERROR(PERCENTRANK.INC(FILTER(Q:Q,$F:$F&lt;&gt;""""),Q23)*100,"""")"),49.3)</f>
        <v>49.3</v>
      </c>
      <c r="U23" s="15">
        <f>IFERROR(__xludf.DUMMYFUNCTION("IFERROR(PERCENTRANK.INC(FILTER(R:R,$F:$F&lt;&gt;""""),R23)*100,"""")"),49.3)</f>
        <v>49.3</v>
      </c>
      <c r="V23" s="15">
        <f>IFERROR(__xludf.DUMMYFUNCTION("IFERROR(PERCENTRANK.INC(FILTER(S:S,$F:$F&lt;&gt;""""),S23)*100,"""")"),19.400000000000002)</f>
        <v>19.4</v>
      </c>
      <c r="W23" s="15">
        <f t="shared" si="4"/>
        <v>338.748</v>
      </c>
      <c r="X23" s="16"/>
      <c r="Y23" s="9"/>
      <c r="Z23" s="9"/>
    </row>
    <row r="24">
      <c r="A24" t="str">
        <f>IFERROR(__xludf.DUMMYFUNCTION("""COMPUTED_VALUE"""),"Andre Drummond")</f>
        <v>Andre Drummond</v>
      </c>
      <c r="B24" t="str">
        <f t="array" ref="B24">IFERROR(INDEX('Player Raw Data'!E:E,Match($A24,'Player Raw Data'!$B:$B,0)),"")</f>
        <v>C</v>
      </c>
      <c r="C24" t="str">
        <f t="array" ref="C24">IFERROR(INDEX('Player Raw Data'!C:C,Match($A24,'Player Raw Data'!$B:$B,0)),"")</f>
        <v>33</v>
      </c>
      <c r="D24" t="str">
        <f t="array" ref="D24">IFERROR(IF(A24=A23, INDEX('Player Raw Data'!D:D,Match($A24,'Player Raw Data'!$B:$B,0)+2),INDEX('Player Raw Data'!D:D,Match($A24,'Player Raw Data'!$B:$B,0))),"")</f>
        <v>NYK</v>
      </c>
      <c r="E24" t="str">
        <f t="array" ref="E24">IFERROR(INDEX('Player Raw Data'!F:F,Match($A24,'Player Raw Data'!$B:$B,0)),"")</f>
        <v>1</v>
      </c>
      <c r="F24" t="str">
        <f t="array" ref="F24">IFERROR(INDEX('Player Raw Data'!H:H,Match($A24,'Player Raw Data'!$B:$B,0)),"")</f>
        <v>24</v>
      </c>
      <c r="G24" t="str">
        <f t="array" ref="G24">IFERROR(INDEX('Player Raw Data'!I:I,Match($A24,'Player Raw Data'!$B:$B,0)),"")</f>
        <v>5</v>
      </c>
      <c r="H24" t="str">
        <f t="array" ref="H24">IFERROR(INDEX('Player Raw Data'!J:J,Match($A24,'Player Raw Data'!$B:$B,0)),"")</f>
        <v>13</v>
      </c>
      <c r="I24" t="str">
        <f t="array" ref="I24">IFERROR(INDEX('Player Raw Data'!S:S,Match($A24,'Player Raw Data'!$B:$B,0)),"")</f>
        <v>2</v>
      </c>
      <c r="J24" t="str">
        <f t="array" ref="J24">IFERROR(INDEX('Player Raw Data'!T:T,Match($A24,'Player Raw Data'!$B:$B,0)),"")</f>
        <v>4</v>
      </c>
      <c r="K24" t="str">
        <f t="array" ref="K24">IFERROR(INDEX('Player Raw Data'!X:X,Match($A24,'Player Raw Data'!$B:$B,0)),"")</f>
        <v>14</v>
      </c>
      <c r="L24" t="str">
        <f t="array" ref="L24">IFERROR(INDEX('Player Raw Data'!Y:Y,Match($A24,'Player Raw Data'!$B:$B,0)),"")</f>
        <v>4</v>
      </c>
      <c r="M24" t="str">
        <f t="array" ref="M24">IFERROR(INDEX('Player Raw Data'!Z:Z,Match($A24,'Player Raw Data'!$B:$B,0)),"")</f>
        <v>1</v>
      </c>
      <c r="N24" t="str">
        <f t="array" ref="N24">IFERROR(INDEX('Player Raw Data'!AA:AA,Match($A24,'Player Raw Data'!$B:$B,0)),"")</f>
        <v>2</v>
      </c>
      <c r="O24" t="str">
        <f t="array" ref="O24">IFERROR(INDEX('Player Raw Data'!AB:AB,Match($A24,'Player Raw Data'!$B:$B,0)),"")</f>
        <v>0</v>
      </c>
      <c r="P24" t="str">
        <f t="array" ref="P24">IFERROR(INDEX('Player Raw Data'!AD:AD,Match($A24,'Player Raw Data'!$B:$B,0)),"")</f>
        <v>12</v>
      </c>
      <c r="Q24">
        <f t="shared" si="1"/>
        <v>23</v>
      </c>
      <c r="R24" s="9">
        <f t="shared" si="2"/>
        <v>23</v>
      </c>
      <c r="S24" s="14">
        <f t="shared" si="3"/>
        <v>0.9583333333</v>
      </c>
      <c r="T24" s="15">
        <f>IFERROR(__xludf.DUMMYFUNCTION("IFERROR(PERCENTRANK.INC(FILTER(Q:Q,$F:$F&lt;&gt;""""),Q24)*100,"""")"),89.60000000000001)</f>
        <v>89.6</v>
      </c>
      <c r="U24" s="15">
        <f>IFERROR(__xludf.DUMMYFUNCTION("IFERROR(PERCENTRANK.INC(FILTER(R:R,$F:$F&lt;&gt;""""),R24)*100,"""")"),89.60000000000001)</f>
        <v>89.6</v>
      </c>
      <c r="V24" s="15">
        <f>IFERROR(__xludf.DUMMYFUNCTION("IFERROR(PERCENTRANK.INC(FILTER(S:S,$F:$F&lt;&gt;""""),S24)*100,"""")"),89.60000000000001)</f>
        <v>89.6</v>
      </c>
      <c r="W24" s="15">
        <f t="shared" si="4"/>
        <v>637.056</v>
      </c>
      <c r="X24" s="16"/>
      <c r="Y24" s="9"/>
      <c r="Z24" s="9"/>
    </row>
    <row r="25">
      <c r="A25" t="str">
        <f>IFERROR(__xludf.DUMMYFUNCTION("""COMPUTED_VALUE"""),"Victor Wembanyama")</f>
        <v>Victor Wembanyama</v>
      </c>
      <c r="B25" t="str">
        <f t="array" ref="B25">IFERROR(INDEX('Player Raw Data'!E:E,Match($A25,'Player Raw Data'!$B:$B,0)),"")</f>
        <v>C</v>
      </c>
      <c r="C25" t="str">
        <f t="array" ref="C25">IFERROR(INDEX('Player Raw Data'!C:C,Match($A25,'Player Raw Data'!$B:$B,0)),"")</f>
        <v>23</v>
      </c>
      <c r="D25" t="str">
        <f t="array" ref="D25">IFERROR(IF(A25=A24, INDEX('Player Raw Data'!D:D,Match($A25,'Player Raw Data'!$B:$B,0)+2),INDEX('Player Raw Data'!D:D,Match($A25,'Player Raw Data'!$B:$B,0))),"")</f>
        <v>SAS</v>
      </c>
      <c r="E25" t="str">
        <f t="array" ref="E25">IFERROR(INDEX('Player Raw Data'!F:F,Match($A25,'Player Raw Data'!$B:$B,0)),"")</f>
        <v>1</v>
      </c>
      <c r="F25" t="str">
        <f t="array" ref="F25">IFERROR(INDEX('Player Raw Data'!H:H,Match($A25,'Player Raw Data'!$B:$B,0)),"")</f>
        <v>34</v>
      </c>
      <c r="G25" t="str">
        <f t="array" ref="G25">IFERROR(INDEX('Player Raw Data'!I:I,Match($A25,'Player Raw Data'!$B:$B,0)),"")</f>
        <v>1</v>
      </c>
      <c r="H25" t="str">
        <f t="array" ref="H25">IFERROR(INDEX('Player Raw Data'!J:J,Match($A25,'Player Raw Data'!$B:$B,0)),"")</f>
        <v>13</v>
      </c>
      <c r="I25" t="str">
        <f t="array" ref="I25">IFERROR(INDEX('Player Raw Data'!S:S,Match($A25,'Player Raw Data'!$B:$B,0)),"")</f>
        <v>10</v>
      </c>
      <c r="J25" t="str">
        <f t="array" ref="J25">IFERROR(INDEX('Player Raw Data'!T:T,Match($A25,'Player Raw Data'!$B:$B,0)),"")</f>
        <v>12</v>
      </c>
      <c r="K25" t="str">
        <f t="array" ref="K25">IFERROR(INDEX('Player Raw Data'!X:X,Match($A25,'Player Raw Data'!$B:$B,0)),"")</f>
        <v>13</v>
      </c>
      <c r="L25" t="str">
        <f t="array" ref="L25">IFERROR(INDEX('Player Raw Data'!Y:Y,Match($A25,'Player Raw Data'!$B:$B,0)),"")</f>
        <v>3</v>
      </c>
      <c r="M25" t="str">
        <f t="array" ref="M25">IFERROR(INDEX('Player Raw Data'!Z:Z,Match($A25,'Player Raw Data'!$B:$B,0)),"")</f>
        <v>1</v>
      </c>
      <c r="N25" t="str">
        <f t="array" ref="N25">IFERROR(INDEX('Player Raw Data'!AA:AA,Match($A25,'Player Raw Data'!$B:$B,0)),"")</f>
        <v>6</v>
      </c>
      <c r="O25" t="str">
        <f t="array" ref="O25">IFERROR(INDEX('Player Raw Data'!AB:AB,Match($A25,'Player Raw Data'!$B:$B,0)),"")</f>
        <v>4</v>
      </c>
      <c r="P25" t="str">
        <f t="array" ref="P25">IFERROR(INDEX('Player Raw Data'!AD:AD,Match($A25,'Player Raw Data'!$B:$B,0)),"")</f>
        <v>12</v>
      </c>
      <c r="Q25">
        <f t="shared" si="1"/>
        <v>17</v>
      </c>
      <c r="R25" s="9">
        <f t="shared" si="2"/>
        <v>17</v>
      </c>
      <c r="S25" s="14">
        <f t="shared" si="3"/>
        <v>0.5</v>
      </c>
      <c r="T25" s="15">
        <f>IFERROR(__xludf.DUMMYFUNCTION("IFERROR(PERCENTRANK.INC(FILTER(Q:Q,$F:$F&lt;&gt;""""),Q25)*100,"""")"),71.6)</f>
        <v>71.6</v>
      </c>
      <c r="U25" s="15">
        <f>IFERROR(__xludf.DUMMYFUNCTION("IFERROR(PERCENTRANK.INC(FILTER(R:R,$F:$F&lt;&gt;""""),R25)*100,"""")"),71.6)</f>
        <v>71.6</v>
      </c>
      <c r="V25" s="15">
        <f>IFERROR(__xludf.DUMMYFUNCTION("IFERROR(PERCENTRANK.INC(FILTER(S:S,$F:$F&lt;&gt;""""),S25)*100,"""")"),49.3)</f>
        <v>49.3</v>
      </c>
      <c r="W25" s="15">
        <f t="shared" si="4"/>
        <v>538.801</v>
      </c>
      <c r="X25" s="16"/>
      <c r="Y25" s="9"/>
      <c r="Z25" s="9"/>
    </row>
    <row r="26">
      <c r="A26" t="str">
        <f>IFERROR(__xludf.DUMMYFUNCTION("""COMPUTED_VALUE"""),"Jalen Williams")</f>
        <v>Jalen Williams</v>
      </c>
      <c r="B26" t="str">
        <f t="array" ref="B26">IFERROR(INDEX('Player Raw Data'!E:E,Match($A26,'Player Raw Data'!$B:$B,0)),"")</f>
        <v>SG</v>
      </c>
      <c r="C26" t="str">
        <f t="array" ref="C26">IFERROR(INDEX('Player Raw Data'!C:C,Match($A26,'Player Raw Data'!$B:$B,0)),"")</f>
        <v>25</v>
      </c>
      <c r="D26" t="str">
        <f t="array" ref="D26">IFERROR(IF(A26=A25, INDEX('Player Raw Data'!D:D,Match($A26,'Player Raw Data'!$B:$B,0)+2),INDEX('Player Raw Data'!D:D,Match($A26,'Player Raw Data'!$B:$B,0))),"")</f>
        <v>OKC</v>
      </c>
      <c r="E26" t="str">
        <f t="array" ref="E26">IFERROR(INDEX('Player Raw Data'!F:F,Match($A26,'Player Raw Data'!$B:$B,0)),"")</f>
        <v>1</v>
      </c>
      <c r="F26" t="str">
        <f t="array" ref="F26">IFERROR(INDEX('Player Raw Data'!H:H,Match($A26,'Player Raw Data'!$B:$B,0)),"")</f>
        <v>30</v>
      </c>
      <c r="G26" t="str">
        <f t="array" ref="G26">IFERROR(INDEX('Player Raw Data'!I:I,Match($A26,'Player Raw Data'!$B:$B,0)),"")</f>
        <v>5</v>
      </c>
      <c r="H26" t="str">
        <f t="array" ref="H26">IFERROR(INDEX('Player Raw Data'!J:J,Match($A26,'Player Raw Data'!$B:$B,0)),"")</f>
        <v>16</v>
      </c>
      <c r="I26" t="str">
        <f t="array" ref="I26">IFERROR(INDEX('Player Raw Data'!S:S,Match($A26,'Player Raw Data'!$B:$B,0)),"")</f>
        <v>1</v>
      </c>
      <c r="J26" t="str">
        <f t="array" ref="J26">IFERROR(INDEX('Player Raw Data'!T:T,Match($A26,'Player Raw Data'!$B:$B,0)),"")</f>
        <v>2</v>
      </c>
      <c r="K26" t="str">
        <f t="array" ref="K26">IFERROR(INDEX('Player Raw Data'!X:X,Match($A26,'Player Raw Data'!$B:$B,0)),"")</f>
        <v>7</v>
      </c>
      <c r="L26" t="str">
        <f t="array" ref="L26">IFERROR(INDEX('Player Raw Data'!Y:Y,Match($A26,'Player Raw Data'!$B:$B,0)),"")</f>
        <v>2</v>
      </c>
      <c r="M26" t="str">
        <f t="array" ref="M26">IFERROR(INDEX('Player Raw Data'!Z:Z,Match($A26,'Player Raw Data'!$B:$B,0)),"")</f>
        <v>1</v>
      </c>
      <c r="N26" t="str">
        <f t="array" ref="N26">IFERROR(INDEX('Player Raw Data'!AA:AA,Match($A26,'Player Raw Data'!$B:$B,0)),"")</f>
        <v>1</v>
      </c>
      <c r="O26" t="str">
        <f t="array" ref="O26">IFERROR(INDEX('Player Raw Data'!AB:AB,Match($A26,'Player Raw Data'!$B:$B,0)),"")</f>
        <v>0</v>
      </c>
      <c r="P26" t="str">
        <f t="array" ref="P26">IFERROR(INDEX('Player Raw Data'!AD:AD,Match($A26,'Player Raw Data'!$B:$B,0)),"")</f>
        <v>12</v>
      </c>
      <c r="Q26">
        <f t="shared" si="1"/>
        <v>11</v>
      </c>
      <c r="R26" s="9">
        <f t="shared" si="2"/>
        <v>11</v>
      </c>
      <c r="S26" s="14">
        <f t="shared" si="3"/>
        <v>0.3666666667</v>
      </c>
      <c r="T26" s="15">
        <f>IFERROR(__xludf.DUMMYFUNCTION("IFERROR(PERCENTRANK.INC(FILTER(Q:Q,$F:$F&lt;&gt;""""),Q26)*100,"""")"),55.2)</f>
        <v>55.2</v>
      </c>
      <c r="U26" s="15">
        <f>IFERROR(__xludf.DUMMYFUNCTION("IFERROR(PERCENTRANK.INC(FILTER(R:R,$F:$F&lt;&gt;""""),R26)*100,"""")"),55.2)</f>
        <v>55.2</v>
      </c>
      <c r="V26" s="15">
        <f>IFERROR(__xludf.DUMMYFUNCTION("IFERROR(PERCENTRANK.INC(FILTER(S:S,$F:$F&lt;&gt;""""),S26)*100,"""")"),32.800000000000004)</f>
        <v>32.8</v>
      </c>
      <c r="W26" s="15">
        <f t="shared" si="4"/>
        <v>409.272</v>
      </c>
      <c r="X26" s="16"/>
      <c r="Y26" s="9"/>
      <c r="Z26" s="9"/>
    </row>
    <row r="27">
      <c r="A27" t="str">
        <f>IFERROR(__xludf.DUMMYFUNCTION("""COMPUTED_VALUE"""),"Sam Hauser")</f>
        <v>Sam Hauser</v>
      </c>
      <c r="B27" t="str">
        <f t="array" ref="B27">IFERROR(INDEX('Player Raw Data'!E:E,Match($A27,'Player Raw Data'!$B:$B,0)),"")</f>
        <v>PF</v>
      </c>
      <c r="C27" t="str">
        <f t="array" ref="C27">IFERROR(INDEX('Player Raw Data'!C:C,Match($A27,'Player Raw Data'!$B:$B,0)),"")</f>
        <v>29</v>
      </c>
      <c r="D27" t="str">
        <f t="array" ref="D27">IFERROR(IF(A27=A26, INDEX('Player Raw Data'!D:D,Match($A27,'Player Raw Data'!$B:$B,0)+2),INDEX('Player Raw Data'!D:D,Match($A27,'Player Raw Data'!$B:$B,0))),"")</f>
        <v>BOS</v>
      </c>
      <c r="E27" t="str">
        <f t="array" ref="E27">IFERROR(INDEX('Player Raw Data'!F:F,Match($A27,'Player Raw Data'!$B:$B,0)),"")</f>
        <v>1</v>
      </c>
      <c r="F27" t="str">
        <f t="array" ref="F27">IFERROR(INDEX('Player Raw Data'!H:H,Match($A27,'Player Raw Data'!$B:$B,0)),"")</f>
        <v>18</v>
      </c>
      <c r="G27" t="str">
        <f t="array" ref="G27">IFERROR(INDEX('Player Raw Data'!I:I,Match($A27,'Player Raw Data'!$B:$B,0)),"")</f>
        <v>4</v>
      </c>
      <c r="H27" t="str">
        <f t="array" ref="H27">IFERROR(INDEX('Player Raw Data'!J:J,Match($A27,'Player Raw Data'!$B:$B,0)),"")</f>
        <v>7</v>
      </c>
      <c r="I27" t="str">
        <f t="array" ref="I27">IFERROR(INDEX('Player Raw Data'!S:S,Match($A27,'Player Raw Data'!$B:$B,0)),"")</f>
        <v>0</v>
      </c>
      <c r="J27" t="str">
        <f t="array" ref="J27">IFERROR(INDEX('Player Raw Data'!T:T,Match($A27,'Player Raw Data'!$B:$B,0)),"")</f>
        <v>0</v>
      </c>
      <c r="K27" t="str">
        <f t="array" ref="K27">IFERROR(INDEX('Player Raw Data'!X:X,Match($A27,'Player Raw Data'!$B:$B,0)),"")</f>
        <v>4</v>
      </c>
      <c r="L27" t="str">
        <f t="array" ref="L27">IFERROR(INDEX('Player Raw Data'!Y:Y,Match($A27,'Player Raw Data'!$B:$B,0)),"")</f>
        <v>1</v>
      </c>
      <c r="M27" t="str">
        <f t="array" ref="M27">IFERROR(INDEX('Player Raw Data'!Z:Z,Match($A27,'Player Raw Data'!$B:$B,0)),"")</f>
        <v>0</v>
      </c>
      <c r="N27" t="str">
        <f t="array" ref="N27">IFERROR(INDEX('Player Raw Data'!AA:AA,Match($A27,'Player Raw Data'!$B:$B,0)),"")</f>
        <v>0</v>
      </c>
      <c r="O27" t="str">
        <f t="array" ref="O27">IFERROR(INDEX('Player Raw Data'!AB:AB,Match($A27,'Player Raw Data'!$B:$B,0)),"")</f>
        <v>0</v>
      </c>
      <c r="P27" t="str">
        <f t="array" ref="P27">IFERROR(INDEX('Player Raw Data'!AD:AD,Match($A27,'Player Raw Data'!$B:$B,0)),"")</f>
        <v>11</v>
      </c>
      <c r="Q27">
        <f t="shared" si="1"/>
        <v>13</v>
      </c>
      <c r="R27" s="9">
        <f t="shared" si="2"/>
        <v>13</v>
      </c>
      <c r="S27" s="14">
        <f t="shared" si="3"/>
        <v>0.7222222222</v>
      </c>
      <c r="T27" s="15">
        <f>IFERROR(__xludf.DUMMYFUNCTION("IFERROR(PERCENTRANK.INC(FILTER(Q:Q,$F:$F&lt;&gt;""""),Q27)*100,"""")"),64.2)</f>
        <v>64.2</v>
      </c>
      <c r="U27" s="15">
        <f>IFERROR(__xludf.DUMMYFUNCTION("IFERROR(PERCENTRANK.INC(FILTER(R:R,$F:$F&lt;&gt;""""),R27)*100,"""")"),64.2)</f>
        <v>64.2</v>
      </c>
      <c r="V27" s="15">
        <f>IFERROR(__xludf.DUMMYFUNCTION("IFERROR(PERCENTRANK.INC(FILTER(S:S,$F:$F&lt;&gt;""""),S27)*100,"""")"),83.6)</f>
        <v>83.6</v>
      </c>
      <c r="W27" s="15">
        <f t="shared" si="4"/>
        <v>499.912</v>
      </c>
      <c r="X27" s="16"/>
      <c r="Y27" s="9"/>
      <c r="Z27" s="9"/>
    </row>
    <row r="28">
      <c r="A28" t="str">
        <f>IFERROR(__xludf.DUMMYFUNCTION("""COMPUTED_VALUE"""),"Ausar Thompson")</f>
        <v>Ausar Thompson</v>
      </c>
      <c r="B28" t="str">
        <f t="array" ref="B28">IFERROR(INDEX('Player Raw Data'!E:E,Match($A28,'Player Raw Data'!$B:$B,0)),"")</f>
        <v>SF</v>
      </c>
      <c r="C28" t="str">
        <f t="array" ref="C28">IFERROR(INDEX('Player Raw Data'!C:C,Match($A28,'Player Raw Data'!$B:$B,0)),"")</f>
        <v>24</v>
      </c>
      <c r="D28" t="str">
        <f t="array" ref="D28">IFERROR(IF(A28=A27, INDEX('Player Raw Data'!D:D,Match($A28,'Player Raw Data'!$B:$B,0)+2),INDEX('Player Raw Data'!D:D,Match($A28,'Player Raw Data'!$B:$B,0))),"")</f>
        <v>DET</v>
      </c>
      <c r="E28" t="str">
        <f t="array" ref="E28">IFERROR(INDEX('Player Raw Data'!F:F,Match($A28,'Player Raw Data'!$B:$B,0)),"")</f>
        <v>1</v>
      </c>
      <c r="F28" t="str">
        <f t="array" ref="F28">IFERROR(INDEX('Player Raw Data'!H:H,Match($A28,'Player Raw Data'!$B:$B,0)),"")</f>
        <v>33</v>
      </c>
      <c r="G28" t="str">
        <f t="array" ref="G28">IFERROR(INDEX('Player Raw Data'!I:I,Match($A28,'Player Raw Data'!$B:$B,0)),"")</f>
        <v>4</v>
      </c>
      <c r="H28" t="str">
        <f t="array" ref="H28">IFERROR(INDEX('Player Raw Data'!J:J,Match($A28,'Player Raw Data'!$B:$B,0)),"")</f>
        <v>8</v>
      </c>
      <c r="I28" t="str">
        <f t="array" ref="I28">IFERROR(INDEX('Player Raw Data'!S:S,Match($A28,'Player Raw Data'!$B:$B,0)),"")</f>
        <v>3</v>
      </c>
      <c r="J28" t="str">
        <f t="array" ref="J28">IFERROR(INDEX('Player Raw Data'!T:T,Match($A28,'Player Raw Data'!$B:$B,0)),"")</f>
        <v>3</v>
      </c>
      <c r="K28" t="str">
        <f t="array" ref="K28">IFERROR(INDEX('Player Raw Data'!X:X,Match($A28,'Player Raw Data'!$B:$B,0)),"")</f>
        <v>11</v>
      </c>
      <c r="L28" t="str">
        <f t="array" ref="L28">IFERROR(INDEX('Player Raw Data'!Y:Y,Match($A28,'Player Raw Data'!$B:$B,0)),"")</f>
        <v>5</v>
      </c>
      <c r="M28" t="str">
        <f t="array" ref="M28">IFERROR(INDEX('Player Raw Data'!Z:Z,Match($A28,'Player Raw Data'!$B:$B,0)),"")</f>
        <v>1</v>
      </c>
      <c r="N28" t="str">
        <f t="array" ref="N28">IFERROR(INDEX('Player Raw Data'!AA:AA,Match($A28,'Player Raw Data'!$B:$B,0)),"")</f>
        <v>0</v>
      </c>
      <c r="O28" t="str">
        <f t="array" ref="O28">IFERROR(INDEX('Player Raw Data'!AB:AB,Match($A28,'Player Raw Data'!$B:$B,0)),"")</f>
        <v>3</v>
      </c>
      <c r="P28" t="str">
        <f t="array" ref="P28">IFERROR(INDEX('Player Raw Data'!AD:AD,Match($A28,'Player Raw Data'!$B:$B,0)),"")</f>
        <v>11</v>
      </c>
      <c r="Q28">
        <f t="shared" si="1"/>
        <v>21</v>
      </c>
      <c r="R28" s="9">
        <f t="shared" si="2"/>
        <v>21</v>
      </c>
      <c r="S28" s="14">
        <f t="shared" si="3"/>
        <v>0.6363636364</v>
      </c>
      <c r="T28" s="15">
        <f>IFERROR(__xludf.DUMMYFUNCTION("IFERROR(PERCENTRANK.INC(FILTER(Q:Q,$F:$F&lt;&gt;""""),Q28)*100,"""")"),82.1)</f>
        <v>82.1</v>
      </c>
      <c r="U28" s="15">
        <f>IFERROR(__xludf.DUMMYFUNCTION("IFERROR(PERCENTRANK.INC(FILTER(R:R,$F:$F&lt;&gt;""""),R28)*100,"""")"),82.1)</f>
        <v>82.1</v>
      </c>
      <c r="V28" s="15">
        <f>IFERROR(__xludf.DUMMYFUNCTION("IFERROR(PERCENTRANK.INC(FILTER(S:S,$F:$F&lt;&gt;""""),S28)*100,"""")"),71.6)</f>
        <v>71.6</v>
      </c>
      <c r="W28" s="15">
        <f t="shared" si="4"/>
        <v>621.806</v>
      </c>
      <c r="X28" s="16"/>
      <c r="Y28" s="9"/>
      <c r="Z28" s="9"/>
    </row>
    <row r="29">
      <c r="A29" t="str">
        <f>IFERROR(__xludf.DUMMYFUNCTION("""COMPUTED_VALUE"""),"OG Anunoby")</f>
        <v>OG Anunoby</v>
      </c>
      <c r="B29" t="str">
        <f t="array" ref="B29">IFERROR(INDEX('Player Raw Data'!E:E,Match($A29,'Player Raw Data'!$B:$B,0)),"")</f>
        <v>PF</v>
      </c>
      <c r="C29" t="str">
        <f t="array" ref="C29">IFERROR(INDEX('Player Raw Data'!C:C,Match($A29,'Player Raw Data'!$B:$B,0)),"")</f>
        <v>29</v>
      </c>
      <c r="D29" t="str">
        <f t="array" ref="D29">IFERROR(IF(A29=A28, INDEX('Player Raw Data'!D:D,Match($A29,'Player Raw Data'!$B:$B,0)+2),INDEX('Player Raw Data'!D:D,Match($A29,'Player Raw Data'!$B:$B,0))),"")</f>
        <v>NYK</v>
      </c>
      <c r="E29" t="str">
        <f t="array" ref="E29">IFERROR(INDEX('Player Raw Data'!F:F,Match($A29,'Player Raw Data'!$B:$B,0)),"")</f>
        <v>1</v>
      </c>
      <c r="F29" t="str">
        <f t="array" ref="F29">IFERROR(INDEX('Player Raw Data'!H:H,Match($A29,'Player Raw Data'!$B:$B,0)),"")</f>
        <v>32</v>
      </c>
      <c r="G29" t="str">
        <f t="array" ref="G29">IFERROR(INDEX('Player Raw Data'!I:I,Match($A29,'Player Raw Data'!$B:$B,0)),"")</f>
        <v>3</v>
      </c>
      <c r="H29" t="str">
        <f t="array" ref="H29">IFERROR(INDEX('Player Raw Data'!J:J,Match($A29,'Player Raw Data'!$B:$B,0)),"")</f>
        <v>12</v>
      </c>
      <c r="I29" t="str">
        <f t="array" ref="I29">IFERROR(INDEX('Player Raw Data'!S:S,Match($A29,'Player Raw Data'!$B:$B,0)),"")</f>
        <v>3</v>
      </c>
      <c r="J29" t="str">
        <f t="array" ref="J29">IFERROR(INDEX('Player Raw Data'!T:T,Match($A29,'Player Raw Data'!$B:$B,0)),"")</f>
        <v>3</v>
      </c>
      <c r="K29" t="str">
        <f t="array" ref="K29">IFERROR(INDEX('Player Raw Data'!X:X,Match($A29,'Player Raw Data'!$B:$B,0)),"")</f>
        <v>5</v>
      </c>
      <c r="L29" t="str">
        <f t="array" ref="L29">IFERROR(INDEX('Player Raw Data'!Y:Y,Match($A29,'Player Raw Data'!$B:$B,0)),"")</f>
        <v>0</v>
      </c>
      <c r="M29" t="str">
        <f t="array" ref="M29">IFERROR(INDEX('Player Raw Data'!Z:Z,Match($A29,'Player Raw Data'!$B:$B,0)),"")</f>
        <v>1</v>
      </c>
      <c r="N29" t="str">
        <f t="array" ref="N29">IFERROR(INDEX('Player Raw Data'!AA:AA,Match($A29,'Player Raw Data'!$B:$B,0)),"")</f>
        <v>1</v>
      </c>
      <c r="O29" t="str">
        <f t="array" ref="O29">IFERROR(INDEX('Player Raw Data'!AB:AB,Match($A29,'Player Raw Data'!$B:$B,0)),"")</f>
        <v>2</v>
      </c>
      <c r="P29" t="str">
        <f t="array" ref="P29">IFERROR(INDEX('Player Raw Data'!AD:AD,Match($A29,'Player Raw Data'!$B:$B,0)),"")</f>
        <v>10</v>
      </c>
      <c r="Q29">
        <f t="shared" si="1"/>
        <v>6</v>
      </c>
      <c r="R29" s="9">
        <f t="shared" si="2"/>
        <v>6</v>
      </c>
      <c r="S29" s="14">
        <f t="shared" si="3"/>
        <v>0.1875</v>
      </c>
      <c r="T29" s="15">
        <f>IFERROR(__xludf.DUMMYFUNCTION("IFERROR(PERCENTRANK.INC(FILTER(Q:Q,$F:$F&lt;&gt;""""),Q29)*100,"""")"),34.300000000000004)</f>
        <v>34.3</v>
      </c>
      <c r="U29" s="15">
        <f>IFERROR(__xludf.DUMMYFUNCTION("IFERROR(PERCENTRANK.INC(FILTER(R:R,$F:$F&lt;&gt;""""),R29)*100,"""")"),34.300000000000004)</f>
        <v>34.3</v>
      </c>
      <c r="V29" s="15">
        <f>IFERROR(__xludf.DUMMYFUNCTION("IFERROR(PERCENTRANK.INC(FILTER(S:S,$F:$F&lt;&gt;""""),S29)*100,"""")"),13.4)</f>
        <v>13.4</v>
      </c>
      <c r="W29" s="15">
        <f t="shared" si="4"/>
        <v>236.948</v>
      </c>
      <c r="X29" s="16"/>
      <c r="Y29" s="9"/>
      <c r="Z29" s="9"/>
    </row>
    <row r="30">
      <c r="A30" t="str">
        <f>IFERROR(__xludf.DUMMYFUNCTION("""COMPUTED_VALUE"""),"Kentavious Caldwell-Pope")</f>
        <v>Kentavious Caldwell-Pope</v>
      </c>
      <c r="B30" t="str">
        <f t="array" ref="B30">IFERROR(INDEX('Player Raw Data'!E:E,Match($A30,'Player Raw Data'!$B:$B,0)),"")</f>
        <v>SG</v>
      </c>
      <c r="C30" t="str">
        <f t="array" ref="C30">IFERROR(INDEX('Player Raw Data'!C:C,Match($A30,'Player Raw Data'!$B:$B,0)),"")</f>
        <v>33</v>
      </c>
      <c r="D30" t="str">
        <f t="array" ref="D30">IFERROR(IF(A30=A29, INDEX('Player Raw Data'!D:D,Match($A30,'Player Raw Data'!$B:$B,0)+2),INDEX('Player Raw Data'!D:D,Match($A30,'Player Raw Data'!$B:$B,0))),"")</f>
        <v>PHI</v>
      </c>
      <c r="E30" t="str">
        <f t="array" ref="E30">IFERROR(INDEX('Player Raw Data'!F:F,Match($A30,'Player Raw Data'!$B:$B,0)),"")</f>
        <v>1</v>
      </c>
      <c r="F30" t="str">
        <f t="array" ref="F30">IFERROR(INDEX('Player Raw Data'!H:H,Match($A30,'Player Raw Data'!$B:$B,0)),"")</f>
        <v>26</v>
      </c>
      <c r="G30" t="str">
        <f t="array" ref="G30">IFERROR(INDEX('Player Raw Data'!I:I,Match($A30,'Player Raw Data'!$B:$B,0)),"")</f>
        <v>3</v>
      </c>
      <c r="H30" t="str">
        <f t="array" ref="H30">IFERROR(INDEX('Player Raw Data'!J:J,Match($A30,'Player Raw Data'!$B:$B,0)),"")</f>
        <v>8</v>
      </c>
      <c r="I30" t="str">
        <f t="array" ref="I30">IFERROR(INDEX('Player Raw Data'!S:S,Match($A30,'Player Raw Data'!$B:$B,0)),"")</f>
        <v>2</v>
      </c>
      <c r="J30" t="str">
        <f t="array" ref="J30">IFERROR(INDEX('Player Raw Data'!T:T,Match($A30,'Player Raw Data'!$B:$B,0)),"")</f>
        <v>2</v>
      </c>
      <c r="K30" t="str">
        <f t="array" ref="K30">IFERROR(INDEX('Player Raw Data'!X:X,Match($A30,'Player Raw Data'!$B:$B,0)),"")</f>
        <v>4</v>
      </c>
      <c r="L30" t="str">
        <f t="array" ref="L30">IFERROR(INDEX('Player Raw Data'!Y:Y,Match($A30,'Player Raw Data'!$B:$B,0)),"")</f>
        <v>1</v>
      </c>
      <c r="M30" t="str">
        <f t="array" ref="M30">IFERROR(INDEX('Player Raw Data'!Z:Z,Match($A30,'Player Raw Data'!$B:$B,0)),"")</f>
        <v>0</v>
      </c>
      <c r="N30" t="str">
        <f t="array" ref="N30">IFERROR(INDEX('Player Raw Data'!AA:AA,Match($A30,'Player Raw Data'!$B:$B,0)),"")</f>
        <v>1</v>
      </c>
      <c r="O30" t="str">
        <f t="array" ref="O30">IFERROR(INDEX('Player Raw Data'!AB:AB,Match($A30,'Player Raw Data'!$B:$B,0)),"")</f>
        <v>0</v>
      </c>
      <c r="P30" t="str">
        <f t="array" ref="P30">IFERROR(INDEX('Player Raw Data'!AD:AD,Match($A30,'Player Raw Data'!$B:$B,0)),"")</f>
        <v>10</v>
      </c>
      <c r="Q30">
        <f t="shared" si="1"/>
        <v>11</v>
      </c>
      <c r="R30" s="9">
        <f t="shared" si="2"/>
        <v>11</v>
      </c>
      <c r="S30" s="14">
        <f t="shared" si="3"/>
        <v>0.4230769231</v>
      </c>
      <c r="T30" s="15">
        <f>IFERROR(__xludf.DUMMYFUNCTION("IFERROR(PERCENTRANK.INC(FILTER(Q:Q,$F:$F&lt;&gt;""""),Q30)*100,"""")"),55.2)</f>
        <v>55.2</v>
      </c>
      <c r="U30" s="15">
        <f>IFERROR(__xludf.DUMMYFUNCTION("IFERROR(PERCENTRANK.INC(FILTER(R:R,$F:$F&lt;&gt;""""),R30)*100,"""")"),55.2)</f>
        <v>55.2</v>
      </c>
      <c r="V30" s="15">
        <f>IFERROR(__xludf.DUMMYFUNCTION("IFERROR(PERCENTRANK.INC(FILTER(S:S,$F:$F&lt;&gt;""""),S30)*100,"""")"),41.8)</f>
        <v>41.8</v>
      </c>
      <c r="W30" s="15">
        <f t="shared" si="4"/>
        <v>375.722</v>
      </c>
      <c r="X30" s="16"/>
      <c r="Y30" s="9"/>
      <c r="Z30" s="9"/>
    </row>
    <row r="31">
      <c r="A31" t="str">
        <f>IFERROR(__xludf.DUMMYFUNCTION("""COMPUTED_VALUE"""),"Keldon Johnson")</f>
        <v>Keldon Johnson</v>
      </c>
      <c r="B31" t="str">
        <f t="array" ref="B31">IFERROR(INDEX('Player Raw Data'!E:E,Match($A31,'Player Raw Data'!$B:$B,0)),"")</f>
        <v>SF</v>
      </c>
      <c r="C31" t="str">
        <f t="array" ref="C31">IFERROR(INDEX('Player Raw Data'!C:C,Match($A31,'Player Raw Data'!$B:$B,0)),"")</f>
        <v>27</v>
      </c>
      <c r="D31" t="str">
        <f t="array" ref="D31">IFERROR(IF(A31=A30, INDEX('Player Raw Data'!D:D,Match($A31,'Player Raw Data'!$B:$B,0)+2),INDEX('Player Raw Data'!D:D,Match($A31,'Player Raw Data'!$B:$B,0))),"")</f>
        <v>SAS</v>
      </c>
      <c r="E31" t="str">
        <f t="array" ref="E31">IFERROR(INDEX('Player Raw Data'!F:F,Match($A31,'Player Raw Data'!$B:$B,0)),"")</f>
        <v>1</v>
      </c>
      <c r="F31" t="str">
        <f t="array" ref="F31">IFERROR(INDEX('Player Raw Data'!H:H,Match($A31,'Player Raw Data'!$B:$B,0)),"")</f>
        <v>20</v>
      </c>
      <c r="G31" t="str">
        <f t="array" ref="G31">IFERROR(INDEX('Player Raw Data'!I:I,Match($A31,'Player Raw Data'!$B:$B,0)),"")</f>
        <v>4</v>
      </c>
      <c r="H31" t="str">
        <f t="array" ref="H31">IFERROR(INDEX('Player Raw Data'!J:J,Match($A31,'Player Raw Data'!$B:$B,0)),"")</f>
        <v>8</v>
      </c>
      <c r="I31" t="str">
        <f t="array" ref="I31">IFERROR(INDEX('Player Raw Data'!S:S,Match($A31,'Player Raw Data'!$B:$B,0)),"")</f>
        <v>1</v>
      </c>
      <c r="J31" t="str">
        <f t="array" ref="J31">IFERROR(INDEX('Player Raw Data'!T:T,Match($A31,'Player Raw Data'!$B:$B,0)),"")</f>
        <v>1</v>
      </c>
      <c r="K31" t="str">
        <f t="array" ref="K31">IFERROR(INDEX('Player Raw Data'!X:X,Match($A31,'Player Raw Data'!$B:$B,0)),"")</f>
        <v>4</v>
      </c>
      <c r="L31" t="str">
        <f t="array" ref="L31">IFERROR(INDEX('Player Raw Data'!Y:Y,Match($A31,'Player Raw Data'!$B:$B,0)),"")</f>
        <v>1</v>
      </c>
      <c r="M31" t="str">
        <f t="array" ref="M31">IFERROR(INDEX('Player Raw Data'!Z:Z,Match($A31,'Player Raw Data'!$B:$B,0)),"")</f>
        <v>2</v>
      </c>
      <c r="N31" t="str">
        <f t="array" ref="N31">IFERROR(INDEX('Player Raw Data'!AA:AA,Match($A31,'Player Raw Data'!$B:$B,0)),"")</f>
        <v>0</v>
      </c>
      <c r="O31" t="str">
        <f t="array" ref="O31">IFERROR(INDEX('Player Raw Data'!AB:AB,Match($A31,'Player Raw Data'!$B:$B,0)),"")</f>
        <v>2</v>
      </c>
      <c r="P31" t="str">
        <f t="array" ref="P31">IFERROR(INDEX('Player Raw Data'!AD:AD,Match($A31,'Player Raw Data'!$B:$B,0)),"")</f>
        <v>10</v>
      </c>
      <c r="Q31">
        <f t="shared" si="1"/>
        <v>11</v>
      </c>
      <c r="R31" s="9">
        <f t="shared" si="2"/>
        <v>11</v>
      </c>
      <c r="S31" s="14">
        <f t="shared" si="3"/>
        <v>0.55</v>
      </c>
      <c r="T31" s="15">
        <f>IFERROR(__xludf.DUMMYFUNCTION("IFERROR(PERCENTRANK.INC(FILTER(Q:Q,$F:$F&lt;&gt;""""),Q31)*100,"""")"),55.2)</f>
        <v>55.2</v>
      </c>
      <c r="U31" s="15">
        <f>IFERROR(__xludf.DUMMYFUNCTION("IFERROR(PERCENTRANK.INC(FILTER(R:R,$F:$F&lt;&gt;""""),R31)*100,"""")"),55.2)</f>
        <v>55.2</v>
      </c>
      <c r="V31" s="15">
        <f>IFERROR(__xludf.DUMMYFUNCTION("IFERROR(PERCENTRANK.INC(FILTER(S:S,$F:$F&lt;&gt;""""),S31)*100,"""")"),55.2)</f>
        <v>55.2</v>
      </c>
      <c r="W31" s="15">
        <f t="shared" si="4"/>
        <v>424.472</v>
      </c>
      <c r="X31" s="16"/>
      <c r="Y31" s="9"/>
      <c r="Z31" s="9"/>
    </row>
    <row r="32">
      <c r="A32" t="str">
        <f>IFERROR(__xludf.DUMMYFUNCTION("""COMPUTED_VALUE"""),"Alex Caruso")</f>
        <v>Alex Caruso</v>
      </c>
      <c r="B32" t="str">
        <f t="array" ref="B32">IFERROR(INDEX('Player Raw Data'!E:E,Match($A32,'Player Raw Data'!$B:$B,0)),"")</f>
        <v>SG</v>
      </c>
      <c r="C32" t="str">
        <f t="array" ref="C32">IFERROR(INDEX('Player Raw Data'!C:C,Match($A32,'Player Raw Data'!$B:$B,0)),"")</f>
        <v>32</v>
      </c>
      <c r="D32" t="str">
        <f t="array" ref="D32">IFERROR(IF(A32=A31, INDEX('Player Raw Data'!D:D,Match($A32,'Player Raw Data'!$B:$B,0)+2),INDEX('Player Raw Data'!D:D,Match($A32,'Player Raw Data'!$B:$B,0))),"")</f>
        <v>OKC</v>
      </c>
      <c r="E32" t="str">
        <f t="array" ref="E32">IFERROR(INDEX('Player Raw Data'!F:F,Match($A32,'Player Raw Data'!$B:$B,0)),"")</f>
        <v>1</v>
      </c>
      <c r="F32" t="str">
        <f t="array" ref="F32">IFERROR(INDEX('Player Raw Data'!H:H,Match($A32,'Player Raw Data'!$B:$B,0)),"")</f>
        <v>25</v>
      </c>
      <c r="G32" t="str">
        <f t="array" ref="G32">IFERROR(INDEX('Player Raw Data'!I:I,Match($A32,'Player Raw Data'!$B:$B,0)),"")</f>
        <v>3</v>
      </c>
      <c r="H32" t="str">
        <f t="array" ref="H32">IFERROR(INDEX('Player Raw Data'!J:J,Match($A32,'Player Raw Data'!$B:$B,0)),"")</f>
        <v>4</v>
      </c>
      <c r="I32" t="str">
        <f t="array" ref="I32">IFERROR(INDEX('Player Raw Data'!S:S,Match($A32,'Player Raw Data'!$B:$B,0)),"")</f>
        <v>1</v>
      </c>
      <c r="J32" t="str">
        <f t="array" ref="J32">IFERROR(INDEX('Player Raw Data'!T:T,Match($A32,'Player Raw Data'!$B:$B,0)),"")</f>
        <v>2</v>
      </c>
      <c r="K32" t="str">
        <f t="array" ref="K32">IFERROR(INDEX('Player Raw Data'!X:X,Match($A32,'Player Raw Data'!$B:$B,0)),"")</f>
        <v>6</v>
      </c>
      <c r="L32" t="str">
        <f t="array" ref="L32">IFERROR(INDEX('Player Raw Data'!Y:Y,Match($A32,'Player Raw Data'!$B:$B,0)),"")</f>
        <v>1</v>
      </c>
      <c r="M32" t="str">
        <f t="array" ref="M32">IFERROR(INDEX('Player Raw Data'!Z:Z,Match($A32,'Player Raw Data'!$B:$B,0)),"")</f>
        <v>1</v>
      </c>
      <c r="N32" t="str">
        <f t="array" ref="N32">IFERROR(INDEX('Player Raw Data'!AA:AA,Match($A32,'Player Raw Data'!$B:$B,0)),"")</f>
        <v>0</v>
      </c>
      <c r="O32" t="str">
        <f t="array" ref="O32">IFERROR(INDEX('Player Raw Data'!AB:AB,Match($A32,'Player Raw Data'!$B:$B,0)),"")</f>
        <v>0</v>
      </c>
      <c r="P32" t="str">
        <f t="array" ref="P32">IFERROR(INDEX('Player Raw Data'!AD:AD,Match($A32,'Player Raw Data'!$B:$B,0)),"")</f>
        <v>9</v>
      </c>
      <c r="Q32">
        <f t="shared" si="1"/>
        <v>15</v>
      </c>
      <c r="R32" s="9">
        <f t="shared" si="2"/>
        <v>15</v>
      </c>
      <c r="S32" s="14">
        <f t="shared" si="3"/>
        <v>0.6</v>
      </c>
      <c r="T32" s="15">
        <f>IFERROR(__xludf.DUMMYFUNCTION("IFERROR(PERCENTRANK.INC(FILTER(Q:Q,$F:$F&lt;&gt;""""),Q32)*100,"""")"),67.2)</f>
        <v>67.2</v>
      </c>
      <c r="U32" s="15">
        <f>IFERROR(__xludf.DUMMYFUNCTION("IFERROR(PERCENTRANK.INC(FILTER(R:R,$F:$F&lt;&gt;""""),R32)*100,"""")"),67.2)</f>
        <v>67.2</v>
      </c>
      <c r="V32" s="15">
        <f>IFERROR(__xludf.DUMMYFUNCTION("IFERROR(PERCENTRANK.INC(FILTER(S:S,$F:$F&lt;&gt;""""),S32)*100,"""")"),64.2)</f>
        <v>64.2</v>
      </c>
      <c r="W32" s="15">
        <f t="shared" si="4"/>
        <v>474.042</v>
      </c>
      <c r="X32" s="16"/>
      <c r="Y32" s="9"/>
      <c r="Z32" s="9"/>
    </row>
    <row r="33">
      <c r="A33" t="str">
        <f>IFERROR(__xludf.DUMMYFUNCTION("""COMPUTED_VALUE"""),"VJ Edgecombe")</f>
        <v>VJ Edgecombe</v>
      </c>
      <c r="B33" t="str">
        <f t="array" ref="B33">IFERROR(INDEX('Player Raw Data'!E:E,Match($A33,'Player Raw Data'!$B:$B,0)),"")</f>
        <v>SG</v>
      </c>
      <c r="C33" t="str">
        <f t="array" ref="C33">IFERROR(INDEX('Player Raw Data'!C:C,Match($A33,'Player Raw Data'!$B:$B,0)),"")</f>
        <v>21</v>
      </c>
      <c r="D33" t="str">
        <f t="array" ref="D33">IFERROR(IF(A33=A32, INDEX('Player Raw Data'!D:D,Match($A33,'Player Raw Data'!$B:$B,0)+2),INDEX('Player Raw Data'!D:D,Match($A33,'Player Raw Data'!$B:$B,0))),"")</f>
        <v>PHI</v>
      </c>
      <c r="E33" t="str">
        <f t="array" ref="E33">IFERROR(INDEX('Player Raw Data'!F:F,Match($A33,'Player Raw Data'!$B:$B,0)),"")</f>
        <v>1</v>
      </c>
      <c r="F33" t="str">
        <f t="array" ref="F33">IFERROR(INDEX('Player Raw Data'!H:H,Match($A33,'Player Raw Data'!$B:$B,0)),"")</f>
        <v>35</v>
      </c>
      <c r="G33" t="str">
        <f t="array" ref="G33">IFERROR(INDEX('Player Raw Data'!I:I,Match($A33,'Player Raw Data'!$B:$B,0)),"")</f>
        <v>4</v>
      </c>
      <c r="H33" t="str">
        <f t="array" ref="H33">IFERROR(INDEX('Player Raw Data'!J:J,Match($A33,'Player Raw Data'!$B:$B,0)),"")</f>
        <v>10</v>
      </c>
      <c r="I33" t="str">
        <f t="array" ref="I33">IFERROR(INDEX('Player Raw Data'!S:S,Match($A33,'Player Raw Data'!$B:$B,0)),"")</f>
        <v>1</v>
      </c>
      <c r="J33" t="str">
        <f t="array" ref="J33">IFERROR(INDEX('Player Raw Data'!T:T,Match($A33,'Player Raw Data'!$B:$B,0)),"")</f>
        <v>2</v>
      </c>
      <c r="K33" t="str">
        <f t="array" ref="K33">IFERROR(INDEX('Player Raw Data'!X:X,Match($A33,'Player Raw Data'!$B:$B,0)),"")</f>
        <v>4</v>
      </c>
      <c r="L33" t="str">
        <f t="array" ref="L33">IFERROR(INDEX('Player Raw Data'!Y:Y,Match($A33,'Player Raw Data'!$B:$B,0)),"")</f>
        <v>1</v>
      </c>
      <c r="M33" t="str">
        <f t="array" ref="M33">IFERROR(INDEX('Player Raw Data'!Z:Z,Match($A33,'Player Raw Data'!$B:$B,0)),"")</f>
        <v>1</v>
      </c>
      <c r="N33" t="str">
        <f t="array" ref="N33">IFERROR(INDEX('Player Raw Data'!AA:AA,Match($A33,'Player Raw Data'!$B:$B,0)),"")</f>
        <v>0</v>
      </c>
      <c r="O33" t="str">
        <f t="array" ref="O33">IFERROR(INDEX('Player Raw Data'!AB:AB,Match($A33,'Player Raw Data'!$B:$B,0)),"")</f>
        <v>1</v>
      </c>
      <c r="P33" t="str">
        <f t="array" ref="P33">IFERROR(INDEX('Player Raw Data'!AD:AD,Match($A33,'Player Raw Data'!$B:$B,0)),"")</f>
        <v>9</v>
      </c>
      <c r="Q33">
        <f t="shared" si="1"/>
        <v>7</v>
      </c>
      <c r="R33" s="9">
        <f t="shared" si="2"/>
        <v>7</v>
      </c>
      <c r="S33" s="14">
        <f t="shared" si="3"/>
        <v>0.2</v>
      </c>
      <c r="T33" s="15">
        <f>IFERROR(__xludf.DUMMYFUNCTION("IFERROR(PERCENTRANK.INC(FILTER(Q:Q,$F:$F&lt;&gt;""""),Q33)*100,"""")"),38.800000000000004)</f>
        <v>38.8</v>
      </c>
      <c r="U33" s="15">
        <f>IFERROR(__xludf.DUMMYFUNCTION("IFERROR(PERCENTRANK.INC(FILTER(R:R,$F:$F&lt;&gt;""""),R33)*100,"""")"),38.800000000000004)</f>
        <v>38.8</v>
      </c>
      <c r="V33" s="15">
        <f>IFERROR(__xludf.DUMMYFUNCTION("IFERROR(PERCENTRANK.INC(FILTER(S:S,$F:$F&lt;&gt;""""),S33)*100,"""")"),14.899999999999999)</f>
        <v>14.9</v>
      </c>
      <c r="W33" s="15">
        <f t="shared" si="4"/>
        <v>309.993</v>
      </c>
      <c r="X33" s="16"/>
      <c r="Y33" s="9"/>
      <c r="Z33" s="9"/>
    </row>
    <row r="34">
      <c r="A34" t="str">
        <f>IFERROR(__xludf.DUMMYFUNCTION("""COMPUTED_VALUE"""),"Jose Alvarado")</f>
        <v>Jose Alvarado</v>
      </c>
      <c r="B34" t="str">
        <f t="array" ref="B34">IFERROR(INDEX('Player Raw Data'!E:E,Match($A34,'Player Raw Data'!$B:$B,0)),"")</f>
        <v>PG</v>
      </c>
      <c r="C34" t="str">
        <f t="array" ref="C34">IFERROR(INDEX('Player Raw Data'!C:C,Match($A34,'Player Raw Data'!$B:$B,0)),"")</f>
        <v>28</v>
      </c>
      <c r="D34" t="str">
        <f t="array" ref="D34">IFERROR(IF(A34=A33, INDEX('Player Raw Data'!D:D,Match($A34,'Player Raw Data'!$B:$B,0)+2),INDEX('Player Raw Data'!D:D,Match($A34,'Player Raw Data'!$B:$B,0))),"")</f>
        <v>NYK</v>
      </c>
      <c r="E34" t="str">
        <f t="array" ref="E34">IFERROR(INDEX('Player Raw Data'!F:F,Match($A34,'Player Raw Data'!$B:$B,0)),"")</f>
        <v>1</v>
      </c>
      <c r="F34" t="str">
        <f t="array" ref="F34">IFERROR(INDEX('Player Raw Data'!H:H,Match($A34,'Player Raw Data'!$B:$B,0)),"")</f>
        <v>16</v>
      </c>
      <c r="G34" t="str">
        <f t="array" ref="G34">IFERROR(INDEX('Player Raw Data'!I:I,Match($A34,'Player Raw Data'!$B:$B,0)),"")</f>
        <v>3</v>
      </c>
      <c r="H34" t="str">
        <f t="array" ref="H34">IFERROR(INDEX('Player Raw Data'!J:J,Match($A34,'Player Raw Data'!$B:$B,0)),"")</f>
        <v>7</v>
      </c>
      <c r="I34" t="str">
        <f t="array" ref="I34">IFERROR(INDEX('Player Raw Data'!S:S,Match($A34,'Player Raw Data'!$B:$B,0)),"")</f>
        <v>0</v>
      </c>
      <c r="J34" t="str">
        <f t="array" ref="J34">IFERROR(INDEX('Player Raw Data'!T:T,Match($A34,'Player Raw Data'!$B:$B,0)),"")</f>
        <v>0</v>
      </c>
      <c r="K34" t="str">
        <f t="array" ref="K34">IFERROR(INDEX('Player Raw Data'!X:X,Match($A34,'Player Raw Data'!$B:$B,0)),"")</f>
        <v>3</v>
      </c>
      <c r="L34" t="str">
        <f t="array" ref="L34">IFERROR(INDEX('Player Raw Data'!Y:Y,Match($A34,'Player Raw Data'!$B:$B,0)),"")</f>
        <v>3</v>
      </c>
      <c r="M34" t="str">
        <f t="array" ref="M34">IFERROR(INDEX('Player Raw Data'!Z:Z,Match($A34,'Player Raw Data'!$B:$B,0)),"")</f>
        <v>2</v>
      </c>
      <c r="N34" t="str">
        <f t="array" ref="N34">IFERROR(INDEX('Player Raw Data'!AA:AA,Match($A34,'Player Raw Data'!$B:$B,0)),"")</f>
        <v>0</v>
      </c>
      <c r="O34" t="str">
        <f t="array" ref="O34">IFERROR(INDEX('Player Raw Data'!AB:AB,Match($A34,'Player Raw Data'!$B:$B,0)),"")</f>
        <v>1</v>
      </c>
      <c r="P34" t="str">
        <f t="array" ref="P34">IFERROR(INDEX('Player Raw Data'!AD:AD,Match($A34,'Player Raw Data'!$B:$B,0)),"")</f>
        <v>8</v>
      </c>
      <c r="Q34">
        <f t="shared" si="1"/>
        <v>11</v>
      </c>
      <c r="R34" s="9">
        <f t="shared" si="2"/>
        <v>11</v>
      </c>
      <c r="S34" s="14">
        <f t="shared" si="3"/>
        <v>0.6875</v>
      </c>
      <c r="T34" s="15">
        <f>IFERROR(__xludf.DUMMYFUNCTION("IFERROR(PERCENTRANK.INC(FILTER(Q:Q,$F:$F&lt;&gt;""""),Q34)*100,"""")"),55.2)</f>
        <v>55.2</v>
      </c>
      <c r="U34" s="15">
        <f>IFERROR(__xludf.DUMMYFUNCTION("IFERROR(PERCENTRANK.INC(FILTER(R:R,$F:$F&lt;&gt;""""),R34)*100,"""")"),55.2)</f>
        <v>55.2</v>
      </c>
      <c r="V34" s="15">
        <f>IFERROR(__xludf.DUMMYFUNCTION("IFERROR(PERCENTRANK.INC(FILTER(S:S,$F:$F&lt;&gt;""""),S34)*100,"""")"),76.1)</f>
        <v>76.1</v>
      </c>
      <c r="W34" s="15">
        <f t="shared" si="4"/>
        <v>444.197</v>
      </c>
      <c r="X34" s="16"/>
      <c r="Y34" s="9"/>
      <c r="Z34" s="9"/>
    </row>
    <row r="35">
      <c r="A35" t="str">
        <f>IFERROR(__xludf.DUMMYFUNCTION("""COMPUTED_VALUE"""),"Julian Champagnie")</f>
        <v>Julian Champagnie</v>
      </c>
      <c r="B35" t="str">
        <f t="array" ref="B35">IFERROR(INDEX('Player Raw Data'!E:E,Match($A35,'Player Raw Data'!$B:$B,0)),"")</f>
        <v>SF</v>
      </c>
      <c r="C35" t="str">
        <f t="array" ref="C35">IFERROR(INDEX('Player Raw Data'!C:C,Match($A35,'Player Raw Data'!$B:$B,0)),"")</f>
        <v>25</v>
      </c>
      <c r="D35" t="str">
        <f t="array" ref="D35">IFERROR(IF(A35=A34, INDEX('Player Raw Data'!D:D,Match($A35,'Player Raw Data'!$B:$B,0)+2),INDEX('Player Raw Data'!D:D,Match($A35,'Player Raw Data'!$B:$B,0))),"")</f>
        <v>SAS</v>
      </c>
      <c r="E35" t="str">
        <f t="array" ref="E35">IFERROR(INDEX('Player Raw Data'!F:F,Match($A35,'Player Raw Data'!$B:$B,0)),"")</f>
        <v>1</v>
      </c>
      <c r="F35" t="str">
        <f t="array" ref="F35">IFERROR(INDEX('Player Raw Data'!H:H,Match($A35,'Player Raw Data'!$B:$B,0)),"")</f>
        <v>30</v>
      </c>
      <c r="G35" t="str">
        <f t="array" ref="G35">IFERROR(INDEX('Player Raw Data'!I:I,Match($A35,'Player Raw Data'!$B:$B,0)),"")</f>
        <v>3</v>
      </c>
      <c r="H35" t="str">
        <f t="array" ref="H35">IFERROR(INDEX('Player Raw Data'!J:J,Match($A35,'Player Raw Data'!$B:$B,0)),"")</f>
        <v>8</v>
      </c>
      <c r="I35" t="str">
        <f t="array" ref="I35">IFERROR(INDEX('Player Raw Data'!S:S,Match($A35,'Player Raw Data'!$B:$B,0)),"")</f>
        <v>0</v>
      </c>
      <c r="J35" t="str">
        <f t="array" ref="J35">IFERROR(INDEX('Player Raw Data'!T:T,Match($A35,'Player Raw Data'!$B:$B,0)),"")</f>
        <v>0</v>
      </c>
      <c r="K35" t="str">
        <f t="array" ref="K35">IFERROR(INDEX('Player Raw Data'!X:X,Match($A35,'Player Raw Data'!$B:$B,0)),"")</f>
        <v>3</v>
      </c>
      <c r="L35" t="str">
        <f t="array" ref="L35">IFERROR(INDEX('Player Raw Data'!Y:Y,Match($A35,'Player Raw Data'!$B:$B,0)),"")</f>
        <v>1</v>
      </c>
      <c r="M35" t="str">
        <f t="array" ref="M35">IFERROR(INDEX('Player Raw Data'!Z:Z,Match($A35,'Player Raw Data'!$B:$B,0)),"")</f>
        <v>2</v>
      </c>
      <c r="N35" t="str">
        <f t="array" ref="N35">IFERROR(INDEX('Player Raw Data'!AA:AA,Match($A35,'Player Raw Data'!$B:$B,0)),"")</f>
        <v>3</v>
      </c>
      <c r="O35" t="str">
        <f t="array" ref="O35">IFERROR(INDEX('Player Raw Data'!AB:AB,Match($A35,'Player Raw Data'!$B:$B,0)),"")</f>
        <v>0</v>
      </c>
      <c r="P35" t="str">
        <f t="array" ref="P35">IFERROR(INDEX('Player Raw Data'!AD:AD,Match($A35,'Player Raw Data'!$B:$B,0)),"")</f>
        <v>8</v>
      </c>
      <c r="Q35">
        <f t="shared" si="1"/>
        <v>12</v>
      </c>
      <c r="R35" s="9">
        <f t="shared" si="2"/>
        <v>12</v>
      </c>
      <c r="S35" s="14">
        <f t="shared" si="3"/>
        <v>0.4</v>
      </c>
      <c r="T35" s="15">
        <f>IFERROR(__xludf.DUMMYFUNCTION("IFERROR(PERCENTRANK.INC(FILTER(Q:Q,$F:$F&lt;&gt;""""),Q35)*100,"""")"),61.199999999999996)</f>
        <v>61.2</v>
      </c>
      <c r="U35" s="15">
        <f>IFERROR(__xludf.DUMMYFUNCTION("IFERROR(PERCENTRANK.INC(FILTER(R:R,$F:$F&lt;&gt;""""),R35)*100,"""")"),61.199999999999996)</f>
        <v>61.2</v>
      </c>
      <c r="V35" s="15">
        <f>IFERROR(__xludf.DUMMYFUNCTION("IFERROR(PERCENTRANK.INC(FILTER(S:S,$F:$F&lt;&gt;""""),S35)*100,"""")"),35.8)</f>
        <v>35.8</v>
      </c>
      <c r="W35" s="15">
        <f t="shared" si="4"/>
        <v>448.182</v>
      </c>
      <c r="X35" s="16"/>
      <c r="Y35" s="9"/>
      <c r="Z35" s="9"/>
    </row>
    <row r="36">
      <c r="A36" t="str">
        <f>IFERROR(__xludf.DUMMYFUNCTION("""COMPUTED_VALUE"""),"Isaiah Joe")</f>
        <v>Isaiah Joe</v>
      </c>
      <c r="B36" t="str">
        <f t="array" ref="B36">IFERROR(INDEX('Player Raw Data'!E:E,Match($A36,'Player Raw Data'!$B:$B,0)),"")</f>
        <v>SG</v>
      </c>
      <c r="C36" t="str">
        <f t="array" ref="C36">IFERROR(INDEX('Player Raw Data'!C:C,Match($A36,'Player Raw Data'!$B:$B,0)),"")</f>
        <v>27</v>
      </c>
      <c r="D36" t="str">
        <f t="array" ref="D36">IFERROR(IF(A36=A35, INDEX('Player Raw Data'!D:D,Match($A36,'Player Raw Data'!$B:$B,0)+2),INDEX('Player Raw Data'!D:D,Match($A36,'Player Raw Data'!$B:$B,0))),"")</f>
        <v>DET</v>
      </c>
      <c r="E36" t="str">
        <f t="array" ref="E36">IFERROR(INDEX('Player Raw Data'!F:F,Match($A36,'Player Raw Data'!$B:$B,0)),"")</f>
        <v>1</v>
      </c>
      <c r="F36" t="str">
        <f t="array" ref="F36">IFERROR(INDEX('Player Raw Data'!H:H,Match($A36,'Player Raw Data'!$B:$B,0)),"")</f>
        <v>19</v>
      </c>
      <c r="G36" t="str">
        <f t="array" ref="G36">IFERROR(INDEX('Player Raw Data'!I:I,Match($A36,'Player Raw Data'!$B:$B,0)),"")</f>
        <v>2</v>
      </c>
      <c r="H36" t="str">
        <f t="array" ref="H36">IFERROR(INDEX('Player Raw Data'!J:J,Match($A36,'Player Raw Data'!$B:$B,0)),"")</f>
        <v>9</v>
      </c>
      <c r="I36" t="str">
        <f t="array" ref="I36">IFERROR(INDEX('Player Raw Data'!S:S,Match($A36,'Player Raw Data'!$B:$B,0)),"")</f>
        <v>2</v>
      </c>
      <c r="J36" t="str">
        <f t="array" ref="J36">IFERROR(INDEX('Player Raw Data'!T:T,Match($A36,'Player Raw Data'!$B:$B,0)),"")</f>
        <v>3</v>
      </c>
      <c r="K36" t="str">
        <f t="array" ref="K36">IFERROR(INDEX('Player Raw Data'!X:X,Match($A36,'Player Raw Data'!$B:$B,0)),"")</f>
        <v>2</v>
      </c>
      <c r="L36" t="str">
        <f t="array" ref="L36">IFERROR(INDEX('Player Raw Data'!Y:Y,Match($A36,'Player Raw Data'!$B:$B,0)),"")</f>
        <v>2</v>
      </c>
      <c r="M36" t="str">
        <f t="array" ref="M36">IFERROR(INDEX('Player Raw Data'!Z:Z,Match($A36,'Player Raw Data'!$B:$B,0)),"")</f>
        <v>1</v>
      </c>
      <c r="N36" t="str">
        <f t="array" ref="N36">IFERROR(INDEX('Player Raw Data'!AA:AA,Match($A36,'Player Raw Data'!$B:$B,0)),"")</f>
        <v>1</v>
      </c>
      <c r="O36" t="str">
        <f t="array" ref="O36">IFERROR(INDEX('Player Raw Data'!AB:AB,Match($A36,'Player Raw Data'!$B:$B,0)),"")</f>
        <v>1</v>
      </c>
      <c r="P36" t="str">
        <f t="array" ref="P36">IFERROR(INDEX('Player Raw Data'!AD:AD,Match($A36,'Player Raw Data'!$B:$B,0)),"")</f>
        <v>8</v>
      </c>
      <c r="Q36">
        <f t="shared" si="1"/>
        <v>5</v>
      </c>
      <c r="R36" s="9">
        <f t="shared" si="2"/>
        <v>5</v>
      </c>
      <c r="S36" s="14">
        <f t="shared" si="3"/>
        <v>0.2631578947</v>
      </c>
      <c r="T36" s="15">
        <f>IFERROR(__xludf.DUMMYFUNCTION("IFERROR(PERCENTRANK.INC(FILTER(Q:Q,$F:$F&lt;&gt;""""),Q36)*100,"""")"),25.4)</f>
        <v>25.4</v>
      </c>
      <c r="U36" s="15">
        <f>IFERROR(__xludf.DUMMYFUNCTION("IFERROR(PERCENTRANK.INC(FILTER(R:R,$F:$F&lt;&gt;""""),R36)*100,"""")"),25.4)</f>
        <v>25.4</v>
      </c>
      <c r="V36" s="15">
        <f>IFERROR(__xludf.DUMMYFUNCTION("IFERROR(PERCENTRANK.INC(FILTER(S:S,$F:$F&lt;&gt;""""),S36)*100,"""")"),20.9)</f>
        <v>20.9</v>
      </c>
      <c r="W36" s="15">
        <f t="shared" si="4"/>
        <v>206.969</v>
      </c>
      <c r="X36" s="16"/>
      <c r="Y36" s="9"/>
      <c r="Z36" s="9"/>
    </row>
    <row r="37">
      <c r="A37" t="str">
        <f>IFERROR(__xludf.DUMMYFUNCTION("""COMPUTED_VALUE"""),"Baylor Scheierman")</f>
        <v>Baylor Scheierman</v>
      </c>
      <c r="B37" t="str">
        <f t="array" ref="B37">IFERROR(INDEX('Player Raw Data'!E:E,Match($A37,'Player Raw Data'!$B:$B,0)),"")</f>
        <v>SG</v>
      </c>
      <c r="C37" t="str">
        <f t="array" ref="C37">IFERROR(INDEX('Player Raw Data'!C:C,Match($A37,'Player Raw Data'!$B:$B,0)),"")</f>
        <v>26</v>
      </c>
      <c r="D37" t="str">
        <f t="array" ref="D37">IFERROR(IF(A37=A36, INDEX('Player Raw Data'!D:D,Match($A37,'Player Raw Data'!$B:$B,0)+2),INDEX('Player Raw Data'!D:D,Match($A37,'Player Raw Data'!$B:$B,0))),"")</f>
        <v>BOS</v>
      </c>
      <c r="E37" t="str">
        <f t="array" ref="E37">IFERROR(INDEX('Player Raw Data'!F:F,Match($A37,'Player Raw Data'!$B:$B,0)),"")</f>
        <v>1</v>
      </c>
      <c r="F37" t="str">
        <f t="array" ref="F37">IFERROR(INDEX('Player Raw Data'!H:H,Match($A37,'Player Raw Data'!$B:$B,0)),"")</f>
        <v>18</v>
      </c>
      <c r="G37" t="str">
        <f t="array" ref="G37">IFERROR(INDEX('Player Raw Data'!I:I,Match($A37,'Player Raw Data'!$B:$B,0)),"")</f>
        <v>3</v>
      </c>
      <c r="H37" t="str">
        <f t="array" ref="H37">IFERROR(INDEX('Player Raw Data'!J:J,Match($A37,'Player Raw Data'!$B:$B,0)),"")</f>
        <v>4</v>
      </c>
      <c r="I37" t="str">
        <f t="array" ref="I37">IFERROR(INDEX('Player Raw Data'!S:S,Match($A37,'Player Raw Data'!$B:$B,0)),"")</f>
        <v>0</v>
      </c>
      <c r="J37" t="str">
        <f t="array" ref="J37">IFERROR(INDEX('Player Raw Data'!T:T,Match($A37,'Player Raw Data'!$B:$B,0)),"")</f>
        <v>0</v>
      </c>
      <c r="K37" t="str">
        <f t="array" ref="K37">IFERROR(INDEX('Player Raw Data'!X:X,Match($A37,'Player Raw Data'!$B:$B,0)),"")</f>
        <v>3</v>
      </c>
      <c r="L37" t="str">
        <f t="array" ref="L37">IFERROR(INDEX('Player Raw Data'!Y:Y,Match($A37,'Player Raw Data'!$B:$B,0)),"")</f>
        <v>0</v>
      </c>
      <c r="M37" t="str">
        <f t="array" ref="M37">IFERROR(INDEX('Player Raw Data'!Z:Z,Match($A37,'Player Raw Data'!$B:$B,0)),"")</f>
        <v>1</v>
      </c>
      <c r="N37" t="str">
        <f t="array" ref="N37">IFERROR(INDEX('Player Raw Data'!AA:AA,Match($A37,'Player Raw Data'!$B:$B,0)),"")</f>
        <v>0</v>
      </c>
      <c r="O37" t="str">
        <f t="array" ref="O37">IFERROR(INDEX('Player Raw Data'!AB:AB,Match($A37,'Player Raw Data'!$B:$B,0)),"")</f>
        <v>1</v>
      </c>
      <c r="P37" t="str">
        <f t="array" ref="P37">IFERROR(INDEX('Player Raw Data'!AD:AD,Match($A37,'Player Raw Data'!$B:$B,0)),"")</f>
        <v>8</v>
      </c>
      <c r="Q37">
        <f t="shared" si="1"/>
        <v>10</v>
      </c>
      <c r="R37" s="9">
        <f t="shared" si="2"/>
        <v>10</v>
      </c>
      <c r="S37" s="14">
        <f t="shared" si="3"/>
        <v>0.5555555556</v>
      </c>
      <c r="T37" s="15">
        <f>IFERROR(__xludf.DUMMYFUNCTION("IFERROR(PERCENTRANK.INC(FILTER(Q:Q,$F:$F&lt;&gt;""""),Q37)*100,"""")"),50.7)</f>
        <v>50.7</v>
      </c>
      <c r="U37" s="15">
        <f>IFERROR(__xludf.DUMMYFUNCTION("IFERROR(PERCENTRANK.INC(FILTER(R:R,$F:$F&lt;&gt;""""),R37)*100,"""")"),50.7)</f>
        <v>50.7</v>
      </c>
      <c r="V37" s="15">
        <f>IFERROR(__xludf.DUMMYFUNCTION("IFERROR(PERCENTRANK.INC(FILTER(S:S,$F:$F&lt;&gt;""""),S37)*100,"""")"),56.699999999999996)</f>
        <v>56.7</v>
      </c>
      <c r="W37" s="15">
        <f t="shared" si="4"/>
        <v>406.377</v>
      </c>
      <c r="X37" s="16"/>
      <c r="Y37" s="9"/>
      <c r="Z37" s="9"/>
    </row>
    <row r="38">
      <c r="A38" t="str">
        <f>IFERROR(__xludf.DUMMYFUNCTION("""COMPUTED_VALUE"""),"Aday Mara")</f>
        <v>Aday Mara</v>
      </c>
      <c r="B38" t="str">
        <f t="array" ref="B38">IFERROR(INDEX('Player Raw Data'!E:E,Match($A38,'Player Raw Data'!$B:$B,0)),"")</f>
        <v>C</v>
      </c>
      <c r="C38" t="str">
        <f t="array" ref="C38">IFERROR(INDEX('Player Raw Data'!C:C,Match($A38,'Player Raw Data'!$B:$B,0)),"")</f>
        <v>21</v>
      </c>
      <c r="D38" t="str">
        <f t="array" ref="D38">IFERROR(IF(A38=A37, INDEX('Player Raw Data'!D:D,Match($A38,'Player Raw Data'!$B:$B,0)+2),INDEX('Player Raw Data'!D:D,Match($A38,'Player Raw Data'!$B:$B,0))),"")</f>
        <v>OKC</v>
      </c>
      <c r="E38" t="str">
        <f t="array" ref="E38">IFERROR(INDEX('Player Raw Data'!F:F,Match($A38,'Player Raw Data'!$B:$B,0)),"")</f>
        <v>1</v>
      </c>
      <c r="F38" t="str">
        <f t="array" ref="F38">IFERROR(INDEX('Player Raw Data'!H:H,Match($A38,'Player Raw Data'!$B:$B,0)),"")</f>
        <v>12</v>
      </c>
      <c r="G38" t="str">
        <f t="array" ref="G38">IFERROR(INDEX('Player Raw Data'!I:I,Match($A38,'Player Raw Data'!$B:$B,0)),"")</f>
        <v>3</v>
      </c>
      <c r="H38" t="str">
        <f t="array" ref="H38">IFERROR(INDEX('Player Raw Data'!J:J,Match($A38,'Player Raw Data'!$B:$B,0)),"")</f>
        <v>4</v>
      </c>
      <c r="I38" t="str">
        <f t="array" ref="I38">IFERROR(INDEX('Player Raw Data'!S:S,Match($A38,'Player Raw Data'!$B:$B,0)),"")</f>
        <v>1</v>
      </c>
      <c r="J38" t="str">
        <f t="array" ref="J38">IFERROR(INDEX('Player Raw Data'!T:T,Match($A38,'Player Raw Data'!$B:$B,0)),"")</f>
        <v>2</v>
      </c>
      <c r="K38" t="str">
        <f t="array" ref="K38">IFERROR(INDEX('Player Raw Data'!X:X,Match($A38,'Player Raw Data'!$B:$B,0)),"")</f>
        <v>2</v>
      </c>
      <c r="L38" t="str">
        <f t="array" ref="L38">IFERROR(INDEX('Player Raw Data'!Y:Y,Match($A38,'Player Raw Data'!$B:$B,0)),"")</f>
        <v>1</v>
      </c>
      <c r="M38" t="str">
        <f t="array" ref="M38">IFERROR(INDEX('Player Raw Data'!Z:Z,Match($A38,'Player Raw Data'!$B:$B,0)),"")</f>
        <v>0</v>
      </c>
      <c r="N38" t="str">
        <f t="array" ref="N38">IFERROR(INDEX('Player Raw Data'!AA:AA,Match($A38,'Player Raw Data'!$B:$B,0)),"")</f>
        <v>1</v>
      </c>
      <c r="O38" t="str">
        <f t="array" ref="O38">IFERROR(INDEX('Player Raw Data'!AB:AB,Match($A38,'Player Raw Data'!$B:$B,0)),"")</f>
        <v>1</v>
      </c>
      <c r="P38" t="str">
        <f t="array" ref="P38">IFERROR(INDEX('Player Raw Data'!AD:AD,Match($A38,'Player Raw Data'!$B:$B,0)),"")</f>
        <v>7</v>
      </c>
      <c r="Q38">
        <f t="shared" si="1"/>
        <v>8</v>
      </c>
      <c r="R38" s="9">
        <f t="shared" si="2"/>
        <v>8</v>
      </c>
      <c r="S38" s="14">
        <f t="shared" si="3"/>
        <v>0.6666666667</v>
      </c>
      <c r="T38" s="15">
        <f>IFERROR(__xludf.DUMMYFUNCTION("IFERROR(PERCENTRANK.INC(FILTER(Q:Q,$F:$F&lt;&gt;""""),Q38)*100,"""")"),43.3)</f>
        <v>43.3</v>
      </c>
      <c r="U38" s="15">
        <f>IFERROR(__xludf.DUMMYFUNCTION("IFERROR(PERCENTRANK.INC(FILTER(R:R,$F:$F&lt;&gt;""""),R38)*100,"""")"),43.3)</f>
        <v>43.3</v>
      </c>
      <c r="V38" s="15">
        <f>IFERROR(__xludf.DUMMYFUNCTION("IFERROR(PERCENTRANK.INC(FILTER(S:S,$F:$F&lt;&gt;""""),S38)*100,"""")"),73.1)</f>
        <v>73.1</v>
      </c>
      <c r="W38" s="15">
        <f t="shared" si="4"/>
        <v>409.113</v>
      </c>
      <c r="X38" s="16"/>
      <c r="Y38" s="9"/>
      <c r="Z38" s="9"/>
    </row>
    <row r="39">
      <c r="A39" t="str">
        <f>IFERROR(__xludf.DUMMYFUNCTION("""COMPUTED_VALUE"""),"Devin Vassell")</f>
        <v>Devin Vassell</v>
      </c>
      <c r="B39" t="str">
        <f t="array" ref="B39">IFERROR(INDEX('Player Raw Data'!E:E,Match($A39,'Player Raw Data'!$B:$B,0)),"")</f>
        <v>SG</v>
      </c>
      <c r="C39" t="str">
        <f t="array" ref="C39">IFERROR(INDEX('Player Raw Data'!C:C,Match($A39,'Player Raw Data'!$B:$B,0)),"")</f>
        <v>26</v>
      </c>
      <c r="D39" t="str">
        <f t="array" ref="D39">IFERROR(IF(A39=A38, INDEX('Player Raw Data'!D:D,Match($A39,'Player Raw Data'!$B:$B,0)+2),INDEX('Player Raw Data'!D:D,Match($A39,'Player Raw Data'!$B:$B,0))),"")</f>
        <v>SAS</v>
      </c>
      <c r="E39" t="str">
        <f t="array" ref="E39">IFERROR(INDEX('Player Raw Data'!F:F,Match($A39,'Player Raw Data'!$B:$B,0)),"")</f>
        <v>1</v>
      </c>
      <c r="F39" t="str">
        <f t="array" ref="F39">IFERROR(INDEX('Player Raw Data'!H:H,Match($A39,'Player Raw Data'!$B:$B,0)),"")</f>
        <v>31</v>
      </c>
      <c r="G39" t="str">
        <f t="array" ref="G39">IFERROR(INDEX('Player Raw Data'!I:I,Match($A39,'Player Raw Data'!$B:$B,0)),"")</f>
        <v>2</v>
      </c>
      <c r="H39" t="str">
        <f t="array" ref="H39">IFERROR(INDEX('Player Raw Data'!J:J,Match($A39,'Player Raw Data'!$B:$B,0)),"")</f>
        <v>8</v>
      </c>
      <c r="I39" t="str">
        <f t="array" ref="I39">IFERROR(INDEX('Player Raw Data'!S:S,Match($A39,'Player Raw Data'!$B:$B,0)),"")</f>
        <v>2</v>
      </c>
      <c r="J39" t="str">
        <f t="array" ref="J39">IFERROR(INDEX('Player Raw Data'!T:T,Match($A39,'Player Raw Data'!$B:$B,0)),"")</f>
        <v>2</v>
      </c>
      <c r="K39" t="str">
        <f t="array" ref="K39">IFERROR(INDEX('Player Raw Data'!X:X,Match($A39,'Player Raw Data'!$B:$B,0)),"")</f>
        <v>3</v>
      </c>
      <c r="L39" t="str">
        <f t="array" ref="L39">IFERROR(INDEX('Player Raw Data'!Y:Y,Match($A39,'Player Raw Data'!$B:$B,0)),"")</f>
        <v>1</v>
      </c>
      <c r="M39" t="str">
        <f t="array" ref="M39">IFERROR(INDEX('Player Raw Data'!Z:Z,Match($A39,'Player Raw Data'!$B:$B,0)),"")</f>
        <v>0</v>
      </c>
      <c r="N39" t="str">
        <f t="array" ref="N39">IFERROR(INDEX('Player Raw Data'!AA:AA,Match($A39,'Player Raw Data'!$B:$B,0)),"")</f>
        <v>0</v>
      </c>
      <c r="O39" t="str">
        <f t="array" ref="O39">IFERROR(INDEX('Player Raw Data'!AB:AB,Match($A39,'Player Raw Data'!$B:$B,0)),"")</f>
        <v>0</v>
      </c>
      <c r="P39" t="str">
        <f t="array" ref="P39">IFERROR(INDEX('Player Raw Data'!AD:AD,Match($A39,'Player Raw Data'!$B:$B,0)),"")</f>
        <v>7</v>
      </c>
      <c r="Q39">
        <f t="shared" si="1"/>
        <v>5</v>
      </c>
      <c r="R39" s="9">
        <f t="shared" si="2"/>
        <v>5</v>
      </c>
      <c r="S39" s="14">
        <f t="shared" si="3"/>
        <v>0.1612903226</v>
      </c>
      <c r="T39" s="15">
        <f>IFERROR(__xludf.DUMMYFUNCTION("IFERROR(PERCENTRANK.INC(FILTER(Q:Q,$F:$F&lt;&gt;""""),Q39)*100,"""")"),25.4)</f>
        <v>25.4</v>
      </c>
      <c r="U39" s="15">
        <f>IFERROR(__xludf.DUMMYFUNCTION("IFERROR(PERCENTRANK.INC(FILTER(R:R,$F:$F&lt;&gt;""""),R39)*100,"""")"),25.4)</f>
        <v>25.4</v>
      </c>
      <c r="V39" s="15">
        <f>IFERROR(__xludf.DUMMYFUNCTION("IFERROR(PERCENTRANK.INC(FILTER(S:S,$F:$F&lt;&gt;""""),S39)*100,"""")"),11.899999999999999)</f>
        <v>11.9</v>
      </c>
      <c r="W39" s="15">
        <f t="shared" si="4"/>
        <v>202.119</v>
      </c>
      <c r="X39" s="16"/>
      <c r="Y39" s="9"/>
      <c r="Z39" s="9"/>
    </row>
    <row r="40">
      <c r="A40" t="str">
        <f>IFERROR(__xludf.DUMMYFUNCTION("""COMPUTED_VALUE"""),"John Collins")</f>
        <v>John Collins</v>
      </c>
      <c r="B40" t="str">
        <f t="array" ref="B40">IFERROR(INDEX('Player Raw Data'!E:E,Match($A40,'Player Raw Data'!$B:$B,0)),"")</f>
        <v>PF</v>
      </c>
      <c r="C40" t="str">
        <f t="array" ref="C40">IFERROR(INDEX('Player Raw Data'!C:C,Match($A40,'Player Raw Data'!$B:$B,0)),"")</f>
        <v>29</v>
      </c>
      <c r="D40" t="str">
        <f t="array" ref="D40">IFERROR(IF(A40=A39, INDEX('Player Raw Data'!D:D,Match($A40,'Player Raw Data'!$B:$B,0)+2),INDEX('Player Raw Data'!D:D,Match($A40,'Player Raw Data'!$B:$B,0))),"")</f>
        <v>DET</v>
      </c>
      <c r="E40" t="str">
        <f t="array" ref="E40">IFERROR(INDEX('Player Raw Data'!F:F,Match($A40,'Player Raw Data'!$B:$B,0)),"")</f>
        <v>1</v>
      </c>
      <c r="F40" t="str">
        <f t="array" ref="F40">IFERROR(INDEX('Player Raw Data'!H:H,Match($A40,'Player Raw Data'!$B:$B,0)),"")</f>
        <v>25</v>
      </c>
      <c r="G40" t="str">
        <f t="array" ref="G40">IFERROR(INDEX('Player Raw Data'!I:I,Match($A40,'Player Raw Data'!$B:$B,0)),"")</f>
        <v>3</v>
      </c>
      <c r="H40" t="str">
        <f t="array" ref="H40">IFERROR(INDEX('Player Raw Data'!J:J,Match($A40,'Player Raw Data'!$B:$B,0)),"")</f>
        <v>7</v>
      </c>
      <c r="I40" t="str">
        <f t="array" ref="I40">IFERROR(INDEX('Player Raw Data'!S:S,Match($A40,'Player Raw Data'!$B:$B,0)),"")</f>
        <v>0</v>
      </c>
      <c r="J40" t="str">
        <f t="array" ref="J40">IFERROR(INDEX('Player Raw Data'!T:T,Match($A40,'Player Raw Data'!$B:$B,0)),"")</f>
        <v>0</v>
      </c>
      <c r="K40" t="str">
        <f t="array" ref="K40">IFERROR(INDEX('Player Raw Data'!X:X,Match($A40,'Player Raw Data'!$B:$B,0)),"")</f>
        <v>5</v>
      </c>
      <c r="L40" t="str">
        <f t="array" ref="L40">IFERROR(INDEX('Player Raw Data'!Y:Y,Match($A40,'Player Raw Data'!$B:$B,0)),"")</f>
        <v>1</v>
      </c>
      <c r="M40" t="str">
        <f t="array" ref="M40">IFERROR(INDEX('Player Raw Data'!Z:Z,Match($A40,'Player Raw Data'!$B:$B,0)),"")</f>
        <v>1</v>
      </c>
      <c r="N40" t="str">
        <f t="array" ref="N40">IFERROR(INDEX('Player Raw Data'!AA:AA,Match($A40,'Player Raw Data'!$B:$B,0)),"")</f>
        <v>1</v>
      </c>
      <c r="O40" t="str">
        <f t="array" ref="O40">IFERROR(INDEX('Player Raw Data'!AB:AB,Match($A40,'Player Raw Data'!$B:$B,0)),"")</f>
        <v>0</v>
      </c>
      <c r="P40" t="str">
        <f t="array" ref="P40">IFERROR(INDEX('Player Raw Data'!AD:AD,Match($A40,'Player Raw Data'!$B:$B,0)),"")</f>
        <v>6</v>
      </c>
      <c r="Q40">
        <f t="shared" si="1"/>
        <v>10</v>
      </c>
      <c r="R40" s="9">
        <f t="shared" si="2"/>
        <v>10</v>
      </c>
      <c r="S40" s="14">
        <f t="shared" si="3"/>
        <v>0.4</v>
      </c>
      <c r="T40" s="15">
        <f>IFERROR(__xludf.DUMMYFUNCTION("IFERROR(PERCENTRANK.INC(FILTER(Q:Q,$F:$F&lt;&gt;""""),Q40)*100,"""")"),50.7)</f>
        <v>50.7</v>
      </c>
      <c r="U40" s="15">
        <f>IFERROR(__xludf.DUMMYFUNCTION("IFERROR(PERCENTRANK.INC(FILTER(R:R,$F:$F&lt;&gt;""""),R40)*100,"""")"),50.7)</f>
        <v>50.7</v>
      </c>
      <c r="V40" s="15">
        <f>IFERROR(__xludf.DUMMYFUNCTION("IFERROR(PERCENTRANK.INC(FILTER(S:S,$F:$F&lt;&gt;""""),S40)*100,"""")"),35.8)</f>
        <v>35.8</v>
      </c>
      <c r="W40" s="15">
        <f t="shared" si="4"/>
        <v>361.052</v>
      </c>
      <c r="X40" s="16"/>
      <c r="Y40" s="9"/>
      <c r="Z40" s="9"/>
    </row>
    <row r="41">
      <c r="A41" t="str">
        <f>IFERROR(__xludf.DUMMYFUNCTION("""COMPUTED_VALUE"""),"Paul Reed")</f>
        <v>Paul Reed</v>
      </c>
      <c r="B41" t="str">
        <f t="array" ref="B41">IFERROR(INDEX('Player Raw Data'!E:E,Match($A41,'Player Raw Data'!$B:$B,0)),"")</f>
        <v>C</v>
      </c>
      <c r="C41" t="str">
        <f t="array" ref="C41">IFERROR(INDEX('Player Raw Data'!C:C,Match($A41,'Player Raw Data'!$B:$B,0)),"")</f>
        <v>27</v>
      </c>
      <c r="D41" t="str">
        <f t="array" ref="D41">IFERROR(IF(A41=A40, INDEX('Player Raw Data'!D:D,Match($A41,'Player Raw Data'!$B:$B,0)+2),INDEX('Player Raw Data'!D:D,Match($A41,'Player Raw Data'!$B:$B,0))),"")</f>
        <v>DET</v>
      </c>
      <c r="E41" t="str">
        <f t="array" ref="E41">IFERROR(INDEX('Player Raw Data'!F:F,Match($A41,'Player Raw Data'!$B:$B,0)),"")</f>
        <v>1</v>
      </c>
      <c r="F41" t="str">
        <f t="array" ref="F41">IFERROR(INDEX('Player Raw Data'!H:H,Match($A41,'Player Raw Data'!$B:$B,0)),"")</f>
        <v>17</v>
      </c>
      <c r="G41" t="str">
        <f t="array" ref="G41">IFERROR(INDEX('Player Raw Data'!I:I,Match($A41,'Player Raw Data'!$B:$B,0)),"")</f>
        <v>2</v>
      </c>
      <c r="H41" t="str">
        <f t="array" ref="H41">IFERROR(INDEX('Player Raw Data'!J:J,Match($A41,'Player Raw Data'!$B:$B,0)),"")</f>
        <v>3</v>
      </c>
      <c r="I41" t="str">
        <f t="array" ref="I41">IFERROR(INDEX('Player Raw Data'!S:S,Match($A41,'Player Raw Data'!$B:$B,0)),"")</f>
        <v>2</v>
      </c>
      <c r="J41" t="str">
        <f t="array" ref="J41">IFERROR(INDEX('Player Raw Data'!T:T,Match($A41,'Player Raw Data'!$B:$B,0)),"")</f>
        <v>2</v>
      </c>
      <c r="K41" t="str">
        <f t="array" ref="K41">IFERROR(INDEX('Player Raw Data'!X:X,Match($A41,'Player Raw Data'!$B:$B,0)),"")</f>
        <v>6</v>
      </c>
      <c r="L41" t="str">
        <f t="array" ref="L41">IFERROR(INDEX('Player Raw Data'!Y:Y,Match($A41,'Player Raw Data'!$B:$B,0)),"")</f>
        <v>2</v>
      </c>
      <c r="M41" t="str">
        <f t="array" ref="M41">IFERROR(INDEX('Player Raw Data'!Z:Z,Match($A41,'Player Raw Data'!$B:$B,0)),"")</f>
        <v>1</v>
      </c>
      <c r="N41" t="str">
        <f t="array" ref="N41">IFERROR(INDEX('Player Raw Data'!AA:AA,Match($A41,'Player Raw Data'!$B:$B,0)),"")</f>
        <v>0</v>
      </c>
      <c r="O41" t="str">
        <f t="array" ref="O41">IFERROR(INDEX('Player Raw Data'!AB:AB,Match($A41,'Player Raw Data'!$B:$B,0)),"")</f>
        <v>2</v>
      </c>
      <c r="P41" t="str">
        <f t="array" ref="P41">IFERROR(INDEX('Player Raw Data'!AD:AD,Match($A41,'Player Raw Data'!$B:$B,0)),"")</f>
        <v>6</v>
      </c>
      <c r="Q41">
        <f t="shared" si="1"/>
        <v>12</v>
      </c>
      <c r="R41" s="9">
        <f t="shared" si="2"/>
        <v>12</v>
      </c>
      <c r="S41" s="14">
        <f t="shared" si="3"/>
        <v>0.7058823529</v>
      </c>
      <c r="T41" s="15">
        <f>IFERROR(__xludf.DUMMYFUNCTION("IFERROR(PERCENTRANK.INC(FILTER(Q:Q,$F:$F&lt;&gt;""""),Q41)*100,"""")"),61.199999999999996)</f>
        <v>61.2</v>
      </c>
      <c r="U41" s="15">
        <f>IFERROR(__xludf.DUMMYFUNCTION("IFERROR(PERCENTRANK.INC(FILTER(R:R,$F:$F&lt;&gt;""""),R41)*100,"""")"),61.199999999999996)</f>
        <v>61.2</v>
      </c>
      <c r="V41" s="15">
        <f>IFERROR(__xludf.DUMMYFUNCTION("IFERROR(PERCENTRANK.INC(FILTER(S:S,$F:$F&lt;&gt;""""),S41)*100,"""")"),77.60000000000001)</f>
        <v>77.6</v>
      </c>
      <c r="W41" s="15">
        <f t="shared" si="4"/>
        <v>487.632</v>
      </c>
      <c r="X41" s="16"/>
      <c r="Y41" s="9"/>
      <c r="Z41" s="9"/>
    </row>
    <row r="42">
      <c r="A42" t="str">
        <f>IFERROR(__xludf.DUMMYFUNCTION("""COMPUTED_VALUE"""),"Cason Wallace")</f>
        <v>Cason Wallace</v>
      </c>
      <c r="B42" t="str">
        <f t="array" ref="B42">IFERROR(INDEX('Player Raw Data'!E:E,Match($A42,'Player Raw Data'!$B:$B,0)),"")</f>
        <v>SG</v>
      </c>
      <c r="C42" t="str">
        <f t="array" ref="C42">IFERROR(INDEX('Player Raw Data'!C:C,Match($A42,'Player Raw Data'!$B:$B,0)),"")</f>
        <v>23</v>
      </c>
      <c r="D42" t="str">
        <f t="array" ref="D42">IFERROR(IF(A42=A41, INDEX('Player Raw Data'!D:D,Match($A42,'Player Raw Data'!$B:$B,0)+2),INDEX('Player Raw Data'!D:D,Match($A42,'Player Raw Data'!$B:$B,0))),"")</f>
        <v>OKC</v>
      </c>
      <c r="E42" t="str">
        <f t="array" ref="E42">IFERROR(INDEX('Player Raw Data'!F:F,Match($A42,'Player Raw Data'!$B:$B,0)),"")</f>
        <v>1</v>
      </c>
      <c r="F42" t="str">
        <f t="array" ref="F42">IFERROR(INDEX('Player Raw Data'!H:H,Match($A42,'Player Raw Data'!$B:$B,0)),"")</f>
        <v>19</v>
      </c>
      <c r="G42" t="str">
        <f t="array" ref="G42">IFERROR(INDEX('Player Raw Data'!I:I,Match($A42,'Player Raw Data'!$B:$B,0)),"")</f>
        <v>3</v>
      </c>
      <c r="H42" t="str">
        <f t="array" ref="H42">IFERROR(INDEX('Player Raw Data'!J:J,Match($A42,'Player Raw Data'!$B:$B,0)),"")</f>
        <v>8</v>
      </c>
      <c r="I42" t="str">
        <f t="array" ref="I42">IFERROR(INDEX('Player Raw Data'!S:S,Match($A42,'Player Raw Data'!$B:$B,0)),"")</f>
        <v>0</v>
      </c>
      <c r="J42" t="str">
        <f t="array" ref="J42">IFERROR(INDEX('Player Raw Data'!T:T,Match($A42,'Player Raw Data'!$B:$B,0)),"")</f>
        <v>0</v>
      </c>
      <c r="K42" t="str">
        <f t="array" ref="K42">IFERROR(INDEX('Player Raw Data'!X:X,Match($A42,'Player Raw Data'!$B:$B,0)),"")</f>
        <v>3</v>
      </c>
      <c r="L42" t="str">
        <f t="array" ref="L42">IFERROR(INDEX('Player Raw Data'!Y:Y,Match($A42,'Player Raw Data'!$B:$B,0)),"")</f>
        <v>2</v>
      </c>
      <c r="M42" t="str">
        <f t="array" ref="M42">IFERROR(INDEX('Player Raw Data'!Z:Z,Match($A42,'Player Raw Data'!$B:$B,0)),"")</f>
        <v>1</v>
      </c>
      <c r="N42" t="str">
        <f t="array" ref="N42">IFERROR(INDEX('Player Raw Data'!AA:AA,Match($A42,'Player Raw Data'!$B:$B,0)),"")</f>
        <v>0</v>
      </c>
      <c r="O42" t="str">
        <f t="array" ref="O42">IFERROR(INDEX('Player Raw Data'!AB:AB,Match($A42,'Player Raw Data'!$B:$B,0)),"")</f>
        <v>1</v>
      </c>
      <c r="P42" t="str">
        <f t="array" ref="P42">IFERROR(INDEX('Player Raw Data'!AD:AD,Match($A42,'Player Raw Data'!$B:$B,0)),"")</f>
        <v>6</v>
      </c>
      <c r="Q42">
        <f t="shared" si="1"/>
        <v>6</v>
      </c>
      <c r="R42" s="9">
        <f t="shared" si="2"/>
        <v>6</v>
      </c>
      <c r="S42" s="14">
        <f t="shared" si="3"/>
        <v>0.3157894737</v>
      </c>
      <c r="T42" s="15">
        <f>IFERROR(__xludf.DUMMYFUNCTION("IFERROR(PERCENTRANK.INC(FILTER(Q:Q,$F:$F&lt;&gt;""""),Q42)*100,"""")"),34.300000000000004)</f>
        <v>34.3</v>
      </c>
      <c r="U42" s="15">
        <f>IFERROR(__xludf.DUMMYFUNCTION("IFERROR(PERCENTRANK.INC(FILTER(R:R,$F:$F&lt;&gt;""""),R42)*100,"""")"),34.300000000000004)</f>
        <v>34.3</v>
      </c>
      <c r="V42" s="15">
        <f>IFERROR(__xludf.DUMMYFUNCTION("IFERROR(PERCENTRANK.INC(FILTER(S:S,$F:$F&lt;&gt;""""),S42)*100,"""")"),23.9)</f>
        <v>23.9</v>
      </c>
      <c r="W42" s="15">
        <f t="shared" si="4"/>
        <v>288.473</v>
      </c>
      <c r="X42" s="16"/>
      <c r="Y42" s="9"/>
      <c r="Z42" s="9"/>
    </row>
    <row r="43">
      <c r="A43" t="str">
        <f>IFERROR(__xludf.DUMMYFUNCTION("""COMPUTED_VALUE"""),"Landry Shamet")</f>
        <v>Landry Shamet</v>
      </c>
      <c r="B43" t="str">
        <f t="array" ref="B43">IFERROR(INDEX('Player Raw Data'!E:E,Match($A43,'Player Raw Data'!$B:$B,0)),"")</f>
        <v>SG</v>
      </c>
      <c r="C43" t="str">
        <f t="array" ref="C43">IFERROR(INDEX('Player Raw Data'!C:C,Match($A43,'Player Raw Data'!$B:$B,0)),"")</f>
        <v>29</v>
      </c>
      <c r="D43" t="str">
        <f t="array" ref="D43">IFERROR(IF(A43=A42, INDEX('Player Raw Data'!D:D,Match($A43,'Player Raw Data'!$B:$B,0)+2),INDEX('Player Raw Data'!D:D,Match($A43,'Player Raw Data'!$B:$B,0))),"")</f>
        <v>NYK</v>
      </c>
      <c r="E43" t="str">
        <f t="array" ref="E43">IFERROR(INDEX('Player Raw Data'!F:F,Match($A43,'Player Raw Data'!$B:$B,0)),"")</f>
        <v>1</v>
      </c>
      <c r="F43" t="str">
        <f t="array" ref="F43">IFERROR(INDEX('Player Raw Data'!H:H,Match($A43,'Player Raw Data'!$B:$B,0)),"")</f>
        <v>25</v>
      </c>
      <c r="G43" t="str">
        <f t="array" ref="G43">IFERROR(INDEX('Player Raw Data'!I:I,Match($A43,'Player Raw Data'!$B:$B,0)),"")</f>
        <v>2</v>
      </c>
      <c r="H43" t="str">
        <f t="array" ref="H43">IFERROR(INDEX('Player Raw Data'!J:J,Match($A43,'Player Raw Data'!$B:$B,0)),"")</f>
        <v>7</v>
      </c>
      <c r="I43" t="str">
        <f t="array" ref="I43">IFERROR(INDEX('Player Raw Data'!S:S,Match($A43,'Player Raw Data'!$B:$B,0)),"")</f>
        <v>0</v>
      </c>
      <c r="J43" t="str">
        <f t="array" ref="J43">IFERROR(INDEX('Player Raw Data'!T:T,Match($A43,'Player Raw Data'!$B:$B,0)),"")</f>
        <v>2</v>
      </c>
      <c r="K43" t="str">
        <f t="array" ref="K43">IFERROR(INDEX('Player Raw Data'!X:X,Match($A43,'Player Raw Data'!$B:$B,0)),"")</f>
        <v>2</v>
      </c>
      <c r="L43" t="str">
        <f t="array" ref="L43">IFERROR(INDEX('Player Raw Data'!Y:Y,Match($A43,'Player Raw Data'!$B:$B,0)),"")</f>
        <v>4</v>
      </c>
      <c r="M43" t="str">
        <f t="array" ref="M43">IFERROR(INDEX('Player Raw Data'!Z:Z,Match($A43,'Player Raw Data'!$B:$B,0)),"")</f>
        <v>0</v>
      </c>
      <c r="N43" t="str">
        <f t="array" ref="N43">IFERROR(INDEX('Player Raw Data'!AA:AA,Match($A43,'Player Raw Data'!$B:$B,0)),"")</f>
        <v>0</v>
      </c>
      <c r="O43" t="str">
        <f t="array" ref="O43">IFERROR(INDEX('Player Raw Data'!AB:AB,Match($A43,'Player Raw Data'!$B:$B,0)),"")</f>
        <v>2</v>
      </c>
      <c r="P43" t="str">
        <f t="array" ref="P43">IFERROR(INDEX('Player Raw Data'!AD:AD,Match($A43,'Player Raw Data'!$B:$B,0)),"")</f>
        <v>5</v>
      </c>
      <c r="Q43">
        <f t="shared" si="1"/>
        <v>2</v>
      </c>
      <c r="R43" s="9">
        <f t="shared" si="2"/>
        <v>2</v>
      </c>
      <c r="S43" s="14">
        <f t="shared" si="3"/>
        <v>0.08</v>
      </c>
      <c r="T43" s="15">
        <f>IFERROR(__xludf.DUMMYFUNCTION("IFERROR(PERCENTRANK.INC(FILTER(Q:Q,$F:$F&lt;&gt;""""),Q43)*100,"""")"),16.400000000000002)</f>
        <v>16.4</v>
      </c>
      <c r="U43" s="15">
        <f>IFERROR(__xludf.DUMMYFUNCTION("IFERROR(PERCENTRANK.INC(FILTER(R:R,$F:$F&lt;&gt;""""),R43)*100,"""")"),16.400000000000002)</f>
        <v>16.4</v>
      </c>
      <c r="V43" s="15">
        <f>IFERROR(__xludf.DUMMYFUNCTION("IFERROR(PERCENTRANK.INC(FILTER(S:S,$F:$F&lt;&gt;""""),S43)*100,"""")"),7.5)</f>
        <v>7.5</v>
      </c>
      <c r="W43" s="15">
        <f t="shared" si="4"/>
        <v>124.679</v>
      </c>
      <c r="X43" s="16"/>
      <c r="Y43" s="9"/>
      <c r="Z43" s="9"/>
    </row>
    <row r="44">
      <c r="A44" t="str">
        <f>IFERROR(__xludf.DUMMYFUNCTION("""COMPUTED_VALUE"""),"Jaylin Williams")</f>
        <v>Jaylin Williams</v>
      </c>
      <c r="B44" t="str">
        <f t="array" ref="B44">IFERROR(INDEX('Player Raw Data'!E:E,Match($A44,'Player Raw Data'!$B:$B,0)),"")</f>
        <v>PF</v>
      </c>
      <c r="C44" t="str">
        <f t="array" ref="C44">IFERROR(INDEX('Player Raw Data'!C:C,Match($A44,'Player Raw Data'!$B:$B,0)),"")</f>
        <v>24</v>
      </c>
      <c r="D44" t="str">
        <f t="array" ref="D44">IFERROR(IF(A44=A43, INDEX('Player Raw Data'!D:D,Match($A44,'Player Raw Data'!$B:$B,0)+2),INDEX('Player Raw Data'!D:D,Match($A44,'Player Raw Data'!$B:$B,0))),"")</f>
        <v>OKC</v>
      </c>
      <c r="E44" t="str">
        <f t="array" ref="E44">IFERROR(INDEX('Player Raw Data'!F:F,Match($A44,'Player Raw Data'!$B:$B,0)),"")</f>
        <v>1</v>
      </c>
      <c r="F44" t="str">
        <f t="array" ref="F44">IFERROR(INDEX('Player Raw Data'!H:H,Match($A44,'Player Raw Data'!$B:$B,0)),"")</f>
        <v>17</v>
      </c>
      <c r="G44" t="str">
        <f t="array" ref="G44">IFERROR(INDEX('Player Raw Data'!I:I,Match($A44,'Player Raw Data'!$B:$B,0)),"")</f>
        <v>1</v>
      </c>
      <c r="H44" t="str">
        <f t="array" ref="H44">IFERROR(INDEX('Player Raw Data'!J:J,Match($A44,'Player Raw Data'!$B:$B,0)),"")</f>
        <v>6</v>
      </c>
      <c r="I44" t="str">
        <f t="array" ref="I44">IFERROR(INDEX('Player Raw Data'!S:S,Match($A44,'Player Raw Data'!$B:$B,0)),"")</f>
        <v>2</v>
      </c>
      <c r="J44" t="str">
        <f t="array" ref="J44">IFERROR(INDEX('Player Raw Data'!T:T,Match($A44,'Player Raw Data'!$B:$B,0)),"")</f>
        <v>2</v>
      </c>
      <c r="K44" t="str">
        <f t="array" ref="K44">IFERROR(INDEX('Player Raw Data'!X:X,Match($A44,'Player Raw Data'!$B:$B,0)),"")</f>
        <v>4</v>
      </c>
      <c r="L44" t="str">
        <f t="array" ref="L44">IFERROR(INDEX('Player Raw Data'!Y:Y,Match($A44,'Player Raw Data'!$B:$B,0)),"")</f>
        <v>1</v>
      </c>
      <c r="M44" t="str">
        <f t="array" ref="M44">IFERROR(INDEX('Player Raw Data'!Z:Z,Match($A44,'Player Raw Data'!$B:$B,0)),"")</f>
        <v>0</v>
      </c>
      <c r="N44" t="str">
        <f t="array" ref="N44">IFERROR(INDEX('Player Raw Data'!AA:AA,Match($A44,'Player Raw Data'!$B:$B,0)),"")</f>
        <v>0</v>
      </c>
      <c r="O44" t="str">
        <f t="array" ref="O44">IFERROR(INDEX('Player Raw Data'!AB:AB,Match($A44,'Player Raw Data'!$B:$B,0)),"")</f>
        <v>1</v>
      </c>
      <c r="P44" t="str">
        <f t="array" ref="P44">IFERROR(INDEX('Player Raw Data'!AD:AD,Match($A44,'Player Raw Data'!$B:$B,0)),"")</f>
        <v>5</v>
      </c>
      <c r="Q44">
        <f t="shared" si="1"/>
        <v>4</v>
      </c>
      <c r="R44" s="9">
        <f t="shared" si="2"/>
        <v>4</v>
      </c>
      <c r="S44" s="14">
        <f t="shared" si="3"/>
        <v>0.2352941176</v>
      </c>
      <c r="T44" s="15">
        <f>IFERROR(__xludf.DUMMYFUNCTION("IFERROR(PERCENTRANK.INC(FILTER(Q:Q,$F:$F&lt;&gt;""""),Q44)*100,"""")"),20.9)</f>
        <v>20.9</v>
      </c>
      <c r="U44" s="15">
        <f>IFERROR(__xludf.DUMMYFUNCTION("IFERROR(PERCENTRANK.INC(FILTER(R:R,$F:$F&lt;&gt;""""),R44)*100,"""")"),20.9)</f>
        <v>20.9</v>
      </c>
      <c r="V44" s="15">
        <f>IFERROR(__xludf.DUMMYFUNCTION("IFERROR(PERCENTRANK.INC(FILTER(S:S,$F:$F&lt;&gt;""""),S44)*100,"""")"),17.9)</f>
        <v>17.9</v>
      </c>
      <c r="W44" s="15">
        <f t="shared" si="4"/>
        <v>196.049</v>
      </c>
      <c r="X44" s="16"/>
      <c r="Y44" s="9"/>
      <c r="Z44" s="9"/>
    </row>
    <row r="45">
      <c r="A45" t="str">
        <f>IFERROR(__xludf.DUMMYFUNCTION("""COMPUTED_VALUE"""),"Mikal Bridges")</f>
        <v>Mikal Bridges</v>
      </c>
      <c r="B45" t="str">
        <f t="array" ref="B45">IFERROR(INDEX('Player Raw Data'!E:E,Match($A45,'Player Raw Data'!$B:$B,0)),"")</f>
        <v>SF</v>
      </c>
      <c r="C45" t="str">
        <f t="array" ref="C45">IFERROR(INDEX('Player Raw Data'!C:C,Match($A45,'Player Raw Data'!$B:$B,0)),"")</f>
        <v>30</v>
      </c>
      <c r="D45" t="str">
        <f t="array" ref="D45">IFERROR(IF(A45=A44, INDEX('Player Raw Data'!D:D,Match($A45,'Player Raw Data'!$B:$B,0)+2),INDEX('Player Raw Data'!D:D,Match($A45,'Player Raw Data'!$B:$B,0))),"")</f>
        <v>NYK</v>
      </c>
      <c r="E45" t="str">
        <f t="array" ref="E45">IFERROR(INDEX('Player Raw Data'!F:F,Match($A45,'Player Raw Data'!$B:$B,0)),"")</f>
        <v>1</v>
      </c>
      <c r="F45" t="str">
        <f t="array" ref="F45">IFERROR(INDEX('Player Raw Data'!H:H,Match($A45,'Player Raw Data'!$B:$B,0)),"")</f>
        <v>33</v>
      </c>
      <c r="G45" t="str">
        <f t="array" ref="G45">IFERROR(INDEX('Player Raw Data'!I:I,Match($A45,'Player Raw Data'!$B:$B,0)),"")</f>
        <v>2</v>
      </c>
      <c r="H45" t="str">
        <f t="array" ref="H45">IFERROR(INDEX('Player Raw Data'!J:J,Match($A45,'Player Raw Data'!$B:$B,0)),"")</f>
        <v>8</v>
      </c>
      <c r="I45" t="str">
        <f t="array" ref="I45">IFERROR(INDEX('Player Raw Data'!S:S,Match($A45,'Player Raw Data'!$B:$B,0)),"")</f>
        <v>0</v>
      </c>
      <c r="J45" t="str">
        <f t="array" ref="J45">IFERROR(INDEX('Player Raw Data'!T:T,Match($A45,'Player Raw Data'!$B:$B,0)),"")</f>
        <v>0</v>
      </c>
      <c r="K45" t="str">
        <f t="array" ref="K45">IFERROR(INDEX('Player Raw Data'!X:X,Match($A45,'Player Raw Data'!$B:$B,0)),"")</f>
        <v>3</v>
      </c>
      <c r="L45" t="str">
        <f t="array" ref="L45">IFERROR(INDEX('Player Raw Data'!Y:Y,Match($A45,'Player Raw Data'!$B:$B,0)),"")</f>
        <v>1</v>
      </c>
      <c r="M45" t="str">
        <f t="array" ref="M45">IFERROR(INDEX('Player Raw Data'!Z:Z,Match($A45,'Player Raw Data'!$B:$B,0)),"")</f>
        <v>0</v>
      </c>
      <c r="N45" t="str">
        <f t="array" ref="N45">IFERROR(INDEX('Player Raw Data'!AA:AA,Match($A45,'Player Raw Data'!$B:$B,0)),"")</f>
        <v>1</v>
      </c>
      <c r="O45" t="str">
        <f t="array" ref="O45">IFERROR(INDEX('Player Raw Data'!AB:AB,Match($A45,'Player Raw Data'!$B:$B,0)),"")</f>
        <v>0</v>
      </c>
      <c r="P45" t="str">
        <f t="array" ref="P45">IFERROR(INDEX('Player Raw Data'!AD:AD,Match($A45,'Player Raw Data'!$B:$B,0)),"")</f>
        <v>4</v>
      </c>
      <c r="Q45">
        <f t="shared" si="1"/>
        <v>3</v>
      </c>
      <c r="R45" s="9">
        <f t="shared" si="2"/>
        <v>3</v>
      </c>
      <c r="S45" s="14">
        <f t="shared" si="3"/>
        <v>0.09090909091</v>
      </c>
      <c r="T45" s="15">
        <f>IFERROR(__xludf.DUMMYFUNCTION("IFERROR(PERCENTRANK.INC(FILTER(Q:Q,$F:$F&lt;&gt;""""),Q45)*100,"""")"),19.400000000000002)</f>
        <v>19.4</v>
      </c>
      <c r="U45" s="15">
        <f>IFERROR(__xludf.DUMMYFUNCTION("IFERROR(PERCENTRANK.INC(FILTER(R:R,$F:$F&lt;&gt;""""),R45)*100,"""")"),19.400000000000002)</f>
        <v>19.4</v>
      </c>
      <c r="V45" s="15">
        <f>IFERROR(__xludf.DUMMYFUNCTION("IFERROR(PERCENTRANK.INC(FILTER(S:S,$F:$F&lt;&gt;""""),S45)*100,"""")"),9.0)</f>
        <v>9</v>
      </c>
      <c r="W45" s="15">
        <f t="shared" si="4"/>
        <v>137.734</v>
      </c>
      <c r="X45" s="16"/>
      <c r="Y45" s="9"/>
      <c r="Z45" s="9"/>
    </row>
    <row r="46">
      <c r="A46" t="str">
        <f>IFERROR(__xludf.DUMMYFUNCTION("""COMPUTED_VALUE"""),"Jordan Clarkson")</f>
        <v>Jordan Clarkson</v>
      </c>
      <c r="B46" t="str">
        <f t="array" ref="B46">IFERROR(INDEX('Player Raw Data'!E:E,Match($A46,'Player Raw Data'!$B:$B,0)),"")</f>
        <v>SG</v>
      </c>
      <c r="C46" t="str">
        <f t="array" ref="C46">IFERROR(INDEX('Player Raw Data'!C:C,Match($A46,'Player Raw Data'!$B:$B,0)),"")</f>
        <v>34</v>
      </c>
      <c r="D46" t="str">
        <f t="array" ref="D46">IFERROR(IF(A46=A45, INDEX('Player Raw Data'!D:D,Match($A46,'Player Raw Data'!$B:$B,0)+2),INDEX('Player Raw Data'!D:D,Match($A46,'Player Raw Data'!$B:$B,0))),"")</f>
        <v>NYK</v>
      </c>
      <c r="E46" t="str">
        <f t="array" ref="E46">IFERROR(INDEX('Player Raw Data'!F:F,Match($A46,'Player Raw Data'!$B:$B,0)),"")</f>
        <v>1</v>
      </c>
      <c r="F46" t="str">
        <f t="array" ref="F46">IFERROR(INDEX('Player Raw Data'!H:H,Match($A46,'Player Raw Data'!$B:$B,0)),"")</f>
        <v>8</v>
      </c>
      <c r="G46" t="str">
        <f t="array" ref="G46">IFERROR(INDEX('Player Raw Data'!I:I,Match($A46,'Player Raw Data'!$B:$B,0)),"")</f>
        <v>2</v>
      </c>
      <c r="H46" t="str">
        <f t="array" ref="H46">IFERROR(INDEX('Player Raw Data'!J:J,Match($A46,'Player Raw Data'!$B:$B,0)),"")</f>
        <v>4</v>
      </c>
      <c r="I46" t="str">
        <f t="array" ref="I46">IFERROR(INDEX('Player Raw Data'!S:S,Match($A46,'Player Raw Data'!$B:$B,0)),"")</f>
        <v>0</v>
      </c>
      <c r="J46" t="str">
        <f t="array" ref="J46">IFERROR(INDEX('Player Raw Data'!T:T,Match($A46,'Player Raw Data'!$B:$B,0)),"")</f>
        <v>0</v>
      </c>
      <c r="K46" t="str">
        <f t="array" ref="K46">IFERROR(INDEX('Player Raw Data'!X:X,Match($A46,'Player Raw Data'!$B:$B,0)),"")</f>
        <v>1</v>
      </c>
      <c r="L46" t="str">
        <f t="array" ref="L46">IFERROR(INDEX('Player Raw Data'!Y:Y,Match($A46,'Player Raw Data'!$B:$B,0)),"")</f>
        <v>1</v>
      </c>
      <c r="M46" t="str">
        <f t="array" ref="M46">IFERROR(INDEX('Player Raw Data'!Z:Z,Match($A46,'Player Raw Data'!$B:$B,0)),"")</f>
        <v>0</v>
      </c>
      <c r="N46" t="str">
        <f t="array" ref="N46">IFERROR(INDEX('Player Raw Data'!AA:AA,Match($A46,'Player Raw Data'!$B:$B,0)),"")</f>
        <v>0</v>
      </c>
      <c r="O46" t="str">
        <f t="array" ref="O46">IFERROR(INDEX('Player Raw Data'!AB:AB,Match($A46,'Player Raw Data'!$B:$B,0)),"")</f>
        <v>0</v>
      </c>
      <c r="P46" t="str">
        <f t="array" ref="P46">IFERROR(INDEX('Player Raw Data'!AD:AD,Match($A46,'Player Raw Data'!$B:$B,0)),"")</f>
        <v>4</v>
      </c>
      <c r="Q46">
        <f t="shared" si="1"/>
        <v>4</v>
      </c>
      <c r="R46" s="9">
        <f t="shared" si="2"/>
        <v>4</v>
      </c>
      <c r="S46" s="14">
        <f t="shared" si="3"/>
        <v>0.5</v>
      </c>
      <c r="T46" s="15">
        <f>IFERROR(__xludf.DUMMYFUNCTION("IFERROR(PERCENTRANK.INC(FILTER(Q:Q,$F:$F&lt;&gt;""""),Q46)*100,"""")"),20.9)</f>
        <v>20.9</v>
      </c>
      <c r="U46" s="15">
        <f>IFERROR(__xludf.DUMMYFUNCTION("IFERROR(PERCENTRANK.INC(FILTER(R:R,$F:$F&lt;&gt;""""),R46)*100,"""")"),20.9)</f>
        <v>20.9</v>
      </c>
      <c r="V46" s="15">
        <f>IFERROR(__xludf.DUMMYFUNCTION("IFERROR(PERCENTRANK.INC(FILTER(S:S,$F:$F&lt;&gt;""""),S46)*100,"""")"),49.3)</f>
        <v>49.3</v>
      </c>
      <c r="W46" s="15">
        <f t="shared" si="4"/>
        <v>184.099</v>
      </c>
      <c r="X46" s="16"/>
      <c r="Y46" s="9"/>
      <c r="Z46" s="9"/>
    </row>
    <row r="47">
      <c r="A47" t="str">
        <f>IFERROR(__xludf.DUMMYFUNCTION("""COMPUTED_VALUE"""),"Isaiah Hartenstein")</f>
        <v>Isaiah Hartenstein</v>
      </c>
      <c r="B47" t="str">
        <f t="array" ref="B47">IFERROR(INDEX('Player Raw Data'!E:E,Match($A47,'Player Raw Data'!$B:$B,0)),"")</f>
        <v>C</v>
      </c>
      <c r="C47" t="str">
        <f t="array" ref="C47">IFERROR(INDEX('Player Raw Data'!C:C,Match($A47,'Player Raw Data'!$B:$B,0)),"")</f>
        <v>28</v>
      </c>
      <c r="D47" t="str">
        <f t="array" ref="D47">IFERROR(IF(A47=A46, INDEX('Player Raw Data'!D:D,Match($A47,'Player Raw Data'!$B:$B,0)+2),INDEX('Player Raw Data'!D:D,Match($A47,'Player Raw Data'!$B:$B,0))),"")</f>
        <v>OKC</v>
      </c>
      <c r="E47" t="str">
        <f t="array" ref="E47">IFERROR(INDEX('Player Raw Data'!F:F,Match($A47,'Player Raw Data'!$B:$B,0)),"")</f>
        <v>1</v>
      </c>
      <c r="F47" t="str">
        <f t="array" ref="F47">IFERROR(INDEX('Player Raw Data'!H:H,Match($A47,'Player Raw Data'!$B:$B,0)),"")</f>
        <v>17</v>
      </c>
      <c r="G47" t="str">
        <f t="array" ref="G47">IFERROR(INDEX('Player Raw Data'!I:I,Match($A47,'Player Raw Data'!$B:$B,0)),"")</f>
        <v>2</v>
      </c>
      <c r="H47" t="str">
        <f t="array" ref="H47">IFERROR(INDEX('Player Raw Data'!J:J,Match($A47,'Player Raw Data'!$B:$B,0)),"")</f>
        <v>4</v>
      </c>
      <c r="I47" t="str">
        <f t="array" ref="I47">IFERROR(INDEX('Player Raw Data'!S:S,Match($A47,'Player Raw Data'!$B:$B,0)),"")</f>
        <v>0</v>
      </c>
      <c r="J47" t="str">
        <f t="array" ref="J47">IFERROR(INDEX('Player Raw Data'!T:T,Match($A47,'Player Raw Data'!$B:$B,0)),"")</f>
        <v>0</v>
      </c>
      <c r="K47" t="str">
        <f t="array" ref="K47">IFERROR(INDEX('Player Raw Data'!X:X,Match($A47,'Player Raw Data'!$B:$B,0)),"")</f>
        <v>3</v>
      </c>
      <c r="L47" t="str">
        <f t="array" ref="L47">IFERROR(INDEX('Player Raw Data'!Y:Y,Match($A47,'Player Raw Data'!$B:$B,0)),"")</f>
        <v>3</v>
      </c>
      <c r="M47" t="str">
        <f t="array" ref="M47">IFERROR(INDEX('Player Raw Data'!Z:Z,Match($A47,'Player Raw Data'!$B:$B,0)),"")</f>
        <v>1</v>
      </c>
      <c r="N47" t="str">
        <f t="array" ref="N47">IFERROR(INDEX('Player Raw Data'!AA:AA,Match($A47,'Player Raw Data'!$B:$B,0)),"")</f>
        <v>1</v>
      </c>
      <c r="O47" t="str">
        <f t="array" ref="O47">IFERROR(INDEX('Player Raw Data'!AB:AB,Match($A47,'Player Raw Data'!$B:$B,0)),"")</f>
        <v>2</v>
      </c>
      <c r="P47" t="str">
        <f t="array" ref="P47">IFERROR(INDEX('Player Raw Data'!AD:AD,Match($A47,'Player Raw Data'!$B:$B,0)),"")</f>
        <v>4</v>
      </c>
      <c r="Q47">
        <f t="shared" si="1"/>
        <v>8</v>
      </c>
      <c r="R47" s="9">
        <f t="shared" si="2"/>
        <v>8</v>
      </c>
      <c r="S47" s="14">
        <f t="shared" si="3"/>
        <v>0.4705882353</v>
      </c>
      <c r="T47" s="15">
        <f>IFERROR(__xludf.DUMMYFUNCTION("IFERROR(PERCENTRANK.INC(FILTER(Q:Q,$F:$F&lt;&gt;""""),Q47)*100,"""")"),43.3)</f>
        <v>43.3</v>
      </c>
      <c r="U47" s="15">
        <f>IFERROR(__xludf.DUMMYFUNCTION("IFERROR(PERCENTRANK.INC(FILTER(R:R,$F:$F&lt;&gt;""""),R47)*100,"""")"),43.3)</f>
        <v>43.3</v>
      </c>
      <c r="V47" s="15">
        <f>IFERROR(__xludf.DUMMYFUNCTION("IFERROR(PERCENTRANK.INC(FILTER(S:S,$F:$F&lt;&gt;""""),S47)*100,"""")"),46.300000000000004)</f>
        <v>46.3</v>
      </c>
      <c r="W47" s="15">
        <f t="shared" si="4"/>
        <v>337.213</v>
      </c>
      <c r="X47" s="16"/>
      <c r="Y47" s="9"/>
      <c r="Z47" s="9"/>
    </row>
    <row r="48">
      <c r="A48" t="str">
        <f>IFERROR(__xludf.DUMMYFUNCTION("""COMPUTED_VALUE"""),"Luke Kornet")</f>
        <v>Luke Kornet</v>
      </c>
      <c r="B48" t="str">
        <f t="array" ref="B48">IFERROR(INDEX('Player Raw Data'!E:E,Match($A48,'Player Raw Data'!$B:$B,0)),"")</f>
        <v>C</v>
      </c>
      <c r="C48" t="str">
        <f t="array" ref="C48">IFERROR(INDEX('Player Raw Data'!C:C,Match($A48,'Player Raw Data'!$B:$B,0)),"")</f>
        <v>31</v>
      </c>
      <c r="D48" t="str">
        <f t="array" ref="D48">IFERROR(IF(A48=A47, INDEX('Player Raw Data'!D:D,Match($A48,'Player Raw Data'!$B:$B,0)+2),INDEX('Player Raw Data'!D:D,Match($A48,'Player Raw Data'!$B:$B,0))),"")</f>
        <v>SAS</v>
      </c>
      <c r="E48" t="str">
        <f t="array" ref="E48">IFERROR(INDEX('Player Raw Data'!F:F,Match($A48,'Player Raw Data'!$B:$B,0)),"")</f>
        <v>1</v>
      </c>
      <c r="F48" t="str">
        <f t="array" ref="F48">IFERROR(INDEX('Player Raw Data'!H:H,Match($A48,'Player Raw Data'!$B:$B,0)),"")</f>
        <v>13</v>
      </c>
      <c r="G48" t="str">
        <f t="array" ref="G48">IFERROR(INDEX('Player Raw Data'!I:I,Match($A48,'Player Raw Data'!$B:$B,0)),"")</f>
        <v>2</v>
      </c>
      <c r="H48" t="str">
        <f t="array" ref="H48">IFERROR(INDEX('Player Raw Data'!J:J,Match($A48,'Player Raw Data'!$B:$B,0)),"")</f>
        <v>2</v>
      </c>
      <c r="I48" t="str">
        <f t="array" ref="I48">IFERROR(INDEX('Player Raw Data'!S:S,Match($A48,'Player Raw Data'!$B:$B,0)),"")</f>
        <v>0</v>
      </c>
      <c r="J48" t="str">
        <f t="array" ref="J48">IFERROR(INDEX('Player Raw Data'!T:T,Match($A48,'Player Raw Data'!$B:$B,0)),"")</f>
        <v>0</v>
      </c>
      <c r="K48" t="str">
        <f t="array" ref="K48">IFERROR(INDEX('Player Raw Data'!X:X,Match($A48,'Player Raw Data'!$B:$B,0)),"")</f>
        <v>1</v>
      </c>
      <c r="L48" t="str">
        <f t="array" ref="L48">IFERROR(INDEX('Player Raw Data'!Y:Y,Match($A48,'Player Raw Data'!$B:$B,0)),"")</f>
        <v>0</v>
      </c>
      <c r="M48" t="str">
        <f t="array" ref="M48">IFERROR(INDEX('Player Raw Data'!Z:Z,Match($A48,'Player Raw Data'!$B:$B,0)),"")</f>
        <v>0</v>
      </c>
      <c r="N48" t="str">
        <f t="array" ref="N48">IFERROR(INDEX('Player Raw Data'!AA:AA,Match($A48,'Player Raw Data'!$B:$B,0)),"")</f>
        <v>1</v>
      </c>
      <c r="O48" t="str">
        <f t="array" ref="O48">IFERROR(INDEX('Player Raw Data'!AB:AB,Match($A48,'Player Raw Data'!$B:$B,0)),"")</f>
        <v>0</v>
      </c>
      <c r="P48" t="str">
        <f t="array" ref="P48">IFERROR(INDEX('Player Raw Data'!AD:AD,Match($A48,'Player Raw Data'!$B:$B,0)),"")</f>
        <v>4</v>
      </c>
      <c r="Q48">
        <f t="shared" si="1"/>
        <v>6</v>
      </c>
      <c r="R48" s="9">
        <f t="shared" si="2"/>
        <v>6</v>
      </c>
      <c r="S48" s="14">
        <f t="shared" si="3"/>
        <v>0.4615384615</v>
      </c>
      <c r="T48" s="15">
        <f>IFERROR(__xludf.DUMMYFUNCTION("IFERROR(PERCENTRANK.INC(FILTER(Q:Q,$F:$F&lt;&gt;""""),Q48)*100,"""")"),34.300000000000004)</f>
        <v>34.3</v>
      </c>
      <c r="U48" s="15">
        <f>IFERROR(__xludf.DUMMYFUNCTION("IFERROR(PERCENTRANK.INC(FILTER(R:R,$F:$F&lt;&gt;""""),R48)*100,"""")"),34.300000000000004)</f>
        <v>34.3</v>
      </c>
      <c r="V48" s="15">
        <f>IFERROR(__xludf.DUMMYFUNCTION("IFERROR(PERCENTRANK.INC(FILTER(S:S,$F:$F&lt;&gt;""""),S48)*100,"""")"),44.800000000000004)</f>
        <v>44.8</v>
      </c>
      <c r="W48" s="15">
        <f t="shared" si="4"/>
        <v>263.398</v>
      </c>
      <c r="X48" s="16"/>
      <c r="Y48" s="9"/>
      <c r="Z48" s="9"/>
    </row>
    <row r="49">
      <c r="A49" t="str">
        <f>IFERROR(__xludf.DUMMYFUNCTION("""COMPUTED_VALUE"""),"Ajay Mitchell")</f>
        <v>Ajay Mitchell</v>
      </c>
      <c r="B49" t="str">
        <f t="array" ref="B49">IFERROR(INDEX('Player Raw Data'!E:E,Match($A49,'Player Raw Data'!$B:$B,0)),"")</f>
        <v>SG</v>
      </c>
      <c r="C49" t="str">
        <f t="array" ref="C49">IFERROR(INDEX('Player Raw Data'!C:C,Match($A49,'Player Raw Data'!$B:$B,0)),"")</f>
        <v>24</v>
      </c>
      <c r="D49" t="str">
        <f t="array" ref="D49">IFERROR(IF(A49=A48, INDEX('Player Raw Data'!D:D,Match($A49,'Player Raw Data'!$B:$B,0)+2),INDEX('Player Raw Data'!D:D,Match($A49,'Player Raw Data'!$B:$B,0))),"")</f>
        <v>OKC</v>
      </c>
      <c r="E49" t="str">
        <f t="array" ref="E49">IFERROR(INDEX('Player Raw Data'!F:F,Match($A49,'Player Raw Data'!$B:$B,0)),"")</f>
        <v>1</v>
      </c>
      <c r="F49" t="str">
        <f t="array" ref="F49">IFERROR(INDEX('Player Raw Data'!H:H,Match($A49,'Player Raw Data'!$B:$B,0)),"")</f>
        <v>23</v>
      </c>
      <c r="G49" t="str">
        <f t="array" ref="G49">IFERROR(INDEX('Player Raw Data'!I:I,Match($A49,'Player Raw Data'!$B:$B,0)),"")</f>
        <v>2</v>
      </c>
      <c r="H49" t="str">
        <f t="array" ref="H49">IFERROR(INDEX('Player Raw Data'!J:J,Match($A49,'Player Raw Data'!$B:$B,0)),"")</f>
        <v>8</v>
      </c>
      <c r="I49" t="str">
        <f t="array" ref="I49">IFERROR(INDEX('Player Raw Data'!S:S,Match($A49,'Player Raw Data'!$B:$B,0)),"")</f>
        <v>0</v>
      </c>
      <c r="J49" t="str">
        <f t="array" ref="J49">IFERROR(INDEX('Player Raw Data'!T:T,Match($A49,'Player Raw Data'!$B:$B,0)),"")</f>
        <v>0</v>
      </c>
      <c r="K49" t="str">
        <f t="array" ref="K49">IFERROR(INDEX('Player Raw Data'!X:X,Match($A49,'Player Raw Data'!$B:$B,0)),"")</f>
        <v>5</v>
      </c>
      <c r="L49" t="str">
        <f t="array" ref="L49">IFERROR(INDEX('Player Raw Data'!Y:Y,Match($A49,'Player Raw Data'!$B:$B,0)),"")</f>
        <v>6</v>
      </c>
      <c r="M49" t="str">
        <f t="array" ref="M49">IFERROR(INDEX('Player Raw Data'!Z:Z,Match($A49,'Player Raw Data'!$B:$B,0)),"")</f>
        <v>0</v>
      </c>
      <c r="N49" t="str">
        <f t="array" ref="N49">IFERROR(INDEX('Player Raw Data'!AA:AA,Match($A49,'Player Raw Data'!$B:$B,0)),"")</f>
        <v>0</v>
      </c>
      <c r="O49" t="str">
        <f t="array" ref="O49">IFERROR(INDEX('Player Raw Data'!AB:AB,Match($A49,'Player Raw Data'!$B:$B,0)),"")</f>
        <v>1</v>
      </c>
      <c r="P49" t="str">
        <f t="array" ref="P49">IFERROR(INDEX('Player Raw Data'!AD:AD,Match($A49,'Player Raw Data'!$B:$B,0)),"")</f>
        <v>4</v>
      </c>
      <c r="Q49">
        <f t="shared" si="1"/>
        <v>8</v>
      </c>
      <c r="R49" s="9">
        <f t="shared" si="2"/>
        <v>8</v>
      </c>
      <c r="S49" s="14">
        <f t="shared" si="3"/>
        <v>0.347826087</v>
      </c>
      <c r="T49" s="15">
        <f>IFERROR(__xludf.DUMMYFUNCTION("IFERROR(PERCENTRANK.INC(FILTER(Q:Q,$F:$F&lt;&gt;""""),Q49)*100,"""")"),43.3)</f>
        <v>43.3</v>
      </c>
      <c r="U49" s="15">
        <f>IFERROR(__xludf.DUMMYFUNCTION("IFERROR(PERCENTRANK.INC(FILTER(R:R,$F:$F&lt;&gt;""""),R49)*100,"""")"),43.3)</f>
        <v>43.3</v>
      </c>
      <c r="V49" s="15">
        <f>IFERROR(__xludf.DUMMYFUNCTION("IFERROR(PERCENTRANK.INC(FILTER(S:S,$F:$F&lt;&gt;""""),S49)*100,"""")"),29.9)</f>
        <v>29.9</v>
      </c>
      <c r="W49" s="15">
        <f t="shared" si="4"/>
        <v>342.313</v>
      </c>
      <c r="X49" s="16"/>
      <c r="Y49" s="9"/>
      <c r="Z49" s="9"/>
    </row>
    <row r="50">
      <c r="A50" t="str">
        <f>IFERROR(__xludf.DUMMYFUNCTION("""COMPUTED_VALUE"""),"Mitchell Robinson")</f>
        <v>Mitchell Robinson</v>
      </c>
      <c r="B50" t="str">
        <f t="array" ref="B50">IFERROR(INDEX('Player Raw Data'!E:E,Match($A50,'Player Raw Data'!$B:$B,0)),"")</f>
        <v>C</v>
      </c>
      <c r="C50" t="str">
        <f t="array" ref="C50">IFERROR(INDEX('Player Raw Data'!C:C,Match($A50,'Player Raw Data'!$B:$B,0)),"")</f>
        <v>28</v>
      </c>
      <c r="D50" t="str">
        <f t="array" ref="D50">IFERROR(IF(A50=A49, INDEX('Player Raw Data'!D:D,Match($A50,'Player Raw Data'!$B:$B,0)+2),INDEX('Player Raw Data'!D:D,Match($A50,'Player Raw Data'!$B:$B,0))),"")</f>
        <v>BOS</v>
      </c>
      <c r="E50" t="str">
        <f t="array" ref="E50">IFERROR(INDEX('Player Raw Data'!F:F,Match($A50,'Player Raw Data'!$B:$B,0)),"")</f>
        <v>1</v>
      </c>
      <c r="F50" t="str">
        <f t="array" ref="F50">IFERROR(INDEX('Player Raw Data'!H:H,Match($A50,'Player Raw Data'!$B:$B,0)),"")</f>
        <v>18</v>
      </c>
      <c r="G50" t="str">
        <f t="array" ref="G50">IFERROR(INDEX('Player Raw Data'!I:I,Match($A50,'Player Raw Data'!$B:$B,0)),"")</f>
        <v>2</v>
      </c>
      <c r="H50" t="str">
        <f t="array" ref="H50">IFERROR(INDEX('Player Raw Data'!J:J,Match($A50,'Player Raw Data'!$B:$B,0)),"")</f>
        <v>2</v>
      </c>
      <c r="I50" t="str">
        <f t="array" ref="I50">IFERROR(INDEX('Player Raw Data'!S:S,Match($A50,'Player Raw Data'!$B:$B,0)),"")</f>
        <v>0</v>
      </c>
      <c r="J50" t="str">
        <f t="array" ref="J50">IFERROR(INDEX('Player Raw Data'!T:T,Match($A50,'Player Raw Data'!$B:$B,0)),"")</f>
        <v>2</v>
      </c>
      <c r="K50" t="str">
        <f t="array" ref="K50">IFERROR(INDEX('Player Raw Data'!X:X,Match($A50,'Player Raw Data'!$B:$B,0)),"")</f>
        <v>3</v>
      </c>
      <c r="L50" t="str">
        <f t="array" ref="L50">IFERROR(INDEX('Player Raw Data'!Y:Y,Match($A50,'Player Raw Data'!$B:$B,0)),"")</f>
        <v>1</v>
      </c>
      <c r="M50" t="str">
        <f t="array" ref="M50">IFERROR(INDEX('Player Raw Data'!Z:Z,Match($A50,'Player Raw Data'!$B:$B,0)),"")</f>
        <v>1</v>
      </c>
      <c r="N50" t="str">
        <f t="array" ref="N50">IFERROR(INDEX('Player Raw Data'!AA:AA,Match($A50,'Player Raw Data'!$B:$B,0)),"")</f>
        <v>2</v>
      </c>
      <c r="O50" t="str">
        <f t="array" ref="O50">IFERROR(INDEX('Player Raw Data'!AB:AB,Match($A50,'Player Raw Data'!$B:$B,0)),"")</f>
        <v>2</v>
      </c>
      <c r="P50" t="str">
        <f t="array" ref="P50">IFERROR(INDEX('Player Raw Data'!AD:AD,Match($A50,'Player Raw Data'!$B:$B,0)),"")</f>
        <v>4</v>
      </c>
      <c r="Q50">
        <f t="shared" si="1"/>
        <v>7</v>
      </c>
      <c r="R50" s="9">
        <f t="shared" si="2"/>
        <v>7</v>
      </c>
      <c r="S50" s="14">
        <f t="shared" si="3"/>
        <v>0.3888888889</v>
      </c>
      <c r="T50" s="15">
        <f>IFERROR(__xludf.DUMMYFUNCTION("IFERROR(PERCENTRANK.INC(FILTER(Q:Q,$F:$F&lt;&gt;""""),Q50)*100,"""")"),38.800000000000004)</f>
        <v>38.8</v>
      </c>
      <c r="U50" s="15">
        <f>IFERROR(__xludf.DUMMYFUNCTION("IFERROR(PERCENTRANK.INC(FILTER(R:R,$F:$F&lt;&gt;""""),R50)*100,"""")"),38.800000000000004)</f>
        <v>38.8</v>
      </c>
      <c r="V50" s="15">
        <f>IFERROR(__xludf.DUMMYFUNCTION("IFERROR(PERCENTRANK.INC(FILTER(S:S,$F:$F&lt;&gt;""""),S50)*100,"""")"),34.300000000000004)</f>
        <v>34.3</v>
      </c>
      <c r="W50" s="15">
        <f t="shared" si="4"/>
        <v>295.843</v>
      </c>
      <c r="X50" s="16"/>
      <c r="Y50" s="9"/>
      <c r="Z50" s="9"/>
    </row>
    <row r="51">
      <c r="A51" t="str">
        <f>IFERROR(__xludf.DUMMYFUNCTION("""COMPUTED_VALUE"""),"Harrison Barnes")</f>
        <v>Harrison Barnes</v>
      </c>
      <c r="B51" t="str">
        <f t="array" ref="B51">IFERROR(INDEX('Player Raw Data'!E:E,Match($A51,'Player Raw Data'!$B:$B,0)),"")</f>
        <v>PF</v>
      </c>
      <c r="C51" t="str">
        <f t="array" ref="C51">IFERROR(INDEX('Player Raw Data'!C:C,Match($A51,'Player Raw Data'!$B:$B,0)),"")</f>
        <v>34</v>
      </c>
      <c r="D51" t="str">
        <f t="array" ref="D51">IFERROR(IF(A51=A50, INDEX('Player Raw Data'!D:D,Match($A51,'Player Raw Data'!$B:$B,0)+2),INDEX('Player Raw Data'!D:D,Match($A51,'Player Raw Data'!$B:$B,0))),"")</f>
        <v>SAS</v>
      </c>
      <c r="E51" t="str">
        <f t="array" ref="E51">IFERROR(INDEX('Player Raw Data'!F:F,Match($A51,'Player Raw Data'!$B:$B,0)),"")</f>
        <v>1</v>
      </c>
      <c r="F51" t="str">
        <f t="array" ref="F51">IFERROR(INDEX('Player Raw Data'!H:H,Match($A51,'Player Raw Data'!$B:$B,0)),"")</f>
        <v>9</v>
      </c>
      <c r="G51" t="str">
        <f t="array" ref="G51">IFERROR(INDEX('Player Raw Data'!I:I,Match($A51,'Player Raw Data'!$B:$B,0)),"")</f>
        <v>1</v>
      </c>
      <c r="H51" t="str">
        <f t="array" ref="H51">IFERROR(INDEX('Player Raw Data'!J:J,Match($A51,'Player Raw Data'!$B:$B,0)),"")</f>
        <v>1</v>
      </c>
      <c r="I51" t="str">
        <f t="array" ref="I51">IFERROR(INDEX('Player Raw Data'!S:S,Match($A51,'Player Raw Data'!$B:$B,0)),"")</f>
        <v>0</v>
      </c>
      <c r="J51" t="str">
        <f t="array" ref="J51">IFERROR(INDEX('Player Raw Data'!T:T,Match($A51,'Player Raw Data'!$B:$B,0)),"")</f>
        <v>0</v>
      </c>
      <c r="K51" t="str">
        <f t="array" ref="K51">IFERROR(INDEX('Player Raw Data'!X:X,Match($A51,'Player Raw Data'!$B:$B,0)),"")</f>
        <v>0</v>
      </c>
      <c r="L51" t="str">
        <f t="array" ref="L51">IFERROR(INDEX('Player Raw Data'!Y:Y,Match($A51,'Player Raw Data'!$B:$B,0)),"")</f>
        <v>0</v>
      </c>
      <c r="M51" t="str">
        <f t="array" ref="M51">IFERROR(INDEX('Player Raw Data'!Z:Z,Match($A51,'Player Raw Data'!$B:$B,0)),"")</f>
        <v>0</v>
      </c>
      <c r="N51" t="str">
        <f t="array" ref="N51">IFERROR(INDEX('Player Raw Data'!AA:AA,Match($A51,'Player Raw Data'!$B:$B,0)),"")</f>
        <v>1</v>
      </c>
      <c r="O51" t="str">
        <f t="array" ref="O51">IFERROR(INDEX('Player Raw Data'!AB:AB,Match($A51,'Player Raw Data'!$B:$B,0)),"")</f>
        <v>0</v>
      </c>
      <c r="P51" t="str">
        <f t="array" ref="P51">IFERROR(INDEX('Player Raw Data'!AD:AD,Match($A51,'Player Raw Data'!$B:$B,0)),"")</f>
        <v>3</v>
      </c>
      <c r="Q51">
        <f t="shared" si="1"/>
        <v>4</v>
      </c>
      <c r="R51" s="9">
        <f t="shared" si="2"/>
        <v>4</v>
      </c>
      <c r="S51" s="14">
        <f t="shared" si="3"/>
        <v>0.4444444444</v>
      </c>
      <c r="T51" s="15">
        <f>IFERROR(__xludf.DUMMYFUNCTION("IFERROR(PERCENTRANK.INC(FILTER(Q:Q,$F:$F&lt;&gt;""""),Q51)*100,"""")"),20.9)</f>
        <v>20.9</v>
      </c>
      <c r="U51" s="15">
        <f>IFERROR(__xludf.DUMMYFUNCTION("IFERROR(PERCENTRANK.INC(FILTER(R:R,$F:$F&lt;&gt;""""),R51)*100,"""")"),20.9)</f>
        <v>20.9</v>
      </c>
      <c r="V51" s="15">
        <f>IFERROR(__xludf.DUMMYFUNCTION("IFERROR(PERCENTRANK.INC(FILTER(S:S,$F:$F&lt;&gt;""""),S51)*100,"""")"),43.3)</f>
        <v>43.3</v>
      </c>
      <c r="W51" s="15">
        <f t="shared" si="4"/>
        <v>176.599</v>
      </c>
      <c r="X51" s="16"/>
      <c r="Y51" s="9"/>
      <c r="Z51" s="9"/>
    </row>
    <row r="52">
      <c r="A52" t="str">
        <f>IFERROR(__xludf.DUMMYFUNCTION("""COMPUTED_VALUE"""),"Kevin Huerter")</f>
        <v>Kevin Huerter</v>
      </c>
      <c r="B52" t="str">
        <f t="array" ref="B52">IFERROR(INDEX('Player Raw Data'!E:E,Match($A52,'Player Raw Data'!$B:$B,0)),"")</f>
        <v>SG</v>
      </c>
      <c r="C52" t="str">
        <f t="array" ref="C52">IFERROR(INDEX('Player Raw Data'!C:C,Match($A52,'Player Raw Data'!$B:$B,0)),"")</f>
        <v>28</v>
      </c>
      <c r="D52" t="str">
        <f t="array" ref="D52">IFERROR(IF(A52=A51, INDEX('Player Raw Data'!D:D,Match($A52,'Player Raw Data'!$B:$B,0)+2),INDEX('Player Raw Data'!D:D,Match($A52,'Player Raw Data'!$B:$B,0))),"")</f>
        <v>DET</v>
      </c>
      <c r="E52" t="str">
        <f t="array" ref="E52">IFERROR(INDEX('Player Raw Data'!F:F,Match($A52,'Player Raw Data'!$B:$B,0)),"")</f>
        <v>1</v>
      </c>
      <c r="F52" t="str">
        <f t="array" ref="F52">IFERROR(INDEX('Player Raw Data'!H:H,Match($A52,'Player Raw Data'!$B:$B,0)),"")</f>
        <v>18</v>
      </c>
      <c r="G52" t="str">
        <f t="array" ref="G52">IFERROR(INDEX('Player Raw Data'!I:I,Match($A52,'Player Raw Data'!$B:$B,0)),"")</f>
        <v>1</v>
      </c>
      <c r="H52" t="str">
        <f t="array" ref="H52">IFERROR(INDEX('Player Raw Data'!J:J,Match($A52,'Player Raw Data'!$B:$B,0)),"")</f>
        <v>4</v>
      </c>
      <c r="I52" t="str">
        <f t="array" ref="I52">IFERROR(INDEX('Player Raw Data'!S:S,Match($A52,'Player Raw Data'!$B:$B,0)),"")</f>
        <v>0</v>
      </c>
      <c r="J52" t="str">
        <f t="array" ref="J52">IFERROR(INDEX('Player Raw Data'!T:T,Match($A52,'Player Raw Data'!$B:$B,0)),"")</f>
        <v>0</v>
      </c>
      <c r="K52" t="str">
        <f t="array" ref="K52">IFERROR(INDEX('Player Raw Data'!X:X,Match($A52,'Player Raw Data'!$B:$B,0)),"")</f>
        <v>3</v>
      </c>
      <c r="L52" t="str">
        <f t="array" ref="L52">IFERROR(INDEX('Player Raw Data'!Y:Y,Match($A52,'Player Raw Data'!$B:$B,0)),"")</f>
        <v>2</v>
      </c>
      <c r="M52" t="str">
        <f t="array" ref="M52">IFERROR(INDEX('Player Raw Data'!Z:Z,Match($A52,'Player Raw Data'!$B:$B,0)),"")</f>
        <v>0</v>
      </c>
      <c r="N52" t="str">
        <f t="array" ref="N52">IFERROR(INDEX('Player Raw Data'!AA:AA,Match($A52,'Player Raw Data'!$B:$B,0)),"")</f>
        <v>0</v>
      </c>
      <c r="O52" t="str">
        <f t="array" ref="O52">IFERROR(INDEX('Player Raw Data'!AB:AB,Match($A52,'Player Raw Data'!$B:$B,0)),"")</f>
        <v>0</v>
      </c>
      <c r="P52" t="str">
        <f t="array" ref="P52">IFERROR(INDEX('Player Raw Data'!AD:AD,Match($A52,'Player Raw Data'!$B:$B,0)),"")</f>
        <v>3</v>
      </c>
      <c r="Q52">
        <f t="shared" si="1"/>
        <v>5</v>
      </c>
      <c r="R52" s="9">
        <f t="shared" si="2"/>
        <v>5</v>
      </c>
      <c r="S52" s="14">
        <f t="shared" si="3"/>
        <v>0.2777777778</v>
      </c>
      <c r="T52" s="15">
        <f>IFERROR(__xludf.DUMMYFUNCTION("IFERROR(PERCENTRANK.INC(FILTER(Q:Q,$F:$F&lt;&gt;""""),Q52)*100,"""")"),25.4)</f>
        <v>25.4</v>
      </c>
      <c r="U52" s="15">
        <f>IFERROR(__xludf.DUMMYFUNCTION("IFERROR(PERCENTRANK.INC(FILTER(R:R,$F:$F&lt;&gt;""""),R52)*100,"""")"),25.4)</f>
        <v>25.4</v>
      </c>
      <c r="V52" s="15">
        <f>IFERROR(__xludf.DUMMYFUNCTION("IFERROR(PERCENTRANK.INC(FILTER(S:S,$F:$F&lt;&gt;""""),S52)*100,"""")"),22.400000000000002)</f>
        <v>22.4</v>
      </c>
      <c r="W52" s="15">
        <f t="shared" si="4"/>
        <v>202.444</v>
      </c>
      <c r="X52" s="16"/>
      <c r="Y52" s="9"/>
      <c r="Z52" s="9"/>
    </row>
    <row r="53">
      <c r="A53" t="str">
        <f>IFERROR(__xludf.DUMMYFUNCTION("""COMPUTED_VALUE"""),"Daniss Jenkins")</f>
        <v>Daniss Jenkins</v>
      </c>
      <c r="B53" t="str">
        <f t="array" ref="B53">IFERROR(INDEX('Player Raw Data'!E:E,Match($A53,'Player Raw Data'!$B:$B,0)),"")</f>
        <v>PG</v>
      </c>
      <c r="C53" t="str">
        <f t="array" ref="C53">IFERROR(INDEX('Player Raw Data'!C:C,Match($A53,'Player Raw Data'!$B:$B,0)),"")</f>
        <v>25</v>
      </c>
      <c r="D53" t="str">
        <f t="array" ref="D53">IFERROR(IF(A53=A52, INDEX('Player Raw Data'!D:D,Match($A53,'Player Raw Data'!$B:$B,0)+2),INDEX('Player Raw Data'!D:D,Match($A53,'Player Raw Data'!$B:$B,0))),"")</f>
        <v>DET</v>
      </c>
      <c r="E53" t="str">
        <f t="array" ref="E53">IFERROR(INDEX('Player Raw Data'!F:F,Match($A53,'Player Raw Data'!$B:$B,0)),"")</f>
        <v>1</v>
      </c>
      <c r="F53" t="str">
        <f t="array" ref="F53">IFERROR(INDEX('Player Raw Data'!H:H,Match($A53,'Player Raw Data'!$B:$B,0)),"")</f>
        <v>15</v>
      </c>
      <c r="G53" t="str">
        <f t="array" ref="G53">IFERROR(INDEX('Player Raw Data'!I:I,Match($A53,'Player Raw Data'!$B:$B,0)),"")</f>
        <v>1</v>
      </c>
      <c r="H53" t="str">
        <f t="array" ref="H53">IFERROR(INDEX('Player Raw Data'!J:J,Match($A53,'Player Raw Data'!$B:$B,0)),"")</f>
        <v>3</v>
      </c>
      <c r="I53" t="str">
        <f t="array" ref="I53">IFERROR(INDEX('Player Raw Data'!S:S,Match($A53,'Player Raw Data'!$B:$B,0)),"")</f>
        <v>0</v>
      </c>
      <c r="J53" t="str">
        <f t="array" ref="J53">IFERROR(INDEX('Player Raw Data'!T:T,Match($A53,'Player Raw Data'!$B:$B,0)),"")</f>
        <v>0</v>
      </c>
      <c r="K53" t="str">
        <f t="array" ref="K53">IFERROR(INDEX('Player Raw Data'!X:X,Match($A53,'Player Raw Data'!$B:$B,0)),"")</f>
        <v>2</v>
      </c>
      <c r="L53" t="str">
        <f t="array" ref="L53">IFERROR(INDEX('Player Raw Data'!Y:Y,Match($A53,'Player Raw Data'!$B:$B,0)),"")</f>
        <v>3</v>
      </c>
      <c r="M53" t="str">
        <f t="array" ref="M53">IFERROR(INDEX('Player Raw Data'!Z:Z,Match($A53,'Player Raw Data'!$B:$B,0)),"")</f>
        <v>0</v>
      </c>
      <c r="N53" t="str">
        <f t="array" ref="N53">IFERROR(INDEX('Player Raw Data'!AA:AA,Match($A53,'Player Raw Data'!$B:$B,0)),"")</f>
        <v>0</v>
      </c>
      <c r="O53" t="str">
        <f t="array" ref="O53">IFERROR(INDEX('Player Raw Data'!AB:AB,Match($A53,'Player Raw Data'!$B:$B,0)),"")</f>
        <v>1</v>
      </c>
      <c r="P53" t="str">
        <f t="array" ref="P53">IFERROR(INDEX('Player Raw Data'!AD:AD,Match($A53,'Player Raw Data'!$B:$B,0)),"")</f>
        <v>3</v>
      </c>
      <c r="Q53">
        <f t="shared" si="1"/>
        <v>5</v>
      </c>
      <c r="R53" s="9">
        <f t="shared" si="2"/>
        <v>5</v>
      </c>
      <c r="S53" s="14">
        <f t="shared" si="3"/>
        <v>0.3333333333</v>
      </c>
      <c r="T53" s="15">
        <f>IFERROR(__xludf.DUMMYFUNCTION("IFERROR(PERCENTRANK.INC(FILTER(Q:Q,$F:$F&lt;&gt;""""),Q53)*100,"""")"),25.4)</f>
        <v>25.4</v>
      </c>
      <c r="U53" s="15">
        <f>IFERROR(__xludf.DUMMYFUNCTION("IFERROR(PERCENTRANK.INC(FILTER(R:R,$F:$F&lt;&gt;""""),R53)*100,"""")"),25.4)</f>
        <v>25.4</v>
      </c>
      <c r="V53" s="15">
        <f>IFERROR(__xludf.DUMMYFUNCTION("IFERROR(PERCENTRANK.INC(FILTER(S:S,$F:$F&lt;&gt;""""),S53)*100,"""")"),25.4)</f>
        <v>25.4</v>
      </c>
      <c r="W53" s="15">
        <f t="shared" si="4"/>
        <v>225.394</v>
      </c>
      <c r="X53" s="16"/>
      <c r="Y53" s="9"/>
      <c r="Z53" s="9"/>
    </row>
    <row r="54">
      <c r="A54" t="str">
        <f>IFERROR(__xludf.DUMMYFUNCTION("""COMPUTED_VALUE"""),"Miles McBride")</f>
        <v>Miles McBride</v>
      </c>
      <c r="B54" t="str">
        <f t="array" ref="B54">IFERROR(INDEX('Player Raw Data'!E:E,Match($A54,'Player Raw Data'!$B:$B,0)),"")</f>
        <v>PG</v>
      </c>
      <c r="C54" t="str">
        <f t="array" ref="C54">IFERROR(INDEX('Player Raw Data'!C:C,Match($A54,'Player Raw Data'!$B:$B,0)),"")</f>
        <v>26</v>
      </c>
      <c r="D54" t="str">
        <f t="array" ref="D54">IFERROR(IF(A54=A53, INDEX('Player Raw Data'!D:D,Match($A54,'Player Raw Data'!$B:$B,0)+2),INDEX('Player Raw Data'!D:D,Match($A54,'Player Raw Data'!$B:$B,0))),"")</f>
        <v>NYK</v>
      </c>
      <c r="E54" t="str">
        <f t="array" ref="E54">IFERROR(INDEX('Player Raw Data'!F:F,Match($A54,'Player Raw Data'!$B:$B,0)),"")</f>
        <v>1</v>
      </c>
      <c r="F54" t="str">
        <f t="array" ref="F54">IFERROR(INDEX('Player Raw Data'!H:H,Match($A54,'Player Raw Data'!$B:$B,0)),"")</f>
        <v>14</v>
      </c>
      <c r="G54" t="str">
        <f t="array" ref="G54">IFERROR(INDEX('Player Raw Data'!I:I,Match($A54,'Player Raw Data'!$B:$B,0)),"")</f>
        <v>1</v>
      </c>
      <c r="H54" t="str">
        <f t="array" ref="H54">IFERROR(INDEX('Player Raw Data'!J:J,Match($A54,'Player Raw Data'!$B:$B,0)),"")</f>
        <v>5</v>
      </c>
      <c r="I54" t="str">
        <f t="array" ref="I54">IFERROR(INDEX('Player Raw Data'!S:S,Match($A54,'Player Raw Data'!$B:$B,0)),"")</f>
        <v>0</v>
      </c>
      <c r="J54" t="str">
        <f t="array" ref="J54">IFERROR(INDEX('Player Raw Data'!T:T,Match($A54,'Player Raw Data'!$B:$B,0)),"")</f>
        <v>0</v>
      </c>
      <c r="K54" t="str">
        <f t="array" ref="K54">IFERROR(INDEX('Player Raw Data'!X:X,Match($A54,'Player Raw Data'!$B:$B,0)),"")</f>
        <v>1</v>
      </c>
      <c r="L54" t="str">
        <f t="array" ref="L54">IFERROR(INDEX('Player Raw Data'!Y:Y,Match($A54,'Player Raw Data'!$B:$B,0)),"")</f>
        <v>1</v>
      </c>
      <c r="M54" t="str">
        <f t="array" ref="M54">IFERROR(INDEX('Player Raw Data'!Z:Z,Match($A54,'Player Raw Data'!$B:$B,0)),"")</f>
        <v>0</v>
      </c>
      <c r="N54" t="str">
        <f t="array" ref="N54">IFERROR(INDEX('Player Raw Data'!AA:AA,Match($A54,'Player Raw Data'!$B:$B,0)),"")</f>
        <v>1</v>
      </c>
      <c r="O54" t="str">
        <f t="array" ref="O54">IFERROR(INDEX('Player Raw Data'!AB:AB,Match($A54,'Player Raw Data'!$B:$B,0)),"")</f>
        <v>1</v>
      </c>
      <c r="P54" t="str">
        <f t="array" ref="P54">IFERROR(INDEX('Player Raw Data'!AD:AD,Match($A54,'Player Raw Data'!$B:$B,0)),"")</f>
        <v>3</v>
      </c>
      <c r="Q54">
        <f t="shared" si="1"/>
        <v>1</v>
      </c>
      <c r="R54" s="9">
        <f t="shared" si="2"/>
        <v>1</v>
      </c>
      <c r="S54" s="14">
        <f t="shared" si="3"/>
        <v>0.07142857143</v>
      </c>
      <c r="T54" s="15">
        <f>IFERROR(__xludf.DUMMYFUNCTION("IFERROR(PERCENTRANK.INC(FILTER(Q:Q,$F:$F&lt;&gt;""""),Q54)*100,"""")"),6.0)</f>
        <v>6</v>
      </c>
      <c r="U54" s="15">
        <f>IFERROR(__xludf.DUMMYFUNCTION("IFERROR(PERCENTRANK.INC(FILTER(R:R,$F:$F&lt;&gt;""""),R54)*100,"""")"),6.0)</f>
        <v>6</v>
      </c>
      <c r="V54" s="15">
        <f>IFERROR(__xludf.DUMMYFUNCTION("IFERROR(PERCENTRANK.INC(FILTER(S:S,$F:$F&lt;&gt;""""),S54)*100,"""")"),6.0)</f>
        <v>6</v>
      </c>
      <c r="W54" s="15">
        <f t="shared" si="4"/>
        <v>81.06</v>
      </c>
      <c r="X54" s="16"/>
      <c r="Y54" s="9"/>
      <c r="Z54" s="9"/>
    </row>
    <row r="55">
      <c r="A55" t="str">
        <f>IFERROR(__xludf.DUMMYFUNCTION("""COMPUTED_VALUE"""),"Neemias Queta")</f>
        <v>Neemias Queta</v>
      </c>
      <c r="B55" t="str">
        <f t="array" ref="B55">IFERROR(INDEX('Player Raw Data'!E:E,Match($A55,'Player Raw Data'!$B:$B,0)),"")</f>
        <v>C</v>
      </c>
      <c r="C55" t="str">
        <f t="array" ref="C55">IFERROR(INDEX('Player Raw Data'!C:C,Match($A55,'Player Raw Data'!$B:$B,0)),"")</f>
        <v>27</v>
      </c>
      <c r="D55" t="str">
        <f t="array" ref="D55">IFERROR(IF(A55=A54, INDEX('Player Raw Data'!D:D,Match($A55,'Player Raw Data'!$B:$B,0)+2),INDEX('Player Raw Data'!D:D,Match($A55,'Player Raw Data'!$B:$B,0))),"")</f>
        <v>BOS</v>
      </c>
      <c r="E55" t="str">
        <f t="array" ref="E55">IFERROR(INDEX('Player Raw Data'!F:F,Match($A55,'Player Raw Data'!$B:$B,0)),"")</f>
        <v>1</v>
      </c>
      <c r="F55" t="str">
        <f t="array" ref="F55">IFERROR(INDEX('Player Raw Data'!H:H,Match($A55,'Player Raw Data'!$B:$B,0)),"")</f>
        <v>22</v>
      </c>
      <c r="G55" t="str">
        <f t="array" ref="G55">IFERROR(INDEX('Player Raw Data'!I:I,Match($A55,'Player Raw Data'!$B:$B,0)),"")</f>
        <v>1</v>
      </c>
      <c r="H55" t="str">
        <f t="array" ref="H55">IFERROR(INDEX('Player Raw Data'!J:J,Match($A55,'Player Raw Data'!$B:$B,0)),"")</f>
        <v>3</v>
      </c>
      <c r="I55" t="str">
        <f t="array" ref="I55">IFERROR(INDEX('Player Raw Data'!S:S,Match($A55,'Player Raw Data'!$B:$B,0)),"")</f>
        <v>1</v>
      </c>
      <c r="J55" t="str">
        <f t="array" ref="J55">IFERROR(INDEX('Player Raw Data'!T:T,Match($A55,'Player Raw Data'!$B:$B,0)),"")</f>
        <v>2</v>
      </c>
      <c r="K55" t="str">
        <f t="array" ref="K55">IFERROR(INDEX('Player Raw Data'!X:X,Match($A55,'Player Raw Data'!$B:$B,0)),"")</f>
        <v>4</v>
      </c>
      <c r="L55" t="str">
        <f t="array" ref="L55">IFERROR(INDEX('Player Raw Data'!Y:Y,Match($A55,'Player Raw Data'!$B:$B,0)),"")</f>
        <v>2</v>
      </c>
      <c r="M55" t="str">
        <f t="array" ref="M55">IFERROR(INDEX('Player Raw Data'!Z:Z,Match($A55,'Player Raw Data'!$B:$B,0)),"")</f>
        <v>1</v>
      </c>
      <c r="N55" t="str">
        <f t="array" ref="N55">IFERROR(INDEX('Player Raw Data'!AA:AA,Match($A55,'Player Raw Data'!$B:$B,0)),"")</f>
        <v>2</v>
      </c>
      <c r="O55" t="str">
        <f t="array" ref="O55">IFERROR(INDEX('Player Raw Data'!AB:AB,Match($A55,'Player Raw Data'!$B:$B,0)),"")</f>
        <v>1</v>
      </c>
      <c r="P55" t="str">
        <f t="array" ref="P55">IFERROR(INDEX('Player Raw Data'!AD:AD,Match($A55,'Player Raw Data'!$B:$B,0)),"")</f>
        <v>3</v>
      </c>
      <c r="Q55">
        <f t="shared" si="1"/>
        <v>8</v>
      </c>
      <c r="R55" s="9">
        <f t="shared" si="2"/>
        <v>8</v>
      </c>
      <c r="S55" s="14">
        <f t="shared" si="3"/>
        <v>0.3636363636</v>
      </c>
      <c r="T55" s="15">
        <f>IFERROR(__xludf.DUMMYFUNCTION("IFERROR(PERCENTRANK.INC(FILTER(Q:Q,$F:$F&lt;&gt;""""),Q55)*100,"""")"),43.3)</f>
        <v>43.3</v>
      </c>
      <c r="U55" s="15">
        <f>IFERROR(__xludf.DUMMYFUNCTION("IFERROR(PERCENTRANK.INC(FILTER(R:R,$F:$F&lt;&gt;""""),R55)*100,"""")"),43.3)</f>
        <v>43.3</v>
      </c>
      <c r="V55" s="15">
        <f>IFERROR(__xludf.DUMMYFUNCTION("IFERROR(PERCENTRANK.INC(FILTER(S:S,$F:$F&lt;&gt;""""),S55)*100,"""")"),31.3)</f>
        <v>31.3</v>
      </c>
      <c r="W55" s="15">
        <f t="shared" si="4"/>
        <v>324.863</v>
      </c>
      <c r="X55" s="16"/>
      <c r="Y55" s="9"/>
      <c r="Z55" s="9"/>
    </row>
    <row r="56">
      <c r="A56" t="str">
        <f>IFERROR(__xludf.DUMMYFUNCTION("""COMPUTED_VALUE"""),"Kenrich Williams")</f>
        <v>Kenrich Williams</v>
      </c>
      <c r="B56" t="str">
        <f t="array" ref="B56">IFERROR(INDEX('Player Raw Data'!E:E,Match($A56,'Player Raw Data'!$B:$B,0)),"")</f>
        <v>PF</v>
      </c>
      <c r="C56" t="str">
        <f t="array" ref="C56">IFERROR(INDEX('Player Raw Data'!C:C,Match($A56,'Player Raw Data'!$B:$B,0)),"")</f>
        <v>32</v>
      </c>
      <c r="D56" t="str">
        <f t="array" ref="D56">IFERROR(IF(A56=A55, INDEX('Player Raw Data'!D:D,Match($A56,'Player Raw Data'!$B:$B,0)+2),INDEX('Player Raw Data'!D:D,Match($A56,'Player Raw Data'!$B:$B,0))),"")</f>
        <v>OKC</v>
      </c>
      <c r="E56" t="str">
        <f t="array" ref="E56">IFERROR(INDEX('Player Raw Data'!F:F,Match($A56,'Player Raw Data'!$B:$B,0)),"")</f>
        <v>1</v>
      </c>
      <c r="F56" t="str">
        <f t="array" ref="F56">IFERROR(INDEX('Player Raw Data'!H:H,Match($A56,'Player Raw Data'!$B:$B,0)),"")</f>
        <v>7</v>
      </c>
      <c r="G56" t="str">
        <f t="array" ref="G56">IFERROR(INDEX('Player Raw Data'!I:I,Match($A56,'Player Raw Data'!$B:$B,0)),"")</f>
        <v>1</v>
      </c>
      <c r="H56" t="str">
        <f t="array" ref="H56">IFERROR(INDEX('Player Raw Data'!J:J,Match($A56,'Player Raw Data'!$B:$B,0)),"")</f>
        <v>1</v>
      </c>
      <c r="I56" t="str">
        <f t="array" ref="I56">IFERROR(INDEX('Player Raw Data'!S:S,Match($A56,'Player Raw Data'!$B:$B,0)),"")</f>
        <v>0</v>
      </c>
      <c r="J56" t="str">
        <f t="array" ref="J56">IFERROR(INDEX('Player Raw Data'!T:T,Match($A56,'Player Raw Data'!$B:$B,0)),"")</f>
        <v>0</v>
      </c>
      <c r="K56" t="str">
        <f t="array" ref="K56">IFERROR(INDEX('Player Raw Data'!X:X,Match($A56,'Player Raw Data'!$B:$B,0)),"")</f>
        <v>2</v>
      </c>
      <c r="L56" t="str">
        <f t="array" ref="L56">IFERROR(INDEX('Player Raw Data'!Y:Y,Match($A56,'Player Raw Data'!$B:$B,0)),"")</f>
        <v>0</v>
      </c>
      <c r="M56" t="str">
        <f t="array" ref="M56">IFERROR(INDEX('Player Raw Data'!Z:Z,Match($A56,'Player Raw Data'!$B:$B,0)),"")</f>
        <v>0</v>
      </c>
      <c r="N56" t="str">
        <f t="array" ref="N56">IFERROR(INDEX('Player Raw Data'!AA:AA,Match($A56,'Player Raw Data'!$B:$B,0)),"")</f>
        <v>0</v>
      </c>
      <c r="O56" t="str">
        <f t="array" ref="O56">IFERROR(INDEX('Player Raw Data'!AB:AB,Match($A56,'Player Raw Data'!$B:$B,0)),"")</f>
        <v>0</v>
      </c>
      <c r="P56" t="str">
        <f t="array" ref="P56">IFERROR(INDEX('Player Raw Data'!AD:AD,Match($A56,'Player Raw Data'!$B:$B,0)),"")</f>
        <v>3</v>
      </c>
      <c r="Q56">
        <f t="shared" si="1"/>
        <v>5</v>
      </c>
      <c r="R56" s="9">
        <f t="shared" si="2"/>
        <v>5</v>
      </c>
      <c r="S56" s="14">
        <f t="shared" si="3"/>
        <v>0.7142857143</v>
      </c>
      <c r="T56" s="15">
        <f>IFERROR(__xludf.DUMMYFUNCTION("IFERROR(PERCENTRANK.INC(FILTER(Q:Q,$F:$F&lt;&gt;""""),Q56)*100,"""")"),25.4)</f>
        <v>25.4</v>
      </c>
      <c r="U56" s="15">
        <f>IFERROR(__xludf.DUMMYFUNCTION("IFERROR(PERCENTRANK.INC(FILTER(R:R,$F:$F&lt;&gt;""""),R56)*100,"""")"),25.4)</f>
        <v>25.4</v>
      </c>
      <c r="V56" s="15">
        <f>IFERROR(__xludf.DUMMYFUNCTION("IFERROR(PERCENTRANK.INC(FILTER(S:S,$F:$F&lt;&gt;""""),S56)*100,"""")"),79.10000000000001)</f>
        <v>79.1</v>
      </c>
      <c r="W56" s="15">
        <f t="shared" si="4"/>
        <v>247.719</v>
      </c>
      <c r="X56" s="16"/>
      <c r="Y56" s="9"/>
      <c r="Z56" s="9"/>
    </row>
    <row r="57">
      <c r="A57" t="str">
        <f>IFERROR(__xludf.DUMMYFUNCTION("""COMPUTED_VALUE"""),"Luka Garza")</f>
        <v>Luka Garza</v>
      </c>
      <c r="B57" t="str">
        <f t="array" ref="B57">IFERROR(INDEX('Player Raw Data'!E:E,Match($A57,'Player Raw Data'!$B:$B,0)),"")</f>
        <v>C</v>
      </c>
      <c r="C57" t="str">
        <f t="array" ref="C57">IFERROR(INDEX('Player Raw Data'!C:C,Match($A57,'Player Raw Data'!$B:$B,0)),"")</f>
        <v>28</v>
      </c>
      <c r="D57" t="str">
        <f t="array" ref="D57">IFERROR(IF(A57=A56, INDEX('Player Raw Data'!D:D,Match($A57,'Player Raw Data'!$B:$B,0)+2),INDEX('Player Raw Data'!D:D,Match($A57,'Player Raw Data'!$B:$B,0))),"")</f>
        <v>BOS</v>
      </c>
      <c r="E57" t="str">
        <f t="array" ref="E57">IFERROR(INDEX('Player Raw Data'!F:F,Match($A57,'Player Raw Data'!$B:$B,0)),"")</f>
        <v>1</v>
      </c>
      <c r="F57" t="str">
        <f t="array" ref="F57">IFERROR(INDEX('Player Raw Data'!H:H,Match($A57,'Player Raw Data'!$B:$B,0)),"")</f>
        <v>8</v>
      </c>
      <c r="G57" t="str">
        <f t="array" ref="G57">IFERROR(INDEX('Player Raw Data'!I:I,Match($A57,'Player Raw Data'!$B:$B,0)),"")</f>
        <v>1</v>
      </c>
      <c r="H57" t="str">
        <f t="array" ref="H57">IFERROR(INDEX('Player Raw Data'!J:J,Match($A57,'Player Raw Data'!$B:$B,0)),"")</f>
        <v>3</v>
      </c>
      <c r="I57" t="str">
        <f t="array" ref="I57">IFERROR(INDEX('Player Raw Data'!S:S,Match($A57,'Player Raw Data'!$B:$B,0)),"")</f>
        <v>0</v>
      </c>
      <c r="J57" t="str">
        <f t="array" ref="J57">IFERROR(INDEX('Player Raw Data'!T:T,Match($A57,'Player Raw Data'!$B:$B,0)),"")</f>
        <v>0</v>
      </c>
      <c r="K57" t="str">
        <f t="array" ref="K57">IFERROR(INDEX('Player Raw Data'!X:X,Match($A57,'Player Raw Data'!$B:$B,0)),"")</f>
        <v>2</v>
      </c>
      <c r="L57" t="str">
        <f t="array" ref="L57">IFERROR(INDEX('Player Raw Data'!Y:Y,Match($A57,'Player Raw Data'!$B:$B,0)),"")</f>
        <v>0</v>
      </c>
      <c r="M57" t="str">
        <f t="array" ref="M57">IFERROR(INDEX('Player Raw Data'!Z:Z,Match($A57,'Player Raw Data'!$B:$B,0)),"")</f>
        <v>0</v>
      </c>
      <c r="N57" t="str">
        <f t="array" ref="N57">IFERROR(INDEX('Player Raw Data'!AA:AA,Match($A57,'Player Raw Data'!$B:$B,0)),"")</f>
        <v>0</v>
      </c>
      <c r="O57" t="str">
        <f t="array" ref="O57">IFERROR(INDEX('Player Raw Data'!AB:AB,Match($A57,'Player Raw Data'!$B:$B,0)),"")</f>
        <v>1</v>
      </c>
      <c r="P57" t="str">
        <f t="array" ref="P57">IFERROR(INDEX('Player Raw Data'!AD:AD,Match($A57,'Player Raw Data'!$B:$B,0)),"")</f>
        <v>2</v>
      </c>
      <c r="Q57">
        <f t="shared" si="1"/>
        <v>1</v>
      </c>
      <c r="R57" s="9">
        <f t="shared" si="2"/>
        <v>1</v>
      </c>
      <c r="S57" s="14">
        <f t="shared" si="3"/>
        <v>0.125</v>
      </c>
      <c r="T57" s="15">
        <f>IFERROR(__xludf.DUMMYFUNCTION("IFERROR(PERCENTRANK.INC(FILTER(Q:Q,$F:$F&lt;&gt;""""),Q57)*100,"""")"),6.0)</f>
        <v>6</v>
      </c>
      <c r="U57" s="15">
        <f>IFERROR(__xludf.DUMMYFUNCTION("IFERROR(PERCENTRANK.INC(FILTER(R:R,$F:$F&lt;&gt;""""),R57)*100,"""")"),6.0)</f>
        <v>6</v>
      </c>
      <c r="V57" s="15">
        <f>IFERROR(__xludf.DUMMYFUNCTION("IFERROR(PERCENTRANK.INC(FILTER(S:S,$F:$F&lt;&gt;""""),S57)*100,"""")"),10.4)</f>
        <v>10.4</v>
      </c>
      <c r="W57" s="15">
        <f t="shared" si="4"/>
        <v>73.76</v>
      </c>
      <c r="X57" s="16"/>
      <c r="Y57" s="9"/>
      <c r="Z57" s="9"/>
    </row>
    <row r="58">
      <c r="A58" t="str">
        <f>IFERROR(__xludf.DUMMYFUNCTION("""COMPUTED_VALUE"""),"Ja'Kobi Gillespie")</f>
        <v>Ja'Kobi Gillespie</v>
      </c>
      <c r="B58" t="str">
        <f t="array" ref="B58">IFERROR(INDEX('Player Raw Data'!E:E,Match($A58,'Player Raw Data'!$B:$B,0)),"")</f>
        <v>PG</v>
      </c>
      <c r="C58" t="str">
        <f t="array" ref="C58">IFERROR(INDEX('Player Raw Data'!C:C,Match($A58,'Player Raw Data'!$B:$B,0)),"")</f>
        <v>22</v>
      </c>
      <c r="D58" t="str">
        <f t="array" ref="D58">IFERROR(IF(A58=A57, INDEX('Player Raw Data'!D:D,Match($A58,'Player Raw Data'!$B:$B,0)+2),INDEX('Player Raw Data'!D:D,Match($A58,'Player Raw Data'!$B:$B,0))),"")</f>
        <v>SAS</v>
      </c>
      <c r="E58" t="str">
        <f t="array" ref="E58">IFERROR(INDEX('Player Raw Data'!F:F,Match($A58,'Player Raw Data'!$B:$B,0)),"")</f>
        <v>1</v>
      </c>
      <c r="F58" t="str">
        <f t="array" ref="F58">IFERROR(INDEX('Player Raw Data'!H:H,Match($A58,'Player Raw Data'!$B:$B,0)),"")</f>
        <v>1</v>
      </c>
      <c r="G58" t="str">
        <f t="array" ref="G58">IFERROR(INDEX('Player Raw Data'!I:I,Match($A58,'Player Raw Data'!$B:$B,0)),"")</f>
        <v>1</v>
      </c>
      <c r="H58" t="str">
        <f t="array" ref="H58">IFERROR(INDEX('Player Raw Data'!J:J,Match($A58,'Player Raw Data'!$B:$B,0)),"")</f>
        <v>2</v>
      </c>
      <c r="I58" t="str">
        <f t="array" ref="I58">IFERROR(INDEX('Player Raw Data'!S:S,Match($A58,'Player Raw Data'!$B:$B,0)),"")</f>
        <v>0</v>
      </c>
      <c r="J58" t="str">
        <f t="array" ref="J58">IFERROR(INDEX('Player Raw Data'!T:T,Match($A58,'Player Raw Data'!$B:$B,0)),"")</f>
        <v>0</v>
      </c>
      <c r="K58" t="str">
        <f t="array" ref="K58">IFERROR(INDEX('Player Raw Data'!X:X,Match($A58,'Player Raw Data'!$B:$B,0)),"")</f>
        <v>0</v>
      </c>
      <c r="L58" t="str">
        <f t="array" ref="L58">IFERROR(INDEX('Player Raw Data'!Y:Y,Match($A58,'Player Raw Data'!$B:$B,0)),"")</f>
        <v>0</v>
      </c>
      <c r="M58" t="str">
        <f t="array" ref="M58">IFERROR(INDEX('Player Raw Data'!Z:Z,Match($A58,'Player Raw Data'!$B:$B,0)),"")</f>
        <v>0</v>
      </c>
      <c r="N58" t="str">
        <f t="array" ref="N58">IFERROR(INDEX('Player Raw Data'!AA:AA,Match($A58,'Player Raw Data'!$B:$B,0)),"")</f>
        <v>0</v>
      </c>
      <c r="O58" t="str">
        <f t="array" ref="O58">IFERROR(INDEX('Player Raw Data'!AB:AB,Match($A58,'Player Raw Data'!$B:$B,0)),"")</f>
        <v>0</v>
      </c>
      <c r="P58" t="str">
        <f t="array" ref="P58">IFERROR(INDEX('Player Raw Data'!AD:AD,Match($A58,'Player Raw Data'!$B:$B,0)),"")</f>
        <v>2</v>
      </c>
      <c r="Q58">
        <f t="shared" si="1"/>
        <v>1</v>
      </c>
      <c r="R58" s="9">
        <f t="shared" si="2"/>
        <v>1</v>
      </c>
      <c r="S58" s="14">
        <f t="shared" si="3"/>
        <v>1</v>
      </c>
      <c r="T58" s="15">
        <f>IFERROR(__xludf.DUMMYFUNCTION("IFERROR(PERCENTRANK.INC(FILTER(Q:Q,$F:$F&lt;&gt;""""),Q58)*100,"""")"),6.0)</f>
        <v>6</v>
      </c>
      <c r="U58" s="15">
        <f>IFERROR(__xludf.DUMMYFUNCTION("IFERROR(PERCENTRANK.INC(FILTER(R:R,$F:$F&lt;&gt;""""),R58)*100,"""")"),6.0)</f>
        <v>6</v>
      </c>
      <c r="V58" s="15">
        <f>IFERROR(__xludf.DUMMYFUNCTION("IFERROR(PERCENTRANK.INC(FILTER(S:S,$F:$F&lt;&gt;""""),S58)*100,"""")"),92.5)</f>
        <v>92.5</v>
      </c>
      <c r="W58" s="15">
        <f t="shared" si="4"/>
        <v>214.785</v>
      </c>
      <c r="X58" s="16"/>
      <c r="Y58" s="9"/>
      <c r="Z58" s="9"/>
    </row>
    <row r="59">
      <c r="A59" t="str">
        <f>IFERROR(__xludf.DUMMYFUNCTION("""COMPUTED_VALUE"""),"David Jones García")</f>
        <v>David Jones García</v>
      </c>
      <c r="B59" t="str">
        <f t="array" ref="B59">IFERROR(INDEX('Player Raw Data'!E:E,Match($A59,'Player Raw Data'!$B:$B,0)),"")</f>
        <v>SF</v>
      </c>
      <c r="C59" t="str">
        <f t="array" ref="C59">IFERROR(INDEX('Player Raw Data'!C:C,Match($A59,'Player Raw Data'!$B:$B,0)),"")</f>
        <v>25</v>
      </c>
      <c r="D59" t="str">
        <f t="array" ref="D59">IFERROR(IF(A59=A58, INDEX('Player Raw Data'!D:D,Match($A59,'Player Raw Data'!$B:$B,0)+2),INDEX('Player Raw Data'!D:D,Match($A59,'Player Raw Data'!$B:$B,0))),"")</f>
        <v>SAS</v>
      </c>
      <c r="E59" t="str">
        <f t="array" ref="E59">IFERROR(INDEX('Player Raw Data'!F:F,Match($A59,'Player Raw Data'!$B:$B,0)),"")</f>
        <v>1</v>
      </c>
      <c r="F59" t="str">
        <f t="array" ref="F59">IFERROR(INDEX('Player Raw Data'!H:H,Match($A59,'Player Raw Data'!$B:$B,0)),"")</f>
        <v>1</v>
      </c>
      <c r="G59" t="str">
        <f t="array" ref="G59">IFERROR(INDEX('Player Raw Data'!I:I,Match($A59,'Player Raw Data'!$B:$B,0)),"")</f>
        <v>0</v>
      </c>
      <c r="H59" t="str">
        <f t="array" ref="H59">IFERROR(INDEX('Player Raw Data'!J:J,Match($A59,'Player Raw Data'!$B:$B,0)),"")</f>
        <v>1</v>
      </c>
      <c r="I59" t="str">
        <f t="array" ref="I59">IFERROR(INDEX('Player Raw Data'!S:S,Match($A59,'Player Raw Data'!$B:$B,0)),"")</f>
        <v>2</v>
      </c>
      <c r="J59" t="str">
        <f t="array" ref="J59">IFERROR(INDEX('Player Raw Data'!T:T,Match($A59,'Player Raw Data'!$B:$B,0)),"")</f>
        <v>2</v>
      </c>
      <c r="K59" t="str">
        <f t="array" ref="K59">IFERROR(INDEX('Player Raw Data'!X:X,Match($A59,'Player Raw Data'!$B:$B,0)),"")</f>
        <v>0</v>
      </c>
      <c r="L59" t="str">
        <f t="array" ref="L59">IFERROR(INDEX('Player Raw Data'!Y:Y,Match($A59,'Player Raw Data'!$B:$B,0)),"")</f>
        <v>0</v>
      </c>
      <c r="M59" t="str">
        <f t="array" ref="M59">IFERROR(INDEX('Player Raw Data'!Z:Z,Match($A59,'Player Raw Data'!$B:$B,0)),"")</f>
        <v>0</v>
      </c>
      <c r="N59" t="str">
        <f t="array" ref="N59">IFERROR(INDEX('Player Raw Data'!AA:AA,Match($A59,'Player Raw Data'!$B:$B,0)),"")</f>
        <v>0</v>
      </c>
      <c r="O59" t="str">
        <f t="array" ref="O59">IFERROR(INDEX('Player Raw Data'!AB:AB,Match($A59,'Player Raw Data'!$B:$B,0)),"")</f>
        <v>0</v>
      </c>
      <c r="P59" t="str">
        <f t="array" ref="P59">IFERROR(INDEX('Player Raw Data'!AD:AD,Match($A59,'Player Raw Data'!$B:$B,0)),"")</f>
        <v>2</v>
      </c>
      <c r="Q59">
        <f t="shared" si="1"/>
        <v>1</v>
      </c>
      <c r="R59" s="9">
        <f t="shared" si="2"/>
        <v>1</v>
      </c>
      <c r="S59" s="14">
        <f t="shared" si="3"/>
        <v>1</v>
      </c>
      <c r="T59" s="15">
        <f>IFERROR(__xludf.DUMMYFUNCTION("IFERROR(PERCENTRANK.INC(FILTER(Q:Q,$F:$F&lt;&gt;""""),Q59)*100,"""")"),6.0)</f>
        <v>6</v>
      </c>
      <c r="U59" s="15">
        <f>IFERROR(__xludf.DUMMYFUNCTION("IFERROR(PERCENTRANK.INC(FILTER(R:R,$F:$F&lt;&gt;""""),R59)*100,"""")"),6.0)</f>
        <v>6</v>
      </c>
      <c r="V59" s="15">
        <f>IFERROR(__xludf.DUMMYFUNCTION("IFERROR(PERCENTRANK.INC(FILTER(S:S,$F:$F&lt;&gt;""""),S59)*100,"""")"),92.5)</f>
        <v>92.5</v>
      </c>
      <c r="W59" s="15">
        <f t="shared" si="4"/>
        <v>195.585</v>
      </c>
      <c r="X59" s="16"/>
      <c r="Y59" s="9"/>
      <c r="Z59" s="9"/>
    </row>
    <row r="60">
      <c r="A60" t="str">
        <f>IFERROR(__xludf.DUMMYFUNCTION("""COMPUTED_VALUE"""),"Brooks Barnhizer")</f>
        <v>Brooks Barnhizer</v>
      </c>
      <c r="B60" t="str">
        <f t="array" ref="B60">IFERROR(INDEX('Player Raw Data'!E:E,Match($A60,'Player Raw Data'!$B:$B,0)),"")</f>
        <v>SG</v>
      </c>
      <c r="C60" t="str">
        <f t="array" ref="C60">IFERROR(INDEX('Player Raw Data'!C:C,Match($A60,'Player Raw Data'!$B:$B,0)),"")</f>
        <v>24</v>
      </c>
      <c r="D60" t="str">
        <f t="array" ref="D60">IFERROR(IF(A60=A59, INDEX('Player Raw Data'!D:D,Match($A60,'Player Raw Data'!$B:$B,0)+2),INDEX('Player Raw Data'!D:D,Match($A60,'Player Raw Data'!$B:$B,0))),"")</f>
        <v>OKC</v>
      </c>
      <c r="E60" t="str">
        <f t="array" ref="E60">IFERROR(INDEX('Player Raw Data'!F:F,Match($A60,'Player Raw Data'!$B:$B,0)),"")</f>
        <v>1</v>
      </c>
      <c r="F60" t="str">
        <f t="array" ref="F60">IFERROR(INDEX('Player Raw Data'!H:H,Match($A60,'Player Raw Data'!$B:$B,0)),"")</f>
        <v>1</v>
      </c>
      <c r="G60" t="str">
        <f t="array" ref="G60">IFERROR(INDEX('Player Raw Data'!I:I,Match($A60,'Player Raw Data'!$B:$B,0)),"")</f>
        <v>0</v>
      </c>
      <c r="H60" t="str">
        <f t="array" ref="H60">IFERROR(INDEX('Player Raw Data'!J:J,Match($A60,'Player Raw Data'!$B:$B,0)),"")</f>
        <v>0</v>
      </c>
      <c r="I60" t="str">
        <f t="array" ref="I60">IFERROR(INDEX('Player Raw Data'!S:S,Match($A60,'Player Raw Data'!$B:$B,0)),"")</f>
        <v>0</v>
      </c>
      <c r="J60" t="str">
        <f t="array" ref="J60">IFERROR(INDEX('Player Raw Data'!T:T,Match($A60,'Player Raw Data'!$B:$B,0)),"")</f>
        <v>0</v>
      </c>
      <c r="K60" t="str">
        <f t="array" ref="K60">IFERROR(INDEX('Player Raw Data'!X:X,Match($A60,'Player Raw Data'!$B:$B,0)),"")</f>
        <v>0</v>
      </c>
      <c r="L60" t="str">
        <f t="array" ref="L60">IFERROR(INDEX('Player Raw Data'!Y:Y,Match($A60,'Player Raw Data'!$B:$B,0)),"")</f>
        <v>0</v>
      </c>
      <c r="M60" t="str">
        <f t="array" ref="M60">IFERROR(INDEX('Player Raw Data'!Z:Z,Match($A60,'Player Raw Data'!$B:$B,0)),"")</f>
        <v>0</v>
      </c>
      <c r="N60" t="str">
        <f t="array" ref="N60">IFERROR(INDEX('Player Raw Data'!AA:AA,Match($A60,'Player Raw Data'!$B:$B,0)),"")</f>
        <v>0</v>
      </c>
      <c r="O60" t="str">
        <f t="array" ref="O60">IFERROR(INDEX('Player Raw Data'!AB:AB,Match($A60,'Player Raw Data'!$B:$B,0)),"")</f>
        <v>0</v>
      </c>
      <c r="P60" t="str">
        <f t="array" ref="P60">IFERROR(INDEX('Player Raw Data'!AD:AD,Match($A60,'Player Raw Data'!$B:$B,0)),"")</f>
        <v>0</v>
      </c>
      <c r="Q60">
        <f t="shared" si="1"/>
        <v>0</v>
      </c>
      <c r="R60" s="9">
        <f t="shared" si="2"/>
        <v>0</v>
      </c>
      <c r="S60" s="14">
        <f t="shared" si="3"/>
        <v>0</v>
      </c>
      <c r="T60" s="15">
        <f>IFERROR(__xludf.DUMMYFUNCTION("IFERROR(PERCENTRANK.INC(FILTER(Q:Q,$F:$F&lt;&gt;""""),Q60)*100,"""")"),1.5)</f>
        <v>1.5</v>
      </c>
      <c r="U60" s="15">
        <f>IFERROR(__xludf.DUMMYFUNCTION("IFERROR(PERCENTRANK.INC(FILTER(R:R,$F:$F&lt;&gt;""""),R60)*100,"""")"),1.5)</f>
        <v>1.5</v>
      </c>
      <c r="V60" s="15">
        <f>IFERROR(__xludf.DUMMYFUNCTION("IFERROR(PERCENTRANK.INC(FILTER(S:S,$F:$F&lt;&gt;""""),S60)*100,"""")"),1.5)</f>
        <v>1.5</v>
      </c>
      <c r="W60" s="15">
        <f t="shared" si="4"/>
        <v>61.865</v>
      </c>
      <c r="X60" s="16"/>
      <c r="Y60" s="9"/>
      <c r="Z60" s="9"/>
    </row>
    <row r="61">
      <c r="A61" t="str">
        <f>IFERROR(__xludf.DUMMYFUNCTION("""COMPUTED_VALUE"""),"Adem Bona")</f>
        <v>Adem Bona</v>
      </c>
      <c r="B61" t="str">
        <f t="array" ref="B61">IFERROR(INDEX('Player Raw Data'!E:E,Match($A61,'Player Raw Data'!$B:$B,0)),"")</f>
        <v>C</v>
      </c>
      <c r="C61" t="str">
        <f t="array" ref="C61">IFERROR(INDEX('Player Raw Data'!C:C,Match($A61,'Player Raw Data'!$B:$B,0)),"")</f>
        <v>23</v>
      </c>
      <c r="D61" t="str">
        <f t="array" ref="D61">IFERROR(IF(A61=A60, INDEX('Player Raw Data'!D:D,Match($A61,'Player Raw Data'!$B:$B,0)+2),INDEX('Player Raw Data'!D:D,Match($A61,'Player Raw Data'!$B:$B,0))),"")</f>
        <v>PHI</v>
      </c>
      <c r="E61" t="str">
        <f t="array" ref="E61">IFERROR(INDEX('Player Raw Data'!F:F,Match($A61,'Player Raw Data'!$B:$B,0)),"")</f>
        <v>1</v>
      </c>
      <c r="F61" t="str">
        <f t="array" ref="F61">IFERROR(INDEX('Player Raw Data'!H:H,Match($A61,'Player Raw Data'!$B:$B,0)),"")</f>
        <v>10</v>
      </c>
      <c r="G61" t="str">
        <f t="array" ref="G61">IFERROR(INDEX('Player Raw Data'!I:I,Match($A61,'Player Raw Data'!$B:$B,0)),"")</f>
        <v>0</v>
      </c>
      <c r="H61" t="str">
        <f t="array" ref="H61">IFERROR(INDEX('Player Raw Data'!J:J,Match($A61,'Player Raw Data'!$B:$B,0)),"")</f>
        <v>0</v>
      </c>
      <c r="I61" t="str">
        <f t="array" ref="I61">IFERROR(INDEX('Player Raw Data'!S:S,Match($A61,'Player Raw Data'!$B:$B,0)),"")</f>
        <v>0</v>
      </c>
      <c r="J61" t="str">
        <f t="array" ref="J61">IFERROR(INDEX('Player Raw Data'!T:T,Match($A61,'Player Raw Data'!$B:$B,0)),"")</f>
        <v>0</v>
      </c>
      <c r="K61" t="str">
        <f t="array" ref="K61">IFERROR(INDEX('Player Raw Data'!X:X,Match($A61,'Player Raw Data'!$B:$B,0)),"")</f>
        <v>3</v>
      </c>
      <c r="L61" t="str">
        <f t="array" ref="L61">IFERROR(INDEX('Player Raw Data'!Y:Y,Match($A61,'Player Raw Data'!$B:$B,0)),"")</f>
        <v>1</v>
      </c>
      <c r="M61" t="str">
        <f t="array" ref="M61">IFERROR(INDEX('Player Raw Data'!Z:Z,Match($A61,'Player Raw Data'!$B:$B,0)),"")</f>
        <v>0</v>
      </c>
      <c r="N61" t="str">
        <f t="array" ref="N61">IFERROR(INDEX('Player Raw Data'!AA:AA,Match($A61,'Player Raw Data'!$B:$B,0)),"")</f>
        <v>1</v>
      </c>
      <c r="O61" t="str">
        <f t="array" ref="O61">IFERROR(INDEX('Player Raw Data'!AB:AB,Match($A61,'Player Raw Data'!$B:$B,0)),"")</f>
        <v>0</v>
      </c>
      <c r="P61" t="str">
        <f t="array" ref="P61">IFERROR(INDEX('Player Raw Data'!AD:AD,Match($A61,'Player Raw Data'!$B:$B,0)),"")</f>
        <v>0</v>
      </c>
      <c r="Q61">
        <f t="shared" si="1"/>
        <v>5</v>
      </c>
      <c r="R61" s="9">
        <f t="shared" si="2"/>
        <v>5</v>
      </c>
      <c r="S61" s="14">
        <f t="shared" si="3"/>
        <v>0.5</v>
      </c>
      <c r="T61" s="15">
        <f>IFERROR(__xludf.DUMMYFUNCTION("IFERROR(PERCENTRANK.INC(FILTER(Q:Q,$F:$F&lt;&gt;""""),Q61)*100,"""")"),25.4)</f>
        <v>25.4</v>
      </c>
      <c r="U61" s="15">
        <f>IFERROR(__xludf.DUMMYFUNCTION("IFERROR(PERCENTRANK.INC(FILTER(R:R,$F:$F&lt;&gt;""""),R61)*100,"""")"),25.4)</f>
        <v>25.4</v>
      </c>
      <c r="V61" s="15">
        <f>IFERROR(__xludf.DUMMYFUNCTION("IFERROR(PERCENTRANK.INC(FILTER(S:S,$F:$F&lt;&gt;""""),S61)*100,"""")"),49.3)</f>
        <v>49.3</v>
      </c>
      <c r="W61" s="15">
        <f t="shared" si="4"/>
        <v>268.069</v>
      </c>
      <c r="X61" s="16"/>
      <c r="Y61" s="9"/>
      <c r="Z61" s="9"/>
    </row>
    <row r="62">
      <c r="A62" t="str">
        <f>IFERROR(__xludf.DUMMYFUNCTION("""COMPUTED_VALUE"""),"Maliq Brown")</f>
        <v>Maliq Brown</v>
      </c>
      <c r="B62" t="str">
        <f t="array" ref="B62">IFERROR(INDEX('Player Raw Data'!E:E,Match($A62,'Player Raw Data'!$B:$B,0)),"")</f>
        <v>PF</v>
      </c>
      <c r="C62" t="str">
        <f t="array" ref="C62">IFERROR(INDEX('Player Raw Data'!C:C,Match($A62,'Player Raw Data'!$B:$B,0)),"")</f>
        <v>23</v>
      </c>
      <c r="D62" t="str">
        <f t="array" ref="D62">IFERROR(IF(A62=A61, INDEX('Player Raw Data'!D:D,Match($A62,'Player Raw Data'!$B:$B,0)+2),INDEX('Player Raw Data'!D:D,Match($A62,'Player Raw Data'!$B:$B,0))),"")</f>
        <v>SAS</v>
      </c>
      <c r="E62" t="str">
        <f t="array" ref="E62">IFERROR(INDEX('Player Raw Data'!F:F,Match($A62,'Player Raw Data'!$B:$B,0)),"")</f>
        <v>1</v>
      </c>
      <c r="F62" t="str">
        <f t="array" ref="F62">IFERROR(INDEX('Player Raw Data'!H:H,Match($A62,'Player Raw Data'!$B:$B,0)),"")</f>
        <v>1</v>
      </c>
      <c r="G62" t="str">
        <f t="array" ref="G62">IFERROR(INDEX('Player Raw Data'!I:I,Match($A62,'Player Raw Data'!$B:$B,0)),"")</f>
        <v>0</v>
      </c>
      <c r="H62" t="str">
        <f t="array" ref="H62">IFERROR(INDEX('Player Raw Data'!J:J,Match($A62,'Player Raw Data'!$B:$B,0)),"")</f>
        <v>0</v>
      </c>
      <c r="I62" t="str">
        <f t="array" ref="I62">IFERROR(INDEX('Player Raw Data'!S:S,Match($A62,'Player Raw Data'!$B:$B,0)),"")</f>
        <v>0</v>
      </c>
      <c r="J62" t="str">
        <f t="array" ref="J62">IFERROR(INDEX('Player Raw Data'!T:T,Match($A62,'Player Raw Data'!$B:$B,0)),"")</f>
        <v>0</v>
      </c>
      <c r="K62" t="str">
        <f t="array" ref="K62">IFERROR(INDEX('Player Raw Data'!X:X,Match($A62,'Player Raw Data'!$B:$B,0)),"")</f>
        <v>0</v>
      </c>
      <c r="L62" t="str">
        <f t="array" ref="L62">IFERROR(INDEX('Player Raw Data'!Y:Y,Match($A62,'Player Raw Data'!$B:$B,0)),"")</f>
        <v>1</v>
      </c>
      <c r="M62" t="str">
        <f t="array" ref="M62">IFERROR(INDEX('Player Raw Data'!Z:Z,Match($A62,'Player Raw Data'!$B:$B,0)),"")</f>
        <v>0</v>
      </c>
      <c r="N62" t="str">
        <f t="array" ref="N62">IFERROR(INDEX('Player Raw Data'!AA:AA,Match($A62,'Player Raw Data'!$B:$B,0)),"")</f>
        <v>0</v>
      </c>
      <c r="O62" t="str">
        <f t="array" ref="O62">IFERROR(INDEX('Player Raw Data'!AB:AB,Match($A62,'Player Raw Data'!$B:$B,0)),"")</f>
        <v>0</v>
      </c>
      <c r="P62" t="str">
        <f t="array" ref="P62">IFERROR(INDEX('Player Raw Data'!AD:AD,Match($A62,'Player Raw Data'!$B:$B,0)),"")</f>
        <v>0</v>
      </c>
      <c r="Q62">
        <f t="shared" si="1"/>
        <v>1</v>
      </c>
      <c r="R62" s="9">
        <f t="shared" si="2"/>
        <v>1</v>
      </c>
      <c r="S62" s="14">
        <f t="shared" si="3"/>
        <v>1</v>
      </c>
      <c r="T62" s="15">
        <f>IFERROR(__xludf.DUMMYFUNCTION("IFERROR(PERCENTRANK.INC(FILTER(Q:Q,$F:$F&lt;&gt;""""),Q62)*100,"""")"),6.0)</f>
        <v>6</v>
      </c>
      <c r="U62" s="15">
        <f>IFERROR(__xludf.DUMMYFUNCTION("IFERROR(PERCENTRANK.INC(FILTER(R:R,$F:$F&lt;&gt;""""),R62)*100,"""")"),6.0)</f>
        <v>6</v>
      </c>
      <c r="V62" s="15">
        <f>IFERROR(__xludf.DUMMYFUNCTION("IFERROR(PERCENTRANK.INC(FILTER(S:S,$F:$F&lt;&gt;""""),S62)*100,"""")"),92.5)</f>
        <v>92.5</v>
      </c>
      <c r="W62" s="15">
        <f t="shared" si="4"/>
        <v>208.385</v>
      </c>
      <c r="X62" s="16"/>
      <c r="Y62" s="9"/>
      <c r="Z62" s="9"/>
    </row>
    <row r="63">
      <c r="A63" t="str">
        <f>IFERROR(__xludf.DUMMYFUNCTION("""COMPUTED_VALUE"""),"Carter Bryant")</f>
        <v>Carter Bryant</v>
      </c>
      <c r="B63" t="str">
        <f t="array" ref="B63">IFERROR(INDEX('Player Raw Data'!E:E,Match($A63,'Player Raw Data'!$B:$B,0)),"")</f>
        <v>PF</v>
      </c>
      <c r="C63" t="str">
        <f t="array" ref="C63">IFERROR(INDEX('Player Raw Data'!C:C,Match($A63,'Player Raw Data'!$B:$B,0)),"")</f>
        <v>21</v>
      </c>
      <c r="D63" t="str">
        <f t="array" ref="D63">IFERROR(IF(A63=A62, INDEX('Player Raw Data'!D:D,Match($A63,'Player Raw Data'!$B:$B,0)+2),INDEX('Player Raw Data'!D:D,Match($A63,'Player Raw Data'!$B:$B,0))),"")</f>
        <v>SAS</v>
      </c>
      <c r="E63" t="str">
        <f t="array" ref="E63">IFERROR(INDEX('Player Raw Data'!F:F,Match($A63,'Player Raw Data'!$B:$B,0)),"")</f>
        <v>1</v>
      </c>
      <c r="F63" t="str">
        <f t="array" ref="F63">IFERROR(INDEX('Player Raw Data'!H:H,Match($A63,'Player Raw Data'!$B:$B,0)),"")</f>
        <v>6</v>
      </c>
      <c r="G63" t="str">
        <f t="array" ref="G63">IFERROR(INDEX('Player Raw Data'!I:I,Match($A63,'Player Raw Data'!$B:$B,0)),"")</f>
        <v>0</v>
      </c>
      <c r="H63" t="str">
        <f t="array" ref="H63">IFERROR(INDEX('Player Raw Data'!J:J,Match($A63,'Player Raw Data'!$B:$B,0)),"")</f>
        <v>3</v>
      </c>
      <c r="I63" t="str">
        <f t="array" ref="I63">IFERROR(INDEX('Player Raw Data'!S:S,Match($A63,'Player Raw Data'!$B:$B,0)),"")</f>
        <v>0</v>
      </c>
      <c r="J63" t="str">
        <f t="array" ref="J63">IFERROR(INDEX('Player Raw Data'!T:T,Match($A63,'Player Raw Data'!$B:$B,0)),"")</f>
        <v>0</v>
      </c>
      <c r="K63" t="str">
        <f t="array" ref="K63">IFERROR(INDEX('Player Raw Data'!X:X,Match($A63,'Player Raw Data'!$B:$B,0)),"")</f>
        <v>0</v>
      </c>
      <c r="L63" t="str">
        <f t="array" ref="L63">IFERROR(INDEX('Player Raw Data'!Y:Y,Match($A63,'Player Raw Data'!$B:$B,0)),"")</f>
        <v>1</v>
      </c>
      <c r="M63" t="str">
        <f t="array" ref="M63">IFERROR(INDEX('Player Raw Data'!Z:Z,Match($A63,'Player Raw Data'!$B:$B,0)),"")</f>
        <v>0</v>
      </c>
      <c r="N63" t="str">
        <f t="array" ref="N63">IFERROR(INDEX('Player Raw Data'!AA:AA,Match($A63,'Player Raw Data'!$B:$B,0)),"")</f>
        <v>0</v>
      </c>
      <c r="O63" t="str">
        <f t="array" ref="O63">IFERROR(INDEX('Player Raw Data'!AB:AB,Match($A63,'Player Raw Data'!$B:$B,0)),"")</f>
        <v>0</v>
      </c>
      <c r="P63" t="str">
        <f t="array" ref="P63">IFERROR(INDEX('Player Raw Data'!AD:AD,Match($A63,'Player Raw Data'!$B:$B,0)),"")</f>
        <v>0</v>
      </c>
      <c r="Q63">
        <f t="shared" si="1"/>
        <v>-2</v>
      </c>
      <c r="R63" s="9">
        <f t="shared" si="2"/>
        <v>-2</v>
      </c>
      <c r="S63" s="14">
        <f t="shared" si="3"/>
        <v>-0.3333333333</v>
      </c>
      <c r="T63" s="15">
        <f>IFERROR(__xludf.DUMMYFUNCTION("IFERROR(PERCENTRANK.INC(FILTER(Q:Q,$F:$F&lt;&gt;""""),Q63)*100,"""")"),0.0)</f>
        <v>0</v>
      </c>
      <c r="U63" s="15">
        <f>IFERROR(__xludf.DUMMYFUNCTION("IFERROR(PERCENTRANK.INC(FILTER(R:R,$F:$F&lt;&gt;""""),R63)*100,"""")"),0.0)</f>
        <v>0</v>
      </c>
      <c r="V63" s="15">
        <f>IFERROR(__xludf.DUMMYFUNCTION("IFERROR(PERCENTRANK.INC(FILTER(S:S,$F:$F&lt;&gt;""""),S63)*100,"""")"),0.0)</f>
        <v>0</v>
      </c>
      <c r="W63" s="15">
        <f t="shared" si="4"/>
        <v>64</v>
      </c>
      <c r="X63" s="16"/>
      <c r="Y63" s="9"/>
      <c r="Z63" s="9"/>
    </row>
    <row r="64">
      <c r="A64" t="str">
        <f>IFERROR(__xludf.DUMMYFUNCTION("""COMPUTED_VALUE"""),"Hugo González")</f>
        <v>Hugo González</v>
      </c>
      <c r="B64" t="str">
        <f t="array" ref="B64">IFERROR(INDEX('Player Raw Data'!E:E,Match($A64,'Player Raw Data'!$B:$B,0)),"")</f>
        <v>SG</v>
      </c>
      <c r="C64" t="str">
        <f t="array" ref="C64">IFERROR(INDEX('Player Raw Data'!C:C,Match($A64,'Player Raw Data'!$B:$B,0)),"")</f>
        <v>20</v>
      </c>
      <c r="D64" t="str">
        <f t="array" ref="D64">IFERROR(IF(A64=A63, INDEX('Player Raw Data'!D:D,Match($A64,'Player Raw Data'!$B:$B,0)+2),INDEX('Player Raw Data'!D:D,Match($A64,'Player Raw Data'!$B:$B,0))),"")</f>
        <v>BOS</v>
      </c>
      <c r="E64" t="str">
        <f t="array" ref="E64">IFERROR(INDEX('Player Raw Data'!F:F,Match($A64,'Player Raw Data'!$B:$B,0)),"")</f>
        <v>1</v>
      </c>
      <c r="F64" t="str">
        <f t="array" ref="F64">IFERROR(INDEX('Player Raw Data'!H:H,Match($A64,'Player Raw Data'!$B:$B,0)),"")</f>
        <v>10</v>
      </c>
      <c r="G64" t="str">
        <f t="array" ref="G64">IFERROR(INDEX('Player Raw Data'!I:I,Match($A64,'Player Raw Data'!$B:$B,0)),"")</f>
        <v>0</v>
      </c>
      <c r="H64" t="str">
        <f t="array" ref="H64">IFERROR(INDEX('Player Raw Data'!J:J,Match($A64,'Player Raw Data'!$B:$B,0)),"")</f>
        <v>1</v>
      </c>
      <c r="I64" t="str">
        <f t="array" ref="I64">IFERROR(INDEX('Player Raw Data'!S:S,Match($A64,'Player Raw Data'!$B:$B,0)),"")</f>
        <v>0</v>
      </c>
      <c r="J64" t="str">
        <f t="array" ref="J64">IFERROR(INDEX('Player Raw Data'!T:T,Match($A64,'Player Raw Data'!$B:$B,0)),"")</f>
        <v>0</v>
      </c>
      <c r="K64" t="str">
        <f t="array" ref="K64">IFERROR(INDEX('Player Raw Data'!X:X,Match($A64,'Player Raw Data'!$B:$B,0)),"")</f>
        <v>3</v>
      </c>
      <c r="L64" t="str">
        <f t="array" ref="L64">IFERROR(INDEX('Player Raw Data'!Y:Y,Match($A64,'Player Raw Data'!$B:$B,0)),"")</f>
        <v>0</v>
      </c>
      <c r="M64" t="str">
        <f t="array" ref="M64">IFERROR(INDEX('Player Raw Data'!Z:Z,Match($A64,'Player Raw Data'!$B:$B,0)),"")</f>
        <v>0</v>
      </c>
      <c r="N64" t="str">
        <f t="array" ref="N64">IFERROR(INDEX('Player Raw Data'!AA:AA,Match($A64,'Player Raw Data'!$B:$B,0)),"")</f>
        <v>0</v>
      </c>
      <c r="O64" t="str">
        <f t="array" ref="O64">IFERROR(INDEX('Player Raw Data'!AB:AB,Match($A64,'Player Raw Data'!$B:$B,0)),"")</f>
        <v>0</v>
      </c>
      <c r="P64" t="str">
        <f t="array" ref="P64">IFERROR(INDEX('Player Raw Data'!AD:AD,Match($A64,'Player Raw Data'!$B:$B,0)),"")</f>
        <v>0</v>
      </c>
      <c r="Q64">
        <f t="shared" si="1"/>
        <v>2</v>
      </c>
      <c r="R64" s="9">
        <f t="shared" si="2"/>
        <v>2</v>
      </c>
      <c r="S64" s="14">
        <f t="shared" si="3"/>
        <v>0.2</v>
      </c>
      <c r="T64" s="15">
        <f>IFERROR(__xludf.DUMMYFUNCTION("IFERROR(PERCENTRANK.INC(FILTER(Q:Q,$F:$F&lt;&gt;""""),Q64)*100,"""")"),16.400000000000002)</f>
        <v>16.4</v>
      </c>
      <c r="U64" s="15">
        <f>IFERROR(__xludf.DUMMYFUNCTION("IFERROR(PERCENTRANK.INC(FILTER(R:R,$F:$F&lt;&gt;""""),R64)*100,"""")"),16.400000000000002)</f>
        <v>16.4</v>
      </c>
      <c r="V64" s="15">
        <f>IFERROR(__xludf.DUMMYFUNCTION("IFERROR(PERCENTRANK.INC(FILTER(S:S,$F:$F&lt;&gt;""""),S64)*100,"""")"),14.899999999999999)</f>
        <v>14.9</v>
      </c>
      <c r="W64" s="15">
        <f t="shared" si="4"/>
        <v>178.729</v>
      </c>
      <c r="X64" s="16"/>
      <c r="Y64" s="9"/>
      <c r="Z64" s="9"/>
    </row>
    <row r="65">
      <c r="A65" t="str">
        <f>IFERROR(__xludf.DUMMYFUNCTION("""COMPUTED_VALUE"""),"Ron Holland")</f>
        <v>Ron Holland</v>
      </c>
      <c r="B65" t="str">
        <f t="array" ref="B65">IFERROR(INDEX('Player Raw Data'!E:E,Match($A65,'Player Raw Data'!$B:$B,0)),"")</f>
        <v>SF</v>
      </c>
      <c r="C65" t="str">
        <f t="array" ref="C65">IFERROR(INDEX('Player Raw Data'!C:C,Match($A65,'Player Raw Data'!$B:$B,0)),"")</f>
        <v>21</v>
      </c>
      <c r="D65" t="str">
        <f t="array" ref="D65">IFERROR(IF(A65=A64, INDEX('Player Raw Data'!D:D,Match($A65,'Player Raw Data'!$B:$B,0)+2),INDEX('Player Raw Data'!D:D,Match($A65,'Player Raw Data'!$B:$B,0))),"")</f>
        <v>DET</v>
      </c>
      <c r="E65" t="str">
        <f t="array" ref="E65">IFERROR(INDEX('Player Raw Data'!F:F,Match($A65,'Player Raw Data'!$B:$B,0)),"")</f>
        <v>1</v>
      </c>
      <c r="F65" t="str">
        <f t="array" ref="F65">IFERROR(INDEX('Player Raw Data'!H:H,Match($A65,'Player Raw Data'!$B:$B,0)),"")</f>
        <v>3</v>
      </c>
      <c r="G65" t="str">
        <f t="array" ref="G65">IFERROR(INDEX('Player Raw Data'!I:I,Match($A65,'Player Raw Data'!$B:$B,0)),"")</f>
        <v>0</v>
      </c>
      <c r="H65" t="str">
        <f t="array" ref="H65">IFERROR(INDEX('Player Raw Data'!J:J,Match($A65,'Player Raw Data'!$B:$B,0)),"")</f>
        <v>1</v>
      </c>
      <c r="I65" t="str">
        <f t="array" ref="I65">IFERROR(INDEX('Player Raw Data'!S:S,Match($A65,'Player Raw Data'!$B:$B,0)),"")</f>
        <v>0</v>
      </c>
      <c r="J65" t="str">
        <f t="array" ref="J65">IFERROR(INDEX('Player Raw Data'!T:T,Match($A65,'Player Raw Data'!$B:$B,0)),"")</f>
        <v>0</v>
      </c>
      <c r="K65" t="str">
        <f t="array" ref="K65">IFERROR(INDEX('Player Raw Data'!X:X,Match($A65,'Player Raw Data'!$B:$B,0)),"")</f>
        <v>1</v>
      </c>
      <c r="L65" t="str">
        <f t="array" ref="L65">IFERROR(INDEX('Player Raw Data'!Y:Y,Match($A65,'Player Raw Data'!$B:$B,0)),"")</f>
        <v>1</v>
      </c>
      <c r="M65" t="str">
        <f t="array" ref="M65">IFERROR(INDEX('Player Raw Data'!Z:Z,Match($A65,'Player Raw Data'!$B:$B,0)),"")</f>
        <v>0</v>
      </c>
      <c r="N65" t="str">
        <f t="array" ref="N65">IFERROR(INDEX('Player Raw Data'!AA:AA,Match($A65,'Player Raw Data'!$B:$B,0)),"")</f>
        <v>1</v>
      </c>
      <c r="O65" t="str">
        <f t="array" ref="O65">IFERROR(INDEX('Player Raw Data'!AB:AB,Match($A65,'Player Raw Data'!$B:$B,0)),"")</f>
        <v>1</v>
      </c>
      <c r="P65" t="str">
        <f t="array" ref="P65">IFERROR(INDEX('Player Raw Data'!AD:AD,Match($A65,'Player Raw Data'!$B:$B,0)),"")</f>
        <v>0</v>
      </c>
      <c r="Q65">
        <f t="shared" si="1"/>
        <v>1</v>
      </c>
      <c r="R65" s="9">
        <f t="shared" si="2"/>
        <v>1</v>
      </c>
      <c r="S65" s="14">
        <f t="shared" si="3"/>
        <v>0.3333333333</v>
      </c>
      <c r="T65" s="15">
        <f>IFERROR(__xludf.DUMMYFUNCTION("IFERROR(PERCENTRANK.INC(FILTER(Q:Q,$F:$F&lt;&gt;""""),Q65)*100,"""")"),6.0)</f>
        <v>6</v>
      </c>
      <c r="U65" s="15">
        <f>IFERROR(__xludf.DUMMYFUNCTION("IFERROR(PERCENTRANK.INC(FILTER(R:R,$F:$F&lt;&gt;""""),R65)*100,"""")"),6.0)</f>
        <v>6</v>
      </c>
      <c r="V65" s="15">
        <f>IFERROR(__xludf.DUMMYFUNCTION("IFERROR(PERCENTRANK.INC(FILTER(S:S,$F:$F&lt;&gt;""""),S65)*100,"""")"),25.4)</f>
        <v>25.4</v>
      </c>
      <c r="W65" s="15">
        <f t="shared" si="4"/>
        <v>130.91</v>
      </c>
      <c r="X65" s="16"/>
      <c r="Y65" s="9"/>
      <c r="Z65" s="9"/>
    </row>
    <row r="66">
      <c r="A66" t="str">
        <f>IFERROR(__xludf.DUMMYFUNCTION("""COMPUTED_VALUE"""),"Tarris Reed Jr.")</f>
        <v>Tarris Reed Jr.</v>
      </c>
      <c r="B66" t="str">
        <f t="array" ref="B66">IFERROR(INDEX('Player Raw Data'!E:E,Match($A66,'Player Raw Data'!$B:$B,0)),"")</f>
        <v>C</v>
      </c>
      <c r="C66" t="str">
        <f t="array" ref="C66">IFERROR(INDEX('Player Raw Data'!C:C,Match($A66,'Player Raw Data'!$B:$B,0)),"")</f>
        <v>23</v>
      </c>
      <c r="D66" t="str">
        <f t="array" ref="D66">IFERROR(IF(A66=A65, INDEX('Player Raw Data'!D:D,Match($A66,'Player Raw Data'!$B:$B,0)+2),INDEX('Player Raw Data'!D:D,Match($A66,'Player Raw Data'!$B:$B,0))),"")</f>
        <v>SAS</v>
      </c>
      <c r="E66" t="str">
        <f t="array" ref="E66">IFERROR(INDEX('Player Raw Data'!F:F,Match($A66,'Player Raw Data'!$B:$B,0)),"")</f>
        <v>1</v>
      </c>
      <c r="F66" t="str">
        <f t="array" ref="F66">IFERROR(INDEX('Player Raw Data'!H:H,Match($A66,'Player Raw Data'!$B:$B,0)),"")</f>
        <v>1</v>
      </c>
      <c r="G66" t="str">
        <f t="array" ref="G66">IFERROR(INDEX('Player Raw Data'!I:I,Match($A66,'Player Raw Data'!$B:$B,0)),"")</f>
        <v>0</v>
      </c>
      <c r="H66" t="str">
        <f t="array" ref="H66">IFERROR(INDEX('Player Raw Data'!J:J,Match($A66,'Player Raw Data'!$B:$B,0)),"")</f>
        <v>0</v>
      </c>
      <c r="I66" t="str">
        <f t="array" ref="I66">IFERROR(INDEX('Player Raw Data'!S:S,Match($A66,'Player Raw Data'!$B:$B,0)),"")</f>
        <v>0</v>
      </c>
      <c r="J66" t="str">
        <f t="array" ref="J66">IFERROR(INDEX('Player Raw Data'!T:T,Match($A66,'Player Raw Data'!$B:$B,0)),"")</f>
        <v>0</v>
      </c>
      <c r="K66" t="str">
        <f t="array" ref="K66">IFERROR(INDEX('Player Raw Data'!X:X,Match($A66,'Player Raw Data'!$B:$B,0)),"")</f>
        <v>0</v>
      </c>
      <c r="L66" t="str">
        <f t="array" ref="L66">IFERROR(INDEX('Player Raw Data'!Y:Y,Match($A66,'Player Raw Data'!$B:$B,0)),"")</f>
        <v>0</v>
      </c>
      <c r="M66" t="str">
        <f t="array" ref="M66">IFERROR(INDEX('Player Raw Data'!Z:Z,Match($A66,'Player Raw Data'!$B:$B,0)),"")</f>
        <v>0</v>
      </c>
      <c r="N66" t="str">
        <f t="array" ref="N66">IFERROR(INDEX('Player Raw Data'!AA:AA,Match($A66,'Player Raw Data'!$B:$B,0)),"")</f>
        <v>0</v>
      </c>
      <c r="O66" t="str">
        <f t="array" ref="O66">IFERROR(INDEX('Player Raw Data'!AB:AB,Match($A66,'Player Raw Data'!$B:$B,0)),"")</f>
        <v>0</v>
      </c>
      <c r="P66" t="str">
        <f t="array" ref="P66">IFERROR(INDEX('Player Raw Data'!AD:AD,Match($A66,'Player Raw Data'!$B:$B,0)),"")</f>
        <v>0</v>
      </c>
      <c r="Q66">
        <f t="shared" si="1"/>
        <v>0</v>
      </c>
      <c r="R66" s="9">
        <f t="shared" si="2"/>
        <v>0</v>
      </c>
      <c r="S66" s="14">
        <f t="shared" si="3"/>
        <v>0</v>
      </c>
      <c r="T66" s="15">
        <f>IFERROR(__xludf.DUMMYFUNCTION("IFERROR(PERCENTRANK.INC(FILTER(Q:Q,$F:$F&lt;&gt;""""),Q66)*100,"""")"),1.5)</f>
        <v>1.5</v>
      </c>
      <c r="U66" s="15">
        <f>IFERROR(__xludf.DUMMYFUNCTION("IFERROR(PERCENTRANK.INC(FILTER(R:R,$F:$F&lt;&gt;""""),R66)*100,"""")"),1.5)</f>
        <v>1.5</v>
      </c>
      <c r="V66" s="15">
        <f>IFERROR(__xludf.DUMMYFUNCTION("IFERROR(PERCENTRANK.INC(FILTER(S:S,$F:$F&lt;&gt;""""),S66)*100,"""")"),1.5)</f>
        <v>1.5</v>
      </c>
      <c r="W66" s="15">
        <f t="shared" si="4"/>
        <v>68.265</v>
      </c>
      <c r="X66" s="16"/>
      <c r="Y66" s="9"/>
      <c r="Z66" s="9"/>
    </row>
    <row r="67">
      <c r="A67" t="str">
        <f>IFERROR(__xludf.DUMMYFUNCTION("""COMPUTED_VALUE"""),"Bennett Stirtz")</f>
        <v>Bennett Stirtz</v>
      </c>
      <c r="B67" t="str">
        <f t="array" ref="B67">IFERROR(INDEX('Player Raw Data'!E:E,Match($A67,'Player Raw Data'!$B:$B,0)),"")</f>
        <v>PG</v>
      </c>
      <c r="C67" t="str">
        <f t="array" ref="C67">IFERROR(INDEX('Player Raw Data'!C:C,Match($A67,'Player Raw Data'!$B:$B,0)),"")</f>
        <v>23</v>
      </c>
      <c r="D67" t="str">
        <f t="array" ref="D67">IFERROR(IF(A67=A66, INDEX('Player Raw Data'!D:D,Match($A67,'Player Raw Data'!$B:$B,0)+2),INDEX('Player Raw Data'!D:D,Match($A67,'Player Raw Data'!$B:$B,0))),"")</f>
        <v>OKC</v>
      </c>
      <c r="E67" t="str">
        <f t="array" ref="E67">IFERROR(INDEX('Player Raw Data'!F:F,Match($A67,'Player Raw Data'!$B:$B,0)),"")</f>
        <v>1</v>
      </c>
      <c r="F67" t="str">
        <f t="array" ref="F67">IFERROR(INDEX('Player Raw Data'!H:H,Match($A67,'Player Raw Data'!$B:$B,0)),"")</f>
        <v>1</v>
      </c>
      <c r="G67" t="str">
        <f t="array" ref="G67">IFERROR(INDEX('Player Raw Data'!I:I,Match($A67,'Player Raw Data'!$B:$B,0)),"")</f>
        <v>0</v>
      </c>
      <c r="H67" t="str">
        <f t="array" ref="H67">IFERROR(INDEX('Player Raw Data'!J:J,Match($A67,'Player Raw Data'!$B:$B,0)),"")</f>
        <v>0</v>
      </c>
      <c r="I67" t="str">
        <f t="array" ref="I67">IFERROR(INDEX('Player Raw Data'!S:S,Match($A67,'Player Raw Data'!$B:$B,0)),"")</f>
        <v>0</v>
      </c>
      <c r="J67" t="str">
        <f t="array" ref="J67">IFERROR(INDEX('Player Raw Data'!T:T,Match($A67,'Player Raw Data'!$B:$B,0)),"")</f>
        <v>0</v>
      </c>
      <c r="K67" t="str">
        <f t="array" ref="K67">IFERROR(INDEX('Player Raw Data'!X:X,Match($A67,'Player Raw Data'!$B:$B,0)),"")</f>
        <v>0</v>
      </c>
      <c r="L67" t="str">
        <f t="array" ref="L67">IFERROR(INDEX('Player Raw Data'!Y:Y,Match($A67,'Player Raw Data'!$B:$B,0)),"")</f>
        <v>0</v>
      </c>
      <c r="M67" t="str">
        <f t="array" ref="M67">IFERROR(INDEX('Player Raw Data'!Z:Z,Match($A67,'Player Raw Data'!$B:$B,0)),"")</f>
        <v>0</v>
      </c>
      <c r="N67" t="str">
        <f t="array" ref="N67">IFERROR(INDEX('Player Raw Data'!AA:AA,Match($A67,'Player Raw Data'!$B:$B,0)),"")</f>
        <v>0</v>
      </c>
      <c r="O67" t="str">
        <f t="array" ref="O67">IFERROR(INDEX('Player Raw Data'!AB:AB,Match($A67,'Player Raw Data'!$B:$B,0)),"")</f>
        <v>0</v>
      </c>
      <c r="P67" t="str">
        <f t="array" ref="P67">IFERROR(INDEX('Player Raw Data'!AD:AD,Match($A67,'Player Raw Data'!$B:$B,0)),"")</f>
        <v>0</v>
      </c>
      <c r="Q67">
        <f t="shared" si="1"/>
        <v>0</v>
      </c>
      <c r="R67" s="9">
        <f t="shared" si="2"/>
        <v>0</v>
      </c>
      <c r="S67" s="14">
        <f t="shared" si="3"/>
        <v>0</v>
      </c>
      <c r="T67" s="15">
        <f>IFERROR(__xludf.DUMMYFUNCTION("IFERROR(PERCENTRANK.INC(FILTER(Q:Q,$F:$F&lt;&gt;""""),Q67)*100,"""")"),1.5)</f>
        <v>1.5</v>
      </c>
      <c r="U67" s="15">
        <f>IFERROR(__xludf.DUMMYFUNCTION("IFERROR(PERCENTRANK.INC(FILTER(R:R,$F:$F&lt;&gt;""""),R67)*100,"""")"),1.5)</f>
        <v>1.5</v>
      </c>
      <c r="V67" s="15">
        <f>IFERROR(__xludf.DUMMYFUNCTION("IFERROR(PERCENTRANK.INC(FILTER(S:S,$F:$F&lt;&gt;""""),S67)*100,"""")"),1.5)</f>
        <v>1.5</v>
      </c>
      <c r="W67" s="15">
        <f t="shared" si="4"/>
        <v>68.265</v>
      </c>
      <c r="X67" s="16"/>
      <c r="Y67" s="9"/>
      <c r="Z67" s="9"/>
    </row>
    <row r="68">
      <c r="A68" t="str">
        <f>IFERROR(__xludf.DUMMYFUNCTION("""COMPUTED_VALUE"""),"Jabari Walker")</f>
        <v>Jabari Walker</v>
      </c>
      <c r="B68" t="str">
        <f t="array" ref="B68">IFERROR(INDEX('Player Raw Data'!E:E,Match($A68,'Player Raw Data'!$B:$B,0)),"")</f>
        <v>SF</v>
      </c>
      <c r="C68" t="str">
        <f t="array" ref="C68">IFERROR(INDEX('Player Raw Data'!C:C,Match($A68,'Player Raw Data'!$B:$B,0)),"")</f>
        <v>24</v>
      </c>
      <c r="D68" t="str">
        <f t="array" ref="D68">IFERROR(IF(A68=A67, INDEX('Player Raw Data'!D:D,Match($A68,'Player Raw Data'!$B:$B,0)+2),INDEX('Player Raw Data'!D:D,Match($A68,'Player Raw Data'!$B:$B,0))),"")</f>
        <v>PHI</v>
      </c>
      <c r="E68" t="str">
        <f t="array" ref="E68">IFERROR(INDEX('Player Raw Data'!F:F,Match($A68,'Player Raw Data'!$B:$B,0)),"")</f>
        <v>1</v>
      </c>
      <c r="F68" t="str">
        <f t="array" ref="F68">IFERROR(INDEX('Player Raw Data'!H:H,Match($A68,'Player Raw Data'!$B:$B,0)),"")</f>
        <v>3</v>
      </c>
      <c r="G68" t="str">
        <f t="array" ref="G68">IFERROR(INDEX('Player Raw Data'!I:I,Match($A68,'Player Raw Data'!$B:$B,0)),"")</f>
        <v>0</v>
      </c>
      <c r="H68" t="str">
        <f t="array" ref="H68">IFERROR(INDEX('Player Raw Data'!J:J,Match($A68,'Player Raw Data'!$B:$B,0)),"")</f>
        <v>0</v>
      </c>
      <c r="I68" t="str">
        <f t="array" ref="I68">IFERROR(INDEX('Player Raw Data'!S:S,Match($A68,'Player Raw Data'!$B:$B,0)),"")</f>
        <v>0</v>
      </c>
      <c r="J68" t="str">
        <f t="array" ref="J68">IFERROR(INDEX('Player Raw Data'!T:T,Match($A68,'Player Raw Data'!$B:$B,0)),"")</f>
        <v>0</v>
      </c>
      <c r="K68" t="str">
        <f t="array" ref="K68">IFERROR(INDEX('Player Raw Data'!X:X,Match($A68,'Player Raw Data'!$B:$B,0)),"")</f>
        <v>0</v>
      </c>
      <c r="L68" t="str">
        <f t="array" ref="L68">IFERROR(INDEX('Player Raw Data'!Y:Y,Match($A68,'Player Raw Data'!$B:$B,0)),"")</f>
        <v>1</v>
      </c>
      <c r="M68" t="str">
        <f t="array" ref="M68">IFERROR(INDEX('Player Raw Data'!Z:Z,Match($A68,'Player Raw Data'!$B:$B,0)),"")</f>
        <v>0</v>
      </c>
      <c r="N68" t="str">
        <f t="array" ref="N68">IFERROR(INDEX('Player Raw Data'!AA:AA,Match($A68,'Player Raw Data'!$B:$B,0)),"")</f>
        <v>0</v>
      </c>
      <c r="O68" t="str">
        <f t="array" ref="O68">IFERROR(INDEX('Player Raw Data'!AB:AB,Match($A68,'Player Raw Data'!$B:$B,0)),"")</f>
        <v>0</v>
      </c>
      <c r="P68" t="str">
        <f t="array" ref="P68">IFERROR(INDEX('Player Raw Data'!AD:AD,Match($A68,'Player Raw Data'!$B:$B,0)),"")</f>
        <v>0</v>
      </c>
      <c r="Q68">
        <f t="shared" si="1"/>
        <v>1</v>
      </c>
      <c r="R68" s="9">
        <f t="shared" si="2"/>
        <v>1</v>
      </c>
      <c r="S68" s="14">
        <f t="shared" si="3"/>
        <v>0.3333333333</v>
      </c>
      <c r="T68" s="15">
        <f>IFERROR(__xludf.DUMMYFUNCTION("IFERROR(PERCENTRANK.INC(FILTER(Q:Q,$F:$F&lt;&gt;""""),Q68)*100,"""")"),6.0)</f>
        <v>6</v>
      </c>
      <c r="U68" s="15">
        <f>IFERROR(__xludf.DUMMYFUNCTION("IFERROR(PERCENTRANK.INC(FILTER(R:R,$F:$F&lt;&gt;""""),R68)*100,"""")"),6.0)</f>
        <v>6</v>
      </c>
      <c r="V68" s="15">
        <f>IFERROR(__xludf.DUMMYFUNCTION("IFERROR(PERCENTRANK.INC(FILTER(S:S,$F:$F&lt;&gt;""""),S68)*100,"""")"),25.4)</f>
        <v>25.4</v>
      </c>
      <c r="W68" s="15">
        <f t="shared" si="4"/>
        <v>118.11</v>
      </c>
      <c r="X68" s="16"/>
      <c r="Y68" s="9"/>
      <c r="Z68" s="9"/>
    </row>
    <row r="69">
      <c r="A69" t="str">
        <f>IFERROR(__xludf.DUMMYFUNCTION("""COMPUTED_VALUE"""),"Jordan Walsh")</f>
        <v>Jordan Walsh</v>
      </c>
      <c r="B69" t="str">
        <f t="array" ref="B69">IFERROR(INDEX('Player Raw Data'!E:E,Match($A69,'Player Raw Data'!$B:$B,0)),"")</f>
        <v>PF</v>
      </c>
      <c r="C69" t="str">
        <f t="array" ref="C69">IFERROR(INDEX('Player Raw Data'!C:C,Match($A69,'Player Raw Data'!$B:$B,0)),"")</f>
        <v>22</v>
      </c>
      <c r="D69" t="str">
        <f t="array" ref="D69">IFERROR(IF(A69=A68, INDEX('Player Raw Data'!D:D,Match($A69,'Player Raw Data'!$B:$B,0)+2),INDEX('Player Raw Data'!D:D,Match($A69,'Player Raw Data'!$B:$B,0))),"")</f>
        <v>BOS</v>
      </c>
      <c r="E69" t="str">
        <f t="array" ref="E69">IFERROR(INDEX('Player Raw Data'!F:F,Match($A69,'Player Raw Data'!$B:$B,0)),"")</f>
        <v>1</v>
      </c>
      <c r="F69" t="str">
        <f t="array" ref="F69">IFERROR(INDEX('Player Raw Data'!H:H,Match($A69,'Player Raw Data'!$B:$B,0)),"")</f>
        <v>13</v>
      </c>
      <c r="G69" t="str">
        <f t="array" ref="G69">IFERROR(INDEX('Player Raw Data'!I:I,Match($A69,'Player Raw Data'!$B:$B,0)),"")</f>
        <v>0</v>
      </c>
      <c r="H69" t="str">
        <f t="array" ref="H69">IFERROR(INDEX('Player Raw Data'!J:J,Match($A69,'Player Raw Data'!$B:$B,0)),"")</f>
        <v>2</v>
      </c>
      <c r="I69" t="str">
        <f t="array" ref="I69">IFERROR(INDEX('Player Raw Data'!S:S,Match($A69,'Player Raw Data'!$B:$B,0)),"")</f>
        <v>0</v>
      </c>
      <c r="J69" t="str">
        <f t="array" ref="J69">IFERROR(INDEX('Player Raw Data'!T:T,Match($A69,'Player Raw Data'!$B:$B,0)),"")</f>
        <v>0</v>
      </c>
      <c r="K69" t="str">
        <f t="array" ref="K69">IFERROR(INDEX('Player Raw Data'!X:X,Match($A69,'Player Raw Data'!$B:$B,0)),"")</f>
        <v>6</v>
      </c>
      <c r="L69" t="str">
        <f t="array" ref="L69">IFERROR(INDEX('Player Raw Data'!Y:Y,Match($A69,'Player Raw Data'!$B:$B,0)),"")</f>
        <v>1</v>
      </c>
      <c r="M69" t="str">
        <f t="array" ref="M69">IFERROR(INDEX('Player Raw Data'!Z:Z,Match($A69,'Player Raw Data'!$B:$B,0)),"")</f>
        <v>1</v>
      </c>
      <c r="N69" t="str">
        <f t="array" ref="N69">IFERROR(INDEX('Player Raw Data'!AA:AA,Match($A69,'Player Raw Data'!$B:$B,0)),"")</f>
        <v>1</v>
      </c>
      <c r="O69" t="str">
        <f t="array" ref="O69">IFERROR(INDEX('Player Raw Data'!AB:AB,Match($A69,'Player Raw Data'!$B:$B,0)),"")</f>
        <v>0</v>
      </c>
      <c r="P69" t="str">
        <f t="array" ref="P69">IFERROR(INDEX('Player Raw Data'!AD:AD,Match($A69,'Player Raw Data'!$B:$B,0)),"")</f>
        <v>0</v>
      </c>
      <c r="Q69">
        <f t="shared" si="1"/>
        <v>7</v>
      </c>
      <c r="R69" s="9">
        <f t="shared" si="2"/>
        <v>7</v>
      </c>
      <c r="S69" s="14">
        <f t="shared" si="3"/>
        <v>0.5384615385</v>
      </c>
      <c r="T69" s="15">
        <f>IFERROR(__xludf.DUMMYFUNCTION("IFERROR(PERCENTRANK.INC(FILTER(Q:Q,$F:$F&lt;&gt;""""),Q69)*100,"""")"),38.800000000000004)</f>
        <v>38.8</v>
      </c>
      <c r="U69" s="15">
        <f>IFERROR(__xludf.DUMMYFUNCTION("IFERROR(PERCENTRANK.INC(FILTER(R:R,$F:$F&lt;&gt;""""),R69)*100,"""")"),38.800000000000004)</f>
        <v>38.8</v>
      </c>
      <c r="V69" s="15">
        <f>IFERROR(__xludf.DUMMYFUNCTION("IFERROR(PERCENTRANK.INC(FILTER(S:S,$F:$F&lt;&gt;""""),S69)*100,"""")"),53.7)</f>
        <v>53.7</v>
      </c>
      <c r="W69" s="15">
        <f t="shared" si="4"/>
        <v>358.493</v>
      </c>
      <c r="X69" s="16"/>
      <c r="Y69" s="9"/>
      <c r="Z69" s="9"/>
    </row>
    <row r="70">
      <c r="A70" t="str">
        <f>IFERROR(__xludf.DUMMYFUNCTION("""COMPUTED_VALUE"""),"League Average")</f>
        <v>League Average</v>
      </c>
      <c r="B70" t="str">
        <f t="array" ref="B70">IFERROR(INDEX('Player Raw Data'!E:E,Match($A70,'Player Raw Data'!$B:$B,0)),"")</f>
        <v/>
      </c>
      <c r="C70" t="str">
        <f t="array" ref="C70">IFERROR(INDEX('Player Raw Data'!C:C,Match($A70,'Player Raw Data'!$B:$B,0)),"")</f>
        <v/>
      </c>
      <c r="D70" t="str">
        <f t="array" ref="D70">IFERROR(IF(A70=A69, INDEX('Player Raw Data'!D:D,Match($A70,'Player Raw Data'!$B:$B,0)+2),INDEX('Player Raw Data'!D:D,Match($A70,'Player Raw Data'!$B:$B,0))),"")</f>
        <v/>
      </c>
      <c r="E70" t="str">
        <f t="array" ref="E70">IFERROR(INDEX('Player Raw Data'!F:F,Match($A70,'Player Raw Data'!$B:$B,0)),"")</f>
        <v/>
      </c>
      <c r="F70" t="str">
        <f t="array" ref="F70">IFERROR(INDEX('Player Raw Data'!H:H,Match($A70,'Player Raw Data'!$B:$B,0)),"")</f>
        <v/>
      </c>
      <c r="G70" t="str">
        <f t="array" ref="G70">IFERROR(INDEX('Player Raw Data'!I:I,Match($A70,'Player Raw Data'!$B:$B,0)),"")</f>
        <v/>
      </c>
      <c r="H70" t="str">
        <f t="array" ref="H70">IFERROR(INDEX('Player Raw Data'!J:J,Match($A70,'Player Raw Data'!$B:$B,0)),"")</f>
        <v/>
      </c>
      <c r="I70" t="str">
        <f t="array" ref="I70">IFERROR(INDEX('Player Raw Data'!S:S,Match($A70,'Player Raw Data'!$B:$B,0)),"")</f>
        <v/>
      </c>
      <c r="J70" t="str">
        <f t="array" ref="J70">IFERROR(INDEX('Player Raw Data'!T:T,Match($A70,'Player Raw Data'!$B:$B,0)),"")</f>
        <v/>
      </c>
      <c r="K70" t="str">
        <f t="array" ref="K70">IFERROR(INDEX('Player Raw Data'!X:X,Match($A70,'Player Raw Data'!$B:$B,0)),"")</f>
        <v/>
      </c>
      <c r="L70" t="str">
        <f t="array" ref="L70">IFERROR(INDEX('Player Raw Data'!Y:Y,Match($A70,'Player Raw Data'!$B:$B,0)),"")</f>
        <v/>
      </c>
      <c r="M70" t="str">
        <f t="array" ref="M70">IFERROR(INDEX('Player Raw Data'!Z:Z,Match($A70,'Player Raw Data'!$B:$B,0)),"")</f>
        <v/>
      </c>
      <c r="N70" t="str">
        <f t="array" ref="N70">IFERROR(INDEX('Player Raw Data'!AA:AA,Match($A70,'Player Raw Data'!$B:$B,0)),"")</f>
        <v/>
      </c>
      <c r="O70" t="str">
        <f t="array" ref="O70">IFERROR(INDEX('Player Raw Data'!AB:AB,Match($A70,'Player Raw Data'!$B:$B,0)),"")</f>
        <v/>
      </c>
      <c r="P70" t="str">
        <f t="array" ref="P70">IFERROR(INDEX('Player Raw Data'!AD:AD,Match($A70,'Player Raw Data'!$B:$B,0)),"")</f>
        <v/>
      </c>
      <c r="Q70">
        <f t="shared" si="1"/>
        <v>0</v>
      </c>
      <c r="R70" s="9">
        <f t="shared" si="2"/>
        <v>0</v>
      </c>
      <c r="S70" s="14">
        <f t="shared" si="3"/>
        <v>0</v>
      </c>
      <c r="T70" s="15">
        <f>IFERROR(__xludf.DUMMYFUNCTION("IFERROR(PERCENTRANK.INC(FILTER(Q:Q,$F:$F&lt;&gt;""""),Q70)*100,"""")"),1.5)</f>
        <v>1.5</v>
      </c>
      <c r="U70" s="15">
        <f>IFERROR(__xludf.DUMMYFUNCTION("IFERROR(PERCENTRANK.INC(FILTER(R:R,$F:$F&lt;&gt;""""),R70)*100,"""")"),1.5)</f>
        <v>1.5</v>
      </c>
      <c r="V70" s="15">
        <f>IFERROR(__xludf.DUMMYFUNCTION("IFERROR(PERCENTRANK.INC(FILTER(S:S,$F:$F&lt;&gt;""""),S70)*100,"""")"),1.5)</f>
        <v>1.5</v>
      </c>
      <c r="W70" s="15">
        <f t="shared" si="4"/>
        <v>74.665</v>
      </c>
      <c r="X70" s="16"/>
      <c r="Y70" s="9"/>
      <c r="Z70" s="9"/>
    </row>
    <row r="71">
      <c r="B71" t="str">
        <f t="array" ref="B71">IFERROR(INDEX('Player Raw Data'!E:E,Match($A71,'Player Raw Data'!$B:$B,0)),"")</f>
        <v/>
      </c>
      <c r="C71" t="str">
        <f t="array" ref="C71">IFERROR(INDEX('Player Raw Data'!C:C,Match($A71,'Player Raw Data'!$B:$B,0)),"")</f>
        <v/>
      </c>
      <c r="D71" t="str">
        <f t="array" ref="D71">IFERROR(IF(A71=A70, INDEX('Player Raw Data'!D:D,Match($A71,'Player Raw Data'!$B:$B,0)+2),INDEX('Player Raw Data'!D:D,Match($A71,'Player Raw Data'!$B:$B,0))),"")</f>
        <v/>
      </c>
      <c r="E71" t="str">
        <f t="array" ref="E71">IFERROR(INDEX('Player Raw Data'!F:F,Match($A71,'Player Raw Data'!$B:$B,0)),"")</f>
        <v/>
      </c>
      <c r="F71" t="str">
        <f t="array" ref="F71">IFERROR(INDEX('Player Raw Data'!H:H,Match($A71,'Player Raw Data'!$B:$B,0)),"")</f>
        <v/>
      </c>
      <c r="G71" t="str">
        <f t="array" ref="G71">IFERROR(INDEX('Player Raw Data'!I:I,Match($A71,'Player Raw Data'!$B:$B,0)),"")</f>
        <v/>
      </c>
      <c r="H71" t="str">
        <f t="array" ref="H71">IFERROR(INDEX('Player Raw Data'!J:J,Match($A71,'Player Raw Data'!$B:$B,0)),"")</f>
        <v/>
      </c>
      <c r="I71" t="str">
        <f t="array" ref="I71">IFERROR(INDEX('Player Raw Data'!S:S,Match($A71,'Player Raw Data'!$B:$B,0)),"")</f>
        <v/>
      </c>
      <c r="J71" t="str">
        <f t="array" ref="J71">IFERROR(INDEX('Player Raw Data'!T:T,Match($A71,'Player Raw Data'!$B:$B,0)),"")</f>
        <v/>
      </c>
      <c r="K71" t="str">
        <f t="array" ref="K71">IFERROR(INDEX('Player Raw Data'!X:X,Match($A71,'Player Raw Data'!$B:$B,0)),"")</f>
        <v/>
      </c>
      <c r="L71" t="str">
        <f t="array" ref="L71">IFERROR(INDEX('Player Raw Data'!Y:Y,Match($A71,'Player Raw Data'!$B:$B,0)),"")</f>
        <v/>
      </c>
      <c r="M71" t="str">
        <f t="array" ref="M71">IFERROR(INDEX('Player Raw Data'!Z:Z,Match($A71,'Player Raw Data'!$B:$B,0)),"")</f>
        <v/>
      </c>
      <c r="N71" t="str">
        <f t="array" ref="N71">IFERROR(INDEX('Player Raw Data'!AA:AA,Match($A71,'Player Raw Data'!$B:$B,0)),"")</f>
        <v/>
      </c>
      <c r="O71" t="str">
        <f t="array" ref="O71">IFERROR(INDEX('Player Raw Data'!AB:AB,Match($A71,'Player Raw Data'!$B:$B,0)),"")</f>
        <v/>
      </c>
      <c r="P71" t="str">
        <f t="array" ref="P71">IFERROR(INDEX('Player Raw Data'!AD:AD,Match($A71,'Player Raw Data'!$B:$B,0)),"")</f>
        <v/>
      </c>
      <c r="Q71">
        <f t="shared" si="1"/>
        <v>0</v>
      </c>
      <c r="R71" s="9">
        <f t="shared" si="2"/>
        <v>0</v>
      </c>
      <c r="S71" s="14">
        <f t="shared" si="3"/>
        <v>0</v>
      </c>
      <c r="T71" s="15">
        <f>IFERROR(__xludf.DUMMYFUNCTION("IFERROR(PERCENTRANK.INC(FILTER(Q:Q,$F:$F&lt;&gt;""""),Q71)*100,"""")"),1.5)</f>
        <v>1.5</v>
      </c>
      <c r="U71" s="15">
        <f>IFERROR(__xludf.DUMMYFUNCTION("IFERROR(PERCENTRANK.INC(FILTER(R:R,$F:$F&lt;&gt;""""),R71)*100,"""")"),1.5)</f>
        <v>1.5</v>
      </c>
      <c r="V71" s="15">
        <f>IFERROR(__xludf.DUMMYFUNCTION("IFERROR(PERCENTRANK.INC(FILTER(S:S,$F:$F&lt;&gt;""""),S71)*100,"""")"),1.5)</f>
        <v>1.5</v>
      </c>
      <c r="W71" s="15" t="str">
        <f t="shared" si="4"/>
        <v/>
      </c>
      <c r="X71" s="16"/>
      <c r="Y71" s="9"/>
      <c r="Z71" s="9"/>
    </row>
    <row r="72">
      <c r="B72" t="str">
        <f t="array" ref="B72">IFERROR(INDEX('Player Raw Data'!E:E,Match($A72,'Player Raw Data'!$B:$B,0)),"")</f>
        <v/>
      </c>
      <c r="C72" t="str">
        <f t="array" ref="C72">IFERROR(INDEX('Player Raw Data'!C:C,Match($A72,'Player Raw Data'!$B:$B,0)),"")</f>
        <v/>
      </c>
      <c r="D72" t="str">
        <f t="array" ref="D72">IFERROR(IF(A72=A71, INDEX('Player Raw Data'!D:D,Match($A72,'Player Raw Data'!$B:$B,0)+2),INDEX('Player Raw Data'!D:D,Match($A72,'Player Raw Data'!$B:$B,0))),"")</f>
        <v/>
      </c>
      <c r="E72" t="str">
        <f t="array" ref="E72">IFERROR(INDEX('Player Raw Data'!F:F,Match($A72,'Player Raw Data'!$B:$B,0)),"")</f>
        <v/>
      </c>
      <c r="F72" t="str">
        <f t="array" ref="F72">IFERROR(INDEX('Player Raw Data'!H:H,Match($A72,'Player Raw Data'!$B:$B,0)),"")</f>
        <v/>
      </c>
      <c r="G72" t="str">
        <f t="array" ref="G72">IFERROR(INDEX('Player Raw Data'!I:I,Match($A72,'Player Raw Data'!$B:$B,0)),"")</f>
        <v/>
      </c>
      <c r="H72" t="str">
        <f t="array" ref="H72">IFERROR(INDEX('Player Raw Data'!J:J,Match($A72,'Player Raw Data'!$B:$B,0)),"")</f>
        <v/>
      </c>
      <c r="I72" t="str">
        <f t="array" ref="I72">IFERROR(INDEX('Player Raw Data'!S:S,Match($A72,'Player Raw Data'!$B:$B,0)),"")</f>
        <v/>
      </c>
      <c r="J72" t="str">
        <f t="array" ref="J72">IFERROR(INDEX('Player Raw Data'!T:T,Match($A72,'Player Raw Data'!$B:$B,0)),"")</f>
        <v/>
      </c>
      <c r="K72" t="str">
        <f t="array" ref="K72">IFERROR(INDEX('Player Raw Data'!X:X,Match($A72,'Player Raw Data'!$B:$B,0)),"")</f>
        <v/>
      </c>
      <c r="L72" t="str">
        <f t="array" ref="L72">IFERROR(INDEX('Player Raw Data'!Y:Y,Match($A72,'Player Raw Data'!$B:$B,0)),"")</f>
        <v/>
      </c>
      <c r="M72" t="str">
        <f t="array" ref="M72">IFERROR(INDEX('Player Raw Data'!Z:Z,Match($A72,'Player Raw Data'!$B:$B,0)),"")</f>
        <v/>
      </c>
      <c r="N72" t="str">
        <f t="array" ref="N72">IFERROR(INDEX('Player Raw Data'!AA:AA,Match($A72,'Player Raw Data'!$B:$B,0)),"")</f>
        <v/>
      </c>
      <c r="O72" t="str">
        <f t="array" ref="O72">IFERROR(INDEX('Player Raw Data'!AB:AB,Match($A72,'Player Raw Data'!$B:$B,0)),"")</f>
        <v/>
      </c>
      <c r="P72" t="str">
        <f t="array" ref="P72">IFERROR(INDEX('Player Raw Data'!AD:AD,Match($A72,'Player Raw Data'!$B:$B,0)),"")</f>
        <v/>
      </c>
      <c r="Q72">
        <f t="shared" si="1"/>
        <v>0</v>
      </c>
      <c r="R72" s="9">
        <f t="shared" si="2"/>
        <v>0</v>
      </c>
      <c r="S72" s="14">
        <f t="shared" si="3"/>
        <v>0</v>
      </c>
      <c r="T72" s="15">
        <f>IFERROR(__xludf.DUMMYFUNCTION("IFERROR(PERCENTRANK.INC(FILTER(Q:Q,$F:$F&lt;&gt;""""),Q72)*100,"""")"),1.5)</f>
        <v>1.5</v>
      </c>
      <c r="U72" s="15">
        <f>IFERROR(__xludf.DUMMYFUNCTION("IFERROR(PERCENTRANK.INC(FILTER(R:R,$F:$F&lt;&gt;""""),R72)*100,"""")"),1.5)</f>
        <v>1.5</v>
      </c>
      <c r="V72" s="15">
        <f>IFERROR(__xludf.DUMMYFUNCTION("IFERROR(PERCENTRANK.INC(FILTER(S:S,$F:$F&lt;&gt;""""),S72)*100,"""")"),1.5)</f>
        <v>1.5</v>
      </c>
      <c r="W72" s="15" t="str">
        <f t="shared" si="4"/>
        <v/>
      </c>
      <c r="X72" s="16"/>
      <c r="Y72" s="9"/>
      <c r="Z72" s="9"/>
    </row>
    <row r="73">
      <c r="B73" t="str">
        <f t="array" ref="B73">IFERROR(INDEX('Player Raw Data'!E:E,Match($A73,'Player Raw Data'!$B:$B,0)),"")</f>
        <v/>
      </c>
      <c r="C73" t="str">
        <f t="array" ref="C73">IFERROR(INDEX('Player Raw Data'!C:C,Match($A73,'Player Raw Data'!$B:$B,0)),"")</f>
        <v/>
      </c>
      <c r="D73" t="str">
        <f t="array" ref="D73">IFERROR(IF(A73=A72, INDEX('Player Raw Data'!D:D,Match($A73,'Player Raw Data'!$B:$B,0)+2),INDEX('Player Raw Data'!D:D,Match($A73,'Player Raw Data'!$B:$B,0))),"")</f>
        <v/>
      </c>
      <c r="E73" t="str">
        <f t="array" ref="E73">IFERROR(INDEX('Player Raw Data'!F:F,Match($A73,'Player Raw Data'!$B:$B,0)),"")</f>
        <v/>
      </c>
      <c r="F73" t="str">
        <f t="array" ref="F73">IFERROR(INDEX('Player Raw Data'!H:H,Match($A73,'Player Raw Data'!$B:$B,0)),"")</f>
        <v/>
      </c>
      <c r="G73" t="str">
        <f t="array" ref="G73">IFERROR(INDEX('Player Raw Data'!I:I,Match($A73,'Player Raw Data'!$B:$B,0)),"")</f>
        <v/>
      </c>
      <c r="H73" t="str">
        <f t="array" ref="H73">IFERROR(INDEX('Player Raw Data'!J:J,Match($A73,'Player Raw Data'!$B:$B,0)),"")</f>
        <v/>
      </c>
      <c r="I73" t="str">
        <f t="array" ref="I73">IFERROR(INDEX('Player Raw Data'!S:S,Match($A73,'Player Raw Data'!$B:$B,0)),"")</f>
        <v/>
      </c>
      <c r="J73" t="str">
        <f t="array" ref="J73">IFERROR(INDEX('Player Raw Data'!T:T,Match($A73,'Player Raw Data'!$B:$B,0)),"")</f>
        <v/>
      </c>
      <c r="K73" t="str">
        <f t="array" ref="K73">IFERROR(INDEX('Player Raw Data'!X:X,Match($A73,'Player Raw Data'!$B:$B,0)),"")</f>
        <v/>
      </c>
      <c r="L73" t="str">
        <f t="array" ref="L73">IFERROR(INDEX('Player Raw Data'!Y:Y,Match($A73,'Player Raw Data'!$B:$B,0)),"")</f>
        <v/>
      </c>
      <c r="M73" t="str">
        <f t="array" ref="M73">IFERROR(INDEX('Player Raw Data'!Z:Z,Match($A73,'Player Raw Data'!$B:$B,0)),"")</f>
        <v/>
      </c>
      <c r="N73" t="str">
        <f t="array" ref="N73">IFERROR(INDEX('Player Raw Data'!AA:AA,Match($A73,'Player Raw Data'!$B:$B,0)),"")</f>
        <v/>
      </c>
      <c r="O73" t="str">
        <f t="array" ref="O73">IFERROR(INDEX('Player Raw Data'!AB:AB,Match($A73,'Player Raw Data'!$B:$B,0)),"")</f>
        <v/>
      </c>
      <c r="P73" t="str">
        <f t="array" ref="P73">IFERROR(INDEX('Player Raw Data'!AD:AD,Match($A73,'Player Raw Data'!$B:$B,0)),"")</f>
        <v/>
      </c>
      <c r="Q73">
        <f t="shared" si="1"/>
        <v>0</v>
      </c>
      <c r="R73" s="9">
        <f t="shared" si="2"/>
        <v>0</v>
      </c>
      <c r="S73" s="14">
        <f t="shared" si="3"/>
        <v>0</v>
      </c>
      <c r="T73" s="15">
        <f>IFERROR(__xludf.DUMMYFUNCTION("IFERROR(PERCENTRANK.INC(FILTER(Q:Q,$F:$F&lt;&gt;""""),Q73)*100,"""")"),1.5)</f>
        <v>1.5</v>
      </c>
      <c r="U73" s="15">
        <f>IFERROR(__xludf.DUMMYFUNCTION("IFERROR(PERCENTRANK.INC(FILTER(R:R,$F:$F&lt;&gt;""""),R73)*100,"""")"),1.5)</f>
        <v>1.5</v>
      </c>
      <c r="V73" s="15">
        <f>IFERROR(__xludf.DUMMYFUNCTION("IFERROR(PERCENTRANK.INC(FILTER(S:S,$F:$F&lt;&gt;""""),S73)*100,"""")"),1.5)</f>
        <v>1.5</v>
      </c>
      <c r="W73" s="15" t="str">
        <f t="shared" si="4"/>
        <v/>
      </c>
      <c r="X73" s="16"/>
      <c r="Y73" s="9"/>
      <c r="Z73" s="9"/>
    </row>
    <row r="74">
      <c r="B74" t="str">
        <f t="array" ref="B74">IFERROR(INDEX('Player Raw Data'!E:E,Match($A74,'Player Raw Data'!$B:$B,0)),"")</f>
        <v/>
      </c>
      <c r="C74" t="str">
        <f t="array" ref="C74">IFERROR(INDEX('Player Raw Data'!C:C,Match($A74,'Player Raw Data'!$B:$B,0)),"")</f>
        <v/>
      </c>
      <c r="D74" t="str">
        <f t="array" ref="D74">IFERROR(IF(A74=A73, INDEX('Player Raw Data'!D:D,Match($A74,'Player Raw Data'!$B:$B,0)+2),INDEX('Player Raw Data'!D:D,Match($A74,'Player Raw Data'!$B:$B,0))),"")</f>
        <v/>
      </c>
      <c r="E74" t="str">
        <f t="array" ref="E74">IFERROR(INDEX('Player Raw Data'!F:F,Match($A74,'Player Raw Data'!$B:$B,0)),"")</f>
        <v/>
      </c>
      <c r="F74" t="str">
        <f t="array" ref="F74">IFERROR(INDEX('Player Raw Data'!H:H,Match($A74,'Player Raw Data'!$B:$B,0)),"")</f>
        <v/>
      </c>
      <c r="G74" t="str">
        <f t="array" ref="G74">IFERROR(INDEX('Player Raw Data'!I:I,Match($A74,'Player Raw Data'!$B:$B,0)),"")</f>
        <v/>
      </c>
      <c r="H74" t="str">
        <f t="array" ref="H74">IFERROR(INDEX('Player Raw Data'!J:J,Match($A74,'Player Raw Data'!$B:$B,0)),"")</f>
        <v/>
      </c>
      <c r="I74" t="str">
        <f t="array" ref="I74">IFERROR(INDEX('Player Raw Data'!S:S,Match($A74,'Player Raw Data'!$B:$B,0)),"")</f>
        <v/>
      </c>
      <c r="J74" t="str">
        <f t="array" ref="J74">IFERROR(INDEX('Player Raw Data'!T:T,Match($A74,'Player Raw Data'!$B:$B,0)),"")</f>
        <v/>
      </c>
      <c r="K74" t="str">
        <f t="array" ref="K74">IFERROR(INDEX('Player Raw Data'!X:X,Match($A74,'Player Raw Data'!$B:$B,0)),"")</f>
        <v/>
      </c>
      <c r="L74" t="str">
        <f t="array" ref="L74">IFERROR(INDEX('Player Raw Data'!Y:Y,Match($A74,'Player Raw Data'!$B:$B,0)),"")</f>
        <v/>
      </c>
      <c r="M74" t="str">
        <f t="array" ref="M74">IFERROR(INDEX('Player Raw Data'!Z:Z,Match($A74,'Player Raw Data'!$B:$B,0)),"")</f>
        <v/>
      </c>
      <c r="N74" t="str">
        <f t="array" ref="N74">IFERROR(INDEX('Player Raw Data'!AA:AA,Match($A74,'Player Raw Data'!$B:$B,0)),"")</f>
        <v/>
      </c>
      <c r="O74" t="str">
        <f t="array" ref="O74">IFERROR(INDEX('Player Raw Data'!AB:AB,Match($A74,'Player Raw Data'!$B:$B,0)),"")</f>
        <v/>
      </c>
      <c r="P74" t="str">
        <f t="array" ref="P74">IFERROR(INDEX('Player Raw Data'!AD:AD,Match($A74,'Player Raw Data'!$B:$B,0)),"")</f>
        <v/>
      </c>
      <c r="Q74">
        <f t="shared" si="1"/>
        <v>0</v>
      </c>
      <c r="R74" s="9">
        <f t="shared" si="2"/>
        <v>0</v>
      </c>
      <c r="S74" s="14">
        <f t="shared" si="3"/>
        <v>0</v>
      </c>
      <c r="T74" s="15">
        <f>IFERROR(__xludf.DUMMYFUNCTION("IFERROR(PERCENTRANK.INC(FILTER(Q:Q,$F:$F&lt;&gt;""""),Q74)*100,"""")"),1.5)</f>
        <v>1.5</v>
      </c>
      <c r="U74" s="15">
        <f>IFERROR(__xludf.DUMMYFUNCTION("IFERROR(PERCENTRANK.INC(FILTER(R:R,$F:$F&lt;&gt;""""),R74)*100,"""")"),1.5)</f>
        <v>1.5</v>
      </c>
      <c r="V74" s="15">
        <f>IFERROR(__xludf.DUMMYFUNCTION("IFERROR(PERCENTRANK.INC(FILTER(S:S,$F:$F&lt;&gt;""""),S74)*100,"""")"),1.5)</f>
        <v>1.5</v>
      </c>
      <c r="W74" s="15" t="str">
        <f t="shared" si="4"/>
        <v/>
      </c>
      <c r="X74" s="16"/>
      <c r="Y74" s="9"/>
      <c r="Z74" s="9"/>
    </row>
    <row r="75">
      <c r="B75" t="str">
        <f t="array" ref="B75">IFERROR(INDEX('Player Raw Data'!E:E,Match($A75,'Player Raw Data'!$B:$B,0)),"")</f>
        <v/>
      </c>
      <c r="C75" t="str">
        <f t="array" ref="C75">IFERROR(INDEX('Player Raw Data'!C:C,Match($A75,'Player Raw Data'!$B:$B,0)),"")</f>
        <v/>
      </c>
      <c r="D75" t="str">
        <f t="array" ref="D75">IFERROR(IF(A75=A74, INDEX('Player Raw Data'!D:D,Match($A75,'Player Raw Data'!$B:$B,0)+2),INDEX('Player Raw Data'!D:D,Match($A75,'Player Raw Data'!$B:$B,0))),"")</f>
        <v/>
      </c>
      <c r="E75" t="str">
        <f t="array" ref="E75">IFERROR(INDEX('Player Raw Data'!F:F,Match($A75,'Player Raw Data'!$B:$B,0)),"")</f>
        <v/>
      </c>
      <c r="F75" t="str">
        <f t="array" ref="F75">IFERROR(INDEX('Player Raw Data'!H:H,Match($A75,'Player Raw Data'!$B:$B,0)),"")</f>
        <v/>
      </c>
      <c r="G75" t="str">
        <f t="array" ref="G75">IFERROR(INDEX('Player Raw Data'!I:I,Match($A75,'Player Raw Data'!$B:$B,0)),"")</f>
        <v/>
      </c>
      <c r="H75" t="str">
        <f t="array" ref="H75">IFERROR(INDEX('Player Raw Data'!J:J,Match($A75,'Player Raw Data'!$B:$B,0)),"")</f>
        <v/>
      </c>
      <c r="I75" t="str">
        <f t="array" ref="I75">IFERROR(INDEX('Player Raw Data'!S:S,Match($A75,'Player Raw Data'!$B:$B,0)),"")</f>
        <v/>
      </c>
      <c r="J75" t="str">
        <f t="array" ref="J75">IFERROR(INDEX('Player Raw Data'!T:T,Match($A75,'Player Raw Data'!$B:$B,0)),"")</f>
        <v/>
      </c>
      <c r="K75" t="str">
        <f t="array" ref="K75">IFERROR(INDEX('Player Raw Data'!X:X,Match($A75,'Player Raw Data'!$B:$B,0)),"")</f>
        <v/>
      </c>
      <c r="L75" t="str">
        <f t="array" ref="L75">IFERROR(INDEX('Player Raw Data'!Y:Y,Match($A75,'Player Raw Data'!$B:$B,0)),"")</f>
        <v/>
      </c>
      <c r="M75" t="str">
        <f t="array" ref="M75">IFERROR(INDEX('Player Raw Data'!Z:Z,Match($A75,'Player Raw Data'!$B:$B,0)),"")</f>
        <v/>
      </c>
      <c r="N75" t="str">
        <f t="array" ref="N75">IFERROR(INDEX('Player Raw Data'!AA:AA,Match($A75,'Player Raw Data'!$B:$B,0)),"")</f>
        <v/>
      </c>
      <c r="O75" t="str">
        <f t="array" ref="O75">IFERROR(INDEX('Player Raw Data'!AB:AB,Match($A75,'Player Raw Data'!$B:$B,0)),"")</f>
        <v/>
      </c>
      <c r="P75" t="str">
        <f t="array" ref="P75">IFERROR(INDEX('Player Raw Data'!AD:AD,Match($A75,'Player Raw Data'!$B:$B,0)),"")</f>
        <v/>
      </c>
      <c r="Q75">
        <f t="shared" si="1"/>
        <v>0</v>
      </c>
      <c r="R75" s="9">
        <f t="shared" si="2"/>
        <v>0</v>
      </c>
      <c r="S75" s="14">
        <f t="shared" si="3"/>
        <v>0</v>
      </c>
      <c r="T75" s="15">
        <f>IFERROR(__xludf.DUMMYFUNCTION("IFERROR(PERCENTRANK.INC(FILTER(Q:Q,$F:$F&lt;&gt;""""),Q75)*100,"""")"),1.5)</f>
        <v>1.5</v>
      </c>
      <c r="U75" s="15">
        <f>IFERROR(__xludf.DUMMYFUNCTION("IFERROR(PERCENTRANK.INC(FILTER(R:R,$F:$F&lt;&gt;""""),R75)*100,"""")"),1.5)</f>
        <v>1.5</v>
      </c>
      <c r="V75" s="15">
        <f>IFERROR(__xludf.DUMMYFUNCTION("IFERROR(PERCENTRANK.INC(FILTER(S:S,$F:$F&lt;&gt;""""),S75)*100,"""")"),1.5)</f>
        <v>1.5</v>
      </c>
      <c r="W75" s="15" t="str">
        <f t="shared" si="4"/>
        <v/>
      </c>
      <c r="X75" s="16"/>
      <c r="Y75" s="9"/>
      <c r="Z75" s="9"/>
    </row>
    <row r="76">
      <c r="B76" t="str">
        <f t="array" ref="B76">IFERROR(INDEX('Player Raw Data'!E:E,Match($A76,'Player Raw Data'!$B:$B,0)),"")</f>
        <v/>
      </c>
      <c r="C76" t="str">
        <f t="array" ref="C76">IFERROR(INDEX('Player Raw Data'!C:C,Match($A76,'Player Raw Data'!$B:$B,0)),"")</f>
        <v/>
      </c>
      <c r="D76" t="str">
        <f t="array" ref="D76">IFERROR(IF(A76=A75, INDEX('Player Raw Data'!D:D,Match($A76,'Player Raw Data'!$B:$B,0)+2),INDEX('Player Raw Data'!D:D,Match($A76,'Player Raw Data'!$B:$B,0))),"")</f>
        <v/>
      </c>
      <c r="E76" t="str">
        <f t="array" ref="E76">IFERROR(INDEX('Player Raw Data'!F:F,Match($A76,'Player Raw Data'!$B:$B,0)),"")</f>
        <v/>
      </c>
      <c r="F76" t="str">
        <f t="array" ref="F76">IFERROR(INDEX('Player Raw Data'!H:H,Match($A76,'Player Raw Data'!$B:$B,0)),"")</f>
        <v/>
      </c>
      <c r="G76" t="str">
        <f t="array" ref="G76">IFERROR(INDEX('Player Raw Data'!I:I,Match($A76,'Player Raw Data'!$B:$B,0)),"")</f>
        <v/>
      </c>
      <c r="H76" t="str">
        <f t="array" ref="H76">IFERROR(INDEX('Player Raw Data'!J:J,Match($A76,'Player Raw Data'!$B:$B,0)),"")</f>
        <v/>
      </c>
      <c r="I76" t="str">
        <f t="array" ref="I76">IFERROR(INDEX('Player Raw Data'!S:S,Match($A76,'Player Raw Data'!$B:$B,0)),"")</f>
        <v/>
      </c>
      <c r="J76" t="str">
        <f t="array" ref="J76">IFERROR(INDEX('Player Raw Data'!T:T,Match($A76,'Player Raw Data'!$B:$B,0)),"")</f>
        <v/>
      </c>
      <c r="K76" t="str">
        <f t="array" ref="K76">IFERROR(INDEX('Player Raw Data'!X:X,Match($A76,'Player Raw Data'!$B:$B,0)),"")</f>
        <v/>
      </c>
      <c r="L76" t="str">
        <f t="array" ref="L76">IFERROR(INDEX('Player Raw Data'!Y:Y,Match($A76,'Player Raw Data'!$B:$B,0)),"")</f>
        <v/>
      </c>
      <c r="M76" t="str">
        <f t="array" ref="M76">IFERROR(INDEX('Player Raw Data'!Z:Z,Match($A76,'Player Raw Data'!$B:$B,0)),"")</f>
        <v/>
      </c>
      <c r="N76" t="str">
        <f t="array" ref="N76">IFERROR(INDEX('Player Raw Data'!AA:AA,Match($A76,'Player Raw Data'!$B:$B,0)),"")</f>
        <v/>
      </c>
      <c r="O76" t="str">
        <f t="array" ref="O76">IFERROR(INDEX('Player Raw Data'!AB:AB,Match($A76,'Player Raw Data'!$B:$B,0)),"")</f>
        <v/>
      </c>
      <c r="P76" t="str">
        <f t="array" ref="P76">IFERROR(INDEX('Player Raw Data'!AD:AD,Match($A76,'Player Raw Data'!$B:$B,0)),"")</f>
        <v/>
      </c>
      <c r="Q76">
        <f t="shared" si="1"/>
        <v>0</v>
      </c>
      <c r="R76" s="9">
        <f t="shared" si="2"/>
        <v>0</v>
      </c>
      <c r="S76" s="14">
        <f t="shared" si="3"/>
        <v>0</v>
      </c>
      <c r="T76" s="15">
        <f>IFERROR(__xludf.DUMMYFUNCTION("IFERROR(PERCENTRANK.INC(FILTER(Q:Q,$F:$F&lt;&gt;""""),Q76)*100,"""")"),1.5)</f>
        <v>1.5</v>
      </c>
      <c r="U76" s="15">
        <f>IFERROR(__xludf.DUMMYFUNCTION("IFERROR(PERCENTRANK.INC(FILTER(R:R,$F:$F&lt;&gt;""""),R76)*100,"""")"),1.5)</f>
        <v>1.5</v>
      </c>
      <c r="V76" s="15">
        <f>IFERROR(__xludf.DUMMYFUNCTION("IFERROR(PERCENTRANK.INC(FILTER(S:S,$F:$F&lt;&gt;""""),S76)*100,"""")"),1.5)</f>
        <v>1.5</v>
      </c>
      <c r="W76" s="15" t="str">
        <f t="shared" si="4"/>
        <v/>
      </c>
      <c r="X76" s="16"/>
      <c r="Y76" s="9"/>
      <c r="Z76" s="9"/>
    </row>
    <row r="77">
      <c r="B77" t="str">
        <f t="array" ref="B77">IFERROR(INDEX('Player Raw Data'!E:E,Match($A77,'Player Raw Data'!$B:$B,0)),"")</f>
        <v/>
      </c>
      <c r="C77" t="str">
        <f t="array" ref="C77">IFERROR(INDEX('Player Raw Data'!C:C,Match($A77,'Player Raw Data'!$B:$B,0)),"")</f>
        <v/>
      </c>
      <c r="D77" t="str">
        <f t="array" ref="D77">IFERROR(IF(A77=A76, INDEX('Player Raw Data'!D:D,Match($A77,'Player Raw Data'!$B:$B,0)+2),INDEX('Player Raw Data'!D:D,Match($A77,'Player Raw Data'!$B:$B,0))),"")</f>
        <v/>
      </c>
      <c r="E77" t="str">
        <f t="array" ref="E77">IFERROR(INDEX('Player Raw Data'!F:F,Match($A77,'Player Raw Data'!$B:$B,0)),"")</f>
        <v/>
      </c>
      <c r="F77" t="str">
        <f t="array" ref="F77">IFERROR(INDEX('Player Raw Data'!H:H,Match($A77,'Player Raw Data'!$B:$B,0)),"")</f>
        <v/>
      </c>
      <c r="G77" t="str">
        <f t="array" ref="G77">IFERROR(INDEX('Player Raw Data'!I:I,Match($A77,'Player Raw Data'!$B:$B,0)),"")</f>
        <v/>
      </c>
      <c r="H77" t="str">
        <f t="array" ref="H77">IFERROR(INDEX('Player Raw Data'!J:J,Match($A77,'Player Raw Data'!$B:$B,0)),"")</f>
        <v/>
      </c>
      <c r="I77" t="str">
        <f t="array" ref="I77">IFERROR(INDEX('Player Raw Data'!S:S,Match($A77,'Player Raw Data'!$B:$B,0)),"")</f>
        <v/>
      </c>
      <c r="J77" t="str">
        <f t="array" ref="J77">IFERROR(INDEX('Player Raw Data'!T:T,Match($A77,'Player Raw Data'!$B:$B,0)),"")</f>
        <v/>
      </c>
      <c r="K77" t="str">
        <f t="array" ref="K77">IFERROR(INDEX('Player Raw Data'!X:X,Match($A77,'Player Raw Data'!$B:$B,0)),"")</f>
        <v/>
      </c>
      <c r="L77" t="str">
        <f t="array" ref="L77">IFERROR(INDEX('Player Raw Data'!Y:Y,Match($A77,'Player Raw Data'!$B:$B,0)),"")</f>
        <v/>
      </c>
      <c r="M77" t="str">
        <f t="array" ref="M77">IFERROR(INDEX('Player Raw Data'!Z:Z,Match($A77,'Player Raw Data'!$B:$B,0)),"")</f>
        <v/>
      </c>
      <c r="N77" t="str">
        <f t="array" ref="N77">IFERROR(INDEX('Player Raw Data'!AA:AA,Match($A77,'Player Raw Data'!$B:$B,0)),"")</f>
        <v/>
      </c>
      <c r="O77" t="str">
        <f t="array" ref="O77">IFERROR(INDEX('Player Raw Data'!AB:AB,Match($A77,'Player Raw Data'!$B:$B,0)),"")</f>
        <v/>
      </c>
      <c r="P77" t="str">
        <f t="array" ref="P77">IFERROR(INDEX('Player Raw Data'!AD:AD,Match($A77,'Player Raw Data'!$B:$B,0)),"")</f>
        <v/>
      </c>
      <c r="Q77">
        <f t="shared" si="1"/>
        <v>0</v>
      </c>
      <c r="R77" s="9">
        <f t="shared" si="2"/>
        <v>0</v>
      </c>
      <c r="S77" s="14">
        <f t="shared" si="3"/>
        <v>0</v>
      </c>
      <c r="T77" s="15">
        <f>IFERROR(__xludf.DUMMYFUNCTION("IFERROR(PERCENTRANK.INC(FILTER(Q:Q,$F:$F&lt;&gt;""""),Q77)*100,"""")"),1.5)</f>
        <v>1.5</v>
      </c>
      <c r="U77" s="15">
        <f>IFERROR(__xludf.DUMMYFUNCTION("IFERROR(PERCENTRANK.INC(FILTER(R:R,$F:$F&lt;&gt;""""),R77)*100,"""")"),1.5)</f>
        <v>1.5</v>
      </c>
      <c r="V77" s="15">
        <f>IFERROR(__xludf.DUMMYFUNCTION("IFERROR(PERCENTRANK.INC(FILTER(S:S,$F:$F&lt;&gt;""""),S77)*100,"""")"),1.5)</f>
        <v>1.5</v>
      </c>
      <c r="W77" s="15" t="str">
        <f t="shared" si="4"/>
        <v/>
      </c>
      <c r="X77" s="16"/>
      <c r="Y77" s="9"/>
      <c r="Z77" s="9"/>
    </row>
    <row r="78">
      <c r="B78" t="str">
        <f t="array" ref="B78">IFERROR(INDEX('Player Raw Data'!E:E,Match($A78,'Player Raw Data'!$B:$B,0)),"")</f>
        <v/>
      </c>
      <c r="C78" t="str">
        <f t="array" ref="C78">IFERROR(INDEX('Player Raw Data'!C:C,Match($A78,'Player Raw Data'!$B:$B,0)),"")</f>
        <v/>
      </c>
      <c r="D78" t="str">
        <f t="array" ref="D78">IFERROR(IF(A78=A77, INDEX('Player Raw Data'!D:D,Match($A78,'Player Raw Data'!$B:$B,0)+2),INDEX('Player Raw Data'!D:D,Match($A78,'Player Raw Data'!$B:$B,0))),"")</f>
        <v/>
      </c>
      <c r="E78" t="str">
        <f t="array" ref="E78">IFERROR(INDEX('Player Raw Data'!F:F,Match($A78,'Player Raw Data'!$B:$B,0)),"")</f>
        <v/>
      </c>
      <c r="F78" t="str">
        <f t="array" ref="F78">IFERROR(INDEX('Player Raw Data'!H:H,Match($A78,'Player Raw Data'!$B:$B,0)),"")</f>
        <v/>
      </c>
      <c r="G78" t="str">
        <f t="array" ref="G78">IFERROR(INDEX('Player Raw Data'!I:I,Match($A78,'Player Raw Data'!$B:$B,0)),"")</f>
        <v/>
      </c>
      <c r="H78" t="str">
        <f t="array" ref="H78">IFERROR(INDEX('Player Raw Data'!J:J,Match($A78,'Player Raw Data'!$B:$B,0)),"")</f>
        <v/>
      </c>
      <c r="I78" t="str">
        <f t="array" ref="I78">IFERROR(INDEX('Player Raw Data'!S:S,Match($A78,'Player Raw Data'!$B:$B,0)),"")</f>
        <v/>
      </c>
      <c r="J78" t="str">
        <f t="array" ref="J78">IFERROR(INDEX('Player Raw Data'!T:T,Match($A78,'Player Raw Data'!$B:$B,0)),"")</f>
        <v/>
      </c>
      <c r="K78" t="str">
        <f t="array" ref="K78">IFERROR(INDEX('Player Raw Data'!X:X,Match($A78,'Player Raw Data'!$B:$B,0)),"")</f>
        <v/>
      </c>
      <c r="L78" t="str">
        <f t="array" ref="L78">IFERROR(INDEX('Player Raw Data'!Y:Y,Match($A78,'Player Raw Data'!$B:$B,0)),"")</f>
        <v/>
      </c>
      <c r="M78" t="str">
        <f t="array" ref="M78">IFERROR(INDEX('Player Raw Data'!Z:Z,Match($A78,'Player Raw Data'!$B:$B,0)),"")</f>
        <v/>
      </c>
      <c r="N78" t="str">
        <f t="array" ref="N78">IFERROR(INDEX('Player Raw Data'!AA:AA,Match($A78,'Player Raw Data'!$B:$B,0)),"")</f>
        <v/>
      </c>
      <c r="O78" t="str">
        <f t="array" ref="O78">IFERROR(INDEX('Player Raw Data'!AB:AB,Match($A78,'Player Raw Data'!$B:$B,0)),"")</f>
        <v/>
      </c>
      <c r="P78" t="str">
        <f t="array" ref="P78">IFERROR(INDEX('Player Raw Data'!AD:AD,Match($A78,'Player Raw Data'!$B:$B,0)),"")</f>
        <v/>
      </c>
      <c r="Q78">
        <f t="shared" si="1"/>
        <v>0</v>
      </c>
      <c r="R78" s="9">
        <f t="shared" si="2"/>
        <v>0</v>
      </c>
      <c r="S78" s="14">
        <f t="shared" si="3"/>
        <v>0</v>
      </c>
      <c r="T78" s="15">
        <f>IFERROR(__xludf.DUMMYFUNCTION("IFERROR(PERCENTRANK.INC(FILTER(Q:Q,$F:$F&lt;&gt;""""),Q78)*100,"""")"),1.5)</f>
        <v>1.5</v>
      </c>
      <c r="U78" s="15">
        <f>IFERROR(__xludf.DUMMYFUNCTION("IFERROR(PERCENTRANK.INC(FILTER(R:R,$F:$F&lt;&gt;""""),R78)*100,"""")"),1.5)</f>
        <v>1.5</v>
      </c>
      <c r="V78" s="15">
        <f>IFERROR(__xludf.DUMMYFUNCTION("IFERROR(PERCENTRANK.INC(FILTER(S:S,$F:$F&lt;&gt;""""),S78)*100,"""")"),1.5)</f>
        <v>1.5</v>
      </c>
      <c r="W78" s="15" t="str">
        <f t="shared" si="4"/>
        <v/>
      </c>
      <c r="X78" s="16"/>
      <c r="Y78" s="9"/>
      <c r="Z78" s="9"/>
    </row>
    <row r="79">
      <c r="B79" t="str">
        <f t="array" ref="B79">IFERROR(INDEX('Player Raw Data'!E:E,Match($A79,'Player Raw Data'!$B:$B,0)),"")</f>
        <v/>
      </c>
      <c r="C79" t="str">
        <f t="array" ref="C79">IFERROR(INDEX('Player Raw Data'!C:C,Match($A79,'Player Raw Data'!$B:$B,0)),"")</f>
        <v/>
      </c>
      <c r="D79" t="str">
        <f t="array" ref="D79">IFERROR(IF(A79=A78, INDEX('Player Raw Data'!D:D,Match($A79,'Player Raw Data'!$B:$B,0)+2),INDEX('Player Raw Data'!D:D,Match($A79,'Player Raw Data'!$B:$B,0))),"")</f>
        <v/>
      </c>
      <c r="E79" t="str">
        <f t="array" ref="E79">IFERROR(INDEX('Player Raw Data'!F:F,Match($A79,'Player Raw Data'!$B:$B,0)),"")</f>
        <v/>
      </c>
      <c r="F79" t="str">
        <f t="array" ref="F79">IFERROR(INDEX('Player Raw Data'!H:H,Match($A79,'Player Raw Data'!$B:$B,0)),"")</f>
        <v/>
      </c>
      <c r="G79" t="str">
        <f t="array" ref="G79">IFERROR(INDEX('Player Raw Data'!I:I,Match($A79,'Player Raw Data'!$B:$B,0)),"")</f>
        <v/>
      </c>
      <c r="H79" t="str">
        <f t="array" ref="H79">IFERROR(INDEX('Player Raw Data'!J:J,Match($A79,'Player Raw Data'!$B:$B,0)),"")</f>
        <v/>
      </c>
      <c r="I79" t="str">
        <f t="array" ref="I79">IFERROR(INDEX('Player Raw Data'!S:S,Match($A79,'Player Raw Data'!$B:$B,0)),"")</f>
        <v/>
      </c>
      <c r="J79" t="str">
        <f t="array" ref="J79">IFERROR(INDEX('Player Raw Data'!T:T,Match($A79,'Player Raw Data'!$B:$B,0)),"")</f>
        <v/>
      </c>
      <c r="K79" t="str">
        <f t="array" ref="K79">IFERROR(INDEX('Player Raw Data'!X:X,Match($A79,'Player Raw Data'!$B:$B,0)),"")</f>
        <v/>
      </c>
      <c r="L79" t="str">
        <f t="array" ref="L79">IFERROR(INDEX('Player Raw Data'!Y:Y,Match($A79,'Player Raw Data'!$B:$B,0)),"")</f>
        <v/>
      </c>
      <c r="M79" t="str">
        <f t="array" ref="M79">IFERROR(INDEX('Player Raw Data'!Z:Z,Match($A79,'Player Raw Data'!$B:$B,0)),"")</f>
        <v/>
      </c>
      <c r="N79" t="str">
        <f t="array" ref="N79">IFERROR(INDEX('Player Raw Data'!AA:AA,Match($A79,'Player Raw Data'!$B:$B,0)),"")</f>
        <v/>
      </c>
      <c r="O79" t="str">
        <f t="array" ref="O79">IFERROR(INDEX('Player Raw Data'!AB:AB,Match($A79,'Player Raw Data'!$B:$B,0)),"")</f>
        <v/>
      </c>
      <c r="P79" t="str">
        <f t="array" ref="P79">IFERROR(INDEX('Player Raw Data'!AD:AD,Match($A79,'Player Raw Data'!$B:$B,0)),"")</f>
        <v/>
      </c>
      <c r="Q79">
        <f t="shared" si="1"/>
        <v>0</v>
      </c>
      <c r="R79" s="9">
        <f t="shared" si="2"/>
        <v>0</v>
      </c>
      <c r="S79" s="14">
        <f t="shared" si="3"/>
        <v>0</v>
      </c>
      <c r="T79" s="15">
        <f>IFERROR(__xludf.DUMMYFUNCTION("IFERROR(PERCENTRANK.INC(FILTER(Q:Q,$F:$F&lt;&gt;""""),Q79)*100,"""")"),1.5)</f>
        <v>1.5</v>
      </c>
      <c r="U79" s="15">
        <f>IFERROR(__xludf.DUMMYFUNCTION("IFERROR(PERCENTRANK.INC(FILTER(R:R,$F:$F&lt;&gt;""""),R79)*100,"""")"),1.5)</f>
        <v>1.5</v>
      </c>
      <c r="V79" s="15">
        <f>IFERROR(__xludf.DUMMYFUNCTION("IFERROR(PERCENTRANK.INC(FILTER(S:S,$F:$F&lt;&gt;""""),S79)*100,"""")"),1.5)</f>
        <v>1.5</v>
      </c>
      <c r="W79" s="15" t="str">
        <f t="shared" si="4"/>
        <v/>
      </c>
      <c r="X79" s="16"/>
      <c r="Y79" s="9"/>
      <c r="Z79" s="9"/>
    </row>
    <row r="80">
      <c r="B80" t="str">
        <f t="array" ref="B80">IFERROR(INDEX('Player Raw Data'!E:E,Match($A80,'Player Raw Data'!$B:$B,0)),"")</f>
        <v/>
      </c>
      <c r="C80" t="str">
        <f t="array" ref="C80">IFERROR(INDEX('Player Raw Data'!C:C,Match($A80,'Player Raw Data'!$B:$B,0)),"")</f>
        <v/>
      </c>
      <c r="D80" t="str">
        <f t="array" ref="D80">IFERROR(IF(A80=A79, INDEX('Player Raw Data'!D:D,Match($A80,'Player Raw Data'!$B:$B,0)+2),INDEX('Player Raw Data'!D:D,Match($A80,'Player Raw Data'!$B:$B,0))),"")</f>
        <v/>
      </c>
      <c r="E80" t="str">
        <f t="array" ref="E80">IFERROR(INDEX('Player Raw Data'!F:F,Match($A80,'Player Raw Data'!$B:$B,0)),"")</f>
        <v/>
      </c>
      <c r="F80" t="str">
        <f t="array" ref="F80">IFERROR(INDEX('Player Raw Data'!H:H,Match($A80,'Player Raw Data'!$B:$B,0)),"")</f>
        <v/>
      </c>
      <c r="G80" t="str">
        <f t="array" ref="G80">IFERROR(INDEX('Player Raw Data'!I:I,Match($A80,'Player Raw Data'!$B:$B,0)),"")</f>
        <v/>
      </c>
      <c r="H80" t="str">
        <f t="array" ref="H80">IFERROR(INDEX('Player Raw Data'!J:J,Match($A80,'Player Raw Data'!$B:$B,0)),"")</f>
        <v/>
      </c>
      <c r="I80" t="str">
        <f t="array" ref="I80">IFERROR(INDEX('Player Raw Data'!S:S,Match($A80,'Player Raw Data'!$B:$B,0)),"")</f>
        <v/>
      </c>
      <c r="J80" t="str">
        <f t="array" ref="J80">IFERROR(INDEX('Player Raw Data'!T:T,Match($A80,'Player Raw Data'!$B:$B,0)),"")</f>
        <v/>
      </c>
      <c r="K80" t="str">
        <f t="array" ref="K80">IFERROR(INDEX('Player Raw Data'!X:X,Match($A80,'Player Raw Data'!$B:$B,0)),"")</f>
        <v/>
      </c>
      <c r="L80" t="str">
        <f t="array" ref="L80">IFERROR(INDEX('Player Raw Data'!Y:Y,Match($A80,'Player Raw Data'!$B:$B,0)),"")</f>
        <v/>
      </c>
      <c r="M80" t="str">
        <f t="array" ref="M80">IFERROR(INDEX('Player Raw Data'!Z:Z,Match($A80,'Player Raw Data'!$B:$B,0)),"")</f>
        <v/>
      </c>
      <c r="N80" t="str">
        <f t="array" ref="N80">IFERROR(INDEX('Player Raw Data'!AA:AA,Match($A80,'Player Raw Data'!$B:$B,0)),"")</f>
        <v/>
      </c>
      <c r="O80" t="str">
        <f t="array" ref="O80">IFERROR(INDEX('Player Raw Data'!AB:AB,Match($A80,'Player Raw Data'!$B:$B,0)),"")</f>
        <v/>
      </c>
      <c r="P80" t="str">
        <f t="array" ref="P80">IFERROR(INDEX('Player Raw Data'!AD:AD,Match($A80,'Player Raw Data'!$B:$B,0)),"")</f>
        <v/>
      </c>
      <c r="Q80">
        <f t="shared" si="1"/>
        <v>0</v>
      </c>
      <c r="R80" s="9">
        <f t="shared" si="2"/>
        <v>0</v>
      </c>
      <c r="S80" s="14">
        <f t="shared" si="3"/>
        <v>0</v>
      </c>
      <c r="T80" s="15">
        <f>IFERROR(__xludf.DUMMYFUNCTION("IFERROR(PERCENTRANK.INC(FILTER(Q:Q,$F:$F&lt;&gt;""""),Q80)*100,"""")"),1.5)</f>
        <v>1.5</v>
      </c>
      <c r="U80" s="15">
        <f>IFERROR(__xludf.DUMMYFUNCTION("IFERROR(PERCENTRANK.INC(FILTER(R:R,$F:$F&lt;&gt;""""),R80)*100,"""")"),1.5)</f>
        <v>1.5</v>
      </c>
      <c r="V80" s="15">
        <f>IFERROR(__xludf.DUMMYFUNCTION("IFERROR(PERCENTRANK.INC(FILTER(S:S,$F:$F&lt;&gt;""""),S80)*100,"""")"),1.5)</f>
        <v>1.5</v>
      </c>
      <c r="W80" s="15" t="str">
        <f t="shared" si="4"/>
        <v/>
      </c>
      <c r="X80" s="16"/>
      <c r="Y80" s="9"/>
      <c r="Z80" s="9"/>
    </row>
    <row r="81">
      <c r="B81" t="str">
        <f t="array" ref="B81">IFERROR(INDEX('Player Raw Data'!E:E,Match($A81,'Player Raw Data'!$B:$B,0)),"")</f>
        <v/>
      </c>
      <c r="C81" t="str">
        <f t="array" ref="C81">IFERROR(INDEX('Player Raw Data'!C:C,Match($A81,'Player Raw Data'!$B:$B,0)),"")</f>
        <v/>
      </c>
      <c r="D81" t="str">
        <f t="array" ref="D81">IFERROR(IF(A81=A80, INDEX('Player Raw Data'!D:D,Match($A81,'Player Raw Data'!$B:$B,0)+2),INDEX('Player Raw Data'!D:D,Match($A81,'Player Raw Data'!$B:$B,0))),"")</f>
        <v/>
      </c>
      <c r="E81" t="str">
        <f t="array" ref="E81">IFERROR(INDEX('Player Raw Data'!F:F,Match($A81,'Player Raw Data'!$B:$B,0)),"")</f>
        <v/>
      </c>
      <c r="F81" t="str">
        <f t="array" ref="F81">IFERROR(INDEX('Player Raw Data'!H:H,Match($A81,'Player Raw Data'!$B:$B,0)),"")</f>
        <v/>
      </c>
      <c r="G81" t="str">
        <f t="array" ref="G81">IFERROR(INDEX('Player Raw Data'!I:I,Match($A81,'Player Raw Data'!$B:$B,0)),"")</f>
        <v/>
      </c>
      <c r="H81" t="str">
        <f t="array" ref="H81">IFERROR(INDEX('Player Raw Data'!J:J,Match($A81,'Player Raw Data'!$B:$B,0)),"")</f>
        <v/>
      </c>
      <c r="I81" t="str">
        <f t="array" ref="I81">IFERROR(INDEX('Player Raw Data'!S:S,Match($A81,'Player Raw Data'!$B:$B,0)),"")</f>
        <v/>
      </c>
      <c r="J81" t="str">
        <f t="array" ref="J81">IFERROR(INDEX('Player Raw Data'!T:T,Match($A81,'Player Raw Data'!$B:$B,0)),"")</f>
        <v/>
      </c>
      <c r="K81" t="str">
        <f t="array" ref="K81">IFERROR(INDEX('Player Raw Data'!X:X,Match($A81,'Player Raw Data'!$B:$B,0)),"")</f>
        <v/>
      </c>
      <c r="L81" t="str">
        <f t="array" ref="L81">IFERROR(INDEX('Player Raw Data'!Y:Y,Match($A81,'Player Raw Data'!$B:$B,0)),"")</f>
        <v/>
      </c>
      <c r="M81" t="str">
        <f t="array" ref="M81">IFERROR(INDEX('Player Raw Data'!Z:Z,Match($A81,'Player Raw Data'!$B:$B,0)),"")</f>
        <v/>
      </c>
      <c r="N81" t="str">
        <f t="array" ref="N81">IFERROR(INDEX('Player Raw Data'!AA:AA,Match($A81,'Player Raw Data'!$B:$B,0)),"")</f>
        <v/>
      </c>
      <c r="O81" t="str">
        <f t="array" ref="O81">IFERROR(INDEX('Player Raw Data'!AB:AB,Match($A81,'Player Raw Data'!$B:$B,0)),"")</f>
        <v/>
      </c>
      <c r="P81" t="str">
        <f t="array" ref="P81">IFERROR(INDEX('Player Raw Data'!AD:AD,Match($A81,'Player Raw Data'!$B:$B,0)),"")</f>
        <v/>
      </c>
      <c r="Q81">
        <f t="shared" si="1"/>
        <v>0</v>
      </c>
      <c r="R81" s="9">
        <f t="shared" si="2"/>
        <v>0</v>
      </c>
      <c r="S81" s="14">
        <f t="shared" si="3"/>
        <v>0</v>
      </c>
      <c r="T81" s="15">
        <f>IFERROR(__xludf.DUMMYFUNCTION("IFERROR(PERCENTRANK.INC(FILTER(Q:Q,$F:$F&lt;&gt;""""),Q81)*100,"""")"),1.5)</f>
        <v>1.5</v>
      </c>
      <c r="U81" s="15">
        <f>IFERROR(__xludf.DUMMYFUNCTION("IFERROR(PERCENTRANK.INC(FILTER(R:R,$F:$F&lt;&gt;""""),R81)*100,"""")"),1.5)</f>
        <v>1.5</v>
      </c>
      <c r="V81" s="15">
        <f>IFERROR(__xludf.DUMMYFUNCTION("IFERROR(PERCENTRANK.INC(FILTER(S:S,$F:$F&lt;&gt;""""),S81)*100,"""")"),1.5)</f>
        <v>1.5</v>
      </c>
      <c r="W81" s="15" t="str">
        <f t="shared" si="4"/>
        <v/>
      </c>
      <c r="X81" s="16"/>
      <c r="Y81" s="9"/>
      <c r="Z81" s="9"/>
    </row>
    <row r="82">
      <c r="B82" t="str">
        <f t="array" ref="B82">IFERROR(INDEX('Player Raw Data'!E:E,Match($A82,'Player Raw Data'!$B:$B,0)),"")</f>
        <v/>
      </c>
      <c r="C82" t="str">
        <f t="array" ref="C82">IFERROR(INDEX('Player Raw Data'!C:C,Match($A82,'Player Raw Data'!$B:$B,0)),"")</f>
        <v/>
      </c>
      <c r="D82" t="str">
        <f t="array" ref="D82">IFERROR(IF(A82=A81, INDEX('Player Raw Data'!D:D,Match($A82,'Player Raw Data'!$B:$B,0)+2),INDEX('Player Raw Data'!D:D,Match($A82,'Player Raw Data'!$B:$B,0))),"")</f>
        <v/>
      </c>
      <c r="E82" t="str">
        <f t="array" ref="E82">IFERROR(INDEX('Player Raw Data'!F:F,Match($A82,'Player Raw Data'!$B:$B,0)),"")</f>
        <v/>
      </c>
      <c r="F82" t="str">
        <f t="array" ref="F82">IFERROR(INDEX('Player Raw Data'!H:H,Match($A82,'Player Raw Data'!$B:$B,0)),"")</f>
        <v/>
      </c>
      <c r="G82" t="str">
        <f t="array" ref="G82">IFERROR(INDEX('Player Raw Data'!I:I,Match($A82,'Player Raw Data'!$B:$B,0)),"")</f>
        <v/>
      </c>
      <c r="H82" t="str">
        <f t="array" ref="H82">IFERROR(INDEX('Player Raw Data'!J:J,Match($A82,'Player Raw Data'!$B:$B,0)),"")</f>
        <v/>
      </c>
      <c r="I82" t="str">
        <f t="array" ref="I82">IFERROR(INDEX('Player Raw Data'!S:S,Match($A82,'Player Raw Data'!$B:$B,0)),"")</f>
        <v/>
      </c>
      <c r="J82" t="str">
        <f t="array" ref="J82">IFERROR(INDEX('Player Raw Data'!T:T,Match($A82,'Player Raw Data'!$B:$B,0)),"")</f>
        <v/>
      </c>
      <c r="K82" t="str">
        <f t="array" ref="K82">IFERROR(INDEX('Player Raw Data'!X:X,Match($A82,'Player Raw Data'!$B:$B,0)),"")</f>
        <v/>
      </c>
      <c r="L82" t="str">
        <f t="array" ref="L82">IFERROR(INDEX('Player Raw Data'!Y:Y,Match($A82,'Player Raw Data'!$B:$B,0)),"")</f>
        <v/>
      </c>
      <c r="M82" t="str">
        <f t="array" ref="M82">IFERROR(INDEX('Player Raw Data'!Z:Z,Match($A82,'Player Raw Data'!$B:$B,0)),"")</f>
        <v/>
      </c>
      <c r="N82" t="str">
        <f t="array" ref="N82">IFERROR(INDEX('Player Raw Data'!AA:AA,Match($A82,'Player Raw Data'!$B:$B,0)),"")</f>
        <v/>
      </c>
      <c r="O82" t="str">
        <f t="array" ref="O82">IFERROR(INDEX('Player Raw Data'!AB:AB,Match($A82,'Player Raw Data'!$B:$B,0)),"")</f>
        <v/>
      </c>
      <c r="P82" t="str">
        <f t="array" ref="P82">IFERROR(INDEX('Player Raw Data'!AD:AD,Match($A82,'Player Raw Data'!$B:$B,0)),"")</f>
        <v/>
      </c>
      <c r="Q82">
        <f t="shared" si="1"/>
        <v>0</v>
      </c>
      <c r="R82" s="9">
        <f t="shared" si="2"/>
        <v>0</v>
      </c>
      <c r="S82" s="14">
        <f t="shared" si="3"/>
        <v>0</v>
      </c>
      <c r="T82" s="15">
        <f>IFERROR(__xludf.DUMMYFUNCTION("IFERROR(PERCENTRANK.INC(FILTER(Q:Q,$F:$F&lt;&gt;""""),Q82)*100,"""")"),1.5)</f>
        <v>1.5</v>
      </c>
      <c r="U82" s="15">
        <f>IFERROR(__xludf.DUMMYFUNCTION("IFERROR(PERCENTRANK.INC(FILTER(R:R,$F:$F&lt;&gt;""""),R82)*100,"""")"),1.5)</f>
        <v>1.5</v>
      </c>
      <c r="V82" s="15">
        <f>IFERROR(__xludf.DUMMYFUNCTION("IFERROR(PERCENTRANK.INC(FILTER(S:S,$F:$F&lt;&gt;""""),S82)*100,"""")"),1.5)</f>
        <v>1.5</v>
      </c>
      <c r="W82" s="15" t="str">
        <f t="shared" si="4"/>
        <v/>
      </c>
      <c r="X82" s="16"/>
      <c r="Y82" s="9"/>
      <c r="Z82" s="9"/>
    </row>
    <row r="83">
      <c r="B83" t="str">
        <f t="array" ref="B83">IFERROR(INDEX('Player Raw Data'!E:E,Match($A83,'Player Raw Data'!$B:$B,0)),"")</f>
        <v/>
      </c>
      <c r="C83" t="str">
        <f t="array" ref="C83">IFERROR(INDEX('Player Raw Data'!C:C,Match($A83,'Player Raw Data'!$B:$B,0)),"")</f>
        <v/>
      </c>
      <c r="D83" t="str">
        <f t="array" ref="D83">IFERROR(IF(A83=A82, INDEX('Player Raw Data'!D:D,Match($A83,'Player Raw Data'!$B:$B,0)+2),INDEX('Player Raw Data'!D:D,Match($A83,'Player Raw Data'!$B:$B,0))),"")</f>
        <v/>
      </c>
      <c r="E83" t="str">
        <f t="array" ref="E83">IFERROR(INDEX('Player Raw Data'!F:F,Match($A83,'Player Raw Data'!$B:$B,0)),"")</f>
        <v/>
      </c>
      <c r="F83" t="str">
        <f t="array" ref="F83">IFERROR(INDEX('Player Raw Data'!H:H,Match($A83,'Player Raw Data'!$B:$B,0)),"")</f>
        <v/>
      </c>
      <c r="G83" t="str">
        <f t="array" ref="G83">IFERROR(INDEX('Player Raw Data'!I:I,Match($A83,'Player Raw Data'!$B:$B,0)),"")</f>
        <v/>
      </c>
      <c r="H83" t="str">
        <f t="array" ref="H83">IFERROR(INDEX('Player Raw Data'!J:J,Match($A83,'Player Raw Data'!$B:$B,0)),"")</f>
        <v/>
      </c>
      <c r="I83" t="str">
        <f t="array" ref="I83">IFERROR(INDEX('Player Raw Data'!S:S,Match($A83,'Player Raw Data'!$B:$B,0)),"")</f>
        <v/>
      </c>
      <c r="J83" t="str">
        <f t="array" ref="J83">IFERROR(INDEX('Player Raw Data'!T:T,Match($A83,'Player Raw Data'!$B:$B,0)),"")</f>
        <v/>
      </c>
      <c r="K83" t="str">
        <f t="array" ref="K83">IFERROR(INDEX('Player Raw Data'!X:X,Match($A83,'Player Raw Data'!$B:$B,0)),"")</f>
        <v/>
      </c>
      <c r="L83" t="str">
        <f t="array" ref="L83">IFERROR(INDEX('Player Raw Data'!Y:Y,Match($A83,'Player Raw Data'!$B:$B,0)),"")</f>
        <v/>
      </c>
      <c r="M83" t="str">
        <f t="array" ref="M83">IFERROR(INDEX('Player Raw Data'!Z:Z,Match($A83,'Player Raw Data'!$B:$B,0)),"")</f>
        <v/>
      </c>
      <c r="N83" t="str">
        <f t="array" ref="N83">IFERROR(INDEX('Player Raw Data'!AA:AA,Match($A83,'Player Raw Data'!$B:$B,0)),"")</f>
        <v/>
      </c>
      <c r="O83" t="str">
        <f t="array" ref="O83">IFERROR(INDEX('Player Raw Data'!AB:AB,Match($A83,'Player Raw Data'!$B:$B,0)),"")</f>
        <v/>
      </c>
      <c r="P83" t="str">
        <f t="array" ref="P83">IFERROR(INDEX('Player Raw Data'!AD:AD,Match($A83,'Player Raw Data'!$B:$B,0)),"")</f>
        <v/>
      </c>
      <c r="Q83">
        <f t="shared" si="1"/>
        <v>0</v>
      </c>
      <c r="R83" s="9">
        <f t="shared" si="2"/>
        <v>0</v>
      </c>
      <c r="S83" s="14">
        <f t="shared" si="3"/>
        <v>0</v>
      </c>
      <c r="T83" s="15">
        <f>IFERROR(__xludf.DUMMYFUNCTION("IFERROR(PERCENTRANK.INC(FILTER(Q:Q,$F:$F&lt;&gt;""""),Q83)*100,"""")"),1.5)</f>
        <v>1.5</v>
      </c>
      <c r="U83" s="15">
        <f>IFERROR(__xludf.DUMMYFUNCTION("IFERROR(PERCENTRANK.INC(FILTER(R:R,$F:$F&lt;&gt;""""),R83)*100,"""")"),1.5)</f>
        <v>1.5</v>
      </c>
      <c r="V83" s="15">
        <f>IFERROR(__xludf.DUMMYFUNCTION("IFERROR(PERCENTRANK.INC(FILTER(S:S,$F:$F&lt;&gt;""""),S83)*100,"""")"),1.5)</f>
        <v>1.5</v>
      </c>
      <c r="W83" s="15" t="str">
        <f t="shared" si="4"/>
        <v/>
      </c>
      <c r="X83" s="16"/>
      <c r="Y83" s="9"/>
      <c r="Z83" s="9"/>
    </row>
    <row r="84">
      <c r="B84" t="str">
        <f t="array" ref="B84">IFERROR(INDEX('Player Raw Data'!E:E,Match($A84,'Player Raw Data'!$B:$B,0)),"")</f>
        <v/>
      </c>
      <c r="C84" t="str">
        <f t="array" ref="C84">IFERROR(INDEX('Player Raw Data'!C:C,Match($A84,'Player Raw Data'!$B:$B,0)),"")</f>
        <v/>
      </c>
      <c r="D84" t="str">
        <f t="array" ref="D84">IFERROR(IF(A84=A83, INDEX('Player Raw Data'!D:D,Match($A84,'Player Raw Data'!$B:$B,0)+2),INDEX('Player Raw Data'!D:D,Match($A84,'Player Raw Data'!$B:$B,0))),"")</f>
        <v/>
      </c>
      <c r="E84" t="str">
        <f t="array" ref="E84">IFERROR(INDEX('Player Raw Data'!F:F,Match($A84,'Player Raw Data'!$B:$B,0)),"")</f>
        <v/>
      </c>
      <c r="F84" t="str">
        <f t="array" ref="F84">IFERROR(INDEX('Player Raw Data'!H:H,Match($A84,'Player Raw Data'!$B:$B,0)),"")</f>
        <v/>
      </c>
      <c r="G84" t="str">
        <f t="array" ref="G84">IFERROR(INDEX('Player Raw Data'!I:I,Match($A84,'Player Raw Data'!$B:$B,0)),"")</f>
        <v/>
      </c>
      <c r="H84" t="str">
        <f t="array" ref="H84">IFERROR(INDEX('Player Raw Data'!J:J,Match($A84,'Player Raw Data'!$B:$B,0)),"")</f>
        <v/>
      </c>
      <c r="I84" t="str">
        <f t="array" ref="I84">IFERROR(INDEX('Player Raw Data'!S:S,Match($A84,'Player Raw Data'!$B:$B,0)),"")</f>
        <v/>
      </c>
      <c r="J84" t="str">
        <f t="array" ref="J84">IFERROR(INDEX('Player Raw Data'!T:T,Match($A84,'Player Raw Data'!$B:$B,0)),"")</f>
        <v/>
      </c>
      <c r="K84" t="str">
        <f t="array" ref="K84">IFERROR(INDEX('Player Raw Data'!X:X,Match($A84,'Player Raw Data'!$B:$B,0)),"")</f>
        <v/>
      </c>
      <c r="L84" t="str">
        <f t="array" ref="L84">IFERROR(INDEX('Player Raw Data'!Y:Y,Match($A84,'Player Raw Data'!$B:$B,0)),"")</f>
        <v/>
      </c>
      <c r="M84" t="str">
        <f t="array" ref="M84">IFERROR(INDEX('Player Raw Data'!Z:Z,Match($A84,'Player Raw Data'!$B:$B,0)),"")</f>
        <v/>
      </c>
      <c r="N84" t="str">
        <f t="array" ref="N84">IFERROR(INDEX('Player Raw Data'!AA:AA,Match($A84,'Player Raw Data'!$B:$B,0)),"")</f>
        <v/>
      </c>
      <c r="O84" t="str">
        <f t="array" ref="O84">IFERROR(INDEX('Player Raw Data'!AB:AB,Match($A84,'Player Raw Data'!$B:$B,0)),"")</f>
        <v/>
      </c>
      <c r="P84" t="str">
        <f t="array" ref="P84">IFERROR(INDEX('Player Raw Data'!AD:AD,Match($A84,'Player Raw Data'!$B:$B,0)),"")</f>
        <v/>
      </c>
      <c r="Q84">
        <f t="shared" si="1"/>
        <v>0</v>
      </c>
      <c r="R84" s="9">
        <f t="shared" si="2"/>
        <v>0</v>
      </c>
      <c r="S84" s="14">
        <f t="shared" si="3"/>
        <v>0</v>
      </c>
      <c r="T84" s="15">
        <f>IFERROR(__xludf.DUMMYFUNCTION("IFERROR(PERCENTRANK.INC(FILTER(Q:Q,$F:$F&lt;&gt;""""),Q84)*100,"""")"),1.5)</f>
        <v>1.5</v>
      </c>
      <c r="U84" s="15">
        <f>IFERROR(__xludf.DUMMYFUNCTION("IFERROR(PERCENTRANK.INC(FILTER(R:R,$F:$F&lt;&gt;""""),R84)*100,"""")"),1.5)</f>
        <v>1.5</v>
      </c>
      <c r="V84" s="15">
        <f>IFERROR(__xludf.DUMMYFUNCTION("IFERROR(PERCENTRANK.INC(FILTER(S:S,$F:$F&lt;&gt;""""),S84)*100,"""")"),1.5)</f>
        <v>1.5</v>
      </c>
      <c r="W84" s="15" t="str">
        <f t="shared" si="4"/>
        <v/>
      </c>
      <c r="X84" s="16"/>
      <c r="Y84" s="9"/>
      <c r="Z84" s="9"/>
    </row>
    <row r="85">
      <c r="B85" t="str">
        <f t="array" ref="B85">IFERROR(INDEX('Player Raw Data'!E:E,Match($A85,'Player Raw Data'!$B:$B,0)),"")</f>
        <v/>
      </c>
      <c r="C85" t="str">
        <f t="array" ref="C85">IFERROR(INDEX('Player Raw Data'!C:C,Match($A85,'Player Raw Data'!$B:$B,0)),"")</f>
        <v/>
      </c>
      <c r="D85" t="str">
        <f t="array" ref="D85">IFERROR(IF(A85=A84, INDEX('Player Raw Data'!D:D,Match($A85,'Player Raw Data'!$B:$B,0)+2),INDEX('Player Raw Data'!D:D,Match($A85,'Player Raw Data'!$B:$B,0))),"")</f>
        <v/>
      </c>
      <c r="E85" t="str">
        <f t="array" ref="E85">IFERROR(INDEX('Player Raw Data'!F:F,Match($A85,'Player Raw Data'!$B:$B,0)),"")</f>
        <v/>
      </c>
      <c r="F85" t="str">
        <f t="array" ref="F85">IFERROR(INDEX('Player Raw Data'!H:H,Match($A85,'Player Raw Data'!$B:$B,0)),"")</f>
        <v/>
      </c>
      <c r="G85" t="str">
        <f t="array" ref="G85">IFERROR(INDEX('Player Raw Data'!I:I,Match($A85,'Player Raw Data'!$B:$B,0)),"")</f>
        <v/>
      </c>
      <c r="H85" t="str">
        <f t="array" ref="H85">IFERROR(INDEX('Player Raw Data'!J:J,Match($A85,'Player Raw Data'!$B:$B,0)),"")</f>
        <v/>
      </c>
      <c r="I85" t="str">
        <f t="array" ref="I85">IFERROR(INDEX('Player Raw Data'!S:S,Match($A85,'Player Raw Data'!$B:$B,0)),"")</f>
        <v/>
      </c>
      <c r="J85" t="str">
        <f t="array" ref="J85">IFERROR(INDEX('Player Raw Data'!T:T,Match($A85,'Player Raw Data'!$B:$B,0)),"")</f>
        <v/>
      </c>
      <c r="K85" t="str">
        <f t="array" ref="K85">IFERROR(INDEX('Player Raw Data'!X:X,Match($A85,'Player Raw Data'!$B:$B,0)),"")</f>
        <v/>
      </c>
      <c r="L85" t="str">
        <f t="array" ref="L85">IFERROR(INDEX('Player Raw Data'!Y:Y,Match($A85,'Player Raw Data'!$B:$B,0)),"")</f>
        <v/>
      </c>
      <c r="M85" t="str">
        <f t="array" ref="M85">IFERROR(INDEX('Player Raw Data'!Z:Z,Match($A85,'Player Raw Data'!$B:$B,0)),"")</f>
        <v/>
      </c>
      <c r="N85" t="str">
        <f t="array" ref="N85">IFERROR(INDEX('Player Raw Data'!AA:AA,Match($A85,'Player Raw Data'!$B:$B,0)),"")</f>
        <v/>
      </c>
      <c r="O85" t="str">
        <f t="array" ref="O85">IFERROR(INDEX('Player Raw Data'!AB:AB,Match($A85,'Player Raw Data'!$B:$B,0)),"")</f>
        <v/>
      </c>
      <c r="P85" t="str">
        <f t="array" ref="P85">IFERROR(INDEX('Player Raw Data'!AD:AD,Match($A85,'Player Raw Data'!$B:$B,0)),"")</f>
        <v/>
      </c>
      <c r="Q85">
        <f t="shared" si="1"/>
        <v>0</v>
      </c>
      <c r="R85" s="9">
        <f t="shared" si="2"/>
        <v>0</v>
      </c>
      <c r="S85" s="14">
        <f t="shared" si="3"/>
        <v>0</v>
      </c>
      <c r="T85" s="15">
        <f>IFERROR(__xludf.DUMMYFUNCTION("IFERROR(PERCENTRANK.INC(FILTER(Q:Q,$F:$F&lt;&gt;""""),Q85)*100,"""")"),1.5)</f>
        <v>1.5</v>
      </c>
      <c r="U85" s="15">
        <f>IFERROR(__xludf.DUMMYFUNCTION("IFERROR(PERCENTRANK.INC(FILTER(R:R,$F:$F&lt;&gt;""""),R85)*100,"""")"),1.5)</f>
        <v>1.5</v>
      </c>
      <c r="V85" s="15">
        <f>IFERROR(__xludf.DUMMYFUNCTION("IFERROR(PERCENTRANK.INC(FILTER(S:S,$F:$F&lt;&gt;""""),S85)*100,"""")"),1.5)</f>
        <v>1.5</v>
      </c>
      <c r="W85" s="15" t="str">
        <f t="shared" si="4"/>
        <v/>
      </c>
      <c r="X85" s="16"/>
      <c r="Y85" s="9"/>
      <c r="Z85" s="9"/>
    </row>
    <row r="86">
      <c r="B86" t="str">
        <f t="array" ref="B86">IFERROR(INDEX('Player Raw Data'!E:E,Match($A86,'Player Raw Data'!$B:$B,0)),"")</f>
        <v/>
      </c>
      <c r="C86" t="str">
        <f t="array" ref="C86">IFERROR(INDEX('Player Raw Data'!C:C,Match($A86,'Player Raw Data'!$B:$B,0)),"")</f>
        <v/>
      </c>
      <c r="D86" t="str">
        <f t="array" ref="D86">IFERROR(IF(A86=A85, INDEX('Player Raw Data'!D:D,Match($A86,'Player Raw Data'!$B:$B,0)+2),INDEX('Player Raw Data'!D:D,Match($A86,'Player Raw Data'!$B:$B,0))),"")</f>
        <v/>
      </c>
      <c r="E86" t="str">
        <f t="array" ref="E86">IFERROR(INDEX('Player Raw Data'!F:F,Match($A86,'Player Raw Data'!$B:$B,0)),"")</f>
        <v/>
      </c>
      <c r="F86" t="str">
        <f t="array" ref="F86">IFERROR(INDEX('Player Raw Data'!H:H,Match($A86,'Player Raw Data'!$B:$B,0)),"")</f>
        <v/>
      </c>
      <c r="G86" t="str">
        <f t="array" ref="G86">IFERROR(INDEX('Player Raw Data'!I:I,Match($A86,'Player Raw Data'!$B:$B,0)),"")</f>
        <v/>
      </c>
      <c r="H86" t="str">
        <f t="array" ref="H86">IFERROR(INDEX('Player Raw Data'!J:J,Match($A86,'Player Raw Data'!$B:$B,0)),"")</f>
        <v/>
      </c>
      <c r="I86" t="str">
        <f t="array" ref="I86">IFERROR(INDEX('Player Raw Data'!S:S,Match($A86,'Player Raw Data'!$B:$B,0)),"")</f>
        <v/>
      </c>
      <c r="J86" t="str">
        <f t="array" ref="J86">IFERROR(INDEX('Player Raw Data'!T:T,Match($A86,'Player Raw Data'!$B:$B,0)),"")</f>
        <v/>
      </c>
      <c r="K86" t="str">
        <f t="array" ref="K86">IFERROR(INDEX('Player Raw Data'!X:X,Match($A86,'Player Raw Data'!$B:$B,0)),"")</f>
        <v/>
      </c>
      <c r="L86" t="str">
        <f t="array" ref="L86">IFERROR(INDEX('Player Raw Data'!Y:Y,Match($A86,'Player Raw Data'!$B:$B,0)),"")</f>
        <v/>
      </c>
      <c r="M86" t="str">
        <f t="array" ref="M86">IFERROR(INDEX('Player Raw Data'!Z:Z,Match($A86,'Player Raw Data'!$B:$B,0)),"")</f>
        <v/>
      </c>
      <c r="N86" t="str">
        <f t="array" ref="N86">IFERROR(INDEX('Player Raw Data'!AA:AA,Match($A86,'Player Raw Data'!$B:$B,0)),"")</f>
        <v/>
      </c>
      <c r="O86" t="str">
        <f t="array" ref="O86">IFERROR(INDEX('Player Raw Data'!AB:AB,Match($A86,'Player Raw Data'!$B:$B,0)),"")</f>
        <v/>
      </c>
      <c r="P86" t="str">
        <f t="array" ref="P86">IFERROR(INDEX('Player Raw Data'!AD:AD,Match($A86,'Player Raw Data'!$B:$B,0)),"")</f>
        <v/>
      </c>
      <c r="Q86">
        <f t="shared" si="1"/>
        <v>0</v>
      </c>
      <c r="R86" s="9">
        <f t="shared" si="2"/>
        <v>0</v>
      </c>
      <c r="S86" s="14">
        <f t="shared" si="3"/>
        <v>0</v>
      </c>
      <c r="T86" s="15">
        <f>IFERROR(__xludf.DUMMYFUNCTION("IFERROR(PERCENTRANK.INC(FILTER(Q:Q,$F:$F&lt;&gt;""""),Q86)*100,"""")"),1.5)</f>
        <v>1.5</v>
      </c>
      <c r="U86" s="15">
        <f>IFERROR(__xludf.DUMMYFUNCTION("IFERROR(PERCENTRANK.INC(FILTER(R:R,$F:$F&lt;&gt;""""),R86)*100,"""")"),1.5)</f>
        <v>1.5</v>
      </c>
      <c r="V86" s="15">
        <f>IFERROR(__xludf.DUMMYFUNCTION("IFERROR(PERCENTRANK.INC(FILTER(S:S,$F:$F&lt;&gt;""""),S86)*100,"""")"),1.5)</f>
        <v>1.5</v>
      </c>
      <c r="W86" s="15" t="str">
        <f t="shared" si="4"/>
        <v/>
      </c>
      <c r="X86" s="16"/>
      <c r="Y86" s="9"/>
      <c r="Z86" s="9"/>
    </row>
    <row r="87">
      <c r="B87" t="str">
        <f t="array" ref="B87">IFERROR(INDEX('Player Raw Data'!E:E,Match($A87,'Player Raw Data'!$B:$B,0)),"")</f>
        <v/>
      </c>
      <c r="C87" t="str">
        <f t="array" ref="C87">IFERROR(INDEX('Player Raw Data'!C:C,Match($A87,'Player Raw Data'!$B:$B,0)),"")</f>
        <v/>
      </c>
      <c r="D87" t="str">
        <f t="array" ref="D87">IFERROR(IF(A87=A86, INDEX('Player Raw Data'!D:D,Match($A87,'Player Raw Data'!$B:$B,0)+2),INDEX('Player Raw Data'!D:D,Match($A87,'Player Raw Data'!$B:$B,0))),"")</f>
        <v/>
      </c>
      <c r="E87" t="str">
        <f t="array" ref="E87">IFERROR(INDEX('Player Raw Data'!F:F,Match($A87,'Player Raw Data'!$B:$B,0)),"")</f>
        <v/>
      </c>
      <c r="F87" t="str">
        <f t="array" ref="F87">IFERROR(INDEX('Player Raw Data'!H:H,Match($A87,'Player Raw Data'!$B:$B,0)),"")</f>
        <v/>
      </c>
      <c r="G87" t="str">
        <f t="array" ref="G87">IFERROR(INDEX('Player Raw Data'!I:I,Match($A87,'Player Raw Data'!$B:$B,0)),"")</f>
        <v/>
      </c>
      <c r="H87" t="str">
        <f t="array" ref="H87">IFERROR(INDEX('Player Raw Data'!J:J,Match($A87,'Player Raw Data'!$B:$B,0)),"")</f>
        <v/>
      </c>
      <c r="I87" t="str">
        <f t="array" ref="I87">IFERROR(INDEX('Player Raw Data'!S:S,Match($A87,'Player Raw Data'!$B:$B,0)),"")</f>
        <v/>
      </c>
      <c r="J87" t="str">
        <f t="array" ref="J87">IFERROR(INDEX('Player Raw Data'!T:T,Match($A87,'Player Raw Data'!$B:$B,0)),"")</f>
        <v/>
      </c>
      <c r="K87" t="str">
        <f t="array" ref="K87">IFERROR(INDEX('Player Raw Data'!X:X,Match($A87,'Player Raw Data'!$B:$B,0)),"")</f>
        <v/>
      </c>
      <c r="L87" t="str">
        <f t="array" ref="L87">IFERROR(INDEX('Player Raw Data'!Y:Y,Match($A87,'Player Raw Data'!$B:$B,0)),"")</f>
        <v/>
      </c>
      <c r="M87" t="str">
        <f t="array" ref="M87">IFERROR(INDEX('Player Raw Data'!Z:Z,Match($A87,'Player Raw Data'!$B:$B,0)),"")</f>
        <v/>
      </c>
      <c r="N87" t="str">
        <f t="array" ref="N87">IFERROR(INDEX('Player Raw Data'!AA:AA,Match($A87,'Player Raw Data'!$B:$B,0)),"")</f>
        <v/>
      </c>
      <c r="O87" t="str">
        <f t="array" ref="O87">IFERROR(INDEX('Player Raw Data'!AB:AB,Match($A87,'Player Raw Data'!$B:$B,0)),"")</f>
        <v/>
      </c>
      <c r="P87" t="str">
        <f t="array" ref="P87">IFERROR(INDEX('Player Raw Data'!AD:AD,Match($A87,'Player Raw Data'!$B:$B,0)),"")</f>
        <v/>
      </c>
      <c r="Q87">
        <f t="shared" si="1"/>
        <v>0</v>
      </c>
      <c r="R87" s="9">
        <f t="shared" si="2"/>
        <v>0</v>
      </c>
      <c r="S87" s="14">
        <f t="shared" si="3"/>
        <v>0</v>
      </c>
      <c r="T87" s="15">
        <f>IFERROR(__xludf.DUMMYFUNCTION("IFERROR(PERCENTRANK.INC(FILTER(Q:Q,$F:$F&lt;&gt;""""),Q87)*100,"""")"),1.5)</f>
        <v>1.5</v>
      </c>
      <c r="U87" s="15">
        <f>IFERROR(__xludf.DUMMYFUNCTION("IFERROR(PERCENTRANK.INC(FILTER(R:R,$F:$F&lt;&gt;""""),R87)*100,"""")"),1.5)</f>
        <v>1.5</v>
      </c>
      <c r="V87" s="15">
        <f>IFERROR(__xludf.DUMMYFUNCTION("IFERROR(PERCENTRANK.INC(FILTER(S:S,$F:$F&lt;&gt;""""),S87)*100,"""")"),1.5)</f>
        <v>1.5</v>
      </c>
      <c r="W87" s="15" t="str">
        <f t="shared" si="4"/>
        <v/>
      </c>
      <c r="X87" s="16"/>
      <c r="Y87" s="9"/>
      <c r="Z87" s="9"/>
    </row>
    <row r="88">
      <c r="B88" t="str">
        <f t="array" ref="B88">IFERROR(INDEX('Player Raw Data'!E:E,Match($A88,'Player Raw Data'!$B:$B,0)),"")</f>
        <v/>
      </c>
      <c r="C88" t="str">
        <f t="array" ref="C88">IFERROR(INDEX('Player Raw Data'!C:C,Match($A88,'Player Raw Data'!$B:$B,0)),"")</f>
        <v/>
      </c>
      <c r="D88" t="str">
        <f t="array" ref="D88">IFERROR(IF(A88=A87, INDEX('Player Raw Data'!D:D,Match($A88,'Player Raw Data'!$B:$B,0)+2),INDEX('Player Raw Data'!D:D,Match($A88,'Player Raw Data'!$B:$B,0))),"")</f>
        <v/>
      </c>
      <c r="E88" t="str">
        <f t="array" ref="E88">IFERROR(INDEX('Player Raw Data'!F:F,Match($A88,'Player Raw Data'!$B:$B,0)),"")</f>
        <v/>
      </c>
      <c r="F88" t="str">
        <f t="array" ref="F88">IFERROR(INDEX('Player Raw Data'!H:H,Match($A88,'Player Raw Data'!$B:$B,0)),"")</f>
        <v/>
      </c>
      <c r="G88" t="str">
        <f t="array" ref="G88">IFERROR(INDEX('Player Raw Data'!I:I,Match($A88,'Player Raw Data'!$B:$B,0)),"")</f>
        <v/>
      </c>
      <c r="H88" t="str">
        <f t="array" ref="H88">IFERROR(INDEX('Player Raw Data'!J:J,Match($A88,'Player Raw Data'!$B:$B,0)),"")</f>
        <v/>
      </c>
      <c r="I88" t="str">
        <f t="array" ref="I88">IFERROR(INDEX('Player Raw Data'!S:S,Match($A88,'Player Raw Data'!$B:$B,0)),"")</f>
        <v/>
      </c>
      <c r="J88" t="str">
        <f t="array" ref="J88">IFERROR(INDEX('Player Raw Data'!T:T,Match($A88,'Player Raw Data'!$B:$B,0)),"")</f>
        <v/>
      </c>
      <c r="K88" t="str">
        <f t="array" ref="K88">IFERROR(INDEX('Player Raw Data'!X:X,Match($A88,'Player Raw Data'!$B:$B,0)),"")</f>
        <v/>
      </c>
      <c r="L88" t="str">
        <f t="array" ref="L88">IFERROR(INDEX('Player Raw Data'!Y:Y,Match($A88,'Player Raw Data'!$B:$B,0)),"")</f>
        <v/>
      </c>
      <c r="M88" t="str">
        <f t="array" ref="M88">IFERROR(INDEX('Player Raw Data'!Z:Z,Match($A88,'Player Raw Data'!$B:$B,0)),"")</f>
        <v/>
      </c>
      <c r="N88" t="str">
        <f t="array" ref="N88">IFERROR(INDEX('Player Raw Data'!AA:AA,Match($A88,'Player Raw Data'!$B:$B,0)),"")</f>
        <v/>
      </c>
      <c r="O88" t="str">
        <f t="array" ref="O88">IFERROR(INDEX('Player Raw Data'!AB:AB,Match($A88,'Player Raw Data'!$B:$B,0)),"")</f>
        <v/>
      </c>
      <c r="P88" t="str">
        <f t="array" ref="P88">IFERROR(INDEX('Player Raw Data'!AD:AD,Match($A88,'Player Raw Data'!$B:$B,0)),"")</f>
        <v/>
      </c>
      <c r="Q88">
        <f t="shared" si="1"/>
        <v>0</v>
      </c>
      <c r="R88" s="9">
        <f t="shared" si="2"/>
        <v>0</v>
      </c>
      <c r="S88" s="14">
        <f t="shared" si="3"/>
        <v>0</v>
      </c>
      <c r="T88" s="15">
        <f>IFERROR(__xludf.DUMMYFUNCTION("IFERROR(PERCENTRANK.INC(FILTER(Q:Q,$F:$F&lt;&gt;""""),Q88)*100,"""")"),1.5)</f>
        <v>1.5</v>
      </c>
      <c r="U88" s="15">
        <f>IFERROR(__xludf.DUMMYFUNCTION("IFERROR(PERCENTRANK.INC(FILTER(R:R,$F:$F&lt;&gt;""""),R88)*100,"""")"),1.5)</f>
        <v>1.5</v>
      </c>
      <c r="V88" s="15">
        <f>IFERROR(__xludf.DUMMYFUNCTION("IFERROR(PERCENTRANK.INC(FILTER(S:S,$F:$F&lt;&gt;""""),S88)*100,"""")"),1.5)</f>
        <v>1.5</v>
      </c>
      <c r="W88" s="15" t="str">
        <f t="shared" si="4"/>
        <v/>
      </c>
      <c r="X88" s="16"/>
      <c r="Y88" s="9"/>
      <c r="Z88" s="9"/>
    </row>
    <row r="89">
      <c r="B89" t="str">
        <f t="array" ref="B89">IFERROR(INDEX('Player Raw Data'!E:E,Match($A89,'Player Raw Data'!$B:$B,0)),"")</f>
        <v/>
      </c>
      <c r="C89" t="str">
        <f t="array" ref="C89">IFERROR(INDEX('Player Raw Data'!C:C,Match($A89,'Player Raw Data'!$B:$B,0)),"")</f>
        <v/>
      </c>
      <c r="D89" t="str">
        <f t="array" ref="D89">IFERROR(IF(A89=A88, INDEX('Player Raw Data'!D:D,Match($A89,'Player Raw Data'!$B:$B,0)+2),INDEX('Player Raw Data'!D:D,Match($A89,'Player Raw Data'!$B:$B,0))),"")</f>
        <v/>
      </c>
      <c r="E89" t="str">
        <f t="array" ref="E89">IFERROR(INDEX('Player Raw Data'!F:F,Match($A89,'Player Raw Data'!$B:$B,0)),"")</f>
        <v/>
      </c>
      <c r="F89" t="str">
        <f t="array" ref="F89">IFERROR(INDEX('Player Raw Data'!H:H,Match($A89,'Player Raw Data'!$B:$B,0)),"")</f>
        <v/>
      </c>
      <c r="G89" t="str">
        <f t="array" ref="G89">IFERROR(INDEX('Player Raw Data'!I:I,Match($A89,'Player Raw Data'!$B:$B,0)),"")</f>
        <v/>
      </c>
      <c r="H89" t="str">
        <f t="array" ref="H89">IFERROR(INDEX('Player Raw Data'!J:J,Match($A89,'Player Raw Data'!$B:$B,0)),"")</f>
        <v/>
      </c>
      <c r="I89" t="str">
        <f t="array" ref="I89">IFERROR(INDEX('Player Raw Data'!S:S,Match($A89,'Player Raw Data'!$B:$B,0)),"")</f>
        <v/>
      </c>
      <c r="J89" t="str">
        <f t="array" ref="J89">IFERROR(INDEX('Player Raw Data'!T:T,Match($A89,'Player Raw Data'!$B:$B,0)),"")</f>
        <v/>
      </c>
      <c r="K89" t="str">
        <f t="array" ref="K89">IFERROR(INDEX('Player Raw Data'!X:X,Match($A89,'Player Raw Data'!$B:$B,0)),"")</f>
        <v/>
      </c>
      <c r="L89" t="str">
        <f t="array" ref="L89">IFERROR(INDEX('Player Raw Data'!Y:Y,Match($A89,'Player Raw Data'!$B:$B,0)),"")</f>
        <v/>
      </c>
      <c r="M89" t="str">
        <f t="array" ref="M89">IFERROR(INDEX('Player Raw Data'!Z:Z,Match($A89,'Player Raw Data'!$B:$B,0)),"")</f>
        <v/>
      </c>
      <c r="N89" t="str">
        <f t="array" ref="N89">IFERROR(INDEX('Player Raw Data'!AA:AA,Match($A89,'Player Raw Data'!$B:$B,0)),"")</f>
        <v/>
      </c>
      <c r="O89" t="str">
        <f t="array" ref="O89">IFERROR(INDEX('Player Raw Data'!AB:AB,Match($A89,'Player Raw Data'!$B:$B,0)),"")</f>
        <v/>
      </c>
      <c r="P89" t="str">
        <f t="array" ref="P89">IFERROR(INDEX('Player Raw Data'!AD:AD,Match($A89,'Player Raw Data'!$B:$B,0)),"")</f>
        <v/>
      </c>
      <c r="Q89">
        <f t="shared" si="1"/>
        <v>0</v>
      </c>
      <c r="R89" s="9">
        <f t="shared" si="2"/>
        <v>0</v>
      </c>
      <c r="S89" s="14">
        <f t="shared" si="3"/>
        <v>0</v>
      </c>
      <c r="T89" s="15">
        <f>IFERROR(__xludf.DUMMYFUNCTION("IFERROR(PERCENTRANK.INC(FILTER(Q:Q,$F:$F&lt;&gt;""""),Q89)*100,"""")"),1.5)</f>
        <v>1.5</v>
      </c>
      <c r="U89" s="15">
        <f>IFERROR(__xludf.DUMMYFUNCTION("IFERROR(PERCENTRANK.INC(FILTER(R:R,$F:$F&lt;&gt;""""),R89)*100,"""")"),1.5)</f>
        <v>1.5</v>
      </c>
      <c r="V89" s="15">
        <f>IFERROR(__xludf.DUMMYFUNCTION("IFERROR(PERCENTRANK.INC(FILTER(S:S,$F:$F&lt;&gt;""""),S89)*100,"""")"),1.5)</f>
        <v>1.5</v>
      </c>
      <c r="W89" s="15" t="str">
        <f t="shared" si="4"/>
        <v/>
      </c>
      <c r="X89" s="16"/>
      <c r="Y89" s="9"/>
      <c r="Z89" s="9"/>
    </row>
    <row r="90">
      <c r="B90" t="str">
        <f t="array" ref="B90">IFERROR(INDEX('Player Raw Data'!E:E,Match($A90,'Player Raw Data'!$B:$B,0)),"")</f>
        <v/>
      </c>
      <c r="C90" t="str">
        <f t="array" ref="C90">IFERROR(INDEX('Player Raw Data'!C:C,Match($A90,'Player Raw Data'!$B:$B,0)),"")</f>
        <v/>
      </c>
      <c r="D90" t="str">
        <f t="array" ref="D90">IFERROR(IF(A90=A89, INDEX('Player Raw Data'!D:D,Match($A90,'Player Raw Data'!$B:$B,0)+2),INDEX('Player Raw Data'!D:D,Match($A90,'Player Raw Data'!$B:$B,0))),"")</f>
        <v/>
      </c>
      <c r="E90" t="str">
        <f t="array" ref="E90">IFERROR(INDEX('Player Raw Data'!F:F,Match($A90,'Player Raw Data'!$B:$B,0)),"")</f>
        <v/>
      </c>
      <c r="F90" t="str">
        <f t="array" ref="F90">IFERROR(INDEX('Player Raw Data'!H:H,Match($A90,'Player Raw Data'!$B:$B,0)),"")</f>
        <v/>
      </c>
      <c r="G90" t="str">
        <f t="array" ref="G90">IFERROR(INDEX('Player Raw Data'!I:I,Match($A90,'Player Raw Data'!$B:$B,0)),"")</f>
        <v/>
      </c>
      <c r="H90" t="str">
        <f t="array" ref="H90">IFERROR(INDEX('Player Raw Data'!J:J,Match($A90,'Player Raw Data'!$B:$B,0)),"")</f>
        <v/>
      </c>
      <c r="I90" t="str">
        <f t="array" ref="I90">IFERROR(INDEX('Player Raw Data'!S:S,Match($A90,'Player Raw Data'!$B:$B,0)),"")</f>
        <v/>
      </c>
      <c r="J90" t="str">
        <f t="array" ref="J90">IFERROR(INDEX('Player Raw Data'!T:T,Match($A90,'Player Raw Data'!$B:$B,0)),"")</f>
        <v/>
      </c>
      <c r="K90" t="str">
        <f t="array" ref="K90">IFERROR(INDEX('Player Raw Data'!X:X,Match($A90,'Player Raw Data'!$B:$B,0)),"")</f>
        <v/>
      </c>
      <c r="L90" t="str">
        <f t="array" ref="L90">IFERROR(INDEX('Player Raw Data'!Y:Y,Match($A90,'Player Raw Data'!$B:$B,0)),"")</f>
        <v/>
      </c>
      <c r="M90" t="str">
        <f t="array" ref="M90">IFERROR(INDEX('Player Raw Data'!Z:Z,Match($A90,'Player Raw Data'!$B:$B,0)),"")</f>
        <v/>
      </c>
      <c r="N90" t="str">
        <f t="array" ref="N90">IFERROR(INDEX('Player Raw Data'!AA:AA,Match($A90,'Player Raw Data'!$B:$B,0)),"")</f>
        <v/>
      </c>
      <c r="O90" t="str">
        <f t="array" ref="O90">IFERROR(INDEX('Player Raw Data'!AB:AB,Match($A90,'Player Raw Data'!$B:$B,0)),"")</f>
        <v/>
      </c>
      <c r="P90" t="str">
        <f t="array" ref="P90">IFERROR(INDEX('Player Raw Data'!AD:AD,Match($A90,'Player Raw Data'!$B:$B,0)),"")</f>
        <v/>
      </c>
      <c r="Q90">
        <f t="shared" si="1"/>
        <v>0</v>
      </c>
      <c r="R90" s="9">
        <f t="shared" si="2"/>
        <v>0</v>
      </c>
      <c r="S90" s="14">
        <f t="shared" si="3"/>
        <v>0</v>
      </c>
      <c r="T90" s="15">
        <f>IFERROR(__xludf.DUMMYFUNCTION("IFERROR(PERCENTRANK.INC(FILTER(Q:Q,$F:$F&lt;&gt;""""),Q90)*100,"""")"),1.5)</f>
        <v>1.5</v>
      </c>
      <c r="U90" s="15">
        <f>IFERROR(__xludf.DUMMYFUNCTION("IFERROR(PERCENTRANK.INC(FILTER(R:R,$F:$F&lt;&gt;""""),R90)*100,"""")"),1.5)</f>
        <v>1.5</v>
      </c>
      <c r="V90" s="15">
        <f>IFERROR(__xludf.DUMMYFUNCTION("IFERROR(PERCENTRANK.INC(FILTER(S:S,$F:$F&lt;&gt;""""),S90)*100,"""")"),1.5)</f>
        <v>1.5</v>
      </c>
      <c r="W90" s="15" t="str">
        <f t="shared" si="4"/>
        <v/>
      </c>
      <c r="X90" s="16"/>
      <c r="Y90" s="9"/>
      <c r="Z90" s="9"/>
    </row>
    <row r="91">
      <c r="B91" t="str">
        <f t="array" ref="B91">IFERROR(INDEX('Player Raw Data'!E:E,Match($A91,'Player Raw Data'!$B:$B,0)),"")</f>
        <v/>
      </c>
      <c r="C91" t="str">
        <f t="array" ref="C91">IFERROR(INDEX('Player Raw Data'!C:C,Match($A91,'Player Raw Data'!$B:$B,0)),"")</f>
        <v/>
      </c>
      <c r="D91" t="str">
        <f t="array" ref="D91">IFERROR(IF(A91=A90, INDEX('Player Raw Data'!D:D,Match($A91,'Player Raw Data'!$B:$B,0)+2),INDEX('Player Raw Data'!D:D,Match($A91,'Player Raw Data'!$B:$B,0))),"")</f>
        <v/>
      </c>
      <c r="E91" t="str">
        <f t="array" ref="E91">IFERROR(INDEX('Player Raw Data'!F:F,Match($A91,'Player Raw Data'!$B:$B,0)),"")</f>
        <v/>
      </c>
      <c r="F91" t="str">
        <f t="array" ref="F91">IFERROR(INDEX('Player Raw Data'!H:H,Match($A91,'Player Raw Data'!$B:$B,0)),"")</f>
        <v/>
      </c>
      <c r="G91" t="str">
        <f t="array" ref="G91">IFERROR(INDEX('Player Raw Data'!I:I,Match($A91,'Player Raw Data'!$B:$B,0)),"")</f>
        <v/>
      </c>
      <c r="H91" t="str">
        <f t="array" ref="H91">IFERROR(INDEX('Player Raw Data'!J:J,Match($A91,'Player Raw Data'!$B:$B,0)),"")</f>
        <v/>
      </c>
      <c r="I91" t="str">
        <f t="array" ref="I91">IFERROR(INDEX('Player Raw Data'!S:S,Match($A91,'Player Raw Data'!$B:$B,0)),"")</f>
        <v/>
      </c>
      <c r="J91" t="str">
        <f t="array" ref="J91">IFERROR(INDEX('Player Raw Data'!T:T,Match($A91,'Player Raw Data'!$B:$B,0)),"")</f>
        <v/>
      </c>
      <c r="K91" t="str">
        <f t="array" ref="K91">IFERROR(INDEX('Player Raw Data'!X:X,Match($A91,'Player Raw Data'!$B:$B,0)),"")</f>
        <v/>
      </c>
      <c r="L91" t="str">
        <f t="array" ref="L91">IFERROR(INDEX('Player Raw Data'!Y:Y,Match($A91,'Player Raw Data'!$B:$B,0)),"")</f>
        <v/>
      </c>
      <c r="M91" t="str">
        <f t="array" ref="M91">IFERROR(INDEX('Player Raw Data'!Z:Z,Match($A91,'Player Raw Data'!$B:$B,0)),"")</f>
        <v/>
      </c>
      <c r="N91" t="str">
        <f t="array" ref="N91">IFERROR(INDEX('Player Raw Data'!AA:AA,Match($A91,'Player Raw Data'!$B:$B,0)),"")</f>
        <v/>
      </c>
      <c r="O91" t="str">
        <f t="array" ref="O91">IFERROR(INDEX('Player Raw Data'!AB:AB,Match($A91,'Player Raw Data'!$B:$B,0)),"")</f>
        <v/>
      </c>
      <c r="P91" t="str">
        <f t="array" ref="P91">IFERROR(INDEX('Player Raw Data'!AD:AD,Match($A91,'Player Raw Data'!$B:$B,0)),"")</f>
        <v/>
      </c>
      <c r="Q91">
        <f t="shared" si="1"/>
        <v>0</v>
      </c>
      <c r="R91" s="9">
        <f t="shared" si="2"/>
        <v>0</v>
      </c>
      <c r="S91" s="14">
        <f t="shared" si="3"/>
        <v>0</v>
      </c>
      <c r="T91" s="15">
        <f>IFERROR(__xludf.DUMMYFUNCTION("IFERROR(PERCENTRANK.INC(FILTER(Q:Q,$F:$F&lt;&gt;""""),Q91)*100,"""")"),1.5)</f>
        <v>1.5</v>
      </c>
      <c r="U91" s="15">
        <f>IFERROR(__xludf.DUMMYFUNCTION("IFERROR(PERCENTRANK.INC(FILTER(R:R,$F:$F&lt;&gt;""""),R91)*100,"""")"),1.5)</f>
        <v>1.5</v>
      </c>
      <c r="V91" s="15">
        <f>IFERROR(__xludf.DUMMYFUNCTION("IFERROR(PERCENTRANK.INC(FILTER(S:S,$F:$F&lt;&gt;""""),S91)*100,"""")"),1.5)</f>
        <v>1.5</v>
      </c>
      <c r="W91" s="15" t="str">
        <f t="shared" si="4"/>
        <v/>
      </c>
      <c r="X91" s="16"/>
      <c r="Y91" s="9"/>
      <c r="Z91" s="9"/>
    </row>
    <row r="92">
      <c r="B92" t="str">
        <f t="array" ref="B92">IFERROR(INDEX('Player Raw Data'!E:E,Match($A92,'Player Raw Data'!$B:$B,0)),"")</f>
        <v/>
      </c>
      <c r="C92" t="str">
        <f t="array" ref="C92">IFERROR(INDEX('Player Raw Data'!C:C,Match($A92,'Player Raw Data'!$B:$B,0)),"")</f>
        <v/>
      </c>
      <c r="D92" t="str">
        <f t="array" ref="D92">IFERROR(IF(A92=A91, INDEX('Player Raw Data'!D:D,Match($A92,'Player Raw Data'!$B:$B,0)+2),INDEX('Player Raw Data'!D:D,Match($A92,'Player Raw Data'!$B:$B,0))),"")</f>
        <v/>
      </c>
      <c r="E92" t="str">
        <f t="array" ref="E92">IFERROR(INDEX('Player Raw Data'!F:F,Match($A92,'Player Raw Data'!$B:$B,0)),"")</f>
        <v/>
      </c>
      <c r="F92" t="str">
        <f t="array" ref="F92">IFERROR(INDEX('Player Raw Data'!H:H,Match($A92,'Player Raw Data'!$B:$B,0)),"")</f>
        <v/>
      </c>
      <c r="G92" t="str">
        <f t="array" ref="G92">IFERROR(INDEX('Player Raw Data'!I:I,Match($A92,'Player Raw Data'!$B:$B,0)),"")</f>
        <v/>
      </c>
      <c r="H92" t="str">
        <f t="array" ref="H92">IFERROR(INDEX('Player Raw Data'!J:J,Match($A92,'Player Raw Data'!$B:$B,0)),"")</f>
        <v/>
      </c>
      <c r="I92" t="str">
        <f t="array" ref="I92">IFERROR(INDEX('Player Raw Data'!S:S,Match($A92,'Player Raw Data'!$B:$B,0)),"")</f>
        <v/>
      </c>
      <c r="J92" t="str">
        <f t="array" ref="J92">IFERROR(INDEX('Player Raw Data'!T:T,Match($A92,'Player Raw Data'!$B:$B,0)),"")</f>
        <v/>
      </c>
      <c r="K92" t="str">
        <f t="array" ref="K92">IFERROR(INDEX('Player Raw Data'!X:X,Match($A92,'Player Raw Data'!$B:$B,0)),"")</f>
        <v/>
      </c>
      <c r="L92" t="str">
        <f t="array" ref="L92">IFERROR(INDEX('Player Raw Data'!Y:Y,Match($A92,'Player Raw Data'!$B:$B,0)),"")</f>
        <v/>
      </c>
      <c r="M92" t="str">
        <f t="array" ref="M92">IFERROR(INDEX('Player Raw Data'!Z:Z,Match($A92,'Player Raw Data'!$B:$B,0)),"")</f>
        <v/>
      </c>
      <c r="N92" t="str">
        <f t="array" ref="N92">IFERROR(INDEX('Player Raw Data'!AA:AA,Match($A92,'Player Raw Data'!$B:$B,0)),"")</f>
        <v/>
      </c>
      <c r="O92" t="str">
        <f t="array" ref="O92">IFERROR(INDEX('Player Raw Data'!AB:AB,Match($A92,'Player Raw Data'!$B:$B,0)),"")</f>
        <v/>
      </c>
      <c r="P92" t="str">
        <f t="array" ref="P92">IFERROR(INDEX('Player Raw Data'!AD:AD,Match($A92,'Player Raw Data'!$B:$B,0)),"")</f>
        <v/>
      </c>
      <c r="Q92">
        <f t="shared" si="1"/>
        <v>0</v>
      </c>
      <c r="R92" s="9">
        <f t="shared" si="2"/>
        <v>0</v>
      </c>
      <c r="S92" s="14">
        <f t="shared" si="3"/>
        <v>0</v>
      </c>
      <c r="T92" s="15">
        <f>IFERROR(__xludf.DUMMYFUNCTION("IFERROR(PERCENTRANK.INC(FILTER(Q:Q,$F:$F&lt;&gt;""""),Q92)*100,"""")"),1.5)</f>
        <v>1.5</v>
      </c>
      <c r="U92" s="15">
        <f>IFERROR(__xludf.DUMMYFUNCTION("IFERROR(PERCENTRANK.INC(FILTER(R:R,$F:$F&lt;&gt;""""),R92)*100,"""")"),1.5)</f>
        <v>1.5</v>
      </c>
      <c r="V92" s="15">
        <f>IFERROR(__xludf.DUMMYFUNCTION("IFERROR(PERCENTRANK.INC(FILTER(S:S,$F:$F&lt;&gt;""""),S92)*100,"""")"),1.5)</f>
        <v>1.5</v>
      </c>
      <c r="W92" s="15" t="str">
        <f t="shared" si="4"/>
        <v/>
      </c>
      <c r="X92" s="16"/>
      <c r="Y92" s="9"/>
      <c r="Z92" s="9"/>
    </row>
    <row r="93">
      <c r="B93" t="str">
        <f t="array" ref="B93">IFERROR(INDEX('Player Raw Data'!E:E,Match($A93,'Player Raw Data'!$B:$B,0)),"")</f>
        <v/>
      </c>
      <c r="C93" t="str">
        <f t="array" ref="C93">IFERROR(INDEX('Player Raw Data'!C:C,Match($A93,'Player Raw Data'!$B:$B,0)),"")</f>
        <v/>
      </c>
      <c r="D93" t="str">
        <f t="array" ref="D93">IFERROR(IF(A93=A92, INDEX('Player Raw Data'!D:D,Match($A93,'Player Raw Data'!$B:$B,0)+2),INDEX('Player Raw Data'!D:D,Match($A93,'Player Raw Data'!$B:$B,0))),"")</f>
        <v/>
      </c>
      <c r="E93" t="str">
        <f t="array" ref="E93">IFERROR(INDEX('Player Raw Data'!F:F,Match($A93,'Player Raw Data'!$B:$B,0)),"")</f>
        <v/>
      </c>
      <c r="F93" t="str">
        <f t="array" ref="F93">IFERROR(INDEX('Player Raw Data'!H:H,Match($A93,'Player Raw Data'!$B:$B,0)),"")</f>
        <v/>
      </c>
      <c r="G93" t="str">
        <f t="array" ref="G93">IFERROR(INDEX('Player Raw Data'!I:I,Match($A93,'Player Raw Data'!$B:$B,0)),"")</f>
        <v/>
      </c>
      <c r="H93" t="str">
        <f t="array" ref="H93">IFERROR(INDEX('Player Raw Data'!J:J,Match($A93,'Player Raw Data'!$B:$B,0)),"")</f>
        <v/>
      </c>
      <c r="I93" t="str">
        <f t="array" ref="I93">IFERROR(INDEX('Player Raw Data'!S:S,Match($A93,'Player Raw Data'!$B:$B,0)),"")</f>
        <v/>
      </c>
      <c r="J93" t="str">
        <f t="array" ref="J93">IFERROR(INDEX('Player Raw Data'!T:T,Match($A93,'Player Raw Data'!$B:$B,0)),"")</f>
        <v/>
      </c>
      <c r="K93" t="str">
        <f t="array" ref="K93">IFERROR(INDEX('Player Raw Data'!X:X,Match($A93,'Player Raw Data'!$B:$B,0)),"")</f>
        <v/>
      </c>
      <c r="L93" t="str">
        <f t="array" ref="L93">IFERROR(INDEX('Player Raw Data'!Y:Y,Match($A93,'Player Raw Data'!$B:$B,0)),"")</f>
        <v/>
      </c>
      <c r="M93" t="str">
        <f t="array" ref="M93">IFERROR(INDEX('Player Raw Data'!Z:Z,Match($A93,'Player Raw Data'!$B:$B,0)),"")</f>
        <v/>
      </c>
      <c r="N93" t="str">
        <f t="array" ref="N93">IFERROR(INDEX('Player Raw Data'!AA:AA,Match($A93,'Player Raw Data'!$B:$B,0)),"")</f>
        <v/>
      </c>
      <c r="O93" t="str">
        <f t="array" ref="O93">IFERROR(INDEX('Player Raw Data'!AB:AB,Match($A93,'Player Raw Data'!$B:$B,0)),"")</f>
        <v/>
      </c>
      <c r="P93" t="str">
        <f t="array" ref="P93">IFERROR(INDEX('Player Raw Data'!AD:AD,Match($A93,'Player Raw Data'!$B:$B,0)),"")</f>
        <v/>
      </c>
      <c r="Q93">
        <f t="shared" si="1"/>
        <v>0</v>
      </c>
      <c r="R93" s="9">
        <f t="shared" si="2"/>
        <v>0</v>
      </c>
      <c r="S93" s="14">
        <f t="shared" si="3"/>
        <v>0</v>
      </c>
      <c r="T93" s="15">
        <f>IFERROR(__xludf.DUMMYFUNCTION("IFERROR(PERCENTRANK.INC(FILTER(Q:Q,$F:$F&lt;&gt;""""),Q93)*100,"""")"),1.5)</f>
        <v>1.5</v>
      </c>
      <c r="U93" s="15">
        <f>IFERROR(__xludf.DUMMYFUNCTION("IFERROR(PERCENTRANK.INC(FILTER(R:R,$F:$F&lt;&gt;""""),R93)*100,"""")"),1.5)</f>
        <v>1.5</v>
      </c>
      <c r="V93" s="15">
        <f>IFERROR(__xludf.DUMMYFUNCTION("IFERROR(PERCENTRANK.INC(FILTER(S:S,$F:$F&lt;&gt;""""),S93)*100,"""")"),1.5)</f>
        <v>1.5</v>
      </c>
      <c r="W93" s="15" t="str">
        <f t="shared" si="4"/>
        <v/>
      </c>
      <c r="X93" s="16"/>
      <c r="Y93" s="9"/>
      <c r="Z93" s="9"/>
    </row>
    <row r="94">
      <c r="B94" t="str">
        <f t="array" ref="B94">IFERROR(INDEX('Player Raw Data'!E:E,Match($A94,'Player Raw Data'!$B:$B,0)),"")</f>
        <v/>
      </c>
      <c r="C94" t="str">
        <f t="array" ref="C94">IFERROR(INDEX('Player Raw Data'!C:C,Match($A94,'Player Raw Data'!$B:$B,0)),"")</f>
        <v/>
      </c>
      <c r="D94" t="str">
        <f t="array" ref="D94">IFERROR(IF(A94=A93, INDEX('Player Raw Data'!D:D,Match($A94,'Player Raw Data'!$B:$B,0)+2),INDEX('Player Raw Data'!D:D,Match($A94,'Player Raw Data'!$B:$B,0))),"")</f>
        <v/>
      </c>
      <c r="E94" t="str">
        <f t="array" ref="E94">IFERROR(INDEX('Player Raw Data'!F:F,Match($A94,'Player Raw Data'!$B:$B,0)),"")</f>
        <v/>
      </c>
      <c r="F94" t="str">
        <f t="array" ref="F94">IFERROR(INDEX('Player Raw Data'!H:H,Match($A94,'Player Raw Data'!$B:$B,0)),"")</f>
        <v/>
      </c>
      <c r="G94" t="str">
        <f t="array" ref="G94">IFERROR(INDEX('Player Raw Data'!I:I,Match($A94,'Player Raw Data'!$B:$B,0)),"")</f>
        <v/>
      </c>
      <c r="H94" t="str">
        <f t="array" ref="H94">IFERROR(INDEX('Player Raw Data'!J:J,Match($A94,'Player Raw Data'!$B:$B,0)),"")</f>
        <v/>
      </c>
      <c r="I94" t="str">
        <f t="array" ref="I94">IFERROR(INDEX('Player Raw Data'!S:S,Match($A94,'Player Raw Data'!$B:$B,0)),"")</f>
        <v/>
      </c>
      <c r="J94" t="str">
        <f t="array" ref="J94">IFERROR(INDEX('Player Raw Data'!T:T,Match($A94,'Player Raw Data'!$B:$B,0)),"")</f>
        <v/>
      </c>
      <c r="K94" t="str">
        <f t="array" ref="K94">IFERROR(INDEX('Player Raw Data'!X:X,Match($A94,'Player Raw Data'!$B:$B,0)),"")</f>
        <v/>
      </c>
      <c r="L94" t="str">
        <f t="array" ref="L94">IFERROR(INDEX('Player Raw Data'!Y:Y,Match($A94,'Player Raw Data'!$B:$B,0)),"")</f>
        <v/>
      </c>
      <c r="M94" t="str">
        <f t="array" ref="M94">IFERROR(INDEX('Player Raw Data'!Z:Z,Match($A94,'Player Raw Data'!$B:$B,0)),"")</f>
        <v/>
      </c>
      <c r="N94" t="str">
        <f t="array" ref="N94">IFERROR(INDEX('Player Raw Data'!AA:AA,Match($A94,'Player Raw Data'!$B:$B,0)),"")</f>
        <v/>
      </c>
      <c r="O94" t="str">
        <f t="array" ref="O94">IFERROR(INDEX('Player Raw Data'!AB:AB,Match($A94,'Player Raw Data'!$B:$B,0)),"")</f>
        <v/>
      </c>
      <c r="P94" t="str">
        <f t="array" ref="P94">IFERROR(INDEX('Player Raw Data'!AD:AD,Match($A94,'Player Raw Data'!$B:$B,0)),"")</f>
        <v/>
      </c>
      <c r="Q94">
        <f t="shared" si="1"/>
        <v>0</v>
      </c>
      <c r="R94" s="9">
        <f t="shared" si="2"/>
        <v>0</v>
      </c>
      <c r="S94" s="14">
        <f t="shared" si="3"/>
        <v>0</v>
      </c>
      <c r="T94" s="15">
        <f>IFERROR(__xludf.DUMMYFUNCTION("IFERROR(PERCENTRANK.INC(FILTER(Q:Q,$F:$F&lt;&gt;""""),Q94)*100,"""")"),1.5)</f>
        <v>1.5</v>
      </c>
      <c r="U94" s="15">
        <f>IFERROR(__xludf.DUMMYFUNCTION("IFERROR(PERCENTRANK.INC(FILTER(R:R,$F:$F&lt;&gt;""""),R94)*100,"""")"),1.5)</f>
        <v>1.5</v>
      </c>
      <c r="V94" s="15">
        <f>IFERROR(__xludf.DUMMYFUNCTION("IFERROR(PERCENTRANK.INC(FILTER(S:S,$F:$F&lt;&gt;""""),S94)*100,"""")"),1.5)</f>
        <v>1.5</v>
      </c>
      <c r="W94" s="15" t="str">
        <f t="shared" si="4"/>
        <v/>
      </c>
      <c r="X94" s="16"/>
      <c r="Y94" s="9"/>
      <c r="Z94" s="9"/>
    </row>
    <row r="95">
      <c r="B95" t="str">
        <f t="array" ref="B95">IFERROR(INDEX('Player Raw Data'!E:E,Match($A95,'Player Raw Data'!$B:$B,0)),"")</f>
        <v/>
      </c>
      <c r="C95" t="str">
        <f t="array" ref="C95">IFERROR(INDEX('Player Raw Data'!C:C,Match($A95,'Player Raw Data'!$B:$B,0)),"")</f>
        <v/>
      </c>
      <c r="D95" t="str">
        <f t="array" ref="D95">IFERROR(IF(A95=A94, INDEX('Player Raw Data'!D:D,Match($A95,'Player Raw Data'!$B:$B,0)+2),INDEX('Player Raw Data'!D:D,Match($A95,'Player Raw Data'!$B:$B,0))),"")</f>
        <v/>
      </c>
      <c r="E95" t="str">
        <f t="array" ref="E95">IFERROR(INDEX('Player Raw Data'!F:F,Match($A95,'Player Raw Data'!$B:$B,0)),"")</f>
        <v/>
      </c>
      <c r="F95" t="str">
        <f t="array" ref="F95">IFERROR(INDEX('Player Raw Data'!H:H,Match($A95,'Player Raw Data'!$B:$B,0)),"")</f>
        <v/>
      </c>
      <c r="G95" t="str">
        <f t="array" ref="G95">IFERROR(INDEX('Player Raw Data'!I:I,Match($A95,'Player Raw Data'!$B:$B,0)),"")</f>
        <v/>
      </c>
      <c r="H95" t="str">
        <f t="array" ref="H95">IFERROR(INDEX('Player Raw Data'!J:J,Match($A95,'Player Raw Data'!$B:$B,0)),"")</f>
        <v/>
      </c>
      <c r="I95" t="str">
        <f t="array" ref="I95">IFERROR(INDEX('Player Raw Data'!S:S,Match($A95,'Player Raw Data'!$B:$B,0)),"")</f>
        <v/>
      </c>
      <c r="J95" t="str">
        <f t="array" ref="J95">IFERROR(INDEX('Player Raw Data'!T:T,Match($A95,'Player Raw Data'!$B:$B,0)),"")</f>
        <v/>
      </c>
      <c r="K95" t="str">
        <f t="array" ref="K95">IFERROR(INDEX('Player Raw Data'!X:X,Match($A95,'Player Raw Data'!$B:$B,0)),"")</f>
        <v/>
      </c>
      <c r="L95" t="str">
        <f t="array" ref="L95">IFERROR(INDEX('Player Raw Data'!Y:Y,Match($A95,'Player Raw Data'!$B:$B,0)),"")</f>
        <v/>
      </c>
      <c r="M95" t="str">
        <f t="array" ref="M95">IFERROR(INDEX('Player Raw Data'!Z:Z,Match($A95,'Player Raw Data'!$B:$B,0)),"")</f>
        <v/>
      </c>
      <c r="N95" t="str">
        <f t="array" ref="N95">IFERROR(INDEX('Player Raw Data'!AA:AA,Match($A95,'Player Raw Data'!$B:$B,0)),"")</f>
        <v/>
      </c>
      <c r="O95" t="str">
        <f t="array" ref="O95">IFERROR(INDEX('Player Raw Data'!AB:AB,Match($A95,'Player Raw Data'!$B:$B,0)),"")</f>
        <v/>
      </c>
      <c r="P95" t="str">
        <f t="array" ref="P95">IFERROR(INDEX('Player Raw Data'!AD:AD,Match($A95,'Player Raw Data'!$B:$B,0)),"")</f>
        <v/>
      </c>
      <c r="Q95">
        <f t="shared" si="1"/>
        <v>0</v>
      </c>
      <c r="R95" s="9">
        <f t="shared" si="2"/>
        <v>0</v>
      </c>
      <c r="S95" s="14">
        <f t="shared" si="3"/>
        <v>0</v>
      </c>
      <c r="T95" s="15">
        <f>IFERROR(__xludf.DUMMYFUNCTION("IFERROR(PERCENTRANK.INC(FILTER(Q:Q,$F:$F&lt;&gt;""""),Q95)*100,"""")"),1.5)</f>
        <v>1.5</v>
      </c>
      <c r="U95" s="15">
        <f>IFERROR(__xludf.DUMMYFUNCTION("IFERROR(PERCENTRANK.INC(FILTER(R:R,$F:$F&lt;&gt;""""),R95)*100,"""")"),1.5)</f>
        <v>1.5</v>
      </c>
      <c r="V95" s="15">
        <f>IFERROR(__xludf.DUMMYFUNCTION("IFERROR(PERCENTRANK.INC(FILTER(S:S,$F:$F&lt;&gt;""""),S95)*100,"""")"),1.5)</f>
        <v>1.5</v>
      </c>
      <c r="W95" s="15" t="str">
        <f t="shared" si="4"/>
        <v/>
      </c>
      <c r="X95" s="16"/>
      <c r="Y95" s="9"/>
      <c r="Z95" s="9"/>
    </row>
    <row r="96">
      <c r="B96" t="str">
        <f t="array" ref="B96">IFERROR(INDEX('Player Raw Data'!E:E,Match($A96,'Player Raw Data'!$B:$B,0)),"")</f>
        <v/>
      </c>
      <c r="C96" t="str">
        <f t="array" ref="C96">IFERROR(INDEX('Player Raw Data'!C:C,Match($A96,'Player Raw Data'!$B:$B,0)),"")</f>
        <v/>
      </c>
      <c r="D96" t="str">
        <f t="array" ref="D96">IFERROR(IF(A96=A95, INDEX('Player Raw Data'!D:D,Match($A96,'Player Raw Data'!$B:$B,0)+2),INDEX('Player Raw Data'!D:D,Match($A96,'Player Raw Data'!$B:$B,0))),"")</f>
        <v/>
      </c>
      <c r="E96" t="str">
        <f t="array" ref="E96">IFERROR(INDEX('Player Raw Data'!F:F,Match($A96,'Player Raw Data'!$B:$B,0)),"")</f>
        <v/>
      </c>
      <c r="F96" t="str">
        <f t="array" ref="F96">IFERROR(INDEX('Player Raw Data'!H:H,Match($A96,'Player Raw Data'!$B:$B,0)),"")</f>
        <v/>
      </c>
      <c r="G96" t="str">
        <f t="array" ref="G96">IFERROR(INDEX('Player Raw Data'!I:I,Match($A96,'Player Raw Data'!$B:$B,0)),"")</f>
        <v/>
      </c>
      <c r="H96" t="str">
        <f t="array" ref="H96">IFERROR(INDEX('Player Raw Data'!J:J,Match($A96,'Player Raw Data'!$B:$B,0)),"")</f>
        <v/>
      </c>
      <c r="I96" t="str">
        <f t="array" ref="I96">IFERROR(INDEX('Player Raw Data'!S:S,Match($A96,'Player Raw Data'!$B:$B,0)),"")</f>
        <v/>
      </c>
      <c r="J96" t="str">
        <f t="array" ref="J96">IFERROR(INDEX('Player Raw Data'!T:T,Match($A96,'Player Raw Data'!$B:$B,0)),"")</f>
        <v/>
      </c>
      <c r="K96" t="str">
        <f t="array" ref="K96">IFERROR(INDEX('Player Raw Data'!X:X,Match($A96,'Player Raw Data'!$B:$B,0)),"")</f>
        <v/>
      </c>
      <c r="L96" t="str">
        <f t="array" ref="L96">IFERROR(INDEX('Player Raw Data'!Y:Y,Match($A96,'Player Raw Data'!$B:$B,0)),"")</f>
        <v/>
      </c>
      <c r="M96" t="str">
        <f t="array" ref="M96">IFERROR(INDEX('Player Raw Data'!Z:Z,Match($A96,'Player Raw Data'!$B:$B,0)),"")</f>
        <v/>
      </c>
      <c r="N96" t="str">
        <f t="array" ref="N96">IFERROR(INDEX('Player Raw Data'!AA:AA,Match($A96,'Player Raw Data'!$B:$B,0)),"")</f>
        <v/>
      </c>
      <c r="O96" t="str">
        <f t="array" ref="O96">IFERROR(INDEX('Player Raw Data'!AB:AB,Match($A96,'Player Raw Data'!$B:$B,0)),"")</f>
        <v/>
      </c>
      <c r="P96" t="str">
        <f t="array" ref="P96">IFERROR(INDEX('Player Raw Data'!AD:AD,Match($A96,'Player Raw Data'!$B:$B,0)),"")</f>
        <v/>
      </c>
      <c r="Q96">
        <f t="shared" si="1"/>
        <v>0</v>
      </c>
      <c r="R96" s="9">
        <f t="shared" si="2"/>
        <v>0</v>
      </c>
      <c r="S96" s="14">
        <f t="shared" si="3"/>
        <v>0</v>
      </c>
      <c r="T96" s="15">
        <f>IFERROR(__xludf.DUMMYFUNCTION("IFERROR(PERCENTRANK.INC(FILTER(Q:Q,$F:$F&lt;&gt;""""),Q96)*100,"""")"),1.5)</f>
        <v>1.5</v>
      </c>
      <c r="U96" s="15">
        <f>IFERROR(__xludf.DUMMYFUNCTION("IFERROR(PERCENTRANK.INC(FILTER(R:R,$F:$F&lt;&gt;""""),R96)*100,"""")"),1.5)</f>
        <v>1.5</v>
      </c>
      <c r="V96" s="15">
        <f>IFERROR(__xludf.DUMMYFUNCTION("IFERROR(PERCENTRANK.INC(FILTER(S:S,$F:$F&lt;&gt;""""),S96)*100,"""")"),1.5)</f>
        <v>1.5</v>
      </c>
      <c r="W96" s="15" t="str">
        <f t="shared" si="4"/>
        <v/>
      </c>
      <c r="X96" s="16"/>
      <c r="Y96" s="9"/>
      <c r="Z96" s="9"/>
    </row>
    <row r="97">
      <c r="B97" t="str">
        <f t="array" ref="B97">IFERROR(INDEX('Player Raw Data'!E:E,Match($A97,'Player Raw Data'!$B:$B,0)),"")</f>
        <v/>
      </c>
      <c r="C97" t="str">
        <f t="array" ref="C97">IFERROR(INDEX('Player Raw Data'!C:C,Match($A97,'Player Raw Data'!$B:$B,0)),"")</f>
        <v/>
      </c>
      <c r="D97" t="str">
        <f t="array" ref="D97">IFERROR(IF(A97=A96, INDEX('Player Raw Data'!D:D,Match($A97,'Player Raw Data'!$B:$B,0)+2),INDEX('Player Raw Data'!D:D,Match($A97,'Player Raw Data'!$B:$B,0))),"")</f>
        <v/>
      </c>
      <c r="E97" t="str">
        <f t="array" ref="E97">IFERROR(INDEX('Player Raw Data'!F:F,Match($A97,'Player Raw Data'!$B:$B,0)),"")</f>
        <v/>
      </c>
      <c r="F97" t="str">
        <f t="array" ref="F97">IFERROR(INDEX('Player Raw Data'!H:H,Match($A97,'Player Raw Data'!$B:$B,0)),"")</f>
        <v/>
      </c>
      <c r="G97" t="str">
        <f t="array" ref="G97">IFERROR(INDEX('Player Raw Data'!I:I,Match($A97,'Player Raw Data'!$B:$B,0)),"")</f>
        <v/>
      </c>
      <c r="H97" t="str">
        <f t="array" ref="H97">IFERROR(INDEX('Player Raw Data'!J:J,Match($A97,'Player Raw Data'!$B:$B,0)),"")</f>
        <v/>
      </c>
      <c r="I97" t="str">
        <f t="array" ref="I97">IFERROR(INDEX('Player Raw Data'!S:S,Match($A97,'Player Raw Data'!$B:$B,0)),"")</f>
        <v/>
      </c>
      <c r="J97" t="str">
        <f t="array" ref="J97">IFERROR(INDEX('Player Raw Data'!T:T,Match($A97,'Player Raw Data'!$B:$B,0)),"")</f>
        <v/>
      </c>
      <c r="K97" t="str">
        <f t="array" ref="K97">IFERROR(INDEX('Player Raw Data'!X:X,Match($A97,'Player Raw Data'!$B:$B,0)),"")</f>
        <v/>
      </c>
      <c r="L97" t="str">
        <f t="array" ref="L97">IFERROR(INDEX('Player Raw Data'!Y:Y,Match($A97,'Player Raw Data'!$B:$B,0)),"")</f>
        <v/>
      </c>
      <c r="M97" t="str">
        <f t="array" ref="M97">IFERROR(INDEX('Player Raw Data'!Z:Z,Match($A97,'Player Raw Data'!$B:$B,0)),"")</f>
        <v/>
      </c>
      <c r="N97" t="str">
        <f t="array" ref="N97">IFERROR(INDEX('Player Raw Data'!AA:AA,Match($A97,'Player Raw Data'!$B:$B,0)),"")</f>
        <v/>
      </c>
      <c r="O97" t="str">
        <f t="array" ref="O97">IFERROR(INDEX('Player Raw Data'!AB:AB,Match($A97,'Player Raw Data'!$B:$B,0)),"")</f>
        <v/>
      </c>
      <c r="P97" t="str">
        <f t="array" ref="P97">IFERROR(INDEX('Player Raw Data'!AD:AD,Match($A97,'Player Raw Data'!$B:$B,0)),"")</f>
        <v/>
      </c>
      <c r="Q97">
        <f t="shared" si="1"/>
        <v>0</v>
      </c>
      <c r="R97" s="9">
        <f t="shared" si="2"/>
        <v>0</v>
      </c>
      <c r="S97" s="14">
        <f t="shared" si="3"/>
        <v>0</v>
      </c>
      <c r="T97" s="15">
        <f>IFERROR(__xludf.DUMMYFUNCTION("IFERROR(PERCENTRANK.INC(FILTER(Q:Q,$F:$F&lt;&gt;""""),Q97)*100,"""")"),1.5)</f>
        <v>1.5</v>
      </c>
      <c r="U97" s="15">
        <f>IFERROR(__xludf.DUMMYFUNCTION("IFERROR(PERCENTRANK.INC(FILTER(R:R,$F:$F&lt;&gt;""""),R97)*100,"""")"),1.5)</f>
        <v>1.5</v>
      </c>
      <c r="V97" s="15">
        <f>IFERROR(__xludf.DUMMYFUNCTION("IFERROR(PERCENTRANK.INC(FILTER(S:S,$F:$F&lt;&gt;""""),S97)*100,"""")"),1.5)</f>
        <v>1.5</v>
      </c>
      <c r="W97" s="15" t="str">
        <f t="shared" si="4"/>
        <v/>
      </c>
      <c r="X97" s="16"/>
      <c r="Y97" s="9"/>
      <c r="Z97" s="9"/>
    </row>
    <row r="98">
      <c r="B98" t="str">
        <f t="array" ref="B98">IFERROR(INDEX('Player Raw Data'!E:E,Match($A98,'Player Raw Data'!$B:$B,0)),"")</f>
        <v/>
      </c>
      <c r="C98" t="str">
        <f t="array" ref="C98">IFERROR(INDEX('Player Raw Data'!C:C,Match($A98,'Player Raw Data'!$B:$B,0)),"")</f>
        <v/>
      </c>
      <c r="D98" t="str">
        <f t="array" ref="D98">IFERROR(IF(A98=A97, INDEX('Player Raw Data'!D:D,Match($A98,'Player Raw Data'!$B:$B,0)+2),INDEX('Player Raw Data'!D:D,Match($A98,'Player Raw Data'!$B:$B,0))),"")</f>
        <v/>
      </c>
      <c r="E98" t="str">
        <f t="array" ref="E98">IFERROR(INDEX('Player Raw Data'!F:F,Match($A98,'Player Raw Data'!$B:$B,0)),"")</f>
        <v/>
      </c>
      <c r="F98" t="str">
        <f t="array" ref="F98">IFERROR(INDEX('Player Raw Data'!H:H,Match($A98,'Player Raw Data'!$B:$B,0)),"")</f>
        <v/>
      </c>
      <c r="G98" t="str">
        <f t="array" ref="G98">IFERROR(INDEX('Player Raw Data'!I:I,Match($A98,'Player Raw Data'!$B:$B,0)),"")</f>
        <v/>
      </c>
      <c r="H98" t="str">
        <f t="array" ref="H98">IFERROR(INDEX('Player Raw Data'!J:J,Match($A98,'Player Raw Data'!$B:$B,0)),"")</f>
        <v/>
      </c>
      <c r="I98" t="str">
        <f t="array" ref="I98">IFERROR(INDEX('Player Raw Data'!S:S,Match($A98,'Player Raw Data'!$B:$B,0)),"")</f>
        <v/>
      </c>
      <c r="J98" t="str">
        <f t="array" ref="J98">IFERROR(INDEX('Player Raw Data'!T:T,Match($A98,'Player Raw Data'!$B:$B,0)),"")</f>
        <v/>
      </c>
      <c r="K98" t="str">
        <f t="array" ref="K98">IFERROR(INDEX('Player Raw Data'!X:X,Match($A98,'Player Raw Data'!$B:$B,0)),"")</f>
        <v/>
      </c>
      <c r="L98" t="str">
        <f t="array" ref="L98">IFERROR(INDEX('Player Raw Data'!Y:Y,Match($A98,'Player Raw Data'!$B:$B,0)),"")</f>
        <v/>
      </c>
      <c r="M98" t="str">
        <f t="array" ref="M98">IFERROR(INDEX('Player Raw Data'!Z:Z,Match($A98,'Player Raw Data'!$B:$B,0)),"")</f>
        <v/>
      </c>
      <c r="N98" t="str">
        <f t="array" ref="N98">IFERROR(INDEX('Player Raw Data'!AA:AA,Match($A98,'Player Raw Data'!$B:$B,0)),"")</f>
        <v/>
      </c>
      <c r="O98" t="str">
        <f t="array" ref="O98">IFERROR(INDEX('Player Raw Data'!AB:AB,Match($A98,'Player Raw Data'!$B:$B,0)),"")</f>
        <v/>
      </c>
      <c r="P98" t="str">
        <f t="array" ref="P98">IFERROR(INDEX('Player Raw Data'!AD:AD,Match($A98,'Player Raw Data'!$B:$B,0)),"")</f>
        <v/>
      </c>
      <c r="Q98">
        <f t="shared" si="1"/>
        <v>0</v>
      </c>
      <c r="R98" s="9">
        <f t="shared" si="2"/>
        <v>0</v>
      </c>
      <c r="S98" s="14">
        <f t="shared" si="3"/>
        <v>0</v>
      </c>
      <c r="T98" s="15">
        <f>IFERROR(__xludf.DUMMYFUNCTION("IFERROR(PERCENTRANK.INC(FILTER(Q:Q,$F:$F&lt;&gt;""""),Q98)*100,"""")"),1.5)</f>
        <v>1.5</v>
      </c>
      <c r="U98" s="15">
        <f>IFERROR(__xludf.DUMMYFUNCTION("IFERROR(PERCENTRANK.INC(FILTER(R:R,$F:$F&lt;&gt;""""),R98)*100,"""")"),1.5)</f>
        <v>1.5</v>
      </c>
      <c r="V98" s="15">
        <f>IFERROR(__xludf.DUMMYFUNCTION("IFERROR(PERCENTRANK.INC(FILTER(S:S,$F:$F&lt;&gt;""""),S98)*100,"""")"),1.5)</f>
        <v>1.5</v>
      </c>
      <c r="W98" s="15" t="str">
        <f t="shared" si="4"/>
        <v/>
      </c>
      <c r="X98" s="16"/>
      <c r="Y98" s="9"/>
      <c r="Z98" s="9"/>
    </row>
    <row r="99">
      <c r="B99" t="str">
        <f t="array" ref="B99">IFERROR(INDEX('Player Raw Data'!E:E,Match($A99,'Player Raw Data'!$B:$B,0)),"")</f>
        <v/>
      </c>
      <c r="C99" t="str">
        <f t="array" ref="C99">IFERROR(INDEX('Player Raw Data'!C:C,Match($A99,'Player Raw Data'!$B:$B,0)),"")</f>
        <v/>
      </c>
      <c r="D99" t="str">
        <f t="array" ref="D99">IFERROR(IF(A99=A98, INDEX('Player Raw Data'!D:D,Match($A99,'Player Raw Data'!$B:$B,0)+2),INDEX('Player Raw Data'!D:D,Match($A99,'Player Raw Data'!$B:$B,0))),"")</f>
        <v/>
      </c>
      <c r="E99" t="str">
        <f t="array" ref="E99">IFERROR(INDEX('Player Raw Data'!F:F,Match($A99,'Player Raw Data'!$B:$B,0)),"")</f>
        <v/>
      </c>
      <c r="F99" t="str">
        <f t="array" ref="F99">IFERROR(INDEX('Player Raw Data'!H:H,Match($A99,'Player Raw Data'!$B:$B,0)),"")</f>
        <v/>
      </c>
      <c r="G99" t="str">
        <f t="array" ref="G99">IFERROR(INDEX('Player Raw Data'!I:I,Match($A99,'Player Raw Data'!$B:$B,0)),"")</f>
        <v/>
      </c>
      <c r="H99" t="str">
        <f t="array" ref="H99">IFERROR(INDEX('Player Raw Data'!J:J,Match($A99,'Player Raw Data'!$B:$B,0)),"")</f>
        <v/>
      </c>
      <c r="I99" t="str">
        <f t="array" ref="I99">IFERROR(INDEX('Player Raw Data'!S:S,Match($A99,'Player Raw Data'!$B:$B,0)),"")</f>
        <v/>
      </c>
      <c r="J99" t="str">
        <f t="array" ref="J99">IFERROR(INDEX('Player Raw Data'!T:T,Match($A99,'Player Raw Data'!$B:$B,0)),"")</f>
        <v/>
      </c>
      <c r="K99" t="str">
        <f t="array" ref="K99">IFERROR(INDEX('Player Raw Data'!X:X,Match($A99,'Player Raw Data'!$B:$B,0)),"")</f>
        <v/>
      </c>
      <c r="L99" t="str">
        <f t="array" ref="L99">IFERROR(INDEX('Player Raw Data'!Y:Y,Match($A99,'Player Raw Data'!$B:$B,0)),"")</f>
        <v/>
      </c>
      <c r="M99" t="str">
        <f t="array" ref="M99">IFERROR(INDEX('Player Raw Data'!Z:Z,Match($A99,'Player Raw Data'!$B:$B,0)),"")</f>
        <v/>
      </c>
      <c r="N99" t="str">
        <f t="array" ref="N99">IFERROR(INDEX('Player Raw Data'!AA:AA,Match($A99,'Player Raw Data'!$B:$B,0)),"")</f>
        <v/>
      </c>
      <c r="O99" t="str">
        <f t="array" ref="O99">IFERROR(INDEX('Player Raw Data'!AB:AB,Match($A99,'Player Raw Data'!$B:$B,0)),"")</f>
        <v/>
      </c>
      <c r="P99" t="str">
        <f t="array" ref="P99">IFERROR(INDEX('Player Raw Data'!AD:AD,Match($A99,'Player Raw Data'!$B:$B,0)),"")</f>
        <v/>
      </c>
      <c r="Q99">
        <f t="shared" si="1"/>
        <v>0</v>
      </c>
      <c r="R99" s="9">
        <f t="shared" si="2"/>
        <v>0</v>
      </c>
      <c r="S99" s="14">
        <f t="shared" si="3"/>
        <v>0</v>
      </c>
      <c r="T99" s="15">
        <f>IFERROR(__xludf.DUMMYFUNCTION("IFERROR(PERCENTRANK.INC(FILTER(Q:Q,$F:$F&lt;&gt;""""),Q99)*100,"""")"),1.5)</f>
        <v>1.5</v>
      </c>
      <c r="U99" s="15">
        <f>IFERROR(__xludf.DUMMYFUNCTION("IFERROR(PERCENTRANK.INC(FILTER(R:R,$F:$F&lt;&gt;""""),R99)*100,"""")"),1.5)</f>
        <v>1.5</v>
      </c>
      <c r="V99" s="15">
        <f>IFERROR(__xludf.DUMMYFUNCTION("IFERROR(PERCENTRANK.INC(FILTER(S:S,$F:$F&lt;&gt;""""),S99)*100,"""")"),1.5)</f>
        <v>1.5</v>
      </c>
      <c r="W99" s="15" t="str">
        <f t="shared" si="4"/>
        <v/>
      </c>
      <c r="X99" s="16"/>
      <c r="Y99" s="9"/>
      <c r="Z99" s="9"/>
    </row>
    <row r="100">
      <c r="B100" t="str">
        <f t="array" ref="B100">IFERROR(INDEX('Player Raw Data'!E:E,Match($A100,'Player Raw Data'!$B:$B,0)),"")</f>
        <v/>
      </c>
      <c r="C100" t="str">
        <f t="array" ref="C100">IFERROR(INDEX('Player Raw Data'!C:C,Match($A100,'Player Raw Data'!$B:$B,0)),"")</f>
        <v/>
      </c>
      <c r="D100" t="str">
        <f t="array" ref="D100">IFERROR(IF(A100=A99, INDEX('Player Raw Data'!D:D,Match($A100,'Player Raw Data'!$B:$B,0)+2),INDEX('Player Raw Data'!D:D,Match($A100,'Player Raw Data'!$B:$B,0))),"")</f>
        <v/>
      </c>
      <c r="E100" t="str">
        <f t="array" ref="E100">IFERROR(INDEX('Player Raw Data'!F:F,Match($A100,'Player Raw Data'!$B:$B,0)),"")</f>
        <v/>
      </c>
      <c r="F100" t="str">
        <f t="array" ref="F100">IFERROR(INDEX('Player Raw Data'!H:H,Match($A100,'Player Raw Data'!$B:$B,0)),"")</f>
        <v/>
      </c>
      <c r="G100" t="str">
        <f t="array" ref="G100">IFERROR(INDEX('Player Raw Data'!I:I,Match($A100,'Player Raw Data'!$B:$B,0)),"")</f>
        <v/>
      </c>
      <c r="H100" t="str">
        <f t="array" ref="H100">IFERROR(INDEX('Player Raw Data'!J:J,Match($A100,'Player Raw Data'!$B:$B,0)),"")</f>
        <v/>
      </c>
      <c r="I100" t="str">
        <f t="array" ref="I100">IFERROR(INDEX('Player Raw Data'!S:S,Match($A100,'Player Raw Data'!$B:$B,0)),"")</f>
        <v/>
      </c>
      <c r="J100" t="str">
        <f t="array" ref="J100">IFERROR(INDEX('Player Raw Data'!T:T,Match($A100,'Player Raw Data'!$B:$B,0)),"")</f>
        <v/>
      </c>
      <c r="K100" t="str">
        <f t="array" ref="K100">IFERROR(INDEX('Player Raw Data'!X:X,Match($A100,'Player Raw Data'!$B:$B,0)),"")</f>
        <v/>
      </c>
      <c r="L100" t="str">
        <f t="array" ref="L100">IFERROR(INDEX('Player Raw Data'!Y:Y,Match($A100,'Player Raw Data'!$B:$B,0)),"")</f>
        <v/>
      </c>
      <c r="M100" t="str">
        <f t="array" ref="M100">IFERROR(INDEX('Player Raw Data'!Z:Z,Match($A100,'Player Raw Data'!$B:$B,0)),"")</f>
        <v/>
      </c>
      <c r="N100" t="str">
        <f t="array" ref="N100">IFERROR(INDEX('Player Raw Data'!AA:AA,Match($A100,'Player Raw Data'!$B:$B,0)),"")</f>
        <v/>
      </c>
      <c r="O100" t="str">
        <f t="array" ref="O100">IFERROR(INDEX('Player Raw Data'!AB:AB,Match($A100,'Player Raw Data'!$B:$B,0)),"")</f>
        <v/>
      </c>
      <c r="P100" t="str">
        <f t="array" ref="P100">IFERROR(INDEX('Player Raw Data'!AD:AD,Match($A100,'Player Raw Data'!$B:$B,0)),"")</f>
        <v/>
      </c>
      <c r="Q100">
        <f t="shared" si="1"/>
        <v>0</v>
      </c>
      <c r="R100" s="9">
        <f t="shared" si="2"/>
        <v>0</v>
      </c>
      <c r="S100" s="14">
        <f t="shared" si="3"/>
        <v>0</v>
      </c>
      <c r="T100" s="15">
        <f>IFERROR(__xludf.DUMMYFUNCTION("IFERROR(PERCENTRANK.INC(FILTER(Q:Q,$F:$F&lt;&gt;""""),Q100)*100,"""")"),1.5)</f>
        <v>1.5</v>
      </c>
      <c r="U100" s="15">
        <f>IFERROR(__xludf.DUMMYFUNCTION("IFERROR(PERCENTRANK.INC(FILTER(R:R,$F:$F&lt;&gt;""""),R100)*100,"""")"),1.5)</f>
        <v>1.5</v>
      </c>
      <c r="V100" s="15">
        <f>IFERROR(__xludf.DUMMYFUNCTION("IFERROR(PERCENTRANK.INC(FILTER(S:S,$F:$F&lt;&gt;""""),S100)*100,"""")"),1.5)</f>
        <v>1.5</v>
      </c>
      <c r="W100" s="15" t="str">
        <f t="shared" si="4"/>
        <v/>
      </c>
      <c r="X100" s="16"/>
      <c r="Y100" s="9"/>
      <c r="Z100" s="9"/>
    </row>
    <row r="101">
      <c r="B101" t="str">
        <f t="array" ref="B101">IFERROR(INDEX('Player Raw Data'!E:E,Match($A101,'Player Raw Data'!$B:$B,0)),"")</f>
        <v/>
      </c>
      <c r="C101" t="str">
        <f t="array" ref="C101">IFERROR(INDEX('Player Raw Data'!C:C,Match($A101,'Player Raw Data'!$B:$B,0)),"")</f>
        <v/>
      </c>
      <c r="D101" t="str">
        <f t="array" ref="D101">IFERROR(IF(A101=A100, INDEX('Player Raw Data'!D:D,Match($A101,'Player Raw Data'!$B:$B,0)+2),INDEX('Player Raw Data'!D:D,Match($A101,'Player Raw Data'!$B:$B,0))),"")</f>
        <v/>
      </c>
      <c r="E101" t="str">
        <f t="array" ref="E101">IFERROR(INDEX('Player Raw Data'!F:F,Match($A101,'Player Raw Data'!$B:$B,0)),"")</f>
        <v/>
      </c>
      <c r="F101" t="str">
        <f t="array" ref="F101">IFERROR(INDEX('Player Raw Data'!H:H,Match($A101,'Player Raw Data'!$B:$B,0)),"")</f>
        <v/>
      </c>
      <c r="G101" t="str">
        <f t="array" ref="G101">IFERROR(INDEX('Player Raw Data'!I:I,Match($A101,'Player Raw Data'!$B:$B,0)),"")</f>
        <v/>
      </c>
      <c r="H101" t="str">
        <f t="array" ref="H101">IFERROR(INDEX('Player Raw Data'!J:J,Match($A101,'Player Raw Data'!$B:$B,0)),"")</f>
        <v/>
      </c>
      <c r="I101" t="str">
        <f t="array" ref="I101">IFERROR(INDEX('Player Raw Data'!S:S,Match($A101,'Player Raw Data'!$B:$B,0)),"")</f>
        <v/>
      </c>
      <c r="J101" t="str">
        <f t="array" ref="J101">IFERROR(INDEX('Player Raw Data'!T:T,Match($A101,'Player Raw Data'!$B:$B,0)),"")</f>
        <v/>
      </c>
      <c r="K101" t="str">
        <f t="array" ref="K101">IFERROR(INDEX('Player Raw Data'!X:X,Match($A101,'Player Raw Data'!$B:$B,0)),"")</f>
        <v/>
      </c>
      <c r="L101" t="str">
        <f t="array" ref="L101">IFERROR(INDEX('Player Raw Data'!Y:Y,Match($A101,'Player Raw Data'!$B:$B,0)),"")</f>
        <v/>
      </c>
      <c r="M101" t="str">
        <f t="array" ref="M101">IFERROR(INDEX('Player Raw Data'!Z:Z,Match($A101,'Player Raw Data'!$B:$B,0)),"")</f>
        <v/>
      </c>
      <c r="N101" t="str">
        <f t="array" ref="N101">IFERROR(INDEX('Player Raw Data'!AA:AA,Match($A101,'Player Raw Data'!$B:$B,0)),"")</f>
        <v/>
      </c>
      <c r="O101" t="str">
        <f t="array" ref="O101">IFERROR(INDEX('Player Raw Data'!AB:AB,Match($A101,'Player Raw Data'!$B:$B,0)),"")</f>
        <v/>
      </c>
      <c r="P101" t="str">
        <f t="array" ref="P101">IFERROR(INDEX('Player Raw Data'!AD:AD,Match($A101,'Player Raw Data'!$B:$B,0)),"")</f>
        <v/>
      </c>
      <c r="Q101">
        <f t="shared" si="1"/>
        <v>0</v>
      </c>
      <c r="R101" s="9">
        <f t="shared" si="2"/>
        <v>0</v>
      </c>
      <c r="S101" s="14">
        <f t="shared" si="3"/>
        <v>0</v>
      </c>
      <c r="T101" s="15">
        <f>IFERROR(__xludf.DUMMYFUNCTION("IFERROR(PERCENTRANK.INC(FILTER(Q:Q,$F:$F&lt;&gt;""""),Q101)*100,"""")"),1.5)</f>
        <v>1.5</v>
      </c>
      <c r="U101" s="15">
        <f>IFERROR(__xludf.DUMMYFUNCTION("IFERROR(PERCENTRANK.INC(FILTER(R:R,$F:$F&lt;&gt;""""),R101)*100,"""")"),1.5)</f>
        <v>1.5</v>
      </c>
      <c r="V101" s="15">
        <f>IFERROR(__xludf.DUMMYFUNCTION("IFERROR(PERCENTRANK.INC(FILTER(S:S,$F:$F&lt;&gt;""""),S101)*100,"""")"),1.5)</f>
        <v>1.5</v>
      </c>
      <c r="W101" s="15" t="str">
        <f t="shared" si="4"/>
        <v/>
      </c>
      <c r="X101" s="16"/>
      <c r="Y101" s="9"/>
      <c r="Z101" s="9"/>
    </row>
    <row r="102">
      <c r="B102" t="str">
        <f t="array" ref="B102">IFERROR(INDEX('Player Raw Data'!E:E,Match($A102,'Player Raw Data'!$B:$B,0)),"")</f>
        <v/>
      </c>
      <c r="C102" t="str">
        <f t="array" ref="C102">IFERROR(INDEX('Player Raw Data'!C:C,Match($A102,'Player Raw Data'!$B:$B,0)),"")</f>
        <v/>
      </c>
      <c r="D102" t="str">
        <f t="array" ref="D102">IFERROR(IF(A102=A101, INDEX('Player Raw Data'!D:D,Match($A102,'Player Raw Data'!$B:$B,0)+2),INDEX('Player Raw Data'!D:D,Match($A102,'Player Raw Data'!$B:$B,0))),"")</f>
        <v/>
      </c>
      <c r="E102" t="str">
        <f t="array" ref="E102">IFERROR(INDEX('Player Raw Data'!F:F,Match($A102,'Player Raw Data'!$B:$B,0)),"")</f>
        <v/>
      </c>
      <c r="F102" t="str">
        <f t="array" ref="F102">IFERROR(INDEX('Player Raw Data'!H:H,Match($A102,'Player Raw Data'!$B:$B,0)),"")</f>
        <v/>
      </c>
      <c r="G102" t="str">
        <f t="array" ref="G102">IFERROR(INDEX('Player Raw Data'!I:I,Match($A102,'Player Raw Data'!$B:$B,0)),"")</f>
        <v/>
      </c>
      <c r="H102" t="str">
        <f t="array" ref="H102">IFERROR(INDEX('Player Raw Data'!J:J,Match($A102,'Player Raw Data'!$B:$B,0)),"")</f>
        <v/>
      </c>
      <c r="I102" t="str">
        <f t="array" ref="I102">IFERROR(INDEX('Player Raw Data'!S:S,Match($A102,'Player Raw Data'!$B:$B,0)),"")</f>
        <v/>
      </c>
      <c r="J102" t="str">
        <f t="array" ref="J102">IFERROR(INDEX('Player Raw Data'!T:T,Match($A102,'Player Raw Data'!$B:$B,0)),"")</f>
        <v/>
      </c>
      <c r="K102" t="str">
        <f t="array" ref="K102">IFERROR(INDEX('Player Raw Data'!X:X,Match($A102,'Player Raw Data'!$B:$B,0)),"")</f>
        <v/>
      </c>
      <c r="L102" t="str">
        <f t="array" ref="L102">IFERROR(INDEX('Player Raw Data'!Y:Y,Match($A102,'Player Raw Data'!$B:$B,0)),"")</f>
        <v/>
      </c>
      <c r="M102" t="str">
        <f t="array" ref="M102">IFERROR(INDEX('Player Raw Data'!Z:Z,Match($A102,'Player Raw Data'!$B:$B,0)),"")</f>
        <v/>
      </c>
      <c r="N102" t="str">
        <f t="array" ref="N102">IFERROR(INDEX('Player Raw Data'!AA:AA,Match($A102,'Player Raw Data'!$B:$B,0)),"")</f>
        <v/>
      </c>
      <c r="O102" t="str">
        <f t="array" ref="O102">IFERROR(INDEX('Player Raw Data'!AB:AB,Match($A102,'Player Raw Data'!$B:$B,0)),"")</f>
        <v/>
      </c>
      <c r="P102" t="str">
        <f t="array" ref="P102">IFERROR(INDEX('Player Raw Data'!AD:AD,Match($A102,'Player Raw Data'!$B:$B,0)),"")</f>
        <v/>
      </c>
      <c r="Q102">
        <f t="shared" si="1"/>
        <v>0</v>
      </c>
      <c r="R102" s="9">
        <f t="shared" si="2"/>
        <v>0</v>
      </c>
      <c r="S102" s="14">
        <f t="shared" si="3"/>
        <v>0</v>
      </c>
      <c r="T102" s="15">
        <f>IFERROR(__xludf.DUMMYFUNCTION("IFERROR(PERCENTRANK.INC(FILTER(Q:Q,$F:$F&lt;&gt;""""),Q102)*100,"""")"),1.5)</f>
        <v>1.5</v>
      </c>
      <c r="U102" s="15">
        <f>IFERROR(__xludf.DUMMYFUNCTION("IFERROR(PERCENTRANK.INC(FILTER(R:R,$F:$F&lt;&gt;""""),R102)*100,"""")"),1.5)</f>
        <v>1.5</v>
      </c>
      <c r="V102" s="15">
        <f>IFERROR(__xludf.DUMMYFUNCTION("IFERROR(PERCENTRANK.INC(FILTER(S:S,$F:$F&lt;&gt;""""),S102)*100,"""")"),1.5)</f>
        <v>1.5</v>
      </c>
      <c r="W102" s="15" t="str">
        <f t="shared" si="4"/>
        <v/>
      </c>
      <c r="X102" s="16"/>
      <c r="Y102" s="9"/>
      <c r="Z102" s="9"/>
    </row>
    <row r="103">
      <c r="B103" t="str">
        <f t="array" ref="B103">IFERROR(INDEX('Player Raw Data'!E:E,Match($A103,'Player Raw Data'!$B:$B,0)),"")</f>
        <v/>
      </c>
      <c r="C103" t="str">
        <f t="array" ref="C103">IFERROR(INDEX('Player Raw Data'!C:C,Match($A103,'Player Raw Data'!$B:$B,0)),"")</f>
        <v/>
      </c>
      <c r="D103" t="str">
        <f t="array" ref="D103">IFERROR(IF(A103=A102, INDEX('Player Raw Data'!D:D,Match($A103,'Player Raw Data'!$B:$B,0)+2),INDEX('Player Raw Data'!D:D,Match($A103,'Player Raw Data'!$B:$B,0))),"")</f>
        <v/>
      </c>
      <c r="E103" t="str">
        <f t="array" ref="E103">IFERROR(INDEX('Player Raw Data'!F:F,Match($A103,'Player Raw Data'!$B:$B,0)),"")</f>
        <v/>
      </c>
      <c r="F103" t="str">
        <f t="array" ref="F103">IFERROR(INDEX('Player Raw Data'!H:H,Match($A103,'Player Raw Data'!$B:$B,0)),"")</f>
        <v/>
      </c>
      <c r="G103" t="str">
        <f t="array" ref="G103">IFERROR(INDEX('Player Raw Data'!I:I,Match($A103,'Player Raw Data'!$B:$B,0)),"")</f>
        <v/>
      </c>
      <c r="H103" t="str">
        <f t="array" ref="H103">IFERROR(INDEX('Player Raw Data'!J:J,Match($A103,'Player Raw Data'!$B:$B,0)),"")</f>
        <v/>
      </c>
      <c r="I103" t="str">
        <f t="array" ref="I103">IFERROR(INDEX('Player Raw Data'!S:S,Match($A103,'Player Raw Data'!$B:$B,0)),"")</f>
        <v/>
      </c>
      <c r="J103" t="str">
        <f t="array" ref="J103">IFERROR(INDEX('Player Raw Data'!T:T,Match($A103,'Player Raw Data'!$B:$B,0)),"")</f>
        <v/>
      </c>
      <c r="K103" t="str">
        <f t="array" ref="K103">IFERROR(INDEX('Player Raw Data'!X:X,Match($A103,'Player Raw Data'!$B:$B,0)),"")</f>
        <v/>
      </c>
      <c r="L103" t="str">
        <f t="array" ref="L103">IFERROR(INDEX('Player Raw Data'!Y:Y,Match($A103,'Player Raw Data'!$B:$B,0)),"")</f>
        <v/>
      </c>
      <c r="M103" t="str">
        <f t="array" ref="M103">IFERROR(INDEX('Player Raw Data'!Z:Z,Match($A103,'Player Raw Data'!$B:$B,0)),"")</f>
        <v/>
      </c>
      <c r="N103" t="str">
        <f t="array" ref="N103">IFERROR(INDEX('Player Raw Data'!AA:AA,Match($A103,'Player Raw Data'!$B:$B,0)),"")</f>
        <v/>
      </c>
      <c r="O103" t="str">
        <f t="array" ref="O103">IFERROR(INDEX('Player Raw Data'!AB:AB,Match($A103,'Player Raw Data'!$B:$B,0)),"")</f>
        <v/>
      </c>
      <c r="P103" t="str">
        <f t="array" ref="P103">IFERROR(INDEX('Player Raw Data'!AD:AD,Match($A103,'Player Raw Data'!$B:$B,0)),"")</f>
        <v/>
      </c>
      <c r="Q103">
        <f t="shared" si="1"/>
        <v>0</v>
      </c>
      <c r="R103" s="9">
        <f t="shared" si="2"/>
        <v>0</v>
      </c>
      <c r="S103" s="14">
        <f t="shared" si="3"/>
        <v>0</v>
      </c>
      <c r="T103" s="15">
        <f>IFERROR(__xludf.DUMMYFUNCTION("IFERROR(PERCENTRANK.INC(FILTER(Q:Q,$F:$F&lt;&gt;""""),Q103)*100,"""")"),1.5)</f>
        <v>1.5</v>
      </c>
      <c r="U103" s="15">
        <f>IFERROR(__xludf.DUMMYFUNCTION("IFERROR(PERCENTRANK.INC(FILTER(R:R,$F:$F&lt;&gt;""""),R103)*100,"""")"),1.5)</f>
        <v>1.5</v>
      </c>
      <c r="V103" s="15">
        <f>IFERROR(__xludf.DUMMYFUNCTION("IFERROR(PERCENTRANK.INC(FILTER(S:S,$F:$F&lt;&gt;""""),S103)*100,"""")"),1.5)</f>
        <v>1.5</v>
      </c>
      <c r="W103" s="15" t="str">
        <f t="shared" si="4"/>
        <v/>
      </c>
      <c r="X103" s="16"/>
      <c r="Y103" s="9"/>
      <c r="Z103" s="9"/>
    </row>
    <row r="104">
      <c r="B104" t="str">
        <f t="array" ref="B104">IFERROR(INDEX('Player Raw Data'!E:E,Match($A104,'Player Raw Data'!$B:$B,0)),"")</f>
        <v/>
      </c>
      <c r="C104" t="str">
        <f t="array" ref="C104">IFERROR(INDEX('Player Raw Data'!C:C,Match($A104,'Player Raw Data'!$B:$B,0)),"")</f>
        <v/>
      </c>
      <c r="D104" t="str">
        <f t="array" ref="D104">IFERROR(IF(A104=A103, INDEX('Player Raw Data'!D:D,Match($A104,'Player Raw Data'!$B:$B,0)+2),INDEX('Player Raw Data'!D:D,Match($A104,'Player Raw Data'!$B:$B,0))),"")</f>
        <v/>
      </c>
      <c r="E104" t="str">
        <f t="array" ref="E104">IFERROR(INDEX('Player Raw Data'!F:F,Match($A104,'Player Raw Data'!$B:$B,0)),"")</f>
        <v/>
      </c>
      <c r="F104" t="str">
        <f t="array" ref="F104">IFERROR(INDEX('Player Raw Data'!H:H,Match($A104,'Player Raw Data'!$B:$B,0)),"")</f>
        <v/>
      </c>
      <c r="G104" t="str">
        <f t="array" ref="G104">IFERROR(INDEX('Player Raw Data'!I:I,Match($A104,'Player Raw Data'!$B:$B,0)),"")</f>
        <v/>
      </c>
      <c r="H104" t="str">
        <f t="array" ref="H104">IFERROR(INDEX('Player Raw Data'!J:J,Match($A104,'Player Raw Data'!$B:$B,0)),"")</f>
        <v/>
      </c>
      <c r="I104" t="str">
        <f t="array" ref="I104">IFERROR(INDEX('Player Raw Data'!S:S,Match($A104,'Player Raw Data'!$B:$B,0)),"")</f>
        <v/>
      </c>
      <c r="J104" t="str">
        <f t="array" ref="J104">IFERROR(INDEX('Player Raw Data'!T:T,Match($A104,'Player Raw Data'!$B:$B,0)),"")</f>
        <v/>
      </c>
      <c r="K104" t="str">
        <f t="array" ref="K104">IFERROR(INDEX('Player Raw Data'!X:X,Match($A104,'Player Raw Data'!$B:$B,0)),"")</f>
        <v/>
      </c>
      <c r="L104" t="str">
        <f t="array" ref="L104">IFERROR(INDEX('Player Raw Data'!Y:Y,Match($A104,'Player Raw Data'!$B:$B,0)),"")</f>
        <v/>
      </c>
      <c r="M104" t="str">
        <f t="array" ref="M104">IFERROR(INDEX('Player Raw Data'!Z:Z,Match($A104,'Player Raw Data'!$B:$B,0)),"")</f>
        <v/>
      </c>
      <c r="N104" t="str">
        <f t="array" ref="N104">IFERROR(INDEX('Player Raw Data'!AA:AA,Match($A104,'Player Raw Data'!$B:$B,0)),"")</f>
        <v/>
      </c>
      <c r="O104" t="str">
        <f t="array" ref="O104">IFERROR(INDEX('Player Raw Data'!AB:AB,Match($A104,'Player Raw Data'!$B:$B,0)),"")</f>
        <v/>
      </c>
      <c r="P104" t="str">
        <f t="array" ref="P104">IFERROR(INDEX('Player Raw Data'!AD:AD,Match($A104,'Player Raw Data'!$B:$B,0)),"")</f>
        <v/>
      </c>
      <c r="Q104">
        <f t="shared" si="1"/>
        <v>0</v>
      </c>
      <c r="R104" s="9">
        <f t="shared" si="2"/>
        <v>0</v>
      </c>
      <c r="S104" s="14">
        <f t="shared" si="3"/>
        <v>0</v>
      </c>
      <c r="T104" s="15">
        <f>IFERROR(__xludf.DUMMYFUNCTION("IFERROR(PERCENTRANK.INC(FILTER(Q:Q,$F:$F&lt;&gt;""""),Q104)*100,"""")"),1.5)</f>
        <v>1.5</v>
      </c>
      <c r="U104" s="15">
        <f>IFERROR(__xludf.DUMMYFUNCTION("IFERROR(PERCENTRANK.INC(FILTER(R:R,$F:$F&lt;&gt;""""),R104)*100,"""")"),1.5)</f>
        <v>1.5</v>
      </c>
      <c r="V104" s="15">
        <f>IFERROR(__xludf.DUMMYFUNCTION("IFERROR(PERCENTRANK.INC(FILTER(S:S,$F:$F&lt;&gt;""""),S104)*100,"""")"),1.5)</f>
        <v>1.5</v>
      </c>
      <c r="W104" s="15" t="str">
        <f t="shared" si="4"/>
        <v/>
      </c>
      <c r="X104" s="16"/>
      <c r="Y104" s="9"/>
      <c r="Z104" s="9"/>
    </row>
    <row r="105">
      <c r="B105" t="str">
        <f t="array" ref="B105">IFERROR(INDEX('Player Raw Data'!E:E,Match($A105,'Player Raw Data'!$B:$B,0)),"")</f>
        <v/>
      </c>
      <c r="C105" t="str">
        <f t="array" ref="C105">IFERROR(INDEX('Player Raw Data'!C:C,Match($A105,'Player Raw Data'!$B:$B,0)),"")</f>
        <v/>
      </c>
      <c r="D105" t="str">
        <f t="array" ref="D105">IFERROR(IF(A105=A104, INDEX('Player Raw Data'!D:D,Match($A105,'Player Raw Data'!$B:$B,0)+2),INDEX('Player Raw Data'!D:D,Match($A105,'Player Raw Data'!$B:$B,0))),"")</f>
        <v/>
      </c>
      <c r="E105" t="str">
        <f t="array" ref="E105">IFERROR(INDEX('Player Raw Data'!F:F,Match($A105,'Player Raw Data'!$B:$B,0)),"")</f>
        <v/>
      </c>
      <c r="F105" t="str">
        <f t="array" ref="F105">IFERROR(INDEX('Player Raw Data'!H:H,Match($A105,'Player Raw Data'!$B:$B,0)),"")</f>
        <v/>
      </c>
      <c r="G105" t="str">
        <f t="array" ref="G105">IFERROR(INDEX('Player Raw Data'!I:I,Match($A105,'Player Raw Data'!$B:$B,0)),"")</f>
        <v/>
      </c>
      <c r="H105" t="str">
        <f t="array" ref="H105">IFERROR(INDEX('Player Raw Data'!J:J,Match($A105,'Player Raw Data'!$B:$B,0)),"")</f>
        <v/>
      </c>
      <c r="I105" t="str">
        <f t="array" ref="I105">IFERROR(INDEX('Player Raw Data'!S:S,Match($A105,'Player Raw Data'!$B:$B,0)),"")</f>
        <v/>
      </c>
      <c r="J105" t="str">
        <f t="array" ref="J105">IFERROR(INDEX('Player Raw Data'!T:T,Match($A105,'Player Raw Data'!$B:$B,0)),"")</f>
        <v/>
      </c>
      <c r="K105" t="str">
        <f t="array" ref="K105">IFERROR(INDEX('Player Raw Data'!X:X,Match($A105,'Player Raw Data'!$B:$B,0)),"")</f>
        <v/>
      </c>
      <c r="L105" t="str">
        <f t="array" ref="L105">IFERROR(INDEX('Player Raw Data'!Y:Y,Match($A105,'Player Raw Data'!$B:$B,0)),"")</f>
        <v/>
      </c>
      <c r="M105" t="str">
        <f t="array" ref="M105">IFERROR(INDEX('Player Raw Data'!Z:Z,Match($A105,'Player Raw Data'!$B:$B,0)),"")</f>
        <v/>
      </c>
      <c r="N105" t="str">
        <f t="array" ref="N105">IFERROR(INDEX('Player Raw Data'!AA:AA,Match($A105,'Player Raw Data'!$B:$B,0)),"")</f>
        <v/>
      </c>
      <c r="O105" t="str">
        <f t="array" ref="O105">IFERROR(INDEX('Player Raw Data'!AB:AB,Match($A105,'Player Raw Data'!$B:$B,0)),"")</f>
        <v/>
      </c>
      <c r="P105" t="str">
        <f t="array" ref="P105">IFERROR(INDEX('Player Raw Data'!AD:AD,Match($A105,'Player Raw Data'!$B:$B,0)),"")</f>
        <v/>
      </c>
      <c r="Q105">
        <f t="shared" si="1"/>
        <v>0</v>
      </c>
      <c r="R105" s="9">
        <f t="shared" si="2"/>
        <v>0</v>
      </c>
      <c r="S105" s="14">
        <f t="shared" si="3"/>
        <v>0</v>
      </c>
      <c r="T105" s="15">
        <f>IFERROR(__xludf.DUMMYFUNCTION("IFERROR(PERCENTRANK.INC(FILTER(Q:Q,$F:$F&lt;&gt;""""),Q105)*100,"""")"),1.5)</f>
        <v>1.5</v>
      </c>
      <c r="U105" s="15">
        <f>IFERROR(__xludf.DUMMYFUNCTION("IFERROR(PERCENTRANK.INC(FILTER(R:R,$F:$F&lt;&gt;""""),R105)*100,"""")"),1.5)</f>
        <v>1.5</v>
      </c>
      <c r="V105" s="15">
        <f>IFERROR(__xludf.DUMMYFUNCTION("IFERROR(PERCENTRANK.INC(FILTER(S:S,$F:$F&lt;&gt;""""),S105)*100,"""")"),1.5)</f>
        <v>1.5</v>
      </c>
      <c r="W105" s="15" t="str">
        <f t="shared" si="4"/>
        <v/>
      </c>
      <c r="X105" s="16"/>
      <c r="Y105" s="9"/>
      <c r="Z105" s="9"/>
    </row>
    <row r="106">
      <c r="B106" t="str">
        <f t="array" ref="B106">IFERROR(INDEX('Player Raw Data'!E:E,Match($A106,'Player Raw Data'!$B:$B,0)),"")</f>
        <v/>
      </c>
      <c r="C106" t="str">
        <f t="array" ref="C106">IFERROR(INDEX('Player Raw Data'!C:C,Match($A106,'Player Raw Data'!$B:$B,0)),"")</f>
        <v/>
      </c>
      <c r="D106" t="str">
        <f t="array" ref="D106">IFERROR(IF(A106=A105, INDEX('Player Raw Data'!D:D,Match($A106,'Player Raw Data'!$B:$B,0)+2),INDEX('Player Raw Data'!D:D,Match($A106,'Player Raw Data'!$B:$B,0))),"")</f>
        <v/>
      </c>
      <c r="E106" t="str">
        <f t="array" ref="E106">IFERROR(INDEX('Player Raw Data'!F:F,Match($A106,'Player Raw Data'!$B:$B,0)),"")</f>
        <v/>
      </c>
      <c r="F106" t="str">
        <f t="array" ref="F106">IFERROR(INDEX('Player Raw Data'!H:H,Match($A106,'Player Raw Data'!$B:$B,0)),"")</f>
        <v/>
      </c>
      <c r="G106" t="str">
        <f t="array" ref="G106">IFERROR(INDEX('Player Raw Data'!I:I,Match($A106,'Player Raw Data'!$B:$B,0)),"")</f>
        <v/>
      </c>
      <c r="H106" t="str">
        <f t="array" ref="H106">IFERROR(INDEX('Player Raw Data'!J:J,Match($A106,'Player Raw Data'!$B:$B,0)),"")</f>
        <v/>
      </c>
      <c r="I106" t="str">
        <f t="array" ref="I106">IFERROR(INDEX('Player Raw Data'!S:S,Match($A106,'Player Raw Data'!$B:$B,0)),"")</f>
        <v/>
      </c>
      <c r="J106" t="str">
        <f t="array" ref="J106">IFERROR(INDEX('Player Raw Data'!T:T,Match($A106,'Player Raw Data'!$B:$B,0)),"")</f>
        <v/>
      </c>
      <c r="K106" t="str">
        <f t="array" ref="K106">IFERROR(INDEX('Player Raw Data'!X:X,Match($A106,'Player Raw Data'!$B:$B,0)),"")</f>
        <v/>
      </c>
      <c r="L106" t="str">
        <f t="array" ref="L106">IFERROR(INDEX('Player Raw Data'!Y:Y,Match($A106,'Player Raw Data'!$B:$B,0)),"")</f>
        <v/>
      </c>
      <c r="M106" t="str">
        <f t="array" ref="M106">IFERROR(INDEX('Player Raw Data'!Z:Z,Match($A106,'Player Raw Data'!$B:$B,0)),"")</f>
        <v/>
      </c>
      <c r="N106" t="str">
        <f t="array" ref="N106">IFERROR(INDEX('Player Raw Data'!AA:AA,Match($A106,'Player Raw Data'!$B:$B,0)),"")</f>
        <v/>
      </c>
      <c r="O106" t="str">
        <f t="array" ref="O106">IFERROR(INDEX('Player Raw Data'!AB:AB,Match($A106,'Player Raw Data'!$B:$B,0)),"")</f>
        <v/>
      </c>
      <c r="P106" t="str">
        <f t="array" ref="P106">IFERROR(INDEX('Player Raw Data'!AD:AD,Match($A106,'Player Raw Data'!$B:$B,0)),"")</f>
        <v/>
      </c>
      <c r="Q106">
        <f t="shared" si="1"/>
        <v>0</v>
      </c>
      <c r="R106" s="9">
        <f t="shared" si="2"/>
        <v>0</v>
      </c>
      <c r="S106" s="14">
        <f t="shared" si="3"/>
        <v>0</v>
      </c>
      <c r="T106" s="15">
        <f>IFERROR(__xludf.DUMMYFUNCTION("IFERROR(PERCENTRANK.INC(FILTER(Q:Q,$F:$F&lt;&gt;""""),Q106)*100,"""")"),1.5)</f>
        <v>1.5</v>
      </c>
      <c r="U106" s="15">
        <f>IFERROR(__xludf.DUMMYFUNCTION("IFERROR(PERCENTRANK.INC(FILTER(R:R,$F:$F&lt;&gt;""""),R106)*100,"""")"),1.5)</f>
        <v>1.5</v>
      </c>
      <c r="V106" s="15">
        <f>IFERROR(__xludf.DUMMYFUNCTION("IFERROR(PERCENTRANK.INC(FILTER(S:S,$F:$F&lt;&gt;""""),S106)*100,"""")"),1.5)</f>
        <v>1.5</v>
      </c>
      <c r="W106" s="15" t="str">
        <f t="shared" si="4"/>
        <v/>
      </c>
      <c r="X106" s="16"/>
      <c r="Y106" s="9"/>
      <c r="Z106" s="9"/>
    </row>
    <row r="107">
      <c r="B107" t="str">
        <f t="array" ref="B107">IFERROR(INDEX('Player Raw Data'!E:E,Match($A107,'Player Raw Data'!$B:$B,0)),"")</f>
        <v/>
      </c>
      <c r="C107" t="str">
        <f t="array" ref="C107">IFERROR(INDEX('Player Raw Data'!C:C,Match($A107,'Player Raw Data'!$B:$B,0)),"")</f>
        <v/>
      </c>
      <c r="D107" t="str">
        <f t="array" ref="D107">IFERROR(IF(A107=A106, INDEX('Player Raw Data'!D:D,Match($A107,'Player Raw Data'!$B:$B,0)+2),INDEX('Player Raw Data'!D:D,Match($A107,'Player Raw Data'!$B:$B,0))),"")</f>
        <v/>
      </c>
      <c r="E107" t="str">
        <f t="array" ref="E107">IFERROR(INDEX('Player Raw Data'!F:F,Match($A107,'Player Raw Data'!$B:$B,0)),"")</f>
        <v/>
      </c>
      <c r="F107" t="str">
        <f t="array" ref="F107">IFERROR(INDEX('Player Raw Data'!H:H,Match($A107,'Player Raw Data'!$B:$B,0)),"")</f>
        <v/>
      </c>
      <c r="G107" t="str">
        <f t="array" ref="G107">IFERROR(INDEX('Player Raw Data'!I:I,Match($A107,'Player Raw Data'!$B:$B,0)),"")</f>
        <v/>
      </c>
      <c r="H107" t="str">
        <f t="array" ref="H107">IFERROR(INDEX('Player Raw Data'!J:J,Match($A107,'Player Raw Data'!$B:$B,0)),"")</f>
        <v/>
      </c>
      <c r="I107" t="str">
        <f t="array" ref="I107">IFERROR(INDEX('Player Raw Data'!S:S,Match($A107,'Player Raw Data'!$B:$B,0)),"")</f>
        <v/>
      </c>
      <c r="J107" t="str">
        <f t="array" ref="J107">IFERROR(INDEX('Player Raw Data'!T:T,Match($A107,'Player Raw Data'!$B:$B,0)),"")</f>
        <v/>
      </c>
      <c r="K107" t="str">
        <f t="array" ref="K107">IFERROR(INDEX('Player Raw Data'!X:X,Match($A107,'Player Raw Data'!$B:$B,0)),"")</f>
        <v/>
      </c>
      <c r="L107" t="str">
        <f t="array" ref="L107">IFERROR(INDEX('Player Raw Data'!Y:Y,Match($A107,'Player Raw Data'!$B:$B,0)),"")</f>
        <v/>
      </c>
      <c r="M107" t="str">
        <f t="array" ref="M107">IFERROR(INDEX('Player Raw Data'!Z:Z,Match($A107,'Player Raw Data'!$B:$B,0)),"")</f>
        <v/>
      </c>
      <c r="N107" t="str">
        <f t="array" ref="N107">IFERROR(INDEX('Player Raw Data'!AA:AA,Match($A107,'Player Raw Data'!$B:$B,0)),"")</f>
        <v/>
      </c>
      <c r="O107" t="str">
        <f t="array" ref="O107">IFERROR(INDEX('Player Raw Data'!AB:AB,Match($A107,'Player Raw Data'!$B:$B,0)),"")</f>
        <v/>
      </c>
      <c r="P107" t="str">
        <f t="array" ref="P107">IFERROR(INDEX('Player Raw Data'!AD:AD,Match($A107,'Player Raw Data'!$B:$B,0)),"")</f>
        <v/>
      </c>
      <c r="Q107">
        <f t="shared" si="1"/>
        <v>0</v>
      </c>
      <c r="R107" s="9">
        <f t="shared" si="2"/>
        <v>0</v>
      </c>
      <c r="S107" s="14">
        <f t="shared" si="3"/>
        <v>0</v>
      </c>
      <c r="T107" s="15">
        <f>IFERROR(__xludf.DUMMYFUNCTION("IFERROR(PERCENTRANK.INC(FILTER(Q:Q,$F:$F&lt;&gt;""""),Q107)*100,"""")"),1.5)</f>
        <v>1.5</v>
      </c>
      <c r="U107" s="15">
        <f>IFERROR(__xludf.DUMMYFUNCTION("IFERROR(PERCENTRANK.INC(FILTER(R:R,$F:$F&lt;&gt;""""),R107)*100,"""")"),1.5)</f>
        <v>1.5</v>
      </c>
      <c r="V107" s="15">
        <f>IFERROR(__xludf.DUMMYFUNCTION("IFERROR(PERCENTRANK.INC(FILTER(S:S,$F:$F&lt;&gt;""""),S107)*100,"""")"),1.5)</f>
        <v>1.5</v>
      </c>
      <c r="W107" s="15" t="str">
        <f t="shared" si="4"/>
        <v/>
      </c>
      <c r="X107" s="16"/>
      <c r="Y107" s="9"/>
      <c r="Z107" s="9"/>
    </row>
    <row r="108">
      <c r="B108" t="str">
        <f t="array" ref="B108">IFERROR(INDEX('Player Raw Data'!E:E,Match($A108,'Player Raw Data'!$B:$B,0)),"")</f>
        <v/>
      </c>
      <c r="C108" t="str">
        <f t="array" ref="C108">IFERROR(INDEX('Player Raw Data'!C:C,Match($A108,'Player Raw Data'!$B:$B,0)),"")</f>
        <v/>
      </c>
      <c r="D108" t="str">
        <f t="array" ref="D108">IFERROR(IF(A108=A107, INDEX('Player Raw Data'!D:D,Match($A108,'Player Raw Data'!$B:$B,0)+2),INDEX('Player Raw Data'!D:D,Match($A108,'Player Raw Data'!$B:$B,0))),"")</f>
        <v/>
      </c>
      <c r="E108" t="str">
        <f t="array" ref="E108">IFERROR(INDEX('Player Raw Data'!F:F,Match($A108,'Player Raw Data'!$B:$B,0)),"")</f>
        <v/>
      </c>
      <c r="F108" t="str">
        <f t="array" ref="F108">IFERROR(INDEX('Player Raw Data'!H:H,Match($A108,'Player Raw Data'!$B:$B,0)),"")</f>
        <v/>
      </c>
      <c r="G108" t="str">
        <f t="array" ref="G108">IFERROR(INDEX('Player Raw Data'!I:I,Match($A108,'Player Raw Data'!$B:$B,0)),"")</f>
        <v/>
      </c>
      <c r="H108" t="str">
        <f t="array" ref="H108">IFERROR(INDEX('Player Raw Data'!J:J,Match($A108,'Player Raw Data'!$B:$B,0)),"")</f>
        <v/>
      </c>
      <c r="I108" t="str">
        <f t="array" ref="I108">IFERROR(INDEX('Player Raw Data'!S:S,Match($A108,'Player Raw Data'!$B:$B,0)),"")</f>
        <v/>
      </c>
      <c r="J108" t="str">
        <f t="array" ref="J108">IFERROR(INDEX('Player Raw Data'!T:T,Match($A108,'Player Raw Data'!$B:$B,0)),"")</f>
        <v/>
      </c>
      <c r="K108" t="str">
        <f t="array" ref="K108">IFERROR(INDEX('Player Raw Data'!X:X,Match($A108,'Player Raw Data'!$B:$B,0)),"")</f>
        <v/>
      </c>
      <c r="L108" t="str">
        <f t="array" ref="L108">IFERROR(INDEX('Player Raw Data'!Y:Y,Match($A108,'Player Raw Data'!$B:$B,0)),"")</f>
        <v/>
      </c>
      <c r="M108" t="str">
        <f t="array" ref="M108">IFERROR(INDEX('Player Raw Data'!Z:Z,Match($A108,'Player Raw Data'!$B:$B,0)),"")</f>
        <v/>
      </c>
      <c r="N108" t="str">
        <f t="array" ref="N108">IFERROR(INDEX('Player Raw Data'!AA:AA,Match($A108,'Player Raw Data'!$B:$B,0)),"")</f>
        <v/>
      </c>
      <c r="O108" t="str">
        <f t="array" ref="O108">IFERROR(INDEX('Player Raw Data'!AB:AB,Match($A108,'Player Raw Data'!$B:$B,0)),"")</f>
        <v/>
      </c>
      <c r="P108" t="str">
        <f t="array" ref="P108">IFERROR(INDEX('Player Raw Data'!AD:AD,Match($A108,'Player Raw Data'!$B:$B,0)),"")</f>
        <v/>
      </c>
      <c r="Q108">
        <f t="shared" si="1"/>
        <v>0</v>
      </c>
      <c r="R108" s="9">
        <f t="shared" si="2"/>
        <v>0</v>
      </c>
      <c r="S108" s="14">
        <f t="shared" si="3"/>
        <v>0</v>
      </c>
      <c r="T108" s="15">
        <f>IFERROR(__xludf.DUMMYFUNCTION("IFERROR(PERCENTRANK.INC(FILTER(Q:Q,$F:$F&lt;&gt;""""),Q108)*100,"""")"),1.5)</f>
        <v>1.5</v>
      </c>
      <c r="U108" s="15">
        <f>IFERROR(__xludf.DUMMYFUNCTION("IFERROR(PERCENTRANK.INC(FILTER(R:R,$F:$F&lt;&gt;""""),R108)*100,"""")"),1.5)</f>
        <v>1.5</v>
      </c>
      <c r="V108" s="15">
        <f>IFERROR(__xludf.DUMMYFUNCTION("IFERROR(PERCENTRANK.INC(FILTER(S:S,$F:$F&lt;&gt;""""),S108)*100,"""")"),1.5)</f>
        <v>1.5</v>
      </c>
      <c r="W108" s="15" t="str">
        <f t="shared" si="4"/>
        <v/>
      </c>
      <c r="X108" s="16"/>
      <c r="Y108" s="9"/>
      <c r="Z108" s="9"/>
    </row>
    <row r="109">
      <c r="B109" t="str">
        <f t="array" ref="B109">IFERROR(INDEX('Player Raw Data'!E:E,Match($A109,'Player Raw Data'!$B:$B,0)),"")</f>
        <v/>
      </c>
      <c r="C109" t="str">
        <f t="array" ref="C109">IFERROR(INDEX('Player Raw Data'!C:C,Match($A109,'Player Raw Data'!$B:$B,0)),"")</f>
        <v/>
      </c>
      <c r="D109" t="str">
        <f t="array" ref="D109">IFERROR(IF(A109=A108, INDEX('Player Raw Data'!D:D,Match($A109,'Player Raw Data'!$B:$B,0)+2),INDEX('Player Raw Data'!D:D,Match($A109,'Player Raw Data'!$B:$B,0))),"")</f>
        <v/>
      </c>
      <c r="E109" t="str">
        <f t="array" ref="E109">IFERROR(INDEX('Player Raw Data'!F:F,Match($A109,'Player Raw Data'!$B:$B,0)),"")</f>
        <v/>
      </c>
      <c r="F109" t="str">
        <f t="array" ref="F109">IFERROR(INDEX('Player Raw Data'!H:H,Match($A109,'Player Raw Data'!$B:$B,0)),"")</f>
        <v/>
      </c>
      <c r="G109" t="str">
        <f t="array" ref="G109">IFERROR(INDEX('Player Raw Data'!I:I,Match($A109,'Player Raw Data'!$B:$B,0)),"")</f>
        <v/>
      </c>
      <c r="H109" t="str">
        <f t="array" ref="H109">IFERROR(INDEX('Player Raw Data'!J:J,Match($A109,'Player Raw Data'!$B:$B,0)),"")</f>
        <v/>
      </c>
      <c r="I109" t="str">
        <f t="array" ref="I109">IFERROR(INDEX('Player Raw Data'!S:S,Match($A109,'Player Raw Data'!$B:$B,0)),"")</f>
        <v/>
      </c>
      <c r="J109" t="str">
        <f t="array" ref="J109">IFERROR(INDEX('Player Raw Data'!T:T,Match($A109,'Player Raw Data'!$B:$B,0)),"")</f>
        <v/>
      </c>
      <c r="K109" t="str">
        <f t="array" ref="K109">IFERROR(INDEX('Player Raw Data'!X:X,Match($A109,'Player Raw Data'!$B:$B,0)),"")</f>
        <v/>
      </c>
      <c r="L109" t="str">
        <f t="array" ref="L109">IFERROR(INDEX('Player Raw Data'!Y:Y,Match($A109,'Player Raw Data'!$B:$B,0)),"")</f>
        <v/>
      </c>
      <c r="M109" t="str">
        <f t="array" ref="M109">IFERROR(INDEX('Player Raw Data'!Z:Z,Match($A109,'Player Raw Data'!$B:$B,0)),"")</f>
        <v/>
      </c>
      <c r="N109" t="str">
        <f t="array" ref="N109">IFERROR(INDEX('Player Raw Data'!AA:AA,Match($A109,'Player Raw Data'!$B:$B,0)),"")</f>
        <v/>
      </c>
      <c r="O109" t="str">
        <f t="array" ref="O109">IFERROR(INDEX('Player Raw Data'!AB:AB,Match($A109,'Player Raw Data'!$B:$B,0)),"")</f>
        <v/>
      </c>
      <c r="P109" t="str">
        <f t="array" ref="P109">IFERROR(INDEX('Player Raw Data'!AD:AD,Match($A109,'Player Raw Data'!$B:$B,0)),"")</f>
        <v/>
      </c>
      <c r="Q109">
        <f t="shared" si="1"/>
        <v>0</v>
      </c>
      <c r="R109" s="9">
        <f t="shared" si="2"/>
        <v>0</v>
      </c>
      <c r="S109" s="14">
        <f t="shared" si="3"/>
        <v>0</v>
      </c>
      <c r="T109" s="15">
        <f>IFERROR(__xludf.DUMMYFUNCTION("IFERROR(PERCENTRANK.INC(FILTER(Q:Q,$F:$F&lt;&gt;""""),Q109)*100,"""")"),1.5)</f>
        <v>1.5</v>
      </c>
      <c r="U109" s="15">
        <f>IFERROR(__xludf.DUMMYFUNCTION("IFERROR(PERCENTRANK.INC(FILTER(R:R,$F:$F&lt;&gt;""""),R109)*100,"""")"),1.5)</f>
        <v>1.5</v>
      </c>
      <c r="V109" s="15">
        <f>IFERROR(__xludf.DUMMYFUNCTION("IFERROR(PERCENTRANK.INC(FILTER(S:S,$F:$F&lt;&gt;""""),S109)*100,"""")"),1.5)</f>
        <v>1.5</v>
      </c>
      <c r="W109" s="15" t="str">
        <f t="shared" si="4"/>
        <v/>
      </c>
      <c r="X109" s="16"/>
      <c r="Y109" s="9"/>
      <c r="Z109" s="9"/>
    </row>
    <row r="110">
      <c r="B110" t="str">
        <f t="array" ref="B110">IFERROR(INDEX('Player Raw Data'!E:E,Match($A110,'Player Raw Data'!$B:$B,0)),"")</f>
        <v/>
      </c>
      <c r="C110" t="str">
        <f t="array" ref="C110">IFERROR(INDEX('Player Raw Data'!C:C,Match($A110,'Player Raw Data'!$B:$B,0)),"")</f>
        <v/>
      </c>
      <c r="D110" t="str">
        <f t="array" ref="D110">IFERROR(IF(A110=A109, INDEX('Player Raw Data'!D:D,Match($A110,'Player Raw Data'!$B:$B,0)+2),INDEX('Player Raw Data'!D:D,Match($A110,'Player Raw Data'!$B:$B,0))),"")</f>
        <v/>
      </c>
      <c r="E110" t="str">
        <f t="array" ref="E110">IFERROR(INDEX('Player Raw Data'!F:F,Match($A110,'Player Raw Data'!$B:$B,0)),"")</f>
        <v/>
      </c>
      <c r="F110" t="str">
        <f t="array" ref="F110">IFERROR(INDEX('Player Raw Data'!H:H,Match($A110,'Player Raw Data'!$B:$B,0)),"")</f>
        <v/>
      </c>
      <c r="G110" t="str">
        <f t="array" ref="G110">IFERROR(INDEX('Player Raw Data'!I:I,Match($A110,'Player Raw Data'!$B:$B,0)),"")</f>
        <v/>
      </c>
      <c r="H110" t="str">
        <f t="array" ref="H110">IFERROR(INDEX('Player Raw Data'!J:J,Match($A110,'Player Raw Data'!$B:$B,0)),"")</f>
        <v/>
      </c>
      <c r="I110" t="str">
        <f t="array" ref="I110">IFERROR(INDEX('Player Raw Data'!S:S,Match($A110,'Player Raw Data'!$B:$B,0)),"")</f>
        <v/>
      </c>
      <c r="J110" t="str">
        <f t="array" ref="J110">IFERROR(INDEX('Player Raw Data'!T:T,Match($A110,'Player Raw Data'!$B:$B,0)),"")</f>
        <v/>
      </c>
      <c r="K110" t="str">
        <f t="array" ref="K110">IFERROR(INDEX('Player Raw Data'!X:X,Match($A110,'Player Raw Data'!$B:$B,0)),"")</f>
        <v/>
      </c>
      <c r="L110" t="str">
        <f t="array" ref="L110">IFERROR(INDEX('Player Raw Data'!Y:Y,Match($A110,'Player Raw Data'!$B:$B,0)),"")</f>
        <v/>
      </c>
      <c r="M110" t="str">
        <f t="array" ref="M110">IFERROR(INDEX('Player Raw Data'!Z:Z,Match($A110,'Player Raw Data'!$B:$B,0)),"")</f>
        <v/>
      </c>
      <c r="N110" t="str">
        <f t="array" ref="N110">IFERROR(INDEX('Player Raw Data'!AA:AA,Match($A110,'Player Raw Data'!$B:$B,0)),"")</f>
        <v/>
      </c>
      <c r="O110" t="str">
        <f t="array" ref="O110">IFERROR(INDEX('Player Raw Data'!AB:AB,Match($A110,'Player Raw Data'!$B:$B,0)),"")</f>
        <v/>
      </c>
      <c r="P110" t="str">
        <f t="array" ref="P110">IFERROR(INDEX('Player Raw Data'!AD:AD,Match($A110,'Player Raw Data'!$B:$B,0)),"")</f>
        <v/>
      </c>
      <c r="Q110">
        <f t="shared" si="1"/>
        <v>0</v>
      </c>
      <c r="R110" s="9">
        <f t="shared" si="2"/>
        <v>0</v>
      </c>
      <c r="S110" s="14">
        <f t="shared" si="3"/>
        <v>0</v>
      </c>
      <c r="T110" s="15">
        <f>IFERROR(__xludf.DUMMYFUNCTION("IFERROR(PERCENTRANK.INC(FILTER(Q:Q,$F:$F&lt;&gt;""""),Q110)*100,"""")"),1.5)</f>
        <v>1.5</v>
      </c>
      <c r="U110" s="15">
        <f>IFERROR(__xludf.DUMMYFUNCTION("IFERROR(PERCENTRANK.INC(FILTER(R:R,$F:$F&lt;&gt;""""),R110)*100,"""")"),1.5)</f>
        <v>1.5</v>
      </c>
      <c r="V110" s="15">
        <f>IFERROR(__xludf.DUMMYFUNCTION("IFERROR(PERCENTRANK.INC(FILTER(S:S,$F:$F&lt;&gt;""""),S110)*100,"""")"),1.5)</f>
        <v>1.5</v>
      </c>
      <c r="W110" s="15" t="str">
        <f t="shared" si="4"/>
        <v/>
      </c>
      <c r="X110" s="16"/>
      <c r="Y110" s="9"/>
      <c r="Z110" s="9"/>
    </row>
    <row r="111">
      <c r="B111" t="str">
        <f t="array" ref="B111">IFERROR(INDEX('Player Raw Data'!E:E,Match($A111,'Player Raw Data'!$B:$B,0)),"")</f>
        <v/>
      </c>
      <c r="C111" t="str">
        <f t="array" ref="C111">IFERROR(INDEX('Player Raw Data'!C:C,Match($A111,'Player Raw Data'!$B:$B,0)),"")</f>
        <v/>
      </c>
      <c r="D111" t="str">
        <f t="array" ref="D111">IFERROR(IF(A111=A110, INDEX('Player Raw Data'!D:D,Match($A111,'Player Raw Data'!$B:$B,0)+2),INDEX('Player Raw Data'!D:D,Match($A111,'Player Raw Data'!$B:$B,0))),"")</f>
        <v/>
      </c>
      <c r="E111" t="str">
        <f t="array" ref="E111">IFERROR(INDEX('Player Raw Data'!F:F,Match($A111,'Player Raw Data'!$B:$B,0)),"")</f>
        <v/>
      </c>
      <c r="F111" t="str">
        <f t="array" ref="F111">IFERROR(INDEX('Player Raw Data'!H:H,Match($A111,'Player Raw Data'!$B:$B,0)),"")</f>
        <v/>
      </c>
      <c r="G111" t="str">
        <f t="array" ref="G111">IFERROR(INDEX('Player Raw Data'!I:I,Match($A111,'Player Raw Data'!$B:$B,0)),"")</f>
        <v/>
      </c>
      <c r="H111" t="str">
        <f t="array" ref="H111">IFERROR(INDEX('Player Raw Data'!J:J,Match($A111,'Player Raw Data'!$B:$B,0)),"")</f>
        <v/>
      </c>
      <c r="I111" t="str">
        <f t="array" ref="I111">IFERROR(INDEX('Player Raw Data'!S:S,Match($A111,'Player Raw Data'!$B:$B,0)),"")</f>
        <v/>
      </c>
      <c r="J111" t="str">
        <f t="array" ref="J111">IFERROR(INDEX('Player Raw Data'!T:T,Match($A111,'Player Raw Data'!$B:$B,0)),"")</f>
        <v/>
      </c>
      <c r="K111" t="str">
        <f t="array" ref="K111">IFERROR(INDEX('Player Raw Data'!X:X,Match($A111,'Player Raw Data'!$B:$B,0)),"")</f>
        <v/>
      </c>
      <c r="L111" t="str">
        <f t="array" ref="L111">IFERROR(INDEX('Player Raw Data'!Y:Y,Match($A111,'Player Raw Data'!$B:$B,0)),"")</f>
        <v/>
      </c>
      <c r="M111" t="str">
        <f t="array" ref="M111">IFERROR(INDEX('Player Raw Data'!Z:Z,Match($A111,'Player Raw Data'!$B:$B,0)),"")</f>
        <v/>
      </c>
      <c r="N111" t="str">
        <f t="array" ref="N111">IFERROR(INDEX('Player Raw Data'!AA:AA,Match($A111,'Player Raw Data'!$B:$B,0)),"")</f>
        <v/>
      </c>
      <c r="O111" t="str">
        <f t="array" ref="O111">IFERROR(INDEX('Player Raw Data'!AB:AB,Match($A111,'Player Raw Data'!$B:$B,0)),"")</f>
        <v/>
      </c>
      <c r="P111" t="str">
        <f t="array" ref="P111">IFERROR(INDEX('Player Raw Data'!AD:AD,Match($A111,'Player Raw Data'!$B:$B,0)),"")</f>
        <v/>
      </c>
      <c r="Q111">
        <f t="shared" si="1"/>
        <v>0</v>
      </c>
      <c r="R111" s="9">
        <f t="shared" si="2"/>
        <v>0</v>
      </c>
      <c r="S111" s="14">
        <f t="shared" si="3"/>
        <v>0</v>
      </c>
      <c r="T111" s="15">
        <f>IFERROR(__xludf.DUMMYFUNCTION("IFERROR(PERCENTRANK.INC(FILTER(Q:Q,$F:$F&lt;&gt;""""),Q111)*100,"""")"),1.5)</f>
        <v>1.5</v>
      </c>
      <c r="U111" s="15">
        <f>IFERROR(__xludf.DUMMYFUNCTION("IFERROR(PERCENTRANK.INC(FILTER(R:R,$F:$F&lt;&gt;""""),R111)*100,"""")"),1.5)</f>
        <v>1.5</v>
      </c>
      <c r="V111" s="15">
        <f>IFERROR(__xludf.DUMMYFUNCTION("IFERROR(PERCENTRANK.INC(FILTER(S:S,$F:$F&lt;&gt;""""),S111)*100,"""")"),1.5)</f>
        <v>1.5</v>
      </c>
      <c r="W111" s="15" t="str">
        <f t="shared" si="4"/>
        <v/>
      </c>
      <c r="X111" s="16"/>
      <c r="Y111" s="9"/>
      <c r="Z111" s="9"/>
    </row>
    <row r="112">
      <c r="B112" t="str">
        <f t="array" ref="B112">IFERROR(INDEX('Player Raw Data'!E:E,Match($A112,'Player Raw Data'!$B:$B,0)),"")</f>
        <v/>
      </c>
      <c r="C112" t="str">
        <f t="array" ref="C112">IFERROR(INDEX('Player Raw Data'!C:C,Match($A112,'Player Raw Data'!$B:$B,0)),"")</f>
        <v/>
      </c>
      <c r="D112" t="str">
        <f t="array" ref="D112">IFERROR(IF(A112=A111, INDEX('Player Raw Data'!D:D,Match($A112,'Player Raw Data'!$B:$B,0)+2),INDEX('Player Raw Data'!D:D,Match($A112,'Player Raw Data'!$B:$B,0))),"")</f>
        <v/>
      </c>
      <c r="E112" t="str">
        <f t="array" ref="E112">IFERROR(INDEX('Player Raw Data'!F:F,Match($A112,'Player Raw Data'!$B:$B,0)),"")</f>
        <v/>
      </c>
      <c r="F112" t="str">
        <f t="array" ref="F112">IFERROR(INDEX('Player Raw Data'!H:H,Match($A112,'Player Raw Data'!$B:$B,0)),"")</f>
        <v/>
      </c>
      <c r="G112" t="str">
        <f t="array" ref="G112">IFERROR(INDEX('Player Raw Data'!I:I,Match($A112,'Player Raw Data'!$B:$B,0)),"")</f>
        <v/>
      </c>
      <c r="H112" t="str">
        <f t="array" ref="H112">IFERROR(INDEX('Player Raw Data'!J:J,Match($A112,'Player Raw Data'!$B:$B,0)),"")</f>
        <v/>
      </c>
      <c r="I112" t="str">
        <f t="array" ref="I112">IFERROR(INDEX('Player Raw Data'!S:S,Match($A112,'Player Raw Data'!$B:$B,0)),"")</f>
        <v/>
      </c>
      <c r="J112" t="str">
        <f t="array" ref="J112">IFERROR(INDEX('Player Raw Data'!T:T,Match($A112,'Player Raw Data'!$B:$B,0)),"")</f>
        <v/>
      </c>
      <c r="K112" t="str">
        <f t="array" ref="K112">IFERROR(INDEX('Player Raw Data'!X:X,Match($A112,'Player Raw Data'!$B:$B,0)),"")</f>
        <v/>
      </c>
      <c r="L112" t="str">
        <f t="array" ref="L112">IFERROR(INDEX('Player Raw Data'!Y:Y,Match($A112,'Player Raw Data'!$B:$B,0)),"")</f>
        <v/>
      </c>
      <c r="M112" t="str">
        <f t="array" ref="M112">IFERROR(INDEX('Player Raw Data'!Z:Z,Match($A112,'Player Raw Data'!$B:$B,0)),"")</f>
        <v/>
      </c>
      <c r="N112" t="str">
        <f t="array" ref="N112">IFERROR(INDEX('Player Raw Data'!AA:AA,Match($A112,'Player Raw Data'!$B:$B,0)),"")</f>
        <v/>
      </c>
      <c r="O112" t="str">
        <f t="array" ref="O112">IFERROR(INDEX('Player Raw Data'!AB:AB,Match($A112,'Player Raw Data'!$B:$B,0)),"")</f>
        <v/>
      </c>
      <c r="P112" t="str">
        <f t="array" ref="P112">IFERROR(INDEX('Player Raw Data'!AD:AD,Match($A112,'Player Raw Data'!$B:$B,0)),"")</f>
        <v/>
      </c>
      <c r="Q112">
        <f t="shared" si="1"/>
        <v>0</v>
      </c>
      <c r="R112" s="9">
        <f t="shared" si="2"/>
        <v>0</v>
      </c>
      <c r="S112" s="14">
        <f t="shared" si="3"/>
        <v>0</v>
      </c>
      <c r="T112" s="15">
        <f>IFERROR(__xludf.DUMMYFUNCTION("IFERROR(PERCENTRANK.INC(FILTER(Q:Q,$F:$F&lt;&gt;""""),Q112)*100,"""")"),1.5)</f>
        <v>1.5</v>
      </c>
      <c r="U112" s="15">
        <f>IFERROR(__xludf.DUMMYFUNCTION("IFERROR(PERCENTRANK.INC(FILTER(R:R,$F:$F&lt;&gt;""""),R112)*100,"""")"),1.5)</f>
        <v>1.5</v>
      </c>
      <c r="V112" s="15">
        <f>IFERROR(__xludf.DUMMYFUNCTION("IFERROR(PERCENTRANK.INC(FILTER(S:S,$F:$F&lt;&gt;""""),S112)*100,"""")"),1.5)</f>
        <v>1.5</v>
      </c>
      <c r="W112" s="15" t="str">
        <f t="shared" si="4"/>
        <v/>
      </c>
      <c r="X112" s="16"/>
      <c r="Y112" s="9"/>
      <c r="Z112" s="9"/>
    </row>
    <row r="113">
      <c r="B113" t="str">
        <f t="array" ref="B113">IFERROR(INDEX('Player Raw Data'!E:E,Match($A113,'Player Raw Data'!$B:$B,0)),"")</f>
        <v/>
      </c>
      <c r="C113" t="str">
        <f t="array" ref="C113">IFERROR(INDEX('Player Raw Data'!C:C,Match($A113,'Player Raw Data'!$B:$B,0)),"")</f>
        <v/>
      </c>
      <c r="D113" t="str">
        <f t="array" ref="D113">IFERROR(IF(A113=A112, INDEX('Player Raw Data'!D:D,Match($A113,'Player Raw Data'!$B:$B,0)+2),INDEX('Player Raw Data'!D:D,Match($A113,'Player Raw Data'!$B:$B,0))),"")</f>
        <v/>
      </c>
      <c r="E113" t="str">
        <f t="array" ref="E113">IFERROR(INDEX('Player Raw Data'!F:F,Match($A113,'Player Raw Data'!$B:$B,0)),"")</f>
        <v/>
      </c>
      <c r="F113" t="str">
        <f t="array" ref="F113">IFERROR(INDEX('Player Raw Data'!H:H,Match($A113,'Player Raw Data'!$B:$B,0)),"")</f>
        <v/>
      </c>
      <c r="G113" t="str">
        <f t="array" ref="G113">IFERROR(INDEX('Player Raw Data'!I:I,Match($A113,'Player Raw Data'!$B:$B,0)),"")</f>
        <v/>
      </c>
      <c r="H113" t="str">
        <f t="array" ref="H113">IFERROR(INDEX('Player Raw Data'!J:J,Match($A113,'Player Raw Data'!$B:$B,0)),"")</f>
        <v/>
      </c>
      <c r="I113" t="str">
        <f t="array" ref="I113">IFERROR(INDEX('Player Raw Data'!S:S,Match($A113,'Player Raw Data'!$B:$B,0)),"")</f>
        <v/>
      </c>
      <c r="J113" t="str">
        <f t="array" ref="J113">IFERROR(INDEX('Player Raw Data'!T:T,Match($A113,'Player Raw Data'!$B:$B,0)),"")</f>
        <v/>
      </c>
      <c r="K113" t="str">
        <f t="array" ref="K113">IFERROR(INDEX('Player Raw Data'!X:X,Match($A113,'Player Raw Data'!$B:$B,0)),"")</f>
        <v/>
      </c>
      <c r="L113" t="str">
        <f t="array" ref="L113">IFERROR(INDEX('Player Raw Data'!Y:Y,Match($A113,'Player Raw Data'!$B:$B,0)),"")</f>
        <v/>
      </c>
      <c r="M113" t="str">
        <f t="array" ref="M113">IFERROR(INDEX('Player Raw Data'!Z:Z,Match($A113,'Player Raw Data'!$B:$B,0)),"")</f>
        <v/>
      </c>
      <c r="N113" t="str">
        <f t="array" ref="N113">IFERROR(INDEX('Player Raw Data'!AA:AA,Match($A113,'Player Raw Data'!$B:$B,0)),"")</f>
        <v/>
      </c>
      <c r="O113" t="str">
        <f t="array" ref="O113">IFERROR(INDEX('Player Raw Data'!AB:AB,Match($A113,'Player Raw Data'!$B:$B,0)),"")</f>
        <v/>
      </c>
      <c r="P113" t="str">
        <f t="array" ref="P113">IFERROR(INDEX('Player Raw Data'!AD:AD,Match($A113,'Player Raw Data'!$B:$B,0)),"")</f>
        <v/>
      </c>
      <c r="Q113">
        <f t="shared" si="1"/>
        <v>0</v>
      </c>
      <c r="R113" s="9">
        <f t="shared" si="2"/>
        <v>0</v>
      </c>
      <c r="S113" s="14">
        <f t="shared" si="3"/>
        <v>0</v>
      </c>
      <c r="T113" s="15">
        <f>IFERROR(__xludf.DUMMYFUNCTION("IFERROR(PERCENTRANK.INC(FILTER(Q:Q,$F:$F&lt;&gt;""""),Q113)*100,"""")"),1.5)</f>
        <v>1.5</v>
      </c>
      <c r="U113" s="15">
        <f>IFERROR(__xludf.DUMMYFUNCTION("IFERROR(PERCENTRANK.INC(FILTER(R:R,$F:$F&lt;&gt;""""),R113)*100,"""")"),1.5)</f>
        <v>1.5</v>
      </c>
      <c r="V113" s="15">
        <f>IFERROR(__xludf.DUMMYFUNCTION("IFERROR(PERCENTRANK.INC(FILTER(S:S,$F:$F&lt;&gt;""""),S113)*100,"""")"),1.5)</f>
        <v>1.5</v>
      </c>
      <c r="W113" s="15" t="str">
        <f t="shared" si="4"/>
        <v/>
      </c>
      <c r="X113" s="16"/>
      <c r="Y113" s="9"/>
      <c r="Z113" s="9"/>
    </row>
    <row r="114">
      <c r="B114" t="str">
        <f t="array" ref="B114">IFERROR(INDEX('Player Raw Data'!E:E,Match($A114,'Player Raw Data'!$B:$B,0)),"")</f>
        <v/>
      </c>
      <c r="C114" t="str">
        <f t="array" ref="C114">IFERROR(INDEX('Player Raw Data'!C:C,Match($A114,'Player Raw Data'!$B:$B,0)),"")</f>
        <v/>
      </c>
      <c r="D114" t="str">
        <f t="array" ref="D114">IFERROR(IF(A114=A113, INDEX('Player Raw Data'!D:D,Match($A114,'Player Raw Data'!$B:$B,0)+2),INDEX('Player Raw Data'!D:D,Match($A114,'Player Raw Data'!$B:$B,0))),"")</f>
        <v/>
      </c>
      <c r="E114" t="str">
        <f t="array" ref="E114">IFERROR(INDEX('Player Raw Data'!F:F,Match($A114,'Player Raw Data'!$B:$B,0)),"")</f>
        <v/>
      </c>
      <c r="F114" t="str">
        <f t="array" ref="F114">IFERROR(INDEX('Player Raw Data'!H:H,Match($A114,'Player Raw Data'!$B:$B,0)),"")</f>
        <v/>
      </c>
      <c r="G114" t="str">
        <f t="array" ref="G114">IFERROR(INDEX('Player Raw Data'!I:I,Match($A114,'Player Raw Data'!$B:$B,0)),"")</f>
        <v/>
      </c>
      <c r="H114" t="str">
        <f t="array" ref="H114">IFERROR(INDEX('Player Raw Data'!J:J,Match($A114,'Player Raw Data'!$B:$B,0)),"")</f>
        <v/>
      </c>
      <c r="I114" t="str">
        <f t="array" ref="I114">IFERROR(INDEX('Player Raw Data'!S:S,Match($A114,'Player Raw Data'!$B:$B,0)),"")</f>
        <v/>
      </c>
      <c r="J114" t="str">
        <f t="array" ref="J114">IFERROR(INDEX('Player Raw Data'!T:T,Match($A114,'Player Raw Data'!$B:$B,0)),"")</f>
        <v/>
      </c>
      <c r="K114" t="str">
        <f t="array" ref="K114">IFERROR(INDEX('Player Raw Data'!X:X,Match($A114,'Player Raw Data'!$B:$B,0)),"")</f>
        <v/>
      </c>
      <c r="L114" t="str">
        <f t="array" ref="L114">IFERROR(INDEX('Player Raw Data'!Y:Y,Match($A114,'Player Raw Data'!$B:$B,0)),"")</f>
        <v/>
      </c>
      <c r="M114" t="str">
        <f t="array" ref="M114">IFERROR(INDEX('Player Raw Data'!Z:Z,Match($A114,'Player Raw Data'!$B:$B,0)),"")</f>
        <v/>
      </c>
      <c r="N114" t="str">
        <f t="array" ref="N114">IFERROR(INDEX('Player Raw Data'!AA:AA,Match($A114,'Player Raw Data'!$B:$B,0)),"")</f>
        <v/>
      </c>
      <c r="O114" t="str">
        <f t="array" ref="O114">IFERROR(INDEX('Player Raw Data'!AB:AB,Match($A114,'Player Raw Data'!$B:$B,0)),"")</f>
        <v/>
      </c>
      <c r="P114" t="str">
        <f t="array" ref="P114">IFERROR(INDEX('Player Raw Data'!AD:AD,Match($A114,'Player Raw Data'!$B:$B,0)),"")</f>
        <v/>
      </c>
      <c r="Q114">
        <f t="shared" si="1"/>
        <v>0</v>
      </c>
      <c r="R114" s="9">
        <f t="shared" si="2"/>
        <v>0</v>
      </c>
      <c r="S114" s="14">
        <f t="shared" si="3"/>
        <v>0</v>
      </c>
      <c r="T114" s="15">
        <f>IFERROR(__xludf.DUMMYFUNCTION("IFERROR(PERCENTRANK.INC(FILTER(Q:Q,$F:$F&lt;&gt;""""),Q114)*100,"""")"),1.5)</f>
        <v>1.5</v>
      </c>
      <c r="U114" s="15">
        <f>IFERROR(__xludf.DUMMYFUNCTION("IFERROR(PERCENTRANK.INC(FILTER(R:R,$F:$F&lt;&gt;""""),R114)*100,"""")"),1.5)</f>
        <v>1.5</v>
      </c>
      <c r="V114" s="15">
        <f>IFERROR(__xludf.DUMMYFUNCTION("IFERROR(PERCENTRANK.INC(FILTER(S:S,$F:$F&lt;&gt;""""),S114)*100,"""")"),1.5)</f>
        <v>1.5</v>
      </c>
      <c r="W114" s="15" t="str">
        <f t="shared" si="4"/>
        <v/>
      </c>
      <c r="X114" s="16"/>
      <c r="Y114" s="9"/>
      <c r="Z114" s="9"/>
    </row>
    <row r="115">
      <c r="B115" t="str">
        <f t="array" ref="B115">IFERROR(INDEX('Player Raw Data'!E:E,Match($A115,'Player Raw Data'!$B:$B,0)),"")</f>
        <v/>
      </c>
      <c r="C115" t="str">
        <f t="array" ref="C115">IFERROR(INDEX('Player Raw Data'!C:C,Match($A115,'Player Raw Data'!$B:$B,0)),"")</f>
        <v/>
      </c>
      <c r="D115" t="str">
        <f t="array" ref="D115">IFERROR(IF(A115=A114, INDEX('Player Raw Data'!D:D,Match($A115,'Player Raw Data'!$B:$B,0)+2),INDEX('Player Raw Data'!D:D,Match($A115,'Player Raw Data'!$B:$B,0))),"")</f>
        <v/>
      </c>
      <c r="E115" t="str">
        <f t="array" ref="E115">IFERROR(INDEX('Player Raw Data'!F:F,Match($A115,'Player Raw Data'!$B:$B,0)),"")</f>
        <v/>
      </c>
      <c r="F115" t="str">
        <f t="array" ref="F115">IFERROR(INDEX('Player Raw Data'!H:H,Match($A115,'Player Raw Data'!$B:$B,0)),"")</f>
        <v/>
      </c>
      <c r="G115" t="str">
        <f t="array" ref="G115">IFERROR(INDEX('Player Raw Data'!I:I,Match($A115,'Player Raw Data'!$B:$B,0)),"")</f>
        <v/>
      </c>
      <c r="H115" t="str">
        <f t="array" ref="H115">IFERROR(INDEX('Player Raw Data'!J:J,Match($A115,'Player Raw Data'!$B:$B,0)),"")</f>
        <v/>
      </c>
      <c r="I115" t="str">
        <f t="array" ref="I115">IFERROR(INDEX('Player Raw Data'!S:S,Match($A115,'Player Raw Data'!$B:$B,0)),"")</f>
        <v/>
      </c>
      <c r="J115" t="str">
        <f t="array" ref="J115">IFERROR(INDEX('Player Raw Data'!T:T,Match($A115,'Player Raw Data'!$B:$B,0)),"")</f>
        <v/>
      </c>
      <c r="K115" t="str">
        <f t="array" ref="K115">IFERROR(INDEX('Player Raw Data'!X:X,Match($A115,'Player Raw Data'!$B:$B,0)),"")</f>
        <v/>
      </c>
      <c r="L115" t="str">
        <f t="array" ref="L115">IFERROR(INDEX('Player Raw Data'!Y:Y,Match($A115,'Player Raw Data'!$B:$B,0)),"")</f>
        <v/>
      </c>
      <c r="M115" t="str">
        <f t="array" ref="M115">IFERROR(INDEX('Player Raw Data'!Z:Z,Match($A115,'Player Raw Data'!$B:$B,0)),"")</f>
        <v/>
      </c>
      <c r="N115" t="str">
        <f t="array" ref="N115">IFERROR(INDEX('Player Raw Data'!AA:AA,Match($A115,'Player Raw Data'!$B:$B,0)),"")</f>
        <v/>
      </c>
      <c r="O115" t="str">
        <f t="array" ref="O115">IFERROR(INDEX('Player Raw Data'!AB:AB,Match($A115,'Player Raw Data'!$B:$B,0)),"")</f>
        <v/>
      </c>
      <c r="P115" t="str">
        <f t="array" ref="P115">IFERROR(INDEX('Player Raw Data'!AD:AD,Match($A115,'Player Raw Data'!$B:$B,0)),"")</f>
        <v/>
      </c>
      <c r="Q115">
        <f t="shared" si="1"/>
        <v>0</v>
      </c>
      <c r="R115" s="9">
        <f t="shared" si="2"/>
        <v>0</v>
      </c>
      <c r="S115" s="14">
        <f t="shared" si="3"/>
        <v>0</v>
      </c>
      <c r="T115" s="15">
        <f>IFERROR(__xludf.DUMMYFUNCTION("IFERROR(PERCENTRANK.INC(FILTER(Q:Q,$F:$F&lt;&gt;""""),Q115)*100,"""")"),1.5)</f>
        <v>1.5</v>
      </c>
      <c r="U115" s="15">
        <f>IFERROR(__xludf.DUMMYFUNCTION("IFERROR(PERCENTRANK.INC(FILTER(R:R,$F:$F&lt;&gt;""""),R115)*100,"""")"),1.5)</f>
        <v>1.5</v>
      </c>
      <c r="V115" s="15">
        <f>IFERROR(__xludf.DUMMYFUNCTION("IFERROR(PERCENTRANK.INC(FILTER(S:S,$F:$F&lt;&gt;""""),S115)*100,"""")"),1.5)</f>
        <v>1.5</v>
      </c>
      <c r="W115" s="15" t="str">
        <f t="shared" si="4"/>
        <v/>
      </c>
      <c r="X115" s="16"/>
      <c r="Y115" s="9"/>
      <c r="Z115" s="9"/>
    </row>
    <row r="116">
      <c r="B116" t="str">
        <f t="array" ref="B116">IFERROR(INDEX('Player Raw Data'!E:E,Match($A116,'Player Raw Data'!$B:$B,0)),"")</f>
        <v/>
      </c>
      <c r="C116" t="str">
        <f t="array" ref="C116">IFERROR(INDEX('Player Raw Data'!C:C,Match($A116,'Player Raw Data'!$B:$B,0)),"")</f>
        <v/>
      </c>
      <c r="D116" t="str">
        <f t="array" ref="D116">IFERROR(IF(A116=A115, INDEX('Player Raw Data'!D:D,Match($A116,'Player Raw Data'!$B:$B,0)+2),INDEX('Player Raw Data'!D:D,Match($A116,'Player Raw Data'!$B:$B,0))),"")</f>
        <v/>
      </c>
      <c r="E116" t="str">
        <f t="array" ref="E116">IFERROR(INDEX('Player Raw Data'!F:F,Match($A116,'Player Raw Data'!$B:$B,0)),"")</f>
        <v/>
      </c>
      <c r="F116" t="str">
        <f t="array" ref="F116">IFERROR(INDEX('Player Raw Data'!H:H,Match($A116,'Player Raw Data'!$B:$B,0)),"")</f>
        <v/>
      </c>
      <c r="G116" t="str">
        <f t="array" ref="G116">IFERROR(INDEX('Player Raw Data'!I:I,Match($A116,'Player Raw Data'!$B:$B,0)),"")</f>
        <v/>
      </c>
      <c r="H116" t="str">
        <f t="array" ref="H116">IFERROR(INDEX('Player Raw Data'!J:J,Match($A116,'Player Raw Data'!$B:$B,0)),"")</f>
        <v/>
      </c>
      <c r="I116" t="str">
        <f t="array" ref="I116">IFERROR(INDEX('Player Raw Data'!S:S,Match($A116,'Player Raw Data'!$B:$B,0)),"")</f>
        <v/>
      </c>
      <c r="J116" t="str">
        <f t="array" ref="J116">IFERROR(INDEX('Player Raw Data'!T:T,Match($A116,'Player Raw Data'!$B:$B,0)),"")</f>
        <v/>
      </c>
      <c r="K116" t="str">
        <f t="array" ref="K116">IFERROR(INDEX('Player Raw Data'!X:X,Match($A116,'Player Raw Data'!$B:$B,0)),"")</f>
        <v/>
      </c>
      <c r="L116" t="str">
        <f t="array" ref="L116">IFERROR(INDEX('Player Raw Data'!Y:Y,Match($A116,'Player Raw Data'!$B:$B,0)),"")</f>
        <v/>
      </c>
      <c r="M116" t="str">
        <f t="array" ref="M116">IFERROR(INDEX('Player Raw Data'!Z:Z,Match($A116,'Player Raw Data'!$B:$B,0)),"")</f>
        <v/>
      </c>
      <c r="N116" t="str">
        <f t="array" ref="N116">IFERROR(INDEX('Player Raw Data'!AA:AA,Match($A116,'Player Raw Data'!$B:$B,0)),"")</f>
        <v/>
      </c>
      <c r="O116" t="str">
        <f t="array" ref="O116">IFERROR(INDEX('Player Raw Data'!AB:AB,Match($A116,'Player Raw Data'!$B:$B,0)),"")</f>
        <v/>
      </c>
      <c r="P116" t="str">
        <f t="array" ref="P116">IFERROR(INDEX('Player Raw Data'!AD:AD,Match($A116,'Player Raw Data'!$B:$B,0)),"")</f>
        <v/>
      </c>
      <c r="Q116">
        <f t="shared" si="1"/>
        <v>0</v>
      </c>
      <c r="R116" s="9">
        <f t="shared" si="2"/>
        <v>0</v>
      </c>
      <c r="S116" s="14">
        <f t="shared" si="3"/>
        <v>0</v>
      </c>
      <c r="T116" s="15">
        <f>IFERROR(__xludf.DUMMYFUNCTION("IFERROR(PERCENTRANK.INC(FILTER(Q:Q,$F:$F&lt;&gt;""""),Q116)*100,"""")"),1.5)</f>
        <v>1.5</v>
      </c>
      <c r="U116" s="15">
        <f>IFERROR(__xludf.DUMMYFUNCTION("IFERROR(PERCENTRANK.INC(FILTER(R:R,$F:$F&lt;&gt;""""),R116)*100,"""")"),1.5)</f>
        <v>1.5</v>
      </c>
      <c r="V116" s="15">
        <f>IFERROR(__xludf.DUMMYFUNCTION("IFERROR(PERCENTRANK.INC(FILTER(S:S,$F:$F&lt;&gt;""""),S116)*100,"""")"),1.5)</f>
        <v>1.5</v>
      </c>
      <c r="W116" s="15" t="str">
        <f t="shared" si="4"/>
        <v/>
      </c>
      <c r="X116" s="16"/>
      <c r="Y116" s="9"/>
      <c r="Z116" s="9"/>
    </row>
    <row r="117">
      <c r="B117" t="str">
        <f t="array" ref="B117">IFERROR(INDEX('Player Raw Data'!E:E,Match($A117,'Player Raw Data'!$B:$B,0)),"")</f>
        <v/>
      </c>
      <c r="C117" t="str">
        <f t="array" ref="C117">IFERROR(INDEX('Player Raw Data'!C:C,Match($A117,'Player Raw Data'!$B:$B,0)),"")</f>
        <v/>
      </c>
      <c r="D117" t="str">
        <f t="array" ref="D117">IFERROR(IF(A117=A116, INDEX('Player Raw Data'!D:D,Match($A117,'Player Raw Data'!$B:$B,0)+2),INDEX('Player Raw Data'!D:D,Match($A117,'Player Raw Data'!$B:$B,0))),"")</f>
        <v/>
      </c>
      <c r="E117" t="str">
        <f t="array" ref="E117">IFERROR(INDEX('Player Raw Data'!F:F,Match($A117,'Player Raw Data'!$B:$B,0)),"")</f>
        <v/>
      </c>
      <c r="F117" t="str">
        <f t="array" ref="F117">IFERROR(INDEX('Player Raw Data'!H:H,Match($A117,'Player Raw Data'!$B:$B,0)),"")</f>
        <v/>
      </c>
      <c r="G117" t="str">
        <f t="array" ref="G117">IFERROR(INDEX('Player Raw Data'!I:I,Match($A117,'Player Raw Data'!$B:$B,0)),"")</f>
        <v/>
      </c>
      <c r="H117" t="str">
        <f t="array" ref="H117">IFERROR(INDEX('Player Raw Data'!J:J,Match($A117,'Player Raw Data'!$B:$B,0)),"")</f>
        <v/>
      </c>
      <c r="I117" t="str">
        <f t="array" ref="I117">IFERROR(INDEX('Player Raw Data'!S:S,Match($A117,'Player Raw Data'!$B:$B,0)),"")</f>
        <v/>
      </c>
      <c r="J117" t="str">
        <f t="array" ref="J117">IFERROR(INDEX('Player Raw Data'!T:T,Match($A117,'Player Raw Data'!$B:$B,0)),"")</f>
        <v/>
      </c>
      <c r="K117" t="str">
        <f t="array" ref="K117">IFERROR(INDEX('Player Raw Data'!X:X,Match($A117,'Player Raw Data'!$B:$B,0)),"")</f>
        <v/>
      </c>
      <c r="L117" t="str">
        <f t="array" ref="L117">IFERROR(INDEX('Player Raw Data'!Y:Y,Match($A117,'Player Raw Data'!$B:$B,0)),"")</f>
        <v/>
      </c>
      <c r="M117" t="str">
        <f t="array" ref="M117">IFERROR(INDEX('Player Raw Data'!Z:Z,Match($A117,'Player Raw Data'!$B:$B,0)),"")</f>
        <v/>
      </c>
      <c r="N117" t="str">
        <f t="array" ref="N117">IFERROR(INDEX('Player Raw Data'!AA:AA,Match($A117,'Player Raw Data'!$B:$B,0)),"")</f>
        <v/>
      </c>
      <c r="O117" t="str">
        <f t="array" ref="O117">IFERROR(INDEX('Player Raw Data'!AB:AB,Match($A117,'Player Raw Data'!$B:$B,0)),"")</f>
        <v/>
      </c>
      <c r="P117" t="str">
        <f t="array" ref="P117">IFERROR(INDEX('Player Raw Data'!AD:AD,Match($A117,'Player Raw Data'!$B:$B,0)),"")</f>
        <v/>
      </c>
      <c r="Q117">
        <f t="shared" si="1"/>
        <v>0</v>
      </c>
      <c r="R117" s="9">
        <f t="shared" si="2"/>
        <v>0</v>
      </c>
      <c r="S117" s="14">
        <f t="shared" si="3"/>
        <v>0</v>
      </c>
      <c r="T117" s="15">
        <f>IFERROR(__xludf.DUMMYFUNCTION("IFERROR(PERCENTRANK.INC(FILTER(Q:Q,$F:$F&lt;&gt;""""),Q117)*100,"""")"),1.5)</f>
        <v>1.5</v>
      </c>
      <c r="U117" s="15">
        <f>IFERROR(__xludf.DUMMYFUNCTION("IFERROR(PERCENTRANK.INC(FILTER(R:R,$F:$F&lt;&gt;""""),R117)*100,"""")"),1.5)</f>
        <v>1.5</v>
      </c>
      <c r="V117" s="15">
        <f>IFERROR(__xludf.DUMMYFUNCTION("IFERROR(PERCENTRANK.INC(FILTER(S:S,$F:$F&lt;&gt;""""),S117)*100,"""")"),1.5)</f>
        <v>1.5</v>
      </c>
      <c r="W117" s="15" t="str">
        <f t="shared" si="4"/>
        <v/>
      </c>
      <c r="X117" s="16"/>
      <c r="Y117" s="9"/>
      <c r="Z117" s="9"/>
    </row>
    <row r="118">
      <c r="B118" t="str">
        <f t="array" ref="B118">IFERROR(INDEX('Player Raw Data'!E:E,Match($A118,'Player Raw Data'!$B:$B,0)),"")</f>
        <v/>
      </c>
      <c r="C118" t="str">
        <f t="array" ref="C118">IFERROR(INDEX('Player Raw Data'!C:C,Match($A118,'Player Raw Data'!$B:$B,0)),"")</f>
        <v/>
      </c>
      <c r="D118" t="str">
        <f t="array" ref="D118">IFERROR(IF(A118=A117, INDEX('Player Raw Data'!D:D,Match($A118,'Player Raw Data'!$B:$B,0)+2),INDEX('Player Raw Data'!D:D,Match($A118,'Player Raw Data'!$B:$B,0))),"")</f>
        <v/>
      </c>
      <c r="E118" t="str">
        <f t="array" ref="E118">IFERROR(INDEX('Player Raw Data'!F:F,Match($A118,'Player Raw Data'!$B:$B,0)),"")</f>
        <v/>
      </c>
      <c r="F118" t="str">
        <f t="array" ref="F118">IFERROR(INDEX('Player Raw Data'!H:H,Match($A118,'Player Raw Data'!$B:$B,0)),"")</f>
        <v/>
      </c>
      <c r="G118" t="str">
        <f t="array" ref="G118">IFERROR(INDEX('Player Raw Data'!I:I,Match($A118,'Player Raw Data'!$B:$B,0)),"")</f>
        <v/>
      </c>
      <c r="H118" t="str">
        <f t="array" ref="H118">IFERROR(INDEX('Player Raw Data'!J:J,Match($A118,'Player Raw Data'!$B:$B,0)),"")</f>
        <v/>
      </c>
      <c r="I118" t="str">
        <f t="array" ref="I118">IFERROR(INDEX('Player Raw Data'!S:S,Match($A118,'Player Raw Data'!$B:$B,0)),"")</f>
        <v/>
      </c>
      <c r="J118" t="str">
        <f t="array" ref="J118">IFERROR(INDEX('Player Raw Data'!T:T,Match($A118,'Player Raw Data'!$B:$B,0)),"")</f>
        <v/>
      </c>
      <c r="K118" t="str">
        <f t="array" ref="K118">IFERROR(INDEX('Player Raw Data'!X:X,Match($A118,'Player Raw Data'!$B:$B,0)),"")</f>
        <v/>
      </c>
      <c r="L118" t="str">
        <f t="array" ref="L118">IFERROR(INDEX('Player Raw Data'!Y:Y,Match($A118,'Player Raw Data'!$B:$B,0)),"")</f>
        <v/>
      </c>
      <c r="M118" t="str">
        <f t="array" ref="M118">IFERROR(INDEX('Player Raw Data'!Z:Z,Match($A118,'Player Raw Data'!$B:$B,0)),"")</f>
        <v/>
      </c>
      <c r="N118" t="str">
        <f t="array" ref="N118">IFERROR(INDEX('Player Raw Data'!AA:AA,Match($A118,'Player Raw Data'!$B:$B,0)),"")</f>
        <v/>
      </c>
      <c r="O118" t="str">
        <f t="array" ref="O118">IFERROR(INDEX('Player Raw Data'!AB:AB,Match($A118,'Player Raw Data'!$B:$B,0)),"")</f>
        <v/>
      </c>
      <c r="P118" t="str">
        <f t="array" ref="P118">IFERROR(INDEX('Player Raw Data'!AD:AD,Match($A118,'Player Raw Data'!$B:$B,0)),"")</f>
        <v/>
      </c>
      <c r="Q118">
        <f t="shared" si="1"/>
        <v>0</v>
      </c>
      <c r="R118" s="9">
        <f t="shared" si="2"/>
        <v>0</v>
      </c>
      <c r="S118" s="14">
        <f t="shared" si="3"/>
        <v>0</v>
      </c>
      <c r="T118" s="15">
        <f>IFERROR(__xludf.DUMMYFUNCTION("IFERROR(PERCENTRANK.INC(FILTER(Q:Q,$F:$F&lt;&gt;""""),Q118)*100,"""")"),1.5)</f>
        <v>1.5</v>
      </c>
      <c r="U118" s="15">
        <f>IFERROR(__xludf.DUMMYFUNCTION("IFERROR(PERCENTRANK.INC(FILTER(R:R,$F:$F&lt;&gt;""""),R118)*100,"""")"),1.5)</f>
        <v>1.5</v>
      </c>
      <c r="V118" s="15">
        <f>IFERROR(__xludf.DUMMYFUNCTION("IFERROR(PERCENTRANK.INC(FILTER(S:S,$F:$F&lt;&gt;""""),S118)*100,"""")"),1.5)</f>
        <v>1.5</v>
      </c>
      <c r="W118" s="15" t="str">
        <f t="shared" si="4"/>
        <v/>
      </c>
      <c r="X118" s="16"/>
      <c r="Y118" s="9"/>
      <c r="Z118" s="9"/>
    </row>
    <row r="119">
      <c r="B119" t="str">
        <f t="array" ref="B119">IFERROR(INDEX('Player Raw Data'!E:E,Match($A119,'Player Raw Data'!$B:$B,0)),"")</f>
        <v/>
      </c>
      <c r="C119" t="str">
        <f t="array" ref="C119">IFERROR(INDEX('Player Raw Data'!C:C,Match($A119,'Player Raw Data'!$B:$B,0)),"")</f>
        <v/>
      </c>
      <c r="D119" t="str">
        <f t="array" ref="D119">IFERROR(IF(A119=A118, INDEX('Player Raw Data'!D:D,Match($A119,'Player Raw Data'!$B:$B,0)+2),INDEX('Player Raw Data'!D:D,Match($A119,'Player Raw Data'!$B:$B,0))),"")</f>
        <v/>
      </c>
      <c r="E119" t="str">
        <f t="array" ref="E119">IFERROR(INDEX('Player Raw Data'!F:F,Match($A119,'Player Raw Data'!$B:$B,0)),"")</f>
        <v/>
      </c>
      <c r="F119" t="str">
        <f t="array" ref="F119">IFERROR(INDEX('Player Raw Data'!H:H,Match($A119,'Player Raw Data'!$B:$B,0)),"")</f>
        <v/>
      </c>
      <c r="G119" t="str">
        <f t="array" ref="G119">IFERROR(INDEX('Player Raw Data'!I:I,Match($A119,'Player Raw Data'!$B:$B,0)),"")</f>
        <v/>
      </c>
      <c r="H119" t="str">
        <f t="array" ref="H119">IFERROR(INDEX('Player Raw Data'!J:J,Match($A119,'Player Raw Data'!$B:$B,0)),"")</f>
        <v/>
      </c>
      <c r="I119" t="str">
        <f t="array" ref="I119">IFERROR(INDEX('Player Raw Data'!S:S,Match($A119,'Player Raw Data'!$B:$B,0)),"")</f>
        <v/>
      </c>
      <c r="J119" t="str">
        <f t="array" ref="J119">IFERROR(INDEX('Player Raw Data'!T:T,Match($A119,'Player Raw Data'!$B:$B,0)),"")</f>
        <v/>
      </c>
      <c r="K119" t="str">
        <f t="array" ref="K119">IFERROR(INDEX('Player Raw Data'!X:X,Match($A119,'Player Raw Data'!$B:$B,0)),"")</f>
        <v/>
      </c>
      <c r="L119" t="str">
        <f t="array" ref="L119">IFERROR(INDEX('Player Raw Data'!Y:Y,Match($A119,'Player Raw Data'!$B:$B,0)),"")</f>
        <v/>
      </c>
      <c r="M119" t="str">
        <f t="array" ref="M119">IFERROR(INDEX('Player Raw Data'!Z:Z,Match($A119,'Player Raw Data'!$B:$B,0)),"")</f>
        <v/>
      </c>
      <c r="N119" t="str">
        <f t="array" ref="N119">IFERROR(INDEX('Player Raw Data'!AA:AA,Match($A119,'Player Raw Data'!$B:$B,0)),"")</f>
        <v/>
      </c>
      <c r="O119" t="str">
        <f t="array" ref="O119">IFERROR(INDEX('Player Raw Data'!AB:AB,Match($A119,'Player Raw Data'!$B:$B,0)),"")</f>
        <v/>
      </c>
      <c r="P119" t="str">
        <f t="array" ref="P119">IFERROR(INDEX('Player Raw Data'!AD:AD,Match($A119,'Player Raw Data'!$B:$B,0)),"")</f>
        <v/>
      </c>
      <c r="Q119">
        <f t="shared" si="1"/>
        <v>0</v>
      </c>
      <c r="R119" s="9">
        <f t="shared" si="2"/>
        <v>0</v>
      </c>
      <c r="S119" s="14">
        <f t="shared" si="3"/>
        <v>0</v>
      </c>
      <c r="T119" s="15">
        <f>IFERROR(__xludf.DUMMYFUNCTION("IFERROR(PERCENTRANK.INC(FILTER(Q:Q,$F:$F&lt;&gt;""""),Q119)*100,"""")"),1.5)</f>
        <v>1.5</v>
      </c>
      <c r="U119" s="15">
        <f>IFERROR(__xludf.DUMMYFUNCTION("IFERROR(PERCENTRANK.INC(FILTER(R:R,$F:$F&lt;&gt;""""),R119)*100,"""")"),1.5)</f>
        <v>1.5</v>
      </c>
      <c r="V119" s="15">
        <f>IFERROR(__xludf.DUMMYFUNCTION("IFERROR(PERCENTRANK.INC(FILTER(S:S,$F:$F&lt;&gt;""""),S119)*100,"""")"),1.5)</f>
        <v>1.5</v>
      </c>
      <c r="W119" s="15" t="str">
        <f t="shared" si="4"/>
        <v/>
      </c>
      <c r="X119" s="16"/>
      <c r="Y119" s="9"/>
      <c r="Z119" s="9"/>
    </row>
    <row r="120">
      <c r="B120" t="str">
        <f t="array" ref="B120">IFERROR(INDEX('Player Raw Data'!E:E,Match($A120,'Player Raw Data'!$B:$B,0)),"")</f>
        <v/>
      </c>
      <c r="C120" t="str">
        <f t="array" ref="C120">IFERROR(INDEX('Player Raw Data'!C:C,Match($A120,'Player Raw Data'!$B:$B,0)),"")</f>
        <v/>
      </c>
      <c r="D120" t="str">
        <f t="array" ref="D120">IFERROR(IF(A120=A119, INDEX('Player Raw Data'!D:D,Match($A120,'Player Raw Data'!$B:$B,0)+2),INDEX('Player Raw Data'!D:D,Match($A120,'Player Raw Data'!$B:$B,0))),"")</f>
        <v/>
      </c>
      <c r="E120" t="str">
        <f t="array" ref="E120">IFERROR(INDEX('Player Raw Data'!F:F,Match($A120,'Player Raw Data'!$B:$B,0)),"")</f>
        <v/>
      </c>
      <c r="F120" t="str">
        <f t="array" ref="F120">IFERROR(INDEX('Player Raw Data'!H:H,Match($A120,'Player Raw Data'!$B:$B,0)),"")</f>
        <v/>
      </c>
      <c r="G120" t="str">
        <f t="array" ref="G120">IFERROR(INDEX('Player Raw Data'!I:I,Match($A120,'Player Raw Data'!$B:$B,0)),"")</f>
        <v/>
      </c>
      <c r="H120" t="str">
        <f t="array" ref="H120">IFERROR(INDEX('Player Raw Data'!J:J,Match($A120,'Player Raw Data'!$B:$B,0)),"")</f>
        <v/>
      </c>
      <c r="I120" t="str">
        <f t="array" ref="I120">IFERROR(INDEX('Player Raw Data'!S:S,Match($A120,'Player Raw Data'!$B:$B,0)),"")</f>
        <v/>
      </c>
      <c r="J120" t="str">
        <f t="array" ref="J120">IFERROR(INDEX('Player Raw Data'!T:T,Match($A120,'Player Raw Data'!$B:$B,0)),"")</f>
        <v/>
      </c>
      <c r="K120" t="str">
        <f t="array" ref="K120">IFERROR(INDEX('Player Raw Data'!X:X,Match($A120,'Player Raw Data'!$B:$B,0)),"")</f>
        <v/>
      </c>
      <c r="L120" t="str">
        <f t="array" ref="L120">IFERROR(INDEX('Player Raw Data'!Y:Y,Match($A120,'Player Raw Data'!$B:$B,0)),"")</f>
        <v/>
      </c>
      <c r="M120" t="str">
        <f t="array" ref="M120">IFERROR(INDEX('Player Raw Data'!Z:Z,Match($A120,'Player Raw Data'!$B:$B,0)),"")</f>
        <v/>
      </c>
      <c r="N120" t="str">
        <f t="array" ref="N120">IFERROR(INDEX('Player Raw Data'!AA:AA,Match($A120,'Player Raw Data'!$B:$B,0)),"")</f>
        <v/>
      </c>
      <c r="O120" t="str">
        <f t="array" ref="O120">IFERROR(INDEX('Player Raw Data'!AB:AB,Match($A120,'Player Raw Data'!$B:$B,0)),"")</f>
        <v/>
      </c>
      <c r="P120" t="str">
        <f t="array" ref="P120">IFERROR(INDEX('Player Raw Data'!AD:AD,Match($A120,'Player Raw Data'!$B:$B,0)),"")</f>
        <v/>
      </c>
      <c r="Q120">
        <f t="shared" si="1"/>
        <v>0</v>
      </c>
      <c r="R120" s="9">
        <f t="shared" si="2"/>
        <v>0</v>
      </c>
      <c r="S120" s="14">
        <f t="shared" si="3"/>
        <v>0</v>
      </c>
      <c r="T120" s="15">
        <f>IFERROR(__xludf.DUMMYFUNCTION("IFERROR(PERCENTRANK.INC(FILTER(Q:Q,$F:$F&lt;&gt;""""),Q120)*100,"""")"),1.5)</f>
        <v>1.5</v>
      </c>
      <c r="U120" s="15">
        <f>IFERROR(__xludf.DUMMYFUNCTION("IFERROR(PERCENTRANK.INC(FILTER(R:R,$F:$F&lt;&gt;""""),R120)*100,"""")"),1.5)</f>
        <v>1.5</v>
      </c>
      <c r="V120" s="15">
        <f>IFERROR(__xludf.DUMMYFUNCTION("IFERROR(PERCENTRANK.INC(FILTER(S:S,$F:$F&lt;&gt;""""),S120)*100,"""")"),1.5)</f>
        <v>1.5</v>
      </c>
      <c r="W120" s="15" t="str">
        <f t="shared" si="4"/>
        <v/>
      </c>
      <c r="X120" s="16"/>
      <c r="Y120" s="9"/>
      <c r="Z120" s="9"/>
    </row>
    <row r="121">
      <c r="B121" t="str">
        <f t="array" ref="B121">IFERROR(INDEX('Player Raw Data'!E:E,Match($A121,'Player Raw Data'!$B:$B,0)),"")</f>
        <v/>
      </c>
      <c r="C121" t="str">
        <f t="array" ref="C121">IFERROR(INDEX('Player Raw Data'!C:C,Match($A121,'Player Raw Data'!$B:$B,0)),"")</f>
        <v/>
      </c>
      <c r="D121" t="str">
        <f t="array" ref="D121">IFERROR(IF(A121=A120, INDEX('Player Raw Data'!D:D,Match($A121,'Player Raw Data'!$B:$B,0)+2),INDEX('Player Raw Data'!D:D,Match($A121,'Player Raw Data'!$B:$B,0))),"")</f>
        <v/>
      </c>
      <c r="E121" t="str">
        <f t="array" ref="E121">IFERROR(INDEX('Player Raw Data'!F:F,Match($A121,'Player Raw Data'!$B:$B,0)),"")</f>
        <v/>
      </c>
      <c r="F121" t="str">
        <f t="array" ref="F121">IFERROR(INDEX('Player Raw Data'!H:H,Match($A121,'Player Raw Data'!$B:$B,0)),"")</f>
        <v/>
      </c>
      <c r="G121" t="str">
        <f t="array" ref="G121">IFERROR(INDEX('Player Raw Data'!I:I,Match($A121,'Player Raw Data'!$B:$B,0)),"")</f>
        <v/>
      </c>
      <c r="H121" t="str">
        <f t="array" ref="H121">IFERROR(INDEX('Player Raw Data'!J:J,Match($A121,'Player Raw Data'!$B:$B,0)),"")</f>
        <v/>
      </c>
      <c r="I121" t="str">
        <f t="array" ref="I121">IFERROR(INDEX('Player Raw Data'!S:S,Match($A121,'Player Raw Data'!$B:$B,0)),"")</f>
        <v/>
      </c>
      <c r="J121" t="str">
        <f t="array" ref="J121">IFERROR(INDEX('Player Raw Data'!T:T,Match($A121,'Player Raw Data'!$B:$B,0)),"")</f>
        <v/>
      </c>
      <c r="K121" t="str">
        <f t="array" ref="K121">IFERROR(INDEX('Player Raw Data'!X:X,Match($A121,'Player Raw Data'!$B:$B,0)),"")</f>
        <v/>
      </c>
      <c r="L121" t="str">
        <f t="array" ref="L121">IFERROR(INDEX('Player Raw Data'!Y:Y,Match($A121,'Player Raw Data'!$B:$B,0)),"")</f>
        <v/>
      </c>
      <c r="M121" t="str">
        <f t="array" ref="M121">IFERROR(INDEX('Player Raw Data'!Z:Z,Match($A121,'Player Raw Data'!$B:$B,0)),"")</f>
        <v/>
      </c>
      <c r="N121" t="str">
        <f t="array" ref="N121">IFERROR(INDEX('Player Raw Data'!AA:AA,Match($A121,'Player Raw Data'!$B:$B,0)),"")</f>
        <v/>
      </c>
      <c r="O121" t="str">
        <f t="array" ref="O121">IFERROR(INDEX('Player Raw Data'!AB:AB,Match($A121,'Player Raw Data'!$B:$B,0)),"")</f>
        <v/>
      </c>
      <c r="P121" t="str">
        <f t="array" ref="P121">IFERROR(INDEX('Player Raw Data'!AD:AD,Match($A121,'Player Raw Data'!$B:$B,0)),"")</f>
        <v/>
      </c>
      <c r="Q121">
        <f t="shared" si="1"/>
        <v>0</v>
      </c>
      <c r="R121" s="9">
        <f t="shared" si="2"/>
        <v>0</v>
      </c>
      <c r="S121" s="14">
        <f t="shared" si="3"/>
        <v>0</v>
      </c>
      <c r="T121" s="15">
        <f>IFERROR(__xludf.DUMMYFUNCTION("IFERROR(PERCENTRANK.INC(FILTER(Q:Q,$F:$F&lt;&gt;""""),Q121)*100,"""")"),1.5)</f>
        <v>1.5</v>
      </c>
      <c r="U121" s="15">
        <f>IFERROR(__xludf.DUMMYFUNCTION("IFERROR(PERCENTRANK.INC(FILTER(R:R,$F:$F&lt;&gt;""""),R121)*100,"""")"),1.5)</f>
        <v>1.5</v>
      </c>
      <c r="V121" s="15">
        <f>IFERROR(__xludf.DUMMYFUNCTION("IFERROR(PERCENTRANK.INC(FILTER(S:S,$F:$F&lt;&gt;""""),S121)*100,"""")"),1.5)</f>
        <v>1.5</v>
      </c>
      <c r="W121" s="15" t="str">
        <f t="shared" si="4"/>
        <v/>
      </c>
      <c r="X121" s="16"/>
      <c r="Y121" s="9"/>
      <c r="Z121" s="9"/>
    </row>
    <row r="122">
      <c r="B122" t="str">
        <f t="array" ref="B122">IFERROR(INDEX('Player Raw Data'!E:E,Match($A122,'Player Raw Data'!$B:$B,0)),"")</f>
        <v/>
      </c>
      <c r="C122" t="str">
        <f t="array" ref="C122">IFERROR(INDEX('Player Raw Data'!C:C,Match($A122,'Player Raw Data'!$B:$B,0)),"")</f>
        <v/>
      </c>
      <c r="D122" t="str">
        <f t="array" ref="D122">IFERROR(IF(A122=A121, INDEX('Player Raw Data'!D:D,Match($A122,'Player Raw Data'!$B:$B,0)+2),INDEX('Player Raw Data'!D:D,Match($A122,'Player Raw Data'!$B:$B,0))),"")</f>
        <v/>
      </c>
      <c r="E122" t="str">
        <f t="array" ref="E122">IFERROR(INDEX('Player Raw Data'!F:F,Match($A122,'Player Raw Data'!$B:$B,0)),"")</f>
        <v/>
      </c>
      <c r="F122" t="str">
        <f t="array" ref="F122">IFERROR(INDEX('Player Raw Data'!H:H,Match($A122,'Player Raw Data'!$B:$B,0)),"")</f>
        <v/>
      </c>
      <c r="G122" t="str">
        <f t="array" ref="G122">IFERROR(INDEX('Player Raw Data'!I:I,Match($A122,'Player Raw Data'!$B:$B,0)),"")</f>
        <v/>
      </c>
      <c r="H122" t="str">
        <f t="array" ref="H122">IFERROR(INDEX('Player Raw Data'!J:J,Match($A122,'Player Raw Data'!$B:$B,0)),"")</f>
        <v/>
      </c>
      <c r="I122" t="str">
        <f t="array" ref="I122">IFERROR(INDEX('Player Raw Data'!S:S,Match($A122,'Player Raw Data'!$B:$B,0)),"")</f>
        <v/>
      </c>
      <c r="J122" t="str">
        <f t="array" ref="J122">IFERROR(INDEX('Player Raw Data'!T:T,Match($A122,'Player Raw Data'!$B:$B,0)),"")</f>
        <v/>
      </c>
      <c r="K122" t="str">
        <f t="array" ref="K122">IFERROR(INDEX('Player Raw Data'!X:X,Match($A122,'Player Raw Data'!$B:$B,0)),"")</f>
        <v/>
      </c>
      <c r="L122" t="str">
        <f t="array" ref="L122">IFERROR(INDEX('Player Raw Data'!Y:Y,Match($A122,'Player Raw Data'!$B:$B,0)),"")</f>
        <v/>
      </c>
      <c r="M122" t="str">
        <f t="array" ref="M122">IFERROR(INDEX('Player Raw Data'!Z:Z,Match($A122,'Player Raw Data'!$B:$B,0)),"")</f>
        <v/>
      </c>
      <c r="N122" t="str">
        <f t="array" ref="N122">IFERROR(INDEX('Player Raw Data'!AA:AA,Match($A122,'Player Raw Data'!$B:$B,0)),"")</f>
        <v/>
      </c>
      <c r="O122" t="str">
        <f t="array" ref="O122">IFERROR(INDEX('Player Raw Data'!AB:AB,Match($A122,'Player Raw Data'!$B:$B,0)),"")</f>
        <v/>
      </c>
      <c r="P122" t="str">
        <f t="array" ref="P122">IFERROR(INDEX('Player Raw Data'!AD:AD,Match($A122,'Player Raw Data'!$B:$B,0)),"")</f>
        <v/>
      </c>
      <c r="Q122">
        <f t="shared" si="1"/>
        <v>0</v>
      </c>
      <c r="R122" s="9">
        <f t="shared" si="2"/>
        <v>0</v>
      </c>
      <c r="S122" s="14">
        <f t="shared" si="3"/>
        <v>0</v>
      </c>
      <c r="T122" s="15">
        <f>IFERROR(__xludf.DUMMYFUNCTION("IFERROR(PERCENTRANK.INC(FILTER(Q:Q,$F:$F&lt;&gt;""""),Q122)*100,"""")"),1.5)</f>
        <v>1.5</v>
      </c>
      <c r="U122" s="15">
        <f>IFERROR(__xludf.DUMMYFUNCTION("IFERROR(PERCENTRANK.INC(FILTER(R:R,$F:$F&lt;&gt;""""),R122)*100,"""")"),1.5)</f>
        <v>1.5</v>
      </c>
      <c r="V122" s="15">
        <f>IFERROR(__xludf.DUMMYFUNCTION("IFERROR(PERCENTRANK.INC(FILTER(S:S,$F:$F&lt;&gt;""""),S122)*100,"""")"),1.5)</f>
        <v>1.5</v>
      </c>
      <c r="W122" s="15" t="str">
        <f t="shared" si="4"/>
        <v/>
      </c>
      <c r="X122" s="16"/>
      <c r="Y122" s="9"/>
      <c r="Z122" s="9"/>
    </row>
    <row r="123">
      <c r="B123" t="str">
        <f t="array" ref="B123">IFERROR(INDEX('Player Raw Data'!E:E,Match($A123,'Player Raw Data'!$B:$B,0)),"")</f>
        <v/>
      </c>
      <c r="C123" t="str">
        <f t="array" ref="C123">IFERROR(INDEX('Player Raw Data'!C:C,Match($A123,'Player Raw Data'!$B:$B,0)),"")</f>
        <v/>
      </c>
      <c r="D123" t="str">
        <f t="array" ref="D123">IFERROR(IF(A123=A122, INDEX('Player Raw Data'!D:D,Match($A123,'Player Raw Data'!$B:$B,0)+2),INDEX('Player Raw Data'!D:D,Match($A123,'Player Raw Data'!$B:$B,0))),"")</f>
        <v/>
      </c>
      <c r="E123" t="str">
        <f t="array" ref="E123">IFERROR(INDEX('Player Raw Data'!F:F,Match($A123,'Player Raw Data'!$B:$B,0)),"")</f>
        <v/>
      </c>
      <c r="F123" t="str">
        <f t="array" ref="F123">IFERROR(INDEX('Player Raw Data'!H:H,Match($A123,'Player Raw Data'!$B:$B,0)),"")</f>
        <v/>
      </c>
      <c r="G123" t="str">
        <f t="array" ref="G123">IFERROR(INDEX('Player Raw Data'!I:I,Match($A123,'Player Raw Data'!$B:$B,0)),"")</f>
        <v/>
      </c>
      <c r="H123" t="str">
        <f t="array" ref="H123">IFERROR(INDEX('Player Raw Data'!J:J,Match($A123,'Player Raw Data'!$B:$B,0)),"")</f>
        <v/>
      </c>
      <c r="I123" t="str">
        <f t="array" ref="I123">IFERROR(INDEX('Player Raw Data'!S:S,Match($A123,'Player Raw Data'!$B:$B,0)),"")</f>
        <v/>
      </c>
      <c r="J123" t="str">
        <f t="array" ref="J123">IFERROR(INDEX('Player Raw Data'!T:T,Match($A123,'Player Raw Data'!$B:$B,0)),"")</f>
        <v/>
      </c>
      <c r="K123" t="str">
        <f t="array" ref="K123">IFERROR(INDEX('Player Raw Data'!X:X,Match($A123,'Player Raw Data'!$B:$B,0)),"")</f>
        <v/>
      </c>
      <c r="L123" t="str">
        <f t="array" ref="L123">IFERROR(INDEX('Player Raw Data'!Y:Y,Match($A123,'Player Raw Data'!$B:$B,0)),"")</f>
        <v/>
      </c>
      <c r="M123" t="str">
        <f t="array" ref="M123">IFERROR(INDEX('Player Raw Data'!Z:Z,Match($A123,'Player Raw Data'!$B:$B,0)),"")</f>
        <v/>
      </c>
      <c r="N123" t="str">
        <f t="array" ref="N123">IFERROR(INDEX('Player Raw Data'!AA:AA,Match($A123,'Player Raw Data'!$B:$B,0)),"")</f>
        <v/>
      </c>
      <c r="O123" t="str">
        <f t="array" ref="O123">IFERROR(INDEX('Player Raw Data'!AB:AB,Match($A123,'Player Raw Data'!$B:$B,0)),"")</f>
        <v/>
      </c>
      <c r="P123" t="str">
        <f t="array" ref="P123">IFERROR(INDEX('Player Raw Data'!AD:AD,Match($A123,'Player Raw Data'!$B:$B,0)),"")</f>
        <v/>
      </c>
      <c r="Q123">
        <f t="shared" si="1"/>
        <v>0</v>
      </c>
      <c r="R123" s="9">
        <f t="shared" si="2"/>
        <v>0</v>
      </c>
      <c r="S123" s="14">
        <f t="shared" si="3"/>
        <v>0</v>
      </c>
      <c r="T123" s="15">
        <f>IFERROR(__xludf.DUMMYFUNCTION("IFERROR(PERCENTRANK.INC(FILTER(Q:Q,$F:$F&lt;&gt;""""),Q123)*100,"""")"),1.5)</f>
        <v>1.5</v>
      </c>
      <c r="U123" s="15">
        <f>IFERROR(__xludf.DUMMYFUNCTION("IFERROR(PERCENTRANK.INC(FILTER(R:R,$F:$F&lt;&gt;""""),R123)*100,"""")"),1.5)</f>
        <v>1.5</v>
      </c>
      <c r="V123" s="15">
        <f>IFERROR(__xludf.DUMMYFUNCTION("IFERROR(PERCENTRANK.INC(FILTER(S:S,$F:$F&lt;&gt;""""),S123)*100,"""")"),1.5)</f>
        <v>1.5</v>
      </c>
      <c r="W123" s="15" t="str">
        <f t="shared" si="4"/>
        <v/>
      </c>
      <c r="X123" s="16"/>
      <c r="Y123" s="9"/>
      <c r="Z123" s="9"/>
    </row>
    <row r="124">
      <c r="B124" t="str">
        <f t="array" ref="B124">IFERROR(INDEX('Player Raw Data'!E:E,Match($A124,'Player Raw Data'!$B:$B,0)),"")</f>
        <v/>
      </c>
      <c r="C124" t="str">
        <f t="array" ref="C124">IFERROR(INDEX('Player Raw Data'!C:C,Match($A124,'Player Raw Data'!$B:$B,0)),"")</f>
        <v/>
      </c>
      <c r="D124" t="str">
        <f t="array" ref="D124">IFERROR(IF(A124=A123, INDEX('Player Raw Data'!D:D,Match($A124,'Player Raw Data'!$B:$B,0)+2),INDEX('Player Raw Data'!D:D,Match($A124,'Player Raw Data'!$B:$B,0))),"")</f>
        <v/>
      </c>
      <c r="E124" t="str">
        <f t="array" ref="E124">IFERROR(INDEX('Player Raw Data'!F:F,Match($A124,'Player Raw Data'!$B:$B,0)),"")</f>
        <v/>
      </c>
      <c r="F124" t="str">
        <f t="array" ref="F124">IFERROR(INDEX('Player Raw Data'!H:H,Match($A124,'Player Raw Data'!$B:$B,0)),"")</f>
        <v/>
      </c>
      <c r="G124" t="str">
        <f t="array" ref="G124">IFERROR(INDEX('Player Raw Data'!I:I,Match($A124,'Player Raw Data'!$B:$B,0)),"")</f>
        <v/>
      </c>
      <c r="H124" t="str">
        <f t="array" ref="H124">IFERROR(INDEX('Player Raw Data'!J:J,Match($A124,'Player Raw Data'!$B:$B,0)),"")</f>
        <v/>
      </c>
      <c r="I124" t="str">
        <f t="array" ref="I124">IFERROR(INDEX('Player Raw Data'!S:S,Match($A124,'Player Raw Data'!$B:$B,0)),"")</f>
        <v/>
      </c>
      <c r="J124" t="str">
        <f t="array" ref="J124">IFERROR(INDEX('Player Raw Data'!T:T,Match($A124,'Player Raw Data'!$B:$B,0)),"")</f>
        <v/>
      </c>
      <c r="K124" t="str">
        <f t="array" ref="K124">IFERROR(INDEX('Player Raw Data'!X:X,Match($A124,'Player Raw Data'!$B:$B,0)),"")</f>
        <v/>
      </c>
      <c r="L124" t="str">
        <f t="array" ref="L124">IFERROR(INDEX('Player Raw Data'!Y:Y,Match($A124,'Player Raw Data'!$B:$B,0)),"")</f>
        <v/>
      </c>
      <c r="M124" t="str">
        <f t="array" ref="M124">IFERROR(INDEX('Player Raw Data'!Z:Z,Match($A124,'Player Raw Data'!$B:$B,0)),"")</f>
        <v/>
      </c>
      <c r="N124" t="str">
        <f t="array" ref="N124">IFERROR(INDEX('Player Raw Data'!AA:AA,Match($A124,'Player Raw Data'!$B:$B,0)),"")</f>
        <v/>
      </c>
      <c r="O124" t="str">
        <f t="array" ref="O124">IFERROR(INDEX('Player Raw Data'!AB:AB,Match($A124,'Player Raw Data'!$B:$B,0)),"")</f>
        <v/>
      </c>
      <c r="P124" t="str">
        <f t="array" ref="P124">IFERROR(INDEX('Player Raw Data'!AD:AD,Match($A124,'Player Raw Data'!$B:$B,0)),"")</f>
        <v/>
      </c>
      <c r="Q124">
        <f t="shared" si="1"/>
        <v>0</v>
      </c>
      <c r="R124" s="9">
        <f t="shared" si="2"/>
        <v>0</v>
      </c>
      <c r="S124" s="14">
        <f t="shared" si="3"/>
        <v>0</v>
      </c>
      <c r="T124" s="15">
        <f>IFERROR(__xludf.DUMMYFUNCTION("IFERROR(PERCENTRANK.INC(FILTER(Q:Q,$F:$F&lt;&gt;""""),Q124)*100,"""")"),1.5)</f>
        <v>1.5</v>
      </c>
      <c r="U124" s="15">
        <f>IFERROR(__xludf.DUMMYFUNCTION("IFERROR(PERCENTRANK.INC(FILTER(R:R,$F:$F&lt;&gt;""""),R124)*100,"""")"),1.5)</f>
        <v>1.5</v>
      </c>
      <c r="V124" s="15">
        <f>IFERROR(__xludf.DUMMYFUNCTION("IFERROR(PERCENTRANK.INC(FILTER(S:S,$F:$F&lt;&gt;""""),S124)*100,"""")"),1.5)</f>
        <v>1.5</v>
      </c>
      <c r="W124" s="15" t="str">
        <f t="shared" si="4"/>
        <v/>
      </c>
      <c r="X124" s="16"/>
      <c r="Y124" s="9"/>
      <c r="Z124" s="9"/>
    </row>
    <row r="125">
      <c r="B125" t="str">
        <f t="array" ref="B125">IFERROR(INDEX('Player Raw Data'!E:E,Match($A125,'Player Raw Data'!$B:$B,0)),"")</f>
        <v/>
      </c>
      <c r="C125" t="str">
        <f t="array" ref="C125">IFERROR(INDEX('Player Raw Data'!C:C,Match($A125,'Player Raw Data'!$B:$B,0)),"")</f>
        <v/>
      </c>
      <c r="D125" t="str">
        <f t="array" ref="D125">IFERROR(IF(A125=A124, INDEX('Player Raw Data'!D:D,Match($A125,'Player Raw Data'!$B:$B,0)+2),INDEX('Player Raw Data'!D:D,Match($A125,'Player Raw Data'!$B:$B,0))),"")</f>
        <v/>
      </c>
      <c r="E125" t="str">
        <f t="array" ref="E125">IFERROR(INDEX('Player Raw Data'!F:F,Match($A125,'Player Raw Data'!$B:$B,0)),"")</f>
        <v/>
      </c>
      <c r="F125" t="str">
        <f t="array" ref="F125">IFERROR(INDEX('Player Raw Data'!H:H,Match($A125,'Player Raw Data'!$B:$B,0)),"")</f>
        <v/>
      </c>
      <c r="G125" t="str">
        <f t="array" ref="G125">IFERROR(INDEX('Player Raw Data'!I:I,Match($A125,'Player Raw Data'!$B:$B,0)),"")</f>
        <v/>
      </c>
      <c r="H125" t="str">
        <f t="array" ref="H125">IFERROR(INDEX('Player Raw Data'!J:J,Match($A125,'Player Raw Data'!$B:$B,0)),"")</f>
        <v/>
      </c>
      <c r="I125" t="str">
        <f t="array" ref="I125">IFERROR(INDEX('Player Raw Data'!S:S,Match($A125,'Player Raw Data'!$B:$B,0)),"")</f>
        <v/>
      </c>
      <c r="J125" t="str">
        <f t="array" ref="J125">IFERROR(INDEX('Player Raw Data'!T:T,Match($A125,'Player Raw Data'!$B:$B,0)),"")</f>
        <v/>
      </c>
      <c r="K125" t="str">
        <f t="array" ref="K125">IFERROR(INDEX('Player Raw Data'!X:X,Match($A125,'Player Raw Data'!$B:$B,0)),"")</f>
        <v/>
      </c>
      <c r="L125" t="str">
        <f t="array" ref="L125">IFERROR(INDEX('Player Raw Data'!Y:Y,Match($A125,'Player Raw Data'!$B:$B,0)),"")</f>
        <v/>
      </c>
      <c r="M125" t="str">
        <f t="array" ref="M125">IFERROR(INDEX('Player Raw Data'!Z:Z,Match($A125,'Player Raw Data'!$B:$B,0)),"")</f>
        <v/>
      </c>
      <c r="N125" t="str">
        <f t="array" ref="N125">IFERROR(INDEX('Player Raw Data'!AA:AA,Match($A125,'Player Raw Data'!$B:$B,0)),"")</f>
        <v/>
      </c>
      <c r="O125" t="str">
        <f t="array" ref="O125">IFERROR(INDEX('Player Raw Data'!AB:AB,Match($A125,'Player Raw Data'!$B:$B,0)),"")</f>
        <v/>
      </c>
      <c r="P125" t="str">
        <f t="array" ref="P125">IFERROR(INDEX('Player Raw Data'!AD:AD,Match($A125,'Player Raw Data'!$B:$B,0)),"")</f>
        <v/>
      </c>
      <c r="Q125">
        <f t="shared" si="1"/>
        <v>0</v>
      </c>
      <c r="R125" s="9">
        <f t="shared" si="2"/>
        <v>0</v>
      </c>
      <c r="S125" s="14">
        <f t="shared" si="3"/>
        <v>0</v>
      </c>
      <c r="T125" s="15">
        <f>IFERROR(__xludf.DUMMYFUNCTION("IFERROR(PERCENTRANK.INC(FILTER(Q:Q,$F:$F&lt;&gt;""""),Q125)*100,"""")"),1.5)</f>
        <v>1.5</v>
      </c>
      <c r="U125" s="15">
        <f>IFERROR(__xludf.DUMMYFUNCTION("IFERROR(PERCENTRANK.INC(FILTER(R:R,$F:$F&lt;&gt;""""),R125)*100,"""")"),1.5)</f>
        <v>1.5</v>
      </c>
      <c r="V125" s="15">
        <f>IFERROR(__xludf.DUMMYFUNCTION("IFERROR(PERCENTRANK.INC(FILTER(S:S,$F:$F&lt;&gt;""""),S125)*100,"""")"),1.5)</f>
        <v>1.5</v>
      </c>
      <c r="W125" s="15" t="str">
        <f t="shared" si="4"/>
        <v/>
      </c>
      <c r="X125" s="16"/>
      <c r="Y125" s="9"/>
      <c r="Z125" s="9"/>
    </row>
    <row r="126">
      <c r="B126" t="str">
        <f t="array" ref="B126">IFERROR(INDEX('Player Raw Data'!E:E,Match($A126,'Player Raw Data'!$B:$B,0)),"")</f>
        <v/>
      </c>
      <c r="C126" t="str">
        <f t="array" ref="C126">IFERROR(INDEX('Player Raw Data'!C:C,Match($A126,'Player Raw Data'!$B:$B,0)),"")</f>
        <v/>
      </c>
      <c r="D126" t="str">
        <f t="array" ref="D126">IFERROR(IF(A126=A125, INDEX('Player Raw Data'!D:D,Match($A126,'Player Raw Data'!$B:$B,0)+2),INDEX('Player Raw Data'!D:D,Match($A126,'Player Raw Data'!$B:$B,0))),"")</f>
        <v/>
      </c>
      <c r="E126" t="str">
        <f t="array" ref="E126">IFERROR(INDEX('Player Raw Data'!F:F,Match($A126,'Player Raw Data'!$B:$B,0)),"")</f>
        <v/>
      </c>
      <c r="F126" t="str">
        <f t="array" ref="F126">IFERROR(INDEX('Player Raw Data'!H:H,Match($A126,'Player Raw Data'!$B:$B,0)),"")</f>
        <v/>
      </c>
      <c r="G126" t="str">
        <f t="array" ref="G126">IFERROR(INDEX('Player Raw Data'!I:I,Match($A126,'Player Raw Data'!$B:$B,0)),"")</f>
        <v/>
      </c>
      <c r="H126" t="str">
        <f t="array" ref="H126">IFERROR(INDEX('Player Raw Data'!J:J,Match($A126,'Player Raw Data'!$B:$B,0)),"")</f>
        <v/>
      </c>
      <c r="I126" t="str">
        <f t="array" ref="I126">IFERROR(INDEX('Player Raw Data'!S:S,Match($A126,'Player Raw Data'!$B:$B,0)),"")</f>
        <v/>
      </c>
      <c r="J126" t="str">
        <f t="array" ref="J126">IFERROR(INDEX('Player Raw Data'!T:T,Match($A126,'Player Raw Data'!$B:$B,0)),"")</f>
        <v/>
      </c>
      <c r="K126" t="str">
        <f t="array" ref="K126">IFERROR(INDEX('Player Raw Data'!X:X,Match($A126,'Player Raw Data'!$B:$B,0)),"")</f>
        <v/>
      </c>
      <c r="L126" t="str">
        <f t="array" ref="L126">IFERROR(INDEX('Player Raw Data'!Y:Y,Match($A126,'Player Raw Data'!$B:$B,0)),"")</f>
        <v/>
      </c>
      <c r="M126" t="str">
        <f t="array" ref="M126">IFERROR(INDEX('Player Raw Data'!Z:Z,Match($A126,'Player Raw Data'!$B:$B,0)),"")</f>
        <v/>
      </c>
      <c r="N126" t="str">
        <f t="array" ref="N126">IFERROR(INDEX('Player Raw Data'!AA:AA,Match($A126,'Player Raw Data'!$B:$B,0)),"")</f>
        <v/>
      </c>
      <c r="O126" t="str">
        <f t="array" ref="O126">IFERROR(INDEX('Player Raw Data'!AB:AB,Match($A126,'Player Raw Data'!$B:$B,0)),"")</f>
        <v/>
      </c>
      <c r="P126" t="str">
        <f t="array" ref="P126">IFERROR(INDEX('Player Raw Data'!AD:AD,Match($A126,'Player Raw Data'!$B:$B,0)),"")</f>
        <v/>
      </c>
      <c r="Q126">
        <f t="shared" si="1"/>
        <v>0</v>
      </c>
      <c r="R126" s="9">
        <f t="shared" si="2"/>
        <v>0</v>
      </c>
      <c r="S126" s="14">
        <f t="shared" si="3"/>
        <v>0</v>
      </c>
      <c r="T126" s="15">
        <f>IFERROR(__xludf.DUMMYFUNCTION("IFERROR(PERCENTRANK.INC(FILTER(Q:Q,$F:$F&lt;&gt;""""),Q126)*100,"""")"),1.5)</f>
        <v>1.5</v>
      </c>
      <c r="U126" s="15">
        <f>IFERROR(__xludf.DUMMYFUNCTION("IFERROR(PERCENTRANK.INC(FILTER(R:R,$F:$F&lt;&gt;""""),R126)*100,"""")"),1.5)</f>
        <v>1.5</v>
      </c>
      <c r="V126" s="15">
        <f>IFERROR(__xludf.DUMMYFUNCTION("IFERROR(PERCENTRANK.INC(FILTER(S:S,$F:$F&lt;&gt;""""),S126)*100,"""")"),1.5)</f>
        <v>1.5</v>
      </c>
      <c r="W126" s="15" t="str">
        <f t="shared" si="4"/>
        <v/>
      </c>
      <c r="X126" s="16"/>
      <c r="Y126" s="9"/>
      <c r="Z126" s="9"/>
    </row>
    <row r="127">
      <c r="B127" t="str">
        <f t="array" ref="B127">IFERROR(INDEX('Player Raw Data'!E:E,Match($A127,'Player Raw Data'!$B:$B,0)),"")</f>
        <v/>
      </c>
      <c r="C127" t="str">
        <f t="array" ref="C127">IFERROR(INDEX('Player Raw Data'!C:C,Match($A127,'Player Raw Data'!$B:$B,0)),"")</f>
        <v/>
      </c>
      <c r="D127" t="str">
        <f t="array" ref="D127">IFERROR(IF(A127=A126, INDEX('Player Raw Data'!D:D,Match($A127,'Player Raw Data'!$B:$B,0)+2),INDEX('Player Raw Data'!D:D,Match($A127,'Player Raw Data'!$B:$B,0))),"")</f>
        <v/>
      </c>
      <c r="E127" t="str">
        <f t="array" ref="E127">IFERROR(INDEX('Player Raw Data'!F:F,Match($A127,'Player Raw Data'!$B:$B,0)),"")</f>
        <v/>
      </c>
      <c r="F127" t="str">
        <f t="array" ref="F127">IFERROR(INDEX('Player Raw Data'!H:H,Match($A127,'Player Raw Data'!$B:$B,0)),"")</f>
        <v/>
      </c>
      <c r="G127" t="str">
        <f t="array" ref="G127">IFERROR(INDEX('Player Raw Data'!I:I,Match($A127,'Player Raw Data'!$B:$B,0)),"")</f>
        <v/>
      </c>
      <c r="H127" t="str">
        <f t="array" ref="H127">IFERROR(INDEX('Player Raw Data'!J:J,Match($A127,'Player Raw Data'!$B:$B,0)),"")</f>
        <v/>
      </c>
      <c r="I127" t="str">
        <f t="array" ref="I127">IFERROR(INDEX('Player Raw Data'!S:S,Match($A127,'Player Raw Data'!$B:$B,0)),"")</f>
        <v/>
      </c>
      <c r="J127" t="str">
        <f t="array" ref="J127">IFERROR(INDEX('Player Raw Data'!T:T,Match($A127,'Player Raw Data'!$B:$B,0)),"")</f>
        <v/>
      </c>
      <c r="K127" t="str">
        <f t="array" ref="K127">IFERROR(INDEX('Player Raw Data'!X:X,Match($A127,'Player Raw Data'!$B:$B,0)),"")</f>
        <v/>
      </c>
      <c r="L127" t="str">
        <f t="array" ref="L127">IFERROR(INDEX('Player Raw Data'!Y:Y,Match($A127,'Player Raw Data'!$B:$B,0)),"")</f>
        <v/>
      </c>
      <c r="M127" t="str">
        <f t="array" ref="M127">IFERROR(INDEX('Player Raw Data'!Z:Z,Match($A127,'Player Raw Data'!$B:$B,0)),"")</f>
        <v/>
      </c>
      <c r="N127" t="str">
        <f t="array" ref="N127">IFERROR(INDEX('Player Raw Data'!AA:AA,Match($A127,'Player Raw Data'!$B:$B,0)),"")</f>
        <v/>
      </c>
      <c r="O127" t="str">
        <f t="array" ref="O127">IFERROR(INDEX('Player Raw Data'!AB:AB,Match($A127,'Player Raw Data'!$B:$B,0)),"")</f>
        <v/>
      </c>
      <c r="P127" t="str">
        <f t="array" ref="P127">IFERROR(INDEX('Player Raw Data'!AD:AD,Match($A127,'Player Raw Data'!$B:$B,0)),"")</f>
        <v/>
      </c>
      <c r="Q127">
        <f t="shared" si="1"/>
        <v>0</v>
      </c>
      <c r="R127" s="9">
        <f t="shared" si="2"/>
        <v>0</v>
      </c>
      <c r="S127" s="14">
        <f t="shared" si="3"/>
        <v>0</v>
      </c>
      <c r="T127" s="15">
        <f>IFERROR(__xludf.DUMMYFUNCTION("IFERROR(PERCENTRANK.INC(FILTER(Q:Q,$F:$F&lt;&gt;""""),Q127)*100,"""")"),1.5)</f>
        <v>1.5</v>
      </c>
      <c r="U127" s="15">
        <f>IFERROR(__xludf.DUMMYFUNCTION("IFERROR(PERCENTRANK.INC(FILTER(R:R,$F:$F&lt;&gt;""""),R127)*100,"""")"),1.5)</f>
        <v>1.5</v>
      </c>
      <c r="V127" s="15">
        <f>IFERROR(__xludf.DUMMYFUNCTION("IFERROR(PERCENTRANK.INC(FILTER(S:S,$F:$F&lt;&gt;""""),S127)*100,"""")"),1.5)</f>
        <v>1.5</v>
      </c>
      <c r="W127" s="15" t="str">
        <f t="shared" si="4"/>
        <v/>
      </c>
      <c r="X127" s="16"/>
      <c r="Y127" s="9"/>
      <c r="Z127" s="9"/>
    </row>
    <row r="128">
      <c r="B128" t="str">
        <f t="array" ref="B128">IFERROR(INDEX('Player Raw Data'!E:E,Match($A128,'Player Raw Data'!$B:$B,0)),"")</f>
        <v/>
      </c>
      <c r="C128" t="str">
        <f t="array" ref="C128">IFERROR(INDEX('Player Raw Data'!C:C,Match($A128,'Player Raw Data'!$B:$B,0)),"")</f>
        <v/>
      </c>
      <c r="D128" t="str">
        <f t="array" ref="D128">IFERROR(IF(A128=A127, INDEX('Player Raw Data'!D:D,Match($A128,'Player Raw Data'!$B:$B,0)+2),INDEX('Player Raw Data'!D:D,Match($A128,'Player Raw Data'!$B:$B,0))),"")</f>
        <v/>
      </c>
      <c r="E128" t="str">
        <f t="array" ref="E128">IFERROR(INDEX('Player Raw Data'!F:F,Match($A128,'Player Raw Data'!$B:$B,0)),"")</f>
        <v/>
      </c>
      <c r="F128" t="str">
        <f t="array" ref="F128">IFERROR(INDEX('Player Raw Data'!H:H,Match($A128,'Player Raw Data'!$B:$B,0)),"")</f>
        <v/>
      </c>
      <c r="G128" t="str">
        <f t="array" ref="G128">IFERROR(INDEX('Player Raw Data'!I:I,Match($A128,'Player Raw Data'!$B:$B,0)),"")</f>
        <v/>
      </c>
      <c r="H128" t="str">
        <f t="array" ref="H128">IFERROR(INDEX('Player Raw Data'!J:J,Match($A128,'Player Raw Data'!$B:$B,0)),"")</f>
        <v/>
      </c>
      <c r="I128" t="str">
        <f t="array" ref="I128">IFERROR(INDEX('Player Raw Data'!S:S,Match($A128,'Player Raw Data'!$B:$B,0)),"")</f>
        <v/>
      </c>
      <c r="J128" t="str">
        <f t="array" ref="J128">IFERROR(INDEX('Player Raw Data'!T:T,Match($A128,'Player Raw Data'!$B:$B,0)),"")</f>
        <v/>
      </c>
      <c r="K128" t="str">
        <f t="array" ref="K128">IFERROR(INDEX('Player Raw Data'!X:X,Match($A128,'Player Raw Data'!$B:$B,0)),"")</f>
        <v/>
      </c>
      <c r="L128" t="str">
        <f t="array" ref="L128">IFERROR(INDEX('Player Raw Data'!Y:Y,Match($A128,'Player Raw Data'!$B:$B,0)),"")</f>
        <v/>
      </c>
      <c r="M128" t="str">
        <f t="array" ref="M128">IFERROR(INDEX('Player Raw Data'!Z:Z,Match($A128,'Player Raw Data'!$B:$B,0)),"")</f>
        <v/>
      </c>
      <c r="N128" t="str">
        <f t="array" ref="N128">IFERROR(INDEX('Player Raw Data'!AA:AA,Match($A128,'Player Raw Data'!$B:$B,0)),"")</f>
        <v/>
      </c>
      <c r="O128" t="str">
        <f t="array" ref="O128">IFERROR(INDEX('Player Raw Data'!AB:AB,Match($A128,'Player Raw Data'!$B:$B,0)),"")</f>
        <v/>
      </c>
      <c r="P128" t="str">
        <f t="array" ref="P128">IFERROR(INDEX('Player Raw Data'!AD:AD,Match($A128,'Player Raw Data'!$B:$B,0)),"")</f>
        <v/>
      </c>
      <c r="Q128">
        <f t="shared" si="1"/>
        <v>0</v>
      </c>
      <c r="R128" s="9">
        <f t="shared" si="2"/>
        <v>0</v>
      </c>
      <c r="S128" s="14">
        <f t="shared" si="3"/>
        <v>0</v>
      </c>
      <c r="T128" s="15">
        <f>IFERROR(__xludf.DUMMYFUNCTION("IFERROR(PERCENTRANK.INC(FILTER(Q:Q,$F:$F&lt;&gt;""""),Q128)*100,"""")"),1.5)</f>
        <v>1.5</v>
      </c>
      <c r="U128" s="15">
        <f>IFERROR(__xludf.DUMMYFUNCTION("IFERROR(PERCENTRANK.INC(FILTER(R:R,$F:$F&lt;&gt;""""),R128)*100,"""")"),1.5)</f>
        <v>1.5</v>
      </c>
      <c r="V128" s="15">
        <f>IFERROR(__xludf.DUMMYFUNCTION("IFERROR(PERCENTRANK.INC(FILTER(S:S,$F:$F&lt;&gt;""""),S128)*100,"""")"),1.5)</f>
        <v>1.5</v>
      </c>
      <c r="W128" s="15" t="str">
        <f t="shared" si="4"/>
        <v/>
      </c>
      <c r="X128" s="16"/>
      <c r="Y128" s="9"/>
      <c r="Z128" s="9"/>
    </row>
    <row r="129">
      <c r="B129" t="str">
        <f t="array" ref="B129">IFERROR(INDEX('Player Raw Data'!E:E,Match($A129,'Player Raw Data'!$B:$B,0)),"")</f>
        <v/>
      </c>
      <c r="C129" t="str">
        <f t="array" ref="C129">IFERROR(INDEX('Player Raw Data'!C:C,Match($A129,'Player Raw Data'!$B:$B,0)),"")</f>
        <v/>
      </c>
      <c r="D129" t="str">
        <f t="array" ref="D129">IFERROR(IF(A129=A128, INDEX('Player Raw Data'!D:D,Match($A129,'Player Raw Data'!$B:$B,0)+2),INDEX('Player Raw Data'!D:D,Match($A129,'Player Raw Data'!$B:$B,0))),"")</f>
        <v/>
      </c>
      <c r="E129" t="str">
        <f t="array" ref="E129">IFERROR(INDEX('Player Raw Data'!F:F,Match($A129,'Player Raw Data'!$B:$B,0)),"")</f>
        <v/>
      </c>
      <c r="F129" t="str">
        <f t="array" ref="F129">IFERROR(INDEX('Player Raw Data'!H:H,Match($A129,'Player Raw Data'!$B:$B,0)),"")</f>
        <v/>
      </c>
      <c r="G129" t="str">
        <f t="array" ref="G129">IFERROR(INDEX('Player Raw Data'!I:I,Match($A129,'Player Raw Data'!$B:$B,0)),"")</f>
        <v/>
      </c>
      <c r="H129" t="str">
        <f t="array" ref="H129">IFERROR(INDEX('Player Raw Data'!J:J,Match($A129,'Player Raw Data'!$B:$B,0)),"")</f>
        <v/>
      </c>
      <c r="I129" t="str">
        <f t="array" ref="I129">IFERROR(INDEX('Player Raw Data'!S:S,Match($A129,'Player Raw Data'!$B:$B,0)),"")</f>
        <v/>
      </c>
      <c r="J129" t="str">
        <f t="array" ref="J129">IFERROR(INDEX('Player Raw Data'!T:T,Match($A129,'Player Raw Data'!$B:$B,0)),"")</f>
        <v/>
      </c>
      <c r="K129" t="str">
        <f t="array" ref="K129">IFERROR(INDEX('Player Raw Data'!X:X,Match($A129,'Player Raw Data'!$B:$B,0)),"")</f>
        <v/>
      </c>
      <c r="L129" t="str">
        <f t="array" ref="L129">IFERROR(INDEX('Player Raw Data'!Y:Y,Match($A129,'Player Raw Data'!$B:$B,0)),"")</f>
        <v/>
      </c>
      <c r="M129" t="str">
        <f t="array" ref="M129">IFERROR(INDEX('Player Raw Data'!Z:Z,Match($A129,'Player Raw Data'!$B:$B,0)),"")</f>
        <v/>
      </c>
      <c r="N129" t="str">
        <f t="array" ref="N129">IFERROR(INDEX('Player Raw Data'!AA:AA,Match($A129,'Player Raw Data'!$B:$B,0)),"")</f>
        <v/>
      </c>
      <c r="O129" t="str">
        <f t="array" ref="O129">IFERROR(INDEX('Player Raw Data'!AB:AB,Match($A129,'Player Raw Data'!$B:$B,0)),"")</f>
        <v/>
      </c>
      <c r="P129" t="str">
        <f t="array" ref="P129">IFERROR(INDEX('Player Raw Data'!AD:AD,Match($A129,'Player Raw Data'!$B:$B,0)),"")</f>
        <v/>
      </c>
      <c r="Q129">
        <f t="shared" si="1"/>
        <v>0</v>
      </c>
      <c r="R129" s="9">
        <f t="shared" si="2"/>
        <v>0</v>
      </c>
      <c r="S129" s="14">
        <f t="shared" si="3"/>
        <v>0</v>
      </c>
      <c r="T129" s="15">
        <f>IFERROR(__xludf.DUMMYFUNCTION("IFERROR(PERCENTRANK.INC(FILTER(Q:Q,$F:$F&lt;&gt;""""),Q129)*100,"""")"),1.5)</f>
        <v>1.5</v>
      </c>
      <c r="U129" s="15">
        <f>IFERROR(__xludf.DUMMYFUNCTION("IFERROR(PERCENTRANK.INC(FILTER(R:R,$F:$F&lt;&gt;""""),R129)*100,"""")"),1.5)</f>
        <v>1.5</v>
      </c>
      <c r="V129" s="15">
        <f>IFERROR(__xludf.DUMMYFUNCTION("IFERROR(PERCENTRANK.INC(FILTER(S:S,$F:$F&lt;&gt;""""),S129)*100,"""")"),1.5)</f>
        <v>1.5</v>
      </c>
      <c r="W129" s="15" t="str">
        <f t="shared" si="4"/>
        <v/>
      </c>
      <c r="X129" s="16"/>
      <c r="Y129" s="9"/>
      <c r="Z129" s="9"/>
    </row>
    <row r="130">
      <c r="B130" t="str">
        <f t="array" ref="B130">IFERROR(INDEX('Player Raw Data'!E:E,Match($A130,'Player Raw Data'!$B:$B,0)),"")</f>
        <v/>
      </c>
      <c r="C130" t="str">
        <f t="array" ref="C130">IFERROR(INDEX('Player Raw Data'!C:C,Match($A130,'Player Raw Data'!$B:$B,0)),"")</f>
        <v/>
      </c>
      <c r="D130" t="str">
        <f t="array" ref="D130">IFERROR(IF(A130=A129, INDEX('Player Raw Data'!D:D,Match($A130,'Player Raw Data'!$B:$B,0)+2),INDEX('Player Raw Data'!D:D,Match($A130,'Player Raw Data'!$B:$B,0))),"")</f>
        <v/>
      </c>
      <c r="E130" t="str">
        <f t="array" ref="E130">IFERROR(INDEX('Player Raw Data'!F:F,Match($A130,'Player Raw Data'!$B:$B,0)),"")</f>
        <v/>
      </c>
      <c r="F130" t="str">
        <f t="array" ref="F130">IFERROR(INDEX('Player Raw Data'!H:H,Match($A130,'Player Raw Data'!$B:$B,0)),"")</f>
        <v/>
      </c>
      <c r="G130" t="str">
        <f t="array" ref="G130">IFERROR(INDEX('Player Raw Data'!I:I,Match($A130,'Player Raw Data'!$B:$B,0)),"")</f>
        <v/>
      </c>
      <c r="H130" t="str">
        <f t="array" ref="H130">IFERROR(INDEX('Player Raw Data'!J:J,Match($A130,'Player Raw Data'!$B:$B,0)),"")</f>
        <v/>
      </c>
      <c r="I130" t="str">
        <f t="array" ref="I130">IFERROR(INDEX('Player Raw Data'!S:S,Match($A130,'Player Raw Data'!$B:$B,0)),"")</f>
        <v/>
      </c>
      <c r="J130" t="str">
        <f t="array" ref="J130">IFERROR(INDEX('Player Raw Data'!T:T,Match($A130,'Player Raw Data'!$B:$B,0)),"")</f>
        <v/>
      </c>
      <c r="K130" t="str">
        <f t="array" ref="K130">IFERROR(INDEX('Player Raw Data'!X:X,Match($A130,'Player Raw Data'!$B:$B,0)),"")</f>
        <v/>
      </c>
      <c r="L130" t="str">
        <f t="array" ref="L130">IFERROR(INDEX('Player Raw Data'!Y:Y,Match($A130,'Player Raw Data'!$B:$B,0)),"")</f>
        <v/>
      </c>
      <c r="M130" t="str">
        <f t="array" ref="M130">IFERROR(INDEX('Player Raw Data'!Z:Z,Match($A130,'Player Raw Data'!$B:$B,0)),"")</f>
        <v/>
      </c>
      <c r="N130" t="str">
        <f t="array" ref="N130">IFERROR(INDEX('Player Raw Data'!AA:AA,Match($A130,'Player Raw Data'!$B:$B,0)),"")</f>
        <v/>
      </c>
      <c r="O130" t="str">
        <f t="array" ref="O130">IFERROR(INDEX('Player Raw Data'!AB:AB,Match($A130,'Player Raw Data'!$B:$B,0)),"")</f>
        <v/>
      </c>
      <c r="P130" t="str">
        <f t="array" ref="P130">IFERROR(INDEX('Player Raw Data'!AD:AD,Match($A130,'Player Raw Data'!$B:$B,0)),"")</f>
        <v/>
      </c>
      <c r="Q130">
        <f t="shared" si="1"/>
        <v>0</v>
      </c>
      <c r="R130" s="9">
        <f t="shared" si="2"/>
        <v>0</v>
      </c>
      <c r="S130" s="14">
        <f t="shared" si="3"/>
        <v>0</v>
      </c>
      <c r="T130" s="15">
        <f>IFERROR(__xludf.DUMMYFUNCTION("IFERROR(PERCENTRANK.INC(FILTER(Q:Q,$F:$F&lt;&gt;""""),Q130)*100,"""")"),1.5)</f>
        <v>1.5</v>
      </c>
      <c r="U130" s="15">
        <f>IFERROR(__xludf.DUMMYFUNCTION("IFERROR(PERCENTRANK.INC(FILTER(R:R,$F:$F&lt;&gt;""""),R130)*100,"""")"),1.5)</f>
        <v>1.5</v>
      </c>
      <c r="V130" s="15">
        <f>IFERROR(__xludf.DUMMYFUNCTION("IFERROR(PERCENTRANK.INC(FILTER(S:S,$F:$F&lt;&gt;""""),S130)*100,"""")"),1.5)</f>
        <v>1.5</v>
      </c>
      <c r="W130" s="15" t="str">
        <f t="shared" si="4"/>
        <v/>
      </c>
      <c r="X130" s="16"/>
      <c r="Y130" s="9"/>
      <c r="Z130" s="9"/>
    </row>
    <row r="131">
      <c r="B131" t="str">
        <f t="array" ref="B131">IFERROR(INDEX('Player Raw Data'!E:E,Match($A131,'Player Raw Data'!$B:$B,0)),"")</f>
        <v/>
      </c>
      <c r="C131" t="str">
        <f t="array" ref="C131">IFERROR(INDEX('Player Raw Data'!C:C,Match($A131,'Player Raw Data'!$B:$B,0)),"")</f>
        <v/>
      </c>
      <c r="D131" t="str">
        <f t="array" ref="D131">IFERROR(IF(A131=A130, INDEX('Player Raw Data'!D:D,Match($A131,'Player Raw Data'!$B:$B,0)+2),INDEX('Player Raw Data'!D:D,Match($A131,'Player Raw Data'!$B:$B,0))),"")</f>
        <v/>
      </c>
      <c r="E131" t="str">
        <f t="array" ref="E131">IFERROR(INDEX('Player Raw Data'!F:F,Match($A131,'Player Raw Data'!$B:$B,0)),"")</f>
        <v/>
      </c>
      <c r="F131" t="str">
        <f t="array" ref="F131">IFERROR(INDEX('Player Raw Data'!H:H,Match($A131,'Player Raw Data'!$B:$B,0)),"")</f>
        <v/>
      </c>
      <c r="G131" t="str">
        <f t="array" ref="G131">IFERROR(INDEX('Player Raw Data'!I:I,Match($A131,'Player Raw Data'!$B:$B,0)),"")</f>
        <v/>
      </c>
      <c r="H131" t="str">
        <f t="array" ref="H131">IFERROR(INDEX('Player Raw Data'!J:J,Match($A131,'Player Raw Data'!$B:$B,0)),"")</f>
        <v/>
      </c>
      <c r="I131" t="str">
        <f t="array" ref="I131">IFERROR(INDEX('Player Raw Data'!S:S,Match($A131,'Player Raw Data'!$B:$B,0)),"")</f>
        <v/>
      </c>
      <c r="J131" t="str">
        <f t="array" ref="J131">IFERROR(INDEX('Player Raw Data'!T:T,Match($A131,'Player Raw Data'!$B:$B,0)),"")</f>
        <v/>
      </c>
      <c r="K131" t="str">
        <f t="array" ref="K131">IFERROR(INDEX('Player Raw Data'!X:X,Match($A131,'Player Raw Data'!$B:$B,0)),"")</f>
        <v/>
      </c>
      <c r="L131" t="str">
        <f t="array" ref="L131">IFERROR(INDEX('Player Raw Data'!Y:Y,Match($A131,'Player Raw Data'!$B:$B,0)),"")</f>
        <v/>
      </c>
      <c r="M131" t="str">
        <f t="array" ref="M131">IFERROR(INDEX('Player Raw Data'!Z:Z,Match($A131,'Player Raw Data'!$B:$B,0)),"")</f>
        <v/>
      </c>
      <c r="N131" t="str">
        <f t="array" ref="N131">IFERROR(INDEX('Player Raw Data'!AA:AA,Match($A131,'Player Raw Data'!$B:$B,0)),"")</f>
        <v/>
      </c>
      <c r="O131" t="str">
        <f t="array" ref="O131">IFERROR(INDEX('Player Raw Data'!AB:AB,Match($A131,'Player Raw Data'!$B:$B,0)),"")</f>
        <v/>
      </c>
      <c r="P131" t="str">
        <f t="array" ref="P131">IFERROR(INDEX('Player Raw Data'!AD:AD,Match($A131,'Player Raw Data'!$B:$B,0)),"")</f>
        <v/>
      </c>
      <c r="Q131">
        <f t="shared" si="1"/>
        <v>0</v>
      </c>
      <c r="R131" s="9">
        <f t="shared" si="2"/>
        <v>0</v>
      </c>
      <c r="S131" s="14">
        <f t="shared" si="3"/>
        <v>0</v>
      </c>
      <c r="T131" s="15">
        <f>IFERROR(__xludf.DUMMYFUNCTION("IFERROR(PERCENTRANK.INC(FILTER(Q:Q,$F:$F&lt;&gt;""""),Q131)*100,"""")"),1.5)</f>
        <v>1.5</v>
      </c>
      <c r="U131" s="15">
        <f>IFERROR(__xludf.DUMMYFUNCTION("IFERROR(PERCENTRANK.INC(FILTER(R:R,$F:$F&lt;&gt;""""),R131)*100,"""")"),1.5)</f>
        <v>1.5</v>
      </c>
      <c r="V131" s="15">
        <f>IFERROR(__xludf.DUMMYFUNCTION("IFERROR(PERCENTRANK.INC(FILTER(S:S,$F:$F&lt;&gt;""""),S131)*100,"""")"),1.5)</f>
        <v>1.5</v>
      </c>
      <c r="W131" s="15" t="str">
        <f t="shared" si="4"/>
        <v/>
      </c>
      <c r="X131" s="16"/>
      <c r="Y131" s="9"/>
      <c r="Z131" s="9"/>
    </row>
    <row r="132">
      <c r="B132" t="str">
        <f t="array" ref="B132">IFERROR(INDEX('Player Raw Data'!E:E,Match($A132,'Player Raw Data'!$B:$B,0)),"")</f>
        <v/>
      </c>
      <c r="C132" t="str">
        <f t="array" ref="C132">IFERROR(INDEX('Player Raw Data'!C:C,Match($A132,'Player Raw Data'!$B:$B,0)),"")</f>
        <v/>
      </c>
      <c r="D132" t="str">
        <f t="array" ref="D132">IFERROR(IF(A132=A131, INDEX('Player Raw Data'!D:D,Match($A132,'Player Raw Data'!$B:$B,0)+2),INDEX('Player Raw Data'!D:D,Match($A132,'Player Raw Data'!$B:$B,0))),"")</f>
        <v/>
      </c>
      <c r="E132" t="str">
        <f t="array" ref="E132">IFERROR(INDEX('Player Raw Data'!F:F,Match($A132,'Player Raw Data'!$B:$B,0)),"")</f>
        <v/>
      </c>
      <c r="F132" t="str">
        <f t="array" ref="F132">IFERROR(INDEX('Player Raw Data'!H:H,Match($A132,'Player Raw Data'!$B:$B,0)),"")</f>
        <v/>
      </c>
      <c r="G132" t="str">
        <f t="array" ref="G132">IFERROR(INDEX('Player Raw Data'!I:I,Match($A132,'Player Raw Data'!$B:$B,0)),"")</f>
        <v/>
      </c>
      <c r="H132" t="str">
        <f t="array" ref="H132">IFERROR(INDEX('Player Raw Data'!J:J,Match($A132,'Player Raw Data'!$B:$B,0)),"")</f>
        <v/>
      </c>
      <c r="I132" t="str">
        <f t="array" ref="I132">IFERROR(INDEX('Player Raw Data'!S:S,Match($A132,'Player Raw Data'!$B:$B,0)),"")</f>
        <v/>
      </c>
      <c r="J132" t="str">
        <f t="array" ref="J132">IFERROR(INDEX('Player Raw Data'!T:T,Match($A132,'Player Raw Data'!$B:$B,0)),"")</f>
        <v/>
      </c>
      <c r="K132" t="str">
        <f t="array" ref="K132">IFERROR(INDEX('Player Raw Data'!X:X,Match($A132,'Player Raw Data'!$B:$B,0)),"")</f>
        <v/>
      </c>
      <c r="L132" t="str">
        <f t="array" ref="L132">IFERROR(INDEX('Player Raw Data'!Y:Y,Match($A132,'Player Raw Data'!$B:$B,0)),"")</f>
        <v/>
      </c>
      <c r="M132" t="str">
        <f t="array" ref="M132">IFERROR(INDEX('Player Raw Data'!Z:Z,Match($A132,'Player Raw Data'!$B:$B,0)),"")</f>
        <v/>
      </c>
      <c r="N132" t="str">
        <f t="array" ref="N132">IFERROR(INDEX('Player Raw Data'!AA:AA,Match($A132,'Player Raw Data'!$B:$B,0)),"")</f>
        <v/>
      </c>
      <c r="O132" t="str">
        <f t="array" ref="O132">IFERROR(INDEX('Player Raw Data'!AB:AB,Match($A132,'Player Raw Data'!$B:$B,0)),"")</f>
        <v/>
      </c>
      <c r="P132" t="str">
        <f t="array" ref="P132">IFERROR(INDEX('Player Raw Data'!AD:AD,Match($A132,'Player Raw Data'!$B:$B,0)),"")</f>
        <v/>
      </c>
      <c r="Q132">
        <f t="shared" si="1"/>
        <v>0</v>
      </c>
      <c r="R132" s="9">
        <f t="shared" si="2"/>
        <v>0</v>
      </c>
      <c r="S132" s="14">
        <f t="shared" si="3"/>
        <v>0</v>
      </c>
      <c r="T132" s="15">
        <f>IFERROR(__xludf.DUMMYFUNCTION("IFERROR(PERCENTRANK.INC(FILTER(Q:Q,$F:$F&lt;&gt;""""),Q132)*100,"""")"),1.5)</f>
        <v>1.5</v>
      </c>
      <c r="U132" s="15">
        <f>IFERROR(__xludf.DUMMYFUNCTION("IFERROR(PERCENTRANK.INC(FILTER(R:R,$F:$F&lt;&gt;""""),R132)*100,"""")"),1.5)</f>
        <v>1.5</v>
      </c>
      <c r="V132" s="15">
        <f>IFERROR(__xludf.DUMMYFUNCTION("IFERROR(PERCENTRANK.INC(FILTER(S:S,$F:$F&lt;&gt;""""),S132)*100,"""")"),1.5)</f>
        <v>1.5</v>
      </c>
      <c r="W132" s="15" t="str">
        <f t="shared" si="4"/>
        <v/>
      </c>
      <c r="X132" s="16"/>
      <c r="Y132" s="9"/>
      <c r="Z132" s="9"/>
    </row>
    <row r="133">
      <c r="B133" t="str">
        <f t="array" ref="B133">IFERROR(INDEX('Player Raw Data'!E:E,Match($A133,'Player Raw Data'!$B:$B,0)),"")</f>
        <v/>
      </c>
      <c r="C133" t="str">
        <f t="array" ref="C133">IFERROR(INDEX('Player Raw Data'!C:C,Match($A133,'Player Raw Data'!$B:$B,0)),"")</f>
        <v/>
      </c>
      <c r="D133" t="str">
        <f t="array" ref="D133">IFERROR(IF(A133=A132, INDEX('Player Raw Data'!D:D,Match($A133,'Player Raw Data'!$B:$B,0)+2),INDEX('Player Raw Data'!D:D,Match($A133,'Player Raw Data'!$B:$B,0))),"")</f>
        <v/>
      </c>
      <c r="E133" t="str">
        <f t="array" ref="E133">IFERROR(INDEX('Player Raw Data'!F:F,Match($A133,'Player Raw Data'!$B:$B,0)),"")</f>
        <v/>
      </c>
      <c r="F133" t="str">
        <f t="array" ref="F133">IFERROR(INDEX('Player Raw Data'!H:H,Match($A133,'Player Raw Data'!$B:$B,0)),"")</f>
        <v/>
      </c>
      <c r="G133" t="str">
        <f t="array" ref="G133">IFERROR(INDEX('Player Raw Data'!I:I,Match($A133,'Player Raw Data'!$B:$B,0)),"")</f>
        <v/>
      </c>
      <c r="H133" t="str">
        <f t="array" ref="H133">IFERROR(INDEX('Player Raw Data'!J:J,Match($A133,'Player Raw Data'!$B:$B,0)),"")</f>
        <v/>
      </c>
      <c r="I133" t="str">
        <f t="array" ref="I133">IFERROR(INDEX('Player Raw Data'!S:S,Match($A133,'Player Raw Data'!$B:$B,0)),"")</f>
        <v/>
      </c>
      <c r="J133" t="str">
        <f t="array" ref="J133">IFERROR(INDEX('Player Raw Data'!T:T,Match($A133,'Player Raw Data'!$B:$B,0)),"")</f>
        <v/>
      </c>
      <c r="K133" t="str">
        <f t="array" ref="K133">IFERROR(INDEX('Player Raw Data'!X:X,Match($A133,'Player Raw Data'!$B:$B,0)),"")</f>
        <v/>
      </c>
      <c r="L133" t="str">
        <f t="array" ref="L133">IFERROR(INDEX('Player Raw Data'!Y:Y,Match($A133,'Player Raw Data'!$B:$B,0)),"")</f>
        <v/>
      </c>
      <c r="M133" t="str">
        <f t="array" ref="M133">IFERROR(INDEX('Player Raw Data'!Z:Z,Match($A133,'Player Raw Data'!$B:$B,0)),"")</f>
        <v/>
      </c>
      <c r="N133" t="str">
        <f t="array" ref="N133">IFERROR(INDEX('Player Raw Data'!AA:AA,Match($A133,'Player Raw Data'!$B:$B,0)),"")</f>
        <v/>
      </c>
      <c r="O133" t="str">
        <f t="array" ref="O133">IFERROR(INDEX('Player Raw Data'!AB:AB,Match($A133,'Player Raw Data'!$B:$B,0)),"")</f>
        <v/>
      </c>
      <c r="P133" t="str">
        <f t="array" ref="P133">IFERROR(INDEX('Player Raw Data'!AD:AD,Match($A133,'Player Raw Data'!$B:$B,0)),"")</f>
        <v/>
      </c>
      <c r="Q133">
        <f t="shared" si="1"/>
        <v>0</v>
      </c>
      <c r="R133" s="9">
        <f t="shared" si="2"/>
        <v>0</v>
      </c>
      <c r="S133" s="14">
        <f t="shared" si="3"/>
        <v>0</v>
      </c>
      <c r="T133" s="15">
        <f>IFERROR(__xludf.DUMMYFUNCTION("IFERROR(PERCENTRANK.INC(FILTER(Q:Q,$F:$F&lt;&gt;""""),Q133)*100,"""")"),1.5)</f>
        <v>1.5</v>
      </c>
      <c r="U133" s="15">
        <f>IFERROR(__xludf.DUMMYFUNCTION("IFERROR(PERCENTRANK.INC(FILTER(R:R,$F:$F&lt;&gt;""""),R133)*100,"""")"),1.5)</f>
        <v>1.5</v>
      </c>
      <c r="V133" s="15">
        <f>IFERROR(__xludf.DUMMYFUNCTION("IFERROR(PERCENTRANK.INC(FILTER(S:S,$F:$F&lt;&gt;""""),S133)*100,"""")"),1.5)</f>
        <v>1.5</v>
      </c>
      <c r="W133" s="15" t="str">
        <f t="shared" si="4"/>
        <v/>
      </c>
      <c r="X133" s="16"/>
      <c r="Y133" s="9"/>
      <c r="Z133" s="9"/>
    </row>
    <row r="134">
      <c r="B134" t="str">
        <f t="array" ref="B134">IFERROR(INDEX('Player Raw Data'!E:E,Match($A134,'Player Raw Data'!$B:$B,0)),"")</f>
        <v/>
      </c>
      <c r="C134" t="str">
        <f t="array" ref="C134">IFERROR(INDEX('Player Raw Data'!C:C,Match($A134,'Player Raw Data'!$B:$B,0)),"")</f>
        <v/>
      </c>
      <c r="D134" t="str">
        <f t="array" ref="D134">IFERROR(IF(A134=A133, INDEX('Player Raw Data'!D:D,Match($A134,'Player Raw Data'!$B:$B,0)+2),INDEX('Player Raw Data'!D:D,Match($A134,'Player Raw Data'!$B:$B,0))),"")</f>
        <v/>
      </c>
      <c r="E134" t="str">
        <f t="array" ref="E134">IFERROR(INDEX('Player Raw Data'!F:F,Match($A134,'Player Raw Data'!$B:$B,0)),"")</f>
        <v/>
      </c>
      <c r="F134" t="str">
        <f t="array" ref="F134">IFERROR(INDEX('Player Raw Data'!H:H,Match($A134,'Player Raw Data'!$B:$B,0)),"")</f>
        <v/>
      </c>
      <c r="G134" t="str">
        <f t="array" ref="G134">IFERROR(INDEX('Player Raw Data'!I:I,Match($A134,'Player Raw Data'!$B:$B,0)),"")</f>
        <v/>
      </c>
      <c r="H134" t="str">
        <f t="array" ref="H134">IFERROR(INDEX('Player Raw Data'!J:J,Match($A134,'Player Raw Data'!$B:$B,0)),"")</f>
        <v/>
      </c>
      <c r="I134" t="str">
        <f t="array" ref="I134">IFERROR(INDEX('Player Raw Data'!S:S,Match($A134,'Player Raw Data'!$B:$B,0)),"")</f>
        <v/>
      </c>
      <c r="J134" t="str">
        <f t="array" ref="J134">IFERROR(INDEX('Player Raw Data'!T:T,Match($A134,'Player Raw Data'!$B:$B,0)),"")</f>
        <v/>
      </c>
      <c r="K134" t="str">
        <f t="array" ref="K134">IFERROR(INDEX('Player Raw Data'!X:X,Match($A134,'Player Raw Data'!$B:$B,0)),"")</f>
        <v/>
      </c>
      <c r="L134" t="str">
        <f t="array" ref="L134">IFERROR(INDEX('Player Raw Data'!Y:Y,Match($A134,'Player Raw Data'!$B:$B,0)),"")</f>
        <v/>
      </c>
      <c r="M134" t="str">
        <f t="array" ref="M134">IFERROR(INDEX('Player Raw Data'!Z:Z,Match($A134,'Player Raw Data'!$B:$B,0)),"")</f>
        <v/>
      </c>
      <c r="N134" t="str">
        <f t="array" ref="N134">IFERROR(INDEX('Player Raw Data'!AA:AA,Match($A134,'Player Raw Data'!$B:$B,0)),"")</f>
        <v/>
      </c>
      <c r="O134" t="str">
        <f t="array" ref="O134">IFERROR(INDEX('Player Raw Data'!AB:AB,Match($A134,'Player Raw Data'!$B:$B,0)),"")</f>
        <v/>
      </c>
      <c r="P134" t="str">
        <f t="array" ref="P134">IFERROR(INDEX('Player Raw Data'!AD:AD,Match($A134,'Player Raw Data'!$B:$B,0)),"")</f>
        <v/>
      </c>
      <c r="Q134">
        <f t="shared" si="1"/>
        <v>0</v>
      </c>
      <c r="R134" s="9">
        <f t="shared" si="2"/>
        <v>0</v>
      </c>
      <c r="S134" s="14">
        <f t="shared" si="3"/>
        <v>0</v>
      </c>
      <c r="T134" s="15">
        <f>IFERROR(__xludf.DUMMYFUNCTION("IFERROR(PERCENTRANK.INC(FILTER(Q:Q,$F:$F&lt;&gt;""""),Q134)*100,"""")"),1.5)</f>
        <v>1.5</v>
      </c>
      <c r="U134" s="15">
        <f>IFERROR(__xludf.DUMMYFUNCTION("IFERROR(PERCENTRANK.INC(FILTER(R:R,$F:$F&lt;&gt;""""),R134)*100,"""")"),1.5)</f>
        <v>1.5</v>
      </c>
      <c r="V134" s="15">
        <f>IFERROR(__xludf.DUMMYFUNCTION("IFERROR(PERCENTRANK.INC(FILTER(S:S,$F:$F&lt;&gt;""""),S134)*100,"""")"),1.5)</f>
        <v>1.5</v>
      </c>
      <c r="W134" s="15" t="str">
        <f t="shared" si="4"/>
        <v/>
      </c>
      <c r="X134" s="16"/>
      <c r="Y134" s="9"/>
      <c r="Z134" s="9"/>
    </row>
    <row r="135">
      <c r="B135" t="str">
        <f t="array" ref="B135">IFERROR(INDEX('Player Raw Data'!E:E,Match($A135,'Player Raw Data'!$B:$B,0)),"")</f>
        <v/>
      </c>
      <c r="C135" t="str">
        <f t="array" ref="C135">IFERROR(INDEX('Player Raw Data'!C:C,Match($A135,'Player Raw Data'!$B:$B,0)),"")</f>
        <v/>
      </c>
      <c r="D135" t="str">
        <f t="array" ref="D135">IFERROR(IF(A135=A134, INDEX('Player Raw Data'!D:D,Match($A135,'Player Raw Data'!$B:$B,0)+2),INDEX('Player Raw Data'!D:D,Match($A135,'Player Raw Data'!$B:$B,0))),"")</f>
        <v/>
      </c>
      <c r="E135" t="str">
        <f t="array" ref="E135">IFERROR(INDEX('Player Raw Data'!F:F,Match($A135,'Player Raw Data'!$B:$B,0)),"")</f>
        <v/>
      </c>
      <c r="F135" t="str">
        <f t="array" ref="F135">IFERROR(INDEX('Player Raw Data'!H:H,Match($A135,'Player Raw Data'!$B:$B,0)),"")</f>
        <v/>
      </c>
      <c r="G135" t="str">
        <f t="array" ref="G135">IFERROR(INDEX('Player Raw Data'!I:I,Match($A135,'Player Raw Data'!$B:$B,0)),"")</f>
        <v/>
      </c>
      <c r="H135" t="str">
        <f t="array" ref="H135">IFERROR(INDEX('Player Raw Data'!J:J,Match($A135,'Player Raw Data'!$B:$B,0)),"")</f>
        <v/>
      </c>
      <c r="I135" t="str">
        <f t="array" ref="I135">IFERROR(INDEX('Player Raw Data'!S:S,Match($A135,'Player Raw Data'!$B:$B,0)),"")</f>
        <v/>
      </c>
      <c r="J135" t="str">
        <f t="array" ref="J135">IFERROR(INDEX('Player Raw Data'!T:T,Match($A135,'Player Raw Data'!$B:$B,0)),"")</f>
        <v/>
      </c>
      <c r="K135" t="str">
        <f t="array" ref="K135">IFERROR(INDEX('Player Raw Data'!X:X,Match($A135,'Player Raw Data'!$B:$B,0)),"")</f>
        <v/>
      </c>
      <c r="L135" t="str">
        <f t="array" ref="L135">IFERROR(INDEX('Player Raw Data'!Y:Y,Match($A135,'Player Raw Data'!$B:$B,0)),"")</f>
        <v/>
      </c>
      <c r="M135" t="str">
        <f t="array" ref="M135">IFERROR(INDEX('Player Raw Data'!Z:Z,Match($A135,'Player Raw Data'!$B:$B,0)),"")</f>
        <v/>
      </c>
      <c r="N135" t="str">
        <f t="array" ref="N135">IFERROR(INDEX('Player Raw Data'!AA:AA,Match($A135,'Player Raw Data'!$B:$B,0)),"")</f>
        <v/>
      </c>
      <c r="O135" t="str">
        <f t="array" ref="O135">IFERROR(INDEX('Player Raw Data'!AB:AB,Match($A135,'Player Raw Data'!$B:$B,0)),"")</f>
        <v/>
      </c>
      <c r="P135" t="str">
        <f t="array" ref="P135">IFERROR(INDEX('Player Raw Data'!AD:AD,Match($A135,'Player Raw Data'!$B:$B,0)),"")</f>
        <v/>
      </c>
      <c r="Q135">
        <f t="shared" si="1"/>
        <v>0</v>
      </c>
      <c r="R135" s="9">
        <f t="shared" si="2"/>
        <v>0</v>
      </c>
      <c r="S135" s="14">
        <f t="shared" si="3"/>
        <v>0</v>
      </c>
      <c r="T135" s="15">
        <f>IFERROR(__xludf.DUMMYFUNCTION("IFERROR(PERCENTRANK.INC(FILTER(Q:Q,$F:$F&lt;&gt;""""),Q135)*100,"""")"),1.5)</f>
        <v>1.5</v>
      </c>
      <c r="U135" s="15">
        <f>IFERROR(__xludf.DUMMYFUNCTION("IFERROR(PERCENTRANK.INC(FILTER(R:R,$F:$F&lt;&gt;""""),R135)*100,"""")"),1.5)</f>
        <v>1.5</v>
      </c>
      <c r="V135" s="15">
        <f>IFERROR(__xludf.DUMMYFUNCTION("IFERROR(PERCENTRANK.INC(FILTER(S:S,$F:$F&lt;&gt;""""),S135)*100,"""")"),1.5)</f>
        <v>1.5</v>
      </c>
      <c r="W135" s="15" t="str">
        <f t="shared" si="4"/>
        <v/>
      </c>
      <c r="X135" s="16"/>
      <c r="Y135" s="9"/>
      <c r="Z135" s="9"/>
    </row>
    <row r="136">
      <c r="B136" t="str">
        <f t="array" ref="B136">IFERROR(INDEX('Player Raw Data'!E:E,Match($A136,'Player Raw Data'!$B:$B,0)),"")</f>
        <v/>
      </c>
      <c r="C136" t="str">
        <f t="array" ref="C136">IFERROR(INDEX('Player Raw Data'!C:C,Match($A136,'Player Raw Data'!$B:$B,0)),"")</f>
        <v/>
      </c>
      <c r="D136" t="str">
        <f t="array" ref="D136">IFERROR(IF(A136=A135, INDEX('Player Raw Data'!D:D,Match($A136,'Player Raw Data'!$B:$B,0)+2),INDEX('Player Raw Data'!D:D,Match($A136,'Player Raw Data'!$B:$B,0))),"")</f>
        <v/>
      </c>
      <c r="E136" t="str">
        <f t="array" ref="E136">IFERROR(INDEX('Player Raw Data'!F:F,Match($A136,'Player Raw Data'!$B:$B,0)),"")</f>
        <v/>
      </c>
      <c r="F136" t="str">
        <f t="array" ref="F136">IFERROR(INDEX('Player Raw Data'!H:H,Match($A136,'Player Raw Data'!$B:$B,0)),"")</f>
        <v/>
      </c>
      <c r="G136" t="str">
        <f t="array" ref="G136">IFERROR(INDEX('Player Raw Data'!I:I,Match($A136,'Player Raw Data'!$B:$B,0)),"")</f>
        <v/>
      </c>
      <c r="H136" t="str">
        <f t="array" ref="H136">IFERROR(INDEX('Player Raw Data'!J:J,Match($A136,'Player Raw Data'!$B:$B,0)),"")</f>
        <v/>
      </c>
      <c r="I136" t="str">
        <f t="array" ref="I136">IFERROR(INDEX('Player Raw Data'!S:S,Match($A136,'Player Raw Data'!$B:$B,0)),"")</f>
        <v/>
      </c>
      <c r="J136" t="str">
        <f t="array" ref="J136">IFERROR(INDEX('Player Raw Data'!T:T,Match($A136,'Player Raw Data'!$B:$B,0)),"")</f>
        <v/>
      </c>
      <c r="K136" t="str">
        <f t="array" ref="K136">IFERROR(INDEX('Player Raw Data'!X:X,Match($A136,'Player Raw Data'!$B:$B,0)),"")</f>
        <v/>
      </c>
      <c r="L136" t="str">
        <f t="array" ref="L136">IFERROR(INDEX('Player Raw Data'!Y:Y,Match($A136,'Player Raw Data'!$B:$B,0)),"")</f>
        <v/>
      </c>
      <c r="M136" t="str">
        <f t="array" ref="M136">IFERROR(INDEX('Player Raw Data'!Z:Z,Match($A136,'Player Raw Data'!$B:$B,0)),"")</f>
        <v/>
      </c>
      <c r="N136" t="str">
        <f t="array" ref="N136">IFERROR(INDEX('Player Raw Data'!AA:AA,Match($A136,'Player Raw Data'!$B:$B,0)),"")</f>
        <v/>
      </c>
      <c r="O136" t="str">
        <f t="array" ref="O136">IFERROR(INDEX('Player Raw Data'!AB:AB,Match($A136,'Player Raw Data'!$B:$B,0)),"")</f>
        <v/>
      </c>
      <c r="P136" t="str">
        <f t="array" ref="P136">IFERROR(INDEX('Player Raw Data'!AD:AD,Match($A136,'Player Raw Data'!$B:$B,0)),"")</f>
        <v/>
      </c>
      <c r="Q136">
        <f t="shared" si="1"/>
        <v>0</v>
      </c>
      <c r="R136" s="9">
        <f t="shared" si="2"/>
        <v>0</v>
      </c>
      <c r="S136" s="14">
        <f t="shared" si="3"/>
        <v>0</v>
      </c>
      <c r="T136" s="15">
        <f>IFERROR(__xludf.DUMMYFUNCTION("IFERROR(PERCENTRANK.INC(FILTER(Q:Q,$F:$F&lt;&gt;""""),Q136)*100,"""")"),1.5)</f>
        <v>1.5</v>
      </c>
      <c r="U136" s="15">
        <f>IFERROR(__xludf.DUMMYFUNCTION("IFERROR(PERCENTRANK.INC(FILTER(R:R,$F:$F&lt;&gt;""""),R136)*100,"""")"),1.5)</f>
        <v>1.5</v>
      </c>
      <c r="V136" s="15">
        <f>IFERROR(__xludf.DUMMYFUNCTION("IFERROR(PERCENTRANK.INC(FILTER(S:S,$F:$F&lt;&gt;""""),S136)*100,"""")"),1.5)</f>
        <v>1.5</v>
      </c>
      <c r="W136" s="15" t="str">
        <f t="shared" si="4"/>
        <v/>
      </c>
      <c r="X136" s="16"/>
      <c r="Y136" s="9"/>
      <c r="Z136" s="9"/>
    </row>
    <row r="137">
      <c r="B137" t="str">
        <f t="array" ref="B137">IFERROR(INDEX('Player Raw Data'!E:E,Match($A137,'Player Raw Data'!$B:$B,0)),"")</f>
        <v/>
      </c>
      <c r="C137" t="str">
        <f t="array" ref="C137">IFERROR(INDEX('Player Raw Data'!C:C,Match($A137,'Player Raw Data'!$B:$B,0)),"")</f>
        <v/>
      </c>
      <c r="D137" t="str">
        <f t="array" ref="D137">IFERROR(IF(A137=A136, INDEX('Player Raw Data'!D:D,Match($A137,'Player Raw Data'!$B:$B,0)+2),INDEX('Player Raw Data'!D:D,Match($A137,'Player Raw Data'!$B:$B,0))),"")</f>
        <v/>
      </c>
      <c r="E137" t="str">
        <f t="array" ref="E137">IFERROR(INDEX('Player Raw Data'!F:F,Match($A137,'Player Raw Data'!$B:$B,0)),"")</f>
        <v/>
      </c>
      <c r="F137" t="str">
        <f t="array" ref="F137">IFERROR(INDEX('Player Raw Data'!H:H,Match($A137,'Player Raw Data'!$B:$B,0)),"")</f>
        <v/>
      </c>
      <c r="G137" t="str">
        <f t="array" ref="G137">IFERROR(INDEX('Player Raw Data'!I:I,Match($A137,'Player Raw Data'!$B:$B,0)),"")</f>
        <v/>
      </c>
      <c r="H137" t="str">
        <f t="array" ref="H137">IFERROR(INDEX('Player Raw Data'!J:J,Match($A137,'Player Raw Data'!$B:$B,0)),"")</f>
        <v/>
      </c>
      <c r="I137" t="str">
        <f t="array" ref="I137">IFERROR(INDEX('Player Raw Data'!S:S,Match($A137,'Player Raw Data'!$B:$B,0)),"")</f>
        <v/>
      </c>
      <c r="J137" t="str">
        <f t="array" ref="J137">IFERROR(INDEX('Player Raw Data'!T:T,Match($A137,'Player Raw Data'!$B:$B,0)),"")</f>
        <v/>
      </c>
      <c r="K137" t="str">
        <f t="array" ref="K137">IFERROR(INDEX('Player Raw Data'!X:X,Match($A137,'Player Raw Data'!$B:$B,0)),"")</f>
        <v/>
      </c>
      <c r="L137" t="str">
        <f t="array" ref="L137">IFERROR(INDEX('Player Raw Data'!Y:Y,Match($A137,'Player Raw Data'!$B:$B,0)),"")</f>
        <v/>
      </c>
      <c r="M137" t="str">
        <f t="array" ref="M137">IFERROR(INDEX('Player Raw Data'!Z:Z,Match($A137,'Player Raw Data'!$B:$B,0)),"")</f>
        <v/>
      </c>
      <c r="N137" t="str">
        <f t="array" ref="N137">IFERROR(INDEX('Player Raw Data'!AA:AA,Match($A137,'Player Raw Data'!$B:$B,0)),"")</f>
        <v/>
      </c>
      <c r="O137" t="str">
        <f t="array" ref="O137">IFERROR(INDEX('Player Raw Data'!AB:AB,Match($A137,'Player Raw Data'!$B:$B,0)),"")</f>
        <v/>
      </c>
      <c r="P137" t="str">
        <f t="array" ref="P137">IFERROR(INDEX('Player Raw Data'!AD:AD,Match($A137,'Player Raw Data'!$B:$B,0)),"")</f>
        <v/>
      </c>
      <c r="Q137">
        <f t="shared" si="1"/>
        <v>0</v>
      </c>
      <c r="R137" s="9">
        <f t="shared" si="2"/>
        <v>0</v>
      </c>
      <c r="S137" s="14">
        <f t="shared" si="3"/>
        <v>0</v>
      </c>
      <c r="T137" s="15">
        <f>IFERROR(__xludf.DUMMYFUNCTION("IFERROR(PERCENTRANK.INC(FILTER(Q:Q,$F:$F&lt;&gt;""""),Q137)*100,"""")"),1.5)</f>
        <v>1.5</v>
      </c>
      <c r="U137" s="15">
        <f>IFERROR(__xludf.DUMMYFUNCTION("IFERROR(PERCENTRANK.INC(FILTER(R:R,$F:$F&lt;&gt;""""),R137)*100,"""")"),1.5)</f>
        <v>1.5</v>
      </c>
      <c r="V137" s="15">
        <f>IFERROR(__xludf.DUMMYFUNCTION("IFERROR(PERCENTRANK.INC(FILTER(S:S,$F:$F&lt;&gt;""""),S137)*100,"""")"),1.5)</f>
        <v>1.5</v>
      </c>
      <c r="W137" s="15" t="str">
        <f t="shared" si="4"/>
        <v/>
      </c>
      <c r="X137" s="16"/>
      <c r="Y137" s="9"/>
      <c r="Z137" s="9"/>
    </row>
    <row r="138">
      <c r="B138" t="str">
        <f t="array" ref="B138">IFERROR(INDEX('Player Raw Data'!E:E,Match($A138,'Player Raw Data'!$B:$B,0)),"")</f>
        <v/>
      </c>
      <c r="C138" t="str">
        <f t="array" ref="C138">IFERROR(INDEX('Player Raw Data'!C:C,Match($A138,'Player Raw Data'!$B:$B,0)),"")</f>
        <v/>
      </c>
      <c r="D138" t="str">
        <f t="array" ref="D138">IFERROR(IF(A138=A137, INDEX('Player Raw Data'!D:D,Match($A138,'Player Raw Data'!$B:$B,0)+2),INDEX('Player Raw Data'!D:D,Match($A138,'Player Raw Data'!$B:$B,0))),"")</f>
        <v/>
      </c>
      <c r="E138" t="str">
        <f t="array" ref="E138">IFERROR(INDEX('Player Raw Data'!F:F,Match($A138,'Player Raw Data'!$B:$B,0)),"")</f>
        <v/>
      </c>
      <c r="F138" t="str">
        <f t="array" ref="F138">IFERROR(INDEX('Player Raw Data'!H:H,Match($A138,'Player Raw Data'!$B:$B,0)),"")</f>
        <v/>
      </c>
      <c r="G138" t="str">
        <f t="array" ref="G138">IFERROR(INDEX('Player Raw Data'!I:I,Match($A138,'Player Raw Data'!$B:$B,0)),"")</f>
        <v/>
      </c>
      <c r="H138" t="str">
        <f t="array" ref="H138">IFERROR(INDEX('Player Raw Data'!J:J,Match($A138,'Player Raw Data'!$B:$B,0)),"")</f>
        <v/>
      </c>
      <c r="I138" t="str">
        <f t="array" ref="I138">IFERROR(INDEX('Player Raw Data'!S:S,Match($A138,'Player Raw Data'!$B:$B,0)),"")</f>
        <v/>
      </c>
      <c r="J138" t="str">
        <f t="array" ref="J138">IFERROR(INDEX('Player Raw Data'!T:T,Match($A138,'Player Raw Data'!$B:$B,0)),"")</f>
        <v/>
      </c>
      <c r="K138" t="str">
        <f t="array" ref="K138">IFERROR(INDEX('Player Raw Data'!X:X,Match($A138,'Player Raw Data'!$B:$B,0)),"")</f>
        <v/>
      </c>
      <c r="L138" t="str">
        <f t="array" ref="L138">IFERROR(INDEX('Player Raw Data'!Y:Y,Match($A138,'Player Raw Data'!$B:$B,0)),"")</f>
        <v/>
      </c>
      <c r="M138" t="str">
        <f t="array" ref="M138">IFERROR(INDEX('Player Raw Data'!Z:Z,Match($A138,'Player Raw Data'!$B:$B,0)),"")</f>
        <v/>
      </c>
      <c r="N138" t="str">
        <f t="array" ref="N138">IFERROR(INDEX('Player Raw Data'!AA:AA,Match($A138,'Player Raw Data'!$B:$B,0)),"")</f>
        <v/>
      </c>
      <c r="O138" t="str">
        <f t="array" ref="O138">IFERROR(INDEX('Player Raw Data'!AB:AB,Match($A138,'Player Raw Data'!$B:$B,0)),"")</f>
        <v/>
      </c>
      <c r="P138" t="str">
        <f t="array" ref="P138">IFERROR(INDEX('Player Raw Data'!AD:AD,Match($A138,'Player Raw Data'!$B:$B,0)),"")</f>
        <v/>
      </c>
      <c r="Q138">
        <f t="shared" si="1"/>
        <v>0</v>
      </c>
      <c r="R138" s="9">
        <f t="shared" si="2"/>
        <v>0</v>
      </c>
      <c r="S138" s="14">
        <f t="shared" si="3"/>
        <v>0</v>
      </c>
      <c r="T138" s="15">
        <f>IFERROR(__xludf.DUMMYFUNCTION("IFERROR(PERCENTRANK.INC(FILTER(Q:Q,$F:$F&lt;&gt;""""),Q138)*100,"""")"),1.5)</f>
        <v>1.5</v>
      </c>
      <c r="U138" s="15">
        <f>IFERROR(__xludf.DUMMYFUNCTION("IFERROR(PERCENTRANK.INC(FILTER(R:R,$F:$F&lt;&gt;""""),R138)*100,"""")"),1.5)</f>
        <v>1.5</v>
      </c>
      <c r="V138" s="15">
        <f>IFERROR(__xludf.DUMMYFUNCTION("IFERROR(PERCENTRANK.INC(FILTER(S:S,$F:$F&lt;&gt;""""),S138)*100,"""")"),1.5)</f>
        <v>1.5</v>
      </c>
      <c r="W138" s="15" t="str">
        <f t="shared" si="4"/>
        <v/>
      </c>
      <c r="X138" s="16"/>
      <c r="Y138" s="9"/>
      <c r="Z138" s="9"/>
    </row>
    <row r="139">
      <c r="B139" t="str">
        <f t="array" ref="B139">IFERROR(INDEX('Player Raw Data'!E:E,Match($A139,'Player Raw Data'!$B:$B,0)),"")</f>
        <v/>
      </c>
      <c r="C139" t="str">
        <f t="array" ref="C139">IFERROR(INDEX('Player Raw Data'!C:C,Match($A139,'Player Raw Data'!$B:$B,0)),"")</f>
        <v/>
      </c>
      <c r="D139" t="str">
        <f t="array" ref="D139">IFERROR(IF(A139=A138, INDEX('Player Raw Data'!D:D,Match($A139,'Player Raw Data'!$B:$B,0)+2),INDEX('Player Raw Data'!D:D,Match($A139,'Player Raw Data'!$B:$B,0))),"")</f>
        <v/>
      </c>
      <c r="E139" t="str">
        <f t="array" ref="E139">IFERROR(INDEX('Player Raw Data'!F:F,Match($A139,'Player Raw Data'!$B:$B,0)),"")</f>
        <v/>
      </c>
      <c r="F139" t="str">
        <f t="array" ref="F139">IFERROR(INDEX('Player Raw Data'!H:H,Match($A139,'Player Raw Data'!$B:$B,0)),"")</f>
        <v/>
      </c>
      <c r="G139" t="str">
        <f t="array" ref="G139">IFERROR(INDEX('Player Raw Data'!I:I,Match($A139,'Player Raw Data'!$B:$B,0)),"")</f>
        <v/>
      </c>
      <c r="H139" t="str">
        <f t="array" ref="H139">IFERROR(INDEX('Player Raw Data'!J:J,Match($A139,'Player Raw Data'!$B:$B,0)),"")</f>
        <v/>
      </c>
      <c r="I139" t="str">
        <f t="array" ref="I139">IFERROR(INDEX('Player Raw Data'!S:S,Match($A139,'Player Raw Data'!$B:$B,0)),"")</f>
        <v/>
      </c>
      <c r="J139" t="str">
        <f t="array" ref="J139">IFERROR(INDEX('Player Raw Data'!T:T,Match($A139,'Player Raw Data'!$B:$B,0)),"")</f>
        <v/>
      </c>
      <c r="K139" t="str">
        <f t="array" ref="K139">IFERROR(INDEX('Player Raw Data'!X:X,Match($A139,'Player Raw Data'!$B:$B,0)),"")</f>
        <v/>
      </c>
      <c r="L139" t="str">
        <f t="array" ref="L139">IFERROR(INDEX('Player Raw Data'!Y:Y,Match($A139,'Player Raw Data'!$B:$B,0)),"")</f>
        <v/>
      </c>
      <c r="M139" t="str">
        <f t="array" ref="M139">IFERROR(INDEX('Player Raw Data'!Z:Z,Match($A139,'Player Raw Data'!$B:$B,0)),"")</f>
        <v/>
      </c>
      <c r="N139" t="str">
        <f t="array" ref="N139">IFERROR(INDEX('Player Raw Data'!AA:AA,Match($A139,'Player Raw Data'!$B:$B,0)),"")</f>
        <v/>
      </c>
      <c r="O139" t="str">
        <f t="array" ref="O139">IFERROR(INDEX('Player Raw Data'!AB:AB,Match($A139,'Player Raw Data'!$B:$B,0)),"")</f>
        <v/>
      </c>
      <c r="P139" t="str">
        <f t="array" ref="P139">IFERROR(INDEX('Player Raw Data'!AD:AD,Match($A139,'Player Raw Data'!$B:$B,0)),"")</f>
        <v/>
      </c>
      <c r="Q139">
        <f t="shared" si="1"/>
        <v>0</v>
      </c>
      <c r="R139" s="9">
        <f t="shared" si="2"/>
        <v>0</v>
      </c>
      <c r="S139" s="14">
        <f t="shared" si="3"/>
        <v>0</v>
      </c>
      <c r="T139" s="15">
        <f>IFERROR(__xludf.DUMMYFUNCTION("IFERROR(PERCENTRANK.INC(FILTER(Q:Q,$F:$F&lt;&gt;""""),Q139)*100,"""")"),1.5)</f>
        <v>1.5</v>
      </c>
      <c r="U139" s="15">
        <f>IFERROR(__xludf.DUMMYFUNCTION("IFERROR(PERCENTRANK.INC(FILTER(R:R,$F:$F&lt;&gt;""""),R139)*100,"""")"),1.5)</f>
        <v>1.5</v>
      </c>
      <c r="V139" s="15">
        <f>IFERROR(__xludf.DUMMYFUNCTION("IFERROR(PERCENTRANK.INC(FILTER(S:S,$F:$F&lt;&gt;""""),S139)*100,"""")"),1.5)</f>
        <v>1.5</v>
      </c>
      <c r="W139" s="15" t="str">
        <f t="shared" si="4"/>
        <v/>
      </c>
      <c r="X139" s="16"/>
      <c r="Y139" s="9"/>
      <c r="Z139" s="9"/>
    </row>
    <row r="140">
      <c r="B140" t="str">
        <f t="array" ref="B140">IFERROR(INDEX('Player Raw Data'!E:E,Match($A140,'Player Raw Data'!$B:$B,0)),"")</f>
        <v/>
      </c>
      <c r="C140" t="str">
        <f t="array" ref="C140">IFERROR(INDEX('Player Raw Data'!C:C,Match($A140,'Player Raw Data'!$B:$B,0)),"")</f>
        <v/>
      </c>
      <c r="D140" t="str">
        <f t="array" ref="D140">IFERROR(IF(A140=A139, INDEX('Player Raw Data'!D:D,Match($A140,'Player Raw Data'!$B:$B,0)+2),INDEX('Player Raw Data'!D:D,Match($A140,'Player Raw Data'!$B:$B,0))),"")</f>
        <v/>
      </c>
      <c r="E140" t="str">
        <f t="array" ref="E140">IFERROR(INDEX('Player Raw Data'!F:F,Match($A140,'Player Raw Data'!$B:$B,0)),"")</f>
        <v/>
      </c>
      <c r="F140" t="str">
        <f t="array" ref="F140">IFERROR(INDEX('Player Raw Data'!H:H,Match($A140,'Player Raw Data'!$B:$B,0)),"")</f>
        <v/>
      </c>
      <c r="G140" t="str">
        <f t="array" ref="G140">IFERROR(INDEX('Player Raw Data'!I:I,Match($A140,'Player Raw Data'!$B:$B,0)),"")</f>
        <v/>
      </c>
      <c r="H140" t="str">
        <f t="array" ref="H140">IFERROR(INDEX('Player Raw Data'!J:J,Match($A140,'Player Raw Data'!$B:$B,0)),"")</f>
        <v/>
      </c>
      <c r="I140" t="str">
        <f t="array" ref="I140">IFERROR(INDEX('Player Raw Data'!S:S,Match($A140,'Player Raw Data'!$B:$B,0)),"")</f>
        <v/>
      </c>
      <c r="J140" t="str">
        <f t="array" ref="J140">IFERROR(INDEX('Player Raw Data'!T:T,Match($A140,'Player Raw Data'!$B:$B,0)),"")</f>
        <v/>
      </c>
      <c r="K140" t="str">
        <f t="array" ref="K140">IFERROR(INDEX('Player Raw Data'!X:X,Match($A140,'Player Raw Data'!$B:$B,0)),"")</f>
        <v/>
      </c>
      <c r="L140" t="str">
        <f t="array" ref="L140">IFERROR(INDEX('Player Raw Data'!Y:Y,Match($A140,'Player Raw Data'!$B:$B,0)),"")</f>
        <v/>
      </c>
      <c r="M140" t="str">
        <f t="array" ref="M140">IFERROR(INDEX('Player Raw Data'!Z:Z,Match($A140,'Player Raw Data'!$B:$B,0)),"")</f>
        <v/>
      </c>
      <c r="N140" t="str">
        <f t="array" ref="N140">IFERROR(INDEX('Player Raw Data'!AA:AA,Match($A140,'Player Raw Data'!$B:$B,0)),"")</f>
        <v/>
      </c>
      <c r="O140" t="str">
        <f t="array" ref="O140">IFERROR(INDEX('Player Raw Data'!AB:AB,Match($A140,'Player Raw Data'!$B:$B,0)),"")</f>
        <v/>
      </c>
      <c r="P140" t="str">
        <f t="array" ref="P140">IFERROR(INDEX('Player Raw Data'!AD:AD,Match($A140,'Player Raw Data'!$B:$B,0)),"")</f>
        <v/>
      </c>
      <c r="Q140">
        <f t="shared" si="1"/>
        <v>0</v>
      </c>
      <c r="R140" s="9">
        <f t="shared" si="2"/>
        <v>0</v>
      </c>
      <c r="S140" s="14">
        <f t="shared" si="3"/>
        <v>0</v>
      </c>
      <c r="T140" s="15">
        <f>IFERROR(__xludf.DUMMYFUNCTION("IFERROR(PERCENTRANK.INC(FILTER(Q:Q,$F:$F&lt;&gt;""""),Q140)*100,"""")"),1.5)</f>
        <v>1.5</v>
      </c>
      <c r="U140" s="15">
        <f>IFERROR(__xludf.DUMMYFUNCTION("IFERROR(PERCENTRANK.INC(FILTER(R:R,$F:$F&lt;&gt;""""),R140)*100,"""")"),1.5)</f>
        <v>1.5</v>
      </c>
      <c r="V140" s="15">
        <f>IFERROR(__xludf.DUMMYFUNCTION("IFERROR(PERCENTRANK.INC(FILTER(S:S,$F:$F&lt;&gt;""""),S140)*100,"""")"),1.5)</f>
        <v>1.5</v>
      </c>
      <c r="W140" s="15" t="str">
        <f t="shared" si="4"/>
        <v/>
      </c>
      <c r="X140" s="16"/>
      <c r="Y140" s="9"/>
      <c r="Z140" s="9"/>
    </row>
    <row r="141">
      <c r="B141" t="str">
        <f t="array" ref="B141">IFERROR(INDEX('Player Raw Data'!E:E,Match($A141,'Player Raw Data'!$B:$B,0)),"")</f>
        <v/>
      </c>
      <c r="C141" t="str">
        <f t="array" ref="C141">IFERROR(INDEX('Player Raw Data'!C:C,Match($A141,'Player Raw Data'!$B:$B,0)),"")</f>
        <v/>
      </c>
      <c r="D141" t="str">
        <f t="array" ref="D141">IFERROR(IF(A141=A140, INDEX('Player Raw Data'!D:D,Match($A141,'Player Raw Data'!$B:$B,0)+2),INDEX('Player Raw Data'!D:D,Match($A141,'Player Raw Data'!$B:$B,0))),"")</f>
        <v/>
      </c>
      <c r="E141" t="str">
        <f t="array" ref="E141">IFERROR(INDEX('Player Raw Data'!F:F,Match($A141,'Player Raw Data'!$B:$B,0)),"")</f>
        <v/>
      </c>
      <c r="F141" t="str">
        <f t="array" ref="F141">IFERROR(INDEX('Player Raw Data'!H:H,Match($A141,'Player Raw Data'!$B:$B,0)),"")</f>
        <v/>
      </c>
      <c r="G141" t="str">
        <f t="array" ref="G141">IFERROR(INDEX('Player Raw Data'!I:I,Match($A141,'Player Raw Data'!$B:$B,0)),"")</f>
        <v/>
      </c>
      <c r="H141" t="str">
        <f t="array" ref="H141">IFERROR(INDEX('Player Raw Data'!J:J,Match($A141,'Player Raw Data'!$B:$B,0)),"")</f>
        <v/>
      </c>
      <c r="I141" t="str">
        <f t="array" ref="I141">IFERROR(INDEX('Player Raw Data'!S:S,Match($A141,'Player Raw Data'!$B:$B,0)),"")</f>
        <v/>
      </c>
      <c r="J141" t="str">
        <f t="array" ref="J141">IFERROR(INDEX('Player Raw Data'!T:T,Match($A141,'Player Raw Data'!$B:$B,0)),"")</f>
        <v/>
      </c>
      <c r="K141" t="str">
        <f t="array" ref="K141">IFERROR(INDEX('Player Raw Data'!X:X,Match($A141,'Player Raw Data'!$B:$B,0)),"")</f>
        <v/>
      </c>
      <c r="L141" t="str">
        <f t="array" ref="L141">IFERROR(INDEX('Player Raw Data'!Y:Y,Match($A141,'Player Raw Data'!$B:$B,0)),"")</f>
        <v/>
      </c>
      <c r="M141" t="str">
        <f t="array" ref="M141">IFERROR(INDEX('Player Raw Data'!Z:Z,Match($A141,'Player Raw Data'!$B:$B,0)),"")</f>
        <v/>
      </c>
      <c r="N141" t="str">
        <f t="array" ref="N141">IFERROR(INDEX('Player Raw Data'!AA:AA,Match($A141,'Player Raw Data'!$B:$B,0)),"")</f>
        <v/>
      </c>
      <c r="O141" t="str">
        <f t="array" ref="O141">IFERROR(INDEX('Player Raw Data'!AB:AB,Match($A141,'Player Raw Data'!$B:$B,0)),"")</f>
        <v/>
      </c>
      <c r="P141" t="str">
        <f t="array" ref="P141">IFERROR(INDEX('Player Raw Data'!AD:AD,Match($A141,'Player Raw Data'!$B:$B,0)),"")</f>
        <v/>
      </c>
      <c r="Q141">
        <f t="shared" si="1"/>
        <v>0</v>
      </c>
      <c r="R141" s="9">
        <f t="shared" si="2"/>
        <v>0</v>
      </c>
      <c r="S141" s="14">
        <f t="shared" si="3"/>
        <v>0</v>
      </c>
      <c r="T141" s="15">
        <f>IFERROR(__xludf.DUMMYFUNCTION("IFERROR(PERCENTRANK.INC(FILTER(Q:Q,$F:$F&lt;&gt;""""),Q141)*100,"""")"),1.5)</f>
        <v>1.5</v>
      </c>
      <c r="U141" s="15">
        <f>IFERROR(__xludf.DUMMYFUNCTION("IFERROR(PERCENTRANK.INC(FILTER(R:R,$F:$F&lt;&gt;""""),R141)*100,"""")"),1.5)</f>
        <v>1.5</v>
      </c>
      <c r="V141" s="15">
        <f>IFERROR(__xludf.DUMMYFUNCTION("IFERROR(PERCENTRANK.INC(FILTER(S:S,$F:$F&lt;&gt;""""),S141)*100,"""")"),1.5)</f>
        <v>1.5</v>
      </c>
      <c r="W141" s="15" t="str">
        <f t="shared" si="4"/>
        <v/>
      </c>
      <c r="X141" s="16"/>
      <c r="Y141" s="9"/>
      <c r="Z141" s="9"/>
    </row>
    <row r="142">
      <c r="B142" t="str">
        <f t="array" ref="B142">IFERROR(INDEX('Player Raw Data'!E:E,Match($A142,'Player Raw Data'!$B:$B,0)),"")</f>
        <v/>
      </c>
      <c r="C142" t="str">
        <f t="array" ref="C142">IFERROR(INDEX('Player Raw Data'!C:C,Match($A142,'Player Raw Data'!$B:$B,0)),"")</f>
        <v/>
      </c>
      <c r="D142" t="str">
        <f t="array" ref="D142">IFERROR(IF(A142=A141, INDEX('Player Raw Data'!D:D,Match($A142,'Player Raw Data'!$B:$B,0)+2),INDEX('Player Raw Data'!D:D,Match($A142,'Player Raw Data'!$B:$B,0))),"")</f>
        <v/>
      </c>
      <c r="E142" t="str">
        <f t="array" ref="E142">IFERROR(INDEX('Player Raw Data'!F:F,Match($A142,'Player Raw Data'!$B:$B,0)),"")</f>
        <v/>
      </c>
      <c r="F142" t="str">
        <f t="array" ref="F142">IFERROR(INDEX('Player Raw Data'!H:H,Match($A142,'Player Raw Data'!$B:$B,0)),"")</f>
        <v/>
      </c>
      <c r="G142" t="str">
        <f t="array" ref="G142">IFERROR(INDEX('Player Raw Data'!I:I,Match($A142,'Player Raw Data'!$B:$B,0)),"")</f>
        <v/>
      </c>
      <c r="H142" t="str">
        <f t="array" ref="H142">IFERROR(INDEX('Player Raw Data'!J:J,Match($A142,'Player Raw Data'!$B:$B,0)),"")</f>
        <v/>
      </c>
      <c r="I142" t="str">
        <f t="array" ref="I142">IFERROR(INDEX('Player Raw Data'!S:S,Match($A142,'Player Raw Data'!$B:$B,0)),"")</f>
        <v/>
      </c>
      <c r="J142" t="str">
        <f t="array" ref="J142">IFERROR(INDEX('Player Raw Data'!T:T,Match($A142,'Player Raw Data'!$B:$B,0)),"")</f>
        <v/>
      </c>
      <c r="K142" t="str">
        <f t="array" ref="K142">IFERROR(INDEX('Player Raw Data'!X:X,Match($A142,'Player Raw Data'!$B:$B,0)),"")</f>
        <v/>
      </c>
      <c r="L142" t="str">
        <f t="array" ref="L142">IFERROR(INDEX('Player Raw Data'!Y:Y,Match($A142,'Player Raw Data'!$B:$B,0)),"")</f>
        <v/>
      </c>
      <c r="M142" t="str">
        <f t="array" ref="M142">IFERROR(INDEX('Player Raw Data'!Z:Z,Match($A142,'Player Raw Data'!$B:$B,0)),"")</f>
        <v/>
      </c>
      <c r="N142" t="str">
        <f t="array" ref="N142">IFERROR(INDEX('Player Raw Data'!AA:AA,Match($A142,'Player Raw Data'!$B:$B,0)),"")</f>
        <v/>
      </c>
      <c r="O142" t="str">
        <f t="array" ref="O142">IFERROR(INDEX('Player Raw Data'!AB:AB,Match($A142,'Player Raw Data'!$B:$B,0)),"")</f>
        <v/>
      </c>
      <c r="P142" t="str">
        <f t="array" ref="P142">IFERROR(INDEX('Player Raw Data'!AD:AD,Match($A142,'Player Raw Data'!$B:$B,0)),"")</f>
        <v/>
      </c>
      <c r="Q142">
        <f t="shared" si="1"/>
        <v>0</v>
      </c>
      <c r="R142" s="9">
        <f t="shared" si="2"/>
        <v>0</v>
      </c>
      <c r="S142" s="14">
        <f t="shared" si="3"/>
        <v>0</v>
      </c>
      <c r="T142" s="15">
        <f>IFERROR(__xludf.DUMMYFUNCTION("IFERROR(PERCENTRANK.INC(FILTER(Q:Q,$F:$F&lt;&gt;""""),Q142)*100,"""")"),1.5)</f>
        <v>1.5</v>
      </c>
      <c r="U142" s="15">
        <f>IFERROR(__xludf.DUMMYFUNCTION("IFERROR(PERCENTRANK.INC(FILTER(R:R,$F:$F&lt;&gt;""""),R142)*100,"""")"),1.5)</f>
        <v>1.5</v>
      </c>
      <c r="V142" s="15">
        <f>IFERROR(__xludf.DUMMYFUNCTION("IFERROR(PERCENTRANK.INC(FILTER(S:S,$F:$F&lt;&gt;""""),S142)*100,"""")"),1.5)</f>
        <v>1.5</v>
      </c>
      <c r="W142" s="15" t="str">
        <f t="shared" si="4"/>
        <v/>
      </c>
      <c r="X142" s="16"/>
      <c r="Y142" s="9"/>
      <c r="Z142" s="9"/>
    </row>
    <row r="143">
      <c r="B143" t="str">
        <f t="array" ref="B143">IFERROR(INDEX('Player Raw Data'!E:E,Match($A143,'Player Raw Data'!$B:$B,0)),"")</f>
        <v/>
      </c>
      <c r="C143" t="str">
        <f t="array" ref="C143">IFERROR(INDEX('Player Raw Data'!C:C,Match($A143,'Player Raw Data'!$B:$B,0)),"")</f>
        <v/>
      </c>
      <c r="D143" t="str">
        <f t="array" ref="D143">IFERROR(IF(A143=A142, INDEX('Player Raw Data'!D:D,Match($A143,'Player Raw Data'!$B:$B,0)+2),INDEX('Player Raw Data'!D:D,Match($A143,'Player Raw Data'!$B:$B,0))),"")</f>
        <v/>
      </c>
      <c r="E143" t="str">
        <f t="array" ref="E143">IFERROR(INDEX('Player Raw Data'!F:F,Match($A143,'Player Raw Data'!$B:$B,0)),"")</f>
        <v/>
      </c>
      <c r="F143" t="str">
        <f t="array" ref="F143">IFERROR(INDEX('Player Raw Data'!H:H,Match($A143,'Player Raw Data'!$B:$B,0)),"")</f>
        <v/>
      </c>
      <c r="G143" t="str">
        <f t="array" ref="G143">IFERROR(INDEX('Player Raw Data'!I:I,Match($A143,'Player Raw Data'!$B:$B,0)),"")</f>
        <v/>
      </c>
      <c r="H143" t="str">
        <f t="array" ref="H143">IFERROR(INDEX('Player Raw Data'!J:J,Match($A143,'Player Raw Data'!$B:$B,0)),"")</f>
        <v/>
      </c>
      <c r="I143" t="str">
        <f t="array" ref="I143">IFERROR(INDEX('Player Raw Data'!S:S,Match($A143,'Player Raw Data'!$B:$B,0)),"")</f>
        <v/>
      </c>
      <c r="J143" t="str">
        <f t="array" ref="J143">IFERROR(INDEX('Player Raw Data'!T:T,Match($A143,'Player Raw Data'!$B:$B,0)),"")</f>
        <v/>
      </c>
      <c r="K143" t="str">
        <f t="array" ref="K143">IFERROR(INDEX('Player Raw Data'!X:X,Match($A143,'Player Raw Data'!$B:$B,0)),"")</f>
        <v/>
      </c>
      <c r="L143" t="str">
        <f t="array" ref="L143">IFERROR(INDEX('Player Raw Data'!Y:Y,Match($A143,'Player Raw Data'!$B:$B,0)),"")</f>
        <v/>
      </c>
      <c r="M143" t="str">
        <f t="array" ref="M143">IFERROR(INDEX('Player Raw Data'!Z:Z,Match($A143,'Player Raw Data'!$B:$B,0)),"")</f>
        <v/>
      </c>
      <c r="N143" t="str">
        <f t="array" ref="N143">IFERROR(INDEX('Player Raw Data'!AA:AA,Match($A143,'Player Raw Data'!$B:$B,0)),"")</f>
        <v/>
      </c>
      <c r="O143" t="str">
        <f t="array" ref="O143">IFERROR(INDEX('Player Raw Data'!AB:AB,Match($A143,'Player Raw Data'!$B:$B,0)),"")</f>
        <v/>
      </c>
      <c r="P143" t="str">
        <f t="array" ref="P143">IFERROR(INDEX('Player Raw Data'!AD:AD,Match($A143,'Player Raw Data'!$B:$B,0)),"")</f>
        <v/>
      </c>
      <c r="Q143">
        <f t="shared" si="1"/>
        <v>0</v>
      </c>
      <c r="R143" s="9">
        <f t="shared" si="2"/>
        <v>0</v>
      </c>
      <c r="S143" s="14">
        <f t="shared" si="3"/>
        <v>0</v>
      </c>
      <c r="T143" s="15">
        <f>IFERROR(__xludf.DUMMYFUNCTION("IFERROR(PERCENTRANK.INC(FILTER(Q:Q,$F:$F&lt;&gt;""""),Q143)*100,"""")"),1.5)</f>
        <v>1.5</v>
      </c>
      <c r="U143" s="15">
        <f>IFERROR(__xludf.DUMMYFUNCTION("IFERROR(PERCENTRANK.INC(FILTER(R:R,$F:$F&lt;&gt;""""),R143)*100,"""")"),1.5)</f>
        <v>1.5</v>
      </c>
      <c r="V143" s="15">
        <f>IFERROR(__xludf.DUMMYFUNCTION("IFERROR(PERCENTRANK.INC(FILTER(S:S,$F:$F&lt;&gt;""""),S143)*100,"""")"),1.5)</f>
        <v>1.5</v>
      </c>
      <c r="W143" s="15" t="str">
        <f t="shared" si="4"/>
        <v/>
      </c>
      <c r="X143" s="16"/>
      <c r="Y143" s="9"/>
      <c r="Z143" s="9"/>
    </row>
    <row r="144">
      <c r="B144" t="str">
        <f t="array" ref="B144">IFERROR(INDEX('Player Raw Data'!E:E,Match($A144,'Player Raw Data'!$B:$B,0)),"")</f>
        <v/>
      </c>
      <c r="C144" t="str">
        <f t="array" ref="C144">IFERROR(INDEX('Player Raw Data'!C:C,Match($A144,'Player Raw Data'!$B:$B,0)),"")</f>
        <v/>
      </c>
      <c r="D144" t="str">
        <f t="array" ref="D144">IFERROR(IF(A144=A143, INDEX('Player Raw Data'!D:D,Match($A144,'Player Raw Data'!$B:$B,0)+2),INDEX('Player Raw Data'!D:D,Match($A144,'Player Raw Data'!$B:$B,0))),"")</f>
        <v/>
      </c>
      <c r="E144" t="str">
        <f t="array" ref="E144">IFERROR(INDEX('Player Raw Data'!F:F,Match($A144,'Player Raw Data'!$B:$B,0)),"")</f>
        <v/>
      </c>
      <c r="F144" t="str">
        <f t="array" ref="F144">IFERROR(INDEX('Player Raw Data'!H:H,Match($A144,'Player Raw Data'!$B:$B,0)),"")</f>
        <v/>
      </c>
      <c r="G144" t="str">
        <f t="array" ref="G144">IFERROR(INDEX('Player Raw Data'!I:I,Match($A144,'Player Raw Data'!$B:$B,0)),"")</f>
        <v/>
      </c>
      <c r="H144" t="str">
        <f t="array" ref="H144">IFERROR(INDEX('Player Raw Data'!J:J,Match($A144,'Player Raw Data'!$B:$B,0)),"")</f>
        <v/>
      </c>
      <c r="I144" t="str">
        <f t="array" ref="I144">IFERROR(INDEX('Player Raw Data'!S:S,Match($A144,'Player Raw Data'!$B:$B,0)),"")</f>
        <v/>
      </c>
      <c r="J144" t="str">
        <f t="array" ref="J144">IFERROR(INDEX('Player Raw Data'!T:T,Match($A144,'Player Raw Data'!$B:$B,0)),"")</f>
        <v/>
      </c>
      <c r="K144" t="str">
        <f t="array" ref="K144">IFERROR(INDEX('Player Raw Data'!X:X,Match($A144,'Player Raw Data'!$B:$B,0)),"")</f>
        <v/>
      </c>
      <c r="L144" t="str">
        <f t="array" ref="L144">IFERROR(INDEX('Player Raw Data'!Y:Y,Match($A144,'Player Raw Data'!$B:$B,0)),"")</f>
        <v/>
      </c>
      <c r="M144" t="str">
        <f t="array" ref="M144">IFERROR(INDEX('Player Raw Data'!Z:Z,Match($A144,'Player Raw Data'!$B:$B,0)),"")</f>
        <v/>
      </c>
      <c r="N144" t="str">
        <f t="array" ref="N144">IFERROR(INDEX('Player Raw Data'!AA:AA,Match($A144,'Player Raw Data'!$B:$B,0)),"")</f>
        <v/>
      </c>
      <c r="O144" t="str">
        <f t="array" ref="O144">IFERROR(INDEX('Player Raw Data'!AB:AB,Match($A144,'Player Raw Data'!$B:$B,0)),"")</f>
        <v/>
      </c>
      <c r="P144" t="str">
        <f t="array" ref="P144">IFERROR(INDEX('Player Raw Data'!AD:AD,Match($A144,'Player Raw Data'!$B:$B,0)),"")</f>
        <v/>
      </c>
      <c r="Q144">
        <f t="shared" si="1"/>
        <v>0</v>
      </c>
      <c r="R144" s="9">
        <f t="shared" si="2"/>
        <v>0</v>
      </c>
      <c r="S144" s="14">
        <f t="shared" si="3"/>
        <v>0</v>
      </c>
      <c r="T144" s="15">
        <f>IFERROR(__xludf.DUMMYFUNCTION("IFERROR(PERCENTRANK.INC(FILTER(Q:Q,$F:$F&lt;&gt;""""),Q144)*100,"""")"),1.5)</f>
        <v>1.5</v>
      </c>
      <c r="U144" s="15">
        <f>IFERROR(__xludf.DUMMYFUNCTION("IFERROR(PERCENTRANK.INC(FILTER(R:R,$F:$F&lt;&gt;""""),R144)*100,"""")"),1.5)</f>
        <v>1.5</v>
      </c>
      <c r="V144" s="15">
        <f>IFERROR(__xludf.DUMMYFUNCTION("IFERROR(PERCENTRANK.INC(FILTER(S:S,$F:$F&lt;&gt;""""),S144)*100,"""")"),1.5)</f>
        <v>1.5</v>
      </c>
      <c r="W144" s="15" t="str">
        <f t="shared" si="4"/>
        <v/>
      </c>
      <c r="X144" s="16"/>
      <c r="Y144" s="9"/>
      <c r="Z144" s="9"/>
    </row>
    <row r="145">
      <c r="B145" t="str">
        <f t="array" ref="B145">IFERROR(INDEX('Player Raw Data'!E:E,Match($A145,'Player Raw Data'!$B:$B,0)),"")</f>
        <v/>
      </c>
      <c r="C145" t="str">
        <f t="array" ref="C145">IFERROR(INDEX('Player Raw Data'!C:C,Match($A145,'Player Raw Data'!$B:$B,0)),"")</f>
        <v/>
      </c>
      <c r="D145" t="str">
        <f t="array" ref="D145">IFERROR(IF(A145=A144, INDEX('Player Raw Data'!D:D,Match($A145,'Player Raw Data'!$B:$B,0)+2),INDEX('Player Raw Data'!D:D,Match($A145,'Player Raw Data'!$B:$B,0))),"")</f>
        <v/>
      </c>
      <c r="E145" t="str">
        <f t="array" ref="E145">IFERROR(INDEX('Player Raw Data'!F:F,Match($A145,'Player Raw Data'!$B:$B,0)),"")</f>
        <v/>
      </c>
      <c r="F145" t="str">
        <f t="array" ref="F145">IFERROR(INDEX('Player Raw Data'!H:H,Match($A145,'Player Raw Data'!$B:$B,0)),"")</f>
        <v/>
      </c>
      <c r="G145" t="str">
        <f t="array" ref="G145">IFERROR(INDEX('Player Raw Data'!I:I,Match($A145,'Player Raw Data'!$B:$B,0)),"")</f>
        <v/>
      </c>
      <c r="H145" t="str">
        <f t="array" ref="H145">IFERROR(INDEX('Player Raw Data'!J:J,Match($A145,'Player Raw Data'!$B:$B,0)),"")</f>
        <v/>
      </c>
      <c r="I145" t="str">
        <f t="array" ref="I145">IFERROR(INDEX('Player Raw Data'!S:S,Match($A145,'Player Raw Data'!$B:$B,0)),"")</f>
        <v/>
      </c>
      <c r="J145" t="str">
        <f t="array" ref="J145">IFERROR(INDEX('Player Raw Data'!T:T,Match($A145,'Player Raw Data'!$B:$B,0)),"")</f>
        <v/>
      </c>
      <c r="K145" t="str">
        <f t="array" ref="K145">IFERROR(INDEX('Player Raw Data'!X:X,Match($A145,'Player Raw Data'!$B:$B,0)),"")</f>
        <v/>
      </c>
      <c r="L145" t="str">
        <f t="array" ref="L145">IFERROR(INDEX('Player Raw Data'!Y:Y,Match($A145,'Player Raw Data'!$B:$B,0)),"")</f>
        <v/>
      </c>
      <c r="M145" t="str">
        <f t="array" ref="M145">IFERROR(INDEX('Player Raw Data'!Z:Z,Match($A145,'Player Raw Data'!$B:$B,0)),"")</f>
        <v/>
      </c>
      <c r="N145" t="str">
        <f t="array" ref="N145">IFERROR(INDEX('Player Raw Data'!AA:AA,Match($A145,'Player Raw Data'!$B:$B,0)),"")</f>
        <v/>
      </c>
      <c r="O145" t="str">
        <f t="array" ref="O145">IFERROR(INDEX('Player Raw Data'!AB:AB,Match($A145,'Player Raw Data'!$B:$B,0)),"")</f>
        <v/>
      </c>
      <c r="P145" t="str">
        <f t="array" ref="P145">IFERROR(INDEX('Player Raw Data'!AD:AD,Match($A145,'Player Raw Data'!$B:$B,0)),"")</f>
        <v/>
      </c>
      <c r="Q145">
        <f t="shared" si="1"/>
        <v>0</v>
      </c>
      <c r="R145" s="9">
        <f t="shared" si="2"/>
        <v>0</v>
      </c>
      <c r="S145" s="14">
        <f t="shared" si="3"/>
        <v>0</v>
      </c>
      <c r="T145" s="15">
        <f>IFERROR(__xludf.DUMMYFUNCTION("IFERROR(PERCENTRANK.INC(FILTER(Q:Q,$F:$F&lt;&gt;""""),Q145)*100,"""")"),1.5)</f>
        <v>1.5</v>
      </c>
      <c r="U145" s="15">
        <f>IFERROR(__xludf.DUMMYFUNCTION("IFERROR(PERCENTRANK.INC(FILTER(R:R,$F:$F&lt;&gt;""""),R145)*100,"""")"),1.5)</f>
        <v>1.5</v>
      </c>
      <c r="V145" s="15">
        <f>IFERROR(__xludf.DUMMYFUNCTION("IFERROR(PERCENTRANK.INC(FILTER(S:S,$F:$F&lt;&gt;""""),S145)*100,"""")"),1.5)</f>
        <v>1.5</v>
      </c>
      <c r="W145" s="15" t="str">
        <f t="shared" si="4"/>
        <v/>
      </c>
      <c r="X145" s="16"/>
      <c r="Y145" s="9"/>
      <c r="Z145" s="9"/>
    </row>
    <row r="146">
      <c r="B146" t="str">
        <f t="array" ref="B146">IFERROR(INDEX('Player Raw Data'!E:E,Match($A146,'Player Raw Data'!$B:$B,0)),"")</f>
        <v/>
      </c>
      <c r="C146" t="str">
        <f t="array" ref="C146">IFERROR(INDEX('Player Raw Data'!C:C,Match($A146,'Player Raw Data'!$B:$B,0)),"")</f>
        <v/>
      </c>
      <c r="D146" t="str">
        <f t="array" ref="D146">IFERROR(IF(A146=A145, INDEX('Player Raw Data'!D:D,Match($A146,'Player Raw Data'!$B:$B,0)+2),INDEX('Player Raw Data'!D:D,Match($A146,'Player Raw Data'!$B:$B,0))),"")</f>
        <v/>
      </c>
      <c r="E146" t="str">
        <f t="array" ref="E146">IFERROR(INDEX('Player Raw Data'!F:F,Match($A146,'Player Raw Data'!$B:$B,0)),"")</f>
        <v/>
      </c>
      <c r="F146" t="str">
        <f t="array" ref="F146">IFERROR(INDEX('Player Raw Data'!H:H,Match($A146,'Player Raw Data'!$B:$B,0)),"")</f>
        <v/>
      </c>
      <c r="G146" t="str">
        <f t="array" ref="G146">IFERROR(INDEX('Player Raw Data'!I:I,Match($A146,'Player Raw Data'!$B:$B,0)),"")</f>
        <v/>
      </c>
      <c r="H146" t="str">
        <f t="array" ref="H146">IFERROR(INDEX('Player Raw Data'!J:J,Match($A146,'Player Raw Data'!$B:$B,0)),"")</f>
        <v/>
      </c>
      <c r="I146" t="str">
        <f t="array" ref="I146">IFERROR(INDEX('Player Raw Data'!S:S,Match($A146,'Player Raw Data'!$B:$B,0)),"")</f>
        <v/>
      </c>
      <c r="J146" t="str">
        <f t="array" ref="J146">IFERROR(INDEX('Player Raw Data'!T:T,Match($A146,'Player Raw Data'!$B:$B,0)),"")</f>
        <v/>
      </c>
      <c r="K146" t="str">
        <f t="array" ref="K146">IFERROR(INDEX('Player Raw Data'!X:X,Match($A146,'Player Raw Data'!$B:$B,0)),"")</f>
        <v/>
      </c>
      <c r="L146" t="str">
        <f t="array" ref="L146">IFERROR(INDEX('Player Raw Data'!Y:Y,Match($A146,'Player Raw Data'!$B:$B,0)),"")</f>
        <v/>
      </c>
      <c r="M146" t="str">
        <f t="array" ref="M146">IFERROR(INDEX('Player Raw Data'!Z:Z,Match($A146,'Player Raw Data'!$B:$B,0)),"")</f>
        <v/>
      </c>
      <c r="N146" t="str">
        <f t="array" ref="N146">IFERROR(INDEX('Player Raw Data'!AA:AA,Match($A146,'Player Raw Data'!$B:$B,0)),"")</f>
        <v/>
      </c>
      <c r="O146" t="str">
        <f t="array" ref="O146">IFERROR(INDEX('Player Raw Data'!AB:AB,Match($A146,'Player Raw Data'!$B:$B,0)),"")</f>
        <v/>
      </c>
      <c r="P146" t="str">
        <f t="array" ref="P146">IFERROR(INDEX('Player Raw Data'!AD:AD,Match($A146,'Player Raw Data'!$B:$B,0)),"")</f>
        <v/>
      </c>
      <c r="Q146">
        <f t="shared" si="1"/>
        <v>0</v>
      </c>
      <c r="R146" s="9">
        <f t="shared" si="2"/>
        <v>0</v>
      </c>
      <c r="S146" s="14">
        <f t="shared" si="3"/>
        <v>0</v>
      </c>
      <c r="T146" s="15">
        <f>IFERROR(__xludf.DUMMYFUNCTION("IFERROR(PERCENTRANK.INC(FILTER(Q:Q,$F:$F&lt;&gt;""""),Q146)*100,"""")"),1.5)</f>
        <v>1.5</v>
      </c>
      <c r="U146" s="15">
        <f>IFERROR(__xludf.DUMMYFUNCTION("IFERROR(PERCENTRANK.INC(FILTER(R:R,$F:$F&lt;&gt;""""),R146)*100,"""")"),1.5)</f>
        <v>1.5</v>
      </c>
      <c r="V146" s="15">
        <f>IFERROR(__xludf.DUMMYFUNCTION("IFERROR(PERCENTRANK.INC(FILTER(S:S,$F:$F&lt;&gt;""""),S146)*100,"""")"),1.5)</f>
        <v>1.5</v>
      </c>
      <c r="W146" s="15" t="str">
        <f t="shared" si="4"/>
        <v/>
      </c>
      <c r="X146" s="16"/>
      <c r="Y146" s="9"/>
      <c r="Z146" s="9"/>
    </row>
    <row r="147">
      <c r="B147" t="str">
        <f t="array" ref="B147">IFERROR(INDEX('Player Raw Data'!E:E,Match($A147,'Player Raw Data'!$B:$B,0)),"")</f>
        <v/>
      </c>
      <c r="C147" t="str">
        <f t="array" ref="C147">IFERROR(INDEX('Player Raw Data'!C:C,Match($A147,'Player Raw Data'!$B:$B,0)),"")</f>
        <v/>
      </c>
      <c r="D147" t="str">
        <f t="array" ref="D147">IFERROR(IF(A147=A146, INDEX('Player Raw Data'!D:D,Match($A147,'Player Raw Data'!$B:$B,0)+2),INDEX('Player Raw Data'!D:D,Match($A147,'Player Raw Data'!$B:$B,0))),"")</f>
        <v/>
      </c>
      <c r="E147" t="str">
        <f t="array" ref="E147">IFERROR(INDEX('Player Raw Data'!F:F,Match($A147,'Player Raw Data'!$B:$B,0)),"")</f>
        <v/>
      </c>
      <c r="F147" t="str">
        <f t="array" ref="F147">IFERROR(INDEX('Player Raw Data'!H:H,Match($A147,'Player Raw Data'!$B:$B,0)),"")</f>
        <v/>
      </c>
      <c r="G147" t="str">
        <f t="array" ref="G147">IFERROR(INDEX('Player Raw Data'!I:I,Match($A147,'Player Raw Data'!$B:$B,0)),"")</f>
        <v/>
      </c>
      <c r="H147" t="str">
        <f t="array" ref="H147">IFERROR(INDEX('Player Raw Data'!J:J,Match($A147,'Player Raw Data'!$B:$B,0)),"")</f>
        <v/>
      </c>
      <c r="I147" t="str">
        <f t="array" ref="I147">IFERROR(INDEX('Player Raw Data'!S:S,Match($A147,'Player Raw Data'!$B:$B,0)),"")</f>
        <v/>
      </c>
      <c r="J147" t="str">
        <f t="array" ref="J147">IFERROR(INDEX('Player Raw Data'!T:T,Match($A147,'Player Raw Data'!$B:$B,0)),"")</f>
        <v/>
      </c>
      <c r="K147" t="str">
        <f t="array" ref="K147">IFERROR(INDEX('Player Raw Data'!X:X,Match($A147,'Player Raw Data'!$B:$B,0)),"")</f>
        <v/>
      </c>
      <c r="L147" t="str">
        <f t="array" ref="L147">IFERROR(INDEX('Player Raw Data'!Y:Y,Match($A147,'Player Raw Data'!$B:$B,0)),"")</f>
        <v/>
      </c>
      <c r="M147" t="str">
        <f t="array" ref="M147">IFERROR(INDEX('Player Raw Data'!Z:Z,Match($A147,'Player Raw Data'!$B:$B,0)),"")</f>
        <v/>
      </c>
      <c r="N147" t="str">
        <f t="array" ref="N147">IFERROR(INDEX('Player Raw Data'!AA:AA,Match($A147,'Player Raw Data'!$B:$B,0)),"")</f>
        <v/>
      </c>
      <c r="O147" t="str">
        <f t="array" ref="O147">IFERROR(INDEX('Player Raw Data'!AB:AB,Match($A147,'Player Raw Data'!$B:$B,0)),"")</f>
        <v/>
      </c>
      <c r="P147" t="str">
        <f t="array" ref="P147">IFERROR(INDEX('Player Raw Data'!AD:AD,Match($A147,'Player Raw Data'!$B:$B,0)),"")</f>
        <v/>
      </c>
      <c r="Q147">
        <f t="shared" si="1"/>
        <v>0</v>
      </c>
      <c r="R147" s="9">
        <f t="shared" si="2"/>
        <v>0</v>
      </c>
      <c r="S147" s="14">
        <f t="shared" si="3"/>
        <v>0</v>
      </c>
      <c r="T147" s="15">
        <f>IFERROR(__xludf.DUMMYFUNCTION("IFERROR(PERCENTRANK.INC(FILTER(Q:Q,$F:$F&lt;&gt;""""),Q147)*100,"""")"),1.5)</f>
        <v>1.5</v>
      </c>
      <c r="U147" s="15">
        <f>IFERROR(__xludf.DUMMYFUNCTION("IFERROR(PERCENTRANK.INC(FILTER(R:R,$F:$F&lt;&gt;""""),R147)*100,"""")"),1.5)</f>
        <v>1.5</v>
      </c>
      <c r="V147" s="15">
        <f>IFERROR(__xludf.DUMMYFUNCTION("IFERROR(PERCENTRANK.INC(FILTER(S:S,$F:$F&lt;&gt;""""),S147)*100,"""")"),1.5)</f>
        <v>1.5</v>
      </c>
      <c r="W147" s="15" t="str">
        <f t="shared" si="4"/>
        <v/>
      </c>
      <c r="X147" s="16"/>
      <c r="Y147" s="9"/>
      <c r="Z147" s="9"/>
    </row>
    <row r="148">
      <c r="B148" t="str">
        <f t="array" ref="B148">IFERROR(INDEX('Player Raw Data'!E:E,Match($A148,'Player Raw Data'!$B:$B,0)),"")</f>
        <v/>
      </c>
      <c r="C148" t="str">
        <f t="array" ref="C148">IFERROR(INDEX('Player Raw Data'!C:C,Match($A148,'Player Raw Data'!$B:$B,0)),"")</f>
        <v/>
      </c>
      <c r="D148" t="str">
        <f t="array" ref="D148">IFERROR(IF(A148=A147, INDEX('Player Raw Data'!D:D,Match($A148,'Player Raw Data'!$B:$B,0)+2),INDEX('Player Raw Data'!D:D,Match($A148,'Player Raw Data'!$B:$B,0))),"")</f>
        <v/>
      </c>
      <c r="E148" t="str">
        <f t="array" ref="E148">IFERROR(INDEX('Player Raw Data'!F:F,Match($A148,'Player Raw Data'!$B:$B,0)),"")</f>
        <v/>
      </c>
      <c r="F148" t="str">
        <f t="array" ref="F148">IFERROR(INDEX('Player Raw Data'!H:H,Match($A148,'Player Raw Data'!$B:$B,0)),"")</f>
        <v/>
      </c>
      <c r="G148" t="str">
        <f t="array" ref="G148">IFERROR(INDEX('Player Raw Data'!I:I,Match($A148,'Player Raw Data'!$B:$B,0)),"")</f>
        <v/>
      </c>
      <c r="H148" t="str">
        <f t="array" ref="H148">IFERROR(INDEX('Player Raw Data'!J:J,Match($A148,'Player Raw Data'!$B:$B,0)),"")</f>
        <v/>
      </c>
      <c r="I148" t="str">
        <f t="array" ref="I148">IFERROR(INDEX('Player Raw Data'!S:S,Match($A148,'Player Raw Data'!$B:$B,0)),"")</f>
        <v/>
      </c>
      <c r="J148" t="str">
        <f t="array" ref="J148">IFERROR(INDEX('Player Raw Data'!T:T,Match($A148,'Player Raw Data'!$B:$B,0)),"")</f>
        <v/>
      </c>
      <c r="K148" t="str">
        <f t="array" ref="K148">IFERROR(INDEX('Player Raw Data'!X:X,Match($A148,'Player Raw Data'!$B:$B,0)),"")</f>
        <v/>
      </c>
      <c r="L148" t="str">
        <f t="array" ref="L148">IFERROR(INDEX('Player Raw Data'!Y:Y,Match($A148,'Player Raw Data'!$B:$B,0)),"")</f>
        <v/>
      </c>
      <c r="M148" t="str">
        <f t="array" ref="M148">IFERROR(INDEX('Player Raw Data'!Z:Z,Match($A148,'Player Raw Data'!$B:$B,0)),"")</f>
        <v/>
      </c>
      <c r="N148" t="str">
        <f t="array" ref="N148">IFERROR(INDEX('Player Raw Data'!AA:AA,Match($A148,'Player Raw Data'!$B:$B,0)),"")</f>
        <v/>
      </c>
      <c r="O148" t="str">
        <f t="array" ref="O148">IFERROR(INDEX('Player Raw Data'!AB:AB,Match($A148,'Player Raw Data'!$B:$B,0)),"")</f>
        <v/>
      </c>
      <c r="P148" t="str">
        <f t="array" ref="P148">IFERROR(INDEX('Player Raw Data'!AD:AD,Match($A148,'Player Raw Data'!$B:$B,0)),"")</f>
        <v/>
      </c>
      <c r="Q148">
        <f t="shared" si="1"/>
        <v>0</v>
      </c>
      <c r="R148" s="9">
        <f t="shared" si="2"/>
        <v>0</v>
      </c>
      <c r="S148" s="14">
        <f t="shared" si="3"/>
        <v>0</v>
      </c>
      <c r="T148" s="15">
        <f>IFERROR(__xludf.DUMMYFUNCTION("IFERROR(PERCENTRANK.INC(FILTER(Q:Q,$F:$F&lt;&gt;""""),Q148)*100,"""")"),1.5)</f>
        <v>1.5</v>
      </c>
      <c r="U148" s="15">
        <f>IFERROR(__xludf.DUMMYFUNCTION("IFERROR(PERCENTRANK.INC(FILTER(R:R,$F:$F&lt;&gt;""""),R148)*100,"""")"),1.5)</f>
        <v>1.5</v>
      </c>
      <c r="V148" s="15">
        <f>IFERROR(__xludf.DUMMYFUNCTION("IFERROR(PERCENTRANK.INC(FILTER(S:S,$F:$F&lt;&gt;""""),S148)*100,"""")"),1.5)</f>
        <v>1.5</v>
      </c>
      <c r="W148" s="15" t="str">
        <f t="shared" si="4"/>
        <v/>
      </c>
      <c r="X148" s="16"/>
      <c r="Y148" s="9"/>
      <c r="Z148" s="9"/>
    </row>
    <row r="149">
      <c r="B149" t="str">
        <f t="array" ref="B149">IFERROR(INDEX('Player Raw Data'!E:E,Match($A149,'Player Raw Data'!$B:$B,0)),"")</f>
        <v/>
      </c>
      <c r="C149" t="str">
        <f t="array" ref="C149">IFERROR(INDEX('Player Raw Data'!C:C,Match($A149,'Player Raw Data'!$B:$B,0)),"")</f>
        <v/>
      </c>
      <c r="D149" t="str">
        <f t="array" ref="D149">IFERROR(IF(A149=A148, INDEX('Player Raw Data'!D:D,Match($A149,'Player Raw Data'!$B:$B,0)+2),INDEX('Player Raw Data'!D:D,Match($A149,'Player Raw Data'!$B:$B,0))),"")</f>
        <v/>
      </c>
      <c r="E149" t="str">
        <f t="array" ref="E149">IFERROR(INDEX('Player Raw Data'!F:F,Match($A149,'Player Raw Data'!$B:$B,0)),"")</f>
        <v/>
      </c>
      <c r="F149" t="str">
        <f t="array" ref="F149">IFERROR(INDEX('Player Raw Data'!H:H,Match($A149,'Player Raw Data'!$B:$B,0)),"")</f>
        <v/>
      </c>
      <c r="G149" t="str">
        <f t="array" ref="G149">IFERROR(INDEX('Player Raw Data'!I:I,Match($A149,'Player Raw Data'!$B:$B,0)),"")</f>
        <v/>
      </c>
      <c r="H149" t="str">
        <f t="array" ref="H149">IFERROR(INDEX('Player Raw Data'!J:J,Match($A149,'Player Raw Data'!$B:$B,0)),"")</f>
        <v/>
      </c>
      <c r="I149" t="str">
        <f t="array" ref="I149">IFERROR(INDEX('Player Raw Data'!S:S,Match($A149,'Player Raw Data'!$B:$B,0)),"")</f>
        <v/>
      </c>
      <c r="J149" t="str">
        <f t="array" ref="J149">IFERROR(INDEX('Player Raw Data'!T:T,Match($A149,'Player Raw Data'!$B:$B,0)),"")</f>
        <v/>
      </c>
      <c r="K149" t="str">
        <f t="array" ref="K149">IFERROR(INDEX('Player Raw Data'!X:X,Match($A149,'Player Raw Data'!$B:$B,0)),"")</f>
        <v/>
      </c>
      <c r="L149" t="str">
        <f t="array" ref="L149">IFERROR(INDEX('Player Raw Data'!Y:Y,Match($A149,'Player Raw Data'!$B:$B,0)),"")</f>
        <v/>
      </c>
      <c r="M149" t="str">
        <f t="array" ref="M149">IFERROR(INDEX('Player Raw Data'!Z:Z,Match($A149,'Player Raw Data'!$B:$B,0)),"")</f>
        <v/>
      </c>
      <c r="N149" t="str">
        <f t="array" ref="N149">IFERROR(INDEX('Player Raw Data'!AA:AA,Match($A149,'Player Raw Data'!$B:$B,0)),"")</f>
        <v/>
      </c>
      <c r="O149" t="str">
        <f t="array" ref="O149">IFERROR(INDEX('Player Raw Data'!AB:AB,Match($A149,'Player Raw Data'!$B:$B,0)),"")</f>
        <v/>
      </c>
      <c r="P149" t="str">
        <f t="array" ref="P149">IFERROR(INDEX('Player Raw Data'!AD:AD,Match($A149,'Player Raw Data'!$B:$B,0)),"")</f>
        <v/>
      </c>
      <c r="Q149">
        <f t="shared" si="1"/>
        <v>0</v>
      </c>
      <c r="R149" s="9">
        <f t="shared" si="2"/>
        <v>0</v>
      </c>
      <c r="S149" s="14">
        <f t="shared" si="3"/>
        <v>0</v>
      </c>
      <c r="T149" s="15">
        <f>IFERROR(__xludf.DUMMYFUNCTION("IFERROR(PERCENTRANK.INC(FILTER(Q:Q,$F:$F&lt;&gt;""""),Q149)*100,"""")"),1.5)</f>
        <v>1.5</v>
      </c>
      <c r="U149" s="15">
        <f>IFERROR(__xludf.DUMMYFUNCTION("IFERROR(PERCENTRANK.INC(FILTER(R:R,$F:$F&lt;&gt;""""),R149)*100,"""")"),1.5)</f>
        <v>1.5</v>
      </c>
      <c r="V149" s="15">
        <f>IFERROR(__xludf.DUMMYFUNCTION("IFERROR(PERCENTRANK.INC(FILTER(S:S,$F:$F&lt;&gt;""""),S149)*100,"""")"),1.5)</f>
        <v>1.5</v>
      </c>
      <c r="W149" s="15" t="str">
        <f t="shared" si="4"/>
        <v/>
      </c>
      <c r="X149" s="16"/>
      <c r="Y149" s="9"/>
      <c r="Z149" s="9"/>
    </row>
    <row r="150">
      <c r="B150" t="str">
        <f t="array" ref="B150">IFERROR(INDEX('Player Raw Data'!E:E,Match($A150,'Player Raw Data'!$B:$B,0)),"")</f>
        <v/>
      </c>
      <c r="C150" t="str">
        <f t="array" ref="C150">IFERROR(INDEX('Player Raw Data'!C:C,Match($A150,'Player Raw Data'!$B:$B,0)),"")</f>
        <v/>
      </c>
      <c r="D150" t="str">
        <f t="array" ref="D150">IFERROR(IF(A150=A149, INDEX('Player Raw Data'!D:D,Match($A150,'Player Raw Data'!$B:$B,0)+2),INDEX('Player Raw Data'!D:D,Match($A150,'Player Raw Data'!$B:$B,0))),"")</f>
        <v/>
      </c>
      <c r="E150" t="str">
        <f t="array" ref="E150">IFERROR(INDEX('Player Raw Data'!F:F,Match($A150,'Player Raw Data'!$B:$B,0)),"")</f>
        <v/>
      </c>
      <c r="F150" t="str">
        <f t="array" ref="F150">IFERROR(INDEX('Player Raw Data'!H:H,Match($A150,'Player Raw Data'!$B:$B,0)),"")</f>
        <v/>
      </c>
      <c r="G150" t="str">
        <f t="array" ref="G150">IFERROR(INDEX('Player Raw Data'!I:I,Match($A150,'Player Raw Data'!$B:$B,0)),"")</f>
        <v/>
      </c>
      <c r="H150" t="str">
        <f t="array" ref="H150">IFERROR(INDEX('Player Raw Data'!J:J,Match($A150,'Player Raw Data'!$B:$B,0)),"")</f>
        <v/>
      </c>
      <c r="I150" t="str">
        <f t="array" ref="I150">IFERROR(INDEX('Player Raw Data'!S:S,Match($A150,'Player Raw Data'!$B:$B,0)),"")</f>
        <v/>
      </c>
      <c r="J150" t="str">
        <f t="array" ref="J150">IFERROR(INDEX('Player Raw Data'!T:T,Match($A150,'Player Raw Data'!$B:$B,0)),"")</f>
        <v/>
      </c>
      <c r="K150" t="str">
        <f t="array" ref="K150">IFERROR(INDEX('Player Raw Data'!X:X,Match($A150,'Player Raw Data'!$B:$B,0)),"")</f>
        <v/>
      </c>
      <c r="L150" t="str">
        <f t="array" ref="L150">IFERROR(INDEX('Player Raw Data'!Y:Y,Match($A150,'Player Raw Data'!$B:$B,0)),"")</f>
        <v/>
      </c>
      <c r="M150" t="str">
        <f t="array" ref="M150">IFERROR(INDEX('Player Raw Data'!Z:Z,Match($A150,'Player Raw Data'!$B:$B,0)),"")</f>
        <v/>
      </c>
      <c r="N150" t="str">
        <f t="array" ref="N150">IFERROR(INDEX('Player Raw Data'!AA:AA,Match($A150,'Player Raw Data'!$B:$B,0)),"")</f>
        <v/>
      </c>
      <c r="O150" t="str">
        <f t="array" ref="O150">IFERROR(INDEX('Player Raw Data'!AB:AB,Match($A150,'Player Raw Data'!$B:$B,0)),"")</f>
        <v/>
      </c>
      <c r="P150" t="str">
        <f t="array" ref="P150">IFERROR(INDEX('Player Raw Data'!AD:AD,Match($A150,'Player Raw Data'!$B:$B,0)),"")</f>
        <v/>
      </c>
      <c r="Q150">
        <f t="shared" si="1"/>
        <v>0</v>
      </c>
      <c r="R150" s="9">
        <f t="shared" si="2"/>
        <v>0</v>
      </c>
      <c r="S150" s="14">
        <f t="shared" si="3"/>
        <v>0</v>
      </c>
      <c r="T150" s="15">
        <f>IFERROR(__xludf.DUMMYFUNCTION("IFERROR(PERCENTRANK.INC(FILTER(Q:Q,$F:$F&lt;&gt;""""),Q150)*100,"""")"),1.5)</f>
        <v>1.5</v>
      </c>
      <c r="U150" s="15">
        <f>IFERROR(__xludf.DUMMYFUNCTION("IFERROR(PERCENTRANK.INC(FILTER(R:R,$F:$F&lt;&gt;""""),R150)*100,"""")"),1.5)</f>
        <v>1.5</v>
      </c>
      <c r="V150" s="15">
        <f>IFERROR(__xludf.DUMMYFUNCTION("IFERROR(PERCENTRANK.INC(FILTER(S:S,$F:$F&lt;&gt;""""),S150)*100,"""")"),1.5)</f>
        <v>1.5</v>
      </c>
      <c r="W150" s="15" t="str">
        <f t="shared" si="4"/>
        <v/>
      </c>
      <c r="X150" s="16"/>
      <c r="Y150" s="9"/>
      <c r="Z150" s="9"/>
    </row>
    <row r="151">
      <c r="B151" t="str">
        <f t="array" ref="B151">IFERROR(INDEX('Player Raw Data'!E:E,Match($A151,'Player Raw Data'!$B:$B,0)),"")</f>
        <v/>
      </c>
      <c r="C151" t="str">
        <f t="array" ref="C151">IFERROR(INDEX('Player Raw Data'!C:C,Match($A151,'Player Raw Data'!$B:$B,0)),"")</f>
        <v/>
      </c>
      <c r="D151" t="str">
        <f t="array" ref="D151">IFERROR(IF(A151=A150, INDEX('Player Raw Data'!D:D,Match($A151,'Player Raw Data'!$B:$B,0)+2),INDEX('Player Raw Data'!D:D,Match($A151,'Player Raw Data'!$B:$B,0))),"")</f>
        <v/>
      </c>
      <c r="E151" t="str">
        <f t="array" ref="E151">IFERROR(INDEX('Player Raw Data'!F:F,Match($A151,'Player Raw Data'!$B:$B,0)),"")</f>
        <v/>
      </c>
      <c r="F151" t="str">
        <f t="array" ref="F151">IFERROR(INDEX('Player Raw Data'!H:H,Match($A151,'Player Raw Data'!$B:$B,0)),"")</f>
        <v/>
      </c>
      <c r="G151" t="str">
        <f t="array" ref="G151">IFERROR(INDEX('Player Raw Data'!I:I,Match($A151,'Player Raw Data'!$B:$B,0)),"")</f>
        <v/>
      </c>
      <c r="H151" t="str">
        <f t="array" ref="H151">IFERROR(INDEX('Player Raw Data'!J:J,Match($A151,'Player Raw Data'!$B:$B,0)),"")</f>
        <v/>
      </c>
      <c r="I151" t="str">
        <f t="array" ref="I151">IFERROR(INDEX('Player Raw Data'!S:S,Match($A151,'Player Raw Data'!$B:$B,0)),"")</f>
        <v/>
      </c>
      <c r="J151" t="str">
        <f t="array" ref="J151">IFERROR(INDEX('Player Raw Data'!T:T,Match($A151,'Player Raw Data'!$B:$B,0)),"")</f>
        <v/>
      </c>
      <c r="K151" t="str">
        <f t="array" ref="K151">IFERROR(INDEX('Player Raw Data'!X:X,Match($A151,'Player Raw Data'!$B:$B,0)),"")</f>
        <v/>
      </c>
      <c r="L151" t="str">
        <f t="array" ref="L151">IFERROR(INDEX('Player Raw Data'!Y:Y,Match($A151,'Player Raw Data'!$B:$B,0)),"")</f>
        <v/>
      </c>
      <c r="M151" t="str">
        <f t="array" ref="M151">IFERROR(INDEX('Player Raw Data'!Z:Z,Match($A151,'Player Raw Data'!$B:$B,0)),"")</f>
        <v/>
      </c>
      <c r="N151" t="str">
        <f t="array" ref="N151">IFERROR(INDEX('Player Raw Data'!AA:AA,Match($A151,'Player Raw Data'!$B:$B,0)),"")</f>
        <v/>
      </c>
      <c r="O151" t="str">
        <f t="array" ref="O151">IFERROR(INDEX('Player Raw Data'!AB:AB,Match($A151,'Player Raw Data'!$B:$B,0)),"")</f>
        <v/>
      </c>
      <c r="P151" t="str">
        <f t="array" ref="P151">IFERROR(INDEX('Player Raw Data'!AD:AD,Match($A151,'Player Raw Data'!$B:$B,0)),"")</f>
        <v/>
      </c>
      <c r="Q151">
        <f t="shared" si="1"/>
        <v>0</v>
      </c>
      <c r="R151" s="9">
        <f t="shared" si="2"/>
        <v>0</v>
      </c>
      <c r="S151" s="14">
        <f t="shared" si="3"/>
        <v>0</v>
      </c>
      <c r="T151" s="15">
        <f>IFERROR(__xludf.DUMMYFUNCTION("IFERROR(PERCENTRANK.INC(FILTER(Q:Q,$F:$F&lt;&gt;""""),Q151)*100,"""")"),1.5)</f>
        <v>1.5</v>
      </c>
      <c r="U151" s="15">
        <f>IFERROR(__xludf.DUMMYFUNCTION("IFERROR(PERCENTRANK.INC(FILTER(R:R,$F:$F&lt;&gt;""""),R151)*100,"""")"),1.5)</f>
        <v>1.5</v>
      </c>
      <c r="V151" s="15">
        <f>IFERROR(__xludf.DUMMYFUNCTION("IFERROR(PERCENTRANK.INC(FILTER(S:S,$F:$F&lt;&gt;""""),S151)*100,"""")"),1.5)</f>
        <v>1.5</v>
      </c>
      <c r="W151" s="15" t="str">
        <f t="shared" si="4"/>
        <v/>
      </c>
      <c r="X151" s="16"/>
      <c r="Y151" s="9"/>
      <c r="Z151" s="9"/>
    </row>
    <row r="152">
      <c r="B152" t="str">
        <f t="array" ref="B152">IFERROR(INDEX('Player Raw Data'!E:E,Match($A152,'Player Raw Data'!$B:$B,0)),"")</f>
        <v/>
      </c>
      <c r="C152" t="str">
        <f t="array" ref="C152">IFERROR(INDEX('Player Raw Data'!C:C,Match($A152,'Player Raw Data'!$B:$B,0)),"")</f>
        <v/>
      </c>
      <c r="D152" t="str">
        <f t="array" ref="D152">IFERROR(IF(A152=A151, INDEX('Player Raw Data'!D:D,Match($A152,'Player Raw Data'!$B:$B,0)+2),INDEX('Player Raw Data'!D:D,Match($A152,'Player Raw Data'!$B:$B,0))),"")</f>
        <v/>
      </c>
      <c r="E152" t="str">
        <f t="array" ref="E152">IFERROR(INDEX('Player Raw Data'!F:F,Match($A152,'Player Raw Data'!$B:$B,0)),"")</f>
        <v/>
      </c>
      <c r="F152" t="str">
        <f t="array" ref="F152">IFERROR(INDEX('Player Raw Data'!H:H,Match($A152,'Player Raw Data'!$B:$B,0)),"")</f>
        <v/>
      </c>
      <c r="G152" t="str">
        <f t="array" ref="G152">IFERROR(INDEX('Player Raw Data'!I:I,Match($A152,'Player Raw Data'!$B:$B,0)),"")</f>
        <v/>
      </c>
      <c r="H152" t="str">
        <f t="array" ref="H152">IFERROR(INDEX('Player Raw Data'!J:J,Match($A152,'Player Raw Data'!$B:$B,0)),"")</f>
        <v/>
      </c>
      <c r="I152" t="str">
        <f t="array" ref="I152">IFERROR(INDEX('Player Raw Data'!S:S,Match($A152,'Player Raw Data'!$B:$B,0)),"")</f>
        <v/>
      </c>
      <c r="J152" t="str">
        <f t="array" ref="J152">IFERROR(INDEX('Player Raw Data'!T:T,Match($A152,'Player Raw Data'!$B:$B,0)),"")</f>
        <v/>
      </c>
      <c r="K152" t="str">
        <f t="array" ref="K152">IFERROR(INDEX('Player Raw Data'!X:X,Match($A152,'Player Raw Data'!$B:$B,0)),"")</f>
        <v/>
      </c>
      <c r="L152" t="str">
        <f t="array" ref="L152">IFERROR(INDEX('Player Raw Data'!Y:Y,Match($A152,'Player Raw Data'!$B:$B,0)),"")</f>
        <v/>
      </c>
      <c r="M152" t="str">
        <f t="array" ref="M152">IFERROR(INDEX('Player Raw Data'!Z:Z,Match($A152,'Player Raw Data'!$B:$B,0)),"")</f>
        <v/>
      </c>
      <c r="N152" t="str">
        <f t="array" ref="N152">IFERROR(INDEX('Player Raw Data'!AA:AA,Match($A152,'Player Raw Data'!$B:$B,0)),"")</f>
        <v/>
      </c>
      <c r="O152" t="str">
        <f t="array" ref="O152">IFERROR(INDEX('Player Raw Data'!AB:AB,Match($A152,'Player Raw Data'!$B:$B,0)),"")</f>
        <v/>
      </c>
      <c r="P152" t="str">
        <f t="array" ref="P152">IFERROR(INDEX('Player Raw Data'!AD:AD,Match($A152,'Player Raw Data'!$B:$B,0)),"")</f>
        <v/>
      </c>
      <c r="Q152">
        <f t="shared" si="1"/>
        <v>0</v>
      </c>
      <c r="R152" s="9">
        <f t="shared" si="2"/>
        <v>0</v>
      </c>
      <c r="S152" s="14">
        <f t="shared" si="3"/>
        <v>0</v>
      </c>
      <c r="T152" s="15">
        <f>IFERROR(__xludf.DUMMYFUNCTION("IFERROR(PERCENTRANK.INC(FILTER(Q:Q,$F:$F&lt;&gt;""""),Q152)*100,"""")"),1.5)</f>
        <v>1.5</v>
      </c>
      <c r="U152" s="15">
        <f>IFERROR(__xludf.DUMMYFUNCTION("IFERROR(PERCENTRANK.INC(FILTER(R:R,$F:$F&lt;&gt;""""),R152)*100,"""")"),1.5)</f>
        <v>1.5</v>
      </c>
      <c r="V152" s="15">
        <f>IFERROR(__xludf.DUMMYFUNCTION("IFERROR(PERCENTRANK.INC(FILTER(S:S,$F:$F&lt;&gt;""""),S152)*100,"""")"),1.5)</f>
        <v>1.5</v>
      </c>
      <c r="W152" s="15" t="str">
        <f t="shared" si="4"/>
        <v/>
      </c>
      <c r="X152" s="16"/>
      <c r="Y152" s="9"/>
      <c r="Z152" s="9"/>
    </row>
    <row r="153">
      <c r="B153" t="str">
        <f t="array" ref="B153">IFERROR(INDEX('Player Raw Data'!E:E,Match($A153,'Player Raw Data'!$B:$B,0)),"")</f>
        <v/>
      </c>
      <c r="C153" t="str">
        <f t="array" ref="C153">IFERROR(INDEX('Player Raw Data'!C:C,Match($A153,'Player Raw Data'!$B:$B,0)),"")</f>
        <v/>
      </c>
      <c r="D153" t="str">
        <f t="array" ref="D153">IFERROR(IF(A153=A152, INDEX('Player Raw Data'!D:D,Match($A153,'Player Raw Data'!$B:$B,0)+2),INDEX('Player Raw Data'!D:D,Match($A153,'Player Raw Data'!$B:$B,0))),"")</f>
        <v/>
      </c>
      <c r="E153" t="str">
        <f t="array" ref="E153">IFERROR(INDEX('Player Raw Data'!F:F,Match($A153,'Player Raw Data'!$B:$B,0)),"")</f>
        <v/>
      </c>
      <c r="F153" t="str">
        <f t="array" ref="F153">IFERROR(INDEX('Player Raw Data'!H:H,Match($A153,'Player Raw Data'!$B:$B,0)),"")</f>
        <v/>
      </c>
      <c r="G153" t="str">
        <f t="array" ref="G153">IFERROR(INDEX('Player Raw Data'!I:I,Match($A153,'Player Raw Data'!$B:$B,0)),"")</f>
        <v/>
      </c>
      <c r="H153" t="str">
        <f t="array" ref="H153">IFERROR(INDEX('Player Raw Data'!J:J,Match($A153,'Player Raw Data'!$B:$B,0)),"")</f>
        <v/>
      </c>
      <c r="I153" t="str">
        <f t="array" ref="I153">IFERROR(INDEX('Player Raw Data'!S:S,Match($A153,'Player Raw Data'!$B:$B,0)),"")</f>
        <v/>
      </c>
      <c r="J153" t="str">
        <f t="array" ref="J153">IFERROR(INDEX('Player Raw Data'!T:T,Match($A153,'Player Raw Data'!$B:$B,0)),"")</f>
        <v/>
      </c>
      <c r="K153" t="str">
        <f t="array" ref="K153">IFERROR(INDEX('Player Raw Data'!X:X,Match($A153,'Player Raw Data'!$B:$B,0)),"")</f>
        <v/>
      </c>
      <c r="L153" t="str">
        <f t="array" ref="L153">IFERROR(INDEX('Player Raw Data'!Y:Y,Match($A153,'Player Raw Data'!$B:$B,0)),"")</f>
        <v/>
      </c>
      <c r="M153" t="str">
        <f t="array" ref="M153">IFERROR(INDEX('Player Raw Data'!Z:Z,Match($A153,'Player Raw Data'!$B:$B,0)),"")</f>
        <v/>
      </c>
      <c r="N153" t="str">
        <f t="array" ref="N153">IFERROR(INDEX('Player Raw Data'!AA:AA,Match($A153,'Player Raw Data'!$B:$B,0)),"")</f>
        <v/>
      </c>
      <c r="O153" t="str">
        <f t="array" ref="O153">IFERROR(INDEX('Player Raw Data'!AB:AB,Match($A153,'Player Raw Data'!$B:$B,0)),"")</f>
        <v/>
      </c>
      <c r="P153" t="str">
        <f t="array" ref="P153">IFERROR(INDEX('Player Raw Data'!AD:AD,Match($A153,'Player Raw Data'!$B:$B,0)),"")</f>
        <v/>
      </c>
      <c r="Q153">
        <f t="shared" si="1"/>
        <v>0</v>
      </c>
      <c r="R153" s="9">
        <f t="shared" si="2"/>
        <v>0</v>
      </c>
      <c r="S153" s="14">
        <f t="shared" si="3"/>
        <v>0</v>
      </c>
      <c r="T153" s="15">
        <f>IFERROR(__xludf.DUMMYFUNCTION("IFERROR(PERCENTRANK.INC(FILTER(Q:Q,$F:$F&lt;&gt;""""),Q153)*100,"""")"),1.5)</f>
        <v>1.5</v>
      </c>
      <c r="U153" s="15">
        <f>IFERROR(__xludf.DUMMYFUNCTION("IFERROR(PERCENTRANK.INC(FILTER(R:R,$F:$F&lt;&gt;""""),R153)*100,"""")"),1.5)</f>
        <v>1.5</v>
      </c>
      <c r="V153" s="15">
        <f>IFERROR(__xludf.DUMMYFUNCTION("IFERROR(PERCENTRANK.INC(FILTER(S:S,$F:$F&lt;&gt;""""),S153)*100,"""")"),1.5)</f>
        <v>1.5</v>
      </c>
      <c r="W153" s="15" t="str">
        <f t="shared" si="4"/>
        <v/>
      </c>
      <c r="X153" s="16"/>
      <c r="Y153" s="9"/>
      <c r="Z153" s="9"/>
    </row>
    <row r="154">
      <c r="B154" t="str">
        <f t="array" ref="B154">IFERROR(INDEX('Player Raw Data'!E:E,Match($A154,'Player Raw Data'!$B:$B,0)),"")</f>
        <v/>
      </c>
      <c r="C154" t="str">
        <f t="array" ref="C154">IFERROR(INDEX('Player Raw Data'!C:C,Match($A154,'Player Raw Data'!$B:$B,0)),"")</f>
        <v/>
      </c>
      <c r="D154" t="str">
        <f t="array" ref="D154">IFERROR(IF(A154=A153, INDEX('Player Raw Data'!D:D,Match($A154,'Player Raw Data'!$B:$B,0)+2),INDEX('Player Raw Data'!D:D,Match($A154,'Player Raw Data'!$B:$B,0))),"")</f>
        <v/>
      </c>
      <c r="E154" t="str">
        <f t="array" ref="E154">IFERROR(INDEX('Player Raw Data'!F:F,Match($A154,'Player Raw Data'!$B:$B,0)),"")</f>
        <v/>
      </c>
      <c r="F154" t="str">
        <f t="array" ref="F154">IFERROR(INDEX('Player Raw Data'!H:H,Match($A154,'Player Raw Data'!$B:$B,0)),"")</f>
        <v/>
      </c>
      <c r="G154" t="str">
        <f t="array" ref="G154">IFERROR(INDEX('Player Raw Data'!I:I,Match($A154,'Player Raw Data'!$B:$B,0)),"")</f>
        <v/>
      </c>
      <c r="H154" t="str">
        <f t="array" ref="H154">IFERROR(INDEX('Player Raw Data'!J:J,Match($A154,'Player Raw Data'!$B:$B,0)),"")</f>
        <v/>
      </c>
      <c r="I154" t="str">
        <f t="array" ref="I154">IFERROR(INDEX('Player Raw Data'!S:S,Match($A154,'Player Raw Data'!$B:$B,0)),"")</f>
        <v/>
      </c>
      <c r="J154" t="str">
        <f t="array" ref="J154">IFERROR(INDEX('Player Raw Data'!T:T,Match($A154,'Player Raw Data'!$B:$B,0)),"")</f>
        <v/>
      </c>
      <c r="K154" t="str">
        <f t="array" ref="K154">IFERROR(INDEX('Player Raw Data'!X:X,Match($A154,'Player Raw Data'!$B:$B,0)),"")</f>
        <v/>
      </c>
      <c r="L154" t="str">
        <f t="array" ref="L154">IFERROR(INDEX('Player Raw Data'!Y:Y,Match($A154,'Player Raw Data'!$B:$B,0)),"")</f>
        <v/>
      </c>
      <c r="M154" t="str">
        <f t="array" ref="M154">IFERROR(INDEX('Player Raw Data'!Z:Z,Match($A154,'Player Raw Data'!$B:$B,0)),"")</f>
        <v/>
      </c>
      <c r="N154" t="str">
        <f t="array" ref="N154">IFERROR(INDEX('Player Raw Data'!AA:AA,Match($A154,'Player Raw Data'!$B:$B,0)),"")</f>
        <v/>
      </c>
      <c r="O154" t="str">
        <f t="array" ref="O154">IFERROR(INDEX('Player Raw Data'!AB:AB,Match($A154,'Player Raw Data'!$B:$B,0)),"")</f>
        <v/>
      </c>
      <c r="P154" t="str">
        <f t="array" ref="P154">IFERROR(INDEX('Player Raw Data'!AD:AD,Match($A154,'Player Raw Data'!$B:$B,0)),"")</f>
        <v/>
      </c>
      <c r="Q154">
        <f t="shared" si="1"/>
        <v>0</v>
      </c>
      <c r="R154" s="9">
        <f t="shared" si="2"/>
        <v>0</v>
      </c>
      <c r="S154" s="14">
        <f t="shared" si="3"/>
        <v>0</v>
      </c>
      <c r="T154" s="15">
        <f>IFERROR(__xludf.DUMMYFUNCTION("IFERROR(PERCENTRANK.INC(FILTER(Q:Q,$F:$F&lt;&gt;""""),Q154)*100,"""")"),1.5)</f>
        <v>1.5</v>
      </c>
      <c r="U154" s="15">
        <f>IFERROR(__xludf.DUMMYFUNCTION("IFERROR(PERCENTRANK.INC(FILTER(R:R,$F:$F&lt;&gt;""""),R154)*100,"""")"),1.5)</f>
        <v>1.5</v>
      </c>
      <c r="V154" s="15">
        <f>IFERROR(__xludf.DUMMYFUNCTION("IFERROR(PERCENTRANK.INC(FILTER(S:S,$F:$F&lt;&gt;""""),S154)*100,"""")"),1.5)</f>
        <v>1.5</v>
      </c>
      <c r="W154" s="15" t="str">
        <f t="shared" si="4"/>
        <v/>
      </c>
      <c r="X154" s="16"/>
      <c r="Y154" s="9"/>
      <c r="Z154" s="9"/>
    </row>
    <row r="155">
      <c r="B155" t="str">
        <f t="array" ref="B155">IFERROR(INDEX('Player Raw Data'!E:E,Match($A155,'Player Raw Data'!$B:$B,0)),"")</f>
        <v/>
      </c>
      <c r="C155" t="str">
        <f t="array" ref="C155">IFERROR(INDEX('Player Raw Data'!C:C,Match($A155,'Player Raw Data'!$B:$B,0)),"")</f>
        <v/>
      </c>
      <c r="D155" t="str">
        <f t="array" ref="D155">IFERROR(IF(A155=A154, INDEX('Player Raw Data'!D:D,Match($A155,'Player Raw Data'!$B:$B,0)+2),INDEX('Player Raw Data'!D:D,Match($A155,'Player Raw Data'!$B:$B,0))),"")</f>
        <v/>
      </c>
      <c r="E155" t="str">
        <f t="array" ref="E155">IFERROR(INDEX('Player Raw Data'!F:F,Match($A155,'Player Raw Data'!$B:$B,0)),"")</f>
        <v/>
      </c>
      <c r="F155" t="str">
        <f t="array" ref="F155">IFERROR(INDEX('Player Raw Data'!H:H,Match($A155,'Player Raw Data'!$B:$B,0)),"")</f>
        <v/>
      </c>
      <c r="G155" t="str">
        <f t="array" ref="G155">IFERROR(INDEX('Player Raw Data'!I:I,Match($A155,'Player Raw Data'!$B:$B,0)),"")</f>
        <v/>
      </c>
      <c r="H155" t="str">
        <f t="array" ref="H155">IFERROR(INDEX('Player Raw Data'!J:J,Match($A155,'Player Raw Data'!$B:$B,0)),"")</f>
        <v/>
      </c>
      <c r="I155" t="str">
        <f t="array" ref="I155">IFERROR(INDEX('Player Raw Data'!S:S,Match($A155,'Player Raw Data'!$B:$B,0)),"")</f>
        <v/>
      </c>
      <c r="J155" t="str">
        <f t="array" ref="J155">IFERROR(INDEX('Player Raw Data'!T:T,Match($A155,'Player Raw Data'!$B:$B,0)),"")</f>
        <v/>
      </c>
      <c r="K155" t="str">
        <f t="array" ref="K155">IFERROR(INDEX('Player Raw Data'!X:X,Match($A155,'Player Raw Data'!$B:$B,0)),"")</f>
        <v/>
      </c>
      <c r="L155" t="str">
        <f t="array" ref="L155">IFERROR(INDEX('Player Raw Data'!Y:Y,Match($A155,'Player Raw Data'!$B:$B,0)),"")</f>
        <v/>
      </c>
      <c r="M155" t="str">
        <f t="array" ref="M155">IFERROR(INDEX('Player Raw Data'!Z:Z,Match($A155,'Player Raw Data'!$B:$B,0)),"")</f>
        <v/>
      </c>
      <c r="N155" t="str">
        <f t="array" ref="N155">IFERROR(INDEX('Player Raw Data'!AA:AA,Match($A155,'Player Raw Data'!$B:$B,0)),"")</f>
        <v/>
      </c>
      <c r="O155" t="str">
        <f t="array" ref="O155">IFERROR(INDEX('Player Raw Data'!AB:AB,Match($A155,'Player Raw Data'!$B:$B,0)),"")</f>
        <v/>
      </c>
      <c r="P155" t="str">
        <f t="array" ref="P155">IFERROR(INDEX('Player Raw Data'!AD:AD,Match($A155,'Player Raw Data'!$B:$B,0)),"")</f>
        <v/>
      </c>
      <c r="Q155">
        <f t="shared" si="1"/>
        <v>0</v>
      </c>
      <c r="R155" s="9">
        <f t="shared" si="2"/>
        <v>0</v>
      </c>
      <c r="S155" s="14">
        <f t="shared" si="3"/>
        <v>0</v>
      </c>
      <c r="T155" s="15">
        <f>IFERROR(__xludf.DUMMYFUNCTION("IFERROR(PERCENTRANK.INC(FILTER(Q:Q,$F:$F&lt;&gt;""""),Q155)*100,"""")"),1.5)</f>
        <v>1.5</v>
      </c>
      <c r="U155" s="15">
        <f>IFERROR(__xludf.DUMMYFUNCTION("IFERROR(PERCENTRANK.INC(FILTER(R:R,$F:$F&lt;&gt;""""),R155)*100,"""")"),1.5)</f>
        <v>1.5</v>
      </c>
      <c r="V155" s="15">
        <f>IFERROR(__xludf.DUMMYFUNCTION("IFERROR(PERCENTRANK.INC(FILTER(S:S,$F:$F&lt;&gt;""""),S155)*100,"""")"),1.5)</f>
        <v>1.5</v>
      </c>
      <c r="W155" s="15" t="str">
        <f t="shared" si="4"/>
        <v/>
      </c>
      <c r="X155" s="16"/>
      <c r="Y155" s="9"/>
      <c r="Z155" s="9"/>
    </row>
    <row r="156">
      <c r="B156" t="str">
        <f t="array" ref="B156">IFERROR(INDEX('Player Raw Data'!E:E,Match($A156,'Player Raw Data'!$B:$B,0)),"")</f>
        <v/>
      </c>
      <c r="C156" t="str">
        <f t="array" ref="C156">IFERROR(INDEX('Player Raw Data'!C:C,Match($A156,'Player Raw Data'!$B:$B,0)),"")</f>
        <v/>
      </c>
      <c r="D156" t="str">
        <f t="array" ref="D156">IFERROR(IF(A156=A155, INDEX('Player Raw Data'!D:D,Match($A156,'Player Raw Data'!$B:$B,0)+2),INDEX('Player Raw Data'!D:D,Match($A156,'Player Raw Data'!$B:$B,0))),"")</f>
        <v/>
      </c>
      <c r="E156" t="str">
        <f t="array" ref="E156">IFERROR(INDEX('Player Raw Data'!F:F,Match($A156,'Player Raw Data'!$B:$B,0)),"")</f>
        <v/>
      </c>
      <c r="F156" t="str">
        <f t="array" ref="F156">IFERROR(INDEX('Player Raw Data'!H:H,Match($A156,'Player Raw Data'!$B:$B,0)),"")</f>
        <v/>
      </c>
      <c r="G156" t="str">
        <f t="array" ref="G156">IFERROR(INDEX('Player Raw Data'!I:I,Match($A156,'Player Raw Data'!$B:$B,0)),"")</f>
        <v/>
      </c>
      <c r="H156" t="str">
        <f t="array" ref="H156">IFERROR(INDEX('Player Raw Data'!J:J,Match($A156,'Player Raw Data'!$B:$B,0)),"")</f>
        <v/>
      </c>
      <c r="I156" t="str">
        <f t="array" ref="I156">IFERROR(INDEX('Player Raw Data'!S:S,Match($A156,'Player Raw Data'!$B:$B,0)),"")</f>
        <v/>
      </c>
      <c r="J156" t="str">
        <f t="array" ref="J156">IFERROR(INDEX('Player Raw Data'!T:T,Match($A156,'Player Raw Data'!$B:$B,0)),"")</f>
        <v/>
      </c>
      <c r="K156" t="str">
        <f t="array" ref="K156">IFERROR(INDEX('Player Raw Data'!X:X,Match($A156,'Player Raw Data'!$B:$B,0)),"")</f>
        <v/>
      </c>
      <c r="L156" t="str">
        <f t="array" ref="L156">IFERROR(INDEX('Player Raw Data'!Y:Y,Match($A156,'Player Raw Data'!$B:$B,0)),"")</f>
        <v/>
      </c>
      <c r="M156" t="str">
        <f t="array" ref="M156">IFERROR(INDEX('Player Raw Data'!Z:Z,Match($A156,'Player Raw Data'!$B:$B,0)),"")</f>
        <v/>
      </c>
      <c r="N156" t="str">
        <f t="array" ref="N156">IFERROR(INDEX('Player Raw Data'!AA:AA,Match($A156,'Player Raw Data'!$B:$B,0)),"")</f>
        <v/>
      </c>
      <c r="O156" t="str">
        <f t="array" ref="O156">IFERROR(INDEX('Player Raw Data'!AB:AB,Match($A156,'Player Raw Data'!$B:$B,0)),"")</f>
        <v/>
      </c>
      <c r="P156" t="str">
        <f t="array" ref="P156">IFERROR(INDEX('Player Raw Data'!AD:AD,Match($A156,'Player Raw Data'!$B:$B,0)),"")</f>
        <v/>
      </c>
      <c r="Q156">
        <f t="shared" si="1"/>
        <v>0</v>
      </c>
      <c r="R156" s="9">
        <f t="shared" si="2"/>
        <v>0</v>
      </c>
      <c r="S156" s="14">
        <f t="shared" si="3"/>
        <v>0</v>
      </c>
      <c r="T156" s="15">
        <f>IFERROR(__xludf.DUMMYFUNCTION("IFERROR(PERCENTRANK.INC(FILTER(Q:Q,$F:$F&lt;&gt;""""),Q156)*100,"""")"),1.5)</f>
        <v>1.5</v>
      </c>
      <c r="U156" s="15">
        <f>IFERROR(__xludf.DUMMYFUNCTION("IFERROR(PERCENTRANK.INC(FILTER(R:R,$F:$F&lt;&gt;""""),R156)*100,"""")"),1.5)</f>
        <v>1.5</v>
      </c>
      <c r="V156" s="15">
        <f>IFERROR(__xludf.DUMMYFUNCTION("IFERROR(PERCENTRANK.INC(FILTER(S:S,$F:$F&lt;&gt;""""),S156)*100,"""")"),1.5)</f>
        <v>1.5</v>
      </c>
      <c r="W156" s="15" t="str">
        <f t="shared" si="4"/>
        <v/>
      </c>
      <c r="X156" s="16"/>
      <c r="Y156" s="9"/>
      <c r="Z156" s="9"/>
    </row>
    <row r="157">
      <c r="B157" t="str">
        <f t="array" ref="B157">IFERROR(INDEX('Player Raw Data'!E:E,Match($A157,'Player Raw Data'!$B:$B,0)),"")</f>
        <v/>
      </c>
      <c r="C157" t="str">
        <f t="array" ref="C157">IFERROR(INDEX('Player Raw Data'!C:C,Match($A157,'Player Raw Data'!$B:$B,0)),"")</f>
        <v/>
      </c>
      <c r="D157" t="str">
        <f t="array" ref="D157">IFERROR(IF(A157=A156, INDEX('Player Raw Data'!D:D,Match($A157,'Player Raw Data'!$B:$B,0)+2),INDEX('Player Raw Data'!D:D,Match($A157,'Player Raw Data'!$B:$B,0))),"")</f>
        <v/>
      </c>
      <c r="E157" t="str">
        <f t="array" ref="E157">IFERROR(INDEX('Player Raw Data'!F:F,Match($A157,'Player Raw Data'!$B:$B,0)),"")</f>
        <v/>
      </c>
      <c r="F157" t="str">
        <f t="array" ref="F157">IFERROR(INDEX('Player Raw Data'!H:H,Match($A157,'Player Raw Data'!$B:$B,0)),"")</f>
        <v/>
      </c>
      <c r="G157" t="str">
        <f t="array" ref="G157">IFERROR(INDEX('Player Raw Data'!I:I,Match($A157,'Player Raw Data'!$B:$B,0)),"")</f>
        <v/>
      </c>
      <c r="H157" t="str">
        <f t="array" ref="H157">IFERROR(INDEX('Player Raw Data'!J:J,Match($A157,'Player Raw Data'!$B:$B,0)),"")</f>
        <v/>
      </c>
      <c r="I157" t="str">
        <f t="array" ref="I157">IFERROR(INDEX('Player Raw Data'!S:S,Match($A157,'Player Raw Data'!$B:$B,0)),"")</f>
        <v/>
      </c>
      <c r="J157" t="str">
        <f t="array" ref="J157">IFERROR(INDEX('Player Raw Data'!T:T,Match($A157,'Player Raw Data'!$B:$B,0)),"")</f>
        <v/>
      </c>
      <c r="K157" t="str">
        <f t="array" ref="K157">IFERROR(INDEX('Player Raw Data'!X:X,Match($A157,'Player Raw Data'!$B:$B,0)),"")</f>
        <v/>
      </c>
      <c r="L157" t="str">
        <f t="array" ref="L157">IFERROR(INDEX('Player Raw Data'!Y:Y,Match($A157,'Player Raw Data'!$B:$B,0)),"")</f>
        <v/>
      </c>
      <c r="M157" t="str">
        <f t="array" ref="M157">IFERROR(INDEX('Player Raw Data'!Z:Z,Match($A157,'Player Raw Data'!$B:$B,0)),"")</f>
        <v/>
      </c>
      <c r="N157" t="str">
        <f t="array" ref="N157">IFERROR(INDEX('Player Raw Data'!AA:AA,Match($A157,'Player Raw Data'!$B:$B,0)),"")</f>
        <v/>
      </c>
      <c r="O157" t="str">
        <f t="array" ref="O157">IFERROR(INDEX('Player Raw Data'!AB:AB,Match($A157,'Player Raw Data'!$B:$B,0)),"")</f>
        <v/>
      </c>
      <c r="P157" t="str">
        <f t="array" ref="P157">IFERROR(INDEX('Player Raw Data'!AD:AD,Match($A157,'Player Raw Data'!$B:$B,0)),"")</f>
        <v/>
      </c>
      <c r="Q157">
        <f t="shared" si="1"/>
        <v>0</v>
      </c>
      <c r="R157" s="9">
        <f t="shared" si="2"/>
        <v>0</v>
      </c>
      <c r="S157" s="14">
        <f t="shared" si="3"/>
        <v>0</v>
      </c>
      <c r="T157" s="15">
        <f>IFERROR(__xludf.DUMMYFUNCTION("IFERROR(PERCENTRANK.INC(FILTER(Q:Q,$F:$F&lt;&gt;""""),Q157)*100,"""")"),1.5)</f>
        <v>1.5</v>
      </c>
      <c r="U157" s="15">
        <f>IFERROR(__xludf.DUMMYFUNCTION("IFERROR(PERCENTRANK.INC(FILTER(R:R,$F:$F&lt;&gt;""""),R157)*100,"""")"),1.5)</f>
        <v>1.5</v>
      </c>
      <c r="V157" s="15">
        <f>IFERROR(__xludf.DUMMYFUNCTION("IFERROR(PERCENTRANK.INC(FILTER(S:S,$F:$F&lt;&gt;""""),S157)*100,"""")"),1.5)</f>
        <v>1.5</v>
      </c>
      <c r="W157" s="15" t="str">
        <f t="shared" si="4"/>
        <v/>
      </c>
      <c r="X157" s="16"/>
      <c r="Y157" s="9"/>
      <c r="Z157" s="9"/>
    </row>
    <row r="158">
      <c r="B158" t="str">
        <f t="array" ref="B158">IFERROR(INDEX('Player Raw Data'!E:E,Match($A158,'Player Raw Data'!$B:$B,0)),"")</f>
        <v/>
      </c>
      <c r="C158" t="str">
        <f t="array" ref="C158">IFERROR(INDEX('Player Raw Data'!C:C,Match($A158,'Player Raw Data'!$B:$B,0)),"")</f>
        <v/>
      </c>
      <c r="D158" t="str">
        <f t="array" ref="D158">IFERROR(IF(A158=A157, INDEX('Player Raw Data'!D:D,Match($A158,'Player Raw Data'!$B:$B,0)+2),INDEX('Player Raw Data'!D:D,Match($A158,'Player Raw Data'!$B:$B,0))),"")</f>
        <v/>
      </c>
      <c r="E158" t="str">
        <f t="array" ref="E158">IFERROR(INDEX('Player Raw Data'!F:F,Match($A158,'Player Raw Data'!$B:$B,0)),"")</f>
        <v/>
      </c>
      <c r="F158" t="str">
        <f t="array" ref="F158">IFERROR(INDEX('Player Raw Data'!H:H,Match($A158,'Player Raw Data'!$B:$B,0)),"")</f>
        <v/>
      </c>
      <c r="G158" t="str">
        <f t="array" ref="G158">IFERROR(INDEX('Player Raw Data'!I:I,Match($A158,'Player Raw Data'!$B:$B,0)),"")</f>
        <v/>
      </c>
      <c r="H158" t="str">
        <f t="array" ref="H158">IFERROR(INDEX('Player Raw Data'!J:J,Match($A158,'Player Raw Data'!$B:$B,0)),"")</f>
        <v/>
      </c>
      <c r="I158" t="str">
        <f t="array" ref="I158">IFERROR(INDEX('Player Raw Data'!S:S,Match($A158,'Player Raw Data'!$B:$B,0)),"")</f>
        <v/>
      </c>
      <c r="J158" t="str">
        <f t="array" ref="J158">IFERROR(INDEX('Player Raw Data'!T:T,Match($A158,'Player Raw Data'!$B:$B,0)),"")</f>
        <v/>
      </c>
      <c r="K158" t="str">
        <f t="array" ref="K158">IFERROR(INDEX('Player Raw Data'!X:X,Match($A158,'Player Raw Data'!$B:$B,0)),"")</f>
        <v/>
      </c>
      <c r="L158" t="str">
        <f t="array" ref="L158">IFERROR(INDEX('Player Raw Data'!Y:Y,Match($A158,'Player Raw Data'!$B:$B,0)),"")</f>
        <v/>
      </c>
      <c r="M158" t="str">
        <f t="array" ref="M158">IFERROR(INDEX('Player Raw Data'!Z:Z,Match($A158,'Player Raw Data'!$B:$B,0)),"")</f>
        <v/>
      </c>
      <c r="N158" t="str">
        <f t="array" ref="N158">IFERROR(INDEX('Player Raw Data'!AA:AA,Match($A158,'Player Raw Data'!$B:$B,0)),"")</f>
        <v/>
      </c>
      <c r="O158" t="str">
        <f t="array" ref="O158">IFERROR(INDEX('Player Raw Data'!AB:AB,Match($A158,'Player Raw Data'!$B:$B,0)),"")</f>
        <v/>
      </c>
      <c r="P158" t="str">
        <f t="array" ref="P158">IFERROR(INDEX('Player Raw Data'!AD:AD,Match($A158,'Player Raw Data'!$B:$B,0)),"")</f>
        <v/>
      </c>
      <c r="Q158">
        <f t="shared" si="1"/>
        <v>0</v>
      </c>
      <c r="R158" s="9">
        <f t="shared" si="2"/>
        <v>0</v>
      </c>
      <c r="S158" s="14">
        <f t="shared" si="3"/>
        <v>0</v>
      </c>
      <c r="T158" s="15">
        <f>IFERROR(__xludf.DUMMYFUNCTION("IFERROR(PERCENTRANK.INC(FILTER(Q:Q,$F:$F&lt;&gt;""""),Q158)*100,"""")"),1.5)</f>
        <v>1.5</v>
      </c>
      <c r="U158" s="15">
        <f>IFERROR(__xludf.DUMMYFUNCTION("IFERROR(PERCENTRANK.INC(FILTER(R:R,$F:$F&lt;&gt;""""),R158)*100,"""")"),1.5)</f>
        <v>1.5</v>
      </c>
      <c r="V158" s="15">
        <f>IFERROR(__xludf.DUMMYFUNCTION("IFERROR(PERCENTRANK.INC(FILTER(S:S,$F:$F&lt;&gt;""""),S158)*100,"""")"),1.5)</f>
        <v>1.5</v>
      </c>
      <c r="W158" s="15" t="str">
        <f t="shared" si="4"/>
        <v/>
      </c>
      <c r="X158" s="16"/>
      <c r="Y158" s="9"/>
      <c r="Z158" s="9"/>
    </row>
    <row r="159">
      <c r="B159" t="str">
        <f t="array" ref="B159">IFERROR(INDEX('Player Raw Data'!E:E,Match($A159,'Player Raw Data'!$B:$B,0)),"")</f>
        <v/>
      </c>
      <c r="C159" t="str">
        <f t="array" ref="C159">IFERROR(INDEX('Player Raw Data'!C:C,Match($A159,'Player Raw Data'!$B:$B,0)),"")</f>
        <v/>
      </c>
      <c r="D159" t="str">
        <f t="array" ref="D159">IFERROR(IF(A159=A158, INDEX('Player Raw Data'!D:D,Match($A159,'Player Raw Data'!$B:$B,0)+2),INDEX('Player Raw Data'!D:D,Match($A159,'Player Raw Data'!$B:$B,0))),"")</f>
        <v/>
      </c>
      <c r="E159" t="str">
        <f t="array" ref="E159">IFERROR(INDEX('Player Raw Data'!F:F,Match($A159,'Player Raw Data'!$B:$B,0)),"")</f>
        <v/>
      </c>
      <c r="F159" t="str">
        <f t="array" ref="F159">IFERROR(INDEX('Player Raw Data'!H:H,Match($A159,'Player Raw Data'!$B:$B,0)),"")</f>
        <v/>
      </c>
      <c r="G159" t="str">
        <f t="array" ref="G159">IFERROR(INDEX('Player Raw Data'!I:I,Match($A159,'Player Raw Data'!$B:$B,0)),"")</f>
        <v/>
      </c>
      <c r="H159" t="str">
        <f t="array" ref="H159">IFERROR(INDEX('Player Raw Data'!J:J,Match($A159,'Player Raw Data'!$B:$B,0)),"")</f>
        <v/>
      </c>
      <c r="I159" t="str">
        <f t="array" ref="I159">IFERROR(INDEX('Player Raw Data'!S:S,Match($A159,'Player Raw Data'!$B:$B,0)),"")</f>
        <v/>
      </c>
      <c r="J159" t="str">
        <f t="array" ref="J159">IFERROR(INDEX('Player Raw Data'!T:T,Match($A159,'Player Raw Data'!$B:$B,0)),"")</f>
        <v/>
      </c>
      <c r="K159" t="str">
        <f t="array" ref="K159">IFERROR(INDEX('Player Raw Data'!X:X,Match($A159,'Player Raw Data'!$B:$B,0)),"")</f>
        <v/>
      </c>
      <c r="L159" t="str">
        <f t="array" ref="L159">IFERROR(INDEX('Player Raw Data'!Y:Y,Match($A159,'Player Raw Data'!$B:$B,0)),"")</f>
        <v/>
      </c>
      <c r="M159" t="str">
        <f t="array" ref="M159">IFERROR(INDEX('Player Raw Data'!Z:Z,Match($A159,'Player Raw Data'!$B:$B,0)),"")</f>
        <v/>
      </c>
      <c r="N159" t="str">
        <f t="array" ref="N159">IFERROR(INDEX('Player Raw Data'!AA:AA,Match($A159,'Player Raw Data'!$B:$B,0)),"")</f>
        <v/>
      </c>
      <c r="O159" t="str">
        <f t="array" ref="O159">IFERROR(INDEX('Player Raw Data'!AB:AB,Match($A159,'Player Raw Data'!$B:$B,0)),"")</f>
        <v/>
      </c>
      <c r="P159" t="str">
        <f t="array" ref="P159">IFERROR(INDEX('Player Raw Data'!AD:AD,Match($A159,'Player Raw Data'!$B:$B,0)),"")</f>
        <v/>
      </c>
      <c r="Q159">
        <f t="shared" si="1"/>
        <v>0</v>
      </c>
      <c r="R159" s="9">
        <f t="shared" si="2"/>
        <v>0</v>
      </c>
      <c r="S159" s="14">
        <f t="shared" si="3"/>
        <v>0</v>
      </c>
      <c r="T159" s="15">
        <f>IFERROR(__xludf.DUMMYFUNCTION("IFERROR(PERCENTRANK.INC(FILTER(Q:Q,$F:$F&lt;&gt;""""),Q159)*100,"""")"),1.5)</f>
        <v>1.5</v>
      </c>
      <c r="U159" s="15">
        <f>IFERROR(__xludf.DUMMYFUNCTION("IFERROR(PERCENTRANK.INC(FILTER(R:R,$F:$F&lt;&gt;""""),R159)*100,"""")"),1.5)</f>
        <v>1.5</v>
      </c>
      <c r="V159" s="15">
        <f>IFERROR(__xludf.DUMMYFUNCTION("IFERROR(PERCENTRANK.INC(FILTER(S:S,$F:$F&lt;&gt;""""),S159)*100,"""")"),1.5)</f>
        <v>1.5</v>
      </c>
      <c r="W159" s="15" t="str">
        <f t="shared" si="4"/>
        <v/>
      </c>
      <c r="X159" s="16"/>
      <c r="Y159" s="9"/>
      <c r="Z159" s="9"/>
    </row>
    <row r="160">
      <c r="B160" t="str">
        <f t="array" ref="B160">IFERROR(INDEX('Player Raw Data'!E:E,Match($A160,'Player Raw Data'!$B:$B,0)),"")</f>
        <v/>
      </c>
      <c r="C160" t="str">
        <f t="array" ref="C160">IFERROR(INDEX('Player Raw Data'!C:C,Match($A160,'Player Raw Data'!$B:$B,0)),"")</f>
        <v/>
      </c>
      <c r="D160" t="str">
        <f t="array" ref="D160">IFERROR(IF(A160=A159, INDEX('Player Raw Data'!D:D,Match($A160,'Player Raw Data'!$B:$B,0)+2),INDEX('Player Raw Data'!D:D,Match($A160,'Player Raw Data'!$B:$B,0))),"")</f>
        <v/>
      </c>
      <c r="E160" t="str">
        <f t="array" ref="E160">IFERROR(INDEX('Player Raw Data'!F:F,Match($A160,'Player Raw Data'!$B:$B,0)),"")</f>
        <v/>
      </c>
      <c r="F160" t="str">
        <f t="array" ref="F160">IFERROR(INDEX('Player Raw Data'!H:H,Match($A160,'Player Raw Data'!$B:$B,0)),"")</f>
        <v/>
      </c>
      <c r="G160" t="str">
        <f t="array" ref="G160">IFERROR(INDEX('Player Raw Data'!I:I,Match($A160,'Player Raw Data'!$B:$B,0)),"")</f>
        <v/>
      </c>
      <c r="H160" t="str">
        <f t="array" ref="H160">IFERROR(INDEX('Player Raw Data'!J:J,Match($A160,'Player Raw Data'!$B:$B,0)),"")</f>
        <v/>
      </c>
      <c r="I160" t="str">
        <f t="array" ref="I160">IFERROR(INDEX('Player Raw Data'!S:S,Match($A160,'Player Raw Data'!$B:$B,0)),"")</f>
        <v/>
      </c>
      <c r="J160" t="str">
        <f t="array" ref="J160">IFERROR(INDEX('Player Raw Data'!T:T,Match($A160,'Player Raw Data'!$B:$B,0)),"")</f>
        <v/>
      </c>
      <c r="K160" t="str">
        <f t="array" ref="K160">IFERROR(INDEX('Player Raw Data'!X:X,Match($A160,'Player Raw Data'!$B:$B,0)),"")</f>
        <v/>
      </c>
      <c r="L160" t="str">
        <f t="array" ref="L160">IFERROR(INDEX('Player Raw Data'!Y:Y,Match($A160,'Player Raw Data'!$B:$B,0)),"")</f>
        <v/>
      </c>
      <c r="M160" t="str">
        <f t="array" ref="M160">IFERROR(INDEX('Player Raw Data'!Z:Z,Match($A160,'Player Raw Data'!$B:$B,0)),"")</f>
        <v/>
      </c>
      <c r="N160" t="str">
        <f t="array" ref="N160">IFERROR(INDEX('Player Raw Data'!AA:AA,Match($A160,'Player Raw Data'!$B:$B,0)),"")</f>
        <v/>
      </c>
      <c r="O160" t="str">
        <f t="array" ref="O160">IFERROR(INDEX('Player Raw Data'!AB:AB,Match($A160,'Player Raw Data'!$B:$B,0)),"")</f>
        <v/>
      </c>
      <c r="P160" t="str">
        <f t="array" ref="P160">IFERROR(INDEX('Player Raw Data'!AD:AD,Match($A160,'Player Raw Data'!$B:$B,0)),"")</f>
        <v/>
      </c>
      <c r="Q160">
        <f t="shared" si="1"/>
        <v>0</v>
      </c>
      <c r="R160" s="9">
        <f t="shared" si="2"/>
        <v>0</v>
      </c>
      <c r="S160" s="14">
        <f t="shared" si="3"/>
        <v>0</v>
      </c>
      <c r="T160" s="15">
        <f>IFERROR(__xludf.DUMMYFUNCTION("IFERROR(PERCENTRANK.INC(FILTER(Q:Q,$F:$F&lt;&gt;""""),Q160)*100,"""")"),1.5)</f>
        <v>1.5</v>
      </c>
      <c r="U160" s="15">
        <f>IFERROR(__xludf.DUMMYFUNCTION("IFERROR(PERCENTRANK.INC(FILTER(R:R,$F:$F&lt;&gt;""""),R160)*100,"""")"),1.5)</f>
        <v>1.5</v>
      </c>
      <c r="V160" s="15">
        <f>IFERROR(__xludf.DUMMYFUNCTION("IFERROR(PERCENTRANK.INC(FILTER(S:S,$F:$F&lt;&gt;""""),S160)*100,"""")"),1.5)</f>
        <v>1.5</v>
      </c>
      <c r="W160" s="15" t="str">
        <f t="shared" si="4"/>
        <v/>
      </c>
      <c r="X160" s="16"/>
      <c r="Y160" s="9"/>
      <c r="Z160" s="9"/>
    </row>
    <row r="161">
      <c r="B161" t="str">
        <f t="array" ref="B161">IFERROR(INDEX('Player Raw Data'!E:E,Match($A161,'Player Raw Data'!$B:$B,0)),"")</f>
        <v/>
      </c>
      <c r="C161" t="str">
        <f t="array" ref="C161">IFERROR(INDEX('Player Raw Data'!C:C,Match($A161,'Player Raw Data'!$B:$B,0)),"")</f>
        <v/>
      </c>
      <c r="D161" t="str">
        <f t="array" ref="D161">IFERROR(IF(A161=A160, INDEX('Player Raw Data'!D:D,Match($A161,'Player Raw Data'!$B:$B,0)+2),INDEX('Player Raw Data'!D:D,Match($A161,'Player Raw Data'!$B:$B,0))),"")</f>
        <v/>
      </c>
      <c r="E161" t="str">
        <f t="array" ref="E161">IFERROR(INDEX('Player Raw Data'!F:F,Match($A161,'Player Raw Data'!$B:$B,0)),"")</f>
        <v/>
      </c>
      <c r="F161" t="str">
        <f t="array" ref="F161">IFERROR(INDEX('Player Raw Data'!H:H,Match($A161,'Player Raw Data'!$B:$B,0)),"")</f>
        <v/>
      </c>
      <c r="G161" t="str">
        <f t="array" ref="G161">IFERROR(INDEX('Player Raw Data'!I:I,Match($A161,'Player Raw Data'!$B:$B,0)),"")</f>
        <v/>
      </c>
      <c r="H161" t="str">
        <f t="array" ref="H161">IFERROR(INDEX('Player Raw Data'!J:J,Match($A161,'Player Raw Data'!$B:$B,0)),"")</f>
        <v/>
      </c>
      <c r="I161" t="str">
        <f t="array" ref="I161">IFERROR(INDEX('Player Raw Data'!S:S,Match($A161,'Player Raw Data'!$B:$B,0)),"")</f>
        <v/>
      </c>
      <c r="J161" t="str">
        <f t="array" ref="J161">IFERROR(INDEX('Player Raw Data'!T:T,Match($A161,'Player Raw Data'!$B:$B,0)),"")</f>
        <v/>
      </c>
      <c r="K161" t="str">
        <f t="array" ref="K161">IFERROR(INDEX('Player Raw Data'!X:X,Match($A161,'Player Raw Data'!$B:$B,0)),"")</f>
        <v/>
      </c>
      <c r="L161" t="str">
        <f t="array" ref="L161">IFERROR(INDEX('Player Raw Data'!Y:Y,Match($A161,'Player Raw Data'!$B:$B,0)),"")</f>
        <v/>
      </c>
      <c r="M161" t="str">
        <f t="array" ref="M161">IFERROR(INDEX('Player Raw Data'!Z:Z,Match($A161,'Player Raw Data'!$B:$B,0)),"")</f>
        <v/>
      </c>
      <c r="N161" t="str">
        <f t="array" ref="N161">IFERROR(INDEX('Player Raw Data'!AA:AA,Match($A161,'Player Raw Data'!$B:$B,0)),"")</f>
        <v/>
      </c>
      <c r="O161" t="str">
        <f t="array" ref="O161">IFERROR(INDEX('Player Raw Data'!AB:AB,Match($A161,'Player Raw Data'!$B:$B,0)),"")</f>
        <v/>
      </c>
      <c r="P161" t="str">
        <f t="array" ref="P161">IFERROR(INDEX('Player Raw Data'!AD:AD,Match($A161,'Player Raw Data'!$B:$B,0)),"")</f>
        <v/>
      </c>
      <c r="Q161">
        <f t="shared" si="1"/>
        <v>0</v>
      </c>
      <c r="R161" s="9">
        <f t="shared" si="2"/>
        <v>0</v>
      </c>
      <c r="S161" s="14">
        <f t="shared" si="3"/>
        <v>0</v>
      </c>
      <c r="T161" s="15">
        <f>IFERROR(__xludf.DUMMYFUNCTION("IFERROR(PERCENTRANK.INC(FILTER(Q:Q,$F:$F&lt;&gt;""""),Q161)*100,"""")"),1.5)</f>
        <v>1.5</v>
      </c>
      <c r="U161" s="15">
        <f>IFERROR(__xludf.DUMMYFUNCTION("IFERROR(PERCENTRANK.INC(FILTER(R:R,$F:$F&lt;&gt;""""),R161)*100,"""")"),1.5)</f>
        <v>1.5</v>
      </c>
      <c r="V161" s="15">
        <f>IFERROR(__xludf.DUMMYFUNCTION("IFERROR(PERCENTRANK.INC(FILTER(S:S,$F:$F&lt;&gt;""""),S161)*100,"""")"),1.5)</f>
        <v>1.5</v>
      </c>
      <c r="W161" s="15" t="str">
        <f t="shared" si="4"/>
        <v/>
      </c>
      <c r="X161" s="16"/>
      <c r="Y161" s="9"/>
      <c r="Z161" s="9"/>
    </row>
    <row r="162">
      <c r="B162" t="str">
        <f t="array" ref="B162">IFERROR(INDEX('Player Raw Data'!E:E,Match($A162,'Player Raw Data'!$B:$B,0)),"")</f>
        <v/>
      </c>
      <c r="C162" t="str">
        <f t="array" ref="C162">IFERROR(INDEX('Player Raw Data'!C:C,Match($A162,'Player Raw Data'!$B:$B,0)),"")</f>
        <v/>
      </c>
      <c r="D162" t="str">
        <f t="array" ref="D162">IFERROR(IF(A162=A161, INDEX('Player Raw Data'!D:D,Match($A162,'Player Raw Data'!$B:$B,0)+2),INDEX('Player Raw Data'!D:D,Match($A162,'Player Raw Data'!$B:$B,0))),"")</f>
        <v/>
      </c>
      <c r="E162" t="str">
        <f t="array" ref="E162">IFERROR(INDEX('Player Raw Data'!F:F,Match($A162,'Player Raw Data'!$B:$B,0)),"")</f>
        <v/>
      </c>
      <c r="F162" t="str">
        <f t="array" ref="F162">IFERROR(INDEX('Player Raw Data'!H:H,Match($A162,'Player Raw Data'!$B:$B,0)),"")</f>
        <v/>
      </c>
      <c r="G162" t="str">
        <f t="array" ref="G162">IFERROR(INDEX('Player Raw Data'!I:I,Match($A162,'Player Raw Data'!$B:$B,0)),"")</f>
        <v/>
      </c>
      <c r="H162" t="str">
        <f t="array" ref="H162">IFERROR(INDEX('Player Raw Data'!J:J,Match($A162,'Player Raw Data'!$B:$B,0)),"")</f>
        <v/>
      </c>
      <c r="I162" t="str">
        <f t="array" ref="I162">IFERROR(INDEX('Player Raw Data'!S:S,Match($A162,'Player Raw Data'!$B:$B,0)),"")</f>
        <v/>
      </c>
      <c r="J162" t="str">
        <f t="array" ref="J162">IFERROR(INDEX('Player Raw Data'!T:T,Match($A162,'Player Raw Data'!$B:$B,0)),"")</f>
        <v/>
      </c>
      <c r="K162" t="str">
        <f t="array" ref="K162">IFERROR(INDEX('Player Raw Data'!X:X,Match($A162,'Player Raw Data'!$B:$B,0)),"")</f>
        <v/>
      </c>
      <c r="L162" t="str">
        <f t="array" ref="L162">IFERROR(INDEX('Player Raw Data'!Y:Y,Match($A162,'Player Raw Data'!$B:$B,0)),"")</f>
        <v/>
      </c>
      <c r="M162" t="str">
        <f t="array" ref="M162">IFERROR(INDEX('Player Raw Data'!Z:Z,Match($A162,'Player Raw Data'!$B:$B,0)),"")</f>
        <v/>
      </c>
      <c r="N162" t="str">
        <f t="array" ref="N162">IFERROR(INDEX('Player Raw Data'!AA:AA,Match($A162,'Player Raw Data'!$B:$B,0)),"")</f>
        <v/>
      </c>
      <c r="O162" t="str">
        <f t="array" ref="O162">IFERROR(INDEX('Player Raw Data'!AB:AB,Match($A162,'Player Raw Data'!$B:$B,0)),"")</f>
        <v/>
      </c>
      <c r="P162" t="str">
        <f t="array" ref="P162">IFERROR(INDEX('Player Raw Data'!AD:AD,Match($A162,'Player Raw Data'!$B:$B,0)),"")</f>
        <v/>
      </c>
      <c r="Q162">
        <f t="shared" si="1"/>
        <v>0</v>
      </c>
      <c r="R162" s="9">
        <f t="shared" si="2"/>
        <v>0</v>
      </c>
      <c r="S162" s="14">
        <f t="shared" si="3"/>
        <v>0</v>
      </c>
      <c r="T162" s="15">
        <f>IFERROR(__xludf.DUMMYFUNCTION("IFERROR(PERCENTRANK.INC(FILTER(Q:Q,$F:$F&lt;&gt;""""),Q162)*100,"""")"),1.5)</f>
        <v>1.5</v>
      </c>
      <c r="U162" s="15">
        <f>IFERROR(__xludf.DUMMYFUNCTION("IFERROR(PERCENTRANK.INC(FILTER(R:R,$F:$F&lt;&gt;""""),R162)*100,"""")"),1.5)</f>
        <v>1.5</v>
      </c>
      <c r="V162" s="15">
        <f>IFERROR(__xludf.DUMMYFUNCTION("IFERROR(PERCENTRANK.INC(FILTER(S:S,$F:$F&lt;&gt;""""),S162)*100,"""")"),1.5)</f>
        <v>1.5</v>
      </c>
      <c r="W162" s="15" t="str">
        <f t="shared" si="4"/>
        <v/>
      </c>
      <c r="X162" s="16"/>
      <c r="Y162" s="9"/>
      <c r="Z162" s="9"/>
    </row>
    <row r="163">
      <c r="B163" t="str">
        <f t="array" ref="B163">IFERROR(INDEX('Player Raw Data'!E:E,Match($A163,'Player Raw Data'!$B:$B,0)),"")</f>
        <v/>
      </c>
      <c r="C163" t="str">
        <f t="array" ref="C163">IFERROR(INDEX('Player Raw Data'!C:C,Match($A163,'Player Raw Data'!$B:$B,0)),"")</f>
        <v/>
      </c>
      <c r="D163" t="str">
        <f t="array" ref="D163">IFERROR(IF(A163=A162, INDEX('Player Raw Data'!D:D,Match($A163,'Player Raw Data'!$B:$B,0)+2),INDEX('Player Raw Data'!D:D,Match($A163,'Player Raw Data'!$B:$B,0))),"")</f>
        <v/>
      </c>
      <c r="E163" t="str">
        <f t="array" ref="E163">IFERROR(INDEX('Player Raw Data'!F:F,Match($A163,'Player Raw Data'!$B:$B,0)),"")</f>
        <v/>
      </c>
      <c r="F163" t="str">
        <f t="array" ref="F163">IFERROR(INDEX('Player Raw Data'!H:H,Match($A163,'Player Raw Data'!$B:$B,0)),"")</f>
        <v/>
      </c>
      <c r="G163" t="str">
        <f t="array" ref="G163">IFERROR(INDEX('Player Raw Data'!I:I,Match($A163,'Player Raw Data'!$B:$B,0)),"")</f>
        <v/>
      </c>
      <c r="H163" t="str">
        <f t="array" ref="H163">IFERROR(INDEX('Player Raw Data'!J:J,Match($A163,'Player Raw Data'!$B:$B,0)),"")</f>
        <v/>
      </c>
      <c r="I163" t="str">
        <f t="array" ref="I163">IFERROR(INDEX('Player Raw Data'!S:S,Match($A163,'Player Raw Data'!$B:$B,0)),"")</f>
        <v/>
      </c>
      <c r="J163" t="str">
        <f t="array" ref="J163">IFERROR(INDEX('Player Raw Data'!T:T,Match($A163,'Player Raw Data'!$B:$B,0)),"")</f>
        <v/>
      </c>
      <c r="K163" t="str">
        <f t="array" ref="K163">IFERROR(INDEX('Player Raw Data'!X:X,Match($A163,'Player Raw Data'!$B:$B,0)),"")</f>
        <v/>
      </c>
      <c r="L163" t="str">
        <f t="array" ref="L163">IFERROR(INDEX('Player Raw Data'!Y:Y,Match($A163,'Player Raw Data'!$B:$B,0)),"")</f>
        <v/>
      </c>
      <c r="M163" t="str">
        <f t="array" ref="M163">IFERROR(INDEX('Player Raw Data'!Z:Z,Match($A163,'Player Raw Data'!$B:$B,0)),"")</f>
        <v/>
      </c>
      <c r="N163" t="str">
        <f t="array" ref="N163">IFERROR(INDEX('Player Raw Data'!AA:AA,Match($A163,'Player Raw Data'!$B:$B,0)),"")</f>
        <v/>
      </c>
      <c r="O163" t="str">
        <f t="array" ref="O163">IFERROR(INDEX('Player Raw Data'!AB:AB,Match($A163,'Player Raw Data'!$B:$B,0)),"")</f>
        <v/>
      </c>
      <c r="P163" t="str">
        <f t="array" ref="P163">IFERROR(INDEX('Player Raw Data'!AD:AD,Match($A163,'Player Raw Data'!$B:$B,0)),"")</f>
        <v/>
      </c>
      <c r="Q163">
        <f t="shared" si="1"/>
        <v>0</v>
      </c>
      <c r="R163" s="9">
        <f t="shared" si="2"/>
        <v>0</v>
      </c>
      <c r="S163" s="14">
        <f t="shared" si="3"/>
        <v>0</v>
      </c>
      <c r="T163" s="15">
        <f>IFERROR(__xludf.DUMMYFUNCTION("IFERROR(PERCENTRANK.INC(FILTER(Q:Q,$F:$F&lt;&gt;""""),Q163)*100,"""")"),1.5)</f>
        <v>1.5</v>
      </c>
      <c r="U163" s="15">
        <f>IFERROR(__xludf.DUMMYFUNCTION("IFERROR(PERCENTRANK.INC(FILTER(R:R,$F:$F&lt;&gt;""""),R163)*100,"""")"),1.5)</f>
        <v>1.5</v>
      </c>
      <c r="V163" s="15">
        <f>IFERROR(__xludf.DUMMYFUNCTION("IFERROR(PERCENTRANK.INC(FILTER(S:S,$F:$F&lt;&gt;""""),S163)*100,"""")"),1.5)</f>
        <v>1.5</v>
      </c>
      <c r="W163" s="15" t="str">
        <f t="shared" si="4"/>
        <v/>
      </c>
      <c r="X163" s="16"/>
      <c r="Y163" s="9"/>
      <c r="Z163" s="9"/>
    </row>
    <row r="164">
      <c r="B164" t="str">
        <f t="array" ref="B164">IFERROR(INDEX('Player Raw Data'!E:E,Match($A164,'Player Raw Data'!$B:$B,0)),"")</f>
        <v/>
      </c>
      <c r="C164" t="str">
        <f t="array" ref="C164">IFERROR(INDEX('Player Raw Data'!C:C,Match($A164,'Player Raw Data'!$B:$B,0)),"")</f>
        <v/>
      </c>
      <c r="D164" t="str">
        <f t="array" ref="D164">IFERROR(IF(A164=A163, INDEX('Player Raw Data'!D:D,Match($A164,'Player Raw Data'!$B:$B,0)+2),INDEX('Player Raw Data'!D:D,Match($A164,'Player Raw Data'!$B:$B,0))),"")</f>
        <v/>
      </c>
      <c r="E164" t="str">
        <f t="array" ref="E164">IFERROR(INDEX('Player Raw Data'!F:F,Match($A164,'Player Raw Data'!$B:$B,0)),"")</f>
        <v/>
      </c>
      <c r="F164" t="str">
        <f t="array" ref="F164">IFERROR(INDEX('Player Raw Data'!H:H,Match($A164,'Player Raw Data'!$B:$B,0)),"")</f>
        <v/>
      </c>
      <c r="G164" t="str">
        <f t="array" ref="G164">IFERROR(INDEX('Player Raw Data'!I:I,Match($A164,'Player Raw Data'!$B:$B,0)),"")</f>
        <v/>
      </c>
      <c r="H164" t="str">
        <f t="array" ref="H164">IFERROR(INDEX('Player Raw Data'!J:J,Match($A164,'Player Raw Data'!$B:$B,0)),"")</f>
        <v/>
      </c>
      <c r="I164" t="str">
        <f t="array" ref="I164">IFERROR(INDEX('Player Raw Data'!S:S,Match($A164,'Player Raw Data'!$B:$B,0)),"")</f>
        <v/>
      </c>
      <c r="J164" t="str">
        <f t="array" ref="J164">IFERROR(INDEX('Player Raw Data'!T:T,Match($A164,'Player Raw Data'!$B:$B,0)),"")</f>
        <v/>
      </c>
      <c r="K164" t="str">
        <f t="array" ref="K164">IFERROR(INDEX('Player Raw Data'!X:X,Match($A164,'Player Raw Data'!$B:$B,0)),"")</f>
        <v/>
      </c>
      <c r="L164" t="str">
        <f t="array" ref="L164">IFERROR(INDEX('Player Raw Data'!Y:Y,Match($A164,'Player Raw Data'!$B:$B,0)),"")</f>
        <v/>
      </c>
      <c r="M164" t="str">
        <f t="array" ref="M164">IFERROR(INDEX('Player Raw Data'!Z:Z,Match($A164,'Player Raw Data'!$B:$B,0)),"")</f>
        <v/>
      </c>
      <c r="N164" t="str">
        <f t="array" ref="N164">IFERROR(INDEX('Player Raw Data'!AA:AA,Match($A164,'Player Raw Data'!$B:$B,0)),"")</f>
        <v/>
      </c>
      <c r="O164" t="str">
        <f t="array" ref="O164">IFERROR(INDEX('Player Raw Data'!AB:AB,Match($A164,'Player Raw Data'!$B:$B,0)),"")</f>
        <v/>
      </c>
      <c r="P164" t="str">
        <f t="array" ref="P164">IFERROR(INDEX('Player Raw Data'!AD:AD,Match($A164,'Player Raw Data'!$B:$B,0)),"")</f>
        <v/>
      </c>
      <c r="Q164">
        <f t="shared" si="1"/>
        <v>0</v>
      </c>
      <c r="R164" s="9">
        <f t="shared" si="2"/>
        <v>0</v>
      </c>
      <c r="S164" s="14">
        <f t="shared" si="3"/>
        <v>0</v>
      </c>
      <c r="T164" s="15">
        <f>IFERROR(__xludf.DUMMYFUNCTION("IFERROR(PERCENTRANK.INC(FILTER(Q:Q,$F:$F&lt;&gt;""""),Q164)*100,"""")"),1.5)</f>
        <v>1.5</v>
      </c>
      <c r="U164" s="15">
        <f>IFERROR(__xludf.DUMMYFUNCTION("IFERROR(PERCENTRANK.INC(FILTER(R:R,$F:$F&lt;&gt;""""),R164)*100,"""")"),1.5)</f>
        <v>1.5</v>
      </c>
      <c r="V164" s="15">
        <f>IFERROR(__xludf.DUMMYFUNCTION("IFERROR(PERCENTRANK.INC(FILTER(S:S,$F:$F&lt;&gt;""""),S164)*100,"""")"),1.5)</f>
        <v>1.5</v>
      </c>
      <c r="W164" s="15" t="str">
        <f t="shared" si="4"/>
        <v/>
      </c>
      <c r="X164" s="16"/>
      <c r="Y164" s="9"/>
      <c r="Z164" s="9"/>
    </row>
    <row r="165">
      <c r="B165" t="str">
        <f t="array" ref="B165">IFERROR(INDEX('Player Raw Data'!E:E,Match($A165,'Player Raw Data'!$B:$B,0)),"")</f>
        <v/>
      </c>
      <c r="C165" t="str">
        <f t="array" ref="C165">IFERROR(INDEX('Player Raw Data'!C:C,Match($A165,'Player Raw Data'!$B:$B,0)),"")</f>
        <v/>
      </c>
      <c r="D165" t="str">
        <f t="array" ref="D165">IFERROR(IF(A165=A164, INDEX('Player Raw Data'!D:D,Match($A165,'Player Raw Data'!$B:$B,0)+2),INDEX('Player Raw Data'!D:D,Match($A165,'Player Raw Data'!$B:$B,0))),"")</f>
        <v/>
      </c>
      <c r="E165" t="str">
        <f t="array" ref="E165">IFERROR(INDEX('Player Raw Data'!F:F,Match($A165,'Player Raw Data'!$B:$B,0)),"")</f>
        <v/>
      </c>
      <c r="F165" t="str">
        <f t="array" ref="F165">IFERROR(INDEX('Player Raw Data'!H:H,Match($A165,'Player Raw Data'!$B:$B,0)),"")</f>
        <v/>
      </c>
      <c r="G165" t="str">
        <f t="array" ref="G165">IFERROR(INDEX('Player Raw Data'!I:I,Match($A165,'Player Raw Data'!$B:$B,0)),"")</f>
        <v/>
      </c>
      <c r="H165" t="str">
        <f t="array" ref="H165">IFERROR(INDEX('Player Raw Data'!J:J,Match($A165,'Player Raw Data'!$B:$B,0)),"")</f>
        <v/>
      </c>
      <c r="I165" t="str">
        <f t="array" ref="I165">IFERROR(INDEX('Player Raw Data'!S:S,Match($A165,'Player Raw Data'!$B:$B,0)),"")</f>
        <v/>
      </c>
      <c r="J165" t="str">
        <f t="array" ref="J165">IFERROR(INDEX('Player Raw Data'!T:T,Match($A165,'Player Raw Data'!$B:$B,0)),"")</f>
        <v/>
      </c>
      <c r="K165" t="str">
        <f t="array" ref="K165">IFERROR(INDEX('Player Raw Data'!X:X,Match($A165,'Player Raw Data'!$B:$B,0)),"")</f>
        <v/>
      </c>
      <c r="L165" t="str">
        <f t="array" ref="L165">IFERROR(INDEX('Player Raw Data'!Y:Y,Match($A165,'Player Raw Data'!$B:$B,0)),"")</f>
        <v/>
      </c>
      <c r="M165" t="str">
        <f t="array" ref="M165">IFERROR(INDEX('Player Raw Data'!Z:Z,Match($A165,'Player Raw Data'!$B:$B,0)),"")</f>
        <v/>
      </c>
      <c r="N165" t="str">
        <f t="array" ref="N165">IFERROR(INDEX('Player Raw Data'!AA:AA,Match($A165,'Player Raw Data'!$B:$B,0)),"")</f>
        <v/>
      </c>
      <c r="O165" t="str">
        <f t="array" ref="O165">IFERROR(INDEX('Player Raw Data'!AB:AB,Match($A165,'Player Raw Data'!$B:$B,0)),"")</f>
        <v/>
      </c>
      <c r="P165" t="str">
        <f t="array" ref="P165">IFERROR(INDEX('Player Raw Data'!AD:AD,Match($A165,'Player Raw Data'!$B:$B,0)),"")</f>
        <v/>
      </c>
      <c r="Q165">
        <f t="shared" si="1"/>
        <v>0</v>
      </c>
      <c r="R165" s="9">
        <f t="shared" si="2"/>
        <v>0</v>
      </c>
      <c r="S165" s="14">
        <f t="shared" si="3"/>
        <v>0</v>
      </c>
      <c r="T165" s="15">
        <f>IFERROR(__xludf.DUMMYFUNCTION("IFERROR(PERCENTRANK.INC(FILTER(Q:Q,$F:$F&lt;&gt;""""),Q165)*100,"""")"),1.5)</f>
        <v>1.5</v>
      </c>
      <c r="U165" s="15">
        <f>IFERROR(__xludf.DUMMYFUNCTION("IFERROR(PERCENTRANK.INC(FILTER(R:R,$F:$F&lt;&gt;""""),R165)*100,"""")"),1.5)</f>
        <v>1.5</v>
      </c>
      <c r="V165" s="15">
        <f>IFERROR(__xludf.DUMMYFUNCTION("IFERROR(PERCENTRANK.INC(FILTER(S:S,$F:$F&lt;&gt;""""),S165)*100,"""")"),1.5)</f>
        <v>1.5</v>
      </c>
      <c r="W165" s="15" t="str">
        <f t="shared" si="4"/>
        <v/>
      </c>
      <c r="X165" s="16"/>
      <c r="Y165" s="9"/>
      <c r="Z165" s="9"/>
    </row>
    <row r="166">
      <c r="B166" t="str">
        <f t="array" ref="B166">IFERROR(INDEX('Player Raw Data'!E:E,Match($A166,'Player Raw Data'!$B:$B,0)),"")</f>
        <v/>
      </c>
      <c r="C166" t="str">
        <f t="array" ref="C166">IFERROR(INDEX('Player Raw Data'!C:C,Match($A166,'Player Raw Data'!$B:$B,0)),"")</f>
        <v/>
      </c>
      <c r="D166" t="str">
        <f t="array" ref="D166">IFERROR(IF(A166=A165, INDEX('Player Raw Data'!D:D,Match($A166,'Player Raw Data'!$B:$B,0)+2),INDEX('Player Raw Data'!D:D,Match($A166,'Player Raw Data'!$B:$B,0))),"")</f>
        <v/>
      </c>
      <c r="E166" t="str">
        <f t="array" ref="E166">IFERROR(INDEX('Player Raw Data'!F:F,Match($A166,'Player Raw Data'!$B:$B,0)),"")</f>
        <v/>
      </c>
      <c r="F166" t="str">
        <f t="array" ref="F166">IFERROR(INDEX('Player Raw Data'!H:H,Match($A166,'Player Raw Data'!$B:$B,0)),"")</f>
        <v/>
      </c>
      <c r="G166" t="str">
        <f t="array" ref="G166">IFERROR(INDEX('Player Raw Data'!I:I,Match($A166,'Player Raw Data'!$B:$B,0)),"")</f>
        <v/>
      </c>
      <c r="H166" t="str">
        <f t="array" ref="H166">IFERROR(INDEX('Player Raw Data'!J:J,Match($A166,'Player Raw Data'!$B:$B,0)),"")</f>
        <v/>
      </c>
      <c r="I166" t="str">
        <f t="array" ref="I166">IFERROR(INDEX('Player Raw Data'!S:S,Match($A166,'Player Raw Data'!$B:$B,0)),"")</f>
        <v/>
      </c>
      <c r="J166" t="str">
        <f t="array" ref="J166">IFERROR(INDEX('Player Raw Data'!T:T,Match($A166,'Player Raw Data'!$B:$B,0)),"")</f>
        <v/>
      </c>
      <c r="K166" t="str">
        <f t="array" ref="K166">IFERROR(INDEX('Player Raw Data'!X:X,Match($A166,'Player Raw Data'!$B:$B,0)),"")</f>
        <v/>
      </c>
      <c r="L166" t="str">
        <f t="array" ref="L166">IFERROR(INDEX('Player Raw Data'!Y:Y,Match($A166,'Player Raw Data'!$B:$B,0)),"")</f>
        <v/>
      </c>
      <c r="M166" t="str">
        <f t="array" ref="M166">IFERROR(INDEX('Player Raw Data'!Z:Z,Match($A166,'Player Raw Data'!$B:$B,0)),"")</f>
        <v/>
      </c>
      <c r="N166" t="str">
        <f t="array" ref="N166">IFERROR(INDEX('Player Raw Data'!AA:AA,Match($A166,'Player Raw Data'!$B:$B,0)),"")</f>
        <v/>
      </c>
      <c r="O166" t="str">
        <f t="array" ref="O166">IFERROR(INDEX('Player Raw Data'!AB:AB,Match($A166,'Player Raw Data'!$B:$B,0)),"")</f>
        <v/>
      </c>
      <c r="P166" t="str">
        <f t="array" ref="P166">IFERROR(INDEX('Player Raw Data'!AD:AD,Match($A166,'Player Raw Data'!$B:$B,0)),"")</f>
        <v/>
      </c>
      <c r="Q166">
        <f t="shared" si="1"/>
        <v>0</v>
      </c>
      <c r="R166" s="9">
        <f t="shared" si="2"/>
        <v>0</v>
      </c>
      <c r="S166" s="14">
        <f t="shared" si="3"/>
        <v>0</v>
      </c>
      <c r="T166" s="15">
        <f>IFERROR(__xludf.DUMMYFUNCTION("IFERROR(PERCENTRANK.INC(FILTER(Q:Q,$F:$F&lt;&gt;""""),Q166)*100,"""")"),1.5)</f>
        <v>1.5</v>
      </c>
      <c r="U166" s="15">
        <f>IFERROR(__xludf.DUMMYFUNCTION("IFERROR(PERCENTRANK.INC(FILTER(R:R,$F:$F&lt;&gt;""""),R166)*100,"""")"),1.5)</f>
        <v>1.5</v>
      </c>
      <c r="V166" s="15">
        <f>IFERROR(__xludf.DUMMYFUNCTION("IFERROR(PERCENTRANK.INC(FILTER(S:S,$F:$F&lt;&gt;""""),S166)*100,"""")"),1.5)</f>
        <v>1.5</v>
      </c>
      <c r="W166" s="15" t="str">
        <f t="shared" si="4"/>
        <v/>
      </c>
      <c r="X166" s="16"/>
      <c r="Y166" s="9"/>
      <c r="Z166" s="9"/>
    </row>
    <row r="167">
      <c r="B167" t="str">
        <f t="array" ref="B167">IFERROR(INDEX('Player Raw Data'!E:E,Match($A167,'Player Raw Data'!$B:$B,0)),"")</f>
        <v/>
      </c>
      <c r="C167" t="str">
        <f t="array" ref="C167">IFERROR(INDEX('Player Raw Data'!C:C,Match($A167,'Player Raw Data'!$B:$B,0)),"")</f>
        <v/>
      </c>
      <c r="D167" t="str">
        <f t="array" ref="D167">IFERROR(IF(A167=A166, INDEX('Player Raw Data'!D:D,Match($A167,'Player Raw Data'!$B:$B,0)+2),INDEX('Player Raw Data'!D:D,Match($A167,'Player Raw Data'!$B:$B,0))),"")</f>
        <v/>
      </c>
      <c r="E167" t="str">
        <f t="array" ref="E167">IFERROR(INDEX('Player Raw Data'!F:F,Match($A167,'Player Raw Data'!$B:$B,0)),"")</f>
        <v/>
      </c>
      <c r="F167" t="str">
        <f t="array" ref="F167">IFERROR(INDEX('Player Raw Data'!H:H,Match($A167,'Player Raw Data'!$B:$B,0)),"")</f>
        <v/>
      </c>
      <c r="G167" t="str">
        <f t="array" ref="G167">IFERROR(INDEX('Player Raw Data'!I:I,Match($A167,'Player Raw Data'!$B:$B,0)),"")</f>
        <v/>
      </c>
      <c r="H167" t="str">
        <f t="array" ref="H167">IFERROR(INDEX('Player Raw Data'!J:J,Match($A167,'Player Raw Data'!$B:$B,0)),"")</f>
        <v/>
      </c>
      <c r="I167" t="str">
        <f t="array" ref="I167">IFERROR(INDEX('Player Raw Data'!S:S,Match($A167,'Player Raw Data'!$B:$B,0)),"")</f>
        <v/>
      </c>
      <c r="J167" t="str">
        <f t="array" ref="J167">IFERROR(INDEX('Player Raw Data'!T:T,Match($A167,'Player Raw Data'!$B:$B,0)),"")</f>
        <v/>
      </c>
      <c r="K167" t="str">
        <f t="array" ref="K167">IFERROR(INDEX('Player Raw Data'!X:X,Match($A167,'Player Raw Data'!$B:$B,0)),"")</f>
        <v/>
      </c>
      <c r="L167" t="str">
        <f t="array" ref="L167">IFERROR(INDEX('Player Raw Data'!Y:Y,Match($A167,'Player Raw Data'!$B:$B,0)),"")</f>
        <v/>
      </c>
      <c r="M167" t="str">
        <f t="array" ref="M167">IFERROR(INDEX('Player Raw Data'!Z:Z,Match($A167,'Player Raw Data'!$B:$B,0)),"")</f>
        <v/>
      </c>
      <c r="N167" t="str">
        <f t="array" ref="N167">IFERROR(INDEX('Player Raw Data'!AA:AA,Match($A167,'Player Raw Data'!$B:$B,0)),"")</f>
        <v/>
      </c>
      <c r="O167" t="str">
        <f t="array" ref="O167">IFERROR(INDEX('Player Raw Data'!AB:AB,Match($A167,'Player Raw Data'!$B:$B,0)),"")</f>
        <v/>
      </c>
      <c r="P167" t="str">
        <f t="array" ref="P167">IFERROR(INDEX('Player Raw Data'!AD:AD,Match($A167,'Player Raw Data'!$B:$B,0)),"")</f>
        <v/>
      </c>
      <c r="Q167">
        <f t="shared" si="1"/>
        <v>0</v>
      </c>
      <c r="R167" s="9">
        <f t="shared" si="2"/>
        <v>0</v>
      </c>
      <c r="S167" s="14">
        <f t="shared" si="3"/>
        <v>0</v>
      </c>
      <c r="T167" s="15">
        <f>IFERROR(__xludf.DUMMYFUNCTION("IFERROR(PERCENTRANK.INC(FILTER(Q:Q,$F:$F&lt;&gt;""""),Q167)*100,"""")"),1.5)</f>
        <v>1.5</v>
      </c>
      <c r="U167" s="15">
        <f>IFERROR(__xludf.DUMMYFUNCTION("IFERROR(PERCENTRANK.INC(FILTER(R:R,$F:$F&lt;&gt;""""),R167)*100,"""")"),1.5)</f>
        <v>1.5</v>
      </c>
      <c r="V167" s="15">
        <f>IFERROR(__xludf.DUMMYFUNCTION("IFERROR(PERCENTRANK.INC(FILTER(S:S,$F:$F&lt;&gt;""""),S167)*100,"""")"),1.5)</f>
        <v>1.5</v>
      </c>
      <c r="W167" s="15" t="str">
        <f t="shared" si="4"/>
        <v/>
      </c>
      <c r="X167" s="16"/>
      <c r="Y167" s="9"/>
      <c r="Z167" s="9"/>
    </row>
    <row r="168">
      <c r="B168" t="str">
        <f t="array" ref="B168">IFERROR(INDEX('Player Raw Data'!E:E,Match($A168,'Player Raw Data'!$B:$B,0)),"")</f>
        <v/>
      </c>
      <c r="C168" t="str">
        <f t="array" ref="C168">IFERROR(INDEX('Player Raw Data'!C:C,Match($A168,'Player Raw Data'!$B:$B,0)),"")</f>
        <v/>
      </c>
      <c r="D168" t="str">
        <f t="array" ref="D168">IFERROR(IF(A168=A167, INDEX('Player Raw Data'!D:D,Match($A168,'Player Raw Data'!$B:$B,0)+2),INDEX('Player Raw Data'!D:D,Match($A168,'Player Raw Data'!$B:$B,0))),"")</f>
        <v/>
      </c>
      <c r="E168" t="str">
        <f t="array" ref="E168">IFERROR(INDEX('Player Raw Data'!F:F,Match($A168,'Player Raw Data'!$B:$B,0)),"")</f>
        <v/>
      </c>
      <c r="F168" t="str">
        <f t="array" ref="F168">IFERROR(INDEX('Player Raw Data'!H:H,Match($A168,'Player Raw Data'!$B:$B,0)),"")</f>
        <v/>
      </c>
      <c r="G168" t="str">
        <f t="array" ref="G168">IFERROR(INDEX('Player Raw Data'!I:I,Match($A168,'Player Raw Data'!$B:$B,0)),"")</f>
        <v/>
      </c>
      <c r="H168" t="str">
        <f t="array" ref="H168">IFERROR(INDEX('Player Raw Data'!J:J,Match($A168,'Player Raw Data'!$B:$B,0)),"")</f>
        <v/>
      </c>
      <c r="I168" t="str">
        <f t="array" ref="I168">IFERROR(INDEX('Player Raw Data'!S:S,Match($A168,'Player Raw Data'!$B:$B,0)),"")</f>
        <v/>
      </c>
      <c r="J168" t="str">
        <f t="array" ref="J168">IFERROR(INDEX('Player Raw Data'!T:T,Match($A168,'Player Raw Data'!$B:$B,0)),"")</f>
        <v/>
      </c>
      <c r="K168" t="str">
        <f t="array" ref="K168">IFERROR(INDEX('Player Raw Data'!X:X,Match($A168,'Player Raw Data'!$B:$B,0)),"")</f>
        <v/>
      </c>
      <c r="L168" t="str">
        <f t="array" ref="L168">IFERROR(INDEX('Player Raw Data'!Y:Y,Match($A168,'Player Raw Data'!$B:$B,0)),"")</f>
        <v/>
      </c>
      <c r="M168" t="str">
        <f t="array" ref="M168">IFERROR(INDEX('Player Raw Data'!Z:Z,Match($A168,'Player Raw Data'!$B:$B,0)),"")</f>
        <v/>
      </c>
      <c r="N168" t="str">
        <f t="array" ref="N168">IFERROR(INDEX('Player Raw Data'!AA:AA,Match($A168,'Player Raw Data'!$B:$B,0)),"")</f>
        <v/>
      </c>
      <c r="O168" t="str">
        <f t="array" ref="O168">IFERROR(INDEX('Player Raw Data'!AB:AB,Match($A168,'Player Raw Data'!$B:$B,0)),"")</f>
        <v/>
      </c>
      <c r="P168" t="str">
        <f t="array" ref="P168">IFERROR(INDEX('Player Raw Data'!AD:AD,Match($A168,'Player Raw Data'!$B:$B,0)),"")</f>
        <v/>
      </c>
      <c r="Q168">
        <f t="shared" si="1"/>
        <v>0</v>
      </c>
      <c r="R168" s="9">
        <f t="shared" si="2"/>
        <v>0</v>
      </c>
      <c r="S168" s="14">
        <f t="shared" si="3"/>
        <v>0</v>
      </c>
      <c r="T168" s="15">
        <f>IFERROR(__xludf.DUMMYFUNCTION("IFERROR(PERCENTRANK.INC(FILTER(Q:Q,$F:$F&lt;&gt;""""),Q168)*100,"""")"),1.5)</f>
        <v>1.5</v>
      </c>
      <c r="U168" s="15">
        <f>IFERROR(__xludf.DUMMYFUNCTION("IFERROR(PERCENTRANK.INC(FILTER(R:R,$F:$F&lt;&gt;""""),R168)*100,"""")"),1.5)</f>
        <v>1.5</v>
      </c>
      <c r="V168" s="15">
        <f>IFERROR(__xludf.DUMMYFUNCTION("IFERROR(PERCENTRANK.INC(FILTER(S:S,$F:$F&lt;&gt;""""),S168)*100,"""")"),1.5)</f>
        <v>1.5</v>
      </c>
      <c r="W168" s="15" t="str">
        <f t="shared" si="4"/>
        <v/>
      </c>
      <c r="X168" s="16"/>
      <c r="Y168" s="9"/>
      <c r="Z168" s="9"/>
    </row>
    <row r="169">
      <c r="B169" t="str">
        <f t="array" ref="B169">IFERROR(INDEX('Player Raw Data'!E:E,Match($A169,'Player Raw Data'!$B:$B,0)),"")</f>
        <v/>
      </c>
      <c r="C169" t="str">
        <f t="array" ref="C169">IFERROR(INDEX('Player Raw Data'!C:C,Match($A169,'Player Raw Data'!$B:$B,0)),"")</f>
        <v/>
      </c>
      <c r="D169" t="str">
        <f t="array" ref="D169">IFERROR(IF(A169=A168, INDEX('Player Raw Data'!D:D,Match($A169,'Player Raw Data'!$B:$B,0)+2),INDEX('Player Raw Data'!D:D,Match($A169,'Player Raw Data'!$B:$B,0))),"")</f>
        <v/>
      </c>
      <c r="E169" t="str">
        <f t="array" ref="E169">IFERROR(INDEX('Player Raw Data'!F:F,Match($A169,'Player Raw Data'!$B:$B,0)),"")</f>
        <v/>
      </c>
      <c r="F169" t="str">
        <f t="array" ref="F169">IFERROR(INDEX('Player Raw Data'!H:H,Match($A169,'Player Raw Data'!$B:$B,0)),"")</f>
        <v/>
      </c>
      <c r="G169" t="str">
        <f t="array" ref="G169">IFERROR(INDEX('Player Raw Data'!I:I,Match($A169,'Player Raw Data'!$B:$B,0)),"")</f>
        <v/>
      </c>
      <c r="H169" t="str">
        <f t="array" ref="H169">IFERROR(INDEX('Player Raw Data'!J:J,Match($A169,'Player Raw Data'!$B:$B,0)),"")</f>
        <v/>
      </c>
      <c r="I169" t="str">
        <f t="array" ref="I169">IFERROR(INDEX('Player Raw Data'!S:S,Match($A169,'Player Raw Data'!$B:$B,0)),"")</f>
        <v/>
      </c>
      <c r="J169" t="str">
        <f t="array" ref="J169">IFERROR(INDEX('Player Raw Data'!T:T,Match($A169,'Player Raw Data'!$B:$B,0)),"")</f>
        <v/>
      </c>
      <c r="K169" t="str">
        <f t="array" ref="K169">IFERROR(INDEX('Player Raw Data'!X:X,Match($A169,'Player Raw Data'!$B:$B,0)),"")</f>
        <v/>
      </c>
      <c r="L169" t="str">
        <f t="array" ref="L169">IFERROR(INDEX('Player Raw Data'!Y:Y,Match($A169,'Player Raw Data'!$B:$B,0)),"")</f>
        <v/>
      </c>
      <c r="M169" t="str">
        <f t="array" ref="M169">IFERROR(INDEX('Player Raw Data'!Z:Z,Match($A169,'Player Raw Data'!$B:$B,0)),"")</f>
        <v/>
      </c>
      <c r="N169" t="str">
        <f t="array" ref="N169">IFERROR(INDEX('Player Raw Data'!AA:AA,Match($A169,'Player Raw Data'!$B:$B,0)),"")</f>
        <v/>
      </c>
      <c r="O169" t="str">
        <f t="array" ref="O169">IFERROR(INDEX('Player Raw Data'!AB:AB,Match($A169,'Player Raw Data'!$B:$B,0)),"")</f>
        <v/>
      </c>
      <c r="P169" t="str">
        <f t="array" ref="P169">IFERROR(INDEX('Player Raw Data'!AD:AD,Match($A169,'Player Raw Data'!$B:$B,0)),"")</f>
        <v/>
      </c>
      <c r="Q169">
        <f t="shared" si="1"/>
        <v>0</v>
      </c>
      <c r="R169" s="9">
        <f t="shared" si="2"/>
        <v>0</v>
      </c>
      <c r="S169" s="14">
        <f t="shared" si="3"/>
        <v>0</v>
      </c>
      <c r="T169" s="15">
        <f>IFERROR(__xludf.DUMMYFUNCTION("IFERROR(PERCENTRANK.INC(FILTER(Q:Q,$F:$F&lt;&gt;""""),Q169)*100,"""")"),1.5)</f>
        <v>1.5</v>
      </c>
      <c r="U169" s="15">
        <f>IFERROR(__xludf.DUMMYFUNCTION("IFERROR(PERCENTRANK.INC(FILTER(R:R,$F:$F&lt;&gt;""""),R169)*100,"""")"),1.5)</f>
        <v>1.5</v>
      </c>
      <c r="V169" s="15">
        <f>IFERROR(__xludf.DUMMYFUNCTION("IFERROR(PERCENTRANK.INC(FILTER(S:S,$F:$F&lt;&gt;""""),S169)*100,"""")"),1.5)</f>
        <v>1.5</v>
      </c>
      <c r="W169" s="15" t="str">
        <f t="shared" si="4"/>
        <v/>
      </c>
      <c r="X169" s="16"/>
      <c r="Y169" s="9"/>
      <c r="Z169" s="9"/>
    </row>
    <row r="170">
      <c r="B170" t="str">
        <f t="array" ref="B170">IFERROR(INDEX('Player Raw Data'!E:E,Match($A170,'Player Raw Data'!$B:$B,0)),"")</f>
        <v/>
      </c>
      <c r="C170" t="str">
        <f t="array" ref="C170">IFERROR(INDEX('Player Raw Data'!C:C,Match($A170,'Player Raw Data'!$B:$B,0)),"")</f>
        <v/>
      </c>
      <c r="D170" t="str">
        <f t="array" ref="D170">IFERROR(IF(A170=A169, INDEX('Player Raw Data'!D:D,Match($A170,'Player Raw Data'!$B:$B,0)+2),INDEX('Player Raw Data'!D:D,Match($A170,'Player Raw Data'!$B:$B,0))),"")</f>
        <v/>
      </c>
      <c r="E170" t="str">
        <f t="array" ref="E170">IFERROR(INDEX('Player Raw Data'!F:F,Match($A170,'Player Raw Data'!$B:$B,0)),"")</f>
        <v/>
      </c>
      <c r="F170" t="str">
        <f t="array" ref="F170">IFERROR(INDEX('Player Raw Data'!H:H,Match($A170,'Player Raw Data'!$B:$B,0)),"")</f>
        <v/>
      </c>
      <c r="G170" t="str">
        <f t="array" ref="G170">IFERROR(INDEX('Player Raw Data'!I:I,Match($A170,'Player Raw Data'!$B:$B,0)),"")</f>
        <v/>
      </c>
      <c r="H170" t="str">
        <f t="array" ref="H170">IFERROR(INDEX('Player Raw Data'!J:J,Match($A170,'Player Raw Data'!$B:$B,0)),"")</f>
        <v/>
      </c>
      <c r="I170" t="str">
        <f t="array" ref="I170">IFERROR(INDEX('Player Raw Data'!S:S,Match($A170,'Player Raw Data'!$B:$B,0)),"")</f>
        <v/>
      </c>
      <c r="J170" t="str">
        <f t="array" ref="J170">IFERROR(INDEX('Player Raw Data'!T:T,Match($A170,'Player Raw Data'!$B:$B,0)),"")</f>
        <v/>
      </c>
      <c r="K170" t="str">
        <f t="array" ref="K170">IFERROR(INDEX('Player Raw Data'!X:X,Match($A170,'Player Raw Data'!$B:$B,0)),"")</f>
        <v/>
      </c>
      <c r="L170" t="str">
        <f t="array" ref="L170">IFERROR(INDEX('Player Raw Data'!Y:Y,Match($A170,'Player Raw Data'!$B:$B,0)),"")</f>
        <v/>
      </c>
      <c r="M170" t="str">
        <f t="array" ref="M170">IFERROR(INDEX('Player Raw Data'!Z:Z,Match($A170,'Player Raw Data'!$B:$B,0)),"")</f>
        <v/>
      </c>
      <c r="N170" t="str">
        <f t="array" ref="N170">IFERROR(INDEX('Player Raw Data'!AA:AA,Match($A170,'Player Raw Data'!$B:$B,0)),"")</f>
        <v/>
      </c>
      <c r="O170" t="str">
        <f t="array" ref="O170">IFERROR(INDEX('Player Raw Data'!AB:AB,Match($A170,'Player Raw Data'!$B:$B,0)),"")</f>
        <v/>
      </c>
      <c r="P170" t="str">
        <f t="array" ref="P170">IFERROR(INDEX('Player Raw Data'!AD:AD,Match($A170,'Player Raw Data'!$B:$B,0)),"")</f>
        <v/>
      </c>
      <c r="Q170">
        <f t="shared" si="1"/>
        <v>0</v>
      </c>
      <c r="R170" s="9">
        <f t="shared" si="2"/>
        <v>0</v>
      </c>
      <c r="S170" s="14">
        <f t="shared" si="3"/>
        <v>0</v>
      </c>
      <c r="T170" s="15">
        <f>IFERROR(__xludf.DUMMYFUNCTION("IFERROR(PERCENTRANK.INC(FILTER(Q:Q,$F:$F&lt;&gt;""""),Q170)*100,"""")"),1.5)</f>
        <v>1.5</v>
      </c>
      <c r="U170" s="15">
        <f>IFERROR(__xludf.DUMMYFUNCTION("IFERROR(PERCENTRANK.INC(FILTER(R:R,$F:$F&lt;&gt;""""),R170)*100,"""")"),1.5)</f>
        <v>1.5</v>
      </c>
      <c r="V170" s="15">
        <f>IFERROR(__xludf.DUMMYFUNCTION("IFERROR(PERCENTRANK.INC(FILTER(S:S,$F:$F&lt;&gt;""""),S170)*100,"""")"),1.5)</f>
        <v>1.5</v>
      </c>
      <c r="W170" s="15" t="str">
        <f t="shared" si="4"/>
        <v/>
      </c>
      <c r="X170" s="16"/>
      <c r="Y170" s="9"/>
      <c r="Z170" s="9"/>
    </row>
    <row r="171">
      <c r="B171" t="str">
        <f t="array" ref="B171">IFERROR(INDEX('Player Raw Data'!E:E,Match($A171,'Player Raw Data'!$B:$B,0)),"")</f>
        <v/>
      </c>
      <c r="C171" t="str">
        <f t="array" ref="C171">IFERROR(INDEX('Player Raw Data'!C:C,Match($A171,'Player Raw Data'!$B:$B,0)),"")</f>
        <v/>
      </c>
      <c r="D171" t="str">
        <f t="array" ref="D171">IFERROR(IF(A171=A170, INDEX('Player Raw Data'!D:D,Match($A171,'Player Raw Data'!$B:$B,0)+2),INDEX('Player Raw Data'!D:D,Match($A171,'Player Raw Data'!$B:$B,0))),"")</f>
        <v/>
      </c>
      <c r="E171" t="str">
        <f t="array" ref="E171">IFERROR(INDEX('Player Raw Data'!F:F,Match($A171,'Player Raw Data'!$B:$B,0)),"")</f>
        <v/>
      </c>
      <c r="F171" t="str">
        <f t="array" ref="F171">IFERROR(INDEX('Player Raw Data'!H:H,Match($A171,'Player Raw Data'!$B:$B,0)),"")</f>
        <v/>
      </c>
      <c r="G171" t="str">
        <f t="array" ref="G171">IFERROR(INDEX('Player Raw Data'!I:I,Match($A171,'Player Raw Data'!$B:$B,0)),"")</f>
        <v/>
      </c>
      <c r="H171" t="str">
        <f t="array" ref="H171">IFERROR(INDEX('Player Raw Data'!J:J,Match($A171,'Player Raw Data'!$B:$B,0)),"")</f>
        <v/>
      </c>
      <c r="I171" t="str">
        <f t="array" ref="I171">IFERROR(INDEX('Player Raw Data'!S:S,Match($A171,'Player Raw Data'!$B:$B,0)),"")</f>
        <v/>
      </c>
      <c r="J171" t="str">
        <f t="array" ref="J171">IFERROR(INDEX('Player Raw Data'!T:T,Match($A171,'Player Raw Data'!$B:$B,0)),"")</f>
        <v/>
      </c>
      <c r="K171" t="str">
        <f t="array" ref="K171">IFERROR(INDEX('Player Raw Data'!X:X,Match($A171,'Player Raw Data'!$B:$B,0)),"")</f>
        <v/>
      </c>
      <c r="L171" t="str">
        <f t="array" ref="L171">IFERROR(INDEX('Player Raw Data'!Y:Y,Match($A171,'Player Raw Data'!$B:$B,0)),"")</f>
        <v/>
      </c>
      <c r="M171" t="str">
        <f t="array" ref="M171">IFERROR(INDEX('Player Raw Data'!Z:Z,Match($A171,'Player Raw Data'!$B:$B,0)),"")</f>
        <v/>
      </c>
      <c r="N171" t="str">
        <f t="array" ref="N171">IFERROR(INDEX('Player Raw Data'!AA:AA,Match($A171,'Player Raw Data'!$B:$B,0)),"")</f>
        <v/>
      </c>
      <c r="O171" t="str">
        <f t="array" ref="O171">IFERROR(INDEX('Player Raw Data'!AB:AB,Match($A171,'Player Raw Data'!$B:$B,0)),"")</f>
        <v/>
      </c>
      <c r="P171" t="str">
        <f t="array" ref="P171">IFERROR(INDEX('Player Raw Data'!AD:AD,Match($A171,'Player Raw Data'!$B:$B,0)),"")</f>
        <v/>
      </c>
      <c r="Q171">
        <f t="shared" si="1"/>
        <v>0</v>
      </c>
      <c r="R171" s="9">
        <f t="shared" si="2"/>
        <v>0</v>
      </c>
      <c r="S171" s="14">
        <f t="shared" si="3"/>
        <v>0</v>
      </c>
      <c r="T171" s="15">
        <f>IFERROR(__xludf.DUMMYFUNCTION("IFERROR(PERCENTRANK.INC(FILTER(Q:Q,$F:$F&lt;&gt;""""),Q171)*100,"""")"),1.5)</f>
        <v>1.5</v>
      </c>
      <c r="U171" s="15">
        <f>IFERROR(__xludf.DUMMYFUNCTION("IFERROR(PERCENTRANK.INC(FILTER(R:R,$F:$F&lt;&gt;""""),R171)*100,"""")"),1.5)</f>
        <v>1.5</v>
      </c>
      <c r="V171" s="15">
        <f>IFERROR(__xludf.DUMMYFUNCTION("IFERROR(PERCENTRANK.INC(FILTER(S:S,$F:$F&lt;&gt;""""),S171)*100,"""")"),1.5)</f>
        <v>1.5</v>
      </c>
      <c r="W171" s="15" t="str">
        <f t="shared" si="4"/>
        <v/>
      </c>
      <c r="X171" s="16"/>
      <c r="Y171" s="9"/>
      <c r="Z171" s="9"/>
    </row>
    <row r="172">
      <c r="B172" t="str">
        <f t="array" ref="B172">IFERROR(INDEX('Player Raw Data'!E:E,Match($A172,'Player Raw Data'!$B:$B,0)),"")</f>
        <v/>
      </c>
      <c r="C172" t="str">
        <f t="array" ref="C172">IFERROR(INDEX('Player Raw Data'!C:C,Match($A172,'Player Raw Data'!$B:$B,0)),"")</f>
        <v/>
      </c>
      <c r="D172" t="str">
        <f t="array" ref="D172">IFERROR(IF(A172=A171, INDEX('Player Raw Data'!D:D,Match($A172,'Player Raw Data'!$B:$B,0)+2),INDEX('Player Raw Data'!D:D,Match($A172,'Player Raw Data'!$B:$B,0))),"")</f>
        <v/>
      </c>
      <c r="E172" t="str">
        <f t="array" ref="E172">IFERROR(INDEX('Player Raw Data'!F:F,Match($A172,'Player Raw Data'!$B:$B,0)),"")</f>
        <v/>
      </c>
      <c r="F172" t="str">
        <f t="array" ref="F172">IFERROR(INDEX('Player Raw Data'!H:H,Match($A172,'Player Raw Data'!$B:$B,0)),"")</f>
        <v/>
      </c>
      <c r="G172" t="str">
        <f t="array" ref="G172">IFERROR(INDEX('Player Raw Data'!I:I,Match($A172,'Player Raw Data'!$B:$B,0)),"")</f>
        <v/>
      </c>
      <c r="H172" t="str">
        <f t="array" ref="H172">IFERROR(INDEX('Player Raw Data'!J:J,Match($A172,'Player Raw Data'!$B:$B,0)),"")</f>
        <v/>
      </c>
      <c r="I172" t="str">
        <f t="array" ref="I172">IFERROR(INDEX('Player Raw Data'!S:S,Match($A172,'Player Raw Data'!$B:$B,0)),"")</f>
        <v/>
      </c>
      <c r="J172" t="str">
        <f t="array" ref="J172">IFERROR(INDEX('Player Raw Data'!T:T,Match($A172,'Player Raw Data'!$B:$B,0)),"")</f>
        <v/>
      </c>
      <c r="K172" t="str">
        <f t="array" ref="K172">IFERROR(INDEX('Player Raw Data'!X:X,Match($A172,'Player Raw Data'!$B:$B,0)),"")</f>
        <v/>
      </c>
      <c r="L172" t="str">
        <f t="array" ref="L172">IFERROR(INDEX('Player Raw Data'!Y:Y,Match($A172,'Player Raw Data'!$B:$B,0)),"")</f>
        <v/>
      </c>
      <c r="M172" t="str">
        <f t="array" ref="M172">IFERROR(INDEX('Player Raw Data'!Z:Z,Match($A172,'Player Raw Data'!$B:$B,0)),"")</f>
        <v/>
      </c>
      <c r="N172" t="str">
        <f t="array" ref="N172">IFERROR(INDEX('Player Raw Data'!AA:AA,Match($A172,'Player Raw Data'!$B:$B,0)),"")</f>
        <v/>
      </c>
      <c r="O172" t="str">
        <f t="array" ref="O172">IFERROR(INDEX('Player Raw Data'!AB:AB,Match($A172,'Player Raw Data'!$B:$B,0)),"")</f>
        <v/>
      </c>
      <c r="P172" t="str">
        <f t="array" ref="P172">IFERROR(INDEX('Player Raw Data'!AD:AD,Match($A172,'Player Raw Data'!$B:$B,0)),"")</f>
        <v/>
      </c>
      <c r="Q172">
        <f t="shared" si="1"/>
        <v>0</v>
      </c>
      <c r="R172" s="9">
        <f t="shared" si="2"/>
        <v>0</v>
      </c>
      <c r="S172" s="14">
        <f t="shared" si="3"/>
        <v>0</v>
      </c>
      <c r="T172" s="15">
        <f>IFERROR(__xludf.DUMMYFUNCTION("IFERROR(PERCENTRANK.INC(FILTER(Q:Q,$F:$F&lt;&gt;""""),Q172)*100,"""")"),1.5)</f>
        <v>1.5</v>
      </c>
      <c r="U172" s="15">
        <f>IFERROR(__xludf.DUMMYFUNCTION("IFERROR(PERCENTRANK.INC(FILTER(R:R,$F:$F&lt;&gt;""""),R172)*100,"""")"),1.5)</f>
        <v>1.5</v>
      </c>
      <c r="V172" s="15">
        <f>IFERROR(__xludf.DUMMYFUNCTION("IFERROR(PERCENTRANK.INC(FILTER(S:S,$F:$F&lt;&gt;""""),S172)*100,"""")"),1.5)</f>
        <v>1.5</v>
      </c>
      <c r="W172" s="15" t="str">
        <f t="shared" si="4"/>
        <v/>
      </c>
      <c r="X172" s="16"/>
      <c r="Y172" s="9"/>
      <c r="Z172" s="9"/>
    </row>
    <row r="173">
      <c r="B173" t="str">
        <f t="array" ref="B173">IFERROR(INDEX('Player Raw Data'!E:E,Match($A173,'Player Raw Data'!$B:$B,0)),"")</f>
        <v/>
      </c>
      <c r="C173" t="str">
        <f t="array" ref="C173">IFERROR(INDEX('Player Raw Data'!C:C,Match($A173,'Player Raw Data'!$B:$B,0)),"")</f>
        <v/>
      </c>
      <c r="D173" t="str">
        <f t="array" ref="D173">IFERROR(IF(A173=A172, INDEX('Player Raw Data'!D:D,Match($A173,'Player Raw Data'!$B:$B,0)+2),INDEX('Player Raw Data'!D:D,Match($A173,'Player Raw Data'!$B:$B,0))),"")</f>
        <v/>
      </c>
      <c r="E173" t="str">
        <f t="array" ref="E173">IFERROR(INDEX('Player Raw Data'!F:F,Match($A173,'Player Raw Data'!$B:$B,0)),"")</f>
        <v/>
      </c>
      <c r="F173" t="str">
        <f t="array" ref="F173">IFERROR(INDEX('Player Raw Data'!H:H,Match($A173,'Player Raw Data'!$B:$B,0)),"")</f>
        <v/>
      </c>
      <c r="G173" t="str">
        <f t="array" ref="G173">IFERROR(INDEX('Player Raw Data'!I:I,Match($A173,'Player Raw Data'!$B:$B,0)),"")</f>
        <v/>
      </c>
      <c r="H173" t="str">
        <f t="array" ref="H173">IFERROR(INDEX('Player Raw Data'!J:J,Match($A173,'Player Raw Data'!$B:$B,0)),"")</f>
        <v/>
      </c>
      <c r="I173" t="str">
        <f t="array" ref="I173">IFERROR(INDEX('Player Raw Data'!S:S,Match($A173,'Player Raw Data'!$B:$B,0)),"")</f>
        <v/>
      </c>
      <c r="J173" t="str">
        <f t="array" ref="J173">IFERROR(INDEX('Player Raw Data'!T:T,Match($A173,'Player Raw Data'!$B:$B,0)),"")</f>
        <v/>
      </c>
      <c r="K173" t="str">
        <f t="array" ref="K173">IFERROR(INDEX('Player Raw Data'!X:X,Match($A173,'Player Raw Data'!$B:$B,0)),"")</f>
        <v/>
      </c>
      <c r="L173" t="str">
        <f t="array" ref="L173">IFERROR(INDEX('Player Raw Data'!Y:Y,Match($A173,'Player Raw Data'!$B:$B,0)),"")</f>
        <v/>
      </c>
      <c r="M173" t="str">
        <f t="array" ref="M173">IFERROR(INDEX('Player Raw Data'!Z:Z,Match($A173,'Player Raw Data'!$B:$B,0)),"")</f>
        <v/>
      </c>
      <c r="N173" t="str">
        <f t="array" ref="N173">IFERROR(INDEX('Player Raw Data'!AA:AA,Match($A173,'Player Raw Data'!$B:$B,0)),"")</f>
        <v/>
      </c>
      <c r="O173" t="str">
        <f t="array" ref="O173">IFERROR(INDEX('Player Raw Data'!AB:AB,Match($A173,'Player Raw Data'!$B:$B,0)),"")</f>
        <v/>
      </c>
      <c r="P173" t="str">
        <f t="array" ref="P173">IFERROR(INDEX('Player Raw Data'!AD:AD,Match($A173,'Player Raw Data'!$B:$B,0)),"")</f>
        <v/>
      </c>
      <c r="Q173">
        <f t="shared" si="1"/>
        <v>0</v>
      </c>
      <c r="R173" s="9">
        <f t="shared" si="2"/>
        <v>0</v>
      </c>
      <c r="S173" s="14">
        <f t="shared" si="3"/>
        <v>0</v>
      </c>
      <c r="T173" s="15">
        <f>IFERROR(__xludf.DUMMYFUNCTION("IFERROR(PERCENTRANK.INC(FILTER(Q:Q,$F:$F&lt;&gt;""""),Q173)*100,"""")"),1.5)</f>
        <v>1.5</v>
      </c>
      <c r="U173" s="15">
        <f>IFERROR(__xludf.DUMMYFUNCTION("IFERROR(PERCENTRANK.INC(FILTER(R:R,$F:$F&lt;&gt;""""),R173)*100,"""")"),1.5)</f>
        <v>1.5</v>
      </c>
      <c r="V173" s="15">
        <f>IFERROR(__xludf.DUMMYFUNCTION("IFERROR(PERCENTRANK.INC(FILTER(S:S,$F:$F&lt;&gt;""""),S173)*100,"""")"),1.5)</f>
        <v>1.5</v>
      </c>
      <c r="W173" s="15" t="str">
        <f t="shared" si="4"/>
        <v/>
      </c>
      <c r="X173" s="16"/>
      <c r="Y173" s="9"/>
      <c r="Z173" s="9"/>
    </row>
    <row r="174">
      <c r="B174" t="str">
        <f t="array" ref="B174">IFERROR(INDEX('Player Raw Data'!E:E,Match($A174,'Player Raw Data'!$B:$B,0)),"")</f>
        <v/>
      </c>
      <c r="C174" t="str">
        <f t="array" ref="C174">IFERROR(INDEX('Player Raw Data'!C:C,Match($A174,'Player Raw Data'!$B:$B,0)),"")</f>
        <v/>
      </c>
      <c r="D174" t="str">
        <f t="array" ref="D174">IFERROR(IF(A174=A173, INDEX('Player Raw Data'!D:D,Match($A174,'Player Raw Data'!$B:$B,0)+2),INDEX('Player Raw Data'!D:D,Match($A174,'Player Raw Data'!$B:$B,0))),"")</f>
        <v/>
      </c>
      <c r="E174" t="str">
        <f t="array" ref="E174">IFERROR(INDEX('Player Raw Data'!F:F,Match($A174,'Player Raw Data'!$B:$B,0)),"")</f>
        <v/>
      </c>
      <c r="F174" t="str">
        <f t="array" ref="F174">IFERROR(INDEX('Player Raw Data'!H:H,Match($A174,'Player Raw Data'!$B:$B,0)),"")</f>
        <v/>
      </c>
      <c r="G174" t="str">
        <f t="array" ref="G174">IFERROR(INDEX('Player Raw Data'!I:I,Match($A174,'Player Raw Data'!$B:$B,0)),"")</f>
        <v/>
      </c>
      <c r="H174" t="str">
        <f t="array" ref="H174">IFERROR(INDEX('Player Raw Data'!J:J,Match($A174,'Player Raw Data'!$B:$B,0)),"")</f>
        <v/>
      </c>
      <c r="I174" t="str">
        <f t="array" ref="I174">IFERROR(INDEX('Player Raw Data'!S:S,Match($A174,'Player Raw Data'!$B:$B,0)),"")</f>
        <v/>
      </c>
      <c r="J174" t="str">
        <f t="array" ref="J174">IFERROR(INDEX('Player Raw Data'!T:T,Match($A174,'Player Raw Data'!$B:$B,0)),"")</f>
        <v/>
      </c>
      <c r="K174" t="str">
        <f t="array" ref="K174">IFERROR(INDEX('Player Raw Data'!X:X,Match($A174,'Player Raw Data'!$B:$B,0)),"")</f>
        <v/>
      </c>
      <c r="L174" t="str">
        <f t="array" ref="L174">IFERROR(INDEX('Player Raw Data'!Y:Y,Match($A174,'Player Raw Data'!$B:$B,0)),"")</f>
        <v/>
      </c>
      <c r="M174" t="str">
        <f t="array" ref="M174">IFERROR(INDEX('Player Raw Data'!Z:Z,Match($A174,'Player Raw Data'!$B:$B,0)),"")</f>
        <v/>
      </c>
      <c r="N174" t="str">
        <f t="array" ref="N174">IFERROR(INDEX('Player Raw Data'!AA:AA,Match($A174,'Player Raw Data'!$B:$B,0)),"")</f>
        <v/>
      </c>
      <c r="O174" t="str">
        <f t="array" ref="O174">IFERROR(INDEX('Player Raw Data'!AB:AB,Match($A174,'Player Raw Data'!$B:$B,0)),"")</f>
        <v/>
      </c>
      <c r="P174" t="str">
        <f t="array" ref="P174">IFERROR(INDEX('Player Raw Data'!AD:AD,Match($A174,'Player Raw Data'!$B:$B,0)),"")</f>
        <v/>
      </c>
      <c r="Q174">
        <f t="shared" si="1"/>
        <v>0</v>
      </c>
      <c r="R174" s="9">
        <f t="shared" si="2"/>
        <v>0</v>
      </c>
      <c r="S174" s="14">
        <f t="shared" si="3"/>
        <v>0</v>
      </c>
      <c r="T174" s="15">
        <f>IFERROR(__xludf.DUMMYFUNCTION("IFERROR(PERCENTRANK.INC(FILTER(Q:Q,$F:$F&lt;&gt;""""),Q174)*100,"""")"),1.5)</f>
        <v>1.5</v>
      </c>
      <c r="U174" s="15">
        <f>IFERROR(__xludf.DUMMYFUNCTION("IFERROR(PERCENTRANK.INC(FILTER(R:R,$F:$F&lt;&gt;""""),R174)*100,"""")"),1.5)</f>
        <v>1.5</v>
      </c>
      <c r="V174" s="15">
        <f>IFERROR(__xludf.DUMMYFUNCTION("IFERROR(PERCENTRANK.INC(FILTER(S:S,$F:$F&lt;&gt;""""),S174)*100,"""")"),1.5)</f>
        <v>1.5</v>
      </c>
      <c r="W174" s="15" t="str">
        <f t="shared" si="4"/>
        <v/>
      </c>
      <c r="X174" s="16"/>
      <c r="Y174" s="9"/>
      <c r="Z174" s="9"/>
    </row>
    <row r="175">
      <c r="B175" t="str">
        <f t="array" ref="B175">IFERROR(INDEX('Player Raw Data'!E:E,Match($A175,'Player Raw Data'!$B:$B,0)),"")</f>
        <v/>
      </c>
      <c r="C175" t="str">
        <f t="array" ref="C175">IFERROR(INDEX('Player Raw Data'!C:C,Match($A175,'Player Raw Data'!$B:$B,0)),"")</f>
        <v/>
      </c>
      <c r="D175" t="str">
        <f t="array" ref="D175">IFERROR(IF(A175=A174, INDEX('Player Raw Data'!D:D,Match($A175,'Player Raw Data'!$B:$B,0)+2),INDEX('Player Raw Data'!D:D,Match($A175,'Player Raw Data'!$B:$B,0))),"")</f>
        <v/>
      </c>
      <c r="E175" t="str">
        <f t="array" ref="E175">IFERROR(INDEX('Player Raw Data'!F:F,Match($A175,'Player Raw Data'!$B:$B,0)),"")</f>
        <v/>
      </c>
      <c r="F175" t="str">
        <f t="array" ref="F175">IFERROR(INDEX('Player Raw Data'!H:H,Match($A175,'Player Raw Data'!$B:$B,0)),"")</f>
        <v/>
      </c>
      <c r="G175" t="str">
        <f t="array" ref="G175">IFERROR(INDEX('Player Raw Data'!I:I,Match($A175,'Player Raw Data'!$B:$B,0)),"")</f>
        <v/>
      </c>
      <c r="H175" t="str">
        <f t="array" ref="H175">IFERROR(INDEX('Player Raw Data'!J:J,Match($A175,'Player Raw Data'!$B:$B,0)),"")</f>
        <v/>
      </c>
      <c r="I175" t="str">
        <f t="array" ref="I175">IFERROR(INDEX('Player Raw Data'!S:S,Match($A175,'Player Raw Data'!$B:$B,0)),"")</f>
        <v/>
      </c>
      <c r="J175" t="str">
        <f t="array" ref="J175">IFERROR(INDEX('Player Raw Data'!T:T,Match($A175,'Player Raw Data'!$B:$B,0)),"")</f>
        <v/>
      </c>
      <c r="K175" t="str">
        <f t="array" ref="K175">IFERROR(INDEX('Player Raw Data'!X:X,Match($A175,'Player Raw Data'!$B:$B,0)),"")</f>
        <v/>
      </c>
      <c r="L175" t="str">
        <f t="array" ref="L175">IFERROR(INDEX('Player Raw Data'!Y:Y,Match($A175,'Player Raw Data'!$B:$B,0)),"")</f>
        <v/>
      </c>
      <c r="M175" t="str">
        <f t="array" ref="M175">IFERROR(INDEX('Player Raw Data'!Z:Z,Match($A175,'Player Raw Data'!$B:$B,0)),"")</f>
        <v/>
      </c>
      <c r="N175" t="str">
        <f t="array" ref="N175">IFERROR(INDEX('Player Raw Data'!AA:AA,Match($A175,'Player Raw Data'!$B:$B,0)),"")</f>
        <v/>
      </c>
      <c r="O175" t="str">
        <f t="array" ref="O175">IFERROR(INDEX('Player Raw Data'!AB:AB,Match($A175,'Player Raw Data'!$B:$B,0)),"")</f>
        <v/>
      </c>
      <c r="P175" t="str">
        <f t="array" ref="P175">IFERROR(INDEX('Player Raw Data'!AD:AD,Match($A175,'Player Raw Data'!$B:$B,0)),"")</f>
        <v/>
      </c>
      <c r="Q175">
        <f t="shared" si="1"/>
        <v>0</v>
      </c>
      <c r="R175" s="9">
        <f t="shared" si="2"/>
        <v>0</v>
      </c>
      <c r="S175" s="14">
        <f t="shared" si="3"/>
        <v>0</v>
      </c>
      <c r="T175" s="15">
        <f>IFERROR(__xludf.DUMMYFUNCTION("IFERROR(PERCENTRANK.INC(FILTER(Q:Q,$F:$F&lt;&gt;""""),Q175)*100,"""")"),1.5)</f>
        <v>1.5</v>
      </c>
      <c r="U175" s="15">
        <f>IFERROR(__xludf.DUMMYFUNCTION("IFERROR(PERCENTRANK.INC(FILTER(R:R,$F:$F&lt;&gt;""""),R175)*100,"""")"),1.5)</f>
        <v>1.5</v>
      </c>
      <c r="V175" s="15">
        <f>IFERROR(__xludf.DUMMYFUNCTION("IFERROR(PERCENTRANK.INC(FILTER(S:S,$F:$F&lt;&gt;""""),S175)*100,"""")"),1.5)</f>
        <v>1.5</v>
      </c>
      <c r="W175" s="15" t="str">
        <f t="shared" si="4"/>
        <v/>
      </c>
      <c r="X175" s="16"/>
      <c r="Y175" s="9"/>
      <c r="Z175" s="9"/>
    </row>
    <row r="176">
      <c r="B176" t="str">
        <f t="array" ref="B176">IFERROR(INDEX('Player Raw Data'!E:E,Match($A176,'Player Raw Data'!$B:$B,0)),"")</f>
        <v/>
      </c>
      <c r="C176" t="str">
        <f t="array" ref="C176">IFERROR(INDEX('Player Raw Data'!C:C,Match($A176,'Player Raw Data'!$B:$B,0)),"")</f>
        <v/>
      </c>
      <c r="D176" t="str">
        <f t="array" ref="D176">IFERROR(IF(A176=A175, INDEX('Player Raw Data'!D:D,Match($A176,'Player Raw Data'!$B:$B,0)+2),INDEX('Player Raw Data'!D:D,Match($A176,'Player Raw Data'!$B:$B,0))),"")</f>
        <v/>
      </c>
      <c r="E176" t="str">
        <f t="array" ref="E176">IFERROR(INDEX('Player Raw Data'!F:F,Match($A176,'Player Raw Data'!$B:$B,0)),"")</f>
        <v/>
      </c>
      <c r="F176" t="str">
        <f t="array" ref="F176">IFERROR(INDEX('Player Raw Data'!H:H,Match($A176,'Player Raw Data'!$B:$B,0)),"")</f>
        <v/>
      </c>
      <c r="G176" t="str">
        <f t="array" ref="G176">IFERROR(INDEX('Player Raw Data'!I:I,Match($A176,'Player Raw Data'!$B:$B,0)),"")</f>
        <v/>
      </c>
      <c r="H176" t="str">
        <f t="array" ref="H176">IFERROR(INDEX('Player Raw Data'!J:J,Match($A176,'Player Raw Data'!$B:$B,0)),"")</f>
        <v/>
      </c>
      <c r="I176" t="str">
        <f t="array" ref="I176">IFERROR(INDEX('Player Raw Data'!S:S,Match($A176,'Player Raw Data'!$B:$B,0)),"")</f>
        <v/>
      </c>
      <c r="J176" t="str">
        <f t="array" ref="J176">IFERROR(INDEX('Player Raw Data'!T:T,Match($A176,'Player Raw Data'!$B:$B,0)),"")</f>
        <v/>
      </c>
      <c r="K176" t="str">
        <f t="array" ref="K176">IFERROR(INDEX('Player Raw Data'!X:X,Match($A176,'Player Raw Data'!$B:$B,0)),"")</f>
        <v/>
      </c>
      <c r="L176" t="str">
        <f t="array" ref="L176">IFERROR(INDEX('Player Raw Data'!Y:Y,Match($A176,'Player Raw Data'!$B:$B,0)),"")</f>
        <v/>
      </c>
      <c r="M176" t="str">
        <f t="array" ref="M176">IFERROR(INDEX('Player Raw Data'!Z:Z,Match($A176,'Player Raw Data'!$B:$B,0)),"")</f>
        <v/>
      </c>
      <c r="N176" t="str">
        <f t="array" ref="N176">IFERROR(INDEX('Player Raw Data'!AA:AA,Match($A176,'Player Raw Data'!$B:$B,0)),"")</f>
        <v/>
      </c>
      <c r="O176" t="str">
        <f t="array" ref="O176">IFERROR(INDEX('Player Raw Data'!AB:AB,Match($A176,'Player Raw Data'!$B:$B,0)),"")</f>
        <v/>
      </c>
      <c r="P176" t="str">
        <f t="array" ref="P176">IFERROR(INDEX('Player Raw Data'!AD:AD,Match($A176,'Player Raw Data'!$B:$B,0)),"")</f>
        <v/>
      </c>
      <c r="Q176">
        <f t="shared" si="1"/>
        <v>0</v>
      </c>
      <c r="R176" s="9">
        <f t="shared" si="2"/>
        <v>0</v>
      </c>
      <c r="S176" s="14">
        <f t="shared" si="3"/>
        <v>0</v>
      </c>
      <c r="T176" s="15">
        <f>IFERROR(__xludf.DUMMYFUNCTION("IFERROR(PERCENTRANK.INC(FILTER(Q:Q,$F:$F&lt;&gt;""""),Q176)*100,"""")"),1.5)</f>
        <v>1.5</v>
      </c>
      <c r="U176" s="15">
        <f>IFERROR(__xludf.DUMMYFUNCTION("IFERROR(PERCENTRANK.INC(FILTER(R:R,$F:$F&lt;&gt;""""),R176)*100,"""")"),1.5)</f>
        <v>1.5</v>
      </c>
      <c r="V176" s="15">
        <f>IFERROR(__xludf.DUMMYFUNCTION("IFERROR(PERCENTRANK.INC(FILTER(S:S,$F:$F&lt;&gt;""""),S176)*100,"""")"),1.5)</f>
        <v>1.5</v>
      </c>
      <c r="W176" s="15" t="str">
        <f t="shared" si="4"/>
        <v/>
      </c>
      <c r="X176" s="16"/>
      <c r="Y176" s="9"/>
      <c r="Z176" s="9"/>
    </row>
    <row r="177">
      <c r="B177" t="str">
        <f t="array" ref="B177">IFERROR(INDEX('Player Raw Data'!E:E,Match($A177,'Player Raw Data'!$B:$B,0)),"")</f>
        <v/>
      </c>
      <c r="C177" t="str">
        <f t="array" ref="C177">IFERROR(INDEX('Player Raw Data'!C:C,Match($A177,'Player Raw Data'!$B:$B,0)),"")</f>
        <v/>
      </c>
      <c r="D177" t="str">
        <f t="array" ref="D177">IFERROR(IF(A177=A176, INDEX('Player Raw Data'!D:D,Match($A177,'Player Raw Data'!$B:$B,0)+2),INDEX('Player Raw Data'!D:D,Match($A177,'Player Raw Data'!$B:$B,0))),"")</f>
        <v/>
      </c>
      <c r="E177" t="str">
        <f t="array" ref="E177">IFERROR(INDEX('Player Raw Data'!F:F,Match($A177,'Player Raw Data'!$B:$B,0)),"")</f>
        <v/>
      </c>
      <c r="F177" t="str">
        <f t="array" ref="F177">IFERROR(INDEX('Player Raw Data'!H:H,Match($A177,'Player Raw Data'!$B:$B,0)),"")</f>
        <v/>
      </c>
      <c r="G177" t="str">
        <f t="array" ref="G177">IFERROR(INDEX('Player Raw Data'!I:I,Match($A177,'Player Raw Data'!$B:$B,0)),"")</f>
        <v/>
      </c>
      <c r="H177" t="str">
        <f t="array" ref="H177">IFERROR(INDEX('Player Raw Data'!J:J,Match($A177,'Player Raw Data'!$B:$B,0)),"")</f>
        <v/>
      </c>
      <c r="I177" t="str">
        <f t="array" ref="I177">IFERROR(INDEX('Player Raw Data'!S:S,Match($A177,'Player Raw Data'!$B:$B,0)),"")</f>
        <v/>
      </c>
      <c r="J177" t="str">
        <f t="array" ref="J177">IFERROR(INDEX('Player Raw Data'!T:T,Match($A177,'Player Raw Data'!$B:$B,0)),"")</f>
        <v/>
      </c>
      <c r="K177" t="str">
        <f t="array" ref="K177">IFERROR(INDEX('Player Raw Data'!X:X,Match($A177,'Player Raw Data'!$B:$B,0)),"")</f>
        <v/>
      </c>
      <c r="L177" t="str">
        <f t="array" ref="L177">IFERROR(INDEX('Player Raw Data'!Y:Y,Match($A177,'Player Raw Data'!$B:$B,0)),"")</f>
        <v/>
      </c>
      <c r="M177" t="str">
        <f t="array" ref="M177">IFERROR(INDEX('Player Raw Data'!Z:Z,Match($A177,'Player Raw Data'!$B:$B,0)),"")</f>
        <v/>
      </c>
      <c r="N177" t="str">
        <f t="array" ref="N177">IFERROR(INDEX('Player Raw Data'!AA:AA,Match($A177,'Player Raw Data'!$B:$B,0)),"")</f>
        <v/>
      </c>
      <c r="O177" t="str">
        <f t="array" ref="O177">IFERROR(INDEX('Player Raw Data'!AB:AB,Match($A177,'Player Raw Data'!$B:$B,0)),"")</f>
        <v/>
      </c>
      <c r="P177" t="str">
        <f t="array" ref="P177">IFERROR(INDEX('Player Raw Data'!AD:AD,Match($A177,'Player Raw Data'!$B:$B,0)),"")</f>
        <v/>
      </c>
      <c r="Q177">
        <f t="shared" si="1"/>
        <v>0</v>
      </c>
      <c r="R177" s="9">
        <f t="shared" si="2"/>
        <v>0</v>
      </c>
      <c r="S177" s="14">
        <f t="shared" si="3"/>
        <v>0</v>
      </c>
      <c r="T177" s="15">
        <f>IFERROR(__xludf.DUMMYFUNCTION("IFERROR(PERCENTRANK.INC(FILTER(Q:Q,$F:$F&lt;&gt;""""),Q177)*100,"""")"),1.5)</f>
        <v>1.5</v>
      </c>
      <c r="U177" s="15">
        <f>IFERROR(__xludf.DUMMYFUNCTION("IFERROR(PERCENTRANK.INC(FILTER(R:R,$F:$F&lt;&gt;""""),R177)*100,"""")"),1.5)</f>
        <v>1.5</v>
      </c>
      <c r="V177" s="15">
        <f>IFERROR(__xludf.DUMMYFUNCTION("IFERROR(PERCENTRANK.INC(FILTER(S:S,$F:$F&lt;&gt;""""),S177)*100,"""")"),1.5)</f>
        <v>1.5</v>
      </c>
      <c r="W177" s="15" t="str">
        <f t="shared" si="4"/>
        <v/>
      </c>
      <c r="X177" s="16"/>
      <c r="Y177" s="9"/>
      <c r="Z177" s="9"/>
    </row>
    <row r="178">
      <c r="B178" t="str">
        <f t="array" ref="B178">IFERROR(INDEX('Player Raw Data'!E:E,Match($A178,'Player Raw Data'!$B:$B,0)),"")</f>
        <v/>
      </c>
      <c r="C178" t="str">
        <f t="array" ref="C178">IFERROR(INDEX('Player Raw Data'!C:C,Match($A178,'Player Raw Data'!$B:$B,0)),"")</f>
        <v/>
      </c>
      <c r="D178" t="str">
        <f t="array" ref="D178">IFERROR(IF(A178=A177, INDEX('Player Raw Data'!D:D,Match($A178,'Player Raw Data'!$B:$B,0)+2),INDEX('Player Raw Data'!D:D,Match($A178,'Player Raw Data'!$B:$B,0))),"")</f>
        <v/>
      </c>
      <c r="E178" t="str">
        <f t="array" ref="E178">IFERROR(INDEX('Player Raw Data'!F:F,Match($A178,'Player Raw Data'!$B:$B,0)),"")</f>
        <v/>
      </c>
      <c r="F178" t="str">
        <f t="array" ref="F178">IFERROR(INDEX('Player Raw Data'!H:H,Match($A178,'Player Raw Data'!$B:$B,0)),"")</f>
        <v/>
      </c>
      <c r="G178" t="str">
        <f t="array" ref="G178">IFERROR(INDEX('Player Raw Data'!I:I,Match($A178,'Player Raw Data'!$B:$B,0)),"")</f>
        <v/>
      </c>
      <c r="H178" t="str">
        <f t="array" ref="H178">IFERROR(INDEX('Player Raw Data'!J:J,Match($A178,'Player Raw Data'!$B:$B,0)),"")</f>
        <v/>
      </c>
      <c r="I178" t="str">
        <f t="array" ref="I178">IFERROR(INDEX('Player Raw Data'!S:S,Match($A178,'Player Raw Data'!$B:$B,0)),"")</f>
        <v/>
      </c>
      <c r="J178" t="str">
        <f t="array" ref="J178">IFERROR(INDEX('Player Raw Data'!T:T,Match($A178,'Player Raw Data'!$B:$B,0)),"")</f>
        <v/>
      </c>
      <c r="K178" t="str">
        <f t="array" ref="K178">IFERROR(INDEX('Player Raw Data'!X:X,Match($A178,'Player Raw Data'!$B:$B,0)),"")</f>
        <v/>
      </c>
      <c r="L178" t="str">
        <f t="array" ref="L178">IFERROR(INDEX('Player Raw Data'!Y:Y,Match($A178,'Player Raw Data'!$B:$B,0)),"")</f>
        <v/>
      </c>
      <c r="M178" t="str">
        <f t="array" ref="M178">IFERROR(INDEX('Player Raw Data'!Z:Z,Match($A178,'Player Raw Data'!$B:$B,0)),"")</f>
        <v/>
      </c>
      <c r="N178" t="str">
        <f t="array" ref="N178">IFERROR(INDEX('Player Raw Data'!AA:AA,Match($A178,'Player Raw Data'!$B:$B,0)),"")</f>
        <v/>
      </c>
      <c r="O178" t="str">
        <f t="array" ref="O178">IFERROR(INDEX('Player Raw Data'!AB:AB,Match($A178,'Player Raw Data'!$B:$B,0)),"")</f>
        <v/>
      </c>
      <c r="P178" t="str">
        <f t="array" ref="P178">IFERROR(INDEX('Player Raw Data'!AD:AD,Match($A178,'Player Raw Data'!$B:$B,0)),"")</f>
        <v/>
      </c>
      <c r="Q178">
        <f t="shared" si="1"/>
        <v>0</v>
      </c>
      <c r="R178" s="9">
        <f t="shared" si="2"/>
        <v>0</v>
      </c>
      <c r="S178" s="14">
        <f t="shared" si="3"/>
        <v>0</v>
      </c>
      <c r="T178" s="15">
        <f>IFERROR(__xludf.DUMMYFUNCTION("IFERROR(PERCENTRANK.INC(FILTER(Q:Q,$F:$F&lt;&gt;""""),Q178)*100,"""")"),1.5)</f>
        <v>1.5</v>
      </c>
      <c r="U178" s="15">
        <f>IFERROR(__xludf.DUMMYFUNCTION("IFERROR(PERCENTRANK.INC(FILTER(R:R,$F:$F&lt;&gt;""""),R178)*100,"""")"),1.5)</f>
        <v>1.5</v>
      </c>
      <c r="V178" s="15">
        <f>IFERROR(__xludf.DUMMYFUNCTION("IFERROR(PERCENTRANK.INC(FILTER(S:S,$F:$F&lt;&gt;""""),S178)*100,"""")"),1.5)</f>
        <v>1.5</v>
      </c>
      <c r="W178" s="15" t="str">
        <f t="shared" si="4"/>
        <v/>
      </c>
      <c r="X178" s="16"/>
      <c r="Y178" s="9"/>
      <c r="Z178" s="9"/>
    </row>
    <row r="179">
      <c r="B179" t="str">
        <f t="array" ref="B179">IFERROR(INDEX('Player Raw Data'!E:E,Match($A179,'Player Raw Data'!$B:$B,0)),"")</f>
        <v/>
      </c>
      <c r="C179" t="str">
        <f t="array" ref="C179">IFERROR(INDEX('Player Raw Data'!C:C,Match($A179,'Player Raw Data'!$B:$B,0)),"")</f>
        <v/>
      </c>
      <c r="D179" t="str">
        <f t="array" ref="D179">IFERROR(IF(A179=A178, INDEX('Player Raw Data'!D:D,Match($A179,'Player Raw Data'!$B:$B,0)+2),INDEX('Player Raw Data'!D:D,Match($A179,'Player Raw Data'!$B:$B,0))),"")</f>
        <v/>
      </c>
      <c r="E179" t="str">
        <f t="array" ref="E179">IFERROR(INDEX('Player Raw Data'!F:F,Match($A179,'Player Raw Data'!$B:$B,0)),"")</f>
        <v/>
      </c>
      <c r="F179" t="str">
        <f t="array" ref="F179">IFERROR(INDEX('Player Raw Data'!H:H,Match($A179,'Player Raw Data'!$B:$B,0)),"")</f>
        <v/>
      </c>
      <c r="G179" t="str">
        <f t="array" ref="G179">IFERROR(INDEX('Player Raw Data'!I:I,Match($A179,'Player Raw Data'!$B:$B,0)),"")</f>
        <v/>
      </c>
      <c r="H179" t="str">
        <f t="array" ref="H179">IFERROR(INDEX('Player Raw Data'!J:J,Match($A179,'Player Raw Data'!$B:$B,0)),"")</f>
        <v/>
      </c>
      <c r="I179" t="str">
        <f t="array" ref="I179">IFERROR(INDEX('Player Raw Data'!S:S,Match($A179,'Player Raw Data'!$B:$B,0)),"")</f>
        <v/>
      </c>
      <c r="J179" t="str">
        <f t="array" ref="J179">IFERROR(INDEX('Player Raw Data'!T:T,Match($A179,'Player Raw Data'!$B:$B,0)),"")</f>
        <v/>
      </c>
      <c r="K179" t="str">
        <f t="array" ref="K179">IFERROR(INDEX('Player Raw Data'!X:X,Match($A179,'Player Raw Data'!$B:$B,0)),"")</f>
        <v/>
      </c>
      <c r="L179" t="str">
        <f t="array" ref="L179">IFERROR(INDEX('Player Raw Data'!Y:Y,Match($A179,'Player Raw Data'!$B:$B,0)),"")</f>
        <v/>
      </c>
      <c r="M179" t="str">
        <f t="array" ref="M179">IFERROR(INDEX('Player Raw Data'!Z:Z,Match($A179,'Player Raw Data'!$B:$B,0)),"")</f>
        <v/>
      </c>
      <c r="N179" t="str">
        <f t="array" ref="N179">IFERROR(INDEX('Player Raw Data'!AA:AA,Match($A179,'Player Raw Data'!$B:$B,0)),"")</f>
        <v/>
      </c>
      <c r="O179" t="str">
        <f t="array" ref="O179">IFERROR(INDEX('Player Raw Data'!AB:AB,Match($A179,'Player Raw Data'!$B:$B,0)),"")</f>
        <v/>
      </c>
      <c r="P179" t="str">
        <f t="array" ref="P179">IFERROR(INDEX('Player Raw Data'!AD:AD,Match($A179,'Player Raw Data'!$B:$B,0)),"")</f>
        <v/>
      </c>
      <c r="Q179">
        <f t="shared" si="1"/>
        <v>0</v>
      </c>
      <c r="R179" s="9">
        <f t="shared" si="2"/>
        <v>0</v>
      </c>
      <c r="S179" s="14">
        <f t="shared" si="3"/>
        <v>0</v>
      </c>
      <c r="T179" s="15">
        <f>IFERROR(__xludf.DUMMYFUNCTION("IFERROR(PERCENTRANK.INC(FILTER(Q:Q,$F:$F&lt;&gt;""""),Q179)*100,"""")"),1.5)</f>
        <v>1.5</v>
      </c>
      <c r="U179" s="15">
        <f>IFERROR(__xludf.DUMMYFUNCTION("IFERROR(PERCENTRANK.INC(FILTER(R:R,$F:$F&lt;&gt;""""),R179)*100,"""")"),1.5)</f>
        <v>1.5</v>
      </c>
      <c r="V179" s="15">
        <f>IFERROR(__xludf.DUMMYFUNCTION("IFERROR(PERCENTRANK.INC(FILTER(S:S,$F:$F&lt;&gt;""""),S179)*100,"""")"),1.5)</f>
        <v>1.5</v>
      </c>
      <c r="W179" s="15" t="str">
        <f t="shared" si="4"/>
        <v/>
      </c>
      <c r="X179" s="16"/>
      <c r="Y179" s="9"/>
      <c r="Z179" s="9"/>
    </row>
    <row r="180">
      <c r="B180" t="str">
        <f t="array" ref="B180">IFERROR(INDEX('Player Raw Data'!E:E,Match($A180,'Player Raw Data'!$B:$B,0)),"")</f>
        <v/>
      </c>
      <c r="C180" t="str">
        <f t="array" ref="C180">IFERROR(INDEX('Player Raw Data'!C:C,Match($A180,'Player Raw Data'!$B:$B,0)),"")</f>
        <v/>
      </c>
      <c r="D180" t="str">
        <f t="array" ref="D180">IFERROR(IF(A180=A179, INDEX('Player Raw Data'!D:D,Match($A180,'Player Raw Data'!$B:$B,0)+2),INDEX('Player Raw Data'!D:D,Match($A180,'Player Raw Data'!$B:$B,0))),"")</f>
        <v/>
      </c>
      <c r="E180" t="str">
        <f t="array" ref="E180">IFERROR(INDEX('Player Raw Data'!F:F,Match($A180,'Player Raw Data'!$B:$B,0)),"")</f>
        <v/>
      </c>
      <c r="F180" t="str">
        <f t="array" ref="F180">IFERROR(INDEX('Player Raw Data'!H:H,Match($A180,'Player Raw Data'!$B:$B,0)),"")</f>
        <v/>
      </c>
      <c r="G180" t="str">
        <f t="array" ref="G180">IFERROR(INDEX('Player Raw Data'!I:I,Match($A180,'Player Raw Data'!$B:$B,0)),"")</f>
        <v/>
      </c>
      <c r="H180" t="str">
        <f t="array" ref="H180">IFERROR(INDEX('Player Raw Data'!J:J,Match($A180,'Player Raw Data'!$B:$B,0)),"")</f>
        <v/>
      </c>
      <c r="I180" t="str">
        <f t="array" ref="I180">IFERROR(INDEX('Player Raw Data'!S:S,Match($A180,'Player Raw Data'!$B:$B,0)),"")</f>
        <v/>
      </c>
      <c r="J180" t="str">
        <f t="array" ref="J180">IFERROR(INDEX('Player Raw Data'!T:T,Match($A180,'Player Raw Data'!$B:$B,0)),"")</f>
        <v/>
      </c>
      <c r="K180" t="str">
        <f t="array" ref="K180">IFERROR(INDEX('Player Raw Data'!X:X,Match($A180,'Player Raw Data'!$B:$B,0)),"")</f>
        <v/>
      </c>
      <c r="L180" t="str">
        <f t="array" ref="L180">IFERROR(INDEX('Player Raw Data'!Y:Y,Match($A180,'Player Raw Data'!$B:$B,0)),"")</f>
        <v/>
      </c>
      <c r="M180" t="str">
        <f t="array" ref="M180">IFERROR(INDEX('Player Raw Data'!Z:Z,Match($A180,'Player Raw Data'!$B:$B,0)),"")</f>
        <v/>
      </c>
      <c r="N180" t="str">
        <f t="array" ref="N180">IFERROR(INDEX('Player Raw Data'!AA:AA,Match($A180,'Player Raw Data'!$B:$B,0)),"")</f>
        <v/>
      </c>
      <c r="O180" t="str">
        <f t="array" ref="O180">IFERROR(INDEX('Player Raw Data'!AB:AB,Match($A180,'Player Raw Data'!$B:$B,0)),"")</f>
        <v/>
      </c>
      <c r="P180" t="str">
        <f t="array" ref="P180">IFERROR(INDEX('Player Raw Data'!AD:AD,Match($A180,'Player Raw Data'!$B:$B,0)),"")</f>
        <v/>
      </c>
      <c r="Q180">
        <f t="shared" si="1"/>
        <v>0</v>
      </c>
      <c r="R180" s="9">
        <f t="shared" si="2"/>
        <v>0</v>
      </c>
      <c r="S180" s="14">
        <f t="shared" si="3"/>
        <v>0</v>
      </c>
      <c r="T180" s="15">
        <f>IFERROR(__xludf.DUMMYFUNCTION("IFERROR(PERCENTRANK.INC(FILTER(Q:Q,$F:$F&lt;&gt;""""),Q180)*100,"""")"),1.5)</f>
        <v>1.5</v>
      </c>
      <c r="U180" s="15">
        <f>IFERROR(__xludf.DUMMYFUNCTION("IFERROR(PERCENTRANK.INC(FILTER(R:R,$F:$F&lt;&gt;""""),R180)*100,"""")"),1.5)</f>
        <v>1.5</v>
      </c>
      <c r="V180" s="15">
        <f>IFERROR(__xludf.DUMMYFUNCTION("IFERROR(PERCENTRANK.INC(FILTER(S:S,$F:$F&lt;&gt;""""),S180)*100,"""")"),1.5)</f>
        <v>1.5</v>
      </c>
      <c r="W180" s="15" t="str">
        <f t="shared" si="4"/>
        <v/>
      </c>
      <c r="X180" s="16"/>
      <c r="Y180" s="9"/>
      <c r="Z180" s="9"/>
    </row>
    <row r="181">
      <c r="B181" t="str">
        <f t="array" ref="B181">IFERROR(INDEX('Player Raw Data'!E:E,Match($A181,'Player Raw Data'!$B:$B,0)),"")</f>
        <v/>
      </c>
      <c r="C181" t="str">
        <f t="array" ref="C181">IFERROR(INDEX('Player Raw Data'!C:C,Match($A181,'Player Raw Data'!$B:$B,0)),"")</f>
        <v/>
      </c>
      <c r="D181" t="str">
        <f t="array" ref="D181">IFERROR(IF(A181=A180, INDEX('Player Raw Data'!D:D,Match($A181,'Player Raw Data'!$B:$B,0)+2),INDEX('Player Raw Data'!D:D,Match($A181,'Player Raw Data'!$B:$B,0))),"")</f>
        <v/>
      </c>
      <c r="E181" t="str">
        <f t="array" ref="E181">IFERROR(INDEX('Player Raw Data'!F:F,Match($A181,'Player Raw Data'!$B:$B,0)),"")</f>
        <v/>
      </c>
      <c r="F181" t="str">
        <f t="array" ref="F181">IFERROR(INDEX('Player Raw Data'!H:H,Match($A181,'Player Raw Data'!$B:$B,0)),"")</f>
        <v/>
      </c>
      <c r="G181" t="str">
        <f t="array" ref="G181">IFERROR(INDEX('Player Raw Data'!I:I,Match($A181,'Player Raw Data'!$B:$B,0)),"")</f>
        <v/>
      </c>
      <c r="H181" t="str">
        <f t="array" ref="H181">IFERROR(INDEX('Player Raw Data'!J:J,Match($A181,'Player Raw Data'!$B:$B,0)),"")</f>
        <v/>
      </c>
      <c r="I181" t="str">
        <f t="array" ref="I181">IFERROR(INDEX('Player Raw Data'!S:S,Match($A181,'Player Raw Data'!$B:$B,0)),"")</f>
        <v/>
      </c>
      <c r="J181" t="str">
        <f t="array" ref="J181">IFERROR(INDEX('Player Raw Data'!T:T,Match($A181,'Player Raw Data'!$B:$B,0)),"")</f>
        <v/>
      </c>
      <c r="K181" t="str">
        <f t="array" ref="K181">IFERROR(INDEX('Player Raw Data'!X:X,Match($A181,'Player Raw Data'!$B:$B,0)),"")</f>
        <v/>
      </c>
      <c r="L181" t="str">
        <f t="array" ref="L181">IFERROR(INDEX('Player Raw Data'!Y:Y,Match($A181,'Player Raw Data'!$B:$B,0)),"")</f>
        <v/>
      </c>
      <c r="M181" t="str">
        <f t="array" ref="M181">IFERROR(INDEX('Player Raw Data'!Z:Z,Match($A181,'Player Raw Data'!$B:$B,0)),"")</f>
        <v/>
      </c>
      <c r="N181" t="str">
        <f t="array" ref="N181">IFERROR(INDEX('Player Raw Data'!AA:AA,Match($A181,'Player Raw Data'!$B:$B,0)),"")</f>
        <v/>
      </c>
      <c r="O181" t="str">
        <f t="array" ref="O181">IFERROR(INDEX('Player Raw Data'!AB:AB,Match($A181,'Player Raw Data'!$B:$B,0)),"")</f>
        <v/>
      </c>
      <c r="P181" t="str">
        <f t="array" ref="P181">IFERROR(INDEX('Player Raw Data'!AD:AD,Match($A181,'Player Raw Data'!$B:$B,0)),"")</f>
        <v/>
      </c>
      <c r="Q181">
        <f t="shared" si="1"/>
        <v>0</v>
      </c>
      <c r="R181" s="9">
        <f t="shared" si="2"/>
        <v>0</v>
      </c>
      <c r="S181" s="14">
        <f t="shared" si="3"/>
        <v>0</v>
      </c>
      <c r="T181" s="15">
        <f>IFERROR(__xludf.DUMMYFUNCTION("IFERROR(PERCENTRANK.INC(FILTER(Q:Q,$F:$F&lt;&gt;""""),Q181)*100,"""")"),1.5)</f>
        <v>1.5</v>
      </c>
      <c r="U181" s="15">
        <f>IFERROR(__xludf.DUMMYFUNCTION("IFERROR(PERCENTRANK.INC(FILTER(R:R,$F:$F&lt;&gt;""""),R181)*100,"""")"),1.5)</f>
        <v>1.5</v>
      </c>
      <c r="V181" s="15">
        <f>IFERROR(__xludf.DUMMYFUNCTION("IFERROR(PERCENTRANK.INC(FILTER(S:S,$F:$F&lt;&gt;""""),S181)*100,"""")"),1.5)</f>
        <v>1.5</v>
      </c>
      <c r="W181" s="15" t="str">
        <f t="shared" si="4"/>
        <v/>
      </c>
      <c r="X181" s="16"/>
      <c r="Y181" s="9"/>
      <c r="Z181" s="9"/>
    </row>
    <row r="182">
      <c r="B182" t="str">
        <f t="array" ref="B182">IFERROR(INDEX('Player Raw Data'!E:E,Match($A182,'Player Raw Data'!$B:$B,0)),"")</f>
        <v/>
      </c>
      <c r="C182" t="str">
        <f t="array" ref="C182">IFERROR(INDEX('Player Raw Data'!C:C,Match($A182,'Player Raw Data'!$B:$B,0)),"")</f>
        <v/>
      </c>
      <c r="D182" t="str">
        <f t="array" ref="D182">IFERROR(IF(A182=A181, INDEX('Player Raw Data'!D:D,Match($A182,'Player Raw Data'!$B:$B,0)+2),INDEX('Player Raw Data'!D:D,Match($A182,'Player Raw Data'!$B:$B,0))),"")</f>
        <v/>
      </c>
      <c r="E182" t="str">
        <f t="array" ref="E182">IFERROR(INDEX('Player Raw Data'!F:F,Match($A182,'Player Raw Data'!$B:$B,0)),"")</f>
        <v/>
      </c>
      <c r="F182" t="str">
        <f t="array" ref="F182">IFERROR(INDEX('Player Raw Data'!H:H,Match($A182,'Player Raw Data'!$B:$B,0)),"")</f>
        <v/>
      </c>
      <c r="G182" t="str">
        <f t="array" ref="G182">IFERROR(INDEX('Player Raw Data'!I:I,Match($A182,'Player Raw Data'!$B:$B,0)),"")</f>
        <v/>
      </c>
      <c r="H182" t="str">
        <f t="array" ref="H182">IFERROR(INDEX('Player Raw Data'!J:J,Match($A182,'Player Raw Data'!$B:$B,0)),"")</f>
        <v/>
      </c>
      <c r="I182" t="str">
        <f t="array" ref="I182">IFERROR(INDEX('Player Raw Data'!S:S,Match($A182,'Player Raw Data'!$B:$B,0)),"")</f>
        <v/>
      </c>
      <c r="J182" t="str">
        <f t="array" ref="J182">IFERROR(INDEX('Player Raw Data'!T:T,Match($A182,'Player Raw Data'!$B:$B,0)),"")</f>
        <v/>
      </c>
      <c r="K182" t="str">
        <f t="array" ref="K182">IFERROR(INDEX('Player Raw Data'!X:X,Match($A182,'Player Raw Data'!$B:$B,0)),"")</f>
        <v/>
      </c>
      <c r="L182" t="str">
        <f t="array" ref="L182">IFERROR(INDEX('Player Raw Data'!Y:Y,Match($A182,'Player Raw Data'!$B:$B,0)),"")</f>
        <v/>
      </c>
      <c r="M182" t="str">
        <f t="array" ref="M182">IFERROR(INDEX('Player Raw Data'!Z:Z,Match($A182,'Player Raw Data'!$B:$B,0)),"")</f>
        <v/>
      </c>
      <c r="N182" t="str">
        <f t="array" ref="N182">IFERROR(INDEX('Player Raw Data'!AA:AA,Match($A182,'Player Raw Data'!$B:$B,0)),"")</f>
        <v/>
      </c>
      <c r="O182" t="str">
        <f t="array" ref="O182">IFERROR(INDEX('Player Raw Data'!AB:AB,Match($A182,'Player Raw Data'!$B:$B,0)),"")</f>
        <v/>
      </c>
      <c r="P182" t="str">
        <f t="array" ref="P182">IFERROR(INDEX('Player Raw Data'!AD:AD,Match($A182,'Player Raw Data'!$B:$B,0)),"")</f>
        <v/>
      </c>
      <c r="Q182">
        <f t="shared" si="1"/>
        <v>0</v>
      </c>
      <c r="R182" s="9">
        <f t="shared" si="2"/>
        <v>0</v>
      </c>
      <c r="S182" s="14">
        <f t="shared" si="3"/>
        <v>0</v>
      </c>
      <c r="T182" s="15">
        <f>IFERROR(__xludf.DUMMYFUNCTION("IFERROR(PERCENTRANK.INC(FILTER(Q:Q,$F:$F&lt;&gt;""""),Q182)*100,"""")"),1.5)</f>
        <v>1.5</v>
      </c>
      <c r="U182" s="15">
        <f>IFERROR(__xludf.DUMMYFUNCTION("IFERROR(PERCENTRANK.INC(FILTER(R:R,$F:$F&lt;&gt;""""),R182)*100,"""")"),1.5)</f>
        <v>1.5</v>
      </c>
      <c r="V182" s="15">
        <f>IFERROR(__xludf.DUMMYFUNCTION("IFERROR(PERCENTRANK.INC(FILTER(S:S,$F:$F&lt;&gt;""""),S182)*100,"""")"),1.5)</f>
        <v>1.5</v>
      </c>
      <c r="W182" s="15" t="str">
        <f t="shared" si="4"/>
        <v/>
      </c>
      <c r="X182" s="16"/>
      <c r="Y182" s="9"/>
      <c r="Z182" s="9"/>
    </row>
    <row r="183">
      <c r="B183" t="str">
        <f t="array" ref="B183">IFERROR(INDEX('Player Raw Data'!E:E,Match($A183,'Player Raw Data'!$B:$B,0)),"")</f>
        <v/>
      </c>
      <c r="C183" t="str">
        <f t="array" ref="C183">IFERROR(INDEX('Player Raw Data'!C:C,Match($A183,'Player Raw Data'!$B:$B,0)),"")</f>
        <v/>
      </c>
      <c r="D183" t="str">
        <f t="array" ref="D183">IFERROR(IF(A183=A182, INDEX('Player Raw Data'!D:D,Match($A183,'Player Raw Data'!$B:$B,0)+2),INDEX('Player Raw Data'!D:D,Match($A183,'Player Raw Data'!$B:$B,0))),"")</f>
        <v/>
      </c>
      <c r="E183" t="str">
        <f t="array" ref="E183">IFERROR(INDEX('Player Raw Data'!F:F,Match($A183,'Player Raw Data'!$B:$B,0)),"")</f>
        <v/>
      </c>
      <c r="F183" t="str">
        <f t="array" ref="F183">IFERROR(INDEX('Player Raw Data'!H:H,Match($A183,'Player Raw Data'!$B:$B,0)),"")</f>
        <v/>
      </c>
      <c r="G183" t="str">
        <f t="array" ref="G183">IFERROR(INDEX('Player Raw Data'!I:I,Match($A183,'Player Raw Data'!$B:$B,0)),"")</f>
        <v/>
      </c>
      <c r="H183" t="str">
        <f t="array" ref="H183">IFERROR(INDEX('Player Raw Data'!J:J,Match($A183,'Player Raw Data'!$B:$B,0)),"")</f>
        <v/>
      </c>
      <c r="I183" t="str">
        <f t="array" ref="I183">IFERROR(INDEX('Player Raw Data'!S:S,Match($A183,'Player Raw Data'!$B:$B,0)),"")</f>
        <v/>
      </c>
      <c r="J183" t="str">
        <f t="array" ref="J183">IFERROR(INDEX('Player Raw Data'!T:T,Match($A183,'Player Raw Data'!$B:$B,0)),"")</f>
        <v/>
      </c>
      <c r="K183" t="str">
        <f t="array" ref="K183">IFERROR(INDEX('Player Raw Data'!X:X,Match($A183,'Player Raw Data'!$B:$B,0)),"")</f>
        <v/>
      </c>
      <c r="L183" t="str">
        <f t="array" ref="L183">IFERROR(INDEX('Player Raw Data'!Y:Y,Match($A183,'Player Raw Data'!$B:$B,0)),"")</f>
        <v/>
      </c>
      <c r="M183" t="str">
        <f t="array" ref="M183">IFERROR(INDEX('Player Raw Data'!Z:Z,Match($A183,'Player Raw Data'!$B:$B,0)),"")</f>
        <v/>
      </c>
      <c r="N183" t="str">
        <f t="array" ref="N183">IFERROR(INDEX('Player Raw Data'!AA:AA,Match($A183,'Player Raw Data'!$B:$B,0)),"")</f>
        <v/>
      </c>
      <c r="O183" t="str">
        <f t="array" ref="O183">IFERROR(INDEX('Player Raw Data'!AB:AB,Match($A183,'Player Raw Data'!$B:$B,0)),"")</f>
        <v/>
      </c>
      <c r="P183" t="str">
        <f t="array" ref="P183">IFERROR(INDEX('Player Raw Data'!AD:AD,Match($A183,'Player Raw Data'!$B:$B,0)),"")</f>
        <v/>
      </c>
      <c r="Q183">
        <f t="shared" si="1"/>
        <v>0</v>
      </c>
      <c r="R183" s="9">
        <f t="shared" si="2"/>
        <v>0</v>
      </c>
      <c r="S183" s="14">
        <f t="shared" si="3"/>
        <v>0</v>
      </c>
      <c r="T183" s="15">
        <f>IFERROR(__xludf.DUMMYFUNCTION("IFERROR(PERCENTRANK.INC(FILTER(Q:Q,$F:$F&lt;&gt;""""),Q183)*100,"""")"),1.5)</f>
        <v>1.5</v>
      </c>
      <c r="U183" s="15">
        <f>IFERROR(__xludf.DUMMYFUNCTION("IFERROR(PERCENTRANK.INC(FILTER(R:R,$F:$F&lt;&gt;""""),R183)*100,"""")"),1.5)</f>
        <v>1.5</v>
      </c>
      <c r="V183" s="15">
        <f>IFERROR(__xludf.DUMMYFUNCTION("IFERROR(PERCENTRANK.INC(FILTER(S:S,$F:$F&lt;&gt;""""),S183)*100,"""")"),1.5)</f>
        <v>1.5</v>
      </c>
      <c r="W183" s="15" t="str">
        <f t="shared" si="4"/>
        <v/>
      </c>
      <c r="X183" s="16"/>
      <c r="Y183" s="9"/>
      <c r="Z183" s="9"/>
    </row>
    <row r="184">
      <c r="B184" t="str">
        <f t="array" ref="B184">IFERROR(INDEX('Player Raw Data'!E:E,Match($A184,'Player Raw Data'!$B:$B,0)),"")</f>
        <v/>
      </c>
      <c r="C184" t="str">
        <f t="array" ref="C184">IFERROR(INDEX('Player Raw Data'!C:C,Match($A184,'Player Raw Data'!$B:$B,0)),"")</f>
        <v/>
      </c>
      <c r="D184" t="str">
        <f t="array" ref="D184">IFERROR(IF(A184=A183, INDEX('Player Raw Data'!D:D,Match($A184,'Player Raw Data'!$B:$B,0)+2),INDEX('Player Raw Data'!D:D,Match($A184,'Player Raw Data'!$B:$B,0))),"")</f>
        <v/>
      </c>
      <c r="E184" t="str">
        <f t="array" ref="E184">IFERROR(INDEX('Player Raw Data'!F:F,Match($A184,'Player Raw Data'!$B:$B,0)),"")</f>
        <v/>
      </c>
      <c r="F184" t="str">
        <f t="array" ref="F184">IFERROR(INDEX('Player Raw Data'!H:H,Match($A184,'Player Raw Data'!$B:$B,0)),"")</f>
        <v/>
      </c>
      <c r="G184" t="str">
        <f t="array" ref="G184">IFERROR(INDEX('Player Raw Data'!I:I,Match($A184,'Player Raw Data'!$B:$B,0)),"")</f>
        <v/>
      </c>
      <c r="H184" t="str">
        <f t="array" ref="H184">IFERROR(INDEX('Player Raw Data'!J:J,Match($A184,'Player Raw Data'!$B:$B,0)),"")</f>
        <v/>
      </c>
      <c r="I184" t="str">
        <f t="array" ref="I184">IFERROR(INDEX('Player Raw Data'!S:S,Match($A184,'Player Raw Data'!$B:$B,0)),"")</f>
        <v/>
      </c>
      <c r="J184" t="str">
        <f t="array" ref="J184">IFERROR(INDEX('Player Raw Data'!T:T,Match($A184,'Player Raw Data'!$B:$B,0)),"")</f>
        <v/>
      </c>
      <c r="K184" t="str">
        <f t="array" ref="K184">IFERROR(INDEX('Player Raw Data'!X:X,Match($A184,'Player Raw Data'!$B:$B,0)),"")</f>
        <v/>
      </c>
      <c r="L184" t="str">
        <f t="array" ref="L184">IFERROR(INDEX('Player Raw Data'!Y:Y,Match($A184,'Player Raw Data'!$B:$B,0)),"")</f>
        <v/>
      </c>
      <c r="M184" t="str">
        <f t="array" ref="M184">IFERROR(INDEX('Player Raw Data'!Z:Z,Match($A184,'Player Raw Data'!$B:$B,0)),"")</f>
        <v/>
      </c>
      <c r="N184" t="str">
        <f t="array" ref="N184">IFERROR(INDEX('Player Raw Data'!AA:AA,Match($A184,'Player Raw Data'!$B:$B,0)),"")</f>
        <v/>
      </c>
      <c r="O184" t="str">
        <f t="array" ref="O184">IFERROR(INDEX('Player Raw Data'!AB:AB,Match($A184,'Player Raw Data'!$B:$B,0)),"")</f>
        <v/>
      </c>
      <c r="P184" t="str">
        <f t="array" ref="P184">IFERROR(INDEX('Player Raw Data'!AD:AD,Match($A184,'Player Raw Data'!$B:$B,0)),"")</f>
        <v/>
      </c>
      <c r="Q184">
        <f t="shared" si="1"/>
        <v>0</v>
      </c>
      <c r="R184" s="9">
        <f t="shared" si="2"/>
        <v>0</v>
      </c>
      <c r="S184" s="14">
        <f t="shared" si="3"/>
        <v>0</v>
      </c>
      <c r="T184" s="15">
        <f>IFERROR(__xludf.DUMMYFUNCTION("IFERROR(PERCENTRANK.INC(FILTER(Q:Q,$F:$F&lt;&gt;""""),Q184)*100,"""")"),1.5)</f>
        <v>1.5</v>
      </c>
      <c r="U184" s="15">
        <f>IFERROR(__xludf.DUMMYFUNCTION("IFERROR(PERCENTRANK.INC(FILTER(R:R,$F:$F&lt;&gt;""""),R184)*100,"""")"),1.5)</f>
        <v>1.5</v>
      </c>
      <c r="V184" s="15">
        <f>IFERROR(__xludf.DUMMYFUNCTION("IFERROR(PERCENTRANK.INC(FILTER(S:S,$F:$F&lt;&gt;""""),S184)*100,"""")"),1.5)</f>
        <v>1.5</v>
      </c>
      <c r="W184" s="15" t="str">
        <f t="shared" si="4"/>
        <v/>
      </c>
      <c r="X184" s="16"/>
      <c r="Y184" s="9"/>
      <c r="Z184" s="9"/>
    </row>
    <row r="185">
      <c r="B185" t="str">
        <f t="array" ref="B185">IFERROR(INDEX('Player Raw Data'!E:E,Match($A185,'Player Raw Data'!$B:$B,0)),"")</f>
        <v/>
      </c>
      <c r="C185" t="str">
        <f t="array" ref="C185">IFERROR(INDEX('Player Raw Data'!C:C,Match($A185,'Player Raw Data'!$B:$B,0)),"")</f>
        <v/>
      </c>
      <c r="D185" t="str">
        <f t="array" ref="D185">IFERROR(IF(A185=A184, INDEX('Player Raw Data'!D:D,Match($A185,'Player Raw Data'!$B:$B,0)+2),INDEX('Player Raw Data'!D:D,Match($A185,'Player Raw Data'!$B:$B,0))),"")</f>
        <v/>
      </c>
      <c r="E185" t="str">
        <f t="array" ref="E185">IFERROR(INDEX('Player Raw Data'!F:F,Match($A185,'Player Raw Data'!$B:$B,0)),"")</f>
        <v/>
      </c>
      <c r="F185" t="str">
        <f t="array" ref="F185">IFERROR(INDEX('Player Raw Data'!H:H,Match($A185,'Player Raw Data'!$B:$B,0)),"")</f>
        <v/>
      </c>
      <c r="G185" t="str">
        <f t="array" ref="G185">IFERROR(INDEX('Player Raw Data'!I:I,Match($A185,'Player Raw Data'!$B:$B,0)),"")</f>
        <v/>
      </c>
      <c r="H185" t="str">
        <f t="array" ref="H185">IFERROR(INDEX('Player Raw Data'!J:J,Match($A185,'Player Raw Data'!$B:$B,0)),"")</f>
        <v/>
      </c>
      <c r="I185" t="str">
        <f t="array" ref="I185">IFERROR(INDEX('Player Raw Data'!S:S,Match($A185,'Player Raw Data'!$B:$B,0)),"")</f>
        <v/>
      </c>
      <c r="J185" t="str">
        <f t="array" ref="J185">IFERROR(INDEX('Player Raw Data'!T:T,Match($A185,'Player Raw Data'!$B:$B,0)),"")</f>
        <v/>
      </c>
      <c r="K185" t="str">
        <f t="array" ref="K185">IFERROR(INDEX('Player Raw Data'!X:X,Match($A185,'Player Raw Data'!$B:$B,0)),"")</f>
        <v/>
      </c>
      <c r="L185" t="str">
        <f t="array" ref="L185">IFERROR(INDEX('Player Raw Data'!Y:Y,Match($A185,'Player Raw Data'!$B:$B,0)),"")</f>
        <v/>
      </c>
      <c r="M185" t="str">
        <f t="array" ref="M185">IFERROR(INDEX('Player Raw Data'!Z:Z,Match($A185,'Player Raw Data'!$B:$B,0)),"")</f>
        <v/>
      </c>
      <c r="N185" t="str">
        <f t="array" ref="N185">IFERROR(INDEX('Player Raw Data'!AA:AA,Match($A185,'Player Raw Data'!$B:$B,0)),"")</f>
        <v/>
      </c>
      <c r="O185" t="str">
        <f t="array" ref="O185">IFERROR(INDEX('Player Raw Data'!AB:AB,Match($A185,'Player Raw Data'!$B:$B,0)),"")</f>
        <v/>
      </c>
      <c r="P185" t="str">
        <f t="array" ref="P185">IFERROR(INDEX('Player Raw Data'!AD:AD,Match($A185,'Player Raw Data'!$B:$B,0)),"")</f>
        <v/>
      </c>
      <c r="Q185">
        <f t="shared" si="1"/>
        <v>0</v>
      </c>
      <c r="R185" s="9">
        <f t="shared" si="2"/>
        <v>0</v>
      </c>
      <c r="S185" s="14">
        <f t="shared" si="3"/>
        <v>0</v>
      </c>
      <c r="T185" s="15">
        <f>IFERROR(__xludf.DUMMYFUNCTION("IFERROR(PERCENTRANK.INC(FILTER(Q:Q,$F:$F&lt;&gt;""""),Q185)*100,"""")"),1.5)</f>
        <v>1.5</v>
      </c>
      <c r="U185" s="15">
        <f>IFERROR(__xludf.DUMMYFUNCTION("IFERROR(PERCENTRANK.INC(FILTER(R:R,$F:$F&lt;&gt;""""),R185)*100,"""")"),1.5)</f>
        <v>1.5</v>
      </c>
      <c r="V185" s="15">
        <f>IFERROR(__xludf.DUMMYFUNCTION("IFERROR(PERCENTRANK.INC(FILTER(S:S,$F:$F&lt;&gt;""""),S185)*100,"""")"),1.5)</f>
        <v>1.5</v>
      </c>
      <c r="W185" s="15" t="str">
        <f t="shared" si="4"/>
        <v/>
      </c>
      <c r="X185" s="16"/>
      <c r="Y185" s="9"/>
      <c r="Z185" s="9"/>
    </row>
    <row r="186">
      <c r="B186" t="str">
        <f t="array" ref="B186">IFERROR(INDEX('Player Raw Data'!E:E,Match($A186,'Player Raw Data'!$B:$B,0)),"")</f>
        <v/>
      </c>
      <c r="C186" t="str">
        <f t="array" ref="C186">IFERROR(INDEX('Player Raw Data'!C:C,Match($A186,'Player Raw Data'!$B:$B,0)),"")</f>
        <v/>
      </c>
      <c r="D186" t="str">
        <f t="array" ref="D186">IFERROR(IF(A186=A185, INDEX('Player Raw Data'!D:D,Match($A186,'Player Raw Data'!$B:$B,0)+2),INDEX('Player Raw Data'!D:D,Match($A186,'Player Raw Data'!$B:$B,0))),"")</f>
        <v/>
      </c>
      <c r="E186" t="str">
        <f t="array" ref="E186">IFERROR(INDEX('Player Raw Data'!F:F,Match($A186,'Player Raw Data'!$B:$B,0)),"")</f>
        <v/>
      </c>
      <c r="F186" t="str">
        <f t="array" ref="F186">IFERROR(INDEX('Player Raw Data'!H:H,Match($A186,'Player Raw Data'!$B:$B,0)),"")</f>
        <v/>
      </c>
      <c r="G186" t="str">
        <f t="array" ref="G186">IFERROR(INDEX('Player Raw Data'!I:I,Match($A186,'Player Raw Data'!$B:$B,0)),"")</f>
        <v/>
      </c>
      <c r="H186" t="str">
        <f t="array" ref="H186">IFERROR(INDEX('Player Raw Data'!J:J,Match($A186,'Player Raw Data'!$B:$B,0)),"")</f>
        <v/>
      </c>
      <c r="I186" t="str">
        <f t="array" ref="I186">IFERROR(INDEX('Player Raw Data'!S:S,Match($A186,'Player Raw Data'!$B:$B,0)),"")</f>
        <v/>
      </c>
      <c r="J186" t="str">
        <f t="array" ref="J186">IFERROR(INDEX('Player Raw Data'!T:T,Match($A186,'Player Raw Data'!$B:$B,0)),"")</f>
        <v/>
      </c>
      <c r="K186" t="str">
        <f t="array" ref="K186">IFERROR(INDEX('Player Raw Data'!X:X,Match($A186,'Player Raw Data'!$B:$B,0)),"")</f>
        <v/>
      </c>
      <c r="L186" t="str">
        <f t="array" ref="L186">IFERROR(INDEX('Player Raw Data'!Y:Y,Match($A186,'Player Raw Data'!$B:$B,0)),"")</f>
        <v/>
      </c>
      <c r="M186" t="str">
        <f t="array" ref="M186">IFERROR(INDEX('Player Raw Data'!Z:Z,Match($A186,'Player Raw Data'!$B:$B,0)),"")</f>
        <v/>
      </c>
      <c r="N186" t="str">
        <f t="array" ref="N186">IFERROR(INDEX('Player Raw Data'!AA:AA,Match($A186,'Player Raw Data'!$B:$B,0)),"")</f>
        <v/>
      </c>
      <c r="O186" t="str">
        <f t="array" ref="O186">IFERROR(INDEX('Player Raw Data'!AB:AB,Match($A186,'Player Raw Data'!$B:$B,0)),"")</f>
        <v/>
      </c>
      <c r="P186" t="str">
        <f t="array" ref="P186">IFERROR(INDEX('Player Raw Data'!AD:AD,Match($A186,'Player Raw Data'!$B:$B,0)),"")</f>
        <v/>
      </c>
      <c r="Q186">
        <f t="shared" si="1"/>
        <v>0</v>
      </c>
      <c r="R186" s="9">
        <f t="shared" si="2"/>
        <v>0</v>
      </c>
      <c r="S186" s="14">
        <f t="shared" si="3"/>
        <v>0</v>
      </c>
      <c r="T186" s="15">
        <f>IFERROR(__xludf.DUMMYFUNCTION("IFERROR(PERCENTRANK.INC(FILTER(Q:Q,$F:$F&lt;&gt;""""),Q186)*100,"""")"),1.5)</f>
        <v>1.5</v>
      </c>
      <c r="U186" s="15">
        <f>IFERROR(__xludf.DUMMYFUNCTION("IFERROR(PERCENTRANK.INC(FILTER(R:R,$F:$F&lt;&gt;""""),R186)*100,"""")"),1.5)</f>
        <v>1.5</v>
      </c>
      <c r="V186" s="15">
        <f>IFERROR(__xludf.DUMMYFUNCTION("IFERROR(PERCENTRANK.INC(FILTER(S:S,$F:$F&lt;&gt;""""),S186)*100,"""")"),1.5)</f>
        <v>1.5</v>
      </c>
      <c r="W186" s="15" t="str">
        <f t="shared" si="4"/>
        <v/>
      </c>
      <c r="X186" s="16"/>
      <c r="Y186" s="9"/>
      <c r="Z186" s="9"/>
    </row>
    <row r="187">
      <c r="B187" t="str">
        <f t="array" ref="B187">IFERROR(INDEX('Player Raw Data'!E:E,Match($A187,'Player Raw Data'!$B:$B,0)),"")</f>
        <v/>
      </c>
      <c r="C187" t="str">
        <f t="array" ref="C187">IFERROR(INDEX('Player Raw Data'!C:C,Match($A187,'Player Raw Data'!$B:$B,0)),"")</f>
        <v/>
      </c>
      <c r="D187" t="str">
        <f t="array" ref="D187">IFERROR(IF(A187=A186, INDEX('Player Raw Data'!D:D,Match($A187,'Player Raw Data'!$B:$B,0)+2),INDEX('Player Raw Data'!D:D,Match($A187,'Player Raw Data'!$B:$B,0))),"")</f>
        <v/>
      </c>
      <c r="E187" t="str">
        <f t="array" ref="E187">IFERROR(INDEX('Player Raw Data'!F:F,Match($A187,'Player Raw Data'!$B:$B,0)),"")</f>
        <v/>
      </c>
      <c r="F187" t="str">
        <f t="array" ref="F187">IFERROR(INDEX('Player Raw Data'!H:H,Match($A187,'Player Raw Data'!$B:$B,0)),"")</f>
        <v/>
      </c>
      <c r="G187" t="str">
        <f t="array" ref="G187">IFERROR(INDEX('Player Raw Data'!I:I,Match($A187,'Player Raw Data'!$B:$B,0)),"")</f>
        <v/>
      </c>
      <c r="H187" t="str">
        <f t="array" ref="H187">IFERROR(INDEX('Player Raw Data'!J:J,Match($A187,'Player Raw Data'!$B:$B,0)),"")</f>
        <v/>
      </c>
      <c r="I187" t="str">
        <f t="array" ref="I187">IFERROR(INDEX('Player Raw Data'!S:S,Match($A187,'Player Raw Data'!$B:$B,0)),"")</f>
        <v/>
      </c>
      <c r="J187" t="str">
        <f t="array" ref="J187">IFERROR(INDEX('Player Raw Data'!T:T,Match($A187,'Player Raw Data'!$B:$B,0)),"")</f>
        <v/>
      </c>
      <c r="K187" t="str">
        <f t="array" ref="K187">IFERROR(INDEX('Player Raw Data'!X:X,Match($A187,'Player Raw Data'!$B:$B,0)),"")</f>
        <v/>
      </c>
      <c r="L187" t="str">
        <f t="array" ref="L187">IFERROR(INDEX('Player Raw Data'!Y:Y,Match($A187,'Player Raw Data'!$B:$B,0)),"")</f>
        <v/>
      </c>
      <c r="M187" t="str">
        <f t="array" ref="M187">IFERROR(INDEX('Player Raw Data'!Z:Z,Match($A187,'Player Raw Data'!$B:$B,0)),"")</f>
        <v/>
      </c>
      <c r="N187" t="str">
        <f t="array" ref="N187">IFERROR(INDEX('Player Raw Data'!AA:AA,Match($A187,'Player Raw Data'!$B:$B,0)),"")</f>
        <v/>
      </c>
      <c r="O187" t="str">
        <f t="array" ref="O187">IFERROR(INDEX('Player Raw Data'!AB:AB,Match($A187,'Player Raw Data'!$B:$B,0)),"")</f>
        <v/>
      </c>
      <c r="P187" t="str">
        <f t="array" ref="P187">IFERROR(INDEX('Player Raw Data'!AD:AD,Match($A187,'Player Raw Data'!$B:$B,0)),"")</f>
        <v/>
      </c>
      <c r="Q187">
        <f t="shared" si="1"/>
        <v>0</v>
      </c>
      <c r="R187" s="9">
        <f t="shared" si="2"/>
        <v>0</v>
      </c>
      <c r="S187" s="14">
        <f t="shared" si="3"/>
        <v>0</v>
      </c>
      <c r="T187" s="15">
        <f>IFERROR(__xludf.DUMMYFUNCTION("IFERROR(PERCENTRANK.INC(FILTER(Q:Q,$F:$F&lt;&gt;""""),Q187)*100,"""")"),1.5)</f>
        <v>1.5</v>
      </c>
      <c r="U187" s="15">
        <f>IFERROR(__xludf.DUMMYFUNCTION("IFERROR(PERCENTRANK.INC(FILTER(R:R,$F:$F&lt;&gt;""""),R187)*100,"""")"),1.5)</f>
        <v>1.5</v>
      </c>
      <c r="V187" s="15">
        <f>IFERROR(__xludf.DUMMYFUNCTION("IFERROR(PERCENTRANK.INC(FILTER(S:S,$F:$F&lt;&gt;""""),S187)*100,"""")"),1.5)</f>
        <v>1.5</v>
      </c>
      <c r="W187" s="15" t="str">
        <f t="shared" si="4"/>
        <v/>
      </c>
      <c r="X187" s="16"/>
      <c r="Y187" s="9"/>
      <c r="Z187" s="9"/>
    </row>
    <row r="188">
      <c r="B188" t="str">
        <f t="array" ref="B188">IFERROR(INDEX('Player Raw Data'!E:E,Match($A188,'Player Raw Data'!$B:$B,0)),"")</f>
        <v/>
      </c>
      <c r="C188" t="str">
        <f t="array" ref="C188">IFERROR(INDEX('Player Raw Data'!C:C,Match($A188,'Player Raw Data'!$B:$B,0)),"")</f>
        <v/>
      </c>
      <c r="D188" t="str">
        <f t="array" ref="D188">IFERROR(IF(A188=A187, INDEX('Player Raw Data'!D:D,Match($A188,'Player Raw Data'!$B:$B,0)+2),INDEX('Player Raw Data'!D:D,Match($A188,'Player Raw Data'!$B:$B,0))),"")</f>
        <v/>
      </c>
      <c r="E188" t="str">
        <f t="array" ref="E188">IFERROR(INDEX('Player Raw Data'!F:F,Match($A188,'Player Raw Data'!$B:$B,0)),"")</f>
        <v/>
      </c>
      <c r="F188" t="str">
        <f t="array" ref="F188">IFERROR(INDEX('Player Raw Data'!H:H,Match($A188,'Player Raw Data'!$B:$B,0)),"")</f>
        <v/>
      </c>
      <c r="G188" t="str">
        <f t="array" ref="G188">IFERROR(INDEX('Player Raw Data'!I:I,Match($A188,'Player Raw Data'!$B:$B,0)),"")</f>
        <v/>
      </c>
      <c r="H188" t="str">
        <f t="array" ref="H188">IFERROR(INDEX('Player Raw Data'!J:J,Match($A188,'Player Raw Data'!$B:$B,0)),"")</f>
        <v/>
      </c>
      <c r="I188" t="str">
        <f t="array" ref="I188">IFERROR(INDEX('Player Raw Data'!S:S,Match($A188,'Player Raw Data'!$B:$B,0)),"")</f>
        <v/>
      </c>
      <c r="J188" t="str">
        <f t="array" ref="J188">IFERROR(INDEX('Player Raw Data'!T:T,Match($A188,'Player Raw Data'!$B:$B,0)),"")</f>
        <v/>
      </c>
      <c r="K188" t="str">
        <f t="array" ref="K188">IFERROR(INDEX('Player Raw Data'!X:X,Match($A188,'Player Raw Data'!$B:$B,0)),"")</f>
        <v/>
      </c>
      <c r="L188" t="str">
        <f t="array" ref="L188">IFERROR(INDEX('Player Raw Data'!Y:Y,Match($A188,'Player Raw Data'!$B:$B,0)),"")</f>
        <v/>
      </c>
      <c r="M188" t="str">
        <f t="array" ref="M188">IFERROR(INDEX('Player Raw Data'!Z:Z,Match($A188,'Player Raw Data'!$B:$B,0)),"")</f>
        <v/>
      </c>
      <c r="N188" t="str">
        <f t="array" ref="N188">IFERROR(INDEX('Player Raw Data'!AA:AA,Match($A188,'Player Raw Data'!$B:$B,0)),"")</f>
        <v/>
      </c>
      <c r="O188" t="str">
        <f t="array" ref="O188">IFERROR(INDEX('Player Raw Data'!AB:AB,Match($A188,'Player Raw Data'!$B:$B,0)),"")</f>
        <v/>
      </c>
      <c r="P188" t="str">
        <f t="array" ref="P188">IFERROR(INDEX('Player Raw Data'!AD:AD,Match($A188,'Player Raw Data'!$B:$B,0)),"")</f>
        <v/>
      </c>
      <c r="Q188">
        <f t="shared" si="1"/>
        <v>0</v>
      </c>
      <c r="R188" s="9">
        <f t="shared" si="2"/>
        <v>0</v>
      </c>
      <c r="S188" s="14">
        <f t="shared" si="3"/>
        <v>0</v>
      </c>
      <c r="T188" s="15">
        <f>IFERROR(__xludf.DUMMYFUNCTION("IFERROR(PERCENTRANK.INC(FILTER(Q:Q,$F:$F&lt;&gt;""""),Q188)*100,"""")"),1.5)</f>
        <v>1.5</v>
      </c>
      <c r="U188" s="15">
        <f>IFERROR(__xludf.DUMMYFUNCTION("IFERROR(PERCENTRANK.INC(FILTER(R:R,$F:$F&lt;&gt;""""),R188)*100,"""")"),1.5)</f>
        <v>1.5</v>
      </c>
      <c r="V188" s="15">
        <f>IFERROR(__xludf.DUMMYFUNCTION("IFERROR(PERCENTRANK.INC(FILTER(S:S,$F:$F&lt;&gt;""""),S188)*100,"""")"),1.5)</f>
        <v>1.5</v>
      </c>
      <c r="W188" s="15" t="str">
        <f t="shared" si="4"/>
        <v/>
      </c>
      <c r="X188" s="16"/>
      <c r="Y188" s="9"/>
      <c r="Z188" s="9"/>
    </row>
    <row r="189">
      <c r="B189" t="str">
        <f t="array" ref="B189">IFERROR(INDEX('Player Raw Data'!E:E,Match($A189,'Player Raw Data'!$B:$B,0)),"")</f>
        <v/>
      </c>
      <c r="C189" t="str">
        <f t="array" ref="C189">IFERROR(INDEX('Player Raw Data'!C:C,Match($A189,'Player Raw Data'!$B:$B,0)),"")</f>
        <v/>
      </c>
      <c r="D189" t="str">
        <f t="array" ref="D189">IFERROR(IF(A189=A188, INDEX('Player Raw Data'!D:D,Match($A189,'Player Raw Data'!$B:$B,0)+2),INDEX('Player Raw Data'!D:D,Match($A189,'Player Raw Data'!$B:$B,0))),"")</f>
        <v/>
      </c>
      <c r="E189" t="str">
        <f t="array" ref="E189">IFERROR(INDEX('Player Raw Data'!F:F,Match($A189,'Player Raw Data'!$B:$B,0)),"")</f>
        <v/>
      </c>
      <c r="F189" t="str">
        <f t="array" ref="F189">IFERROR(INDEX('Player Raw Data'!H:H,Match($A189,'Player Raw Data'!$B:$B,0)),"")</f>
        <v/>
      </c>
      <c r="G189" t="str">
        <f t="array" ref="G189">IFERROR(INDEX('Player Raw Data'!I:I,Match($A189,'Player Raw Data'!$B:$B,0)),"")</f>
        <v/>
      </c>
      <c r="H189" t="str">
        <f t="array" ref="H189">IFERROR(INDEX('Player Raw Data'!J:J,Match($A189,'Player Raw Data'!$B:$B,0)),"")</f>
        <v/>
      </c>
      <c r="I189" t="str">
        <f t="array" ref="I189">IFERROR(INDEX('Player Raw Data'!S:S,Match($A189,'Player Raw Data'!$B:$B,0)),"")</f>
        <v/>
      </c>
      <c r="J189" t="str">
        <f t="array" ref="J189">IFERROR(INDEX('Player Raw Data'!T:T,Match($A189,'Player Raw Data'!$B:$B,0)),"")</f>
        <v/>
      </c>
      <c r="K189" t="str">
        <f t="array" ref="K189">IFERROR(INDEX('Player Raw Data'!X:X,Match($A189,'Player Raw Data'!$B:$B,0)),"")</f>
        <v/>
      </c>
      <c r="L189" t="str">
        <f t="array" ref="L189">IFERROR(INDEX('Player Raw Data'!Y:Y,Match($A189,'Player Raw Data'!$B:$B,0)),"")</f>
        <v/>
      </c>
      <c r="M189" t="str">
        <f t="array" ref="M189">IFERROR(INDEX('Player Raw Data'!Z:Z,Match($A189,'Player Raw Data'!$B:$B,0)),"")</f>
        <v/>
      </c>
      <c r="N189" t="str">
        <f t="array" ref="N189">IFERROR(INDEX('Player Raw Data'!AA:AA,Match($A189,'Player Raw Data'!$B:$B,0)),"")</f>
        <v/>
      </c>
      <c r="O189" t="str">
        <f t="array" ref="O189">IFERROR(INDEX('Player Raw Data'!AB:AB,Match($A189,'Player Raw Data'!$B:$B,0)),"")</f>
        <v/>
      </c>
      <c r="P189" t="str">
        <f t="array" ref="P189">IFERROR(INDEX('Player Raw Data'!AD:AD,Match($A189,'Player Raw Data'!$B:$B,0)),"")</f>
        <v/>
      </c>
      <c r="Q189">
        <f t="shared" si="1"/>
        <v>0</v>
      </c>
      <c r="R189" s="9">
        <f t="shared" si="2"/>
        <v>0</v>
      </c>
      <c r="S189" s="14">
        <f t="shared" si="3"/>
        <v>0</v>
      </c>
      <c r="T189" s="15">
        <f>IFERROR(__xludf.DUMMYFUNCTION("IFERROR(PERCENTRANK.INC(FILTER(Q:Q,$F:$F&lt;&gt;""""),Q189)*100,"""")"),1.5)</f>
        <v>1.5</v>
      </c>
      <c r="U189" s="15">
        <f>IFERROR(__xludf.DUMMYFUNCTION("IFERROR(PERCENTRANK.INC(FILTER(R:R,$F:$F&lt;&gt;""""),R189)*100,"""")"),1.5)</f>
        <v>1.5</v>
      </c>
      <c r="V189" s="15">
        <f>IFERROR(__xludf.DUMMYFUNCTION("IFERROR(PERCENTRANK.INC(FILTER(S:S,$F:$F&lt;&gt;""""),S189)*100,"""")"),1.5)</f>
        <v>1.5</v>
      </c>
      <c r="W189" s="15" t="str">
        <f t="shared" si="4"/>
        <v/>
      </c>
      <c r="X189" s="16"/>
      <c r="Y189" s="9"/>
      <c r="Z189" s="9"/>
    </row>
    <row r="190">
      <c r="B190" t="str">
        <f t="array" ref="B190">IFERROR(INDEX('Player Raw Data'!E:E,Match($A190,'Player Raw Data'!$B:$B,0)),"")</f>
        <v/>
      </c>
      <c r="C190" t="str">
        <f t="array" ref="C190">IFERROR(INDEX('Player Raw Data'!C:C,Match($A190,'Player Raw Data'!$B:$B,0)),"")</f>
        <v/>
      </c>
      <c r="D190" t="str">
        <f t="array" ref="D190">IFERROR(IF(A190=A189, INDEX('Player Raw Data'!D:D,Match($A190,'Player Raw Data'!$B:$B,0)+2),INDEX('Player Raw Data'!D:D,Match($A190,'Player Raw Data'!$B:$B,0))),"")</f>
        <v/>
      </c>
      <c r="E190" t="str">
        <f t="array" ref="E190">IFERROR(INDEX('Player Raw Data'!F:F,Match($A190,'Player Raw Data'!$B:$B,0)),"")</f>
        <v/>
      </c>
      <c r="F190" t="str">
        <f t="array" ref="F190">IFERROR(INDEX('Player Raw Data'!H:H,Match($A190,'Player Raw Data'!$B:$B,0)),"")</f>
        <v/>
      </c>
      <c r="G190" t="str">
        <f t="array" ref="G190">IFERROR(INDEX('Player Raw Data'!I:I,Match($A190,'Player Raw Data'!$B:$B,0)),"")</f>
        <v/>
      </c>
      <c r="H190" t="str">
        <f t="array" ref="H190">IFERROR(INDEX('Player Raw Data'!J:J,Match($A190,'Player Raw Data'!$B:$B,0)),"")</f>
        <v/>
      </c>
      <c r="I190" t="str">
        <f t="array" ref="I190">IFERROR(INDEX('Player Raw Data'!S:S,Match($A190,'Player Raw Data'!$B:$B,0)),"")</f>
        <v/>
      </c>
      <c r="J190" t="str">
        <f t="array" ref="J190">IFERROR(INDEX('Player Raw Data'!T:T,Match($A190,'Player Raw Data'!$B:$B,0)),"")</f>
        <v/>
      </c>
      <c r="K190" t="str">
        <f t="array" ref="K190">IFERROR(INDEX('Player Raw Data'!X:X,Match($A190,'Player Raw Data'!$B:$B,0)),"")</f>
        <v/>
      </c>
      <c r="L190" t="str">
        <f t="array" ref="L190">IFERROR(INDEX('Player Raw Data'!Y:Y,Match($A190,'Player Raw Data'!$B:$B,0)),"")</f>
        <v/>
      </c>
      <c r="M190" t="str">
        <f t="array" ref="M190">IFERROR(INDEX('Player Raw Data'!Z:Z,Match($A190,'Player Raw Data'!$B:$B,0)),"")</f>
        <v/>
      </c>
      <c r="N190" t="str">
        <f t="array" ref="N190">IFERROR(INDEX('Player Raw Data'!AA:AA,Match($A190,'Player Raw Data'!$B:$B,0)),"")</f>
        <v/>
      </c>
      <c r="O190" t="str">
        <f t="array" ref="O190">IFERROR(INDEX('Player Raw Data'!AB:AB,Match($A190,'Player Raw Data'!$B:$B,0)),"")</f>
        <v/>
      </c>
      <c r="P190" t="str">
        <f t="array" ref="P190">IFERROR(INDEX('Player Raw Data'!AD:AD,Match($A190,'Player Raw Data'!$B:$B,0)),"")</f>
        <v/>
      </c>
      <c r="Q190">
        <f t="shared" si="1"/>
        <v>0</v>
      </c>
      <c r="R190" s="9">
        <f t="shared" si="2"/>
        <v>0</v>
      </c>
      <c r="S190" s="14">
        <f t="shared" si="3"/>
        <v>0</v>
      </c>
      <c r="T190" s="15">
        <f>IFERROR(__xludf.DUMMYFUNCTION("IFERROR(PERCENTRANK.INC(FILTER(Q:Q,$F:$F&lt;&gt;""""),Q190)*100,"""")"),1.5)</f>
        <v>1.5</v>
      </c>
      <c r="U190" s="15">
        <f>IFERROR(__xludf.DUMMYFUNCTION("IFERROR(PERCENTRANK.INC(FILTER(R:R,$F:$F&lt;&gt;""""),R190)*100,"""")"),1.5)</f>
        <v>1.5</v>
      </c>
      <c r="V190" s="15">
        <f>IFERROR(__xludf.DUMMYFUNCTION("IFERROR(PERCENTRANK.INC(FILTER(S:S,$F:$F&lt;&gt;""""),S190)*100,"""")"),1.5)</f>
        <v>1.5</v>
      </c>
      <c r="W190" s="15" t="str">
        <f t="shared" si="4"/>
        <v/>
      </c>
      <c r="X190" s="16"/>
      <c r="Y190" s="9"/>
      <c r="Z190" s="9"/>
    </row>
    <row r="191">
      <c r="B191" t="str">
        <f t="array" ref="B191">IFERROR(INDEX('Player Raw Data'!E:E,Match($A191,'Player Raw Data'!$B:$B,0)),"")</f>
        <v/>
      </c>
      <c r="C191" t="str">
        <f t="array" ref="C191">IFERROR(INDEX('Player Raw Data'!C:C,Match($A191,'Player Raw Data'!$B:$B,0)),"")</f>
        <v/>
      </c>
      <c r="D191" t="str">
        <f t="array" ref="D191">IFERROR(IF(A191=A190, INDEX('Player Raw Data'!D:D,Match($A191,'Player Raw Data'!$B:$B,0)+2),INDEX('Player Raw Data'!D:D,Match($A191,'Player Raw Data'!$B:$B,0))),"")</f>
        <v/>
      </c>
      <c r="E191" t="str">
        <f t="array" ref="E191">IFERROR(INDEX('Player Raw Data'!F:F,Match($A191,'Player Raw Data'!$B:$B,0)),"")</f>
        <v/>
      </c>
      <c r="F191" t="str">
        <f t="array" ref="F191">IFERROR(INDEX('Player Raw Data'!H:H,Match($A191,'Player Raw Data'!$B:$B,0)),"")</f>
        <v/>
      </c>
      <c r="G191" t="str">
        <f t="array" ref="G191">IFERROR(INDEX('Player Raw Data'!I:I,Match($A191,'Player Raw Data'!$B:$B,0)),"")</f>
        <v/>
      </c>
      <c r="H191" t="str">
        <f t="array" ref="H191">IFERROR(INDEX('Player Raw Data'!J:J,Match($A191,'Player Raw Data'!$B:$B,0)),"")</f>
        <v/>
      </c>
      <c r="I191" t="str">
        <f t="array" ref="I191">IFERROR(INDEX('Player Raw Data'!S:S,Match($A191,'Player Raw Data'!$B:$B,0)),"")</f>
        <v/>
      </c>
      <c r="J191" t="str">
        <f t="array" ref="J191">IFERROR(INDEX('Player Raw Data'!T:T,Match($A191,'Player Raw Data'!$B:$B,0)),"")</f>
        <v/>
      </c>
      <c r="K191" t="str">
        <f t="array" ref="K191">IFERROR(INDEX('Player Raw Data'!X:X,Match($A191,'Player Raw Data'!$B:$B,0)),"")</f>
        <v/>
      </c>
      <c r="L191" t="str">
        <f t="array" ref="L191">IFERROR(INDEX('Player Raw Data'!Y:Y,Match($A191,'Player Raw Data'!$B:$B,0)),"")</f>
        <v/>
      </c>
      <c r="M191" t="str">
        <f t="array" ref="M191">IFERROR(INDEX('Player Raw Data'!Z:Z,Match($A191,'Player Raw Data'!$B:$B,0)),"")</f>
        <v/>
      </c>
      <c r="N191" t="str">
        <f t="array" ref="N191">IFERROR(INDEX('Player Raw Data'!AA:AA,Match($A191,'Player Raw Data'!$B:$B,0)),"")</f>
        <v/>
      </c>
      <c r="O191" t="str">
        <f t="array" ref="O191">IFERROR(INDEX('Player Raw Data'!AB:AB,Match($A191,'Player Raw Data'!$B:$B,0)),"")</f>
        <v/>
      </c>
      <c r="P191" t="str">
        <f t="array" ref="P191">IFERROR(INDEX('Player Raw Data'!AD:AD,Match($A191,'Player Raw Data'!$B:$B,0)),"")</f>
        <v/>
      </c>
      <c r="Q191">
        <f t="shared" si="1"/>
        <v>0</v>
      </c>
      <c r="R191" s="9">
        <f t="shared" si="2"/>
        <v>0</v>
      </c>
      <c r="S191" s="14">
        <f t="shared" si="3"/>
        <v>0</v>
      </c>
      <c r="T191" s="15">
        <f>IFERROR(__xludf.DUMMYFUNCTION("IFERROR(PERCENTRANK.INC(FILTER(Q:Q,$F:$F&lt;&gt;""""),Q191)*100,"""")"),1.5)</f>
        <v>1.5</v>
      </c>
      <c r="U191" s="15">
        <f>IFERROR(__xludf.DUMMYFUNCTION("IFERROR(PERCENTRANK.INC(FILTER(R:R,$F:$F&lt;&gt;""""),R191)*100,"""")"),1.5)</f>
        <v>1.5</v>
      </c>
      <c r="V191" s="15">
        <f>IFERROR(__xludf.DUMMYFUNCTION("IFERROR(PERCENTRANK.INC(FILTER(S:S,$F:$F&lt;&gt;""""),S191)*100,"""")"),1.5)</f>
        <v>1.5</v>
      </c>
      <c r="W191" s="15" t="str">
        <f t="shared" si="4"/>
        <v/>
      </c>
      <c r="X191" s="16"/>
      <c r="Y191" s="9"/>
      <c r="Z191" s="9"/>
    </row>
    <row r="192">
      <c r="B192" t="str">
        <f t="array" ref="B192">IFERROR(INDEX('Player Raw Data'!E:E,Match($A192,'Player Raw Data'!$B:$B,0)),"")</f>
        <v/>
      </c>
      <c r="C192" t="str">
        <f t="array" ref="C192">IFERROR(INDEX('Player Raw Data'!C:C,Match($A192,'Player Raw Data'!$B:$B,0)),"")</f>
        <v/>
      </c>
      <c r="D192" t="str">
        <f t="array" ref="D192">IFERROR(IF(A192=A191, INDEX('Player Raw Data'!D:D,Match($A192,'Player Raw Data'!$B:$B,0)+2),INDEX('Player Raw Data'!D:D,Match($A192,'Player Raw Data'!$B:$B,0))),"")</f>
        <v/>
      </c>
      <c r="E192" t="str">
        <f t="array" ref="E192">IFERROR(INDEX('Player Raw Data'!F:F,Match($A192,'Player Raw Data'!$B:$B,0)),"")</f>
        <v/>
      </c>
      <c r="F192" t="str">
        <f t="array" ref="F192">IFERROR(INDEX('Player Raw Data'!H:H,Match($A192,'Player Raw Data'!$B:$B,0)),"")</f>
        <v/>
      </c>
      <c r="G192" t="str">
        <f t="array" ref="G192">IFERROR(INDEX('Player Raw Data'!I:I,Match($A192,'Player Raw Data'!$B:$B,0)),"")</f>
        <v/>
      </c>
      <c r="H192" t="str">
        <f t="array" ref="H192">IFERROR(INDEX('Player Raw Data'!J:J,Match($A192,'Player Raw Data'!$B:$B,0)),"")</f>
        <v/>
      </c>
      <c r="I192" t="str">
        <f t="array" ref="I192">IFERROR(INDEX('Player Raw Data'!S:S,Match($A192,'Player Raw Data'!$B:$B,0)),"")</f>
        <v/>
      </c>
      <c r="J192" t="str">
        <f t="array" ref="J192">IFERROR(INDEX('Player Raw Data'!T:T,Match($A192,'Player Raw Data'!$B:$B,0)),"")</f>
        <v/>
      </c>
      <c r="K192" t="str">
        <f t="array" ref="K192">IFERROR(INDEX('Player Raw Data'!X:X,Match($A192,'Player Raw Data'!$B:$B,0)),"")</f>
        <v/>
      </c>
      <c r="L192" t="str">
        <f t="array" ref="L192">IFERROR(INDEX('Player Raw Data'!Y:Y,Match($A192,'Player Raw Data'!$B:$B,0)),"")</f>
        <v/>
      </c>
      <c r="M192" t="str">
        <f t="array" ref="M192">IFERROR(INDEX('Player Raw Data'!Z:Z,Match($A192,'Player Raw Data'!$B:$B,0)),"")</f>
        <v/>
      </c>
      <c r="N192" t="str">
        <f t="array" ref="N192">IFERROR(INDEX('Player Raw Data'!AA:AA,Match($A192,'Player Raw Data'!$B:$B,0)),"")</f>
        <v/>
      </c>
      <c r="O192" t="str">
        <f t="array" ref="O192">IFERROR(INDEX('Player Raw Data'!AB:AB,Match($A192,'Player Raw Data'!$B:$B,0)),"")</f>
        <v/>
      </c>
      <c r="P192" t="str">
        <f t="array" ref="P192">IFERROR(INDEX('Player Raw Data'!AD:AD,Match($A192,'Player Raw Data'!$B:$B,0)),"")</f>
        <v/>
      </c>
      <c r="Q192">
        <f t="shared" si="1"/>
        <v>0</v>
      </c>
      <c r="R192" s="9">
        <f t="shared" si="2"/>
        <v>0</v>
      </c>
      <c r="S192" s="14">
        <f t="shared" si="3"/>
        <v>0</v>
      </c>
      <c r="T192" s="15">
        <f>IFERROR(__xludf.DUMMYFUNCTION("IFERROR(PERCENTRANK.INC(FILTER(Q:Q,$F:$F&lt;&gt;""""),Q192)*100,"""")"),1.5)</f>
        <v>1.5</v>
      </c>
      <c r="U192" s="15">
        <f>IFERROR(__xludf.DUMMYFUNCTION("IFERROR(PERCENTRANK.INC(FILTER(R:R,$F:$F&lt;&gt;""""),R192)*100,"""")"),1.5)</f>
        <v>1.5</v>
      </c>
      <c r="V192" s="15">
        <f>IFERROR(__xludf.DUMMYFUNCTION("IFERROR(PERCENTRANK.INC(FILTER(S:S,$F:$F&lt;&gt;""""),S192)*100,"""")"),1.5)</f>
        <v>1.5</v>
      </c>
      <c r="W192" s="15" t="str">
        <f t="shared" si="4"/>
        <v/>
      </c>
      <c r="X192" s="16"/>
      <c r="Y192" s="9"/>
      <c r="Z192" s="9"/>
    </row>
    <row r="193">
      <c r="B193" t="str">
        <f t="array" ref="B193">IFERROR(INDEX('Player Raw Data'!E:E,Match($A193,'Player Raw Data'!$B:$B,0)),"")</f>
        <v/>
      </c>
      <c r="C193" t="str">
        <f t="array" ref="C193">IFERROR(INDEX('Player Raw Data'!C:C,Match($A193,'Player Raw Data'!$B:$B,0)),"")</f>
        <v/>
      </c>
      <c r="D193" t="str">
        <f t="array" ref="D193">IFERROR(IF(A193=A192, INDEX('Player Raw Data'!D:D,Match($A193,'Player Raw Data'!$B:$B,0)+2),INDEX('Player Raw Data'!D:D,Match($A193,'Player Raw Data'!$B:$B,0))),"")</f>
        <v/>
      </c>
      <c r="E193" t="str">
        <f t="array" ref="E193">IFERROR(INDEX('Player Raw Data'!F:F,Match($A193,'Player Raw Data'!$B:$B,0)),"")</f>
        <v/>
      </c>
      <c r="F193" t="str">
        <f t="array" ref="F193">IFERROR(INDEX('Player Raw Data'!H:H,Match($A193,'Player Raw Data'!$B:$B,0)),"")</f>
        <v/>
      </c>
      <c r="G193" t="str">
        <f t="array" ref="G193">IFERROR(INDEX('Player Raw Data'!I:I,Match($A193,'Player Raw Data'!$B:$B,0)),"")</f>
        <v/>
      </c>
      <c r="H193" t="str">
        <f t="array" ref="H193">IFERROR(INDEX('Player Raw Data'!J:J,Match($A193,'Player Raw Data'!$B:$B,0)),"")</f>
        <v/>
      </c>
      <c r="I193" t="str">
        <f t="array" ref="I193">IFERROR(INDEX('Player Raw Data'!S:S,Match($A193,'Player Raw Data'!$B:$B,0)),"")</f>
        <v/>
      </c>
      <c r="J193" t="str">
        <f t="array" ref="J193">IFERROR(INDEX('Player Raw Data'!T:T,Match($A193,'Player Raw Data'!$B:$B,0)),"")</f>
        <v/>
      </c>
      <c r="K193" t="str">
        <f t="array" ref="K193">IFERROR(INDEX('Player Raw Data'!X:X,Match($A193,'Player Raw Data'!$B:$B,0)),"")</f>
        <v/>
      </c>
      <c r="L193" t="str">
        <f t="array" ref="L193">IFERROR(INDEX('Player Raw Data'!Y:Y,Match($A193,'Player Raw Data'!$B:$B,0)),"")</f>
        <v/>
      </c>
      <c r="M193" t="str">
        <f t="array" ref="M193">IFERROR(INDEX('Player Raw Data'!Z:Z,Match($A193,'Player Raw Data'!$B:$B,0)),"")</f>
        <v/>
      </c>
      <c r="N193" t="str">
        <f t="array" ref="N193">IFERROR(INDEX('Player Raw Data'!AA:AA,Match($A193,'Player Raw Data'!$B:$B,0)),"")</f>
        <v/>
      </c>
      <c r="O193" t="str">
        <f t="array" ref="O193">IFERROR(INDEX('Player Raw Data'!AB:AB,Match($A193,'Player Raw Data'!$B:$B,0)),"")</f>
        <v/>
      </c>
      <c r="P193" t="str">
        <f t="array" ref="P193">IFERROR(INDEX('Player Raw Data'!AD:AD,Match($A193,'Player Raw Data'!$B:$B,0)),"")</f>
        <v/>
      </c>
      <c r="Q193">
        <f t="shared" si="1"/>
        <v>0</v>
      </c>
      <c r="R193" s="9">
        <f t="shared" si="2"/>
        <v>0</v>
      </c>
      <c r="S193" s="14">
        <f t="shared" si="3"/>
        <v>0</v>
      </c>
      <c r="T193" s="15">
        <f>IFERROR(__xludf.DUMMYFUNCTION("IFERROR(PERCENTRANK.INC(FILTER(Q:Q,$F:$F&lt;&gt;""""),Q193)*100,"""")"),1.5)</f>
        <v>1.5</v>
      </c>
      <c r="U193" s="15">
        <f>IFERROR(__xludf.DUMMYFUNCTION("IFERROR(PERCENTRANK.INC(FILTER(R:R,$F:$F&lt;&gt;""""),R193)*100,"""")"),1.5)</f>
        <v>1.5</v>
      </c>
      <c r="V193" s="15">
        <f>IFERROR(__xludf.DUMMYFUNCTION("IFERROR(PERCENTRANK.INC(FILTER(S:S,$F:$F&lt;&gt;""""),S193)*100,"""")"),1.5)</f>
        <v>1.5</v>
      </c>
      <c r="W193" s="15" t="str">
        <f t="shared" si="4"/>
        <v/>
      </c>
      <c r="X193" s="16"/>
      <c r="Y193" s="9"/>
      <c r="Z193" s="9"/>
    </row>
    <row r="194">
      <c r="B194" t="str">
        <f t="array" ref="B194">IFERROR(INDEX('Player Raw Data'!E:E,Match($A194,'Player Raw Data'!$B:$B,0)),"")</f>
        <v/>
      </c>
      <c r="C194" t="str">
        <f t="array" ref="C194">IFERROR(INDEX('Player Raw Data'!C:C,Match($A194,'Player Raw Data'!$B:$B,0)),"")</f>
        <v/>
      </c>
      <c r="D194" t="str">
        <f t="array" ref="D194">IFERROR(IF(A194=A193, INDEX('Player Raw Data'!D:D,Match($A194,'Player Raw Data'!$B:$B,0)+2),INDEX('Player Raw Data'!D:D,Match($A194,'Player Raw Data'!$B:$B,0))),"")</f>
        <v/>
      </c>
      <c r="E194" t="str">
        <f t="array" ref="E194">IFERROR(INDEX('Player Raw Data'!F:F,Match($A194,'Player Raw Data'!$B:$B,0)),"")</f>
        <v/>
      </c>
      <c r="F194" t="str">
        <f t="array" ref="F194">IFERROR(INDEX('Player Raw Data'!H:H,Match($A194,'Player Raw Data'!$B:$B,0)),"")</f>
        <v/>
      </c>
      <c r="G194" t="str">
        <f t="array" ref="G194">IFERROR(INDEX('Player Raw Data'!I:I,Match($A194,'Player Raw Data'!$B:$B,0)),"")</f>
        <v/>
      </c>
      <c r="H194" t="str">
        <f t="array" ref="H194">IFERROR(INDEX('Player Raw Data'!J:J,Match($A194,'Player Raw Data'!$B:$B,0)),"")</f>
        <v/>
      </c>
      <c r="I194" t="str">
        <f t="array" ref="I194">IFERROR(INDEX('Player Raw Data'!S:S,Match($A194,'Player Raw Data'!$B:$B,0)),"")</f>
        <v/>
      </c>
      <c r="J194" t="str">
        <f t="array" ref="J194">IFERROR(INDEX('Player Raw Data'!T:T,Match($A194,'Player Raw Data'!$B:$B,0)),"")</f>
        <v/>
      </c>
      <c r="K194" t="str">
        <f t="array" ref="K194">IFERROR(INDEX('Player Raw Data'!X:X,Match($A194,'Player Raw Data'!$B:$B,0)),"")</f>
        <v/>
      </c>
      <c r="L194" t="str">
        <f t="array" ref="L194">IFERROR(INDEX('Player Raw Data'!Y:Y,Match($A194,'Player Raw Data'!$B:$B,0)),"")</f>
        <v/>
      </c>
      <c r="M194" t="str">
        <f t="array" ref="M194">IFERROR(INDEX('Player Raw Data'!Z:Z,Match($A194,'Player Raw Data'!$B:$B,0)),"")</f>
        <v/>
      </c>
      <c r="N194" t="str">
        <f t="array" ref="N194">IFERROR(INDEX('Player Raw Data'!AA:AA,Match($A194,'Player Raw Data'!$B:$B,0)),"")</f>
        <v/>
      </c>
      <c r="O194" t="str">
        <f t="array" ref="O194">IFERROR(INDEX('Player Raw Data'!AB:AB,Match($A194,'Player Raw Data'!$B:$B,0)),"")</f>
        <v/>
      </c>
      <c r="P194" t="str">
        <f t="array" ref="P194">IFERROR(INDEX('Player Raw Data'!AD:AD,Match($A194,'Player Raw Data'!$B:$B,0)),"")</f>
        <v/>
      </c>
      <c r="Q194">
        <f t="shared" si="1"/>
        <v>0</v>
      </c>
      <c r="R194" s="9">
        <f t="shared" si="2"/>
        <v>0</v>
      </c>
      <c r="S194" s="14">
        <f t="shared" si="3"/>
        <v>0</v>
      </c>
      <c r="T194" s="15">
        <f>IFERROR(__xludf.DUMMYFUNCTION("IFERROR(PERCENTRANK.INC(FILTER(Q:Q,$F:$F&lt;&gt;""""),Q194)*100,"""")"),1.5)</f>
        <v>1.5</v>
      </c>
      <c r="U194" s="15">
        <f>IFERROR(__xludf.DUMMYFUNCTION("IFERROR(PERCENTRANK.INC(FILTER(R:R,$F:$F&lt;&gt;""""),R194)*100,"""")"),1.5)</f>
        <v>1.5</v>
      </c>
      <c r="V194" s="15">
        <f>IFERROR(__xludf.DUMMYFUNCTION("IFERROR(PERCENTRANK.INC(FILTER(S:S,$F:$F&lt;&gt;""""),S194)*100,"""")"),1.5)</f>
        <v>1.5</v>
      </c>
      <c r="W194" s="15" t="str">
        <f t="shared" si="4"/>
        <v/>
      </c>
      <c r="X194" s="16"/>
      <c r="Y194" s="9"/>
      <c r="Z194" s="9"/>
    </row>
    <row r="195">
      <c r="B195" t="str">
        <f t="array" ref="B195">IFERROR(INDEX('Player Raw Data'!E:E,Match($A195,'Player Raw Data'!$B:$B,0)),"")</f>
        <v/>
      </c>
      <c r="C195" t="str">
        <f t="array" ref="C195">IFERROR(INDEX('Player Raw Data'!C:C,Match($A195,'Player Raw Data'!$B:$B,0)),"")</f>
        <v/>
      </c>
      <c r="D195" t="str">
        <f t="array" ref="D195">IFERROR(IF(A195=A194, INDEX('Player Raw Data'!D:D,Match($A195,'Player Raw Data'!$B:$B,0)+2),INDEX('Player Raw Data'!D:D,Match($A195,'Player Raw Data'!$B:$B,0))),"")</f>
        <v/>
      </c>
      <c r="E195" t="str">
        <f t="array" ref="E195">IFERROR(INDEX('Player Raw Data'!F:F,Match($A195,'Player Raw Data'!$B:$B,0)),"")</f>
        <v/>
      </c>
      <c r="F195" t="str">
        <f t="array" ref="F195">IFERROR(INDEX('Player Raw Data'!H:H,Match($A195,'Player Raw Data'!$B:$B,0)),"")</f>
        <v/>
      </c>
      <c r="G195" t="str">
        <f t="array" ref="G195">IFERROR(INDEX('Player Raw Data'!I:I,Match($A195,'Player Raw Data'!$B:$B,0)),"")</f>
        <v/>
      </c>
      <c r="H195" t="str">
        <f t="array" ref="H195">IFERROR(INDEX('Player Raw Data'!J:J,Match($A195,'Player Raw Data'!$B:$B,0)),"")</f>
        <v/>
      </c>
      <c r="I195" t="str">
        <f t="array" ref="I195">IFERROR(INDEX('Player Raw Data'!S:S,Match($A195,'Player Raw Data'!$B:$B,0)),"")</f>
        <v/>
      </c>
      <c r="J195" t="str">
        <f t="array" ref="J195">IFERROR(INDEX('Player Raw Data'!T:T,Match($A195,'Player Raw Data'!$B:$B,0)),"")</f>
        <v/>
      </c>
      <c r="K195" t="str">
        <f t="array" ref="K195">IFERROR(INDEX('Player Raw Data'!X:X,Match($A195,'Player Raw Data'!$B:$B,0)),"")</f>
        <v/>
      </c>
      <c r="L195" t="str">
        <f t="array" ref="L195">IFERROR(INDEX('Player Raw Data'!Y:Y,Match($A195,'Player Raw Data'!$B:$B,0)),"")</f>
        <v/>
      </c>
      <c r="M195" t="str">
        <f t="array" ref="M195">IFERROR(INDEX('Player Raw Data'!Z:Z,Match($A195,'Player Raw Data'!$B:$B,0)),"")</f>
        <v/>
      </c>
      <c r="N195" t="str">
        <f t="array" ref="N195">IFERROR(INDEX('Player Raw Data'!AA:AA,Match($A195,'Player Raw Data'!$B:$B,0)),"")</f>
        <v/>
      </c>
      <c r="O195" t="str">
        <f t="array" ref="O195">IFERROR(INDEX('Player Raw Data'!AB:AB,Match($A195,'Player Raw Data'!$B:$B,0)),"")</f>
        <v/>
      </c>
      <c r="P195" t="str">
        <f t="array" ref="P195">IFERROR(INDEX('Player Raw Data'!AD:AD,Match($A195,'Player Raw Data'!$B:$B,0)),"")</f>
        <v/>
      </c>
      <c r="Q195">
        <f t="shared" si="1"/>
        <v>0</v>
      </c>
      <c r="R195" s="9">
        <f t="shared" si="2"/>
        <v>0</v>
      </c>
      <c r="S195" s="14">
        <f t="shared" si="3"/>
        <v>0</v>
      </c>
      <c r="T195" s="15">
        <f>IFERROR(__xludf.DUMMYFUNCTION("IFERROR(PERCENTRANK.INC(FILTER(Q:Q,$F:$F&lt;&gt;""""),Q195)*100,"""")"),1.5)</f>
        <v>1.5</v>
      </c>
      <c r="U195" s="15">
        <f>IFERROR(__xludf.DUMMYFUNCTION("IFERROR(PERCENTRANK.INC(FILTER(R:R,$F:$F&lt;&gt;""""),R195)*100,"""")"),1.5)</f>
        <v>1.5</v>
      </c>
      <c r="V195" s="15">
        <f>IFERROR(__xludf.DUMMYFUNCTION("IFERROR(PERCENTRANK.INC(FILTER(S:S,$F:$F&lt;&gt;""""),S195)*100,"""")"),1.5)</f>
        <v>1.5</v>
      </c>
      <c r="W195" s="15" t="str">
        <f t="shared" si="4"/>
        <v/>
      </c>
      <c r="X195" s="16"/>
      <c r="Y195" s="9"/>
      <c r="Z195" s="9"/>
    </row>
    <row r="196">
      <c r="B196" t="str">
        <f t="array" ref="B196">IFERROR(INDEX('Player Raw Data'!E:E,Match($A196,'Player Raw Data'!$B:$B,0)),"")</f>
        <v/>
      </c>
      <c r="C196" t="str">
        <f t="array" ref="C196">IFERROR(INDEX('Player Raw Data'!C:C,Match($A196,'Player Raw Data'!$B:$B,0)),"")</f>
        <v/>
      </c>
      <c r="D196" t="str">
        <f t="array" ref="D196">IFERROR(IF(A196=A195, INDEX('Player Raw Data'!D:D,Match($A196,'Player Raw Data'!$B:$B,0)+2),INDEX('Player Raw Data'!D:D,Match($A196,'Player Raw Data'!$B:$B,0))),"")</f>
        <v/>
      </c>
      <c r="E196" t="str">
        <f t="array" ref="E196">IFERROR(INDEX('Player Raw Data'!F:F,Match($A196,'Player Raw Data'!$B:$B,0)),"")</f>
        <v/>
      </c>
      <c r="F196" t="str">
        <f t="array" ref="F196">IFERROR(INDEX('Player Raw Data'!H:H,Match($A196,'Player Raw Data'!$B:$B,0)),"")</f>
        <v/>
      </c>
      <c r="G196" t="str">
        <f t="array" ref="G196">IFERROR(INDEX('Player Raw Data'!I:I,Match($A196,'Player Raw Data'!$B:$B,0)),"")</f>
        <v/>
      </c>
      <c r="H196" t="str">
        <f t="array" ref="H196">IFERROR(INDEX('Player Raw Data'!J:J,Match($A196,'Player Raw Data'!$B:$B,0)),"")</f>
        <v/>
      </c>
      <c r="I196" t="str">
        <f t="array" ref="I196">IFERROR(INDEX('Player Raw Data'!S:S,Match($A196,'Player Raw Data'!$B:$B,0)),"")</f>
        <v/>
      </c>
      <c r="J196" t="str">
        <f t="array" ref="J196">IFERROR(INDEX('Player Raw Data'!T:T,Match($A196,'Player Raw Data'!$B:$B,0)),"")</f>
        <v/>
      </c>
      <c r="K196" t="str">
        <f t="array" ref="K196">IFERROR(INDEX('Player Raw Data'!X:X,Match($A196,'Player Raw Data'!$B:$B,0)),"")</f>
        <v/>
      </c>
      <c r="L196" t="str">
        <f t="array" ref="L196">IFERROR(INDEX('Player Raw Data'!Y:Y,Match($A196,'Player Raw Data'!$B:$B,0)),"")</f>
        <v/>
      </c>
      <c r="M196" t="str">
        <f t="array" ref="M196">IFERROR(INDEX('Player Raw Data'!Z:Z,Match($A196,'Player Raw Data'!$B:$B,0)),"")</f>
        <v/>
      </c>
      <c r="N196" t="str">
        <f t="array" ref="N196">IFERROR(INDEX('Player Raw Data'!AA:AA,Match($A196,'Player Raw Data'!$B:$B,0)),"")</f>
        <v/>
      </c>
      <c r="O196" t="str">
        <f t="array" ref="O196">IFERROR(INDEX('Player Raw Data'!AB:AB,Match($A196,'Player Raw Data'!$B:$B,0)),"")</f>
        <v/>
      </c>
      <c r="P196" t="str">
        <f t="array" ref="P196">IFERROR(INDEX('Player Raw Data'!AD:AD,Match($A196,'Player Raw Data'!$B:$B,0)),"")</f>
        <v/>
      </c>
      <c r="Q196">
        <f t="shared" si="1"/>
        <v>0</v>
      </c>
      <c r="R196" s="9">
        <f t="shared" si="2"/>
        <v>0</v>
      </c>
      <c r="S196" s="14">
        <f t="shared" si="3"/>
        <v>0</v>
      </c>
      <c r="T196" s="15">
        <f>IFERROR(__xludf.DUMMYFUNCTION("IFERROR(PERCENTRANK.INC(FILTER(Q:Q,$F:$F&lt;&gt;""""),Q196)*100,"""")"),1.5)</f>
        <v>1.5</v>
      </c>
      <c r="U196" s="15">
        <f>IFERROR(__xludf.DUMMYFUNCTION("IFERROR(PERCENTRANK.INC(FILTER(R:R,$F:$F&lt;&gt;""""),R196)*100,"""")"),1.5)</f>
        <v>1.5</v>
      </c>
      <c r="V196" s="15">
        <f>IFERROR(__xludf.DUMMYFUNCTION("IFERROR(PERCENTRANK.INC(FILTER(S:S,$F:$F&lt;&gt;""""),S196)*100,"""")"),1.5)</f>
        <v>1.5</v>
      </c>
      <c r="W196" s="15" t="str">
        <f t="shared" si="4"/>
        <v/>
      </c>
      <c r="X196" s="16"/>
      <c r="Y196" s="9"/>
      <c r="Z196" s="9"/>
    </row>
    <row r="197">
      <c r="B197" t="str">
        <f t="array" ref="B197">IFERROR(INDEX('Player Raw Data'!E:E,Match($A197,'Player Raw Data'!$B:$B,0)),"")</f>
        <v/>
      </c>
      <c r="C197" t="str">
        <f t="array" ref="C197">IFERROR(INDEX('Player Raw Data'!C:C,Match($A197,'Player Raw Data'!$B:$B,0)),"")</f>
        <v/>
      </c>
      <c r="D197" t="str">
        <f t="array" ref="D197">IFERROR(IF(A197=A196, INDEX('Player Raw Data'!D:D,Match($A197,'Player Raw Data'!$B:$B,0)+2),INDEX('Player Raw Data'!D:D,Match($A197,'Player Raw Data'!$B:$B,0))),"")</f>
        <v/>
      </c>
      <c r="E197" t="str">
        <f t="array" ref="E197">IFERROR(INDEX('Player Raw Data'!F:F,Match($A197,'Player Raw Data'!$B:$B,0)),"")</f>
        <v/>
      </c>
      <c r="F197" t="str">
        <f t="array" ref="F197">IFERROR(INDEX('Player Raw Data'!H:H,Match($A197,'Player Raw Data'!$B:$B,0)),"")</f>
        <v/>
      </c>
      <c r="G197" t="str">
        <f t="array" ref="G197">IFERROR(INDEX('Player Raw Data'!I:I,Match($A197,'Player Raw Data'!$B:$B,0)),"")</f>
        <v/>
      </c>
      <c r="H197" t="str">
        <f t="array" ref="H197">IFERROR(INDEX('Player Raw Data'!J:J,Match($A197,'Player Raw Data'!$B:$B,0)),"")</f>
        <v/>
      </c>
      <c r="I197" t="str">
        <f t="array" ref="I197">IFERROR(INDEX('Player Raw Data'!S:S,Match($A197,'Player Raw Data'!$B:$B,0)),"")</f>
        <v/>
      </c>
      <c r="J197" t="str">
        <f t="array" ref="J197">IFERROR(INDEX('Player Raw Data'!T:T,Match($A197,'Player Raw Data'!$B:$B,0)),"")</f>
        <v/>
      </c>
      <c r="K197" t="str">
        <f t="array" ref="K197">IFERROR(INDEX('Player Raw Data'!X:X,Match($A197,'Player Raw Data'!$B:$B,0)),"")</f>
        <v/>
      </c>
      <c r="L197" t="str">
        <f t="array" ref="L197">IFERROR(INDEX('Player Raw Data'!Y:Y,Match($A197,'Player Raw Data'!$B:$B,0)),"")</f>
        <v/>
      </c>
      <c r="M197" t="str">
        <f t="array" ref="M197">IFERROR(INDEX('Player Raw Data'!Z:Z,Match($A197,'Player Raw Data'!$B:$B,0)),"")</f>
        <v/>
      </c>
      <c r="N197" t="str">
        <f t="array" ref="N197">IFERROR(INDEX('Player Raw Data'!AA:AA,Match($A197,'Player Raw Data'!$B:$B,0)),"")</f>
        <v/>
      </c>
      <c r="O197" t="str">
        <f t="array" ref="O197">IFERROR(INDEX('Player Raw Data'!AB:AB,Match($A197,'Player Raw Data'!$B:$B,0)),"")</f>
        <v/>
      </c>
      <c r="P197" t="str">
        <f t="array" ref="P197">IFERROR(INDEX('Player Raw Data'!AD:AD,Match($A197,'Player Raw Data'!$B:$B,0)),"")</f>
        <v/>
      </c>
      <c r="Q197">
        <f t="shared" si="1"/>
        <v>0</v>
      </c>
      <c r="R197" s="9">
        <f t="shared" si="2"/>
        <v>0</v>
      </c>
      <c r="S197" s="14">
        <f t="shared" si="3"/>
        <v>0</v>
      </c>
      <c r="T197" s="15">
        <f>IFERROR(__xludf.DUMMYFUNCTION("IFERROR(PERCENTRANK.INC(FILTER(Q:Q,$F:$F&lt;&gt;""""),Q197)*100,"""")"),1.5)</f>
        <v>1.5</v>
      </c>
      <c r="U197" s="15">
        <f>IFERROR(__xludf.DUMMYFUNCTION("IFERROR(PERCENTRANK.INC(FILTER(R:R,$F:$F&lt;&gt;""""),R197)*100,"""")"),1.5)</f>
        <v>1.5</v>
      </c>
      <c r="V197" s="15">
        <f>IFERROR(__xludf.DUMMYFUNCTION("IFERROR(PERCENTRANK.INC(FILTER(S:S,$F:$F&lt;&gt;""""),S197)*100,"""")"),1.5)</f>
        <v>1.5</v>
      </c>
      <c r="W197" s="15" t="str">
        <f t="shared" si="4"/>
        <v/>
      </c>
      <c r="X197" s="16"/>
      <c r="Y197" s="9"/>
      <c r="Z197" s="9"/>
    </row>
    <row r="198">
      <c r="B198" t="str">
        <f t="array" ref="B198">IFERROR(INDEX('Player Raw Data'!E:E,Match($A198,'Player Raw Data'!$B:$B,0)),"")</f>
        <v/>
      </c>
      <c r="C198" t="str">
        <f t="array" ref="C198">IFERROR(INDEX('Player Raw Data'!C:C,Match($A198,'Player Raw Data'!$B:$B,0)),"")</f>
        <v/>
      </c>
      <c r="D198" t="str">
        <f t="array" ref="D198">IFERROR(IF(A198=A197, INDEX('Player Raw Data'!D:D,Match($A198,'Player Raw Data'!$B:$B,0)+2),INDEX('Player Raw Data'!D:D,Match($A198,'Player Raw Data'!$B:$B,0))),"")</f>
        <v/>
      </c>
      <c r="E198" t="str">
        <f t="array" ref="E198">IFERROR(INDEX('Player Raw Data'!F:F,Match($A198,'Player Raw Data'!$B:$B,0)),"")</f>
        <v/>
      </c>
      <c r="F198" t="str">
        <f t="array" ref="F198">IFERROR(INDEX('Player Raw Data'!H:H,Match($A198,'Player Raw Data'!$B:$B,0)),"")</f>
        <v/>
      </c>
      <c r="G198" t="str">
        <f t="array" ref="G198">IFERROR(INDEX('Player Raw Data'!I:I,Match($A198,'Player Raw Data'!$B:$B,0)),"")</f>
        <v/>
      </c>
      <c r="H198" t="str">
        <f t="array" ref="H198">IFERROR(INDEX('Player Raw Data'!J:J,Match($A198,'Player Raw Data'!$B:$B,0)),"")</f>
        <v/>
      </c>
      <c r="I198" t="str">
        <f t="array" ref="I198">IFERROR(INDEX('Player Raw Data'!S:S,Match($A198,'Player Raw Data'!$B:$B,0)),"")</f>
        <v/>
      </c>
      <c r="J198" t="str">
        <f t="array" ref="J198">IFERROR(INDEX('Player Raw Data'!T:T,Match($A198,'Player Raw Data'!$B:$B,0)),"")</f>
        <v/>
      </c>
      <c r="K198" t="str">
        <f t="array" ref="K198">IFERROR(INDEX('Player Raw Data'!X:X,Match($A198,'Player Raw Data'!$B:$B,0)),"")</f>
        <v/>
      </c>
      <c r="L198" t="str">
        <f t="array" ref="L198">IFERROR(INDEX('Player Raw Data'!Y:Y,Match($A198,'Player Raw Data'!$B:$B,0)),"")</f>
        <v/>
      </c>
      <c r="M198" t="str">
        <f t="array" ref="M198">IFERROR(INDEX('Player Raw Data'!Z:Z,Match($A198,'Player Raw Data'!$B:$B,0)),"")</f>
        <v/>
      </c>
      <c r="N198" t="str">
        <f t="array" ref="N198">IFERROR(INDEX('Player Raw Data'!AA:AA,Match($A198,'Player Raw Data'!$B:$B,0)),"")</f>
        <v/>
      </c>
      <c r="O198" t="str">
        <f t="array" ref="O198">IFERROR(INDEX('Player Raw Data'!AB:AB,Match($A198,'Player Raw Data'!$B:$B,0)),"")</f>
        <v/>
      </c>
      <c r="P198" t="str">
        <f t="array" ref="P198">IFERROR(INDEX('Player Raw Data'!AD:AD,Match($A198,'Player Raw Data'!$B:$B,0)),"")</f>
        <v/>
      </c>
      <c r="Q198">
        <f t="shared" si="1"/>
        <v>0</v>
      </c>
      <c r="R198" s="9">
        <f t="shared" si="2"/>
        <v>0</v>
      </c>
      <c r="S198" s="14">
        <f t="shared" si="3"/>
        <v>0</v>
      </c>
      <c r="T198" s="15">
        <f>IFERROR(__xludf.DUMMYFUNCTION("IFERROR(PERCENTRANK.INC(FILTER(Q:Q,$F:$F&lt;&gt;""""),Q198)*100,"""")"),1.5)</f>
        <v>1.5</v>
      </c>
      <c r="U198" s="15">
        <f>IFERROR(__xludf.DUMMYFUNCTION("IFERROR(PERCENTRANK.INC(FILTER(R:R,$F:$F&lt;&gt;""""),R198)*100,"""")"),1.5)</f>
        <v>1.5</v>
      </c>
      <c r="V198" s="15">
        <f>IFERROR(__xludf.DUMMYFUNCTION("IFERROR(PERCENTRANK.INC(FILTER(S:S,$F:$F&lt;&gt;""""),S198)*100,"""")"),1.5)</f>
        <v>1.5</v>
      </c>
      <c r="W198" s="15" t="str">
        <f t="shared" si="4"/>
        <v/>
      </c>
      <c r="X198" s="16"/>
      <c r="Y198" s="9"/>
      <c r="Z198" s="9"/>
    </row>
    <row r="199">
      <c r="B199" t="str">
        <f t="array" ref="B199">IFERROR(INDEX('Player Raw Data'!E:E,Match($A199,'Player Raw Data'!$B:$B,0)),"")</f>
        <v/>
      </c>
      <c r="C199" t="str">
        <f t="array" ref="C199">IFERROR(INDEX('Player Raw Data'!C:C,Match($A199,'Player Raw Data'!$B:$B,0)),"")</f>
        <v/>
      </c>
      <c r="D199" t="str">
        <f t="array" ref="D199">IFERROR(IF(A199=A198, INDEX('Player Raw Data'!D:D,Match($A199,'Player Raw Data'!$B:$B,0)+2),INDEX('Player Raw Data'!D:D,Match($A199,'Player Raw Data'!$B:$B,0))),"")</f>
        <v/>
      </c>
      <c r="E199" t="str">
        <f t="array" ref="E199">IFERROR(INDEX('Player Raw Data'!F:F,Match($A199,'Player Raw Data'!$B:$B,0)),"")</f>
        <v/>
      </c>
      <c r="F199" t="str">
        <f t="array" ref="F199">IFERROR(INDEX('Player Raw Data'!H:H,Match($A199,'Player Raw Data'!$B:$B,0)),"")</f>
        <v/>
      </c>
      <c r="G199" t="str">
        <f t="array" ref="G199">IFERROR(INDEX('Player Raw Data'!I:I,Match($A199,'Player Raw Data'!$B:$B,0)),"")</f>
        <v/>
      </c>
      <c r="H199" t="str">
        <f t="array" ref="H199">IFERROR(INDEX('Player Raw Data'!J:J,Match($A199,'Player Raw Data'!$B:$B,0)),"")</f>
        <v/>
      </c>
      <c r="I199" t="str">
        <f t="array" ref="I199">IFERROR(INDEX('Player Raw Data'!S:S,Match($A199,'Player Raw Data'!$B:$B,0)),"")</f>
        <v/>
      </c>
      <c r="J199" t="str">
        <f t="array" ref="J199">IFERROR(INDEX('Player Raw Data'!T:T,Match($A199,'Player Raw Data'!$B:$B,0)),"")</f>
        <v/>
      </c>
      <c r="K199" t="str">
        <f t="array" ref="K199">IFERROR(INDEX('Player Raw Data'!X:X,Match($A199,'Player Raw Data'!$B:$B,0)),"")</f>
        <v/>
      </c>
      <c r="L199" t="str">
        <f t="array" ref="L199">IFERROR(INDEX('Player Raw Data'!Y:Y,Match($A199,'Player Raw Data'!$B:$B,0)),"")</f>
        <v/>
      </c>
      <c r="M199" t="str">
        <f t="array" ref="M199">IFERROR(INDEX('Player Raw Data'!Z:Z,Match($A199,'Player Raw Data'!$B:$B,0)),"")</f>
        <v/>
      </c>
      <c r="N199" t="str">
        <f t="array" ref="N199">IFERROR(INDEX('Player Raw Data'!AA:AA,Match($A199,'Player Raw Data'!$B:$B,0)),"")</f>
        <v/>
      </c>
      <c r="O199" t="str">
        <f t="array" ref="O199">IFERROR(INDEX('Player Raw Data'!AB:AB,Match($A199,'Player Raw Data'!$B:$B,0)),"")</f>
        <v/>
      </c>
      <c r="P199" t="str">
        <f t="array" ref="P199">IFERROR(INDEX('Player Raw Data'!AD:AD,Match($A199,'Player Raw Data'!$B:$B,0)),"")</f>
        <v/>
      </c>
      <c r="Q199">
        <f t="shared" si="1"/>
        <v>0</v>
      </c>
      <c r="R199" s="9">
        <f t="shared" si="2"/>
        <v>0</v>
      </c>
      <c r="S199" s="14">
        <f t="shared" si="3"/>
        <v>0</v>
      </c>
      <c r="T199" s="15">
        <f>IFERROR(__xludf.DUMMYFUNCTION("IFERROR(PERCENTRANK.INC(FILTER(Q:Q,$F:$F&lt;&gt;""""),Q199)*100,"""")"),1.5)</f>
        <v>1.5</v>
      </c>
      <c r="U199" s="15">
        <f>IFERROR(__xludf.DUMMYFUNCTION("IFERROR(PERCENTRANK.INC(FILTER(R:R,$F:$F&lt;&gt;""""),R199)*100,"""")"),1.5)</f>
        <v>1.5</v>
      </c>
      <c r="V199" s="15">
        <f>IFERROR(__xludf.DUMMYFUNCTION("IFERROR(PERCENTRANK.INC(FILTER(S:S,$F:$F&lt;&gt;""""),S199)*100,"""")"),1.5)</f>
        <v>1.5</v>
      </c>
      <c r="W199" s="15" t="str">
        <f t="shared" si="4"/>
        <v/>
      </c>
      <c r="X199" s="16"/>
      <c r="Y199" s="9"/>
      <c r="Z199" s="9"/>
    </row>
    <row r="200">
      <c r="B200" t="str">
        <f t="array" ref="B200">IFERROR(INDEX('Player Raw Data'!E:E,Match($A200,'Player Raw Data'!$B:$B,0)),"")</f>
        <v/>
      </c>
      <c r="C200" t="str">
        <f t="array" ref="C200">IFERROR(INDEX('Player Raw Data'!C:C,Match($A200,'Player Raw Data'!$B:$B,0)),"")</f>
        <v/>
      </c>
      <c r="D200" t="str">
        <f t="array" ref="D200">IFERROR(IF(A200=A199, INDEX('Player Raw Data'!D:D,Match($A200,'Player Raw Data'!$B:$B,0)+2),INDEX('Player Raw Data'!D:D,Match($A200,'Player Raw Data'!$B:$B,0))),"")</f>
        <v/>
      </c>
      <c r="E200" t="str">
        <f t="array" ref="E200">IFERROR(INDEX('Player Raw Data'!F:F,Match($A200,'Player Raw Data'!$B:$B,0)),"")</f>
        <v/>
      </c>
      <c r="F200" t="str">
        <f t="array" ref="F200">IFERROR(INDEX('Player Raw Data'!H:H,Match($A200,'Player Raw Data'!$B:$B,0)),"")</f>
        <v/>
      </c>
      <c r="G200" t="str">
        <f t="array" ref="G200">IFERROR(INDEX('Player Raw Data'!I:I,Match($A200,'Player Raw Data'!$B:$B,0)),"")</f>
        <v/>
      </c>
      <c r="H200" t="str">
        <f t="array" ref="H200">IFERROR(INDEX('Player Raw Data'!J:J,Match($A200,'Player Raw Data'!$B:$B,0)),"")</f>
        <v/>
      </c>
      <c r="I200" t="str">
        <f t="array" ref="I200">IFERROR(INDEX('Player Raw Data'!S:S,Match($A200,'Player Raw Data'!$B:$B,0)),"")</f>
        <v/>
      </c>
      <c r="J200" t="str">
        <f t="array" ref="J200">IFERROR(INDEX('Player Raw Data'!T:T,Match($A200,'Player Raw Data'!$B:$B,0)),"")</f>
        <v/>
      </c>
      <c r="K200" t="str">
        <f t="array" ref="K200">IFERROR(INDEX('Player Raw Data'!X:X,Match($A200,'Player Raw Data'!$B:$B,0)),"")</f>
        <v/>
      </c>
      <c r="L200" t="str">
        <f t="array" ref="L200">IFERROR(INDEX('Player Raw Data'!Y:Y,Match($A200,'Player Raw Data'!$B:$B,0)),"")</f>
        <v/>
      </c>
      <c r="M200" t="str">
        <f t="array" ref="M200">IFERROR(INDEX('Player Raw Data'!Z:Z,Match($A200,'Player Raw Data'!$B:$B,0)),"")</f>
        <v/>
      </c>
      <c r="N200" t="str">
        <f t="array" ref="N200">IFERROR(INDEX('Player Raw Data'!AA:AA,Match($A200,'Player Raw Data'!$B:$B,0)),"")</f>
        <v/>
      </c>
      <c r="O200" t="str">
        <f t="array" ref="O200">IFERROR(INDEX('Player Raw Data'!AB:AB,Match($A200,'Player Raw Data'!$B:$B,0)),"")</f>
        <v/>
      </c>
      <c r="P200" t="str">
        <f t="array" ref="P200">IFERROR(INDEX('Player Raw Data'!AD:AD,Match($A200,'Player Raw Data'!$B:$B,0)),"")</f>
        <v/>
      </c>
      <c r="Q200">
        <f t="shared" si="1"/>
        <v>0</v>
      </c>
      <c r="R200" s="9">
        <f t="shared" si="2"/>
        <v>0</v>
      </c>
      <c r="S200" s="14">
        <f t="shared" si="3"/>
        <v>0</v>
      </c>
      <c r="T200" s="15">
        <f>IFERROR(__xludf.DUMMYFUNCTION("IFERROR(PERCENTRANK.INC(FILTER(Q:Q,$F:$F&lt;&gt;""""),Q200)*100,"""")"),1.5)</f>
        <v>1.5</v>
      </c>
      <c r="U200" s="15">
        <f>IFERROR(__xludf.DUMMYFUNCTION("IFERROR(PERCENTRANK.INC(FILTER(R:R,$F:$F&lt;&gt;""""),R200)*100,"""")"),1.5)</f>
        <v>1.5</v>
      </c>
      <c r="V200" s="15">
        <f>IFERROR(__xludf.DUMMYFUNCTION("IFERROR(PERCENTRANK.INC(FILTER(S:S,$F:$F&lt;&gt;""""),S200)*100,"""")"),1.5)</f>
        <v>1.5</v>
      </c>
      <c r="W200" s="15" t="str">
        <f t="shared" si="4"/>
        <v/>
      </c>
      <c r="X200" s="16"/>
      <c r="Y200" s="9"/>
      <c r="Z200" s="9"/>
    </row>
    <row r="201">
      <c r="B201" t="str">
        <f t="array" ref="B201">IFERROR(INDEX('Player Raw Data'!E:E,Match($A201,'Player Raw Data'!$B:$B,0)),"")</f>
        <v/>
      </c>
      <c r="C201" t="str">
        <f t="array" ref="C201">IFERROR(INDEX('Player Raw Data'!C:C,Match($A201,'Player Raw Data'!$B:$B,0)),"")</f>
        <v/>
      </c>
      <c r="D201" t="str">
        <f t="array" ref="D201">IFERROR(IF(A201=A200, INDEX('Player Raw Data'!D:D,Match($A201,'Player Raw Data'!$B:$B,0)+2),INDEX('Player Raw Data'!D:D,Match($A201,'Player Raw Data'!$B:$B,0))),"")</f>
        <v/>
      </c>
      <c r="E201" t="str">
        <f t="array" ref="E201">IFERROR(INDEX('Player Raw Data'!F:F,Match($A201,'Player Raw Data'!$B:$B,0)),"")</f>
        <v/>
      </c>
      <c r="F201" t="str">
        <f t="array" ref="F201">IFERROR(INDEX('Player Raw Data'!H:H,Match($A201,'Player Raw Data'!$B:$B,0)),"")</f>
        <v/>
      </c>
      <c r="G201" t="str">
        <f t="array" ref="G201">IFERROR(INDEX('Player Raw Data'!I:I,Match($A201,'Player Raw Data'!$B:$B,0)),"")</f>
        <v/>
      </c>
      <c r="H201" t="str">
        <f t="array" ref="H201">IFERROR(INDEX('Player Raw Data'!J:J,Match($A201,'Player Raw Data'!$B:$B,0)),"")</f>
        <v/>
      </c>
      <c r="I201" t="str">
        <f t="array" ref="I201">IFERROR(INDEX('Player Raw Data'!S:S,Match($A201,'Player Raw Data'!$B:$B,0)),"")</f>
        <v/>
      </c>
      <c r="J201" t="str">
        <f t="array" ref="J201">IFERROR(INDEX('Player Raw Data'!T:T,Match($A201,'Player Raw Data'!$B:$B,0)),"")</f>
        <v/>
      </c>
      <c r="K201" t="str">
        <f t="array" ref="K201">IFERROR(INDEX('Player Raw Data'!X:X,Match($A201,'Player Raw Data'!$B:$B,0)),"")</f>
        <v/>
      </c>
      <c r="L201" t="str">
        <f t="array" ref="L201">IFERROR(INDEX('Player Raw Data'!Y:Y,Match($A201,'Player Raw Data'!$B:$B,0)),"")</f>
        <v/>
      </c>
      <c r="M201" t="str">
        <f t="array" ref="M201">IFERROR(INDEX('Player Raw Data'!Z:Z,Match($A201,'Player Raw Data'!$B:$B,0)),"")</f>
        <v/>
      </c>
      <c r="N201" t="str">
        <f t="array" ref="N201">IFERROR(INDEX('Player Raw Data'!AA:AA,Match($A201,'Player Raw Data'!$B:$B,0)),"")</f>
        <v/>
      </c>
      <c r="O201" t="str">
        <f t="array" ref="O201">IFERROR(INDEX('Player Raw Data'!AB:AB,Match($A201,'Player Raw Data'!$B:$B,0)),"")</f>
        <v/>
      </c>
      <c r="P201" t="str">
        <f t="array" ref="P201">IFERROR(INDEX('Player Raw Data'!AD:AD,Match($A201,'Player Raw Data'!$B:$B,0)),"")</f>
        <v/>
      </c>
      <c r="Q201">
        <f t="shared" si="1"/>
        <v>0</v>
      </c>
      <c r="R201" s="9">
        <f t="shared" si="2"/>
        <v>0</v>
      </c>
      <c r="S201" s="14">
        <f t="shared" si="3"/>
        <v>0</v>
      </c>
      <c r="T201" s="15">
        <f>IFERROR(__xludf.DUMMYFUNCTION("IFERROR(PERCENTRANK.INC(FILTER(Q:Q,$F:$F&lt;&gt;""""),Q201)*100,"""")"),1.5)</f>
        <v>1.5</v>
      </c>
      <c r="U201" s="15">
        <f>IFERROR(__xludf.DUMMYFUNCTION("IFERROR(PERCENTRANK.INC(FILTER(R:R,$F:$F&lt;&gt;""""),R201)*100,"""")"),1.5)</f>
        <v>1.5</v>
      </c>
      <c r="V201" s="15">
        <f>IFERROR(__xludf.DUMMYFUNCTION("IFERROR(PERCENTRANK.INC(FILTER(S:S,$F:$F&lt;&gt;""""),S201)*100,"""")"),1.5)</f>
        <v>1.5</v>
      </c>
      <c r="W201" s="15" t="str">
        <f t="shared" si="4"/>
        <v/>
      </c>
      <c r="X201" s="16"/>
      <c r="Y201" s="9"/>
      <c r="Z201" s="9"/>
    </row>
    <row r="202">
      <c r="B202" t="str">
        <f t="array" ref="B202">IFERROR(INDEX('Player Raw Data'!E:E,Match($A202,'Player Raw Data'!$B:$B,0)),"")</f>
        <v/>
      </c>
      <c r="C202" t="str">
        <f t="array" ref="C202">IFERROR(INDEX('Player Raw Data'!C:C,Match($A202,'Player Raw Data'!$B:$B,0)),"")</f>
        <v/>
      </c>
      <c r="D202" t="str">
        <f t="array" ref="D202">IFERROR(IF(A202=A201, INDEX('Player Raw Data'!D:D,Match($A202,'Player Raw Data'!$B:$B,0)+2),INDEX('Player Raw Data'!D:D,Match($A202,'Player Raw Data'!$B:$B,0))),"")</f>
        <v/>
      </c>
      <c r="E202" t="str">
        <f t="array" ref="E202">IFERROR(INDEX('Player Raw Data'!F:F,Match($A202,'Player Raw Data'!$B:$B,0)),"")</f>
        <v/>
      </c>
      <c r="F202" t="str">
        <f t="array" ref="F202">IFERROR(INDEX('Player Raw Data'!H:H,Match($A202,'Player Raw Data'!$B:$B,0)),"")</f>
        <v/>
      </c>
      <c r="G202" t="str">
        <f t="array" ref="G202">IFERROR(INDEX('Player Raw Data'!I:I,Match($A202,'Player Raw Data'!$B:$B,0)),"")</f>
        <v/>
      </c>
      <c r="H202" t="str">
        <f t="array" ref="H202">IFERROR(INDEX('Player Raw Data'!J:J,Match($A202,'Player Raw Data'!$B:$B,0)),"")</f>
        <v/>
      </c>
      <c r="I202" t="str">
        <f t="array" ref="I202">IFERROR(INDEX('Player Raw Data'!S:S,Match($A202,'Player Raw Data'!$B:$B,0)),"")</f>
        <v/>
      </c>
      <c r="J202" t="str">
        <f t="array" ref="J202">IFERROR(INDEX('Player Raw Data'!T:T,Match($A202,'Player Raw Data'!$B:$B,0)),"")</f>
        <v/>
      </c>
      <c r="K202" t="str">
        <f t="array" ref="K202">IFERROR(INDEX('Player Raw Data'!X:X,Match($A202,'Player Raw Data'!$B:$B,0)),"")</f>
        <v/>
      </c>
      <c r="L202" t="str">
        <f t="array" ref="L202">IFERROR(INDEX('Player Raw Data'!Y:Y,Match($A202,'Player Raw Data'!$B:$B,0)),"")</f>
        <v/>
      </c>
      <c r="M202" t="str">
        <f t="array" ref="M202">IFERROR(INDEX('Player Raw Data'!Z:Z,Match($A202,'Player Raw Data'!$B:$B,0)),"")</f>
        <v/>
      </c>
      <c r="N202" t="str">
        <f t="array" ref="N202">IFERROR(INDEX('Player Raw Data'!AA:AA,Match($A202,'Player Raw Data'!$B:$B,0)),"")</f>
        <v/>
      </c>
      <c r="O202" t="str">
        <f t="array" ref="O202">IFERROR(INDEX('Player Raw Data'!AB:AB,Match($A202,'Player Raw Data'!$B:$B,0)),"")</f>
        <v/>
      </c>
      <c r="P202" t="str">
        <f t="array" ref="P202">IFERROR(INDEX('Player Raw Data'!AD:AD,Match($A202,'Player Raw Data'!$B:$B,0)),"")</f>
        <v/>
      </c>
      <c r="Q202">
        <f t="shared" si="1"/>
        <v>0</v>
      </c>
      <c r="R202" s="9">
        <f t="shared" si="2"/>
        <v>0</v>
      </c>
      <c r="S202" s="14">
        <f t="shared" si="3"/>
        <v>0</v>
      </c>
      <c r="T202" s="15">
        <f>IFERROR(__xludf.DUMMYFUNCTION("IFERROR(PERCENTRANK.INC(FILTER(Q:Q,$F:$F&lt;&gt;""""),Q202)*100,"""")"),1.5)</f>
        <v>1.5</v>
      </c>
      <c r="U202" s="15">
        <f>IFERROR(__xludf.DUMMYFUNCTION("IFERROR(PERCENTRANK.INC(FILTER(R:R,$F:$F&lt;&gt;""""),R202)*100,"""")"),1.5)</f>
        <v>1.5</v>
      </c>
      <c r="V202" s="15">
        <f>IFERROR(__xludf.DUMMYFUNCTION("IFERROR(PERCENTRANK.INC(FILTER(S:S,$F:$F&lt;&gt;""""),S202)*100,"""")"),1.5)</f>
        <v>1.5</v>
      </c>
      <c r="W202" s="15" t="str">
        <f t="shared" si="4"/>
        <v/>
      </c>
      <c r="X202" s="16"/>
      <c r="Y202" s="9"/>
      <c r="Z202" s="9"/>
    </row>
    <row r="203">
      <c r="B203" t="str">
        <f t="array" ref="B203">IFERROR(INDEX('Player Raw Data'!E:E,Match($A203,'Player Raw Data'!$B:$B,0)),"")</f>
        <v/>
      </c>
      <c r="C203" t="str">
        <f t="array" ref="C203">IFERROR(INDEX('Player Raw Data'!C:C,Match($A203,'Player Raw Data'!$B:$B,0)),"")</f>
        <v/>
      </c>
      <c r="D203" t="str">
        <f t="array" ref="D203">IFERROR(IF(A203=A202, INDEX('Player Raw Data'!D:D,Match($A203,'Player Raw Data'!$B:$B,0)+2),INDEX('Player Raw Data'!D:D,Match($A203,'Player Raw Data'!$B:$B,0))),"")</f>
        <v/>
      </c>
      <c r="E203" t="str">
        <f t="array" ref="E203">IFERROR(INDEX('Player Raw Data'!F:F,Match($A203,'Player Raw Data'!$B:$B,0)),"")</f>
        <v/>
      </c>
      <c r="F203" t="str">
        <f t="array" ref="F203">IFERROR(INDEX('Player Raw Data'!H:H,Match($A203,'Player Raw Data'!$B:$B,0)),"")</f>
        <v/>
      </c>
      <c r="G203" t="str">
        <f t="array" ref="G203">IFERROR(INDEX('Player Raw Data'!I:I,Match($A203,'Player Raw Data'!$B:$B,0)),"")</f>
        <v/>
      </c>
      <c r="H203" t="str">
        <f t="array" ref="H203">IFERROR(INDEX('Player Raw Data'!J:J,Match($A203,'Player Raw Data'!$B:$B,0)),"")</f>
        <v/>
      </c>
      <c r="I203" t="str">
        <f t="array" ref="I203">IFERROR(INDEX('Player Raw Data'!S:S,Match($A203,'Player Raw Data'!$B:$B,0)),"")</f>
        <v/>
      </c>
      <c r="J203" t="str">
        <f t="array" ref="J203">IFERROR(INDEX('Player Raw Data'!T:T,Match($A203,'Player Raw Data'!$B:$B,0)),"")</f>
        <v/>
      </c>
      <c r="K203" t="str">
        <f t="array" ref="K203">IFERROR(INDEX('Player Raw Data'!X:X,Match($A203,'Player Raw Data'!$B:$B,0)),"")</f>
        <v/>
      </c>
      <c r="L203" t="str">
        <f t="array" ref="L203">IFERROR(INDEX('Player Raw Data'!Y:Y,Match($A203,'Player Raw Data'!$B:$B,0)),"")</f>
        <v/>
      </c>
      <c r="M203" t="str">
        <f t="array" ref="M203">IFERROR(INDEX('Player Raw Data'!Z:Z,Match($A203,'Player Raw Data'!$B:$B,0)),"")</f>
        <v/>
      </c>
      <c r="N203" t="str">
        <f t="array" ref="N203">IFERROR(INDEX('Player Raw Data'!AA:AA,Match($A203,'Player Raw Data'!$B:$B,0)),"")</f>
        <v/>
      </c>
      <c r="O203" t="str">
        <f t="array" ref="O203">IFERROR(INDEX('Player Raw Data'!AB:AB,Match($A203,'Player Raw Data'!$B:$B,0)),"")</f>
        <v/>
      </c>
      <c r="P203" t="str">
        <f t="array" ref="P203">IFERROR(INDEX('Player Raw Data'!AD:AD,Match($A203,'Player Raw Data'!$B:$B,0)),"")</f>
        <v/>
      </c>
      <c r="Q203">
        <f t="shared" si="1"/>
        <v>0</v>
      </c>
      <c r="R203" s="9">
        <f t="shared" si="2"/>
        <v>0</v>
      </c>
      <c r="S203" s="14">
        <f t="shared" si="3"/>
        <v>0</v>
      </c>
      <c r="T203" s="15">
        <f>IFERROR(__xludf.DUMMYFUNCTION("IFERROR(PERCENTRANK.INC(FILTER(Q:Q,$F:$F&lt;&gt;""""),Q203)*100,"""")"),1.5)</f>
        <v>1.5</v>
      </c>
      <c r="U203" s="15">
        <f>IFERROR(__xludf.DUMMYFUNCTION("IFERROR(PERCENTRANK.INC(FILTER(R:R,$F:$F&lt;&gt;""""),R203)*100,"""")"),1.5)</f>
        <v>1.5</v>
      </c>
      <c r="V203" s="15">
        <f>IFERROR(__xludf.DUMMYFUNCTION("IFERROR(PERCENTRANK.INC(FILTER(S:S,$F:$F&lt;&gt;""""),S203)*100,"""")"),1.5)</f>
        <v>1.5</v>
      </c>
      <c r="W203" s="15" t="str">
        <f t="shared" si="4"/>
        <v/>
      </c>
      <c r="X203" s="16"/>
      <c r="Y203" s="9"/>
      <c r="Z203" s="9"/>
    </row>
    <row r="204">
      <c r="B204" t="str">
        <f t="array" ref="B204">IFERROR(INDEX('Player Raw Data'!E:E,Match($A204,'Player Raw Data'!$B:$B,0)),"")</f>
        <v/>
      </c>
      <c r="C204" t="str">
        <f t="array" ref="C204">IFERROR(INDEX('Player Raw Data'!C:C,Match($A204,'Player Raw Data'!$B:$B,0)),"")</f>
        <v/>
      </c>
      <c r="D204" t="str">
        <f t="array" ref="D204">IFERROR(IF(A204=A203, INDEX('Player Raw Data'!D:D,Match($A204,'Player Raw Data'!$B:$B,0)+2),INDEX('Player Raw Data'!D:D,Match($A204,'Player Raw Data'!$B:$B,0))),"")</f>
        <v/>
      </c>
      <c r="E204" t="str">
        <f t="array" ref="E204">IFERROR(INDEX('Player Raw Data'!F:F,Match($A204,'Player Raw Data'!$B:$B,0)),"")</f>
        <v/>
      </c>
      <c r="F204" t="str">
        <f t="array" ref="F204">IFERROR(INDEX('Player Raw Data'!H:H,Match($A204,'Player Raw Data'!$B:$B,0)),"")</f>
        <v/>
      </c>
      <c r="G204" t="str">
        <f t="array" ref="G204">IFERROR(INDEX('Player Raw Data'!I:I,Match($A204,'Player Raw Data'!$B:$B,0)),"")</f>
        <v/>
      </c>
      <c r="H204" t="str">
        <f t="array" ref="H204">IFERROR(INDEX('Player Raw Data'!J:J,Match($A204,'Player Raw Data'!$B:$B,0)),"")</f>
        <v/>
      </c>
      <c r="I204" t="str">
        <f t="array" ref="I204">IFERROR(INDEX('Player Raw Data'!S:S,Match($A204,'Player Raw Data'!$B:$B,0)),"")</f>
        <v/>
      </c>
      <c r="J204" t="str">
        <f t="array" ref="J204">IFERROR(INDEX('Player Raw Data'!T:T,Match($A204,'Player Raw Data'!$B:$B,0)),"")</f>
        <v/>
      </c>
      <c r="K204" t="str">
        <f t="array" ref="K204">IFERROR(INDEX('Player Raw Data'!X:X,Match($A204,'Player Raw Data'!$B:$B,0)),"")</f>
        <v/>
      </c>
      <c r="L204" t="str">
        <f t="array" ref="L204">IFERROR(INDEX('Player Raw Data'!Y:Y,Match($A204,'Player Raw Data'!$B:$B,0)),"")</f>
        <v/>
      </c>
      <c r="M204" t="str">
        <f t="array" ref="M204">IFERROR(INDEX('Player Raw Data'!Z:Z,Match($A204,'Player Raw Data'!$B:$B,0)),"")</f>
        <v/>
      </c>
      <c r="N204" t="str">
        <f t="array" ref="N204">IFERROR(INDEX('Player Raw Data'!AA:AA,Match($A204,'Player Raw Data'!$B:$B,0)),"")</f>
        <v/>
      </c>
      <c r="O204" t="str">
        <f t="array" ref="O204">IFERROR(INDEX('Player Raw Data'!AB:AB,Match($A204,'Player Raw Data'!$B:$B,0)),"")</f>
        <v/>
      </c>
      <c r="P204" t="str">
        <f t="array" ref="P204">IFERROR(INDEX('Player Raw Data'!AD:AD,Match($A204,'Player Raw Data'!$B:$B,0)),"")</f>
        <v/>
      </c>
      <c r="Q204">
        <f t="shared" si="1"/>
        <v>0</v>
      </c>
      <c r="R204" s="9">
        <f t="shared" si="2"/>
        <v>0</v>
      </c>
      <c r="S204" s="14">
        <f t="shared" si="3"/>
        <v>0</v>
      </c>
      <c r="T204" s="15">
        <f>IFERROR(__xludf.DUMMYFUNCTION("IFERROR(PERCENTRANK.INC(FILTER(Q:Q,$F:$F&lt;&gt;""""),Q204)*100,"""")"),1.5)</f>
        <v>1.5</v>
      </c>
      <c r="U204" s="15">
        <f>IFERROR(__xludf.DUMMYFUNCTION("IFERROR(PERCENTRANK.INC(FILTER(R:R,$F:$F&lt;&gt;""""),R204)*100,"""")"),1.5)</f>
        <v>1.5</v>
      </c>
      <c r="V204" s="15">
        <f>IFERROR(__xludf.DUMMYFUNCTION("IFERROR(PERCENTRANK.INC(FILTER(S:S,$F:$F&lt;&gt;""""),S204)*100,"""")"),1.5)</f>
        <v>1.5</v>
      </c>
      <c r="W204" s="15" t="str">
        <f t="shared" si="4"/>
        <v/>
      </c>
      <c r="X204" s="16"/>
      <c r="Y204" s="9"/>
      <c r="Z204" s="9"/>
    </row>
    <row r="205">
      <c r="B205" t="str">
        <f t="array" ref="B205">IFERROR(INDEX('Player Raw Data'!E:E,Match($A205,'Player Raw Data'!$B:$B,0)),"")</f>
        <v/>
      </c>
      <c r="C205" t="str">
        <f t="array" ref="C205">IFERROR(INDEX('Player Raw Data'!C:C,Match($A205,'Player Raw Data'!$B:$B,0)),"")</f>
        <v/>
      </c>
      <c r="D205" t="str">
        <f t="array" ref="D205">IFERROR(IF(A205=A204, INDEX('Player Raw Data'!D:D,Match($A205,'Player Raw Data'!$B:$B,0)+2),INDEX('Player Raw Data'!D:D,Match($A205,'Player Raw Data'!$B:$B,0))),"")</f>
        <v/>
      </c>
      <c r="E205" t="str">
        <f t="array" ref="E205">IFERROR(INDEX('Player Raw Data'!F:F,Match($A205,'Player Raw Data'!$B:$B,0)),"")</f>
        <v/>
      </c>
      <c r="F205" t="str">
        <f t="array" ref="F205">IFERROR(INDEX('Player Raw Data'!H:H,Match($A205,'Player Raw Data'!$B:$B,0)),"")</f>
        <v/>
      </c>
      <c r="G205" t="str">
        <f t="array" ref="G205">IFERROR(INDEX('Player Raw Data'!I:I,Match($A205,'Player Raw Data'!$B:$B,0)),"")</f>
        <v/>
      </c>
      <c r="H205" t="str">
        <f t="array" ref="H205">IFERROR(INDEX('Player Raw Data'!J:J,Match($A205,'Player Raw Data'!$B:$B,0)),"")</f>
        <v/>
      </c>
      <c r="I205" t="str">
        <f t="array" ref="I205">IFERROR(INDEX('Player Raw Data'!S:S,Match($A205,'Player Raw Data'!$B:$B,0)),"")</f>
        <v/>
      </c>
      <c r="J205" t="str">
        <f t="array" ref="J205">IFERROR(INDEX('Player Raw Data'!T:T,Match($A205,'Player Raw Data'!$B:$B,0)),"")</f>
        <v/>
      </c>
      <c r="K205" t="str">
        <f t="array" ref="K205">IFERROR(INDEX('Player Raw Data'!X:X,Match($A205,'Player Raw Data'!$B:$B,0)),"")</f>
        <v/>
      </c>
      <c r="L205" t="str">
        <f t="array" ref="L205">IFERROR(INDEX('Player Raw Data'!Y:Y,Match($A205,'Player Raw Data'!$B:$B,0)),"")</f>
        <v/>
      </c>
      <c r="M205" t="str">
        <f t="array" ref="M205">IFERROR(INDEX('Player Raw Data'!Z:Z,Match($A205,'Player Raw Data'!$B:$B,0)),"")</f>
        <v/>
      </c>
      <c r="N205" t="str">
        <f t="array" ref="N205">IFERROR(INDEX('Player Raw Data'!AA:AA,Match($A205,'Player Raw Data'!$B:$B,0)),"")</f>
        <v/>
      </c>
      <c r="O205" t="str">
        <f t="array" ref="O205">IFERROR(INDEX('Player Raw Data'!AB:AB,Match($A205,'Player Raw Data'!$B:$B,0)),"")</f>
        <v/>
      </c>
      <c r="P205" t="str">
        <f t="array" ref="P205">IFERROR(INDEX('Player Raw Data'!AD:AD,Match($A205,'Player Raw Data'!$B:$B,0)),"")</f>
        <v/>
      </c>
      <c r="Q205">
        <f t="shared" si="1"/>
        <v>0</v>
      </c>
      <c r="R205" s="9">
        <f t="shared" si="2"/>
        <v>0</v>
      </c>
      <c r="S205" s="14">
        <f t="shared" si="3"/>
        <v>0</v>
      </c>
      <c r="T205" s="15">
        <f>IFERROR(__xludf.DUMMYFUNCTION("IFERROR(PERCENTRANK.INC(FILTER(Q:Q,$F:$F&lt;&gt;""""),Q205)*100,"""")"),1.5)</f>
        <v>1.5</v>
      </c>
      <c r="U205" s="15">
        <f>IFERROR(__xludf.DUMMYFUNCTION("IFERROR(PERCENTRANK.INC(FILTER(R:R,$F:$F&lt;&gt;""""),R205)*100,"""")"),1.5)</f>
        <v>1.5</v>
      </c>
      <c r="V205" s="15">
        <f>IFERROR(__xludf.DUMMYFUNCTION("IFERROR(PERCENTRANK.INC(FILTER(S:S,$F:$F&lt;&gt;""""),S205)*100,"""")"),1.5)</f>
        <v>1.5</v>
      </c>
      <c r="W205" s="15" t="str">
        <f t="shared" si="4"/>
        <v/>
      </c>
      <c r="X205" s="16"/>
      <c r="Y205" s="9"/>
      <c r="Z205" s="9"/>
    </row>
    <row r="206">
      <c r="B206" t="str">
        <f t="array" ref="B206">IFERROR(INDEX('Player Raw Data'!E:E,Match($A206,'Player Raw Data'!$B:$B,0)),"")</f>
        <v/>
      </c>
      <c r="C206" t="str">
        <f t="array" ref="C206">IFERROR(INDEX('Player Raw Data'!C:C,Match($A206,'Player Raw Data'!$B:$B,0)),"")</f>
        <v/>
      </c>
      <c r="D206" t="str">
        <f t="array" ref="D206">IFERROR(IF(A206=A205, INDEX('Player Raw Data'!D:D,Match($A206,'Player Raw Data'!$B:$B,0)+2),INDEX('Player Raw Data'!D:D,Match($A206,'Player Raw Data'!$B:$B,0))),"")</f>
        <v/>
      </c>
      <c r="E206" t="str">
        <f t="array" ref="E206">IFERROR(INDEX('Player Raw Data'!F:F,Match($A206,'Player Raw Data'!$B:$B,0)),"")</f>
        <v/>
      </c>
      <c r="F206" t="str">
        <f t="array" ref="F206">IFERROR(INDEX('Player Raw Data'!H:H,Match($A206,'Player Raw Data'!$B:$B,0)),"")</f>
        <v/>
      </c>
      <c r="G206" t="str">
        <f t="array" ref="G206">IFERROR(INDEX('Player Raw Data'!I:I,Match($A206,'Player Raw Data'!$B:$B,0)),"")</f>
        <v/>
      </c>
      <c r="H206" t="str">
        <f t="array" ref="H206">IFERROR(INDEX('Player Raw Data'!J:J,Match($A206,'Player Raw Data'!$B:$B,0)),"")</f>
        <v/>
      </c>
      <c r="I206" t="str">
        <f t="array" ref="I206">IFERROR(INDEX('Player Raw Data'!S:S,Match($A206,'Player Raw Data'!$B:$B,0)),"")</f>
        <v/>
      </c>
      <c r="J206" t="str">
        <f t="array" ref="J206">IFERROR(INDEX('Player Raw Data'!T:T,Match($A206,'Player Raw Data'!$B:$B,0)),"")</f>
        <v/>
      </c>
      <c r="K206" t="str">
        <f t="array" ref="K206">IFERROR(INDEX('Player Raw Data'!X:X,Match($A206,'Player Raw Data'!$B:$B,0)),"")</f>
        <v/>
      </c>
      <c r="L206" t="str">
        <f t="array" ref="L206">IFERROR(INDEX('Player Raw Data'!Y:Y,Match($A206,'Player Raw Data'!$B:$B,0)),"")</f>
        <v/>
      </c>
      <c r="M206" t="str">
        <f t="array" ref="M206">IFERROR(INDEX('Player Raw Data'!Z:Z,Match($A206,'Player Raw Data'!$B:$B,0)),"")</f>
        <v/>
      </c>
      <c r="N206" t="str">
        <f t="array" ref="N206">IFERROR(INDEX('Player Raw Data'!AA:AA,Match($A206,'Player Raw Data'!$B:$B,0)),"")</f>
        <v/>
      </c>
      <c r="O206" t="str">
        <f t="array" ref="O206">IFERROR(INDEX('Player Raw Data'!AB:AB,Match($A206,'Player Raw Data'!$B:$B,0)),"")</f>
        <v/>
      </c>
      <c r="P206" t="str">
        <f t="array" ref="P206">IFERROR(INDEX('Player Raw Data'!AD:AD,Match($A206,'Player Raw Data'!$B:$B,0)),"")</f>
        <v/>
      </c>
      <c r="Q206">
        <f t="shared" si="1"/>
        <v>0</v>
      </c>
      <c r="R206" s="9">
        <f t="shared" si="2"/>
        <v>0</v>
      </c>
      <c r="S206" s="14">
        <f t="shared" si="3"/>
        <v>0</v>
      </c>
      <c r="T206" s="15">
        <f>IFERROR(__xludf.DUMMYFUNCTION("IFERROR(PERCENTRANK.INC(FILTER(Q:Q,$F:$F&lt;&gt;""""),Q206)*100,"""")"),1.5)</f>
        <v>1.5</v>
      </c>
      <c r="U206" s="15">
        <f>IFERROR(__xludf.DUMMYFUNCTION("IFERROR(PERCENTRANK.INC(FILTER(R:R,$F:$F&lt;&gt;""""),R206)*100,"""")"),1.5)</f>
        <v>1.5</v>
      </c>
      <c r="V206" s="15">
        <f>IFERROR(__xludf.DUMMYFUNCTION("IFERROR(PERCENTRANK.INC(FILTER(S:S,$F:$F&lt;&gt;""""),S206)*100,"""")"),1.5)</f>
        <v>1.5</v>
      </c>
      <c r="W206" s="15" t="str">
        <f t="shared" si="4"/>
        <v/>
      </c>
      <c r="X206" s="16"/>
      <c r="Y206" s="9"/>
      <c r="Z206" s="9"/>
    </row>
    <row r="207">
      <c r="B207" t="str">
        <f t="array" ref="B207">IFERROR(INDEX('Player Raw Data'!E:E,Match($A207,'Player Raw Data'!$B:$B,0)),"")</f>
        <v/>
      </c>
      <c r="C207" t="str">
        <f t="array" ref="C207">IFERROR(INDEX('Player Raw Data'!C:C,Match($A207,'Player Raw Data'!$B:$B,0)),"")</f>
        <v/>
      </c>
      <c r="D207" t="str">
        <f t="array" ref="D207">IFERROR(IF(A207=A206, INDEX('Player Raw Data'!D:D,Match($A207,'Player Raw Data'!$B:$B,0)+2),INDEX('Player Raw Data'!D:D,Match($A207,'Player Raw Data'!$B:$B,0))),"")</f>
        <v/>
      </c>
      <c r="E207" t="str">
        <f t="array" ref="E207">IFERROR(INDEX('Player Raw Data'!F:F,Match($A207,'Player Raw Data'!$B:$B,0)),"")</f>
        <v/>
      </c>
      <c r="F207" t="str">
        <f t="array" ref="F207">IFERROR(INDEX('Player Raw Data'!H:H,Match($A207,'Player Raw Data'!$B:$B,0)),"")</f>
        <v/>
      </c>
      <c r="G207" t="str">
        <f t="array" ref="G207">IFERROR(INDEX('Player Raw Data'!I:I,Match($A207,'Player Raw Data'!$B:$B,0)),"")</f>
        <v/>
      </c>
      <c r="H207" t="str">
        <f t="array" ref="H207">IFERROR(INDEX('Player Raw Data'!J:J,Match($A207,'Player Raw Data'!$B:$B,0)),"")</f>
        <v/>
      </c>
      <c r="I207" t="str">
        <f t="array" ref="I207">IFERROR(INDEX('Player Raw Data'!S:S,Match($A207,'Player Raw Data'!$B:$B,0)),"")</f>
        <v/>
      </c>
      <c r="J207" t="str">
        <f t="array" ref="J207">IFERROR(INDEX('Player Raw Data'!T:T,Match($A207,'Player Raw Data'!$B:$B,0)),"")</f>
        <v/>
      </c>
      <c r="K207" t="str">
        <f t="array" ref="K207">IFERROR(INDEX('Player Raw Data'!X:X,Match($A207,'Player Raw Data'!$B:$B,0)),"")</f>
        <v/>
      </c>
      <c r="L207" t="str">
        <f t="array" ref="L207">IFERROR(INDEX('Player Raw Data'!Y:Y,Match($A207,'Player Raw Data'!$B:$B,0)),"")</f>
        <v/>
      </c>
      <c r="M207" t="str">
        <f t="array" ref="M207">IFERROR(INDEX('Player Raw Data'!Z:Z,Match($A207,'Player Raw Data'!$B:$B,0)),"")</f>
        <v/>
      </c>
      <c r="N207" t="str">
        <f t="array" ref="N207">IFERROR(INDEX('Player Raw Data'!AA:AA,Match($A207,'Player Raw Data'!$B:$B,0)),"")</f>
        <v/>
      </c>
      <c r="O207" t="str">
        <f t="array" ref="O207">IFERROR(INDEX('Player Raw Data'!AB:AB,Match($A207,'Player Raw Data'!$B:$B,0)),"")</f>
        <v/>
      </c>
      <c r="P207" t="str">
        <f t="array" ref="P207">IFERROR(INDEX('Player Raw Data'!AD:AD,Match($A207,'Player Raw Data'!$B:$B,0)),"")</f>
        <v/>
      </c>
      <c r="Q207">
        <f t="shared" si="1"/>
        <v>0</v>
      </c>
      <c r="R207" s="9">
        <f t="shared" si="2"/>
        <v>0</v>
      </c>
      <c r="S207" s="14">
        <f t="shared" si="3"/>
        <v>0</v>
      </c>
      <c r="T207" s="15">
        <f>IFERROR(__xludf.DUMMYFUNCTION("IFERROR(PERCENTRANK.INC(FILTER(Q:Q,$F:$F&lt;&gt;""""),Q207)*100,"""")"),1.5)</f>
        <v>1.5</v>
      </c>
      <c r="U207" s="15">
        <f>IFERROR(__xludf.DUMMYFUNCTION("IFERROR(PERCENTRANK.INC(FILTER(R:R,$F:$F&lt;&gt;""""),R207)*100,"""")"),1.5)</f>
        <v>1.5</v>
      </c>
      <c r="V207" s="15">
        <f>IFERROR(__xludf.DUMMYFUNCTION("IFERROR(PERCENTRANK.INC(FILTER(S:S,$F:$F&lt;&gt;""""),S207)*100,"""")"),1.5)</f>
        <v>1.5</v>
      </c>
      <c r="W207" s="15" t="str">
        <f t="shared" si="4"/>
        <v/>
      </c>
      <c r="X207" s="16"/>
      <c r="Y207" s="9"/>
      <c r="Z207" s="9"/>
    </row>
    <row r="208">
      <c r="B208" t="str">
        <f t="array" ref="B208">IFERROR(INDEX('Player Raw Data'!E:E,Match($A208,'Player Raw Data'!$B:$B,0)),"")</f>
        <v/>
      </c>
      <c r="C208" t="str">
        <f t="array" ref="C208">IFERROR(INDEX('Player Raw Data'!C:C,Match($A208,'Player Raw Data'!$B:$B,0)),"")</f>
        <v/>
      </c>
      <c r="D208" t="str">
        <f t="array" ref="D208">IFERROR(IF(A208=A207, INDEX('Player Raw Data'!D:D,Match($A208,'Player Raw Data'!$B:$B,0)+2),INDEX('Player Raw Data'!D:D,Match($A208,'Player Raw Data'!$B:$B,0))),"")</f>
        <v/>
      </c>
      <c r="E208" t="str">
        <f t="array" ref="E208">IFERROR(INDEX('Player Raw Data'!F:F,Match($A208,'Player Raw Data'!$B:$B,0)),"")</f>
        <v/>
      </c>
      <c r="F208" t="str">
        <f t="array" ref="F208">IFERROR(INDEX('Player Raw Data'!H:H,Match($A208,'Player Raw Data'!$B:$B,0)),"")</f>
        <v/>
      </c>
      <c r="G208" t="str">
        <f t="array" ref="G208">IFERROR(INDEX('Player Raw Data'!I:I,Match($A208,'Player Raw Data'!$B:$B,0)),"")</f>
        <v/>
      </c>
      <c r="H208" t="str">
        <f t="array" ref="H208">IFERROR(INDEX('Player Raw Data'!J:J,Match($A208,'Player Raw Data'!$B:$B,0)),"")</f>
        <v/>
      </c>
      <c r="I208" t="str">
        <f t="array" ref="I208">IFERROR(INDEX('Player Raw Data'!S:S,Match($A208,'Player Raw Data'!$B:$B,0)),"")</f>
        <v/>
      </c>
      <c r="J208" t="str">
        <f t="array" ref="J208">IFERROR(INDEX('Player Raw Data'!T:T,Match($A208,'Player Raw Data'!$B:$B,0)),"")</f>
        <v/>
      </c>
      <c r="K208" t="str">
        <f t="array" ref="K208">IFERROR(INDEX('Player Raw Data'!X:X,Match($A208,'Player Raw Data'!$B:$B,0)),"")</f>
        <v/>
      </c>
      <c r="L208" t="str">
        <f t="array" ref="L208">IFERROR(INDEX('Player Raw Data'!Y:Y,Match($A208,'Player Raw Data'!$B:$B,0)),"")</f>
        <v/>
      </c>
      <c r="M208" t="str">
        <f t="array" ref="M208">IFERROR(INDEX('Player Raw Data'!Z:Z,Match($A208,'Player Raw Data'!$B:$B,0)),"")</f>
        <v/>
      </c>
      <c r="N208" t="str">
        <f t="array" ref="N208">IFERROR(INDEX('Player Raw Data'!AA:AA,Match($A208,'Player Raw Data'!$B:$B,0)),"")</f>
        <v/>
      </c>
      <c r="O208" t="str">
        <f t="array" ref="O208">IFERROR(INDEX('Player Raw Data'!AB:AB,Match($A208,'Player Raw Data'!$B:$B,0)),"")</f>
        <v/>
      </c>
      <c r="P208" t="str">
        <f t="array" ref="P208">IFERROR(INDEX('Player Raw Data'!AD:AD,Match($A208,'Player Raw Data'!$B:$B,0)),"")</f>
        <v/>
      </c>
      <c r="Q208">
        <f t="shared" si="1"/>
        <v>0</v>
      </c>
      <c r="R208" s="9">
        <f t="shared" si="2"/>
        <v>0</v>
      </c>
      <c r="S208" s="14">
        <f t="shared" si="3"/>
        <v>0</v>
      </c>
      <c r="T208" s="15">
        <f>IFERROR(__xludf.DUMMYFUNCTION("IFERROR(PERCENTRANK.INC(FILTER(Q:Q,$F:$F&lt;&gt;""""),Q208)*100,"""")"),1.5)</f>
        <v>1.5</v>
      </c>
      <c r="U208" s="15">
        <f>IFERROR(__xludf.DUMMYFUNCTION("IFERROR(PERCENTRANK.INC(FILTER(R:R,$F:$F&lt;&gt;""""),R208)*100,"""")"),1.5)</f>
        <v>1.5</v>
      </c>
      <c r="V208" s="15">
        <f>IFERROR(__xludf.DUMMYFUNCTION("IFERROR(PERCENTRANK.INC(FILTER(S:S,$F:$F&lt;&gt;""""),S208)*100,"""")"),1.5)</f>
        <v>1.5</v>
      </c>
      <c r="W208" s="15" t="str">
        <f t="shared" si="4"/>
        <v/>
      </c>
      <c r="X208" s="16"/>
      <c r="Y208" s="9"/>
      <c r="Z208" s="9"/>
    </row>
    <row r="209">
      <c r="B209" t="str">
        <f t="array" ref="B209">IFERROR(INDEX('Player Raw Data'!E:E,Match($A209,'Player Raw Data'!$B:$B,0)),"")</f>
        <v/>
      </c>
      <c r="C209" t="str">
        <f t="array" ref="C209">IFERROR(INDEX('Player Raw Data'!C:C,Match($A209,'Player Raw Data'!$B:$B,0)),"")</f>
        <v/>
      </c>
      <c r="D209" t="str">
        <f t="array" ref="D209">IFERROR(IF(A209=A208, INDEX('Player Raw Data'!D:D,Match($A209,'Player Raw Data'!$B:$B,0)+2),INDEX('Player Raw Data'!D:D,Match($A209,'Player Raw Data'!$B:$B,0))),"")</f>
        <v/>
      </c>
      <c r="E209" t="str">
        <f t="array" ref="E209">IFERROR(INDEX('Player Raw Data'!F:F,Match($A209,'Player Raw Data'!$B:$B,0)),"")</f>
        <v/>
      </c>
      <c r="F209" t="str">
        <f t="array" ref="F209">IFERROR(INDEX('Player Raw Data'!H:H,Match($A209,'Player Raw Data'!$B:$B,0)),"")</f>
        <v/>
      </c>
      <c r="G209" t="str">
        <f t="array" ref="G209">IFERROR(INDEX('Player Raw Data'!I:I,Match($A209,'Player Raw Data'!$B:$B,0)),"")</f>
        <v/>
      </c>
      <c r="H209" t="str">
        <f t="array" ref="H209">IFERROR(INDEX('Player Raw Data'!J:J,Match($A209,'Player Raw Data'!$B:$B,0)),"")</f>
        <v/>
      </c>
      <c r="I209" t="str">
        <f t="array" ref="I209">IFERROR(INDEX('Player Raw Data'!S:S,Match($A209,'Player Raw Data'!$B:$B,0)),"")</f>
        <v/>
      </c>
      <c r="J209" t="str">
        <f t="array" ref="J209">IFERROR(INDEX('Player Raw Data'!T:T,Match($A209,'Player Raw Data'!$B:$B,0)),"")</f>
        <v/>
      </c>
      <c r="K209" t="str">
        <f t="array" ref="K209">IFERROR(INDEX('Player Raw Data'!X:X,Match($A209,'Player Raw Data'!$B:$B,0)),"")</f>
        <v/>
      </c>
      <c r="L209" t="str">
        <f t="array" ref="L209">IFERROR(INDEX('Player Raw Data'!Y:Y,Match($A209,'Player Raw Data'!$B:$B,0)),"")</f>
        <v/>
      </c>
      <c r="M209" t="str">
        <f t="array" ref="M209">IFERROR(INDEX('Player Raw Data'!Z:Z,Match($A209,'Player Raw Data'!$B:$B,0)),"")</f>
        <v/>
      </c>
      <c r="N209" t="str">
        <f t="array" ref="N209">IFERROR(INDEX('Player Raw Data'!AA:AA,Match($A209,'Player Raw Data'!$B:$B,0)),"")</f>
        <v/>
      </c>
      <c r="O209" t="str">
        <f t="array" ref="O209">IFERROR(INDEX('Player Raw Data'!AB:AB,Match($A209,'Player Raw Data'!$B:$B,0)),"")</f>
        <v/>
      </c>
      <c r="P209" t="str">
        <f t="array" ref="P209">IFERROR(INDEX('Player Raw Data'!AD:AD,Match($A209,'Player Raw Data'!$B:$B,0)),"")</f>
        <v/>
      </c>
      <c r="Q209">
        <f t="shared" si="1"/>
        <v>0</v>
      </c>
      <c r="R209" s="9">
        <f t="shared" si="2"/>
        <v>0</v>
      </c>
      <c r="S209" s="14">
        <f t="shared" si="3"/>
        <v>0</v>
      </c>
      <c r="T209" s="15">
        <f>IFERROR(__xludf.DUMMYFUNCTION("IFERROR(PERCENTRANK.INC(FILTER(Q:Q,$F:$F&lt;&gt;""""),Q209)*100,"""")"),1.5)</f>
        <v>1.5</v>
      </c>
      <c r="U209" s="15">
        <f>IFERROR(__xludf.DUMMYFUNCTION("IFERROR(PERCENTRANK.INC(FILTER(R:R,$F:$F&lt;&gt;""""),R209)*100,"""")"),1.5)</f>
        <v>1.5</v>
      </c>
      <c r="V209" s="15">
        <f>IFERROR(__xludf.DUMMYFUNCTION("IFERROR(PERCENTRANK.INC(FILTER(S:S,$F:$F&lt;&gt;""""),S209)*100,"""")"),1.5)</f>
        <v>1.5</v>
      </c>
      <c r="W209" s="15" t="str">
        <f t="shared" si="4"/>
        <v/>
      </c>
      <c r="X209" s="16"/>
      <c r="Y209" s="9"/>
      <c r="Z209" s="9"/>
    </row>
    <row r="210">
      <c r="B210" t="str">
        <f t="array" ref="B210">IFERROR(INDEX('Player Raw Data'!E:E,Match($A210,'Player Raw Data'!$B:$B,0)),"")</f>
        <v/>
      </c>
      <c r="C210" t="str">
        <f t="array" ref="C210">IFERROR(INDEX('Player Raw Data'!C:C,Match($A210,'Player Raw Data'!$B:$B,0)),"")</f>
        <v/>
      </c>
      <c r="D210" t="str">
        <f t="array" ref="D210">IFERROR(IF(A210=A209, INDEX('Player Raw Data'!D:D,Match($A210,'Player Raw Data'!$B:$B,0)+2),INDEX('Player Raw Data'!D:D,Match($A210,'Player Raw Data'!$B:$B,0))),"")</f>
        <v/>
      </c>
      <c r="E210" t="str">
        <f t="array" ref="E210">IFERROR(INDEX('Player Raw Data'!F:F,Match($A210,'Player Raw Data'!$B:$B,0)),"")</f>
        <v/>
      </c>
      <c r="F210" t="str">
        <f t="array" ref="F210">IFERROR(INDEX('Player Raw Data'!H:H,Match($A210,'Player Raw Data'!$B:$B,0)),"")</f>
        <v/>
      </c>
      <c r="G210" t="str">
        <f t="array" ref="G210">IFERROR(INDEX('Player Raw Data'!I:I,Match($A210,'Player Raw Data'!$B:$B,0)),"")</f>
        <v/>
      </c>
      <c r="H210" t="str">
        <f t="array" ref="H210">IFERROR(INDEX('Player Raw Data'!J:J,Match($A210,'Player Raw Data'!$B:$B,0)),"")</f>
        <v/>
      </c>
      <c r="I210" t="str">
        <f t="array" ref="I210">IFERROR(INDEX('Player Raw Data'!S:S,Match($A210,'Player Raw Data'!$B:$B,0)),"")</f>
        <v/>
      </c>
      <c r="J210" t="str">
        <f t="array" ref="J210">IFERROR(INDEX('Player Raw Data'!T:T,Match($A210,'Player Raw Data'!$B:$B,0)),"")</f>
        <v/>
      </c>
      <c r="K210" t="str">
        <f t="array" ref="K210">IFERROR(INDEX('Player Raw Data'!X:X,Match($A210,'Player Raw Data'!$B:$B,0)),"")</f>
        <v/>
      </c>
      <c r="L210" t="str">
        <f t="array" ref="L210">IFERROR(INDEX('Player Raw Data'!Y:Y,Match($A210,'Player Raw Data'!$B:$B,0)),"")</f>
        <v/>
      </c>
      <c r="M210" t="str">
        <f t="array" ref="M210">IFERROR(INDEX('Player Raw Data'!Z:Z,Match($A210,'Player Raw Data'!$B:$B,0)),"")</f>
        <v/>
      </c>
      <c r="N210" t="str">
        <f t="array" ref="N210">IFERROR(INDEX('Player Raw Data'!AA:AA,Match($A210,'Player Raw Data'!$B:$B,0)),"")</f>
        <v/>
      </c>
      <c r="O210" t="str">
        <f t="array" ref="O210">IFERROR(INDEX('Player Raw Data'!AB:AB,Match($A210,'Player Raw Data'!$B:$B,0)),"")</f>
        <v/>
      </c>
      <c r="P210" t="str">
        <f t="array" ref="P210">IFERROR(INDEX('Player Raw Data'!AD:AD,Match($A210,'Player Raw Data'!$B:$B,0)),"")</f>
        <v/>
      </c>
      <c r="Q210">
        <f t="shared" si="1"/>
        <v>0</v>
      </c>
      <c r="R210" s="9">
        <f t="shared" si="2"/>
        <v>0</v>
      </c>
      <c r="S210" s="14">
        <f t="shared" si="3"/>
        <v>0</v>
      </c>
      <c r="T210" s="15">
        <f>IFERROR(__xludf.DUMMYFUNCTION("IFERROR(PERCENTRANK.INC(FILTER(Q:Q,$F:$F&lt;&gt;""""),Q210)*100,"""")"),1.5)</f>
        <v>1.5</v>
      </c>
      <c r="U210" s="15">
        <f>IFERROR(__xludf.DUMMYFUNCTION("IFERROR(PERCENTRANK.INC(FILTER(R:R,$F:$F&lt;&gt;""""),R210)*100,"""")"),1.5)</f>
        <v>1.5</v>
      </c>
      <c r="V210" s="15">
        <f>IFERROR(__xludf.DUMMYFUNCTION("IFERROR(PERCENTRANK.INC(FILTER(S:S,$F:$F&lt;&gt;""""),S210)*100,"""")"),1.5)</f>
        <v>1.5</v>
      </c>
      <c r="W210" s="15" t="str">
        <f t="shared" si="4"/>
        <v/>
      </c>
      <c r="X210" s="16"/>
      <c r="Y210" s="9"/>
      <c r="Z210" s="9"/>
    </row>
    <row r="211">
      <c r="B211" t="str">
        <f t="array" ref="B211">IFERROR(INDEX('Player Raw Data'!E:E,Match($A211,'Player Raw Data'!$B:$B,0)),"")</f>
        <v/>
      </c>
      <c r="C211" t="str">
        <f t="array" ref="C211">IFERROR(INDEX('Player Raw Data'!C:C,Match($A211,'Player Raw Data'!$B:$B,0)),"")</f>
        <v/>
      </c>
      <c r="D211" t="str">
        <f t="array" ref="D211">IFERROR(IF(A211=A210, INDEX('Player Raw Data'!D:D,Match($A211,'Player Raw Data'!$B:$B,0)+2),INDEX('Player Raw Data'!D:D,Match($A211,'Player Raw Data'!$B:$B,0))),"")</f>
        <v/>
      </c>
      <c r="E211" t="str">
        <f t="array" ref="E211">IFERROR(INDEX('Player Raw Data'!F:F,Match($A211,'Player Raw Data'!$B:$B,0)),"")</f>
        <v/>
      </c>
      <c r="F211" t="str">
        <f t="array" ref="F211">IFERROR(INDEX('Player Raw Data'!H:H,Match($A211,'Player Raw Data'!$B:$B,0)),"")</f>
        <v/>
      </c>
      <c r="G211" t="str">
        <f t="array" ref="G211">IFERROR(INDEX('Player Raw Data'!I:I,Match($A211,'Player Raw Data'!$B:$B,0)),"")</f>
        <v/>
      </c>
      <c r="H211" t="str">
        <f t="array" ref="H211">IFERROR(INDEX('Player Raw Data'!J:J,Match($A211,'Player Raw Data'!$B:$B,0)),"")</f>
        <v/>
      </c>
      <c r="I211" t="str">
        <f t="array" ref="I211">IFERROR(INDEX('Player Raw Data'!S:S,Match($A211,'Player Raw Data'!$B:$B,0)),"")</f>
        <v/>
      </c>
      <c r="J211" t="str">
        <f t="array" ref="J211">IFERROR(INDEX('Player Raw Data'!T:T,Match($A211,'Player Raw Data'!$B:$B,0)),"")</f>
        <v/>
      </c>
      <c r="K211" t="str">
        <f t="array" ref="K211">IFERROR(INDEX('Player Raw Data'!X:X,Match($A211,'Player Raw Data'!$B:$B,0)),"")</f>
        <v/>
      </c>
      <c r="L211" t="str">
        <f t="array" ref="L211">IFERROR(INDEX('Player Raw Data'!Y:Y,Match($A211,'Player Raw Data'!$B:$B,0)),"")</f>
        <v/>
      </c>
      <c r="M211" t="str">
        <f t="array" ref="M211">IFERROR(INDEX('Player Raw Data'!Z:Z,Match($A211,'Player Raw Data'!$B:$B,0)),"")</f>
        <v/>
      </c>
      <c r="N211" t="str">
        <f t="array" ref="N211">IFERROR(INDEX('Player Raw Data'!AA:AA,Match($A211,'Player Raw Data'!$B:$B,0)),"")</f>
        <v/>
      </c>
      <c r="O211" t="str">
        <f t="array" ref="O211">IFERROR(INDEX('Player Raw Data'!AB:AB,Match($A211,'Player Raw Data'!$B:$B,0)),"")</f>
        <v/>
      </c>
      <c r="P211" t="str">
        <f t="array" ref="P211">IFERROR(INDEX('Player Raw Data'!AD:AD,Match($A211,'Player Raw Data'!$B:$B,0)),"")</f>
        <v/>
      </c>
      <c r="Q211">
        <f t="shared" si="1"/>
        <v>0</v>
      </c>
      <c r="R211" s="9">
        <f t="shared" si="2"/>
        <v>0</v>
      </c>
      <c r="S211" s="14">
        <f t="shared" si="3"/>
        <v>0</v>
      </c>
      <c r="T211" s="15">
        <f>IFERROR(__xludf.DUMMYFUNCTION("IFERROR(PERCENTRANK.INC(FILTER(Q:Q,$F:$F&lt;&gt;""""),Q211)*100,"""")"),1.5)</f>
        <v>1.5</v>
      </c>
      <c r="U211" s="15">
        <f>IFERROR(__xludf.DUMMYFUNCTION("IFERROR(PERCENTRANK.INC(FILTER(R:R,$F:$F&lt;&gt;""""),R211)*100,"""")"),1.5)</f>
        <v>1.5</v>
      </c>
      <c r="V211" s="15">
        <f>IFERROR(__xludf.DUMMYFUNCTION("IFERROR(PERCENTRANK.INC(FILTER(S:S,$F:$F&lt;&gt;""""),S211)*100,"""")"),1.5)</f>
        <v>1.5</v>
      </c>
      <c r="W211" s="15" t="str">
        <f t="shared" si="4"/>
        <v/>
      </c>
      <c r="X211" s="16"/>
      <c r="Y211" s="9"/>
      <c r="Z211" s="9"/>
    </row>
    <row r="212">
      <c r="B212" t="str">
        <f t="array" ref="B212">IFERROR(INDEX('Player Raw Data'!E:E,Match($A212,'Player Raw Data'!$B:$B,0)),"")</f>
        <v/>
      </c>
      <c r="C212" t="str">
        <f t="array" ref="C212">IFERROR(INDEX('Player Raw Data'!C:C,Match($A212,'Player Raw Data'!$B:$B,0)),"")</f>
        <v/>
      </c>
      <c r="D212" t="str">
        <f t="array" ref="D212">IFERROR(IF(A212=A211, INDEX('Player Raw Data'!D:D,Match($A212,'Player Raw Data'!$B:$B,0)+2),INDEX('Player Raw Data'!D:D,Match($A212,'Player Raw Data'!$B:$B,0))),"")</f>
        <v/>
      </c>
      <c r="E212" t="str">
        <f t="array" ref="E212">IFERROR(INDEX('Player Raw Data'!F:F,Match($A212,'Player Raw Data'!$B:$B,0)),"")</f>
        <v/>
      </c>
      <c r="F212" t="str">
        <f t="array" ref="F212">IFERROR(INDEX('Player Raw Data'!H:H,Match($A212,'Player Raw Data'!$B:$B,0)),"")</f>
        <v/>
      </c>
      <c r="G212" t="str">
        <f t="array" ref="G212">IFERROR(INDEX('Player Raw Data'!I:I,Match($A212,'Player Raw Data'!$B:$B,0)),"")</f>
        <v/>
      </c>
      <c r="H212" t="str">
        <f t="array" ref="H212">IFERROR(INDEX('Player Raw Data'!J:J,Match($A212,'Player Raw Data'!$B:$B,0)),"")</f>
        <v/>
      </c>
      <c r="I212" t="str">
        <f t="array" ref="I212">IFERROR(INDEX('Player Raw Data'!S:S,Match($A212,'Player Raw Data'!$B:$B,0)),"")</f>
        <v/>
      </c>
      <c r="J212" t="str">
        <f t="array" ref="J212">IFERROR(INDEX('Player Raw Data'!T:T,Match($A212,'Player Raw Data'!$B:$B,0)),"")</f>
        <v/>
      </c>
      <c r="K212" t="str">
        <f t="array" ref="K212">IFERROR(INDEX('Player Raw Data'!X:X,Match($A212,'Player Raw Data'!$B:$B,0)),"")</f>
        <v/>
      </c>
      <c r="L212" t="str">
        <f t="array" ref="L212">IFERROR(INDEX('Player Raw Data'!Y:Y,Match($A212,'Player Raw Data'!$B:$B,0)),"")</f>
        <v/>
      </c>
      <c r="M212" t="str">
        <f t="array" ref="M212">IFERROR(INDEX('Player Raw Data'!Z:Z,Match($A212,'Player Raw Data'!$B:$B,0)),"")</f>
        <v/>
      </c>
      <c r="N212" t="str">
        <f t="array" ref="N212">IFERROR(INDEX('Player Raw Data'!AA:AA,Match($A212,'Player Raw Data'!$B:$B,0)),"")</f>
        <v/>
      </c>
      <c r="O212" t="str">
        <f t="array" ref="O212">IFERROR(INDEX('Player Raw Data'!AB:AB,Match($A212,'Player Raw Data'!$B:$B,0)),"")</f>
        <v/>
      </c>
      <c r="P212" t="str">
        <f t="array" ref="P212">IFERROR(INDEX('Player Raw Data'!AD:AD,Match($A212,'Player Raw Data'!$B:$B,0)),"")</f>
        <v/>
      </c>
      <c r="Q212">
        <f t="shared" si="1"/>
        <v>0</v>
      </c>
      <c r="R212" s="9">
        <f t="shared" si="2"/>
        <v>0</v>
      </c>
      <c r="S212" s="14">
        <f t="shared" si="3"/>
        <v>0</v>
      </c>
      <c r="T212" s="15">
        <f>IFERROR(__xludf.DUMMYFUNCTION("IFERROR(PERCENTRANK.INC(FILTER(Q:Q,$F:$F&lt;&gt;""""),Q212)*100,"""")"),1.5)</f>
        <v>1.5</v>
      </c>
      <c r="U212" s="15">
        <f>IFERROR(__xludf.DUMMYFUNCTION("IFERROR(PERCENTRANK.INC(FILTER(R:R,$F:$F&lt;&gt;""""),R212)*100,"""")"),1.5)</f>
        <v>1.5</v>
      </c>
      <c r="V212" s="15">
        <f>IFERROR(__xludf.DUMMYFUNCTION("IFERROR(PERCENTRANK.INC(FILTER(S:S,$F:$F&lt;&gt;""""),S212)*100,"""")"),1.5)</f>
        <v>1.5</v>
      </c>
      <c r="W212" s="15" t="str">
        <f t="shared" si="4"/>
        <v/>
      </c>
      <c r="X212" s="16"/>
      <c r="Y212" s="9"/>
      <c r="Z212" s="9"/>
    </row>
    <row r="213">
      <c r="B213" t="str">
        <f t="array" ref="B213">IFERROR(INDEX('Player Raw Data'!E:E,Match($A213,'Player Raw Data'!$B:$B,0)),"")</f>
        <v/>
      </c>
      <c r="C213" t="str">
        <f t="array" ref="C213">IFERROR(INDEX('Player Raw Data'!C:C,Match($A213,'Player Raw Data'!$B:$B,0)),"")</f>
        <v/>
      </c>
      <c r="D213" t="str">
        <f t="array" ref="D213">IFERROR(IF(A213=A212, INDEX('Player Raw Data'!D:D,Match($A213,'Player Raw Data'!$B:$B,0)+2),INDEX('Player Raw Data'!D:D,Match($A213,'Player Raw Data'!$B:$B,0))),"")</f>
        <v/>
      </c>
      <c r="E213" t="str">
        <f t="array" ref="E213">IFERROR(INDEX('Player Raw Data'!F:F,Match($A213,'Player Raw Data'!$B:$B,0)),"")</f>
        <v/>
      </c>
      <c r="F213" t="str">
        <f t="array" ref="F213">IFERROR(INDEX('Player Raw Data'!H:H,Match($A213,'Player Raw Data'!$B:$B,0)),"")</f>
        <v/>
      </c>
      <c r="G213" t="str">
        <f t="array" ref="G213">IFERROR(INDEX('Player Raw Data'!I:I,Match($A213,'Player Raw Data'!$B:$B,0)),"")</f>
        <v/>
      </c>
      <c r="H213" t="str">
        <f t="array" ref="H213">IFERROR(INDEX('Player Raw Data'!J:J,Match($A213,'Player Raw Data'!$B:$B,0)),"")</f>
        <v/>
      </c>
      <c r="I213" t="str">
        <f t="array" ref="I213">IFERROR(INDEX('Player Raw Data'!S:S,Match($A213,'Player Raw Data'!$B:$B,0)),"")</f>
        <v/>
      </c>
      <c r="J213" t="str">
        <f t="array" ref="J213">IFERROR(INDEX('Player Raw Data'!T:T,Match($A213,'Player Raw Data'!$B:$B,0)),"")</f>
        <v/>
      </c>
      <c r="K213" t="str">
        <f t="array" ref="K213">IFERROR(INDEX('Player Raw Data'!X:X,Match($A213,'Player Raw Data'!$B:$B,0)),"")</f>
        <v/>
      </c>
      <c r="L213" t="str">
        <f t="array" ref="L213">IFERROR(INDEX('Player Raw Data'!Y:Y,Match($A213,'Player Raw Data'!$B:$B,0)),"")</f>
        <v/>
      </c>
      <c r="M213" t="str">
        <f t="array" ref="M213">IFERROR(INDEX('Player Raw Data'!Z:Z,Match($A213,'Player Raw Data'!$B:$B,0)),"")</f>
        <v/>
      </c>
      <c r="N213" t="str">
        <f t="array" ref="N213">IFERROR(INDEX('Player Raw Data'!AA:AA,Match($A213,'Player Raw Data'!$B:$B,0)),"")</f>
        <v/>
      </c>
      <c r="O213" t="str">
        <f t="array" ref="O213">IFERROR(INDEX('Player Raw Data'!AB:AB,Match($A213,'Player Raw Data'!$B:$B,0)),"")</f>
        <v/>
      </c>
      <c r="P213" t="str">
        <f t="array" ref="P213">IFERROR(INDEX('Player Raw Data'!AD:AD,Match($A213,'Player Raw Data'!$B:$B,0)),"")</f>
        <v/>
      </c>
      <c r="Q213">
        <f t="shared" si="1"/>
        <v>0</v>
      </c>
      <c r="R213" s="9">
        <f t="shared" si="2"/>
        <v>0</v>
      </c>
      <c r="S213" s="14">
        <f t="shared" si="3"/>
        <v>0</v>
      </c>
      <c r="T213" s="15">
        <f>IFERROR(__xludf.DUMMYFUNCTION("IFERROR(PERCENTRANK.INC(FILTER(Q:Q,$F:$F&lt;&gt;""""),Q213)*100,"""")"),1.5)</f>
        <v>1.5</v>
      </c>
      <c r="U213" s="15">
        <f>IFERROR(__xludf.DUMMYFUNCTION("IFERROR(PERCENTRANK.INC(FILTER(R:R,$F:$F&lt;&gt;""""),R213)*100,"""")"),1.5)</f>
        <v>1.5</v>
      </c>
      <c r="V213" s="15">
        <f>IFERROR(__xludf.DUMMYFUNCTION("IFERROR(PERCENTRANK.INC(FILTER(S:S,$F:$F&lt;&gt;""""),S213)*100,"""")"),1.5)</f>
        <v>1.5</v>
      </c>
      <c r="W213" s="15" t="str">
        <f t="shared" si="4"/>
        <v/>
      </c>
      <c r="X213" s="16"/>
      <c r="Y213" s="9"/>
      <c r="Z213" s="9"/>
    </row>
    <row r="214">
      <c r="B214" t="str">
        <f t="array" ref="B214">IFERROR(INDEX('Player Raw Data'!E:E,Match($A214,'Player Raw Data'!$B:$B,0)),"")</f>
        <v/>
      </c>
      <c r="C214" t="str">
        <f t="array" ref="C214">IFERROR(INDEX('Player Raw Data'!C:C,Match($A214,'Player Raw Data'!$B:$B,0)),"")</f>
        <v/>
      </c>
      <c r="D214" t="str">
        <f t="array" ref="D214">IFERROR(IF(A214=A213, INDEX('Player Raw Data'!D:D,Match($A214,'Player Raw Data'!$B:$B,0)+2),INDEX('Player Raw Data'!D:D,Match($A214,'Player Raw Data'!$B:$B,0))),"")</f>
        <v/>
      </c>
      <c r="E214" t="str">
        <f t="array" ref="E214">IFERROR(INDEX('Player Raw Data'!F:F,Match($A214,'Player Raw Data'!$B:$B,0)),"")</f>
        <v/>
      </c>
      <c r="F214" t="str">
        <f t="array" ref="F214">IFERROR(INDEX('Player Raw Data'!H:H,Match($A214,'Player Raw Data'!$B:$B,0)),"")</f>
        <v/>
      </c>
      <c r="G214" t="str">
        <f t="array" ref="G214">IFERROR(INDEX('Player Raw Data'!I:I,Match($A214,'Player Raw Data'!$B:$B,0)),"")</f>
        <v/>
      </c>
      <c r="H214" t="str">
        <f t="array" ref="H214">IFERROR(INDEX('Player Raw Data'!J:J,Match($A214,'Player Raw Data'!$B:$B,0)),"")</f>
        <v/>
      </c>
      <c r="I214" t="str">
        <f t="array" ref="I214">IFERROR(INDEX('Player Raw Data'!S:S,Match($A214,'Player Raw Data'!$B:$B,0)),"")</f>
        <v/>
      </c>
      <c r="J214" t="str">
        <f t="array" ref="J214">IFERROR(INDEX('Player Raw Data'!T:T,Match($A214,'Player Raw Data'!$B:$B,0)),"")</f>
        <v/>
      </c>
      <c r="K214" t="str">
        <f t="array" ref="K214">IFERROR(INDEX('Player Raw Data'!X:X,Match($A214,'Player Raw Data'!$B:$B,0)),"")</f>
        <v/>
      </c>
      <c r="L214" t="str">
        <f t="array" ref="L214">IFERROR(INDEX('Player Raw Data'!Y:Y,Match($A214,'Player Raw Data'!$B:$B,0)),"")</f>
        <v/>
      </c>
      <c r="M214" t="str">
        <f t="array" ref="M214">IFERROR(INDEX('Player Raw Data'!Z:Z,Match($A214,'Player Raw Data'!$B:$B,0)),"")</f>
        <v/>
      </c>
      <c r="N214" t="str">
        <f t="array" ref="N214">IFERROR(INDEX('Player Raw Data'!AA:AA,Match($A214,'Player Raw Data'!$B:$B,0)),"")</f>
        <v/>
      </c>
      <c r="O214" t="str">
        <f t="array" ref="O214">IFERROR(INDEX('Player Raw Data'!AB:AB,Match($A214,'Player Raw Data'!$B:$B,0)),"")</f>
        <v/>
      </c>
      <c r="P214" t="str">
        <f t="array" ref="P214">IFERROR(INDEX('Player Raw Data'!AD:AD,Match($A214,'Player Raw Data'!$B:$B,0)),"")</f>
        <v/>
      </c>
      <c r="Q214">
        <f t="shared" si="1"/>
        <v>0</v>
      </c>
      <c r="R214" s="9">
        <f t="shared" si="2"/>
        <v>0</v>
      </c>
      <c r="S214" s="14">
        <f t="shared" si="3"/>
        <v>0</v>
      </c>
      <c r="T214" s="15">
        <f>IFERROR(__xludf.DUMMYFUNCTION("IFERROR(PERCENTRANK.INC(FILTER(Q:Q,$F:$F&lt;&gt;""""),Q214)*100,"""")"),1.5)</f>
        <v>1.5</v>
      </c>
      <c r="U214" s="15">
        <f>IFERROR(__xludf.DUMMYFUNCTION("IFERROR(PERCENTRANK.INC(FILTER(R:R,$F:$F&lt;&gt;""""),R214)*100,"""")"),1.5)</f>
        <v>1.5</v>
      </c>
      <c r="V214" s="15">
        <f>IFERROR(__xludf.DUMMYFUNCTION("IFERROR(PERCENTRANK.INC(FILTER(S:S,$F:$F&lt;&gt;""""),S214)*100,"""")"),1.5)</f>
        <v>1.5</v>
      </c>
      <c r="W214" s="15" t="str">
        <f t="shared" si="4"/>
        <v/>
      </c>
      <c r="X214" s="16"/>
      <c r="Y214" s="9"/>
      <c r="Z214" s="9"/>
    </row>
    <row r="215">
      <c r="B215" t="str">
        <f t="array" ref="B215">IFERROR(INDEX('Player Raw Data'!E:E,Match($A215,'Player Raw Data'!$B:$B,0)),"")</f>
        <v/>
      </c>
      <c r="C215" t="str">
        <f t="array" ref="C215">IFERROR(INDEX('Player Raw Data'!C:C,Match($A215,'Player Raw Data'!$B:$B,0)),"")</f>
        <v/>
      </c>
      <c r="D215" t="str">
        <f t="array" ref="D215">IFERROR(IF(A215=A214, INDEX('Player Raw Data'!D:D,Match($A215,'Player Raw Data'!$B:$B,0)+2),INDEX('Player Raw Data'!D:D,Match($A215,'Player Raw Data'!$B:$B,0))),"")</f>
        <v/>
      </c>
      <c r="E215" t="str">
        <f t="array" ref="E215">IFERROR(INDEX('Player Raw Data'!F:F,Match($A215,'Player Raw Data'!$B:$B,0)),"")</f>
        <v/>
      </c>
      <c r="F215" t="str">
        <f t="array" ref="F215">IFERROR(INDEX('Player Raw Data'!H:H,Match($A215,'Player Raw Data'!$B:$B,0)),"")</f>
        <v/>
      </c>
      <c r="G215" t="str">
        <f t="array" ref="G215">IFERROR(INDEX('Player Raw Data'!I:I,Match($A215,'Player Raw Data'!$B:$B,0)),"")</f>
        <v/>
      </c>
      <c r="H215" t="str">
        <f t="array" ref="H215">IFERROR(INDEX('Player Raw Data'!J:J,Match($A215,'Player Raw Data'!$B:$B,0)),"")</f>
        <v/>
      </c>
      <c r="I215" t="str">
        <f t="array" ref="I215">IFERROR(INDEX('Player Raw Data'!S:S,Match($A215,'Player Raw Data'!$B:$B,0)),"")</f>
        <v/>
      </c>
      <c r="J215" t="str">
        <f t="array" ref="J215">IFERROR(INDEX('Player Raw Data'!T:T,Match($A215,'Player Raw Data'!$B:$B,0)),"")</f>
        <v/>
      </c>
      <c r="K215" t="str">
        <f t="array" ref="K215">IFERROR(INDEX('Player Raw Data'!X:X,Match($A215,'Player Raw Data'!$B:$B,0)),"")</f>
        <v/>
      </c>
      <c r="L215" t="str">
        <f t="array" ref="L215">IFERROR(INDEX('Player Raw Data'!Y:Y,Match($A215,'Player Raw Data'!$B:$B,0)),"")</f>
        <v/>
      </c>
      <c r="M215" t="str">
        <f t="array" ref="M215">IFERROR(INDEX('Player Raw Data'!Z:Z,Match($A215,'Player Raw Data'!$B:$B,0)),"")</f>
        <v/>
      </c>
      <c r="N215" t="str">
        <f t="array" ref="N215">IFERROR(INDEX('Player Raw Data'!AA:AA,Match($A215,'Player Raw Data'!$B:$B,0)),"")</f>
        <v/>
      </c>
      <c r="O215" t="str">
        <f t="array" ref="O215">IFERROR(INDEX('Player Raw Data'!AB:AB,Match($A215,'Player Raw Data'!$B:$B,0)),"")</f>
        <v/>
      </c>
      <c r="P215" t="str">
        <f t="array" ref="P215">IFERROR(INDEX('Player Raw Data'!AD:AD,Match($A215,'Player Raw Data'!$B:$B,0)),"")</f>
        <v/>
      </c>
      <c r="Q215">
        <f t="shared" si="1"/>
        <v>0</v>
      </c>
      <c r="R215" s="9">
        <f t="shared" si="2"/>
        <v>0</v>
      </c>
      <c r="S215" s="14">
        <f t="shared" si="3"/>
        <v>0</v>
      </c>
      <c r="T215" s="15">
        <f>IFERROR(__xludf.DUMMYFUNCTION("IFERROR(PERCENTRANK.INC(FILTER(Q:Q,$F:$F&lt;&gt;""""),Q215)*100,"""")"),1.5)</f>
        <v>1.5</v>
      </c>
      <c r="U215" s="15">
        <f>IFERROR(__xludf.DUMMYFUNCTION("IFERROR(PERCENTRANK.INC(FILTER(R:R,$F:$F&lt;&gt;""""),R215)*100,"""")"),1.5)</f>
        <v>1.5</v>
      </c>
      <c r="V215" s="15">
        <f>IFERROR(__xludf.DUMMYFUNCTION("IFERROR(PERCENTRANK.INC(FILTER(S:S,$F:$F&lt;&gt;""""),S215)*100,"""")"),1.5)</f>
        <v>1.5</v>
      </c>
      <c r="W215" s="15" t="str">
        <f t="shared" si="4"/>
        <v/>
      </c>
      <c r="X215" s="16"/>
      <c r="Y215" s="9"/>
      <c r="Z215" s="9"/>
    </row>
    <row r="216">
      <c r="B216" t="str">
        <f t="array" ref="B216">IFERROR(INDEX('Player Raw Data'!E:E,Match($A216,'Player Raw Data'!$B:$B,0)),"")</f>
        <v/>
      </c>
      <c r="C216" t="str">
        <f t="array" ref="C216">IFERROR(INDEX('Player Raw Data'!C:C,Match($A216,'Player Raw Data'!$B:$B,0)),"")</f>
        <v/>
      </c>
      <c r="D216" t="str">
        <f t="array" ref="D216">IFERROR(IF(A216=A215, INDEX('Player Raw Data'!D:D,Match($A216,'Player Raw Data'!$B:$B,0)+2),INDEX('Player Raw Data'!D:D,Match($A216,'Player Raw Data'!$B:$B,0))),"")</f>
        <v/>
      </c>
      <c r="E216" t="str">
        <f t="array" ref="E216">IFERROR(INDEX('Player Raw Data'!F:F,Match($A216,'Player Raw Data'!$B:$B,0)),"")</f>
        <v/>
      </c>
      <c r="F216" t="str">
        <f t="array" ref="F216">IFERROR(INDEX('Player Raw Data'!H:H,Match($A216,'Player Raw Data'!$B:$B,0)),"")</f>
        <v/>
      </c>
      <c r="G216" t="str">
        <f t="array" ref="G216">IFERROR(INDEX('Player Raw Data'!I:I,Match($A216,'Player Raw Data'!$B:$B,0)),"")</f>
        <v/>
      </c>
      <c r="H216" t="str">
        <f t="array" ref="H216">IFERROR(INDEX('Player Raw Data'!J:J,Match($A216,'Player Raw Data'!$B:$B,0)),"")</f>
        <v/>
      </c>
      <c r="I216" t="str">
        <f t="array" ref="I216">IFERROR(INDEX('Player Raw Data'!S:S,Match($A216,'Player Raw Data'!$B:$B,0)),"")</f>
        <v/>
      </c>
      <c r="J216" t="str">
        <f t="array" ref="J216">IFERROR(INDEX('Player Raw Data'!T:T,Match($A216,'Player Raw Data'!$B:$B,0)),"")</f>
        <v/>
      </c>
      <c r="K216" t="str">
        <f t="array" ref="K216">IFERROR(INDEX('Player Raw Data'!X:X,Match($A216,'Player Raw Data'!$B:$B,0)),"")</f>
        <v/>
      </c>
      <c r="L216" t="str">
        <f t="array" ref="L216">IFERROR(INDEX('Player Raw Data'!Y:Y,Match($A216,'Player Raw Data'!$B:$B,0)),"")</f>
        <v/>
      </c>
      <c r="M216" t="str">
        <f t="array" ref="M216">IFERROR(INDEX('Player Raw Data'!Z:Z,Match($A216,'Player Raw Data'!$B:$B,0)),"")</f>
        <v/>
      </c>
      <c r="N216" t="str">
        <f t="array" ref="N216">IFERROR(INDEX('Player Raw Data'!AA:AA,Match($A216,'Player Raw Data'!$B:$B,0)),"")</f>
        <v/>
      </c>
      <c r="O216" t="str">
        <f t="array" ref="O216">IFERROR(INDEX('Player Raw Data'!AB:AB,Match($A216,'Player Raw Data'!$B:$B,0)),"")</f>
        <v/>
      </c>
      <c r="P216" t="str">
        <f t="array" ref="P216">IFERROR(INDEX('Player Raw Data'!AD:AD,Match($A216,'Player Raw Data'!$B:$B,0)),"")</f>
        <v/>
      </c>
      <c r="Q216">
        <f t="shared" si="1"/>
        <v>0</v>
      </c>
      <c r="R216" s="9">
        <f t="shared" si="2"/>
        <v>0</v>
      </c>
      <c r="S216" s="14">
        <f t="shared" si="3"/>
        <v>0</v>
      </c>
      <c r="T216" s="15">
        <f>IFERROR(__xludf.DUMMYFUNCTION("IFERROR(PERCENTRANK.INC(FILTER(Q:Q,$F:$F&lt;&gt;""""),Q216)*100,"""")"),1.5)</f>
        <v>1.5</v>
      </c>
      <c r="U216" s="15">
        <f>IFERROR(__xludf.DUMMYFUNCTION("IFERROR(PERCENTRANK.INC(FILTER(R:R,$F:$F&lt;&gt;""""),R216)*100,"""")"),1.5)</f>
        <v>1.5</v>
      </c>
      <c r="V216" s="15">
        <f>IFERROR(__xludf.DUMMYFUNCTION("IFERROR(PERCENTRANK.INC(FILTER(S:S,$F:$F&lt;&gt;""""),S216)*100,"""")"),1.5)</f>
        <v>1.5</v>
      </c>
      <c r="W216" s="15" t="str">
        <f t="shared" si="4"/>
        <v/>
      </c>
      <c r="X216" s="16"/>
      <c r="Y216" s="9"/>
      <c r="Z216" s="9"/>
    </row>
    <row r="217">
      <c r="B217" t="str">
        <f t="array" ref="B217">IFERROR(INDEX('Player Raw Data'!E:E,Match($A217,'Player Raw Data'!$B:$B,0)),"")</f>
        <v/>
      </c>
      <c r="C217" t="str">
        <f t="array" ref="C217">IFERROR(INDEX('Player Raw Data'!C:C,Match($A217,'Player Raw Data'!$B:$B,0)),"")</f>
        <v/>
      </c>
      <c r="D217" t="str">
        <f t="array" ref="D217">IFERROR(IF(A217=A216, INDEX('Player Raw Data'!D:D,Match($A217,'Player Raw Data'!$B:$B,0)+2),INDEX('Player Raw Data'!D:D,Match($A217,'Player Raw Data'!$B:$B,0))),"")</f>
        <v/>
      </c>
      <c r="E217" t="str">
        <f t="array" ref="E217">IFERROR(INDEX('Player Raw Data'!F:F,Match($A217,'Player Raw Data'!$B:$B,0)),"")</f>
        <v/>
      </c>
      <c r="F217" t="str">
        <f t="array" ref="F217">IFERROR(INDEX('Player Raw Data'!H:H,Match($A217,'Player Raw Data'!$B:$B,0)),"")</f>
        <v/>
      </c>
      <c r="G217" t="str">
        <f t="array" ref="G217">IFERROR(INDEX('Player Raw Data'!I:I,Match($A217,'Player Raw Data'!$B:$B,0)),"")</f>
        <v/>
      </c>
      <c r="H217" t="str">
        <f t="array" ref="H217">IFERROR(INDEX('Player Raw Data'!J:J,Match($A217,'Player Raw Data'!$B:$B,0)),"")</f>
        <v/>
      </c>
      <c r="I217" t="str">
        <f t="array" ref="I217">IFERROR(INDEX('Player Raw Data'!S:S,Match($A217,'Player Raw Data'!$B:$B,0)),"")</f>
        <v/>
      </c>
      <c r="J217" t="str">
        <f t="array" ref="J217">IFERROR(INDEX('Player Raw Data'!T:T,Match($A217,'Player Raw Data'!$B:$B,0)),"")</f>
        <v/>
      </c>
      <c r="K217" t="str">
        <f t="array" ref="K217">IFERROR(INDEX('Player Raw Data'!X:X,Match($A217,'Player Raw Data'!$B:$B,0)),"")</f>
        <v/>
      </c>
      <c r="L217" t="str">
        <f t="array" ref="L217">IFERROR(INDEX('Player Raw Data'!Y:Y,Match($A217,'Player Raw Data'!$B:$B,0)),"")</f>
        <v/>
      </c>
      <c r="M217" t="str">
        <f t="array" ref="M217">IFERROR(INDEX('Player Raw Data'!Z:Z,Match($A217,'Player Raw Data'!$B:$B,0)),"")</f>
        <v/>
      </c>
      <c r="N217" t="str">
        <f t="array" ref="N217">IFERROR(INDEX('Player Raw Data'!AA:AA,Match($A217,'Player Raw Data'!$B:$B,0)),"")</f>
        <v/>
      </c>
      <c r="O217" t="str">
        <f t="array" ref="O217">IFERROR(INDEX('Player Raw Data'!AB:AB,Match($A217,'Player Raw Data'!$B:$B,0)),"")</f>
        <v/>
      </c>
      <c r="P217" t="str">
        <f t="array" ref="P217">IFERROR(INDEX('Player Raw Data'!AD:AD,Match($A217,'Player Raw Data'!$B:$B,0)),"")</f>
        <v/>
      </c>
      <c r="Q217">
        <f t="shared" si="1"/>
        <v>0</v>
      </c>
      <c r="R217" s="9">
        <f t="shared" si="2"/>
        <v>0</v>
      </c>
      <c r="S217" s="14">
        <f t="shared" si="3"/>
        <v>0</v>
      </c>
      <c r="T217" s="15">
        <f>IFERROR(__xludf.DUMMYFUNCTION("IFERROR(PERCENTRANK.INC(FILTER(Q:Q,$F:$F&lt;&gt;""""),Q217)*100,"""")"),1.5)</f>
        <v>1.5</v>
      </c>
      <c r="U217" s="15">
        <f>IFERROR(__xludf.DUMMYFUNCTION("IFERROR(PERCENTRANK.INC(FILTER(R:R,$F:$F&lt;&gt;""""),R217)*100,"""")"),1.5)</f>
        <v>1.5</v>
      </c>
      <c r="V217" s="15">
        <f>IFERROR(__xludf.DUMMYFUNCTION("IFERROR(PERCENTRANK.INC(FILTER(S:S,$F:$F&lt;&gt;""""),S217)*100,"""")"),1.5)</f>
        <v>1.5</v>
      </c>
      <c r="W217" s="15" t="str">
        <f t="shared" si="4"/>
        <v/>
      </c>
      <c r="X217" s="16"/>
      <c r="Y217" s="9"/>
      <c r="Z217" s="9"/>
    </row>
    <row r="218">
      <c r="B218" t="str">
        <f t="array" ref="B218">IFERROR(INDEX('Player Raw Data'!E:E,Match($A218,'Player Raw Data'!$B:$B,0)),"")</f>
        <v/>
      </c>
      <c r="C218" t="str">
        <f t="array" ref="C218">IFERROR(INDEX('Player Raw Data'!C:C,Match($A218,'Player Raw Data'!$B:$B,0)),"")</f>
        <v/>
      </c>
      <c r="D218" t="str">
        <f t="array" ref="D218">IFERROR(IF(A218=A217, INDEX('Player Raw Data'!D:D,Match($A218,'Player Raw Data'!$B:$B,0)+2),INDEX('Player Raw Data'!D:D,Match($A218,'Player Raw Data'!$B:$B,0))),"")</f>
        <v/>
      </c>
      <c r="E218" t="str">
        <f t="array" ref="E218">IFERROR(INDEX('Player Raw Data'!F:F,Match($A218,'Player Raw Data'!$B:$B,0)),"")</f>
        <v/>
      </c>
      <c r="F218" t="str">
        <f t="array" ref="F218">IFERROR(INDEX('Player Raw Data'!H:H,Match($A218,'Player Raw Data'!$B:$B,0)),"")</f>
        <v/>
      </c>
      <c r="G218" t="str">
        <f t="array" ref="G218">IFERROR(INDEX('Player Raw Data'!I:I,Match($A218,'Player Raw Data'!$B:$B,0)),"")</f>
        <v/>
      </c>
      <c r="H218" t="str">
        <f t="array" ref="H218">IFERROR(INDEX('Player Raw Data'!J:J,Match($A218,'Player Raw Data'!$B:$B,0)),"")</f>
        <v/>
      </c>
      <c r="I218" t="str">
        <f t="array" ref="I218">IFERROR(INDEX('Player Raw Data'!S:S,Match($A218,'Player Raw Data'!$B:$B,0)),"")</f>
        <v/>
      </c>
      <c r="J218" t="str">
        <f t="array" ref="J218">IFERROR(INDEX('Player Raw Data'!T:T,Match($A218,'Player Raw Data'!$B:$B,0)),"")</f>
        <v/>
      </c>
      <c r="K218" t="str">
        <f t="array" ref="K218">IFERROR(INDEX('Player Raw Data'!X:X,Match($A218,'Player Raw Data'!$B:$B,0)),"")</f>
        <v/>
      </c>
      <c r="L218" t="str">
        <f t="array" ref="L218">IFERROR(INDEX('Player Raw Data'!Y:Y,Match($A218,'Player Raw Data'!$B:$B,0)),"")</f>
        <v/>
      </c>
      <c r="M218" t="str">
        <f t="array" ref="M218">IFERROR(INDEX('Player Raw Data'!Z:Z,Match($A218,'Player Raw Data'!$B:$B,0)),"")</f>
        <v/>
      </c>
      <c r="N218" t="str">
        <f t="array" ref="N218">IFERROR(INDEX('Player Raw Data'!AA:AA,Match($A218,'Player Raw Data'!$B:$B,0)),"")</f>
        <v/>
      </c>
      <c r="O218" t="str">
        <f t="array" ref="O218">IFERROR(INDEX('Player Raw Data'!AB:AB,Match($A218,'Player Raw Data'!$B:$B,0)),"")</f>
        <v/>
      </c>
      <c r="P218" t="str">
        <f t="array" ref="P218">IFERROR(INDEX('Player Raw Data'!AD:AD,Match($A218,'Player Raw Data'!$B:$B,0)),"")</f>
        <v/>
      </c>
      <c r="Q218">
        <f t="shared" si="1"/>
        <v>0</v>
      </c>
      <c r="R218" s="9">
        <f t="shared" si="2"/>
        <v>0</v>
      </c>
      <c r="S218" s="14">
        <f t="shared" si="3"/>
        <v>0</v>
      </c>
      <c r="T218" s="15">
        <f>IFERROR(__xludf.DUMMYFUNCTION("IFERROR(PERCENTRANK.INC(FILTER(Q:Q,$F:$F&lt;&gt;""""),Q218)*100,"""")"),1.5)</f>
        <v>1.5</v>
      </c>
      <c r="U218" s="15">
        <f>IFERROR(__xludf.DUMMYFUNCTION("IFERROR(PERCENTRANK.INC(FILTER(R:R,$F:$F&lt;&gt;""""),R218)*100,"""")"),1.5)</f>
        <v>1.5</v>
      </c>
      <c r="V218" s="15">
        <f>IFERROR(__xludf.DUMMYFUNCTION("IFERROR(PERCENTRANK.INC(FILTER(S:S,$F:$F&lt;&gt;""""),S218)*100,"""")"),1.5)</f>
        <v>1.5</v>
      </c>
      <c r="W218" s="15" t="str">
        <f t="shared" si="4"/>
        <v/>
      </c>
      <c r="X218" s="16"/>
      <c r="Y218" s="9"/>
      <c r="Z218" s="9"/>
    </row>
    <row r="219">
      <c r="B219" t="str">
        <f t="array" ref="B219">IFERROR(INDEX('Player Raw Data'!E:E,Match($A219,'Player Raw Data'!$B:$B,0)),"")</f>
        <v/>
      </c>
      <c r="C219" t="str">
        <f t="array" ref="C219">IFERROR(INDEX('Player Raw Data'!C:C,Match($A219,'Player Raw Data'!$B:$B,0)),"")</f>
        <v/>
      </c>
      <c r="D219" t="str">
        <f t="array" ref="D219">IFERROR(IF(A219=A218, INDEX('Player Raw Data'!D:D,Match($A219,'Player Raw Data'!$B:$B,0)+2),INDEX('Player Raw Data'!D:D,Match($A219,'Player Raw Data'!$B:$B,0))),"")</f>
        <v/>
      </c>
      <c r="E219" t="str">
        <f t="array" ref="E219">IFERROR(INDEX('Player Raw Data'!F:F,Match($A219,'Player Raw Data'!$B:$B,0)),"")</f>
        <v/>
      </c>
      <c r="F219" t="str">
        <f t="array" ref="F219">IFERROR(INDEX('Player Raw Data'!H:H,Match($A219,'Player Raw Data'!$B:$B,0)),"")</f>
        <v/>
      </c>
      <c r="G219" t="str">
        <f t="array" ref="G219">IFERROR(INDEX('Player Raw Data'!I:I,Match($A219,'Player Raw Data'!$B:$B,0)),"")</f>
        <v/>
      </c>
      <c r="H219" t="str">
        <f t="array" ref="H219">IFERROR(INDEX('Player Raw Data'!J:J,Match($A219,'Player Raw Data'!$B:$B,0)),"")</f>
        <v/>
      </c>
      <c r="I219" t="str">
        <f t="array" ref="I219">IFERROR(INDEX('Player Raw Data'!S:S,Match($A219,'Player Raw Data'!$B:$B,0)),"")</f>
        <v/>
      </c>
      <c r="J219" t="str">
        <f t="array" ref="J219">IFERROR(INDEX('Player Raw Data'!T:T,Match($A219,'Player Raw Data'!$B:$B,0)),"")</f>
        <v/>
      </c>
      <c r="K219" t="str">
        <f t="array" ref="K219">IFERROR(INDEX('Player Raw Data'!X:X,Match($A219,'Player Raw Data'!$B:$B,0)),"")</f>
        <v/>
      </c>
      <c r="L219" t="str">
        <f t="array" ref="L219">IFERROR(INDEX('Player Raw Data'!Y:Y,Match($A219,'Player Raw Data'!$B:$B,0)),"")</f>
        <v/>
      </c>
      <c r="M219" t="str">
        <f t="array" ref="M219">IFERROR(INDEX('Player Raw Data'!Z:Z,Match($A219,'Player Raw Data'!$B:$B,0)),"")</f>
        <v/>
      </c>
      <c r="N219" t="str">
        <f t="array" ref="N219">IFERROR(INDEX('Player Raw Data'!AA:AA,Match($A219,'Player Raw Data'!$B:$B,0)),"")</f>
        <v/>
      </c>
      <c r="O219" t="str">
        <f t="array" ref="O219">IFERROR(INDEX('Player Raw Data'!AB:AB,Match($A219,'Player Raw Data'!$B:$B,0)),"")</f>
        <v/>
      </c>
      <c r="P219" t="str">
        <f t="array" ref="P219">IFERROR(INDEX('Player Raw Data'!AD:AD,Match($A219,'Player Raw Data'!$B:$B,0)),"")</f>
        <v/>
      </c>
      <c r="Q219">
        <f t="shared" si="1"/>
        <v>0</v>
      </c>
      <c r="R219" s="9">
        <f t="shared" si="2"/>
        <v>0</v>
      </c>
      <c r="S219" s="14">
        <f t="shared" si="3"/>
        <v>0</v>
      </c>
      <c r="T219" s="15">
        <f>IFERROR(__xludf.DUMMYFUNCTION("IFERROR(PERCENTRANK.INC(FILTER(Q:Q,$F:$F&lt;&gt;""""),Q219)*100,"""")"),1.5)</f>
        <v>1.5</v>
      </c>
      <c r="U219" s="15">
        <f>IFERROR(__xludf.DUMMYFUNCTION("IFERROR(PERCENTRANK.INC(FILTER(R:R,$F:$F&lt;&gt;""""),R219)*100,"""")"),1.5)</f>
        <v>1.5</v>
      </c>
      <c r="V219" s="15">
        <f>IFERROR(__xludf.DUMMYFUNCTION("IFERROR(PERCENTRANK.INC(FILTER(S:S,$F:$F&lt;&gt;""""),S219)*100,"""")"),1.5)</f>
        <v>1.5</v>
      </c>
      <c r="W219" s="15" t="str">
        <f t="shared" si="4"/>
        <v/>
      </c>
      <c r="X219" s="16"/>
      <c r="Y219" s="9"/>
      <c r="Z219" s="9"/>
    </row>
    <row r="220">
      <c r="B220" t="str">
        <f t="array" ref="B220">IFERROR(INDEX('Player Raw Data'!E:E,Match($A220,'Player Raw Data'!$B:$B,0)),"")</f>
        <v/>
      </c>
      <c r="C220" t="str">
        <f t="array" ref="C220">IFERROR(INDEX('Player Raw Data'!C:C,Match($A220,'Player Raw Data'!$B:$B,0)),"")</f>
        <v/>
      </c>
      <c r="D220" t="str">
        <f t="array" ref="D220">IFERROR(IF(A220=A219, INDEX('Player Raw Data'!D:D,Match($A220,'Player Raw Data'!$B:$B,0)+2),INDEX('Player Raw Data'!D:D,Match($A220,'Player Raw Data'!$B:$B,0))),"")</f>
        <v/>
      </c>
      <c r="E220" t="str">
        <f t="array" ref="E220">IFERROR(INDEX('Player Raw Data'!F:F,Match($A220,'Player Raw Data'!$B:$B,0)),"")</f>
        <v/>
      </c>
      <c r="F220" t="str">
        <f t="array" ref="F220">IFERROR(INDEX('Player Raw Data'!H:H,Match($A220,'Player Raw Data'!$B:$B,0)),"")</f>
        <v/>
      </c>
      <c r="G220" t="str">
        <f t="array" ref="G220">IFERROR(INDEX('Player Raw Data'!I:I,Match($A220,'Player Raw Data'!$B:$B,0)),"")</f>
        <v/>
      </c>
      <c r="H220" t="str">
        <f t="array" ref="H220">IFERROR(INDEX('Player Raw Data'!J:J,Match($A220,'Player Raw Data'!$B:$B,0)),"")</f>
        <v/>
      </c>
      <c r="I220" t="str">
        <f t="array" ref="I220">IFERROR(INDEX('Player Raw Data'!S:S,Match($A220,'Player Raw Data'!$B:$B,0)),"")</f>
        <v/>
      </c>
      <c r="J220" t="str">
        <f t="array" ref="J220">IFERROR(INDEX('Player Raw Data'!T:T,Match($A220,'Player Raw Data'!$B:$B,0)),"")</f>
        <v/>
      </c>
      <c r="K220" t="str">
        <f t="array" ref="K220">IFERROR(INDEX('Player Raw Data'!X:X,Match($A220,'Player Raw Data'!$B:$B,0)),"")</f>
        <v/>
      </c>
      <c r="L220" t="str">
        <f t="array" ref="L220">IFERROR(INDEX('Player Raw Data'!Y:Y,Match($A220,'Player Raw Data'!$B:$B,0)),"")</f>
        <v/>
      </c>
      <c r="M220" t="str">
        <f t="array" ref="M220">IFERROR(INDEX('Player Raw Data'!Z:Z,Match($A220,'Player Raw Data'!$B:$B,0)),"")</f>
        <v/>
      </c>
      <c r="N220" t="str">
        <f t="array" ref="N220">IFERROR(INDEX('Player Raw Data'!AA:AA,Match($A220,'Player Raw Data'!$B:$B,0)),"")</f>
        <v/>
      </c>
      <c r="O220" t="str">
        <f t="array" ref="O220">IFERROR(INDEX('Player Raw Data'!AB:AB,Match($A220,'Player Raw Data'!$B:$B,0)),"")</f>
        <v/>
      </c>
      <c r="P220" t="str">
        <f t="array" ref="P220">IFERROR(INDEX('Player Raw Data'!AD:AD,Match($A220,'Player Raw Data'!$B:$B,0)),"")</f>
        <v/>
      </c>
      <c r="Q220">
        <f t="shared" si="1"/>
        <v>0</v>
      </c>
      <c r="R220" s="9">
        <f t="shared" si="2"/>
        <v>0</v>
      </c>
      <c r="S220" s="14">
        <f t="shared" si="3"/>
        <v>0</v>
      </c>
      <c r="T220" s="15">
        <f>IFERROR(__xludf.DUMMYFUNCTION("IFERROR(PERCENTRANK.INC(FILTER(Q:Q,$F:$F&lt;&gt;""""),Q220)*100,"""")"),1.5)</f>
        <v>1.5</v>
      </c>
      <c r="U220" s="15">
        <f>IFERROR(__xludf.DUMMYFUNCTION("IFERROR(PERCENTRANK.INC(FILTER(R:R,$F:$F&lt;&gt;""""),R220)*100,"""")"),1.5)</f>
        <v>1.5</v>
      </c>
      <c r="V220" s="15">
        <f>IFERROR(__xludf.DUMMYFUNCTION("IFERROR(PERCENTRANK.INC(FILTER(S:S,$F:$F&lt;&gt;""""),S220)*100,"""")"),1.5)</f>
        <v>1.5</v>
      </c>
      <c r="W220" s="15" t="str">
        <f t="shared" si="4"/>
        <v/>
      </c>
      <c r="X220" s="16"/>
      <c r="Y220" s="9"/>
      <c r="Z220" s="9"/>
    </row>
    <row r="221">
      <c r="B221" t="str">
        <f t="array" ref="B221">IFERROR(INDEX('Player Raw Data'!E:E,Match($A221,'Player Raw Data'!$B:$B,0)),"")</f>
        <v/>
      </c>
      <c r="C221" t="str">
        <f t="array" ref="C221">IFERROR(INDEX('Player Raw Data'!C:C,Match($A221,'Player Raw Data'!$B:$B,0)),"")</f>
        <v/>
      </c>
      <c r="D221" t="str">
        <f t="array" ref="D221">IFERROR(IF(A221=A220, INDEX('Player Raw Data'!D:D,Match($A221,'Player Raw Data'!$B:$B,0)+2),INDEX('Player Raw Data'!D:D,Match($A221,'Player Raw Data'!$B:$B,0))),"")</f>
        <v/>
      </c>
      <c r="E221" t="str">
        <f t="array" ref="E221">IFERROR(INDEX('Player Raw Data'!F:F,Match($A221,'Player Raw Data'!$B:$B,0)),"")</f>
        <v/>
      </c>
      <c r="F221" t="str">
        <f t="array" ref="F221">IFERROR(INDEX('Player Raw Data'!H:H,Match($A221,'Player Raw Data'!$B:$B,0)),"")</f>
        <v/>
      </c>
      <c r="G221" t="str">
        <f t="array" ref="G221">IFERROR(INDEX('Player Raw Data'!I:I,Match($A221,'Player Raw Data'!$B:$B,0)),"")</f>
        <v/>
      </c>
      <c r="H221" t="str">
        <f t="array" ref="H221">IFERROR(INDEX('Player Raw Data'!J:J,Match($A221,'Player Raw Data'!$B:$B,0)),"")</f>
        <v/>
      </c>
      <c r="I221" t="str">
        <f t="array" ref="I221">IFERROR(INDEX('Player Raw Data'!S:S,Match($A221,'Player Raw Data'!$B:$B,0)),"")</f>
        <v/>
      </c>
      <c r="J221" t="str">
        <f t="array" ref="J221">IFERROR(INDEX('Player Raw Data'!T:T,Match($A221,'Player Raw Data'!$B:$B,0)),"")</f>
        <v/>
      </c>
      <c r="K221" t="str">
        <f t="array" ref="K221">IFERROR(INDEX('Player Raw Data'!X:X,Match($A221,'Player Raw Data'!$B:$B,0)),"")</f>
        <v/>
      </c>
      <c r="L221" t="str">
        <f t="array" ref="L221">IFERROR(INDEX('Player Raw Data'!Y:Y,Match($A221,'Player Raw Data'!$B:$B,0)),"")</f>
        <v/>
      </c>
      <c r="M221" t="str">
        <f t="array" ref="M221">IFERROR(INDEX('Player Raw Data'!Z:Z,Match($A221,'Player Raw Data'!$B:$B,0)),"")</f>
        <v/>
      </c>
      <c r="N221" t="str">
        <f t="array" ref="N221">IFERROR(INDEX('Player Raw Data'!AA:AA,Match($A221,'Player Raw Data'!$B:$B,0)),"")</f>
        <v/>
      </c>
      <c r="O221" t="str">
        <f t="array" ref="O221">IFERROR(INDEX('Player Raw Data'!AB:AB,Match($A221,'Player Raw Data'!$B:$B,0)),"")</f>
        <v/>
      </c>
      <c r="P221" t="str">
        <f t="array" ref="P221">IFERROR(INDEX('Player Raw Data'!AD:AD,Match($A221,'Player Raw Data'!$B:$B,0)),"")</f>
        <v/>
      </c>
      <c r="Q221">
        <f t="shared" si="1"/>
        <v>0</v>
      </c>
      <c r="R221" s="9">
        <f t="shared" si="2"/>
        <v>0</v>
      </c>
      <c r="S221" s="14">
        <f t="shared" si="3"/>
        <v>0</v>
      </c>
      <c r="T221" s="15">
        <f>IFERROR(__xludf.DUMMYFUNCTION("IFERROR(PERCENTRANK.INC(FILTER(Q:Q,$F:$F&lt;&gt;""""),Q221)*100,"""")"),1.5)</f>
        <v>1.5</v>
      </c>
      <c r="U221" s="15">
        <f>IFERROR(__xludf.DUMMYFUNCTION("IFERROR(PERCENTRANK.INC(FILTER(R:R,$F:$F&lt;&gt;""""),R221)*100,"""")"),1.5)</f>
        <v>1.5</v>
      </c>
      <c r="V221" s="15">
        <f>IFERROR(__xludf.DUMMYFUNCTION("IFERROR(PERCENTRANK.INC(FILTER(S:S,$F:$F&lt;&gt;""""),S221)*100,"""")"),1.5)</f>
        <v>1.5</v>
      </c>
      <c r="W221" s="15" t="str">
        <f t="shared" si="4"/>
        <v/>
      </c>
      <c r="X221" s="16"/>
      <c r="Y221" s="9"/>
      <c r="Z221" s="9"/>
    </row>
    <row r="222">
      <c r="B222" t="str">
        <f t="array" ref="B222">IFERROR(INDEX('Player Raw Data'!E:E,Match($A222,'Player Raw Data'!$B:$B,0)),"")</f>
        <v/>
      </c>
      <c r="C222" t="str">
        <f t="array" ref="C222">IFERROR(INDEX('Player Raw Data'!C:C,Match($A222,'Player Raw Data'!$B:$B,0)),"")</f>
        <v/>
      </c>
      <c r="D222" t="str">
        <f t="array" ref="D222">IFERROR(IF(A222=A221, INDEX('Player Raw Data'!D:D,Match($A222,'Player Raw Data'!$B:$B,0)+2),INDEX('Player Raw Data'!D:D,Match($A222,'Player Raw Data'!$B:$B,0))),"")</f>
        <v/>
      </c>
      <c r="E222" t="str">
        <f t="array" ref="E222">IFERROR(INDEX('Player Raw Data'!F:F,Match($A222,'Player Raw Data'!$B:$B,0)),"")</f>
        <v/>
      </c>
      <c r="F222" t="str">
        <f t="array" ref="F222">IFERROR(INDEX('Player Raw Data'!H:H,Match($A222,'Player Raw Data'!$B:$B,0)),"")</f>
        <v/>
      </c>
      <c r="G222" t="str">
        <f t="array" ref="G222">IFERROR(INDEX('Player Raw Data'!I:I,Match($A222,'Player Raw Data'!$B:$B,0)),"")</f>
        <v/>
      </c>
      <c r="H222" t="str">
        <f t="array" ref="H222">IFERROR(INDEX('Player Raw Data'!J:J,Match($A222,'Player Raw Data'!$B:$B,0)),"")</f>
        <v/>
      </c>
      <c r="I222" t="str">
        <f t="array" ref="I222">IFERROR(INDEX('Player Raw Data'!S:S,Match($A222,'Player Raw Data'!$B:$B,0)),"")</f>
        <v/>
      </c>
      <c r="J222" t="str">
        <f t="array" ref="J222">IFERROR(INDEX('Player Raw Data'!T:T,Match($A222,'Player Raw Data'!$B:$B,0)),"")</f>
        <v/>
      </c>
      <c r="K222" t="str">
        <f t="array" ref="K222">IFERROR(INDEX('Player Raw Data'!X:X,Match($A222,'Player Raw Data'!$B:$B,0)),"")</f>
        <v/>
      </c>
      <c r="L222" t="str">
        <f t="array" ref="L222">IFERROR(INDEX('Player Raw Data'!Y:Y,Match($A222,'Player Raw Data'!$B:$B,0)),"")</f>
        <v/>
      </c>
      <c r="M222" t="str">
        <f t="array" ref="M222">IFERROR(INDEX('Player Raw Data'!Z:Z,Match($A222,'Player Raw Data'!$B:$B,0)),"")</f>
        <v/>
      </c>
      <c r="N222" t="str">
        <f t="array" ref="N222">IFERROR(INDEX('Player Raw Data'!AA:AA,Match($A222,'Player Raw Data'!$B:$B,0)),"")</f>
        <v/>
      </c>
      <c r="O222" t="str">
        <f t="array" ref="O222">IFERROR(INDEX('Player Raw Data'!AB:AB,Match($A222,'Player Raw Data'!$B:$B,0)),"")</f>
        <v/>
      </c>
      <c r="P222" t="str">
        <f t="array" ref="P222">IFERROR(INDEX('Player Raw Data'!AD:AD,Match($A222,'Player Raw Data'!$B:$B,0)),"")</f>
        <v/>
      </c>
      <c r="Q222">
        <f t="shared" si="1"/>
        <v>0</v>
      </c>
      <c r="R222" s="9">
        <f t="shared" si="2"/>
        <v>0</v>
      </c>
      <c r="S222" s="14">
        <f t="shared" si="3"/>
        <v>0</v>
      </c>
      <c r="T222" s="15">
        <f>IFERROR(__xludf.DUMMYFUNCTION("IFERROR(PERCENTRANK.INC(FILTER(Q:Q,$F:$F&lt;&gt;""""),Q222)*100,"""")"),1.5)</f>
        <v>1.5</v>
      </c>
      <c r="U222" s="15">
        <f>IFERROR(__xludf.DUMMYFUNCTION("IFERROR(PERCENTRANK.INC(FILTER(R:R,$F:$F&lt;&gt;""""),R222)*100,"""")"),1.5)</f>
        <v>1.5</v>
      </c>
      <c r="V222" s="15">
        <f>IFERROR(__xludf.DUMMYFUNCTION("IFERROR(PERCENTRANK.INC(FILTER(S:S,$F:$F&lt;&gt;""""),S222)*100,"""")"),1.5)</f>
        <v>1.5</v>
      </c>
      <c r="W222" s="15" t="str">
        <f t="shared" si="4"/>
        <v/>
      </c>
      <c r="X222" s="16"/>
      <c r="Y222" s="9"/>
      <c r="Z222" s="9"/>
    </row>
    <row r="223">
      <c r="B223" t="str">
        <f t="array" ref="B223">IFERROR(INDEX('Player Raw Data'!E:E,Match($A223,'Player Raw Data'!$B:$B,0)),"")</f>
        <v/>
      </c>
      <c r="C223" t="str">
        <f t="array" ref="C223">IFERROR(INDEX('Player Raw Data'!C:C,Match($A223,'Player Raw Data'!$B:$B,0)),"")</f>
        <v/>
      </c>
      <c r="D223" t="str">
        <f t="array" ref="D223">IFERROR(IF(A223=A222, INDEX('Player Raw Data'!D:D,Match($A223,'Player Raw Data'!$B:$B,0)+2),INDEX('Player Raw Data'!D:D,Match($A223,'Player Raw Data'!$B:$B,0))),"")</f>
        <v/>
      </c>
      <c r="E223" t="str">
        <f t="array" ref="E223">IFERROR(INDEX('Player Raw Data'!F:F,Match($A223,'Player Raw Data'!$B:$B,0)),"")</f>
        <v/>
      </c>
      <c r="F223" t="str">
        <f t="array" ref="F223">IFERROR(INDEX('Player Raw Data'!H:H,Match($A223,'Player Raw Data'!$B:$B,0)),"")</f>
        <v/>
      </c>
      <c r="G223" t="str">
        <f t="array" ref="G223">IFERROR(INDEX('Player Raw Data'!I:I,Match($A223,'Player Raw Data'!$B:$B,0)),"")</f>
        <v/>
      </c>
      <c r="H223" t="str">
        <f t="array" ref="H223">IFERROR(INDEX('Player Raw Data'!J:J,Match($A223,'Player Raw Data'!$B:$B,0)),"")</f>
        <v/>
      </c>
      <c r="I223" t="str">
        <f t="array" ref="I223">IFERROR(INDEX('Player Raw Data'!S:S,Match($A223,'Player Raw Data'!$B:$B,0)),"")</f>
        <v/>
      </c>
      <c r="J223" t="str">
        <f t="array" ref="J223">IFERROR(INDEX('Player Raw Data'!T:T,Match($A223,'Player Raw Data'!$B:$B,0)),"")</f>
        <v/>
      </c>
      <c r="K223" t="str">
        <f t="array" ref="K223">IFERROR(INDEX('Player Raw Data'!X:X,Match($A223,'Player Raw Data'!$B:$B,0)),"")</f>
        <v/>
      </c>
      <c r="L223" t="str">
        <f t="array" ref="L223">IFERROR(INDEX('Player Raw Data'!Y:Y,Match($A223,'Player Raw Data'!$B:$B,0)),"")</f>
        <v/>
      </c>
      <c r="M223" t="str">
        <f t="array" ref="M223">IFERROR(INDEX('Player Raw Data'!Z:Z,Match($A223,'Player Raw Data'!$B:$B,0)),"")</f>
        <v/>
      </c>
      <c r="N223" t="str">
        <f t="array" ref="N223">IFERROR(INDEX('Player Raw Data'!AA:AA,Match($A223,'Player Raw Data'!$B:$B,0)),"")</f>
        <v/>
      </c>
      <c r="O223" t="str">
        <f t="array" ref="O223">IFERROR(INDEX('Player Raw Data'!AB:AB,Match($A223,'Player Raw Data'!$B:$B,0)),"")</f>
        <v/>
      </c>
      <c r="P223" t="str">
        <f t="array" ref="P223">IFERROR(INDEX('Player Raw Data'!AD:AD,Match($A223,'Player Raw Data'!$B:$B,0)),"")</f>
        <v/>
      </c>
      <c r="Q223">
        <f t="shared" si="1"/>
        <v>0</v>
      </c>
      <c r="R223" s="9">
        <f t="shared" si="2"/>
        <v>0</v>
      </c>
      <c r="S223" s="14">
        <f t="shared" si="3"/>
        <v>0</v>
      </c>
      <c r="T223" s="15">
        <f>IFERROR(__xludf.DUMMYFUNCTION("IFERROR(PERCENTRANK.INC(FILTER(Q:Q,$F:$F&lt;&gt;""""),Q223)*100,"""")"),1.5)</f>
        <v>1.5</v>
      </c>
      <c r="U223" s="15">
        <f>IFERROR(__xludf.DUMMYFUNCTION("IFERROR(PERCENTRANK.INC(FILTER(R:R,$F:$F&lt;&gt;""""),R223)*100,"""")"),1.5)</f>
        <v>1.5</v>
      </c>
      <c r="V223" s="15">
        <f>IFERROR(__xludf.DUMMYFUNCTION("IFERROR(PERCENTRANK.INC(FILTER(S:S,$F:$F&lt;&gt;""""),S223)*100,"""")"),1.5)</f>
        <v>1.5</v>
      </c>
      <c r="W223" s="15" t="str">
        <f t="shared" si="4"/>
        <v/>
      </c>
      <c r="X223" s="16"/>
      <c r="Y223" s="9"/>
      <c r="Z223" s="9"/>
    </row>
    <row r="224">
      <c r="B224" t="str">
        <f t="array" ref="B224">IFERROR(INDEX('Player Raw Data'!E:E,Match($A224,'Player Raw Data'!$B:$B,0)),"")</f>
        <v/>
      </c>
      <c r="C224" t="str">
        <f t="array" ref="C224">IFERROR(INDEX('Player Raw Data'!C:C,Match($A224,'Player Raw Data'!$B:$B,0)),"")</f>
        <v/>
      </c>
      <c r="D224" t="str">
        <f t="array" ref="D224">IFERROR(IF(A224=A223, INDEX('Player Raw Data'!D:D,Match($A224,'Player Raw Data'!$B:$B,0)+2),INDEX('Player Raw Data'!D:D,Match($A224,'Player Raw Data'!$B:$B,0))),"")</f>
        <v/>
      </c>
      <c r="E224" t="str">
        <f t="array" ref="E224">IFERROR(INDEX('Player Raw Data'!F:F,Match($A224,'Player Raw Data'!$B:$B,0)),"")</f>
        <v/>
      </c>
      <c r="F224" t="str">
        <f t="array" ref="F224">IFERROR(INDEX('Player Raw Data'!H:H,Match($A224,'Player Raw Data'!$B:$B,0)),"")</f>
        <v/>
      </c>
      <c r="G224" t="str">
        <f t="array" ref="G224">IFERROR(INDEX('Player Raw Data'!I:I,Match($A224,'Player Raw Data'!$B:$B,0)),"")</f>
        <v/>
      </c>
      <c r="H224" t="str">
        <f t="array" ref="H224">IFERROR(INDEX('Player Raw Data'!J:J,Match($A224,'Player Raw Data'!$B:$B,0)),"")</f>
        <v/>
      </c>
      <c r="I224" t="str">
        <f t="array" ref="I224">IFERROR(INDEX('Player Raw Data'!S:S,Match($A224,'Player Raw Data'!$B:$B,0)),"")</f>
        <v/>
      </c>
      <c r="J224" t="str">
        <f t="array" ref="J224">IFERROR(INDEX('Player Raw Data'!T:T,Match($A224,'Player Raw Data'!$B:$B,0)),"")</f>
        <v/>
      </c>
      <c r="K224" t="str">
        <f t="array" ref="K224">IFERROR(INDEX('Player Raw Data'!X:X,Match($A224,'Player Raw Data'!$B:$B,0)),"")</f>
        <v/>
      </c>
      <c r="L224" t="str">
        <f t="array" ref="L224">IFERROR(INDEX('Player Raw Data'!Y:Y,Match($A224,'Player Raw Data'!$B:$B,0)),"")</f>
        <v/>
      </c>
      <c r="M224" t="str">
        <f t="array" ref="M224">IFERROR(INDEX('Player Raw Data'!Z:Z,Match($A224,'Player Raw Data'!$B:$B,0)),"")</f>
        <v/>
      </c>
      <c r="N224" t="str">
        <f t="array" ref="N224">IFERROR(INDEX('Player Raw Data'!AA:AA,Match($A224,'Player Raw Data'!$B:$B,0)),"")</f>
        <v/>
      </c>
      <c r="O224" t="str">
        <f t="array" ref="O224">IFERROR(INDEX('Player Raw Data'!AB:AB,Match($A224,'Player Raw Data'!$B:$B,0)),"")</f>
        <v/>
      </c>
      <c r="P224" t="str">
        <f t="array" ref="P224">IFERROR(INDEX('Player Raw Data'!AD:AD,Match($A224,'Player Raw Data'!$B:$B,0)),"")</f>
        <v/>
      </c>
      <c r="Q224">
        <f t="shared" si="1"/>
        <v>0</v>
      </c>
      <c r="R224" s="9">
        <f t="shared" si="2"/>
        <v>0</v>
      </c>
      <c r="S224" s="14">
        <f t="shared" si="3"/>
        <v>0</v>
      </c>
      <c r="T224" s="15">
        <f>IFERROR(__xludf.DUMMYFUNCTION("IFERROR(PERCENTRANK.INC(FILTER(Q:Q,$F:$F&lt;&gt;""""),Q224)*100,"""")"),1.5)</f>
        <v>1.5</v>
      </c>
      <c r="U224" s="15">
        <f>IFERROR(__xludf.DUMMYFUNCTION("IFERROR(PERCENTRANK.INC(FILTER(R:R,$F:$F&lt;&gt;""""),R224)*100,"""")"),1.5)</f>
        <v>1.5</v>
      </c>
      <c r="V224" s="15">
        <f>IFERROR(__xludf.DUMMYFUNCTION("IFERROR(PERCENTRANK.INC(FILTER(S:S,$F:$F&lt;&gt;""""),S224)*100,"""")"),1.5)</f>
        <v>1.5</v>
      </c>
      <c r="W224" s="15" t="str">
        <f t="shared" si="4"/>
        <v/>
      </c>
      <c r="X224" s="16"/>
      <c r="Y224" s="9"/>
      <c r="Z224" s="9"/>
    </row>
    <row r="225">
      <c r="B225" t="str">
        <f t="array" ref="B225">IFERROR(INDEX('Player Raw Data'!E:E,Match($A225,'Player Raw Data'!$B:$B,0)),"")</f>
        <v/>
      </c>
      <c r="C225" t="str">
        <f t="array" ref="C225">IFERROR(INDEX('Player Raw Data'!C:C,Match($A225,'Player Raw Data'!$B:$B,0)),"")</f>
        <v/>
      </c>
      <c r="D225" t="str">
        <f t="array" ref="D225">IFERROR(IF(A225=A224, INDEX('Player Raw Data'!D:D,Match($A225,'Player Raw Data'!$B:$B,0)+2),INDEX('Player Raw Data'!D:D,Match($A225,'Player Raw Data'!$B:$B,0))),"")</f>
        <v/>
      </c>
      <c r="E225" t="str">
        <f t="array" ref="E225">IFERROR(INDEX('Player Raw Data'!F:F,Match($A225,'Player Raw Data'!$B:$B,0)),"")</f>
        <v/>
      </c>
      <c r="F225" t="str">
        <f t="array" ref="F225">IFERROR(INDEX('Player Raw Data'!H:H,Match($A225,'Player Raw Data'!$B:$B,0)),"")</f>
        <v/>
      </c>
      <c r="G225" t="str">
        <f t="array" ref="G225">IFERROR(INDEX('Player Raw Data'!I:I,Match($A225,'Player Raw Data'!$B:$B,0)),"")</f>
        <v/>
      </c>
      <c r="H225" t="str">
        <f t="array" ref="H225">IFERROR(INDEX('Player Raw Data'!J:J,Match($A225,'Player Raw Data'!$B:$B,0)),"")</f>
        <v/>
      </c>
      <c r="I225" t="str">
        <f t="array" ref="I225">IFERROR(INDEX('Player Raw Data'!S:S,Match($A225,'Player Raw Data'!$B:$B,0)),"")</f>
        <v/>
      </c>
      <c r="J225" t="str">
        <f t="array" ref="J225">IFERROR(INDEX('Player Raw Data'!T:T,Match($A225,'Player Raw Data'!$B:$B,0)),"")</f>
        <v/>
      </c>
      <c r="K225" t="str">
        <f t="array" ref="K225">IFERROR(INDEX('Player Raw Data'!X:X,Match($A225,'Player Raw Data'!$B:$B,0)),"")</f>
        <v/>
      </c>
      <c r="L225" t="str">
        <f t="array" ref="L225">IFERROR(INDEX('Player Raw Data'!Y:Y,Match($A225,'Player Raw Data'!$B:$B,0)),"")</f>
        <v/>
      </c>
      <c r="M225" t="str">
        <f t="array" ref="M225">IFERROR(INDEX('Player Raw Data'!Z:Z,Match($A225,'Player Raw Data'!$B:$B,0)),"")</f>
        <v/>
      </c>
      <c r="N225" t="str">
        <f t="array" ref="N225">IFERROR(INDEX('Player Raw Data'!AA:AA,Match($A225,'Player Raw Data'!$B:$B,0)),"")</f>
        <v/>
      </c>
      <c r="O225" t="str">
        <f t="array" ref="O225">IFERROR(INDEX('Player Raw Data'!AB:AB,Match($A225,'Player Raw Data'!$B:$B,0)),"")</f>
        <v/>
      </c>
      <c r="P225" t="str">
        <f t="array" ref="P225">IFERROR(INDEX('Player Raw Data'!AD:AD,Match($A225,'Player Raw Data'!$B:$B,0)),"")</f>
        <v/>
      </c>
      <c r="Q225">
        <f t="shared" si="1"/>
        <v>0</v>
      </c>
      <c r="R225" s="9">
        <f t="shared" si="2"/>
        <v>0</v>
      </c>
      <c r="S225" s="14">
        <f t="shared" si="3"/>
        <v>0</v>
      </c>
      <c r="T225" s="15">
        <f>IFERROR(__xludf.DUMMYFUNCTION("IFERROR(PERCENTRANK.INC(FILTER(Q:Q,$F:$F&lt;&gt;""""),Q225)*100,"""")"),1.5)</f>
        <v>1.5</v>
      </c>
      <c r="U225" s="15">
        <f>IFERROR(__xludf.DUMMYFUNCTION("IFERROR(PERCENTRANK.INC(FILTER(R:R,$F:$F&lt;&gt;""""),R225)*100,"""")"),1.5)</f>
        <v>1.5</v>
      </c>
      <c r="V225" s="15">
        <f>IFERROR(__xludf.DUMMYFUNCTION("IFERROR(PERCENTRANK.INC(FILTER(S:S,$F:$F&lt;&gt;""""),S225)*100,"""")"),1.5)</f>
        <v>1.5</v>
      </c>
      <c r="W225" s="15" t="str">
        <f t="shared" si="4"/>
        <v/>
      </c>
      <c r="X225" s="16"/>
      <c r="Y225" s="9"/>
      <c r="Z225" s="9"/>
    </row>
    <row r="226">
      <c r="B226" t="str">
        <f t="array" ref="B226">IFERROR(INDEX('Player Raw Data'!E:E,Match($A226,'Player Raw Data'!$B:$B,0)),"")</f>
        <v/>
      </c>
      <c r="C226" t="str">
        <f t="array" ref="C226">IFERROR(INDEX('Player Raw Data'!C:C,Match($A226,'Player Raw Data'!$B:$B,0)),"")</f>
        <v/>
      </c>
      <c r="D226" t="str">
        <f t="array" ref="D226">IFERROR(IF(A226=A225, INDEX('Player Raw Data'!D:D,Match($A226,'Player Raw Data'!$B:$B,0)+2),INDEX('Player Raw Data'!D:D,Match($A226,'Player Raw Data'!$B:$B,0))),"")</f>
        <v/>
      </c>
      <c r="E226" t="str">
        <f t="array" ref="E226">IFERROR(INDEX('Player Raw Data'!F:F,Match($A226,'Player Raw Data'!$B:$B,0)),"")</f>
        <v/>
      </c>
      <c r="F226" t="str">
        <f t="array" ref="F226">IFERROR(INDEX('Player Raw Data'!H:H,Match($A226,'Player Raw Data'!$B:$B,0)),"")</f>
        <v/>
      </c>
      <c r="G226" t="str">
        <f t="array" ref="G226">IFERROR(INDEX('Player Raw Data'!I:I,Match($A226,'Player Raw Data'!$B:$B,0)),"")</f>
        <v/>
      </c>
      <c r="H226" t="str">
        <f t="array" ref="H226">IFERROR(INDEX('Player Raw Data'!J:J,Match($A226,'Player Raw Data'!$B:$B,0)),"")</f>
        <v/>
      </c>
      <c r="I226" t="str">
        <f t="array" ref="I226">IFERROR(INDEX('Player Raw Data'!S:S,Match($A226,'Player Raw Data'!$B:$B,0)),"")</f>
        <v/>
      </c>
      <c r="J226" t="str">
        <f t="array" ref="J226">IFERROR(INDEX('Player Raw Data'!T:T,Match($A226,'Player Raw Data'!$B:$B,0)),"")</f>
        <v/>
      </c>
      <c r="K226" t="str">
        <f t="array" ref="K226">IFERROR(INDEX('Player Raw Data'!X:X,Match($A226,'Player Raw Data'!$B:$B,0)),"")</f>
        <v/>
      </c>
      <c r="L226" t="str">
        <f t="array" ref="L226">IFERROR(INDEX('Player Raw Data'!Y:Y,Match($A226,'Player Raw Data'!$B:$B,0)),"")</f>
        <v/>
      </c>
      <c r="M226" t="str">
        <f t="array" ref="M226">IFERROR(INDEX('Player Raw Data'!Z:Z,Match($A226,'Player Raw Data'!$B:$B,0)),"")</f>
        <v/>
      </c>
      <c r="N226" t="str">
        <f t="array" ref="N226">IFERROR(INDEX('Player Raw Data'!AA:AA,Match($A226,'Player Raw Data'!$B:$B,0)),"")</f>
        <v/>
      </c>
      <c r="O226" t="str">
        <f t="array" ref="O226">IFERROR(INDEX('Player Raw Data'!AB:AB,Match($A226,'Player Raw Data'!$B:$B,0)),"")</f>
        <v/>
      </c>
      <c r="P226" t="str">
        <f t="array" ref="P226">IFERROR(INDEX('Player Raw Data'!AD:AD,Match($A226,'Player Raw Data'!$B:$B,0)),"")</f>
        <v/>
      </c>
      <c r="Q226">
        <f t="shared" si="1"/>
        <v>0</v>
      </c>
      <c r="R226" s="9">
        <f t="shared" si="2"/>
        <v>0</v>
      </c>
      <c r="S226" s="14">
        <f t="shared" si="3"/>
        <v>0</v>
      </c>
      <c r="T226" s="15">
        <f>IFERROR(__xludf.DUMMYFUNCTION("IFERROR(PERCENTRANK.INC(FILTER(Q:Q,$F:$F&lt;&gt;""""),Q226)*100,"""")"),1.5)</f>
        <v>1.5</v>
      </c>
      <c r="U226" s="15">
        <f>IFERROR(__xludf.DUMMYFUNCTION("IFERROR(PERCENTRANK.INC(FILTER(R:R,$F:$F&lt;&gt;""""),R226)*100,"""")"),1.5)</f>
        <v>1.5</v>
      </c>
      <c r="V226" s="15">
        <f>IFERROR(__xludf.DUMMYFUNCTION("IFERROR(PERCENTRANK.INC(FILTER(S:S,$F:$F&lt;&gt;""""),S226)*100,"""")"),1.5)</f>
        <v>1.5</v>
      </c>
      <c r="W226" s="15" t="str">
        <f t="shared" si="4"/>
        <v/>
      </c>
      <c r="X226" s="16"/>
      <c r="Y226" s="9"/>
      <c r="Z226" s="9"/>
    </row>
    <row r="227">
      <c r="B227" t="str">
        <f t="array" ref="B227">IFERROR(INDEX('Player Raw Data'!E:E,Match($A227,'Player Raw Data'!$B:$B,0)),"")</f>
        <v/>
      </c>
      <c r="C227" t="str">
        <f t="array" ref="C227">IFERROR(INDEX('Player Raw Data'!C:C,Match($A227,'Player Raw Data'!$B:$B,0)),"")</f>
        <v/>
      </c>
      <c r="D227" t="str">
        <f t="array" ref="D227">IFERROR(IF(A227=A226, INDEX('Player Raw Data'!D:D,Match($A227,'Player Raw Data'!$B:$B,0)+2),INDEX('Player Raw Data'!D:D,Match($A227,'Player Raw Data'!$B:$B,0))),"")</f>
        <v/>
      </c>
      <c r="E227" t="str">
        <f t="array" ref="E227">IFERROR(INDEX('Player Raw Data'!F:F,Match($A227,'Player Raw Data'!$B:$B,0)),"")</f>
        <v/>
      </c>
      <c r="F227" t="str">
        <f t="array" ref="F227">IFERROR(INDEX('Player Raw Data'!H:H,Match($A227,'Player Raw Data'!$B:$B,0)),"")</f>
        <v/>
      </c>
      <c r="G227" t="str">
        <f t="array" ref="G227">IFERROR(INDEX('Player Raw Data'!I:I,Match($A227,'Player Raw Data'!$B:$B,0)),"")</f>
        <v/>
      </c>
      <c r="H227" t="str">
        <f t="array" ref="H227">IFERROR(INDEX('Player Raw Data'!J:J,Match($A227,'Player Raw Data'!$B:$B,0)),"")</f>
        <v/>
      </c>
      <c r="I227" t="str">
        <f t="array" ref="I227">IFERROR(INDEX('Player Raw Data'!S:S,Match($A227,'Player Raw Data'!$B:$B,0)),"")</f>
        <v/>
      </c>
      <c r="J227" t="str">
        <f t="array" ref="J227">IFERROR(INDEX('Player Raw Data'!T:T,Match($A227,'Player Raw Data'!$B:$B,0)),"")</f>
        <v/>
      </c>
      <c r="K227" t="str">
        <f t="array" ref="K227">IFERROR(INDEX('Player Raw Data'!X:X,Match($A227,'Player Raw Data'!$B:$B,0)),"")</f>
        <v/>
      </c>
      <c r="L227" t="str">
        <f t="array" ref="L227">IFERROR(INDEX('Player Raw Data'!Y:Y,Match($A227,'Player Raw Data'!$B:$B,0)),"")</f>
        <v/>
      </c>
      <c r="M227" t="str">
        <f t="array" ref="M227">IFERROR(INDEX('Player Raw Data'!Z:Z,Match($A227,'Player Raw Data'!$B:$B,0)),"")</f>
        <v/>
      </c>
      <c r="N227" t="str">
        <f t="array" ref="N227">IFERROR(INDEX('Player Raw Data'!AA:AA,Match($A227,'Player Raw Data'!$B:$B,0)),"")</f>
        <v/>
      </c>
      <c r="O227" t="str">
        <f t="array" ref="O227">IFERROR(INDEX('Player Raw Data'!AB:AB,Match($A227,'Player Raw Data'!$B:$B,0)),"")</f>
        <v/>
      </c>
      <c r="P227" t="str">
        <f t="array" ref="P227">IFERROR(INDEX('Player Raw Data'!AD:AD,Match($A227,'Player Raw Data'!$B:$B,0)),"")</f>
        <v/>
      </c>
      <c r="Q227">
        <f t="shared" si="1"/>
        <v>0</v>
      </c>
      <c r="R227" s="9">
        <f t="shared" si="2"/>
        <v>0</v>
      </c>
      <c r="S227" s="14">
        <f t="shared" si="3"/>
        <v>0</v>
      </c>
      <c r="T227" s="15">
        <f>IFERROR(__xludf.DUMMYFUNCTION("IFERROR(PERCENTRANK.INC(FILTER(Q:Q,$F:$F&lt;&gt;""""),Q227)*100,"""")"),1.5)</f>
        <v>1.5</v>
      </c>
      <c r="U227" s="15">
        <f>IFERROR(__xludf.DUMMYFUNCTION("IFERROR(PERCENTRANK.INC(FILTER(R:R,$F:$F&lt;&gt;""""),R227)*100,"""")"),1.5)</f>
        <v>1.5</v>
      </c>
      <c r="V227" s="15">
        <f>IFERROR(__xludf.DUMMYFUNCTION("IFERROR(PERCENTRANK.INC(FILTER(S:S,$F:$F&lt;&gt;""""),S227)*100,"""")"),1.5)</f>
        <v>1.5</v>
      </c>
      <c r="W227" s="15" t="str">
        <f t="shared" si="4"/>
        <v/>
      </c>
      <c r="X227" s="16"/>
      <c r="Y227" s="9"/>
      <c r="Z227" s="9"/>
    </row>
    <row r="228">
      <c r="B228" t="str">
        <f t="array" ref="B228">IFERROR(INDEX('Player Raw Data'!E:E,Match($A228,'Player Raw Data'!$B:$B,0)),"")</f>
        <v/>
      </c>
      <c r="C228" t="str">
        <f t="array" ref="C228">IFERROR(INDEX('Player Raw Data'!C:C,Match($A228,'Player Raw Data'!$B:$B,0)),"")</f>
        <v/>
      </c>
      <c r="D228" t="str">
        <f t="array" ref="D228">IFERROR(IF(A228=A227, INDEX('Player Raw Data'!D:D,Match($A228,'Player Raw Data'!$B:$B,0)+2),INDEX('Player Raw Data'!D:D,Match($A228,'Player Raw Data'!$B:$B,0))),"")</f>
        <v/>
      </c>
      <c r="E228" t="str">
        <f t="array" ref="E228">IFERROR(INDEX('Player Raw Data'!F:F,Match($A228,'Player Raw Data'!$B:$B,0)),"")</f>
        <v/>
      </c>
      <c r="F228" t="str">
        <f t="array" ref="F228">IFERROR(INDEX('Player Raw Data'!H:H,Match($A228,'Player Raw Data'!$B:$B,0)),"")</f>
        <v/>
      </c>
      <c r="G228" t="str">
        <f t="array" ref="G228">IFERROR(INDEX('Player Raw Data'!I:I,Match($A228,'Player Raw Data'!$B:$B,0)),"")</f>
        <v/>
      </c>
      <c r="H228" t="str">
        <f t="array" ref="H228">IFERROR(INDEX('Player Raw Data'!J:J,Match($A228,'Player Raw Data'!$B:$B,0)),"")</f>
        <v/>
      </c>
      <c r="I228" t="str">
        <f t="array" ref="I228">IFERROR(INDEX('Player Raw Data'!S:S,Match($A228,'Player Raw Data'!$B:$B,0)),"")</f>
        <v/>
      </c>
      <c r="J228" t="str">
        <f t="array" ref="J228">IFERROR(INDEX('Player Raw Data'!T:T,Match($A228,'Player Raw Data'!$B:$B,0)),"")</f>
        <v/>
      </c>
      <c r="K228" t="str">
        <f t="array" ref="K228">IFERROR(INDEX('Player Raw Data'!X:X,Match($A228,'Player Raw Data'!$B:$B,0)),"")</f>
        <v/>
      </c>
      <c r="L228" t="str">
        <f t="array" ref="L228">IFERROR(INDEX('Player Raw Data'!Y:Y,Match($A228,'Player Raw Data'!$B:$B,0)),"")</f>
        <v/>
      </c>
      <c r="M228" t="str">
        <f t="array" ref="M228">IFERROR(INDEX('Player Raw Data'!Z:Z,Match($A228,'Player Raw Data'!$B:$B,0)),"")</f>
        <v/>
      </c>
      <c r="N228" t="str">
        <f t="array" ref="N228">IFERROR(INDEX('Player Raw Data'!AA:AA,Match($A228,'Player Raw Data'!$B:$B,0)),"")</f>
        <v/>
      </c>
      <c r="O228" t="str">
        <f t="array" ref="O228">IFERROR(INDEX('Player Raw Data'!AB:AB,Match($A228,'Player Raw Data'!$B:$B,0)),"")</f>
        <v/>
      </c>
      <c r="P228" t="str">
        <f t="array" ref="P228">IFERROR(INDEX('Player Raw Data'!AD:AD,Match($A228,'Player Raw Data'!$B:$B,0)),"")</f>
        <v/>
      </c>
      <c r="Q228">
        <f t="shared" si="1"/>
        <v>0</v>
      </c>
      <c r="R228" s="9">
        <f t="shared" si="2"/>
        <v>0</v>
      </c>
      <c r="S228" s="14">
        <f t="shared" si="3"/>
        <v>0</v>
      </c>
      <c r="T228" s="15">
        <f>IFERROR(__xludf.DUMMYFUNCTION("IFERROR(PERCENTRANK.INC(FILTER(Q:Q,$F:$F&lt;&gt;""""),Q228)*100,"""")"),1.5)</f>
        <v>1.5</v>
      </c>
      <c r="U228" s="15">
        <f>IFERROR(__xludf.DUMMYFUNCTION("IFERROR(PERCENTRANK.INC(FILTER(R:R,$F:$F&lt;&gt;""""),R228)*100,"""")"),1.5)</f>
        <v>1.5</v>
      </c>
      <c r="V228" s="15">
        <f>IFERROR(__xludf.DUMMYFUNCTION("IFERROR(PERCENTRANK.INC(FILTER(S:S,$F:$F&lt;&gt;""""),S228)*100,"""")"),1.5)</f>
        <v>1.5</v>
      </c>
      <c r="W228" s="15" t="str">
        <f t="shared" si="4"/>
        <v/>
      </c>
      <c r="X228" s="16"/>
      <c r="Y228" s="9"/>
      <c r="Z228" s="9"/>
    </row>
    <row r="229">
      <c r="B229" t="str">
        <f t="array" ref="B229">IFERROR(INDEX('Player Raw Data'!E:E,Match($A229,'Player Raw Data'!$B:$B,0)),"")</f>
        <v/>
      </c>
      <c r="C229" t="str">
        <f t="array" ref="C229">IFERROR(INDEX('Player Raw Data'!C:C,Match($A229,'Player Raw Data'!$B:$B,0)),"")</f>
        <v/>
      </c>
      <c r="D229" t="str">
        <f t="array" ref="D229">IFERROR(IF(A229=A228, INDEX('Player Raw Data'!D:D,Match($A229,'Player Raw Data'!$B:$B,0)+2),INDEX('Player Raw Data'!D:D,Match($A229,'Player Raw Data'!$B:$B,0))),"")</f>
        <v/>
      </c>
      <c r="E229" t="str">
        <f t="array" ref="E229">IFERROR(INDEX('Player Raw Data'!F:F,Match($A229,'Player Raw Data'!$B:$B,0)),"")</f>
        <v/>
      </c>
      <c r="F229" t="str">
        <f t="array" ref="F229">IFERROR(INDEX('Player Raw Data'!H:H,Match($A229,'Player Raw Data'!$B:$B,0)),"")</f>
        <v/>
      </c>
      <c r="G229" t="str">
        <f t="array" ref="G229">IFERROR(INDEX('Player Raw Data'!I:I,Match($A229,'Player Raw Data'!$B:$B,0)),"")</f>
        <v/>
      </c>
      <c r="H229" t="str">
        <f t="array" ref="H229">IFERROR(INDEX('Player Raw Data'!J:J,Match($A229,'Player Raw Data'!$B:$B,0)),"")</f>
        <v/>
      </c>
      <c r="I229" t="str">
        <f t="array" ref="I229">IFERROR(INDEX('Player Raw Data'!S:S,Match($A229,'Player Raw Data'!$B:$B,0)),"")</f>
        <v/>
      </c>
      <c r="J229" t="str">
        <f t="array" ref="J229">IFERROR(INDEX('Player Raw Data'!T:T,Match($A229,'Player Raw Data'!$B:$B,0)),"")</f>
        <v/>
      </c>
      <c r="K229" t="str">
        <f t="array" ref="K229">IFERROR(INDEX('Player Raw Data'!X:X,Match($A229,'Player Raw Data'!$B:$B,0)),"")</f>
        <v/>
      </c>
      <c r="L229" t="str">
        <f t="array" ref="L229">IFERROR(INDEX('Player Raw Data'!Y:Y,Match($A229,'Player Raw Data'!$B:$B,0)),"")</f>
        <v/>
      </c>
      <c r="M229" t="str">
        <f t="array" ref="M229">IFERROR(INDEX('Player Raw Data'!Z:Z,Match($A229,'Player Raw Data'!$B:$B,0)),"")</f>
        <v/>
      </c>
      <c r="N229" t="str">
        <f t="array" ref="N229">IFERROR(INDEX('Player Raw Data'!AA:AA,Match($A229,'Player Raw Data'!$B:$B,0)),"")</f>
        <v/>
      </c>
      <c r="O229" t="str">
        <f t="array" ref="O229">IFERROR(INDEX('Player Raw Data'!AB:AB,Match($A229,'Player Raw Data'!$B:$B,0)),"")</f>
        <v/>
      </c>
      <c r="P229" t="str">
        <f t="array" ref="P229">IFERROR(INDEX('Player Raw Data'!AD:AD,Match($A229,'Player Raw Data'!$B:$B,0)),"")</f>
        <v/>
      </c>
      <c r="Q229">
        <f t="shared" si="1"/>
        <v>0</v>
      </c>
      <c r="R229" s="9">
        <f t="shared" si="2"/>
        <v>0</v>
      </c>
      <c r="S229" s="14">
        <f t="shared" si="3"/>
        <v>0</v>
      </c>
      <c r="T229" s="15">
        <f>IFERROR(__xludf.DUMMYFUNCTION("IFERROR(PERCENTRANK.INC(FILTER(Q:Q,$F:$F&lt;&gt;""""),Q229)*100,"""")"),1.5)</f>
        <v>1.5</v>
      </c>
      <c r="U229" s="15">
        <f>IFERROR(__xludf.DUMMYFUNCTION("IFERROR(PERCENTRANK.INC(FILTER(R:R,$F:$F&lt;&gt;""""),R229)*100,"""")"),1.5)</f>
        <v>1.5</v>
      </c>
      <c r="V229" s="15">
        <f>IFERROR(__xludf.DUMMYFUNCTION("IFERROR(PERCENTRANK.INC(FILTER(S:S,$F:$F&lt;&gt;""""),S229)*100,"""")"),1.5)</f>
        <v>1.5</v>
      </c>
      <c r="W229" s="15" t="str">
        <f t="shared" si="4"/>
        <v/>
      </c>
      <c r="X229" s="16"/>
      <c r="Y229" s="9"/>
      <c r="Z229" s="9"/>
    </row>
    <row r="230">
      <c r="B230" t="str">
        <f t="array" ref="B230">IFERROR(INDEX('Player Raw Data'!E:E,Match($A230,'Player Raw Data'!$B:$B,0)),"")</f>
        <v/>
      </c>
      <c r="C230" t="str">
        <f t="array" ref="C230">IFERROR(INDEX('Player Raw Data'!C:C,Match($A230,'Player Raw Data'!$B:$B,0)),"")</f>
        <v/>
      </c>
      <c r="D230" t="str">
        <f t="array" ref="D230">IFERROR(IF(A230=A229, INDEX('Player Raw Data'!D:D,Match($A230,'Player Raw Data'!$B:$B,0)+2),INDEX('Player Raw Data'!D:D,Match($A230,'Player Raw Data'!$B:$B,0))),"")</f>
        <v/>
      </c>
      <c r="E230" t="str">
        <f t="array" ref="E230">IFERROR(INDEX('Player Raw Data'!F:F,Match($A230,'Player Raw Data'!$B:$B,0)),"")</f>
        <v/>
      </c>
      <c r="F230" t="str">
        <f t="array" ref="F230">IFERROR(INDEX('Player Raw Data'!H:H,Match($A230,'Player Raw Data'!$B:$B,0)),"")</f>
        <v/>
      </c>
      <c r="G230" t="str">
        <f t="array" ref="G230">IFERROR(INDEX('Player Raw Data'!I:I,Match($A230,'Player Raw Data'!$B:$B,0)),"")</f>
        <v/>
      </c>
      <c r="H230" t="str">
        <f t="array" ref="H230">IFERROR(INDEX('Player Raw Data'!J:J,Match($A230,'Player Raw Data'!$B:$B,0)),"")</f>
        <v/>
      </c>
      <c r="I230" t="str">
        <f t="array" ref="I230">IFERROR(INDEX('Player Raw Data'!S:S,Match($A230,'Player Raw Data'!$B:$B,0)),"")</f>
        <v/>
      </c>
      <c r="J230" t="str">
        <f t="array" ref="J230">IFERROR(INDEX('Player Raw Data'!T:T,Match($A230,'Player Raw Data'!$B:$B,0)),"")</f>
        <v/>
      </c>
      <c r="K230" t="str">
        <f t="array" ref="K230">IFERROR(INDEX('Player Raw Data'!X:X,Match($A230,'Player Raw Data'!$B:$B,0)),"")</f>
        <v/>
      </c>
      <c r="L230" t="str">
        <f t="array" ref="L230">IFERROR(INDEX('Player Raw Data'!Y:Y,Match($A230,'Player Raw Data'!$B:$B,0)),"")</f>
        <v/>
      </c>
      <c r="M230" t="str">
        <f t="array" ref="M230">IFERROR(INDEX('Player Raw Data'!Z:Z,Match($A230,'Player Raw Data'!$B:$B,0)),"")</f>
        <v/>
      </c>
      <c r="N230" t="str">
        <f t="array" ref="N230">IFERROR(INDEX('Player Raw Data'!AA:AA,Match($A230,'Player Raw Data'!$B:$B,0)),"")</f>
        <v/>
      </c>
      <c r="O230" t="str">
        <f t="array" ref="O230">IFERROR(INDEX('Player Raw Data'!AB:AB,Match($A230,'Player Raw Data'!$B:$B,0)),"")</f>
        <v/>
      </c>
      <c r="P230" t="str">
        <f t="array" ref="P230">IFERROR(INDEX('Player Raw Data'!AD:AD,Match($A230,'Player Raw Data'!$B:$B,0)),"")</f>
        <v/>
      </c>
      <c r="Q230">
        <f t="shared" si="1"/>
        <v>0</v>
      </c>
      <c r="R230" s="9">
        <f t="shared" si="2"/>
        <v>0</v>
      </c>
      <c r="S230" s="14">
        <f t="shared" si="3"/>
        <v>0</v>
      </c>
      <c r="T230" s="15">
        <f>IFERROR(__xludf.DUMMYFUNCTION("IFERROR(PERCENTRANK.INC(FILTER(Q:Q,$F:$F&lt;&gt;""""),Q230)*100,"""")"),1.5)</f>
        <v>1.5</v>
      </c>
      <c r="U230" s="15">
        <f>IFERROR(__xludf.DUMMYFUNCTION("IFERROR(PERCENTRANK.INC(FILTER(R:R,$F:$F&lt;&gt;""""),R230)*100,"""")"),1.5)</f>
        <v>1.5</v>
      </c>
      <c r="V230" s="15">
        <f>IFERROR(__xludf.DUMMYFUNCTION("IFERROR(PERCENTRANK.INC(FILTER(S:S,$F:$F&lt;&gt;""""),S230)*100,"""")"),1.5)</f>
        <v>1.5</v>
      </c>
      <c r="W230" s="15" t="str">
        <f t="shared" si="4"/>
        <v/>
      </c>
      <c r="X230" s="16"/>
      <c r="Y230" s="9"/>
      <c r="Z230" s="9"/>
    </row>
    <row r="231">
      <c r="B231" t="str">
        <f t="array" ref="B231">IFERROR(INDEX('Player Raw Data'!E:E,Match($A231,'Player Raw Data'!$B:$B,0)),"")</f>
        <v/>
      </c>
      <c r="C231" t="str">
        <f t="array" ref="C231">IFERROR(INDEX('Player Raw Data'!C:C,Match($A231,'Player Raw Data'!$B:$B,0)),"")</f>
        <v/>
      </c>
      <c r="D231" t="str">
        <f t="array" ref="D231">IFERROR(IF(A231=A230, INDEX('Player Raw Data'!D:D,Match($A231,'Player Raw Data'!$B:$B,0)+2),INDEX('Player Raw Data'!D:D,Match($A231,'Player Raw Data'!$B:$B,0))),"")</f>
        <v/>
      </c>
      <c r="E231" t="str">
        <f t="array" ref="E231">IFERROR(INDEX('Player Raw Data'!F:F,Match($A231,'Player Raw Data'!$B:$B,0)),"")</f>
        <v/>
      </c>
      <c r="F231" t="str">
        <f t="array" ref="F231">IFERROR(INDEX('Player Raw Data'!H:H,Match($A231,'Player Raw Data'!$B:$B,0)),"")</f>
        <v/>
      </c>
      <c r="G231" t="str">
        <f t="array" ref="G231">IFERROR(INDEX('Player Raw Data'!I:I,Match($A231,'Player Raw Data'!$B:$B,0)),"")</f>
        <v/>
      </c>
      <c r="H231" t="str">
        <f t="array" ref="H231">IFERROR(INDEX('Player Raw Data'!J:J,Match($A231,'Player Raw Data'!$B:$B,0)),"")</f>
        <v/>
      </c>
      <c r="I231" t="str">
        <f t="array" ref="I231">IFERROR(INDEX('Player Raw Data'!S:S,Match($A231,'Player Raw Data'!$B:$B,0)),"")</f>
        <v/>
      </c>
      <c r="J231" t="str">
        <f t="array" ref="J231">IFERROR(INDEX('Player Raw Data'!T:T,Match($A231,'Player Raw Data'!$B:$B,0)),"")</f>
        <v/>
      </c>
      <c r="K231" t="str">
        <f t="array" ref="K231">IFERROR(INDEX('Player Raw Data'!X:X,Match($A231,'Player Raw Data'!$B:$B,0)),"")</f>
        <v/>
      </c>
      <c r="L231" t="str">
        <f t="array" ref="L231">IFERROR(INDEX('Player Raw Data'!Y:Y,Match($A231,'Player Raw Data'!$B:$B,0)),"")</f>
        <v/>
      </c>
      <c r="M231" t="str">
        <f t="array" ref="M231">IFERROR(INDEX('Player Raw Data'!Z:Z,Match($A231,'Player Raw Data'!$B:$B,0)),"")</f>
        <v/>
      </c>
      <c r="N231" t="str">
        <f t="array" ref="N231">IFERROR(INDEX('Player Raw Data'!AA:AA,Match($A231,'Player Raw Data'!$B:$B,0)),"")</f>
        <v/>
      </c>
      <c r="O231" t="str">
        <f t="array" ref="O231">IFERROR(INDEX('Player Raw Data'!AB:AB,Match($A231,'Player Raw Data'!$B:$B,0)),"")</f>
        <v/>
      </c>
      <c r="P231" t="str">
        <f t="array" ref="P231">IFERROR(INDEX('Player Raw Data'!AD:AD,Match($A231,'Player Raw Data'!$B:$B,0)),"")</f>
        <v/>
      </c>
      <c r="Q231">
        <f t="shared" si="1"/>
        <v>0</v>
      </c>
      <c r="R231" s="9">
        <f t="shared" si="2"/>
        <v>0</v>
      </c>
      <c r="S231" s="14">
        <f t="shared" si="3"/>
        <v>0</v>
      </c>
      <c r="T231" s="15">
        <f>IFERROR(__xludf.DUMMYFUNCTION("IFERROR(PERCENTRANK.INC(FILTER(Q:Q,$F:$F&lt;&gt;""""),Q231)*100,"""")"),1.5)</f>
        <v>1.5</v>
      </c>
      <c r="U231" s="15">
        <f>IFERROR(__xludf.DUMMYFUNCTION("IFERROR(PERCENTRANK.INC(FILTER(R:R,$F:$F&lt;&gt;""""),R231)*100,"""")"),1.5)</f>
        <v>1.5</v>
      </c>
      <c r="V231" s="15">
        <f>IFERROR(__xludf.DUMMYFUNCTION("IFERROR(PERCENTRANK.INC(FILTER(S:S,$F:$F&lt;&gt;""""),S231)*100,"""")"),1.5)</f>
        <v>1.5</v>
      </c>
      <c r="W231" s="15" t="str">
        <f t="shared" si="4"/>
        <v/>
      </c>
      <c r="X231" s="16"/>
      <c r="Y231" s="9"/>
      <c r="Z231" s="9"/>
    </row>
    <row r="232">
      <c r="B232" t="str">
        <f t="array" ref="B232">IFERROR(INDEX('Player Raw Data'!E:E,Match($A232,'Player Raw Data'!$B:$B,0)),"")</f>
        <v/>
      </c>
      <c r="C232" t="str">
        <f t="array" ref="C232">IFERROR(INDEX('Player Raw Data'!C:C,Match($A232,'Player Raw Data'!$B:$B,0)),"")</f>
        <v/>
      </c>
      <c r="D232" t="str">
        <f t="array" ref="D232">IFERROR(IF(A232=A231, INDEX('Player Raw Data'!D:D,Match($A232,'Player Raw Data'!$B:$B,0)+2),INDEX('Player Raw Data'!D:D,Match($A232,'Player Raw Data'!$B:$B,0))),"")</f>
        <v/>
      </c>
      <c r="E232" t="str">
        <f t="array" ref="E232">IFERROR(INDEX('Player Raw Data'!F:F,Match($A232,'Player Raw Data'!$B:$B,0)),"")</f>
        <v/>
      </c>
      <c r="F232" t="str">
        <f t="array" ref="F232">IFERROR(INDEX('Player Raw Data'!H:H,Match($A232,'Player Raw Data'!$B:$B,0)),"")</f>
        <v/>
      </c>
      <c r="G232" t="str">
        <f t="array" ref="G232">IFERROR(INDEX('Player Raw Data'!I:I,Match($A232,'Player Raw Data'!$B:$B,0)),"")</f>
        <v/>
      </c>
      <c r="H232" t="str">
        <f t="array" ref="H232">IFERROR(INDEX('Player Raw Data'!J:J,Match($A232,'Player Raw Data'!$B:$B,0)),"")</f>
        <v/>
      </c>
      <c r="I232" t="str">
        <f t="array" ref="I232">IFERROR(INDEX('Player Raw Data'!S:S,Match($A232,'Player Raw Data'!$B:$B,0)),"")</f>
        <v/>
      </c>
      <c r="J232" t="str">
        <f t="array" ref="J232">IFERROR(INDEX('Player Raw Data'!T:T,Match($A232,'Player Raw Data'!$B:$B,0)),"")</f>
        <v/>
      </c>
      <c r="K232" t="str">
        <f t="array" ref="K232">IFERROR(INDEX('Player Raw Data'!X:X,Match($A232,'Player Raw Data'!$B:$B,0)),"")</f>
        <v/>
      </c>
      <c r="L232" t="str">
        <f t="array" ref="L232">IFERROR(INDEX('Player Raw Data'!Y:Y,Match($A232,'Player Raw Data'!$B:$B,0)),"")</f>
        <v/>
      </c>
      <c r="M232" t="str">
        <f t="array" ref="M232">IFERROR(INDEX('Player Raw Data'!Z:Z,Match($A232,'Player Raw Data'!$B:$B,0)),"")</f>
        <v/>
      </c>
      <c r="N232" t="str">
        <f t="array" ref="N232">IFERROR(INDEX('Player Raw Data'!AA:AA,Match($A232,'Player Raw Data'!$B:$B,0)),"")</f>
        <v/>
      </c>
      <c r="O232" t="str">
        <f t="array" ref="O232">IFERROR(INDEX('Player Raw Data'!AB:AB,Match($A232,'Player Raw Data'!$B:$B,0)),"")</f>
        <v/>
      </c>
      <c r="P232" t="str">
        <f t="array" ref="P232">IFERROR(INDEX('Player Raw Data'!AD:AD,Match($A232,'Player Raw Data'!$B:$B,0)),"")</f>
        <v/>
      </c>
      <c r="Q232">
        <f t="shared" si="1"/>
        <v>0</v>
      </c>
      <c r="R232" s="9">
        <f t="shared" si="2"/>
        <v>0</v>
      </c>
      <c r="S232" s="14">
        <f t="shared" si="3"/>
        <v>0</v>
      </c>
      <c r="T232" s="15">
        <f>IFERROR(__xludf.DUMMYFUNCTION("IFERROR(PERCENTRANK.INC(FILTER(Q:Q,$F:$F&lt;&gt;""""),Q232)*100,"""")"),1.5)</f>
        <v>1.5</v>
      </c>
      <c r="U232" s="15">
        <f>IFERROR(__xludf.DUMMYFUNCTION("IFERROR(PERCENTRANK.INC(FILTER(R:R,$F:$F&lt;&gt;""""),R232)*100,"""")"),1.5)</f>
        <v>1.5</v>
      </c>
      <c r="V232" s="15">
        <f>IFERROR(__xludf.DUMMYFUNCTION("IFERROR(PERCENTRANK.INC(FILTER(S:S,$F:$F&lt;&gt;""""),S232)*100,"""")"),1.5)</f>
        <v>1.5</v>
      </c>
      <c r="W232" s="15" t="str">
        <f t="shared" si="4"/>
        <v/>
      </c>
      <c r="X232" s="16"/>
      <c r="Y232" s="9"/>
      <c r="Z232" s="9"/>
    </row>
    <row r="233">
      <c r="B233" t="str">
        <f t="array" ref="B233">IFERROR(INDEX('Player Raw Data'!E:E,Match($A233,'Player Raw Data'!$B:$B,0)),"")</f>
        <v/>
      </c>
      <c r="C233" t="str">
        <f t="array" ref="C233">IFERROR(INDEX('Player Raw Data'!C:C,Match($A233,'Player Raw Data'!$B:$B,0)),"")</f>
        <v/>
      </c>
      <c r="D233" t="str">
        <f t="array" ref="D233">IFERROR(IF(A233=A232, INDEX('Player Raw Data'!D:D,Match($A233,'Player Raw Data'!$B:$B,0)+2),INDEX('Player Raw Data'!D:D,Match($A233,'Player Raw Data'!$B:$B,0))),"")</f>
        <v/>
      </c>
      <c r="E233" t="str">
        <f t="array" ref="E233">IFERROR(INDEX('Player Raw Data'!F:F,Match($A233,'Player Raw Data'!$B:$B,0)),"")</f>
        <v/>
      </c>
      <c r="F233" t="str">
        <f t="array" ref="F233">IFERROR(INDEX('Player Raw Data'!H:H,Match($A233,'Player Raw Data'!$B:$B,0)),"")</f>
        <v/>
      </c>
      <c r="G233" t="str">
        <f t="array" ref="G233">IFERROR(INDEX('Player Raw Data'!I:I,Match($A233,'Player Raw Data'!$B:$B,0)),"")</f>
        <v/>
      </c>
      <c r="H233" t="str">
        <f t="array" ref="H233">IFERROR(INDEX('Player Raw Data'!J:J,Match($A233,'Player Raw Data'!$B:$B,0)),"")</f>
        <v/>
      </c>
      <c r="I233" t="str">
        <f t="array" ref="I233">IFERROR(INDEX('Player Raw Data'!S:S,Match($A233,'Player Raw Data'!$B:$B,0)),"")</f>
        <v/>
      </c>
      <c r="J233" t="str">
        <f t="array" ref="J233">IFERROR(INDEX('Player Raw Data'!T:T,Match($A233,'Player Raw Data'!$B:$B,0)),"")</f>
        <v/>
      </c>
      <c r="K233" t="str">
        <f t="array" ref="K233">IFERROR(INDEX('Player Raw Data'!X:X,Match($A233,'Player Raw Data'!$B:$B,0)),"")</f>
        <v/>
      </c>
      <c r="L233" t="str">
        <f t="array" ref="L233">IFERROR(INDEX('Player Raw Data'!Y:Y,Match($A233,'Player Raw Data'!$B:$B,0)),"")</f>
        <v/>
      </c>
      <c r="M233" t="str">
        <f t="array" ref="M233">IFERROR(INDEX('Player Raw Data'!Z:Z,Match($A233,'Player Raw Data'!$B:$B,0)),"")</f>
        <v/>
      </c>
      <c r="N233" t="str">
        <f t="array" ref="N233">IFERROR(INDEX('Player Raw Data'!AA:AA,Match($A233,'Player Raw Data'!$B:$B,0)),"")</f>
        <v/>
      </c>
      <c r="O233" t="str">
        <f t="array" ref="O233">IFERROR(INDEX('Player Raw Data'!AB:AB,Match($A233,'Player Raw Data'!$B:$B,0)),"")</f>
        <v/>
      </c>
      <c r="P233" t="str">
        <f t="array" ref="P233">IFERROR(INDEX('Player Raw Data'!AD:AD,Match($A233,'Player Raw Data'!$B:$B,0)),"")</f>
        <v/>
      </c>
      <c r="Q233">
        <f t="shared" si="1"/>
        <v>0</v>
      </c>
      <c r="R233" s="9">
        <f t="shared" si="2"/>
        <v>0</v>
      </c>
      <c r="S233" s="14">
        <f t="shared" si="3"/>
        <v>0</v>
      </c>
      <c r="T233" s="15">
        <f>IFERROR(__xludf.DUMMYFUNCTION("IFERROR(PERCENTRANK.INC(FILTER(Q:Q,$F:$F&lt;&gt;""""),Q233)*100,"""")"),1.5)</f>
        <v>1.5</v>
      </c>
      <c r="U233" s="15">
        <f>IFERROR(__xludf.DUMMYFUNCTION("IFERROR(PERCENTRANK.INC(FILTER(R:R,$F:$F&lt;&gt;""""),R233)*100,"""")"),1.5)</f>
        <v>1.5</v>
      </c>
      <c r="V233" s="15">
        <f>IFERROR(__xludf.DUMMYFUNCTION("IFERROR(PERCENTRANK.INC(FILTER(S:S,$F:$F&lt;&gt;""""),S233)*100,"""")"),1.5)</f>
        <v>1.5</v>
      </c>
      <c r="W233" s="15" t="str">
        <f t="shared" si="4"/>
        <v/>
      </c>
      <c r="X233" s="16"/>
      <c r="Y233" s="9"/>
      <c r="Z233" s="9"/>
    </row>
    <row r="234">
      <c r="B234" t="str">
        <f t="array" ref="B234">IFERROR(INDEX('Player Raw Data'!E:E,Match($A234,'Player Raw Data'!$B:$B,0)),"")</f>
        <v/>
      </c>
      <c r="C234" t="str">
        <f t="array" ref="C234">IFERROR(INDEX('Player Raw Data'!C:C,Match($A234,'Player Raw Data'!$B:$B,0)),"")</f>
        <v/>
      </c>
      <c r="D234" t="str">
        <f t="array" ref="D234">IFERROR(IF(A234=A233, INDEX('Player Raw Data'!D:D,Match($A234,'Player Raw Data'!$B:$B,0)+2),INDEX('Player Raw Data'!D:D,Match($A234,'Player Raw Data'!$B:$B,0))),"")</f>
        <v/>
      </c>
      <c r="E234" t="str">
        <f t="array" ref="E234">IFERROR(INDEX('Player Raw Data'!F:F,Match($A234,'Player Raw Data'!$B:$B,0)),"")</f>
        <v/>
      </c>
      <c r="F234" t="str">
        <f t="array" ref="F234">IFERROR(INDEX('Player Raw Data'!H:H,Match($A234,'Player Raw Data'!$B:$B,0)),"")</f>
        <v/>
      </c>
      <c r="G234" t="str">
        <f t="array" ref="G234">IFERROR(INDEX('Player Raw Data'!I:I,Match($A234,'Player Raw Data'!$B:$B,0)),"")</f>
        <v/>
      </c>
      <c r="H234" t="str">
        <f t="array" ref="H234">IFERROR(INDEX('Player Raw Data'!J:J,Match($A234,'Player Raw Data'!$B:$B,0)),"")</f>
        <v/>
      </c>
      <c r="I234" t="str">
        <f t="array" ref="I234">IFERROR(INDEX('Player Raw Data'!S:S,Match($A234,'Player Raw Data'!$B:$B,0)),"")</f>
        <v/>
      </c>
      <c r="J234" t="str">
        <f t="array" ref="J234">IFERROR(INDEX('Player Raw Data'!T:T,Match($A234,'Player Raw Data'!$B:$B,0)),"")</f>
        <v/>
      </c>
      <c r="K234" t="str">
        <f t="array" ref="K234">IFERROR(INDEX('Player Raw Data'!X:X,Match($A234,'Player Raw Data'!$B:$B,0)),"")</f>
        <v/>
      </c>
      <c r="L234" t="str">
        <f t="array" ref="L234">IFERROR(INDEX('Player Raw Data'!Y:Y,Match($A234,'Player Raw Data'!$B:$B,0)),"")</f>
        <v/>
      </c>
      <c r="M234" t="str">
        <f t="array" ref="M234">IFERROR(INDEX('Player Raw Data'!Z:Z,Match($A234,'Player Raw Data'!$B:$B,0)),"")</f>
        <v/>
      </c>
      <c r="N234" t="str">
        <f t="array" ref="N234">IFERROR(INDEX('Player Raw Data'!AA:AA,Match($A234,'Player Raw Data'!$B:$B,0)),"")</f>
        <v/>
      </c>
      <c r="O234" t="str">
        <f t="array" ref="O234">IFERROR(INDEX('Player Raw Data'!AB:AB,Match($A234,'Player Raw Data'!$B:$B,0)),"")</f>
        <v/>
      </c>
      <c r="P234" t="str">
        <f t="array" ref="P234">IFERROR(INDEX('Player Raw Data'!AD:AD,Match($A234,'Player Raw Data'!$B:$B,0)),"")</f>
        <v/>
      </c>
      <c r="Q234">
        <f t="shared" si="1"/>
        <v>0</v>
      </c>
      <c r="R234" s="9">
        <f t="shared" si="2"/>
        <v>0</v>
      </c>
      <c r="S234" s="14">
        <f t="shared" si="3"/>
        <v>0</v>
      </c>
      <c r="T234" s="15">
        <f>IFERROR(__xludf.DUMMYFUNCTION("IFERROR(PERCENTRANK.INC(FILTER(Q:Q,$F:$F&lt;&gt;""""),Q234)*100,"""")"),1.5)</f>
        <v>1.5</v>
      </c>
      <c r="U234" s="15">
        <f>IFERROR(__xludf.DUMMYFUNCTION("IFERROR(PERCENTRANK.INC(FILTER(R:R,$F:$F&lt;&gt;""""),R234)*100,"""")"),1.5)</f>
        <v>1.5</v>
      </c>
      <c r="V234" s="15">
        <f>IFERROR(__xludf.DUMMYFUNCTION("IFERROR(PERCENTRANK.INC(FILTER(S:S,$F:$F&lt;&gt;""""),S234)*100,"""")"),1.5)</f>
        <v>1.5</v>
      </c>
      <c r="W234" s="15" t="str">
        <f t="shared" si="4"/>
        <v/>
      </c>
      <c r="X234" s="16"/>
      <c r="Y234" s="9"/>
      <c r="Z234" s="9"/>
    </row>
    <row r="235">
      <c r="B235" t="str">
        <f t="array" ref="B235">IFERROR(INDEX('Player Raw Data'!E:E,Match($A235,'Player Raw Data'!$B:$B,0)),"")</f>
        <v/>
      </c>
      <c r="C235" t="str">
        <f t="array" ref="C235">IFERROR(INDEX('Player Raw Data'!C:C,Match($A235,'Player Raw Data'!$B:$B,0)),"")</f>
        <v/>
      </c>
      <c r="D235" t="str">
        <f t="array" ref="D235">IFERROR(IF(A235=A234, INDEX('Player Raw Data'!D:D,Match($A235,'Player Raw Data'!$B:$B,0)+2),INDEX('Player Raw Data'!D:D,Match($A235,'Player Raw Data'!$B:$B,0))),"")</f>
        <v/>
      </c>
      <c r="E235" t="str">
        <f t="array" ref="E235">IFERROR(INDEX('Player Raw Data'!F:F,Match($A235,'Player Raw Data'!$B:$B,0)),"")</f>
        <v/>
      </c>
      <c r="F235" t="str">
        <f t="array" ref="F235">IFERROR(INDEX('Player Raw Data'!H:H,Match($A235,'Player Raw Data'!$B:$B,0)),"")</f>
        <v/>
      </c>
      <c r="G235" t="str">
        <f t="array" ref="G235">IFERROR(INDEX('Player Raw Data'!I:I,Match($A235,'Player Raw Data'!$B:$B,0)),"")</f>
        <v/>
      </c>
      <c r="H235" t="str">
        <f t="array" ref="H235">IFERROR(INDEX('Player Raw Data'!J:J,Match($A235,'Player Raw Data'!$B:$B,0)),"")</f>
        <v/>
      </c>
      <c r="I235" t="str">
        <f t="array" ref="I235">IFERROR(INDEX('Player Raw Data'!S:S,Match($A235,'Player Raw Data'!$B:$B,0)),"")</f>
        <v/>
      </c>
      <c r="J235" t="str">
        <f t="array" ref="J235">IFERROR(INDEX('Player Raw Data'!T:T,Match($A235,'Player Raw Data'!$B:$B,0)),"")</f>
        <v/>
      </c>
      <c r="K235" t="str">
        <f t="array" ref="K235">IFERROR(INDEX('Player Raw Data'!X:X,Match($A235,'Player Raw Data'!$B:$B,0)),"")</f>
        <v/>
      </c>
      <c r="L235" t="str">
        <f t="array" ref="L235">IFERROR(INDEX('Player Raw Data'!Y:Y,Match($A235,'Player Raw Data'!$B:$B,0)),"")</f>
        <v/>
      </c>
      <c r="M235" t="str">
        <f t="array" ref="M235">IFERROR(INDEX('Player Raw Data'!Z:Z,Match($A235,'Player Raw Data'!$B:$B,0)),"")</f>
        <v/>
      </c>
      <c r="N235" t="str">
        <f t="array" ref="N235">IFERROR(INDEX('Player Raw Data'!AA:AA,Match($A235,'Player Raw Data'!$B:$B,0)),"")</f>
        <v/>
      </c>
      <c r="O235" t="str">
        <f t="array" ref="O235">IFERROR(INDEX('Player Raw Data'!AB:AB,Match($A235,'Player Raw Data'!$B:$B,0)),"")</f>
        <v/>
      </c>
      <c r="P235" t="str">
        <f t="array" ref="P235">IFERROR(INDEX('Player Raw Data'!AD:AD,Match($A235,'Player Raw Data'!$B:$B,0)),"")</f>
        <v/>
      </c>
      <c r="Q235">
        <f t="shared" si="1"/>
        <v>0</v>
      </c>
      <c r="R235" s="9">
        <f t="shared" si="2"/>
        <v>0</v>
      </c>
      <c r="S235" s="14">
        <f t="shared" si="3"/>
        <v>0</v>
      </c>
      <c r="T235" s="15">
        <f>IFERROR(__xludf.DUMMYFUNCTION("IFERROR(PERCENTRANK.INC(FILTER(Q:Q,$F:$F&lt;&gt;""""),Q235)*100,"""")"),1.5)</f>
        <v>1.5</v>
      </c>
      <c r="U235" s="15">
        <f>IFERROR(__xludf.DUMMYFUNCTION("IFERROR(PERCENTRANK.INC(FILTER(R:R,$F:$F&lt;&gt;""""),R235)*100,"""")"),1.5)</f>
        <v>1.5</v>
      </c>
      <c r="V235" s="15">
        <f>IFERROR(__xludf.DUMMYFUNCTION("IFERROR(PERCENTRANK.INC(FILTER(S:S,$F:$F&lt;&gt;""""),S235)*100,"""")"),1.5)</f>
        <v>1.5</v>
      </c>
      <c r="W235" s="15" t="str">
        <f t="shared" si="4"/>
        <v/>
      </c>
      <c r="X235" s="16"/>
      <c r="Y235" s="9"/>
      <c r="Z235" s="9"/>
    </row>
    <row r="236">
      <c r="B236" t="str">
        <f t="array" ref="B236">IFERROR(INDEX('Player Raw Data'!E:E,Match($A236,'Player Raw Data'!$B:$B,0)),"")</f>
        <v/>
      </c>
      <c r="C236" t="str">
        <f t="array" ref="C236">IFERROR(INDEX('Player Raw Data'!C:C,Match($A236,'Player Raw Data'!$B:$B,0)),"")</f>
        <v/>
      </c>
      <c r="D236" t="str">
        <f t="array" ref="D236">IFERROR(IF(A236=A235, INDEX('Player Raw Data'!D:D,Match($A236,'Player Raw Data'!$B:$B,0)+2),INDEX('Player Raw Data'!D:D,Match($A236,'Player Raw Data'!$B:$B,0))),"")</f>
        <v/>
      </c>
      <c r="E236" t="str">
        <f t="array" ref="E236">IFERROR(INDEX('Player Raw Data'!F:F,Match($A236,'Player Raw Data'!$B:$B,0)),"")</f>
        <v/>
      </c>
      <c r="F236" t="str">
        <f t="array" ref="F236">IFERROR(INDEX('Player Raw Data'!H:H,Match($A236,'Player Raw Data'!$B:$B,0)),"")</f>
        <v/>
      </c>
      <c r="G236" t="str">
        <f t="array" ref="G236">IFERROR(INDEX('Player Raw Data'!I:I,Match($A236,'Player Raw Data'!$B:$B,0)),"")</f>
        <v/>
      </c>
      <c r="H236" t="str">
        <f t="array" ref="H236">IFERROR(INDEX('Player Raw Data'!J:J,Match($A236,'Player Raw Data'!$B:$B,0)),"")</f>
        <v/>
      </c>
      <c r="I236" t="str">
        <f t="array" ref="I236">IFERROR(INDEX('Player Raw Data'!S:S,Match($A236,'Player Raw Data'!$B:$B,0)),"")</f>
        <v/>
      </c>
      <c r="J236" t="str">
        <f t="array" ref="J236">IFERROR(INDEX('Player Raw Data'!T:T,Match($A236,'Player Raw Data'!$B:$B,0)),"")</f>
        <v/>
      </c>
      <c r="K236" t="str">
        <f t="array" ref="K236">IFERROR(INDEX('Player Raw Data'!X:X,Match($A236,'Player Raw Data'!$B:$B,0)),"")</f>
        <v/>
      </c>
      <c r="L236" t="str">
        <f t="array" ref="L236">IFERROR(INDEX('Player Raw Data'!Y:Y,Match($A236,'Player Raw Data'!$B:$B,0)),"")</f>
        <v/>
      </c>
      <c r="M236" t="str">
        <f t="array" ref="M236">IFERROR(INDEX('Player Raw Data'!Z:Z,Match($A236,'Player Raw Data'!$B:$B,0)),"")</f>
        <v/>
      </c>
      <c r="N236" t="str">
        <f t="array" ref="N236">IFERROR(INDEX('Player Raw Data'!AA:AA,Match($A236,'Player Raw Data'!$B:$B,0)),"")</f>
        <v/>
      </c>
      <c r="O236" t="str">
        <f t="array" ref="O236">IFERROR(INDEX('Player Raw Data'!AB:AB,Match($A236,'Player Raw Data'!$B:$B,0)),"")</f>
        <v/>
      </c>
      <c r="P236" t="str">
        <f t="array" ref="P236">IFERROR(INDEX('Player Raw Data'!AD:AD,Match($A236,'Player Raw Data'!$B:$B,0)),"")</f>
        <v/>
      </c>
      <c r="Q236">
        <f t="shared" si="1"/>
        <v>0</v>
      </c>
      <c r="R236" s="9">
        <f t="shared" si="2"/>
        <v>0</v>
      </c>
      <c r="S236" s="14">
        <f t="shared" si="3"/>
        <v>0</v>
      </c>
      <c r="T236" s="15">
        <f>IFERROR(__xludf.DUMMYFUNCTION("IFERROR(PERCENTRANK.INC(FILTER(Q:Q,$F:$F&lt;&gt;""""),Q236)*100,"""")"),1.5)</f>
        <v>1.5</v>
      </c>
      <c r="U236" s="15">
        <f>IFERROR(__xludf.DUMMYFUNCTION("IFERROR(PERCENTRANK.INC(FILTER(R:R,$F:$F&lt;&gt;""""),R236)*100,"""")"),1.5)</f>
        <v>1.5</v>
      </c>
      <c r="V236" s="15">
        <f>IFERROR(__xludf.DUMMYFUNCTION("IFERROR(PERCENTRANK.INC(FILTER(S:S,$F:$F&lt;&gt;""""),S236)*100,"""")"),1.5)</f>
        <v>1.5</v>
      </c>
      <c r="W236" s="15" t="str">
        <f t="shared" si="4"/>
        <v/>
      </c>
      <c r="X236" s="16"/>
      <c r="Y236" s="9"/>
      <c r="Z236" s="9"/>
    </row>
    <row r="237">
      <c r="B237" t="str">
        <f t="array" ref="B237">IFERROR(INDEX('Player Raw Data'!E:E,Match($A237,'Player Raw Data'!$B:$B,0)),"")</f>
        <v/>
      </c>
      <c r="C237" t="str">
        <f t="array" ref="C237">IFERROR(INDEX('Player Raw Data'!C:C,Match($A237,'Player Raw Data'!$B:$B,0)),"")</f>
        <v/>
      </c>
      <c r="D237" t="str">
        <f t="array" ref="D237">IFERROR(IF(A237=A236, INDEX('Player Raw Data'!D:D,Match($A237,'Player Raw Data'!$B:$B,0)+2),INDEX('Player Raw Data'!D:D,Match($A237,'Player Raw Data'!$B:$B,0))),"")</f>
        <v/>
      </c>
      <c r="E237" t="str">
        <f t="array" ref="E237">IFERROR(INDEX('Player Raw Data'!F:F,Match($A237,'Player Raw Data'!$B:$B,0)),"")</f>
        <v/>
      </c>
      <c r="F237" t="str">
        <f t="array" ref="F237">IFERROR(INDEX('Player Raw Data'!H:H,Match($A237,'Player Raw Data'!$B:$B,0)),"")</f>
        <v/>
      </c>
      <c r="G237" t="str">
        <f t="array" ref="G237">IFERROR(INDEX('Player Raw Data'!I:I,Match($A237,'Player Raw Data'!$B:$B,0)),"")</f>
        <v/>
      </c>
      <c r="H237" t="str">
        <f t="array" ref="H237">IFERROR(INDEX('Player Raw Data'!J:J,Match($A237,'Player Raw Data'!$B:$B,0)),"")</f>
        <v/>
      </c>
      <c r="I237" t="str">
        <f t="array" ref="I237">IFERROR(INDEX('Player Raw Data'!S:S,Match($A237,'Player Raw Data'!$B:$B,0)),"")</f>
        <v/>
      </c>
      <c r="J237" t="str">
        <f t="array" ref="J237">IFERROR(INDEX('Player Raw Data'!T:T,Match($A237,'Player Raw Data'!$B:$B,0)),"")</f>
        <v/>
      </c>
      <c r="K237" t="str">
        <f t="array" ref="K237">IFERROR(INDEX('Player Raw Data'!X:X,Match($A237,'Player Raw Data'!$B:$B,0)),"")</f>
        <v/>
      </c>
      <c r="L237" t="str">
        <f t="array" ref="L237">IFERROR(INDEX('Player Raw Data'!Y:Y,Match($A237,'Player Raw Data'!$B:$B,0)),"")</f>
        <v/>
      </c>
      <c r="M237" t="str">
        <f t="array" ref="M237">IFERROR(INDEX('Player Raw Data'!Z:Z,Match($A237,'Player Raw Data'!$B:$B,0)),"")</f>
        <v/>
      </c>
      <c r="N237" t="str">
        <f t="array" ref="N237">IFERROR(INDEX('Player Raw Data'!AA:AA,Match($A237,'Player Raw Data'!$B:$B,0)),"")</f>
        <v/>
      </c>
      <c r="O237" t="str">
        <f t="array" ref="O237">IFERROR(INDEX('Player Raw Data'!AB:AB,Match($A237,'Player Raw Data'!$B:$B,0)),"")</f>
        <v/>
      </c>
      <c r="P237" t="str">
        <f t="array" ref="P237">IFERROR(INDEX('Player Raw Data'!AD:AD,Match($A237,'Player Raw Data'!$B:$B,0)),"")</f>
        <v/>
      </c>
      <c r="Q237">
        <f t="shared" si="1"/>
        <v>0</v>
      </c>
      <c r="R237" s="9">
        <f t="shared" si="2"/>
        <v>0</v>
      </c>
      <c r="S237" s="14">
        <f t="shared" si="3"/>
        <v>0</v>
      </c>
      <c r="T237" s="15">
        <f>IFERROR(__xludf.DUMMYFUNCTION("IFERROR(PERCENTRANK.INC(FILTER(Q:Q,$F:$F&lt;&gt;""""),Q237)*100,"""")"),1.5)</f>
        <v>1.5</v>
      </c>
      <c r="U237" s="15">
        <f>IFERROR(__xludf.DUMMYFUNCTION("IFERROR(PERCENTRANK.INC(FILTER(R:R,$F:$F&lt;&gt;""""),R237)*100,"""")"),1.5)</f>
        <v>1.5</v>
      </c>
      <c r="V237" s="15">
        <f>IFERROR(__xludf.DUMMYFUNCTION("IFERROR(PERCENTRANK.INC(FILTER(S:S,$F:$F&lt;&gt;""""),S237)*100,"""")"),1.5)</f>
        <v>1.5</v>
      </c>
      <c r="W237" s="15" t="str">
        <f t="shared" si="4"/>
        <v/>
      </c>
      <c r="X237" s="16"/>
      <c r="Y237" s="9"/>
      <c r="Z237" s="9"/>
    </row>
    <row r="238">
      <c r="B238" t="str">
        <f t="array" ref="B238">IFERROR(INDEX('Player Raw Data'!E:E,Match($A238,'Player Raw Data'!$B:$B,0)),"")</f>
        <v/>
      </c>
      <c r="C238" t="str">
        <f t="array" ref="C238">IFERROR(INDEX('Player Raw Data'!C:C,Match($A238,'Player Raw Data'!$B:$B,0)),"")</f>
        <v/>
      </c>
      <c r="D238" t="str">
        <f t="array" ref="D238">IFERROR(IF(A238=A237, INDEX('Player Raw Data'!D:D,Match($A238,'Player Raw Data'!$B:$B,0)+2),INDEX('Player Raw Data'!D:D,Match($A238,'Player Raw Data'!$B:$B,0))),"")</f>
        <v/>
      </c>
      <c r="E238" t="str">
        <f t="array" ref="E238">IFERROR(INDEX('Player Raw Data'!F:F,Match($A238,'Player Raw Data'!$B:$B,0)),"")</f>
        <v/>
      </c>
      <c r="F238" t="str">
        <f t="array" ref="F238">IFERROR(INDEX('Player Raw Data'!H:H,Match($A238,'Player Raw Data'!$B:$B,0)),"")</f>
        <v/>
      </c>
      <c r="G238" t="str">
        <f t="array" ref="G238">IFERROR(INDEX('Player Raw Data'!I:I,Match($A238,'Player Raw Data'!$B:$B,0)),"")</f>
        <v/>
      </c>
      <c r="H238" t="str">
        <f t="array" ref="H238">IFERROR(INDEX('Player Raw Data'!J:J,Match($A238,'Player Raw Data'!$B:$B,0)),"")</f>
        <v/>
      </c>
      <c r="I238" t="str">
        <f t="array" ref="I238">IFERROR(INDEX('Player Raw Data'!S:S,Match($A238,'Player Raw Data'!$B:$B,0)),"")</f>
        <v/>
      </c>
      <c r="J238" t="str">
        <f t="array" ref="J238">IFERROR(INDEX('Player Raw Data'!T:T,Match($A238,'Player Raw Data'!$B:$B,0)),"")</f>
        <v/>
      </c>
      <c r="K238" t="str">
        <f t="array" ref="K238">IFERROR(INDEX('Player Raw Data'!X:X,Match($A238,'Player Raw Data'!$B:$B,0)),"")</f>
        <v/>
      </c>
      <c r="L238" t="str">
        <f t="array" ref="L238">IFERROR(INDEX('Player Raw Data'!Y:Y,Match($A238,'Player Raw Data'!$B:$B,0)),"")</f>
        <v/>
      </c>
      <c r="M238" t="str">
        <f t="array" ref="M238">IFERROR(INDEX('Player Raw Data'!Z:Z,Match($A238,'Player Raw Data'!$B:$B,0)),"")</f>
        <v/>
      </c>
      <c r="N238" t="str">
        <f t="array" ref="N238">IFERROR(INDEX('Player Raw Data'!AA:AA,Match($A238,'Player Raw Data'!$B:$B,0)),"")</f>
        <v/>
      </c>
      <c r="O238" t="str">
        <f t="array" ref="O238">IFERROR(INDEX('Player Raw Data'!AB:AB,Match($A238,'Player Raw Data'!$B:$B,0)),"")</f>
        <v/>
      </c>
      <c r="P238" t="str">
        <f t="array" ref="P238">IFERROR(INDEX('Player Raw Data'!AD:AD,Match($A238,'Player Raw Data'!$B:$B,0)),"")</f>
        <v/>
      </c>
      <c r="Q238">
        <f t="shared" si="1"/>
        <v>0</v>
      </c>
      <c r="R238" s="9">
        <f t="shared" si="2"/>
        <v>0</v>
      </c>
      <c r="S238" s="14">
        <f t="shared" si="3"/>
        <v>0</v>
      </c>
      <c r="T238" s="15">
        <f>IFERROR(__xludf.DUMMYFUNCTION("IFERROR(PERCENTRANK.INC(FILTER(Q:Q,$F:$F&lt;&gt;""""),Q238)*100,"""")"),1.5)</f>
        <v>1.5</v>
      </c>
      <c r="U238" s="15">
        <f>IFERROR(__xludf.DUMMYFUNCTION("IFERROR(PERCENTRANK.INC(FILTER(R:R,$F:$F&lt;&gt;""""),R238)*100,"""")"),1.5)</f>
        <v>1.5</v>
      </c>
      <c r="V238" s="15">
        <f>IFERROR(__xludf.DUMMYFUNCTION("IFERROR(PERCENTRANK.INC(FILTER(S:S,$F:$F&lt;&gt;""""),S238)*100,"""")"),1.5)</f>
        <v>1.5</v>
      </c>
      <c r="W238" s="15" t="str">
        <f t="shared" si="4"/>
        <v/>
      </c>
      <c r="X238" s="16"/>
      <c r="Y238" s="9"/>
      <c r="Z238" s="9"/>
    </row>
    <row r="239">
      <c r="B239" t="str">
        <f t="array" ref="B239">IFERROR(INDEX('Player Raw Data'!E:E,Match($A239,'Player Raw Data'!$B:$B,0)),"")</f>
        <v/>
      </c>
      <c r="C239" t="str">
        <f t="array" ref="C239">IFERROR(INDEX('Player Raw Data'!C:C,Match($A239,'Player Raw Data'!$B:$B,0)),"")</f>
        <v/>
      </c>
      <c r="D239" t="str">
        <f t="array" ref="D239">IFERROR(IF(A239=A238, INDEX('Player Raw Data'!D:D,Match($A239,'Player Raw Data'!$B:$B,0)+2),INDEX('Player Raw Data'!D:D,Match($A239,'Player Raw Data'!$B:$B,0))),"")</f>
        <v/>
      </c>
      <c r="E239" t="str">
        <f t="array" ref="E239">IFERROR(INDEX('Player Raw Data'!F:F,Match($A239,'Player Raw Data'!$B:$B,0)),"")</f>
        <v/>
      </c>
      <c r="F239" t="str">
        <f t="array" ref="F239">IFERROR(INDEX('Player Raw Data'!H:H,Match($A239,'Player Raw Data'!$B:$B,0)),"")</f>
        <v/>
      </c>
      <c r="G239" t="str">
        <f t="array" ref="G239">IFERROR(INDEX('Player Raw Data'!I:I,Match($A239,'Player Raw Data'!$B:$B,0)),"")</f>
        <v/>
      </c>
      <c r="H239" t="str">
        <f t="array" ref="H239">IFERROR(INDEX('Player Raw Data'!J:J,Match($A239,'Player Raw Data'!$B:$B,0)),"")</f>
        <v/>
      </c>
      <c r="I239" t="str">
        <f t="array" ref="I239">IFERROR(INDEX('Player Raw Data'!S:S,Match($A239,'Player Raw Data'!$B:$B,0)),"")</f>
        <v/>
      </c>
      <c r="J239" t="str">
        <f t="array" ref="J239">IFERROR(INDEX('Player Raw Data'!T:T,Match($A239,'Player Raw Data'!$B:$B,0)),"")</f>
        <v/>
      </c>
      <c r="K239" t="str">
        <f t="array" ref="K239">IFERROR(INDEX('Player Raw Data'!X:X,Match($A239,'Player Raw Data'!$B:$B,0)),"")</f>
        <v/>
      </c>
      <c r="L239" t="str">
        <f t="array" ref="L239">IFERROR(INDEX('Player Raw Data'!Y:Y,Match($A239,'Player Raw Data'!$B:$B,0)),"")</f>
        <v/>
      </c>
      <c r="M239" t="str">
        <f t="array" ref="M239">IFERROR(INDEX('Player Raw Data'!Z:Z,Match($A239,'Player Raw Data'!$B:$B,0)),"")</f>
        <v/>
      </c>
      <c r="N239" t="str">
        <f t="array" ref="N239">IFERROR(INDEX('Player Raw Data'!AA:AA,Match($A239,'Player Raw Data'!$B:$B,0)),"")</f>
        <v/>
      </c>
      <c r="O239" t="str">
        <f t="array" ref="O239">IFERROR(INDEX('Player Raw Data'!AB:AB,Match($A239,'Player Raw Data'!$B:$B,0)),"")</f>
        <v/>
      </c>
      <c r="P239" t="str">
        <f t="array" ref="P239">IFERROR(INDEX('Player Raw Data'!AD:AD,Match($A239,'Player Raw Data'!$B:$B,0)),"")</f>
        <v/>
      </c>
      <c r="Q239">
        <f t="shared" si="1"/>
        <v>0</v>
      </c>
      <c r="R239" s="9">
        <f t="shared" si="2"/>
        <v>0</v>
      </c>
      <c r="S239" s="14">
        <f t="shared" si="3"/>
        <v>0</v>
      </c>
      <c r="T239" s="15">
        <f>IFERROR(__xludf.DUMMYFUNCTION("IFERROR(PERCENTRANK.INC(FILTER(Q:Q,$F:$F&lt;&gt;""""),Q239)*100,"""")"),1.5)</f>
        <v>1.5</v>
      </c>
      <c r="U239" s="15">
        <f>IFERROR(__xludf.DUMMYFUNCTION("IFERROR(PERCENTRANK.INC(FILTER(R:R,$F:$F&lt;&gt;""""),R239)*100,"""")"),1.5)</f>
        <v>1.5</v>
      </c>
      <c r="V239" s="15">
        <f>IFERROR(__xludf.DUMMYFUNCTION("IFERROR(PERCENTRANK.INC(FILTER(S:S,$F:$F&lt;&gt;""""),S239)*100,"""")"),1.5)</f>
        <v>1.5</v>
      </c>
      <c r="W239" s="15" t="str">
        <f t="shared" si="4"/>
        <v/>
      </c>
      <c r="X239" s="16"/>
      <c r="Y239" s="9"/>
      <c r="Z239" s="9"/>
    </row>
    <row r="240">
      <c r="B240" t="str">
        <f t="array" ref="B240">IFERROR(INDEX('Player Raw Data'!E:E,Match($A240,'Player Raw Data'!$B:$B,0)),"")</f>
        <v/>
      </c>
      <c r="C240" t="str">
        <f t="array" ref="C240">IFERROR(INDEX('Player Raw Data'!C:C,Match($A240,'Player Raw Data'!$B:$B,0)),"")</f>
        <v/>
      </c>
      <c r="D240" t="str">
        <f t="array" ref="D240">IFERROR(IF(A240=A239, INDEX('Player Raw Data'!D:D,Match($A240,'Player Raw Data'!$B:$B,0)+2),INDEX('Player Raw Data'!D:D,Match($A240,'Player Raw Data'!$B:$B,0))),"")</f>
        <v/>
      </c>
      <c r="E240" t="str">
        <f t="array" ref="E240">IFERROR(INDEX('Player Raw Data'!F:F,Match($A240,'Player Raw Data'!$B:$B,0)),"")</f>
        <v/>
      </c>
      <c r="F240" t="str">
        <f t="array" ref="F240">IFERROR(INDEX('Player Raw Data'!H:H,Match($A240,'Player Raw Data'!$B:$B,0)),"")</f>
        <v/>
      </c>
      <c r="G240" t="str">
        <f t="array" ref="G240">IFERROR(INDEX('Player Raw Data'!I:I,Match($A240,'Player Raw Data'!$B:$B,0)),"")</f>
        <v/>
      </c>
      <c r="H240" t="str">
        <f t="array" ref="H240">IFERROR(INDEX('Player Raw Data'!J:J,Match($A240,'Player Raw Data'!$B:$B,0)),"")</f>
        <v/>
      </c>
      <c r="I240" t="str">
        <f t="array" ref="I240">IFERROR(INDEX('Player Raw Data'!S:S,Match($A240,'Player Raw Data'!$B:$B,0)),"")</f>
        <v/>
      </c>
      <c r="J240" t="str">
        <f t="array" ref="J240">IFERROR(INDEX('Player Raw Data'!T:T,Match($A240,'Player Raw Data'!$B:$B,0)),"")</f>
        <v/>
      </c>
      <c r="K240" t="str">
        <f t="array" ref="K240">IFERROR(INDEX('Player Raw Data'!X:X,Match($A240,'Player Raw Data'!$B:$B,0)),"")</f>
        <v/>
      </c>
      <c r="L240" t="str">
        <f t="array" ref="L240">IFERROR(INDEX('Player Raw Data'!Y:Y,Match($A240,'Player Raw Data'!$B:$B,0)),"")</f>
        <v/>
      </c>
      <c r="M240" t="str">
        <f t="array" ref="M240">IFERROR(INDEX('Player Raw Data'!Z:Z,Match($A240,'Player Raw Data'!$B:$B,0)),"")</f>
        <v/>
      </c>
      <c r="N240" t="str">
        <f t="array" ref="N240">IFERROR(INDEX('Player Raw Data'!AA:AA,Match($A240,'Player Raw Data'!$B:$B,0)),"")</f>
        <v/>
      </c>
      <c r="O240" t="str">
        <f t="array" ref="O240">IFERROR(INDEX('Player Raw Data'!AB:AB,Match($A240,'Player Raw Data'!$B:$B,0)),"")</f>
        <v/>
      </c>
      <c r="P240" t="str">
        <f t="array" ref="P240">IFERROR(INDEX('Player Raw Data'!AD:AD,Match($A240,'Player Raw Data'!$B:$B,0)),"")</f>
        <v/>
      </c>
      <c r="Q240">
        <f t="shared" si="1"/>
        <v>0</v>
      </c>
      <c r="R240" s="9">
        <f t="shared" si="2"/>
        <v>0</v>
      </c>
      <c r="S240" s="14">
        <f t="shared" si="3"/>
        <v>0</v>
      </c>
      <c r="T240" s="15">
        <f>IFERROR(__xludf.DUMMYFUNCTION("IFERROR(PERCENTRANK.INC(FILTER(Q:Q,$F:$F&lt;&gt;""""),Q240)*100,"""")"),1.5)</f>
        <v>1.5</v>
      </c>
      <c r="U240" s="15">
        <f>IFERROR(__xludf.DUMMYFUNCTION("IFERROR(PERCENTRANK.INC(FILTER(R:R,$F:$F&lt;&gt;""""),R240)*100,"""")"),1.5)</f>
        <v>1.5</v>
      </c>
      <c r="V240" s="15">
        <f>IFERROR(__xludf.DUMMYFUNCTION("IFERROR(PERCENTRANK.INC(FILTER(S:S,$F:$F&lt;&gt;""""),S240)*100,"""")"),1.5)</f>
        <v>1.5</v>
      </c>
      <c r="W240" s="15" t="str">
        <f t="shared" si="4"/>
        <v/>
      </c>
      <c r="X240" s="16"/>
      <c r="Y240" s="9"/>
      <c r="Z240" s="9"/>
    </row>
    <row r="241">
      <c r="B241" t="str">
        <f t="array" ref="B241">IFERROR(INDEX('Player Raw Data'!E:E,Match($A241,'Player Raw Data'!$B:$B,0)),"")</f>
        <v/>
      </c>
      <c r="C241" t="str">
        <f t="array" ref="C241">IFERROR(INDEX('Player Raw Data'!C:C,Match($A241,'Player Raw Data'!$B:$B,0)),"")</f>
        <v/>
      </c>
      <c r="D241" t="str">
        <f t="array" ref="D241">IFERROR(IF(A241=A240, INDEX('Player Raw Data'!D:D,Match($A241,'Player Raw Data'!$B:$B,0)+2),INDEX('Player Raw Data'!D:D,Match($A241,'Player Raw Data'!$B:$B,0))),"")</f>
        <v/>
      </c>
      <c r="E241" t="str">
        <f t="array" ref="E241">IFERROR(INDEX('Player Raw Data'!F:F,Match($A241,'Player Raw Data'!$B:$B,0)),"")</f>
        <v/>
      </c>
      <c r="F241" t="str">
        <f t="array" ref="F241">IFERROR(INDEX('Player Raw Data'!H:H,Match($A241,'Player Raw Data'!$B:$B,0)),"")</f>
        <v/>
      </c>
      <c r="G241" t="str">
        <f t="array" ref="G241">IFERROR(INDEX('Player Raw Data'!I:I,Match($A241,'Player Raw Data'!$B:$B,0)),"")</f>
        <v/>
      </c>
      <c r="H241" t="str">
        <f t="array" ref="H241">IFERROR(INDEX('Player Raw Data'!J:J,Match($A241,'Player Raw Data'!$B:$B,0)),"")</f>
        <v/>
      </c>
      <c r="I241" t="str">
        <f t="array" ref="I241">IFERROR(INDEX('Player Raw Data'!S:S,Match($A241,'Player Raw Data'!$B:$B,0)),"")</f>
        <v/>
      </c>
      <c r="J241" t="str">
        <f t="array" ref="J241">IFERROR(INDEX('Player Raw Data'!T:T,Match($A241,'Player Raw Data'!$B:$B,0)),"")</f>
        <v/>
      </c>
      <c r="K241" t="str">
        <f t="array" ref="K241">IFERROR(INDEX('Player Raw Data'!X:X,Match($A241,'Player Raw Data'!$B:$B,0)),"")</f>
        <v/>
      </c>
      <c r="L241" t="str">
        <f t="array" ref="L241">IFERROR(INDEX('Player Raw Data'!Y:Y,Match($A241,'Player Raw Data'!$B:$B,0)),"")</f>
        <v/>
      </c>
      <c r="M241" t="str">
        <f t="array" ref="M241">IFERROR(INDEX('Player Raw Data'!Z:Z,Match($A241,'Player Raw Data'!$B:$B,0)),"")</f>
        <v/>
      </c>
      <c r="N241" t="str">
        <f t="array" ref="N241">IFERROR(INDEX('Player Raw Data'!AA:AA,Match($A241,'Player Raw Data'!$B:$B,0)),"")</f>
        <v/>
      </c>
      <c r="O241" t="str">
        <f t="array" ref="O241">IFERROR(INDEX('Player Raw Data'!AB:AB,Match($A241,'Player Raw Data'!$B:$B,0)),"")</f>
        <v/>
      </c>
      <c r="P241" t="str">
        <f t="array" ref="P241">IFERROR(INDEX('Player Raw Data'!AD:AD,Match($A241,'Player Raw Data'!$B:$B,0)),"")</f>
        <v/>
      </c>
      <c r="Q241">
        <f t="shared" si="1"/>
        <v>0</v>
      </c>
      <c r="R241" s="9">
        <f t="shared" si="2"/>
        <v>0</v>
      </c>
      <c r="S241" s="14">
        <f t="shared" si="3"/>
        <v>0</v>
      </c>
      <c r="T241" s="15">
        <f>IFERROR(__xludf.DUMMYFUNCTION("IFERROR(PERCENTRANK.INC(FILTER(Q:Q,$F:$F&lt;&gt;""""),Q241)*100,"""")"),1.5)</f>
        <v>1.5</v>
      </c>
      <c r="U241" s="15">
        <f>IFERROR(__xludf.DUMMYFUNCTION("IFERROR(PERCENTRANK.INC(FILTER(R:R,$F:$F&lt;&gt;""""),R241)*100,"""")"),1.5)</f>
        <v>1.5</v>
      </c>
      <c r="V241" s="15">
        <f>IFERROR(__xludf.DUMMYFUNCTION("IFERROR(PERCENTRANK.INC(FILTER(S:S,$F:$F&lt;&gt;""""),S241)*100,"""")"),1.5)</f>
        <v>1.5</v>
      </c>
      <c r="W241" s="15" t="str">
        <f t="shared" si="4"/>
        <v/>
      </c>
      <c r="X241" s="16"/>
      <c r="Y241" s="9"/>
      <c r="Z241" s="9"/>
    </row>
    <row r="242">
      <c r="B242" t="str">
        <f t="array" ref="B242">IFERROR(INDEX('Player Raw Data'!E:E,Match($A242,'Player Raw Data'!$B:$B,0)),"")</f>
        <v/>
      </c>
      <c r="C242" t="str">
        <f t="array" ref="C242">IFERROR(INDEX('Player Raw Data'!C:C,Match($A242,'Player Raw Data'!$B:$B,0)),"")</f>
        <v/>
      </c>
      <c r="D242" t="str">
        <f t="array" ref="D242">IFERROR(IF(A242=A241, INDEX('Player Raw Data'!D:D,Match($A242,'Player Raw Data'!$B:$B,0)+2),INDEX('Player Raw Data'!D:D,Match($A242,'Player Raw Data'!$B:$B,0))),"")</f>
        <v/>
      </c>
      <c r="E242" t="str">
        <f t="array" ref="E242">IFERROR(INDEX('Player Raw Data'!F:F,Match($A242,'Player Raw Data'!$B:$B,0)),"")</f>
        <v/>
      </c>
      <c r="F242" t="str">
        <f t="array" ref="F242">IFERROR(INDEX('Player Raw Data'!H:H,Match($A242,'Player Raw Data'!$B:$B,0)),"")</f>
        <v/>
      </c>
      <c r="G242" t="str">
        <f t="array" ref="G242">IFERROR(INDEX('Player Raw Data'!I:I,Match($A242,'Player Raw Data'!$B:$B,0)),"")</f>
        <v/>
      </c>
      <c r="H242" t="str">
        <f t="array" ref="H242">IFERROR(INDEX('Player Raw Data'!J:J,Match($A242,'Player Raw Data'!$B:$B,0)),"")</f>
        <v/>
      </c>
      <c r="I242" t="str">
        <f t="array" ref="I242">IFERROR(INDEX('Player Raw Data'!S:S,Match($A242,'Player Raw Data'!$B:$B,0)),"")</f>
        <v/>
      </c>
      <c r="J242" t="str">
        <f t="array" ref="J242">IFERROR(INDEX('Player Raw Data'!T:T,Match($A242,'Player Raw Data'!$B:$B,0)),"")</f>
        <v/>
      </c>
      <c r="K242" t="str">
        <f t="array" ref="K242">IFERROR(INDEX('Player Raw Data'!X:X,Match($A242,'Player Raw Data'!$B:$B,0)),"")</f>
        <v/>
      </c>
      <c r="L242" t="str">
        <f t="array" ref="L242">IFERROR(INDEX('Player Raw Data'!Y:Y,Match($A242,'Player Raw Data'!$B:$B,0)),"")</f>
        <v/>
      </c>
      <c r="M242" t="str">
        <f t="array" ref="M242">IFERROR(INDEX('Player Raw Data'!Z:Z,Match($A242,'Player Raw Data'!$B:$B,0)),"")</f>
        <v/>
      </c>
      <c r="N242" t="str">
        <f t="array" ref="N242">IFERROR(INDEX('Player Raw Data'!AA:AA,Match($A242,'Player Raw Data'!$B:$B,0)),"")</f>
        <v/>
      </c>
      <c r="O242" t="str">
        <f t="array" ref="O242">IFERROR(INDEX('Player Raw Data'!AB:AB,Match($A242,'Player Raw Data'!$B:$B,0)),"")</f>
        <v/>
      </c>
      <c r="P242" t="str">
        <f t="array" ref="P242">IFERROR(INDEX('Player Raw Data'!AD:AD,Match($A242,'Player Raw Data'!$B:$B,0)),"")</f>
        <v/>
      </c>
      <c r="Q242">
        <f t="shared" si="1"/>
        <v>0</v>
      </c>
      <c r="R242" s="9">
        <f t="shared" si="2"/>
        <v>0</v>
      </c>
      <c r="S242" s="14">
        <f t="shared" si="3"/>
        <v>0</v>
      </c>
      <c r="T242" s="15">
        <f>IFERROR(__xludf.DUMMYFUNCTION("IFERROR(PERCENTRANK.INC(FILTER(Q:Q,$F:$F&lt;&gt;""""),Q242)*100,"""")"),1.5)</f>
        <v>1.5</v>
      </c>
      <c r="U242" s="15">
        <f>IFERROR(__xludf.DUMMYFUNCTION("IFERROR(PERCENTRANK.INC(FILTER(R:R,$F:$F&lt;&gt;""""),R242)*100,"""")"),1.5)</f>
        <v>1.5</v>
      </c>
      <c r="V242" s="15">
        <f>IFERROR(__xludf.DUMMYFUNCTION("IFERROR(PERCENTRANK.INC(FILTER(S:S,$F:$F&lt;&gt;""""),S242)*100,"""")"),1.5)</f>
        <v>1.5</v>
      </c>
      <c r="W242" s="15" t="str">
        <f t="shared" si="4"/>
        <v/>
      </c>
      <c r="X242" s="16"/>
      <c r="Y242" s="9"/>
      <c r="Z242" s="9"/>
    </row>
    <row r="243">
      <c r="B243" t="str">
        <f t="array" ref="B243">IFERROR(INDEX('Player Raw Data'!E:E,Match($A243,'Player Raw Data'!$B:$B,0)),"")</f>
        <v/>
      </c>
      <c r="C243" t="str">
        <f t="array" ref="C243">IFERROR(INDEX('Player Raw Data'!C:C,Match($A243,'Player Raw Data'!$B:$B,0)),"")</f>
        <v/>
      </c>
      <c r="D243" t="str">
        <f t="array" ref="D243">IFERROR(IF(A243=A242, INDEX('Player Raw Data'!D:D,Match($A243,'Player Raw Data'!$B:$B,0)+2),INDEX('Player Raw Data'!D:D,Match($A243,'Player Raw Data'!$B:$B,0))),"")</f>
        <v/>
      </c>
      <c r="E243" t="str">
        <f t="array" ref="E243">IFERROR(INDEX('Player Raw Data'!F:F,Match($A243,'Player Raw Data'!$B:$B,0)),"")</f>
        <v/>
      </c>
      <c r="F243" t="str">
        <f t="array" ref="F243">IFERROR(INDEX('Player Raw Data'!H:H,Match($A243,'Player Raw Data'!$B:$B,0)),"")</f>
        <v/>
      </c>
      <c r="G243" t="str">
        <f t="array" ref="G243">IFERROR(INDEX('Player Raw Data'!I:I,Match($A243,'Player Raw Data'!$B:$B,0)),"")</f>
        <v/>
      </c>
      <c r="H243" t="str">
        <f t="array" ref="H243">IFERROR(INDEX('Player Raw Data'!J:J,Match($A243,'Player Raw Data'!$B:$B,0)),"")</f>
        <v/>
      </c>
      <c r="I243" t="str">
        <f t="array" ref="I243">IFERROR(INDEX('Player Raw Data'!S:S,Match($A243,'Player Raw Data'!$B:$B,0)),"")</f>
        <v/>
      </c>
      <c r="J243" t="str">
        <f t="array" ref="J243">IFERROR(INDEX('Player Raw Data'!T:T,Match($A243,'Player Raw Data'!$B:$B,0)),"")</f>
        <v/>
      </c>
      <c r="K243" t="str">
        <f t="array" ref="K243">IFERROR(INDEX('Player Raw Data'!X:X,Match($A243,'Player Raw Data'!$B:$B,0)),"")</f>
        <v/>
      </c>
      <c r="L243" t="str">
        <f t="array" ref="L243">IFERROR(INDEX('Player Raw Data'!Y:Y,Match($A243,'Player Raw Data'!$B:$B,0)),"")</f>
        <v/>
      </c>
      <c r="M243" t="str">
        <f t="array" ref="M243">IFERROR(INDEX('Player Raw Data'!Z:Z,Match($A243,'Player Raw Data'!$B:$B,0)),"")</f>
        <v/>
      </c>
      <c r="N243" t="str">
        <f t="array" ref="N243">IFERROR(INDEX('Player Raw Data'!AA:AA,Match($A243,'Player Raw Data'!$B:$B,0)),"")</f>
        <v/>
      </c>
      <c r="O243" t="str">
        <f t="array" ref="O243">IFERROR(INDEX('Player Raw Data'!AB:AB,Match($A243,'Player Raw Data'!$B:$B,0)),"")</f>
        <v/>
      </c>
      <c r="P243" t="str">
        <f t="array" ref="P243">IFERROR(INDEX('Player Raw Data'!AD:AD,Match($A243,'Player Raw Data'!$B:$B,0)),"")</f>
        <v/>
      </c>
      <c r="Q243">
        <f t="shared" si="1"/>
        <v>0</v>
      </c>
      <c r="R243" s="9">
        <f t="shared" si="2"/>
        <v>0</v>
      </c>
      <c r="S243" s="14">
        <f t="shared" si="3"/>
        <v>0</v>
      </c>
      <c r="T243" s="15">
        <f>IFERROR(__xludf.DUMMYFUNCTION("IFERROR(PERCENTRANK.INC(FILTER(Q:Q,$F:$F&lt;&gt;""""),Q243)*100,"""")"),1.5)</f>
        <v>1.5</v>
      </c>
      <c r="U243" s="15">
        <f>IFERROR(__xludf.DUMMYFUNCTION("IFERROR(PERCENTRANK.INC(FILTER(R:R,$F:$F&lt;&gt;""""),R243)*100,"""")"),1.5)</f>
        <v>1.5</v>
      </c>
      <c r="V243" s="15">
        <f>IFERROR(__xludf.DUMMYFUNCTION("IFERROR(PERCENTRANK.INC(FILTER(S:S,$F:$F&lt;&gt;""""),S243)*100,"""")"),1.5)</f>
        <v>1.5</v>
      </c>
      <c r="W243" s="15" t="str">
        <f t="shared" si="4"/>
        <v/>
      </c>
      <c r="X243" s="16"/>
      <c r="Y243" s="9"/>
      <c r="Z243" s="9"/>
    </row>
    <row r="244">
      <c r="B244" t="str">
        <f t="array" ref="B244">IFERROR(INDEX('Player Raw Data'!E:E,Match($A244,'Player Raw Data'!$B:$B,0)),"")</f>
        <v/>
      </c>
      <c r="C244" t="str">
        <f t="array" ref="C244">IFERROR(INDEX('Player Raw Data'!C:C,Match($A244,'Player Raw Data'!$B:$B,0)),"")</f>
        <v/>
      </c>
      <c r="D244" t="str">
        <f t="array" ref="D244">IFERROR(IF(A244=A243, INDEX('Player Raw Data'!D:D,Match($A244,'Player Raw Data'!$B:$B,0)+2),INDEX('Player Raw Data'!D:D,Match($A244,'Player Raw Data'!$B:$B,0))),"")</f>
        <v/>
      </c>
      <c r="E244" t="str">
        <f t="array" ref="E244">IFERROR(INDEX('Player Raw Data'!F:F,Match($A244,'Player Raw Data'!$B:$B,0)),"")</f>
        <v/>
      </c>
      <c r="F244" t="str">
        <f t="array" ref="F244">IFERROR(INDEX('Player Raw Data'!H:H,Match($A244,'Player Raw Data'!$B:$B,0)),"")</f>
        <v/>
      </c>
      <c r="G244" t="str">
        <f t="array" ref="G244">IFERROR(INDEX('Player Raw Data'!I:I,Match($A244,'Player Raw Data'!$B:$B,0)),"")</f>
        <v/>
      </c>
      <c r="H244" t="str">
        <f t="array" ref="H244">IFERROR(INDEX('Player Raw Data'!J:J,Match($A244,'Player Raw Data'!$B:$B,0)),"")</f>
        <v/>
      </c>
      <c r="I244" t="str">
        <f t="array" ref="I244">IFERROR(INDEX('Player Raw Data'!S:S,Match($A244,'Player Raw Data'!$B:$B,0)),"")</f>
        <v/>
      </c>
      <c r="J244" t="str">
        <f t="array" ref="J244">IFERROR(INDEX('Player Raw Data'!T:T,Match($A244,'Player Raw Data'!$B:$B,0)),"")</f>
        <v/>
      </c>
      <c r="K244" t="str">
        <f t="array" ref="K244">IFERROR(INDEX('Player Raw Data'!X:X,Match($A244,'Player Raw Data'!$B:$B,0)),"")</f>
        <v/>
      </c>
      <c r="L244" t="str">
        <f t="array" ref="L244">IFERROR(INDEX('Player Raw Data'!Y:Y,Match($A244,'Player Raw Data'!$B:$B,0)),"")</f>
        <v/>
      </c>
      <c r="M244" t="str">
        <f t="array" ref="M244">IFERROR(INDEX('Player Raw Data'!Z:Z,Match($A244,'Player Raw Data'!$B:$B,0)),"")</f>
        <v/>
      </c>
      <c r="N244" t="str">
        <f t="array" ref="N244">IFERROR(INDEX('Player Raw Data'!AA:AA,Match($A244,'Player Raw Data'!$B:$B,0)),"")</f>
        <v/>
      </c>
      <c r="O244" t="str">
        <f t="array" ref="O244">IFERROR(INDEX('Player Raw Data'!AB:AB,Match($A244,'Player Raw Data'!$B:$B,0)),"")</f>
        <v/>
      </c>
      <c r="P244" t="str">
        <f t="array" ref="P244">IFERROR(INDEX('Player Raw Data'!AD:AD,Match($A244,'Player Raw Data'!$B:$B,0)),"")</f>
        <v/>
      </c>
      <c r="Q244">
        <f t="shared" si="1"/>
        <v>0</v>
      </c>
      <c r="R244" s="9">
        <f t="shared" si="2"/>
        <v>0</v>
      </c>
      <c r="S244" s="14">
        <f t="shared" si="3"/>
        <v>0</v>
      </c>
      <c r="T244" s="15">
        <f>IFERROR(__xludf.DUMMYFUNCTION("IFERROR(PERCENTRANK.INC(FILTER(Q:Q,$F:$F&lt;&gt;""""),Q244)*100,"""")"),1.5)</f>
        <v>1.5</v>
      </c>
      <c r="U244" s="15">
        <f>IFERROR(__xludf.DUMMYFUNCTION("IFERROR(PERCENTRANK.INC(FILTER(R:R,$F:$F&lt;&gt;""""),R244)*100,"""")"),1.5)</f>
        <v>1.5</v>
      </c>
      <c r="V244" s="15">
        <f>IFERROR(__xludf.DUMMYFUNCTION("IFERROR(PERCENTRANK.INC(FILTER(S:S,$F:$F&lt;&gt;""""),S244)*100,"""")"),1.5)</f>
        <v>1.5</v>
      </c>
      <c r="W244" s="15" t="str">
        <f t="shared" si="4"/>
        <v/>
      </c>
      <c r="X244" s="16"/>
      <c r="Y244" s="9"/>
      <c r="Z244" s="9"/>
    </row>
    <row r="245">
      <c r="B245" t="str">
        <f t="array" ref="B245">IFERROR(INDEX('Player Raw Data'!E:E,Match($A245,'Player Raw Data'!$B:$B,0)),"")</f>
        <v/>
      </c>
      <c r="C245" t="str">
        <f t="array" ref="C245">IFERROR(INDEX('Player Raw Data'!C:C,Match($A245,'Player Raw Data'!$B:$B,0)),"")</f>
        <v/>
      </c>
      <c r="D245" t="str">
        <f t="array" ref="D245">IFERROR(IF(A245=A244, INDEX('Player Raw Data'!D:D,Match($A245,'Player Raw Data'!$B:$B,0)+2),INDEX('Player Raw Data'!D:D,Match($A245,'Player Raw Data'!$B:$B,0))),"")</f>
        <v/>
      </c>
      <c r="E245" t="str">
        <f t="array" ref="E245">IFERROR(INDEX('Player Raw Data'!F:F,Match($A245,'Player Raw Data'!$B:$B,0)),"")</f>
        <v/>
      </c>
      <c r="F245" t="str">
        <f t="array" ref="F245">IFERROR(INDEX('Player Raw Data'!H:H,Match($A245,'Player Raw Data'!$B:$B,0)),"")</f>
        <v/>
      </c>
      <c r="G245" t="str">
        <f t="array" ref="G245">IFERROR(INDEX('Player Raw Data'!I:I,Match($A245,'Player Raw Data'!$B:$B,0)),"")</f>
        <v/>
      </c>
      <c r="H245" t="str">
        <f t="array" ref="H245">IFERROR(INDEX('Player Raw Data'!J:J,Match($A245,'Player Raw Data'!$B:$B,0)),"")</f>
        <v/>
      </c>
      <c r="I245" t="str">
        <f t="array" ref="I245">IFERROR(INDEX('Player Raw Data'!S:S,Match($A245,'Player Raw Data'!$B:$B,0)),"")</f>
        <v/>
      </c>
      <c r="J245" t="str">
        <f t="array" ref="J245">IFERROR(INDEX('Player Raw Data'!T:T,Match($A245,'Player Raw Data'!$B:$B,0)),"")</f>
        <v/>
      </c>
      <c r="K245" t="str">
        <f t="array" ref="K245">IFERROR(INDEX('Player Raw Data'!X:X,Match($A245,'Player Raw Data'!$B:$B,0)),"")</f>
        <v/>
      </c>
      <c r="L245" t="str">
        <f t="array" ref="L245">IFERROR(INDEX('Player Raw Data'!Y:Y,Match($A245,'Player Raw Data'!$B:$B,0)),"")</f>
        <v/>
      </c>
      <c r="M245" t="str">
        <f t="array" ref="M245">IFERROR(INDEX('Player Raw Data'!Z:Z,Match($A245,'Player Raw Data'!$B:$B,0)),"")</f>
        <v/>
      </c>
      <c r="N245" t="str">
        <f t="array" ref="N245">IFERROR(INDEX('Player Raw Data'!AA:AA,Match($A245,'Player Raw Data'!$B:$B,0)),"")</f>
        <v/>
      </c>
      <c r="O245" t="str">
        <f t="array" ref="O245">IFERROR(INDEX('Player Raw Data'!AB:AB,Match($A245,'Player Raw Data'!$B:$B,0)),"")</f>
        <v/>
      </c>
      <c r="P245" t="str">
        <f t="array" ref="P245">IFERROR(INDEX('Player Raw Data'!AD:AD,Match($A245,'Player Raw Data'!$B:$B,0)),"")</f>
        <v/>
      </c>
      <c r="Q245">
        <f t="shared" si="1"/>
        <v>0</v>
      </c>
      <c r="R245" s="9">
        <f t="shared" si="2"/>
        <v>0</v>
      </c>
      <c r="S245" s="14">
        <f t="shared" si="3"/>
        <v>0</v>
      </c>
      <c r="T245" s="15">
        <f>IFERROR(__xludf.DUMMYFUNCTION("IFERROR(PERCENTRANK.INC(FILTER(Q:Q,$F:$F&lt;&gt;""""),Q245)*100,"""")"),1.5)</f>
        <v>1.5</v>
      </c>
      <c r="U245" s="15">
        <f>IFERROR(__xludf.DUMMYFUNCTION("IFERROR(PERCENTRANK.INC(FILTER(R:R,$F:$F&lt;&gt;""""),R245)*100,"""")"),1.5)</f>
        <v>1.5</v>
      </c>
      <c r="V245" s="15">
        <f>IFERROR(__xludf.DUMMYFUNCTION("IFERROR(PERCENTRANK.INC(FILTER(S:S,$F:$F&lt;&gt;""""),S245)*100,"""")"),1.5)</f>
        <v>1.5</v>
      </c>
      <c r="W245" s="15" t="str">
        <f t="shared" si="4"/>
        <v/>
      </c>
      <c r="X245" s="16"/>
      <c r="Y245" s="9"/>
      <c r="Z245" s="9"/>
    </row>
    <row r="246">
      <c r="B246" t="str">
        <f t="array" ref="B246">IFERROR(INDEX('Player Raw Data'!E:E,Match($A246,'Player Raw Data'!$B:$B,0)),"")</f>
        <v/>
      </c>
      <c r="C246" t="str">
        <f t="array" ref="C246">IFERROR(INDEX('Player Raw Data'!C:C,Match($A246,'Player Raw Data'!$B:$B,0)),"")</f>
        <v/>
      </c>
      <c r="D246" t="str">
        <f t="array" ref="D246">IFERROR(IF(A246=A245, INDEX('Player Raw Data'!D:D,Match($A246,'Player Raw Data'!$B:$B,0)+2),INDEX('Player Raw Data'!D:D,Match($A246,'Player Raw Data'!$B:$B,0))),"")</f>
        <v/>
      </c>
      <c r="E246" t="str">
        <f t="array" ref="E246">IFERROR(INDEX('Player Raw Data'!F:F,Match($A246,'Player Raw Data'!$B:$B,0)),"")</f>
        <v/>
      </c>
      <c r="F246" t="str">
        <f t="array" ref="F246">IFERROR(INDEX('Player Raw Data'!H:H,Match($A246,'Player Raw Data'!$B:$B,0)),"")</f>
        <v/>
      </c>
      <c r="G246" t="str">
        <f t="array" ref="G246">IFERROR(INDEX('Player Raw Data'!I:I,Match($A246,'Player Raw Data'!$B:$B,0)),"")</f>
        <v/>
      </c>
      <c r="H246" t="str">
        <f t="array" ref="H246">IFERROR(INDEX('Player Raw Data'!J:J,Match($A246,'Player Raw Data'!$B:$B,0)),"")</f>
        <v/>
      </c>
      <c r="I246" t="str">
        <f t="array" ref="I246">IFERROR(INDEX('Player Raw Data'!S:S,Match($A246,'Player Raw Data'!$B:$B,0)),"")</f>
        <v/>
      </c>
      <c r="J246" t="str">
        <f t="array" ref="J246">IFERROR(INDEX('Player Raw Data'!T:T,Match($A246,'Player Raw Data'!$B:$B,0)),"")</f>
        <v/>
      </c>
      <c r="K246" t="str">
        <f t="array" ref="K246">IFERROR(INDEX('Player Raw Data'!X:X,Match($A246,'Player Raw Data'!$B:$B,0)),"")</f>
        <v/>
      </c>
      <c r="L246" t="str">
        <f t="array" ref="L246">IFERROR(INDEX('Player Raw Data'!Y:Y,Match($A246,'Player Raw Data'!$B:$B,0)),"")</f>
        <v/>
      </c>
      <c r="M246" t="str">
        <f t="array" ref="M246">IFERROR(INDEX('Player Raw Data'!Z:Z,Match($A246,'Player Raw Data'!$B:$B,0)),"")</f>
        <v/>
      </c>
      <c r="N246" t="str">
        <f t="array" ref="N246">IFERROR(INDEX('Player Raw Data'!AA:AA,Match($A246,'Player Raw Data'!$B:$B,0)),"")</f>
        <v/>
      </c>
      <c r="O246" t="str">
        <f t="array" ref="O246">IFERROR(INDEX('Player Raw Data'!AB:AB,Match($A246,'Player Raw Data'!$B:$B,0)),"")</f>
        <v/>
      </c>
      <c r="P246" t="str">
        <f t="array" ref="P246">IFERROR(INDEX('Player Raw Data'!AD:AD,Match($A246,'Player Raw Data'!$B:$B,0)),"")</f>
        <v/>
      </c>
      <c r="Q246">
        <f t="shared" si="1"/>
        <v>0</v>
      </c>
      <c r="R246" s="9">
        <f t="shared" si="2"/>
        <v>0</v>
      </c>
      <c r="S246" s="14">
        <f t="shared" si="3"/>
        <v>0</v>
      </c>
      <c r="T246" s="15">
        <f>IFERROR(__xludf.DUMMYFUNCTION("IFERROR(PERCENTRANK.INC(FILTER(Q:Q,$F:$F&lt;&gt;""""),Q246)*100,"""")"),1.5)</f>
        <v>1.5</v>
      </c>
      <c r="U246" s="15">
        <f>IFERROR(__xludf.DUMMYFUNCTION("IFERROR(PERCENTRANK.INC(FILTER(R:R,$F:$F&lt;&gt;""""),R246)*100,"""")"),1.5)</f>
        <v>1.5</v>
      </c>
      <c r="V246" s="15">
        <f>IFERROR(__xludf.DUMMYFUNCTION("IFERROR(PERCENTRANK.INC(FILTER(S:S,$F:$F&lt;&gt;""""),S246)*100,"""")"),1.5)</f>
        <v>1.5</v>
      </c>
      <c r="W246" s="15" t="str">
        <f t="shared" si="4"/>
        <v/>
      </c>
      <c r="X246" s="16"/>
      <c r="Y246" s="9"/>
      <c r="Z246" s="9"/>
    </row>
    <row r="247">
      <c r="B247" t="str">
        <f t="array" ref="B247">IFERROR(INDEX('Player Raw Data'!E:E,Match($A247,'Player Raw Data'!$B:$B,0)),"")</f>
        <v/>
      </c>
      <c r="C247" t="str">
        <f t="array" ref="C247">IFERROR(INDEX('Player Raw Data'!C:C,Match($A247,'Player Raw Data'!$B:$B,0)),"")</f>
        <v/>
      </c>
      <c r="D247" t="str">
        <f t="array" ref="D247">IFERROR(IF(A247=A246, INDEX('Player Raw Data'!D:D,Match($A247,'Player Raw Data'!$B:$B,0)+2),INDEX('Player Raw Data'!D:D,Match($A247,'Player Raw Data'!$B:$B,0))),"")</f>
        <v/>
      </c>
      <c r="E247" t="str">
        <f t="array" ref="E247">IFERROR(INDEX('Player Raw Data'!F:F,Match($A247,'Player Raw Data'!$B:$B,0)),"")</f>
        <v/>
      </c>
      <c r="F247" t="str">
        <f t="array" ref="F247">IFERROR(INDEX('Player Raw Data'!H:H,Match($A247,'Player Raw Data'!$B:$B,0)),"")</f>
        <v/>
      </c>
      <c r="G247" t="str">
        <f t="array" ref="G247">IFERROR(INDEX('Player Raw Data'!I:I,Match($A247,'Player Raw Data'!$B:$B,0)),"")</f>
        <v/>
      </c>
      <c r="H247" t="str">
        <f t="array" ref="H247">IFERROR(INDEX('Player Raw Data'!J:J,Match($A247,'Player Raw Data'!$B:$B,0)),"")</f>
        <v/>
      </c>
      <c r="I247" t="str">
        <f t="array" ref="I247">IFERROR(INDEX('Player Raw Data'!S:S,Match($A247,'Player Raw Data'!$B:$B,0)),"")</f>
        <v/>
      </c>
      <c r="J247" t="str">
        <f t="array" ref="J247">IFERROR(INDEX('Player Raw Data'!T:T,Match($A247,'Player Raw Data'!$B:$B,0)),"")</f>
        <v/>
      </c>
      <c r="K247" t="str">
        <f t="array" ref="K247">IFERROR(INDEX('Player Raw Data'!X:X,Match($A247,'Player Raw Data'!$B:$B,0)),"")</f>
        <v/>
      </c>
      <c r="L247" t="str">
        <f t="array" ref="L247">IFERROR(INDEX('Player Raw Data'!Y:Y,Match($A247,'Player Raw Data'!$B:$B,0)),"")</f>
        <v/>
      </c>
      <c r="M247" t="str">
        <f t="array" ref="M247">IFERROR(INDEX('Player Raw Data'!Z:Z,Match($A247,'Player Raw Data'!$B:$B,0)),"")</f>
        <v/>
      </c>
      <c r="N247" t="str">
        <f t="array" ref="N247">IFERROR(INDEX('Player Raw Data'!AA:AA,Match($A247,'Player Raw Data'!$B:$B,0)),"")</f>
        <v/>
      </c>
      <c r="O247" t="str">
        <f t="array" ref="O247">IFERROR(INDEX('Player Raw Data'!AB:AB,Match($A247,'Player Raw Data'!$B:$B,0)),"")</f>
        <v/>
      </c>
      <c r="P247" t="str">
        <f t="array" ref="P247">IFERROR(INDEX('Player Raw Data'!AD:AD,Match($A247,'Player Raw Data'!$B:$B,0)),"")</f>
        <v/>
      </c>
      <c r="Q247">
        <f t="shared" si="1"/>
        <v>0</v>
      </c>
      <c r="R247" s="9">
        <f t="shared" si="2"/>
        <v>0</v>
      </c>
      <c r="S247" s="14">
        <f t="shared" si="3"/>
        <v>0</v>
      </c>
      <c r="T247" s="15">
        <f>IFERROR(__xludf.DUMMYFUNCTION("IFERROR(PERCENTRANK.INC(FILTER(Q:Q,$F:$F&lt;&gt;""""),Q247)*100,"""")"),1.5)</f>
        <v>1.5</v>
      </c>
      <c r="U247" s="15">
        <f>IFERROR(__xludf.DUMMYFUNCTION("IFERROR(PERCENTRANK.INC(FILTER(R:R,$F:$F&lt;&gt;""""),R247)*100,"""")"),1.5)</f>
        <v>1.5</v>
      </c>
      <c r="V247" s="15">
        <f>IFERROR(__xludf.DUMMYFUNCTION("IFERROR(PERCENTRANK.INC(FILTER(S:S,$F:$F&lt;&gt;""""),S247)*100,"""")"),1.5)</f>
        <v>1.5</v>
      </c>
      <c r="W247" s="15" t="str">
        <f t="shared" si="4"/>
        <v/>
      </c>
      <c r="X247" s="16"/>
      <c r="Y247" s="9"/>
      <c r="Z247" s="9"/>
    </row>
    <row r="248">
      <c r="B248" t="str">
        <f t="array" ref="B248">IFERROR(INDEX('Player Raw Data'!E:E,Match($A248,'Player Raw Data'!$B:$B,0)),"")</f>
        <v/>
      </c>
      <c r="C248" t="str">
        <f t="array" ref="C248">IFERROR(INDEX('Player Raw Data'!C:C,Match($A248,'Player Raw Data'!$B:$B,0)),"")</f>
        <v/>
      </c>
      <c r="D248" t="str">
        <f t="array" ref="D248">IFERROR(IF(A248=A247, INDEX('Player Raw Data'!D:D,Match($A248,'Player Raw Data'!$B:$B,0)+2),INDEX('Player Raw Data'!D:D,Match($A248,'Player Raw Data'!$B:$B,0))),"")</f>
        <v/>
      </c>
      <c r="E248" t="str">
        <f t="array" ref="E248">IFERROR(INDEX('Player Raw Data'!F:F,Match($A248,'Player Raw Data'!$B:$B,0)),"")</f>
        <v/>
      </c>
      <c r="F248" t="str">
        <f t="array" ref="F248">IFERROR(INDEX('Player Raw Data'!H:H,Match($A248,'Player Raw Data'!$B:$B,0)),"")</f>
        <v/>
      </c>
      <c r="G248" t="str">
        <f t="array" ref="G248">IFERROR(INDEX('Player Raw Data'!I:I,Match($A248,'Player Raw Data'!$B:$B,0)),"")</f>
        <v/>
      </c>
      <c r="H248" t="str">
        <f t="array" ref="H248">IFERROR(INDEX('Player Raw Data'!J:J,Match($A248,'Player Raw Data'!$B:$B,0)),"")</f>
        <v/>
      </c>
      <c r="I248" t="str">
        <f t="array" ref="I248">IFERROR(INDEX('Player Raw Data'!S:S,Match($A248,'Player Raw Data'!$B:$B,0)),"")</f>
        <v/>
      </c>
      <c r="J248" t="str">
        <f t="array" ref="J248">IFERROR(INDEX('Player Raw Data'!T:T,Match($A248,'Player Raw Data'!$B:$B,0)),"")</f>
        <v/>
      </c>
      <c r="K248" t="str">
        <f t="array" ref="K248">IFERROR(INDEX('Player Raw Data'!X:X,Match($A248,'Player Raw Data'!$B:$B,0)),"")</f>
        <v/>
      </c>
      <c r="L248" t="str">
        <f t="array" ref="L248">IFERROR(INDEX('Player Raw Data'!Y:Y,Match($A248,'Player Raw Data'!$B:$B,0)),"")</f>
        <v/>
      </c>
      <c r="M248" t="str">
        <f t="array" ref="M248">IFERROR(INDEX('Player Raw Data'!Z:Z,Match($A248,'Player Raw Data'!$B:$B,0)),"")</f>
        <v/>
      </c>
      <c r="N248" t="str">
        <f t="array" ref="N248">IFERROR(INDEX('Player Raw Data'!AA:AA,Match($A248,'Player Raw Data'!$B:$B,0)),"")</f>
        <v/>
      </c>
      <c r="O248" t="str">
        <f t="array" ref="O248">IFERROR(INDEX('Player Raw Data'!AB:AB,Match($A248,'Player Raw Data'!$B:$B,0)),"")</f>
        <v/>
      </c>
      <c r="P248" t="str">
        <f t="array" ref="P248">IFERROR(INDEX('Player Raw Data'!AD:AD,Match($A248,'Player Raw Data'!$B:$B,0)),"")</f>
        <v/>
      </c>
      <c r="Q248">
        <f t="shared" si="1"/>
        <v>0</v>
      </c>
      <c r="R248" s="9">
        <f t="shared" si="2"/>
        <v>0</v>
      </c>
      <c r="S248" s="14">
        <f t="shared" si="3"/>
        <v>0</v>
      </c>
      <c r="T248" s="15">
        <f>IFERROR(__xludf.DUMMYFUNCTION("IFERROR(PERCENTRANK.INC(FILTER(Q:Q,$F:$F&lt;&gt;""""),Q248)*100,"""")"),1.5)</f>
        <v>1.5</v>
      </c>
      <c r="U248" s="15">
        <f>IFERROR(__xludf.DUMMYFUNCTION("IFERROR(PERCENTRANK.INC(FILTER(R:R,$F:$F&lt;&gt;""""),R248)*100,"""")"),1.5)</f>
        <v>1.5</v>
      </c>
      <c r="V248" s="15">
        <f>IFERROR(__xludf.DUMMYFUNCTION("IFERROR(PERCENTRANK.INC(FILTER(S:S,$F:$F&lt;&gt;""""),S248)*100,"""")"),1.5)</f>
        <v>1.5</v>
      </c>
      <c r="W248" s="15" t="str">
        <f t="shared" si="4"/>
        <v/>
      </c>
      <c r="X248" s="16"/>
      <c r="Y248" s="9"/>
      <c r="Z248" s="9"/>
    </row>
    <row r="249">
      <c r="B249" t="str">
        <f t="array" ref="B249">IFERROR(INDEX('Player Raw Data'!E:E,Match($A249,'Player Raw Data'!$B:$B,0)),"")</f>
        <v/>
      </c>
      <c r="C249" t="str">
        <f t="array" ref="C249">IFERROR(INDEX('Player Raw Data'!C:C,Match($A249,'Player Raw Data'!$B:$B,0)),"")</f>
        <v/>
      </c>
      <c r="D249" t="str">
        <f t="array" ref="D249">IFERROR(IF(A249=A248, INDEX('Player Raw Data'!D:D,Match($A249,'Player Raw Data'!$B:$B,0)+2),INDEX('Player Raw Data'!D:D,Match($A249,'Player Raw Data'!$B:$B,0))),"")</f>
        <v/>
      </c>
      <c r="E249" t="str">
        <f t="array" ref="E249">IFERROR(INDEX('Player Raw Data'!F:F,Match($A249,'Player Raw Data'!$B:$B,0)),"")</f>
        <v/>
      </c>
      <c r="F249" t="str">
        <f t="array" ref="F249">IFERROR(INDEX('Player Raw Data'!H:H,Match($A249,'Player Raw Data'!$B:$B,0)),"")</f>
        <v/>
      </c>
      <c r="G249" t="str">
        <f t="array" ref="G249">IFERROR(INDEX('Player Raw Data'!I:I,Match($A249,'Player Raw Data'!$B:$B,0)),"")</f>
        <v/>
      </c>
      <c r="H249" t="str">
        <f t="array" ref="H249">IFERROR(INDEX('Player Raw Data'!J:J,Match($A249,'Player Raw Data'!$B:$B,0)),"")</f>
        <v/>
      </c>
      <c r="I249" t="str">
        <f t="array" ref="I249">IFERROR(INDEX('Player Raw Data'!S:S,Match($A249,'Player Raw Data'!$B:$B,0)),"")</f>
        <v/>
      </c>
      <c r="J249" t="str">
        <f t="array" ref="J249">IFERROR(INDEX('Player Raw Data'!T:T,Match($A249,'Player Raw Data'!$B:$B,0)),"")</f>
        <v/>
      </c>
      <c r="K249" t="str">
        <f t="array" ref="K249">IFERROR(INDEX('Player Raw Data'!X:X,Match($A249,'Player Raw Data'!$B:$B,0)),"")</f>
        <v/>
      </c>
      <c r="L249" t="str">
        <f t="array" ref="L249">IFERROR(INDEX('Player Raw Data'!Y:Y,Match($A249,'Player Raw Data'!$B:$B,0)),"")</f>
        <v/>
      </c>
      <c r="M249" t="str">
        <f t="array" ref="M249">IFERROR(INDEX('Player Raw Data'!Z:Z,Match($A249,'Player Raw Data'!$B:$B,0)),"")</f>
        <v/>
      </c>
      <c r="N249" t="str">
        <f t="array" ref="N249">IFERROR(INDEX('Player Raw Data'!AA:AA,Match($A249,'Player Raw Data'!$B:$B,0)),"")</f>
        <v/>
      </c>
      <c r="O249" t="str">
        <f t="array" ref="O249">IFERROR(INDEX('Player Raw Data'!AB:AB,Match($A249,'Player Raw Data'!$B:$B,0)),"")</f>
        <v/>
      </c>
      <c r="P249" t="str">
        <f t="array" ref="P249">IFERROR(INDEX('Player Raw Data'!AD:AD,Match($A249,'Player Raw Data'!$B:$B,0)),"")</f>
        <v/>
      </c>
      <c r="Q249">
        <f t="shared" si="1"/>
        <v>0</v>
      </c>
      <c r="R249" s="9">
        <f t="shared" si="2"/>
        <v>0</v>
      </c>
      <c r="S249" s="14">
        <f t="shared" si="3"/>
        <v>0</v>
      </c>
      <c r="T249" s="15">
        <f>IFERROR(__xludf.DUMMYFUNCTION("IFERROR(PERCENTRANK.INC(FILTER(Q:Q,$F:$F&lt;&gt;""""),Q249)*100,"""")"),1.5)</f>
        <v>1.5</v>
      </c>
      <c r="U249" s="15">
        <f>IFERROR(__xludf.DUMMYFUNCTION("IFERROR(PERCENTRANK.INC(FILTER(R:R,$F:$F&lt;&gt;""""),R249)*100,"""")"),1.5)</f>
        <v>1.5</v>
      </c>
      <c r="V249" s="15">
        <f>IFERROR(__xludf.DUMMYFUNCTION("IFERROR(PERCENTRANK.INC(FILTER(S:S,$F:$F&lt;&gt;""""),S249)*100,"""")"),1.5)</f>
        <v>1.5</v>
      </c>
      <c r="W249" s="15" t="str">
        <f t="shared" si="4"/>
        <v/>
      </c>
      <c r="X249" s="16"/>
      <c r="Y249" s="9"/>
      <c r="Z249" s="9"/>
    </row>
    <row r="250">
      <c r="B250" t="str">
        <f t="array" ref="B250">IFERROR(INDEX('Player Raw Data'!E:E,Match($A250,'Player Raw Data'!$B:$B,0)),"")</f>
        <v/>
      </c>
      <c r="C250" t="str">
        <f t="array" ref="C250">IFERROR(INDEX('Player Raw Data'!C:C,Match($A250,'Player Raw Data'!$B:$B,0)),"")</f>
        <v/>
      </c>
      <c r="D250" t="str">
        <f t="array" ref="D250">IFERROR(IF(A250=A249, INDEX('Player Raw Data'!D:D,Match($A250,'Player Raw Data'!$B:$B,0)+2),INDEX('Player Raw Data'!D:D,Match($A250,'Player Raw Data'!$B:$B,0))),"")</f>
        <v/>
      </c>
      <c r="E250" t="str">
        <f t="array" ref="E250">IFERROR(INDEX('Player Raw Data'!F:F,Match($A250,'Player Raw Data'!$B:$B,0)),"")</f>
        <v/>
      </c>
      <c r="F250" t="str">
        <f t="array" ref="F250">IFERROR(INDEX('Player Raw Data'!H:H,Match($A250,'Player Raw Data'!$B:$B,0)),"")</f>
        <v/>
      </c>
      <c r="G250" t="str">
        <f t="array" ref="G250">IFERROR(INDEX('Player Raw Data'!I:I,Match($A250,'Player Raw Data'!$B:$B,0)),"")</f>
        <v/>
      </c>
      <c r="H250" t="str">
        <f t="array" ref="H250">IFERROR(INDEX('Player Raw Data'!J:J,Match($A250,'Player Raw Data'!$B:$B,0)),"")</f>
        <v/>
      </c>
      <c r="I250" t="str">
        <f t="array" ref="I250">IFERROR(INDEX('Player Raw Data'!S:S,Match($A250,'Player Raw Data'!$B:$B,0)),"")</f>
        <v/>
      </c>
      <c r="J250" t="str">
        <f t="array" ref="J250">IFERROR(INDEX('Player Raw Data'!T:T,Match($A250,'Player Raw Data'!$B:$B,0)),"")</f>
        <v/>
      </c>
      <c r="K250" t="str">
        <f t="array" ref="K250">IFERROR(INDEX('Player Raw Data'!X:X,Match($A250,'Player Raw Data'!$B:$B,0)),"")</f>
        <v/>
      </c>
      <c r="L250" t="str">
        <f t="array" ref="L250">IFERROR(INDEX('Player Raw Data'!Y:Y,Match($A250,'Player Raw Data'!$B:$B,0)),"")</f>
        <v/>
      </c>
      <c r="M250" t="str">
        <f t="array" ref="M250">IFERROR(INDEX('Player Raw Data'!Z:Z,Match($A250,'Player Raw Data'!$B:$B,0)),"")</f>
        <v/>
      </c>
      <c r="N250" t="str">
        <f t="array" ref="N250">IFERROR(INDEX('Player Raw Data'!AA:AA,Match($A250,'Player Raw Data'!$B:$B,0)),"")</f>
        <v/>
      </c>
      <c r="O250" t="str">
        <f t="array" ref="O250">IFERROR(INDEX('Player Raw Data'!AB:AB,Match($A250,'Player Raw Data'!$B:$B,0)),"")</f>
        <v/>
      </c>
      <c r="P250" t="str">
        <f t="array" ref="P250">IFERROR(INDEX('Player Raw Data'!AD:AD,Match($A250,'Player Raw Data'!$B:$B,0)),"")</f>
        <v/>
      </c>
      <c r="Q250">
        <f t="shared" si="1"/>
        <v>0</v>
      </c>
      <c r="R250" s="9">
        <f t="shared" si="2"/>
        <v>0</v>
      </c>
      <c r="S250" s="14">
        <f t="shared" si="3"/>
        <v>0</v>
      </c>
      <c r="T250" s="15">
        <f>IFERROR(__xludf.DUMMYFUNCTION("IFERROR(PERCENTRANK.INC(FILTER(Q:Q,$F:$F&lt;&gt;""""),Q250)*100,"""")"),1.5)</f>
        <v>1.5</v>
      </c>
      <c r="U250" s="15">
        <f>IFERROR(__xludf.DUMMYFUNCTION("IFERROR(PERCENTRANK.INC(FILTER(R:R,$F:$F&lt;&gt;""""),R250)*100,"""")"),1.5)</f>
        <v>1.5</v>
      </c>
      <c r="V250" s="15">
        <f>IFERROR(__xludf.DUMMYFUNCTION("IFERROR(PERCENTRANK.INC(FILTER(S:S,$F:$F&lt;&gt;""""),S250)*100,"""")"),1.5)</f>
        <v>1.5</v>
      </c>
      <c r="W250" s="15" t="str">
        <f t="shared" si="4"/>
        <v/>
      </c>
      <c r="X250" s="16"/>
      <c r="Y250" s="9"/>
      <c r="Z250" s="9"/>
    </row>
    <row r="251">
      <c r="B251" t="str">
        <f t="array" ref="B251">IFERROR(INDEX('Player Raw Data'!E:E,Match($A251,'Player Raw Data'!$B:$B,0)),"")</f>
        <v/>
      </c>
      <c r="C251" t="str">
        <f t="array" ref="C251">IFERROR(INDEX('Player Raw Data'!C:C,Match($A251,'Player Raw Data'!$B:$B,0)),"")</f>
        <v/>
      </c>
      <c r="D251" t="str">
        <f t="array" ref="D251">IFERROR(IF(A251=A250, INDEX('Player Raw Data'!D:D,Match($A251,'Player Raw Data'!$B:$B,0)+2),INDEX('Player Raw Data'!D:D,Match($A251,'Player Raw Data'!$B:$B,0))),"")</f>
        <v/>
      </c>
      <c r="E251" t="str">
        <f t="array" ref="E251">IFERROR(INDEX('Player Raw Data'!F:F,Match($A251,'Player Raw Data'!$B:$B,0)),"")</f>
        <v/>
      </c>
      <c r="F251" t="str">
        <f t="array" ref="F251">IFERROR(INDEX('Player Raw Data'!H:H,Match($A251,'Player Raw Data'!$B:$B,0)),"")</f>
        <v/>
      </c>
      <c r="G251" t="str">
        <f t="array" ref="G251">IFERROR(INDEX('Player Raw Data'!I:I,Match($A251,'Player Raw Data'!$B:$B,0)),"")</f>
        <v/>
      </c>
      <c r="H251" t="str">
        <f t="array" ref="H251">IFERROR(INDEX('Player Raw Data'!J:J,Match($A251,'Player Raw Data'!$B:$B,0)),"")</f>
        <v/>
      </c>
      <c r="I251" t="str">
        <f t="array" ref="I251">IFERROR(INDEX('Player Raw Data'!S:S,Match($A251,'Player Raw Data'!$B:$B,0)),"")</f>
        <v/>
      </c>
      <c r="J251" t="str">
        <f t="array" ref="J251">IFERROR(INDEX('Player Raw Data'!T:T,Match($A251,'Player Raw Data'!$B:$B,0)),"")</f>
        <v/>
      </c>
      <c r="K251" t="str">
        <f t="array" ref="K251">IFERROR(INDEX('Player Raw Data'!X:X,Match($A251,'Player Raw Data'!$B:$B,0)),"")</f>
        <v/>
      </c>
      <c r="L251" t="str">
        <f t="array" ref="L251">IFERROR(INDEX('Player Raw Data'!Y:Y,Match($A251,'Player Raw Data'!$B:$B,0)),"")</f>
        <v/>
      </c>
      <c r="M251" t="str">
        <f t="array" ref="M251">IFERROR(INDEX('Player Raw Data'!Z:Z,Match($A251,'Player Raw Data'!$B:$B,0)),"")</f>
        <v/>
      </c>
      <c r="N251" t="str">
        <f t="array" ref="N251">IFERROR(INDEX('Player Raw Data'!AA:AA,Match($A251,'Player Raw Data'!$B:$B,0)),"")</f>
        <v/>
      </c>
      <c r="O251" t="str">
        <f t="array" ref="O251">IFERROR(INDEX('Player Raw Data'!AB:AB,Match($A251,'Player Raw Data'!$B:$B,0)),"")</f>
        <v/>
      </c>
      <c r="P251" t="str">
        <f t="array" ref="P251">IFERROR(INDEX('Player Raw Data'!AD:AD,Match($A251,'Player Raw Data'!$B:$B,0)),"")</f>
        <v/>
      </c>
      <c r="Q251">
        <f t="shared" si="1"/>
        <v>0</v>
      </c>
      <c r="R251" s="9">
        <f t="shared" si="2"/>
        <v>0</v>
      </c>
      <c r="S251" s="14">
        <f t="shared" si="3"/>
        <v>0</v>
      </c>
      <c r="T251" s="15">
        <f>IFERROR(__xludf.DUMMYFUNCTION("IFERROR(PERCENTRANK.INC(FILTER(Q:Q,$F:$F&lt;&gt;""""),Q251)*100,"""")"),1.5)</f>
        <v>1.5</v>
      </c>
      <c r="U251" s="15">
        <f>IFERROR(__xludf.DUMMYFUNCTION("IFERROR(PERCENTRANK.INC(FILTER(R:R,$F:$F&lt;&gt;""""),R251)*100,"""")"),1.5)</f>
        <v>1.5</v>
      </c>
      <c r="V251" s="15">
        <f>IFERROR(__xludf.DUMMYFUNCTION("IFERROR(PERCENTRANK.INC(FILTER(S:S,$F:$F&lt;&gt;""""),S251)*100,"""")"),1.5)</f>
        <v>1.5</v>
      </c>
      <c r="W251" s="15" t="str">
        <f t="shared" si="4"/>
        <v/>
      </c>
      <c r="X251" s="16"/>
      <c r="Y251" s="9"/>
      <c r="Z251" s="9"/>
    </row>
    <row r="252">
      <c r="B252" t="str">
        <f t="array" ref="B252">IFERROR(INDEX('Player Raw Data'!E:E,Match($A252,'Player Raw Data'!$B:$B,0)),"")</f>
        <v/>
      </c>
      <c r="C252" t="str">
        <f t="array" ref="C252">IFERROR(INDEX('Player Raw Data'!C:C,Match($A252,'Player Raw Data'!$B:$B,0)),"")</f>
        <v/>
      </c>
      <c r="D252" t="str">
        <f t="array" ref="D252">IFERROR(IF(A252=A251, INDEX('Player Raw Data'!D:D,Match($A252,'Player Raw Data'!$B:$B,0)+2),INDEX('Player Raw Data'!D:D,Match($A252,'Player Raw Data'!$B:$B,0))),"")</f>
        <v/>
      </c>
      <c r="E252" t="str">
        <f t="array" ref="E252">IFERROR(INDEX('Player Raw Data'!F:F,Match($A252,'Player Raw Data'!$B:$B,0)),"")</f>
        <v/>
      </c>
      <c r="F252" t="str">
        <f t="array" ref="F252">IFERROR(INDEX('Player Raw Data'!H:H,Match($A252,'Player Raw Data'!$B:$B,0)),"")</f>
        <v/>
      </c>
      <c r="G252" t="str">
        <f t="array" ref="G252">IFERROR(INDEX('Player Raw Data'!I:I,Match($A252,'Player Raw Data'!$B:$B,0)),"")</f>
        <v/>
      </c>
      <c r="H252" t="str">
        <f t="array" ref="H252">IFERROR(INDEX('Player Raw Data'!J:J,Match($A252,'Player Raw Data'!$B:$B,0)),"")</f>
        <v/>
      </c>
      <c r="I252" t="str">
        <f t="array" ref="I252">IFERROR(INDEX('Player Raw Data'!S:S,Match($A252,'Player Raw Data'!$B:$B,0)),"")</f>
        <v/>
      </c>
      <c r="J252" t="str">
        <f t="array" ref="J252">IFERROR(INDEX('Player Raw Data'!T:T,Match($A252,'Player Raw Data'!$B:$B,0)),"")</f>
        <v/>
      </c>
      <c r="K252" t="str">
        <f t="array" ref="K252">IFERROR(INDEX('Player Raw Data'!X:X,Match($A252,'Player Raw Data'!$B:$B,0)),"")</f>
        <v/>
      </c>
      <c r="L252" t="str">
        <f t="array" ref="L252">IFERROR(INDEX('Player Raw Data'!Y:Y,Match($A252,'Player Raw Data'!$B:$B,0)),"")</f>
        <v/>
      </c>
      <c r="M252" t="str">
        <f t="array" ref="M252">IFERROR(INDEX('Player Raw Data'!Z:Z,Match($A252,'Player Raw Data'!$B:$B,0)),"")</f>
        <v/>
      </c>
      <c r="N252" t="str">
        <f t="array" ref="N252">IFERROR(INDEX('Player Raw Data'!AA:AA,Match($A252,'Player Raw Data'!$B:$B,0)),"")</f>
        <v/>
      </c>
      <c r="O252" t="str">
        <f t="array" ref="O252">IFERROR(INDEX('Player Raw Data'!AB:AB,Match($A252,'Player Raw Data'!$B:$B,0)),"")</f>
        <v/>
      </c>
      <c r="P252" t="str">
        <f t="array" ref="P252">IFERROR(INDEX('Player Raw Data'!AD:AD,Match($A252,'Player Raw Data'!$B:$B,0)),"")</f>
        <v/>
      </c>
      <c r="Q252">
        <f t="shared" si="1"/>
        <v>0</v>
      </c>
      <c r="R252" s="9">
        <f t="shared" si="2"/>
        <v>0</v>
      </c>
      <c r="S252" s="14">
        <f t="shared" si="3"/>
        <v>0</v>
      </c>
      <c r="T252" s="15">
        <f>IFERROR(__xludf.DUMMYFUNCTION("IFERROR(PERCENTRANK.INC(FILTER(Q:Q,$F:$F&lt;&gt;""""),Q252)*100,"""")"),1.5)</f>
        <v>1.5</v>
      </c>
      <c r="U252" s="15">
        <f>IFERROR(__xludf.DUMMYFUNCTION("IFERROR(PERCENTRANK.INC(FILTER(R:R,$F:$F&lt;&gt;""""),R252)*100,"""")"),1.5)</f>
        <v>1.5</v>
      </c>
      <c r="V252" s="15">
        <f>IFERROR(__xludf.DUMMYFUNCTION("IFERROR(PERCENTRANK.INC(FILTER(S:S,$F:$F&lt;&gt;""""),S252)*100,"""")"),1.5)</f>
        <v>1.5</v>
      </c>
      <c r="W252" s="15" t="str">
        <f t="shared" si="4"/>
        <v/>
      </c>
      <c r="X252" s="16"/>
      <c r="Y252" s="9"/>
      <c r="Z252" s="9"/>
    </row>
    <row r="253">
      <c r="B253" t="str">
        <f t="array" ref="B253">IFERROR(INDEX('Player Raw Data'!E:E,Match($A253,'Player Raw Data'!$B:$B,0)),"")</f>
        <v/>
      </c>
      <c r="C253" t="str">
        <f t="array" ref="C253">IFERROR(INDEX('Player Raw Data'!C:C,Match($A253,'Player Raw Data'!$B:$B,0)),"")</f>
        <v/>
      </c>
      <c r="D253" t="str">
        <f t="array" ref="D253">IFERROR(IF(A253=A252, INDEX('Player Raw Data'!D:D,Match($A253,'Player Raw Data'!$B:$B,0)+2),INDEX('Player Raw Data'!D:D,Match($A253,'Player Raw Data'!$B:$B,0))),"")</f>
        <v/>
      </c>
      <c r="E253" t="str">
        <f t="array" ref="E253">IFERROR(INDEX('Player Raw Data'!F:F,Match($A253,'Player Raw Data'!$B:$B,0)),"")</f>
        <v/>
      </c>
      <c r="F253" t="str">
        <f t="array" ref="F253">IFERROR(INDEX('Player Raw Data'!H:H,Match($A253,'Player Raw Data'!$B:$B,0)),"")</f>
        <v/>
      </c>
      <c r="G253" t="str">
        <f t="array" ref="G253">IFERROR(INDEX('Player Raw Data'!I:I,Match($A253,'Player Raw Data'!$B:$B,0)),"")</f>
        <v/>
      </c>
      <c r="H253" t="str">
        <f t="array" ref="H253">IFERROR(INDEX('Player Raw Data'!J:J,Match($A253,'Player Raw Data'!$B:$B,0)),"")</f>
        <v/>
      </c>
      <c r="I253" t="str">
        <f t="array" ref="I253">IFERROR(INDEX('Player Raw Data'!S:S,Match($A253,'Player Raw Data'!$B:$B,0)),"")</f>
        <v/>
      </c>
      <c r="J253" t="str">
        <f t="array" ref="J253">IFERROR(INDEX('Player Raw Data'!T:T,Match($A253,'Player Raw Data'!$B:$B,0)),"")</f>
        <v/>
      </c>
      <c r="K253" t="str">
        <f t="array" ref="K253">IFERROR(INDEX('Player Raw Data'!X:X,Match($A253,'Player Raw Data'!$B:$B,0)),"")</f>
        <v/>
      </c>
      <c r="L253" t="str">
        <f t="array" ref="L253">IFERROR(INDEX('Player Raw Data'!Y:Y,Match($A253,'Player Raw Data'!$B:$B,0)),"")</f>
        <v/>
      </c>
      <c r="M253" t="str">
        <f t="array" ref="M253">IFERROR(INDEX('Player Raw Data'!Z:Z,Match($A253,'Player Raw Data'!$B:$B,0)),"")</f>
        <v/>
      </c>
      <c r="N253" t="str">
        <f t="array" ref="N253">IFERROR(INDEX('Player Raw Data'!AA:AA,Match($A253,'Player Raw Data'!$B:$B,0)),"")</f>
        <v/>
      </c>
      <c r="O253" t="str">
        <f t="array" ref="O253">IFERROR(INDEX('Player Raw Data'!AB:AB,Match($A253,'Player Raw Data'!$B:$B,0)),"")</f>
        <v/>
      </c>
      <c r="P253" t="str">
        <f t="array" ref="P253">IFERROR(INDEX('Player Raw Data'!AD:AD,Match($A253,'Player Raw Data'!$B:$B,0)),"")</f>
        <v/>
      </c>
      <c r="Q253">
        <f t="shared" si="1"/>
        <v>0</v>
      </c>
      <c r="R253" s="9">
        <f t="shared" si="2"/>
        <v>0</v>
      </c>
      <c r="S253" s="14">
        <f t="shared" si="3"/>
        <v>0</v>
      </c>
      <c r="T253" s="15">
        <f>IFERROR(__xludf.DUMMYFUNCTION("IFERROR(PERCENTRANK.INC(FILTER(Q:Q,$F:$F&lt;&gt;""""),Q253)*100,"""")"),1.5)</f>
        <v>1.5</v>
      </c>
      <c r="U253" s="15">
        <f>IFERROR(__xludf.DUMMYFUNCTION("IFERROR(PERCENTRANK.INC(FILTER(R:R,$F:$F&lt;&gt;""""),R253)*100,"""")"),1.5)</f>
        <v>1.5</v>
      </c>
      <c r="V253" s="15">
        <f>IFERROR(__xludf.DUMMYFUNCTION("IFERROR(PERCENTRANK.INC(FILTER(S:S,$F:$F&lt;&gt;""""),S253)*100,"""")"),1.5)</f>
        <v>1.5</v>
      </c>
      <c r="W253" s="15" t="str">
        <f t="shared" si="4"/>
        <v/>
      </c>
      <c r="X253" s="16"/>
      <c r="Y253" s="9"/>
      <c r="Z253" s="9"/>
    </row>
    <row r="254">
      <c r="B254" t="str">
        <f t="array" ref="B254">IFERROR(INDEX('Player Raw Data'!E:E,Match($A254,'Player Raw Data'!$B:$B,0)),"")</f>
        <v/>
      </c>
      <c r="C254" t="str">
        <f t="array" ref="C254">IFERROR(INDEX('Player Raw Data'!C:C,Match($A254,'Player Raw Data'!$B:$B,0)),"")</f>
        <v/>
      </c>
      <c r="D254" t="str">
        <f t="array" ref="D254">IFERROR(IF(A254=A253, INDEX('Player Raw Data'!D:D,Match($A254,'Player Raw Data'!$B:$B,0)+2),INDEX('Player Raw Data'!D:D,Match($A254,'Player Raw Data'!$B:$B,0))),"")</f>
        <v/>
      </c>
      <c r="E254" t="str">
        <f t="array" ref="E254">IFERROR(INDEX('Player Raw Data'!F:F,Match($A254,'Player Raw Data'!$B:$B,0)),"")</f>
        <v/>
      </c>
      <c r="F254" t="str">
        <f t="array" ref="F254">IFERROR(INDEX('Player Raw Data'!H:H,Match($A254,'Player Raw Data'!$B:$B,0)),"")</f>
        <v/>
      </c>
      <c r="G254" t="str">
        <f t="array" ref="G254">IFERROR(INDEX('Player Raw Data'!I:I,Match($A254,'Player Raw Data'!$B:$B,0)),"")</f>
        <v/>
      </c>
      <c r="H254" t="str">
        <f t="array" ref="H254">IFERROR(INDEX('Player Raw Data'!J:J,Match($A254,'Player Raw Data'!$B:$B,0)),"")</f>
        <v/>
      </c>
      <c r="I254" t="str">
        <f t="array" ref="I254">IFERROR(INDEX('Player Raw Data'!S:S,Match($A254,'Player Raw Data'!$B:$B,0)),"")</f>
        <v/>
      </c>
      <c r="J254" t="str">
        <f t="array" ref="J254">IFERROR(INDEX('Player Raw Data'!T:T,Match($A254,'Player Raw Data'!$B:$B,0)),"")</f>
        <v/>
      </c>
      <c r="K254" t="str">
        <f t="array" ref="K254">IFERROR(INDEX('Player Raw Data'!X:X,Match($A254,'Player Raw Data'!$B:$B,0)),"")</f>
        <v/>
      </c>
      <c r="L254" t="str">
        <f t="array" ref="L254">IFERROR(INDEX('Player Raw Data'!Y:Y,Match($A254,'Player Raw Data'!$B:$B,0)),"")</f>
        <v/>
      </c>
      <c r="M254" t="str">
        <f t="array" ref="M254">IFERROR(INDEX('Player Raw Data'!Z:Z,Match($A254,'Player Raw Data'!$B:$B,0)),"")</f>
        <v/>
      </c>
      <c r="N254" t="str">
        <f t="array" ref="N254">IFERROR(INDEX('Player Raw Data'!AA:AA,Match($A254,'Player Raw Data'!$B:$B,0)),"")</f>
        <v/>
      </c>
      <c r="O254" t="str">
        <f t="array" ref="O254">IFERROR(INDEX('Player Raw Data'!AB:AB,Match($A254,'Player Raw Data'!$B:$B,0)),"")</f>
        <v/>
      </c>
      <c r="P254" t="str">
        <f t="array" ref="P254">IFERROR(INDEX('Player Raw Data'!AD:AD,Match($A254,'Player Raw Data'!$B:$B,0)),"")</f>
        <v/>
      </c>
      <c r="Q254">
        <f t="shared" si="1"/>
        <v>0</v>
      </c>
      <c r="R254" s="9">
        <f t="shared" si="2"/>
        <v>0</v>
      </c>
      <c r="S254" s="14">
        <f t="shared" si="3"/>
        <v>0</v>
      </c>
      <c r="T254" s="15">
        <f>IFERROR(__xludf.DUMMYFUNCTION("IFERROR(PERCENTRANK.INC(FILTER(Q:Q,$F:$F&lt;&gt;""""),Q254)*100,"""")"),1.5)</f>
        <v>1.5</v>
      </c>
      <c r="U254" s="15">
        <f>IFERROR(__xludf.DUMMYFUNCTION("IFERROR(PERCENTRANK.INC(FILTER(R:R,$F:$F&lt;&gt;""""),R254)*100,"""")"),1.5)</f>
        <v>1.5</v>
      </c>
      <c r="V254" s="15">
        <f>IFERROR(__xludf.DUMMYFUNCTION("IFERROR(PERCENTRANK.INC(FILTER(S:S,$F:$F&lt;&gt;""""),S254)*100,"""")"),1.5)</f>
        <v>1.5</v>
      </c>
      <c r="W254" s="15" t="str">
        <f t="shared" si="4"/>
        <v/>
      </c>
      <c r="X254" s="16"/>
      <c r="Y254" s="9"/>
      <c r="Z254" s="9"/>
    </row>
    <row r="255">
      <c r="B255" t="str">
        <f t="array" ref="B255">IFERROR(INDEX('Player Raw Data'!E:E,Match($A255,'Player Raw Data'!$B:$B,0)),"")</f>
        <v/>
      </c>
      <c r="C255" t="str">
        <f t="array" ref="C255">IFERROR(INDEX('Player Raw Data'!C:C,Match($A255,'Player Raw Data'!$B:$B,0)),"")</f>
        <v/>
      </c>
      <c r="D255" t="str">
        <f t="array" ref="D255">IFERROR(IF(A255=A254, INDEX('Player Raw Data'!D:D,Match($A255,'Player Raw Data'!$B:$B,0)+2),INDEX('Player Raw Data'!D:D,Match($A255,'Player Raw Data'!$B:$B,0))),"")</f>
        <v/>
      </c>
      <c r="E255" t="str">
        <f t="array" ref="E255">IFERROR(INDEX('Player Raw Data'!F:F,Match($A255,'Player Raw Data'!$B:$B,0)),"")</f>
        <v/>
      </c>
      <c r="F255" t="str">
        <f t="array" ref="F255">IFERROR(INDEX('Player Raw Data'!H:H,Match($A255,'Player Raw Data'!$B:$B,0)),"")</f>
        <v/>
      </c>
      <c r="G255" t="str">
        <f t="array" ref="G255">IFERROR(INDEX('Player Raw Data'!I:I,Match($A255,'Player Raw Data'!$B:$B,0)),"")</f>
        <v/>
      </c>
      <c r="H255" t="str">
        <f t="array" ref="H255">IFERROR(INDEX('Player Raw Data'!J:J,Match($A255,'Player Raw Data'!$B:$B,0)),"")</f>
        <v/>
      </c>
      <c r="I255" t="str">
        <f t="array" ref="I255">IFERROR(INDEX('Player Raw Data'!S:S,Match($A255,'Player Raw Data'!$B:$B,0)),"")</f>
        <v/>
      </c>
      <c r="J255" t="str">
        <f t="array" ref="J255">IFERROR(INDEX('Player Raw Data'!T:T,Match($A255,'Player Raw Data'!$B:$B,0)),"")</f>
        <v/>
      </c>
      <c r="K255" t="str">
        <f t="array" ref="K255">IFERROR(INDEX('Player Raw Data'!X:X,Match($A255,'Player Raw Data'!$B:$B,0)),"")</f>
        <v/>
      </c>
      <c r="L255" t="str">
        <f t="array" ref="L255">IFERROR(INDEX('Player Raw Data'!Y:Y,Match($A255,'Player Raw Data'!$B:$B,0)),"")</f>
        <v/>
      </c>
      <c r="M255" t="str">
        <f t="array" ref="M255">IFERROR(INDEX('Player Raw Data'!Z:Z,Match($A255,'Player Raw Data'!$B:$B,0)),"")</f>
        <v/>
      </c>
      <c r="N255" t="str">
        <f t="array" ref="N255">IFERROR(INDEX('Player Raw Data'!AA:AA,Match($A255,'Player Raw Data'!$B:$B,0)),"")</f>
        <v/>
      </c>
      <c r="O255" t="str">
        <f t="array" ref="O255">IFERROR(INDEX('Player Raw Data'!AB:AB,Match($A255,'Player Raw Data'!$B:$B,0)),"")</f>
        <v/>
      </c>
      <c r="P255" t="str">
        <f t="array" ref="P255">IFERROR(INDEX('Player Raw Data'!AD:AD,Match($A255,'Player Raw Data'!$B:$B,0)),"")</f>
        <v/>
      </c>
      <c r="Q255">
        <f t="shared" si="1"/>
        <v>0</v>
      </c>
      <c r="R255" s="9">
        <f t="shared" si="2"/>
        <v>0</v>
      </c>
      <c r="S255" s="14">
        <f t="shared" si="3"/>
        <v>0</v>
      </c>
      <c r="T255" s="15">
        <f>IFERROR(__xludf.DUMMYFUNCTION("IFERROR(PERCENTRANK.INC(FILTER(Q:Q,$F:$F&lt;&gt;""""),Q255)*100,"""")"),1.5)</f>
        <v>1.5</v>
      </c>
      <c r="U255" s="15">
        <f>IFERROR(__xludf.DUMMYFUNCTION("IFERROR(PERCENTRANK.INC(FILTER(R:R,$F:$F&lt;&gt;""""),R255)*100,"""")"),1.5)</f>
        <v>1.5</v>
      </c>
      <c r="V255" s="15">
        <f>IFERROR(__xludf.DUMMYFUNCTION("IFERROR(PERCENTRANK.INC(FILTER(S:S,$F:$F&lt;&gt;""""),S255)*100,"""")"),1.5)</f>
        <v>1.5</v>
      </c>
      <c r="W255" s="15" t="str">
        <f t="shared" si="4"/>
        <v/>
      </c>
      <c r="X255" s="16"/>
      <c r="Y255" s="9"/>
      <c r="Z255" s="9"/>
    </row>
    <row r="256">
      <c r="B256" t="str">
        <f t="array" ref="B256">IFERROR(INDEX('Player Raw Data'!E:E,Match($A256,'Player Raw Data'!$B:$B,0)),"")</f>
        <v/>
      </c>
      <c r="C256" t="str">
        <f t="array" ref="C256">IFERROR(INDEX('Player Raw Data'!C:C,Match($A256,'Player Raw Data'!$B:$B,0)),"")</f>
        <v/>
      </c>
      <c r="D256" t="str">
        <f t="array" ref="D256">IFERROR(IF(A256=A255, INDEX('Player Raw Data'!D:D,Match($A256,'Player Raw Data'!$B:$B,0)+2),INDEX('Player Raw Data'!D:D,Match($A256,'Player Raw Data'!$B:$B,0))),"")</f>
        <v/>
      </c>
      <c r="E256" t="str">
        <f t="array" ref="E256">IFERROR(INDEX('Player Raw Data'!F:F,Match($A256,'Player Raw Data'!$B:$B,0)),"")</f>
        <v/>
      </c>
      <c r="F256" t="str">
        <f t="array" ref="F256">IFERROR(INDEX('Player Raw Data'!H:H,Match($A256,'Player Raw Data'!$B:$B,0)),"")</f>
        <v/>
      </c>
      <c r="G256" t="str">
        <f t="array" ref="G256">IFERROR(INDEX('Player Raw Data'!I:I,Match($A256,'Player Raw Data'!$B:$B,0)),"")</f>
        <v/>
      </c>
      <c r="H256" t="str">
        <f t="array" ref="H256">IFERROR(INDEX('Player Raw Data'!J:J,Match($A256,'Player Raw Data'!$B:$B,0)),"")</f>
        <v/>
      </c>
      <c r="I256" t="str">
        <f t="array" ref="I256">IFERROR(INDEX('Player Raw Data'!S:S,Match($A256,'Player Raw Data'!$B:$B,0)),"")</f>
        <v/>
      </c>
      <c r="J256" t="str">
        <f t="array" ref="J256">IFERROR(INDEX('Player Raw Data'!T:T,Match($A256,'Player Raw Data'!$B:$B,0)),"")</f>
        <v/>
      </c>
      <c r="K256" t="str">
        <f t="array" ref="K256">IFERROR(INDEX('Player Raw Data'!X:X,Match($A256,'Player Raw Data'!$B:$B,0)),"")</f>
        <v/>
      </c>
      <c r="L256" t="str">
        <f t="array" ref="L256">IFERROR(INDEX('Player Raw Data'!Y:Y,Match($A256,'Player Raw Data'!$B:$B,0)),"")</f>
        <v/>
      </c>
      <c r="M256" t="str">
        <f t="array" ref="M256">IFERROR(INDEX('Player Raw Data'!Z:Z,Match($A256,'Player Raw Data'!$B:$B,0)),"")</f>
        <v/>
      </c>
      <c r="N256" t="str">
        <f t="array" ref="N256">IFERROR(INDEX('Player Raw Data'!AA:AA,Match($A256,'Player Raw Data'!$B:$B,0)),"")</f>
        <v/>
      </c>
      <c r="O256" t="str">
        <f t="array" ref="O256">IFERROR(INDEX('Player Raw Data'!AB:AB,Match($A256,'Player Raw Data'!$B:$B,0)),"")</f>
        <v/>
      </c>
      <c r="P256" t="str">
        <f t="array" ref="P256">IFERROR(INDEX('Player Raw Data'!AD:AD,Match($A256,'Player Raw Data'!$B:$B,0)),"")</f>
        <v/>
      </c>
      <c r="Q256">
        <f t="shared" si="1"/>
        <v>0</v>
      </c>
      <c r="R256" s="9">
        <f t="shared" si="2"/>
        <v>0</v>
      </c>
      <c r="S256" s="14">
        <f t="shared" si="3"/>
        <v>0</v>
      </c>
      <c r="T256" s="15">
        <f>IFERROR(__xludf.DUMMYFUNCTION("IFERROR(PERCENTRANK.INC(FILTER(Q:Q,$F:$F&lt;&gt;""""),Q256)*100,"""")"),1.5)</f>
        <v>1.5</v>
      </c>
      <c r="U256" s="15">
        <f>IFERROR(__xludf.DUMMYFUNCTION("IFERROR(PERCENTRANK.INC(FILTER(R:R,$F:$F&lt;&gt;""""),R256)*100,"""")"),1.5)</f>
        <v>1.5</v>
      </c>
      <c r="V256" s="15">
        <f>IFERROR(__xludf.DUMMYFUNCTION("IFERROR(PERCENTRANK.INC(FILTER(S:S,$F:$F&lt;&gt;""""),S256)*100,"""")"),1.5)</f>
        <v>1.5</v>
      </c>
      <c r="W256" s="15" t="str">
        <f t="shared" si="4"/>
        <v/>
      </c>
      <c r="X256" s="16"/>
      <c r="Y256" s="9"/>
      <c r="Z256" s="9"/>
    </row>
    <row r="257">
      <c r="B257" t="str">
        <f t="array" ref="B257">IFERROR(INDEX('Player Raw Data'!E:E,Match($A257,'Player Raw Data'!$B:$B,0)),"")</f>
        <v/>
      </c>
      <c r="C257" t="str">
        <f t="array" ref="C257">IFERROR(INDEX('Player Raw Data'!C:C,Match($A257,'Player Raw Data'!$B:$B,0)),"")</f>
        <v/>
      </c>
      <c r="D257" t="str">
        <f t="array" ref="D257">IFERROR(IF(A257=A256, INDEX('Player Raw Data'!D:D,Match($A257,'Player Raw Data'!$B:$B,0)+2),INDEX('Player Raw Data'!D:D,Match($A257,'Player Raw Data'!$B:$B,0))),"")</f>
        <v/>
      </c>
      <c r="E257" t="str">
        <f t="array" ref="E257">IFERROR(INDEX('Player Raw Data'!F:F,Match($A257,'Player Raw Data'!$B:$B,0)),"")</f>
        <v/>
      </c>
      <c r="F257" t="str">
        <f t="array" ref="F257">IFERROR(INDEX('Player Raw Data'!H:H,Match($A257,'Player Raw Data'!$B:$B,0)),"")</f>
        <v/>
      </c>
      <c r="G257" t="str">
        <f t="array" ref="G257">IFERROR(INDEX('Player Raw Data'!I:I,Match($A257,'Player Raw Data'!$B:$B,0)),"")</f>
        <v/>
      </c>
      <c r="H257" t="str">
        <f t="array" ref="H257">IFERROR(INDEX('Player Raw Data'!J:J,Match($A257,'Player Raw Data'!$B:$B,0)),"")</f>
        <v/>
      </c>
      <c r="I257" t="str">
        <f t="array" ref="I257">IFERROR(INDEX('Player Raw Data'!S:S,Match($A257,'Player Raw Data'!$B:$B,0)),"")</f>
        <v/>
      </c>
      <c r="J257" t="str">
        <f t="array" ref="J257">IFERROR(INDEX('Player Raw Data'!T:T,Match($A257,'Player Raw Data'!$B:$B,0)),"")</f>
        <v/>
      </c>
      <c r="K257" t="str">
        <f t="array" ref="K257">IFERROR(INDEX('Player Raw Data'!X:X,Match($A257,'Player Raw Data'!$B:$B,0)),"")</f>
        <v/>
      </c>
      <c r="L257" t="str">
        <f t="array" ref="L257">IFERROR(INDEX('Player Raw Data'!Y:Y,Match($A257,'Player Raw Data'!$B:$B,0)),"")</f>
        <v/>
      </c>
      <c r="M257" t="str">
        <f t="array" ref="M257">IFERROR(INDEX('Player Raw Data'!Z:Z,Match($A257,'Player Raw Data'!$B:$B,0)),"")</f>
        <v/>
      </c>
      <c r="N257" t="str">
        <f t="array" ref="N257">IFERROR(INDEX('Player Raw Data'!AA:AA,Match($A257,'Player Raw Data'!$B:$B,0)),"")</f>
        <v/>
      </c>
      <c r="O257" t="str">
        <f t="array" ref="O257">IFERROR(INDEX('Player Raw Data'!AB:AB,Match($A257,'Player Raw Data'!$B:$B,0)),"")</f>
        <v/>
      </c>
      <c r="P257" t="str">
        <f t="array" ref="P257">IFERROR(INDEX('Player Raw Data'!AD:AD,Match($A257,'Player Raw Data'!$B:$B,0)),"")</f>
        <v/>
      </c>
      <c r="Q257">
        <f t="shared" si="1"/>
        <v>0</v>
      </c>
      <c r="R257" s="9">
        <f t="shared" si="2"/>
        <v>0</v>
      </c>
      <c r="S257" s="14">
        <f t="shared" si="3"/>
        <v>0</v>
      </c>
      <c r="T257" s="15">
        <f>IFERROR(__xludf.DUMMYFUNCTION("IFERROR(PERCENTRANK.INC(FILTER(Q:Q,$F:$F&lt;&gt;""""),Q257)*100,"""")"),1.5)</f>
        <v>1.5</v>
      </c>
      <c r="U257" s="15">
        <f>IFERROR(__xludf.DUMMYFUNCTION("IFERROR(PERCENTRANK.INC(FILTER(R:R,$F:$F&lt;&gt;""""),R257)*100,"""")"),1.5)</f>
        <v>1.5</v>
      </c>
      <c r="V257" s="15">
        <f>IFERROR(__xludf.DUMMYFUNCTION("IFERROR(PERCENTRANK.INC(FILTER(S:S,$F:$F&lt;&gt;""""),S257)*100,"""")"),1.5)</f>
        <v>1.5</v>
      </c>
      <c r="W257" s="15" t="str">
        <f t="shared" si="4"/>
        <v/>
      </c>
      <c r="X257" s="16"/>
      <c r="Y257" s="9"/>
      <c r="Z257" s="9"/>
    </row>
    <row r="258">
      <c r="B258" t="str">
        <f t="array" ref="B258">IFERROR(INDEX('Player Raw Data'!E:E,Match($A258,'Player Raw Data'!$B:$B,0)),"")</f>
        <v/>
      </c>
      <c r="C258" t="str">
        <f t="array" ref="C258">IFERROR(INDEX('Player Raw Data'!C:C,Match($A258,'Player Raw Data'!$B:$B,0)),"")</f>
        <v/>
      </c>
      <c r="D258" t="str">
        <f t="array" ref="D258">IFERROR(IF(A258=A257, INDEX('Player Raw Data'!D:D,Match($A258,'Player Raw Data'!$B:$B,0)+2),INDEX('Player Raw Data'!D:D,Match($A258,'Player Raw Data'!$B:$B,0))),"")</f>
        <v/>
      </c>
      <c r="E258" t="str">
        <f t="array" ref="E258">IFERROR(INDEX('Player Raw Data'!F:F,Match($A258,'Player Raw Data'!$B:$B,0)),"")</f>
        <v/>
      </c>
      <c r="F258" t="str">
        <f t="array" ref="F258">IFERROR(INDEX('Player Raw Data'!H:H,Match($A258,'Player Raw Data'!$B:$B,0)),"")</f>
        <v/>
      </c>
      <c r="G258" t="str">
        <f t="array" ref="G258">IFERROR(INDEX('Player Raw Data'!I:I,Match($A258,'Player Raw Data'!$B:$B,0)),"")</f>
        <v/>
      </c>
      <c r="H258" t="str">
        <f t="array" ref="H258">IFERROR(INDEX('Player Raw Data'!J:J,Match($A258,'Player Raw Data'!$B:$B,0)),"")</f>
        <v/>
      </c>
      <c r="I258" t="str">
        <f t="array" ref="I258">IFERROR(INDEX('Player Raw Data'!S:S,Match($A258,'Player Raw Data'!$B:$B,0)),"")</f>
        <v/>
      </c>
      <c r="J258" t="str">
        <f t="array" ref="J258">IFERROR(INDEX('Player Raw Data'!T:T,Match($A258,'Player Raw Data'!$B:$B,0)),"")</f>
        <v/>
      </c>
      <c r="K258" t="str">
        <f t="array" ref="K258">IFERROR(INDEX('Player Raw Data'!X:X,Match($A258,'Player Raw Data'!$B:$B,0)),"")</f>
        <v/>
      </c>
      <c r="L258" t="str">
        <f t="array" ref="L258">IFERROR(INDEX('Player Raw Data'!Y:Y,Match($A258,'Player Raw Data'!$B:$B,0)),"")</f>
        <v/>
      </c>
      <c r="M258" t="str">
        <f t="array" ref="M258">IFERROR(INDEX('Player Raw Data'!Z:Z,Match($A258,'Player Raw Data'!$B:$B,0)),"")</f>
        <v/>
      </c>
      <c r="N258" t="str">
        <f t="array" ref="N258">IFERROR(INDEX('Player Raw Data'!AA:AA,Match($A258,'Player Raw Data'!$B:$B,0)),"")</f>
        <v/>
      </c>
      <c r="O258" t="str">
        <f t="array" ref="O258">IFERROR(INDEX('Player Raw Data'!AB:AB,Match($A258,'Player Raw Data'!$B:$B,0)),"")</f>
        <v/>
      </c>
      <c r="P258" t="str">
        <f t="array" ref="P258">IFERROR(INDEX('Player Raw Data'!AD:AD,Match($A258,'Player Raw Data'!$B:$B,0)),"")</f>
        <v/>
      </c>
      <c r="Q258">
        <f t="shared" si="1"/>
        <v>0</v>
      </c>
      <c r="R258" s="9">
        <f t="shared" si="2"/>
        <v>0</v>
      </c>
      <c r="S258" s="14">
        <f t="shared" si="3"/>
        <v>0</v>
      </c>
      <c r="T258" s="15">
        <f>IFERROR(__xludf.DUMMYFUNCTION("IFERROR(PERCENTRANK.INC(FILTER(Q:Q,$F:$F&lt;&gt;""""),Q258)*100,"""")"),1.5)</f>
        <v>1.5</v>
      </c>
      <c r="U258" s="15">
        <f>IFERROR(__xludf.DUMMYFUNCTION("IFERROR(PERCENTRANK.INC(FILTER(R:R,$F:$F&lt;&gt;""""),R258)*100,"""")"),1.5)</f>
        <v>1.5</v>
      </c>
      <c r="V258" s="15">
        <f>IFERROR(__xludf.DUMMYFUNCTION("IFERROR(PERCENTRANK.INC(FILTER(S:S,$F:$F&lt;&gt;""""),S258)*100,"""")"),1.5)</f>
        <v>1.5</v>
      </c>
      <c r="W258" s="15" t="str">
        <f t="shared" si="4"/>
        <v/>
      </c>
      <c r="X258" s="16"/>
      <c r="Y258" s="9"/>
      <c r="Z258" s="9"/>
    </row>
    <row r="259">
      <c r="B259" t="str">
        <f t="array" ref="B259">IFERROR(INDEX('Player Raw Data'!E:E,Match($A259,'Player Raw Data'!$B:$B,0)),"")</f>
        <v/>
      </c>
      <c r="C259" t="str">
        <f t="array" ref="C259">IFERROR(INDEX('Player Raw Data'!C:C,Match($A259,'Player Raw Data'!$B:$B,0)),"")</f>
        <v/>
      </c>
      <c r="D259" t="str">
        <f t="array" ref="D259">IFERROR(IF(A259=A258, INDEX('Player Raw Data'!D:D,Match($A259,'Player Raw Data'!$B:$B,0)+2),INDEX('Player Raw Data'!D:D,Match($A259,'Player Raw Data'!$B:$B,0))),"")</f>
        <v/>
      </c>
      <c r="E259" t="str">
        <f t="array" ref="E259">IFERROR(INDEX('Player Raw Data'!F:F,Match($A259,'Player Raw Data'!$B:$B,0)),"")</f>
        <v/>
      </c>
      <c r="F259" t="str">
        <f t="array" ref="F259">IFERROR(INDEX('Player Raw Data'!H:H,Match($A259,'Player Raw Data'!$B:$B,0)),"")</f>
        <v/>
      </c>
      <c r="G259" t="str">
        <f t="array" ref="G259">IFERROR(INDEX('Player Raw Data'!I:I,Match($A259,'Player Raw Data'!$B:$B,0)),"")</f>
        <v/>
      </c>
      <c r="H259" t="str">
        <f t="array" ref="H259">IFERROR(INDEX('Player Raw Data'!J:J,Match($A259,'Player Raw Data'!$B:$B,0)),"")</f>
        <v/>
      </c>
      <c r="I259" t="str">
        <f t="array" ref="I259">IFERROR(INDEX('Player Raw Data'!S:S,Match($A259,'Player Raw Data'!$B:$B,0)),"")</f>
        <v/>
      </c>
      <c r="J259" t="str">
        <f t="array" ref="J259">IFERROR(INDEX('Player Raw Data'!T:T,Match($A259,'Player Raw Data'!$B:$B,0)),"")</f>
        <v/>
      </c>
      <c r="K259" t="str">
        <f t="array" ref="K259">IFERROR(INDEX('Player Raw Data'!X:X,Match($A259,'Player Raw Data'!$B:$B,0)),"")</f>
        <v/>
      </c>
      <c r="L259" t="str">
        <f t="array" ref="L259">IFERROR(INDEX('Player Raw Data'!Y:Y,Match($A259,'Player Raw Data'!$B:$B,0)),"")</f>
        <v/>
      </c>
      <c r="M259" t="str">
        <f t="array" ref="M259">IFERROR(INDEX('Player Raw Data'!Z:Z,Match($A259,'Player Raw Data'!$B:$B,0)),"")</f>
        <v/>
      </c>
      <c r="N259" t="str">
        <f t="array" ref="N259">IFERROR(INDEX('Player Raw Data'!AA:AA,Match($A259,'Player Raw Data'!$B:$B,0)),"")</f>
        <v/>
      </c>
      <c r="O259" t="str">
        <f t="array" ref="O259">IFERROR(INDEX('Player Raw Data'!AB:AB,Match($A259,'Player Raw Data'!$B:$B,0)),"")</f>
        <v/>
      </c>
      <c r="P259" t="str">
        <f t="array" ref="P259">IFERROR(INDEX('Player Raw Data'!AD:AD,Match($A259,'Player Raw Data'!$B:$B,0)),"")</f>
        <v/>
      </c>
      <c r="Q259">
        <f t="shared" si="1"/>
        <v>0</v>
      </c>
      <c r="R259" s="9">
        <f t="shared" si="2"/>
        <v>0</v>
      </c>
      <c r="S259" s="14">
        <f t="shared" si="3"/>
        <v>0</v>
      </c>
      <c r="T259" s="15">
        <f>IFERROR(__xludf.DUMMYFUNCTION("IFERROR(PERCENTRANK.INC(FILTER(Q:Q,$F:$F&lt;&gt;""""),Q259)*100,"""")"),1.5)</f>
        <v>1.5</v>
      </c>
      <c r="U259" s="15">
        <f>IFERROR(__xludf.DUMMYFUNCTION("IFERROR(PERCENTRANK.INC(FILTER(R:R,$F:$F&lt;&gt;""""),R259)*100,"""")"),1.5)</f>
        <v>1.5</v>
      </c>
      <c r="V259" s="15">
        <f>IFERROR(__xludf.DUMMYFUNCTION("IFERROR(PERCENTRANK.INC(FILTER(S:S,$F:$F&lt;&gt;""""),S259)*100,"""")"),1.5)</f>
        <v>1.5</v>
      </c>
      <c r="W259" s="15" t="str">
        <f t="shared" si="4"/>
        <v/>
      </c>
      <c r="X259" s="16"/>
      <c r="Y259" s="9"/>
      <c r="Z259" s="9"/>
    </row>
    <row r="260">
      <c r="B260" t="str">
        <f t="array" ref="B260">IFERROR(INDEX('Player Raw Data'!E:E,Match($A260,'Player Raw Data'!$B:$B,0)),"")</f>
        <v/>
      </c>
      <c r="C260" t="str">
        <f t="array" ref="C260">IFERROR(INDEX('Player Raw Data'!C:C,Match($A260,'Player Raw Data'!$B:$B,0)),"")</f>
        <v/>
      </c>
      <c r="D260" t="str">
        <f t="array" ref="D260">IFERROR(IF(A260=A259, INDEX('Player Raw Data'!D:D,Match($A260,'Player Raw Data'!$B:$B,0)+2),INDEX('Player Raw Data'!D:D,Match($A260,'Player Raw Data'!$B:$B,0))),"")</f>
        <v/>
      </c>
      <c r="E260" t="str">
        <f t="array" ref="E260">IFERROR(INDEX('Player Raw Data'!F:F,Match($A260,'Player Raw Data'!$B:$B,0)),"")</f>
        <v/>
      </c>
      <c r="F260" t="str">
        <f t="array" ref="F260">IFERROR(INDEX('Player Raw Data'!H:H,Match($A260,'Player Raw Data'!$B:$B,0)),"")</f>
        <v/>
      </c>
      <c r="G260" t="str">
        <f t="array" ref="G260">IFERROR(INDEX('Player Raw Data'!I:I,Match($A260,'Player Raw Data'!$B:$B,0)),"")</f>
        <v/>
      </c>
      <c r="H260" t="str">
        <f t="array" ref="H260">IFERROR(INDEX('Player Raw Data'!J:J,Match($A260,'Player Raw Data'!$B:$B,0)),"")</f>
        <v/>
      </c>
      <c r="I260" t="str">
        <f t="array" ref="I260">IFERROR(INDEX('Player Raw Data'!S:S,Match($A260,'Player Raw Data'!$B:$B,0)),"")</f>
        <v/>
      </c>
      <c r="J260" t="str">
        <f t="array" ref="J260">IFERROR(INDEX('Player Raw Data'!T:T,Match($A260,'Player Raw Data'!$B:$B,0)),"")</f>
        <v/>
      </c>
      <c r="K260" t="str">
        <f t="array" ref="K260">IFERROR(INDEX('Player Raw Data'!X:X,Match($A260,'Player Raw Data'!$B:$B,0)),"")</f>
        <v/>
      </c>
      <c r="L260" t="str">
        <f t="array" ref="L260">IFERROR(INDEX('Player Raw Data'!Y:Y,Match($A260,'Player Raw Data'!$B:$B,0)),"")</f>
        <v/>
      </c>
      <c r="M260" t="str">
        <f t="array" ref="M260">IFERROR(INDEX('Player Raw Data'!Z:Z,Match($A260,'Player Raw Data'!$B:$B,0)),"")</f>
        <v/>
      </c>
      <c r="N260" t="str">
        <f t="array" ref="N260">IFERROR(INDEX('Player Raw Data'!AA:AA,Match($A260,'Player Raw Data'!$B:$B,0)),"")</f>
        <v/>
      </c>
      <c r="O260" t="str">
        <f t="array" ref="O260">IFERROR(INDEX('Player Raw Data'!AB:AB,Match($A260,'Player Raw Data'!$B:$B,0)),"")</f>
        <v/>
      </c>
      <c r="P260" t="str">
        <f t="array" ref="P260">IFERROR(INDEX('Player Raw Data'!AD:AD,Match($A260,'Player Raw Data'!$B:$B,0)),"")</f>
        <v/>
      </c>
      <c r="Q260">
        <f t="shared" si="1"/>
        <v>0</v>
      </c>
      <c r="R260" s="9">
        <f t="shared" si="2"/>
        <v>0</v>
      </c>
      <c r="S260" s="14">
        <f t="shared" si="3"/>
        <v>0</v>
      </c>
      <c r="T260" s="15">
        <f>IFERROR(__xludf.DUMMYFUNCTION("IFERROR(PERCENTRANK.INC(FILTER(Q:Q,$F:$F&lt;&gt;""""),Q260)*100,"""")"),1.5)</f>
        <v>1.5</v>
      </c>
      <c r="U260" s="15">
        <f>IFERROR(__xludf.DUMMYFUNCTION("IFERROR(PERCENTRANK.INC(FILTER(R:R,$F:$F&lt;&gt;""""),R260)*100,"""")"),1.5)</f>
        <v>1.5</v>
      </c>
      <c r="V260" s="15">
        <f>IFERROR(__xludf.DUMMYFUNCTION("IFERROR(PERCENTRANK.INC(FILTER(S:S,$F:$F&lt;&gt;""""),S260)*100,"""")"),1.5)</f>
        <v>1.5</v>
      </c>
      <c r="W260" s="15" t="str">
        <f t="shared" si="4"/>
        <v/>
      </c>
      <c r="X260" s="16"/>
      <c r="Y260" s="9"/>
      <c r="Z260" s="9"/>
    </row>
    <row r="261">
      <c r="B261" t="str">
        <f t="array" ref="B261">IFERROR(INDEX('Player Raw Data'!E:E,Match($A261,'Player Raw Data'!$B:$B,0)),"")</f>
        <v/>
      </c>
      <c r="C261" t="str">
        <f t="array" ref="C261">IFERROR(INDEX('Player Raw Data'!C:C,Match($A261,'Player Raw Data'!$B:$B,0)),"")</f>
        <v/>
      </c>
      <c r="D261" t="str">
        <f t="array" ref="D261">IFERROR(IF(A261=A260, INDEX('Player Raw Data'!D:D,Match($A261,'Player Raw Data'!$B:$B,0)+2),INDEX('Player Raw Data'!D:D,Match($A261,'Player Raw Data'!$B:$B,0))),"")</f>
        <v/>
      </c>
      <c r="E261" t="str">
        <f t="array" ref="E261">IFERROR(INDEX('Player Raw Data'!F:F,Match($A261,'Player Raw Data'!$B:$B,0)),"")</f>
        <v/>
      </c>
      <c r="F261" t="str">
        <f t="array" ref="F261">IFERROR(INDEX('Player Raw Data'!H:H,Match($A261,'Player Raw Data'!$B:$B,0)),"")</f>
        <v/>
      </c>
      <c r="G261" t="str">
        <f t="array" ref="G261">IFERROR(INDEX('Player Raw Data'!I:I,Match($A261,'Player Raw Data'!$B:$B,0)),"")</f>
        <v/>
      </c>
      <c r="H261" t="str">
        <f t="array" ref="H261">IFERROR(INDEX('Player Raw Data'!J:J,Match($A261,'Player Raw Data'!$B:$B,0)),"")</f>
        <v/>
      </c>
      <c r="I261" t="str">
        <f t="array" ref="I261">IFERROR(INDEX('Player Raw Data'!S:S,Match($A261,'Player Raw Data'!$B:$B,0)),"")</f>
        <v/>
      </c>
      <c r="J261" t="str">
        <f t="array" ref="J261">IFERROR(INDEX('Player Raw Data'!T:T,Match($A261,'Player Raw Data'!$B:$B,0)),"")</f>
        <v/>
      </c>
      <c r="K261" t="str">
        <f t="array" ref="K261">IFERROR(INDEX('Player Raw Data'!X:X,Match($A261,'Player Raw Data'!$B:$B,0)),"")</f>
        <v/>
      </c>
      <c r="L261" t="str">
        <f t="array" ref="L261">IFERROR(INDEX('Player Raw Data'!Y:Y,Match($A261,'Player Raw Data'!$B:$B,0)),"")</f>
        <v/>
      </c>
      <c r="M261" t="str">
        <f t="array" ref="M261">IFERROR(INDEX('Player Raw Data'!Z:Z,Match($A261,'Player Raw Data'!$B:$B,0)),"")</f>
        <v/>
      </c>
      <c r="N261" t="str">
        <f t="array" ref="N261">IFERROR(INDEX('Player Raw Data'!AA:AA,Match($A261,'Player Raw Data'!$B:$B,0)),"")</f>
        <v/>
      </c>
      <c r="O261" t="str">
        <f t="array" ref="O261">IFERROR(INDEX('Player Raw Data'!AB:AB,Match($A261,'Player Raw Data'!$B:$B,0)),"")</f>
        <v/>
      </c>
      <c r="P261" t="str">
        <f t="array" ref="P261">IFERROR(INDEX('Player Raw Data'!AD:AD,Match($A261,'Player Raw Data'!$B:$B,0)),"")</f>
        <v/>
      </c>
      <c r="Q261">
        <f t="shared" si="1"/>
        <v>0</v>
      </c>
      <c r="R261" s="9">
        <f t="shared" si="2"/>
        <v>0</v>
      </c>
      <c r="S261" s="14">
        <f t="shared" si="3"/>
        <v>0</v>
      </c>
      <c r="T261" s="15">
        <f>IFERROR(__xludf.DUMMYFUNCTION("IFERROR(PERCENTRANK.INC(FILTER(Q:Q,$F:$F&lt;&gt;""""),Q261)*100,"""")"),1.5)</f>
        <v>1.5</v>
      </c>
      <c r="U261" s="15">
        <f>IFERROR(__xludf.DUMMYFUNCTION("IFERROR(PERCENTRANK.INC(FILTER(R:R,$F:$F&lt;&gt;""""),R261)*100,"""")"),1.5)</f>
        <v>1.5</v>
      </c>
      <c r="V261" s="15">
        <f>IFERROR(__xludf.DUMMYFUNCTION("IFERROR(PERCENTRANK.INC(FILTER(S:S,$F:$F&lt;&gt;""""),S261)*100,"""")"),1.5)</f>
        <v>1.5</v>
      </c>
      <c r="W261" s="15" t="str">
        <f t="shared" si="4"/>
        <v/>
      </c>
      <c r="X261" s="16"/>
      <c r="Y261" s="9"/>
      <c r="Z261" s="9"/>
    </row>
    <row r="262">
      <c r="B262" t="str">
        <f t="array" ref="B262">IFERROR(INDEX('Player Raw Data'!E:E,Match($A262,'Player Raw Data'!$B:$B,0)),"")</f>
        <v/>
      </c>
      <c r="C262" t="str">
        <f t="array" ref="C262">IFERROR(INDEX('Player Raw Data'!C:C,Match($A262,'Player Raw Data'!$B:$B,0)),"")</f>
        <v/>
      </c>
      <c r="D262" t="str">
        <f t="array" ref="D262">IFERROR(IF(A262=A261, INDEX('Player Raw Data'!D:D,Match($A262,'Player Raw Data'!$B:$B,0)+2),INDEX('Player Raw Data'!D:D,Match($A262,'Player Raw Data'!$B:$B,0))),"")</f>
        <v/>
      </c>
      <c r="E262" t="str">
        <f t="array" ref="E262">IFERROR(INDEX('Player Raw Data'!F:F,Match($A262,'Player Raw Data'!$B:$B,0)),"")</f>
        <v/>
      </c>
      <c r="F262" t="str">
        <f t="array" ref="F262">IFERROR(INDEX('Player Raw Data'!H:H,Match($A262,'Player Raw Data'!$B:$B,0)),"")</f>
        <v/>
      </c>
      <c r="G262" t="str">
        <f t="array" ref="G262">IFERROR(INDEX('Player Raw Data'!I:I,Match($A262,'Player Raw Data'!$B:$B,0)),"")</f>
        <v/>
      </c>
      <c r="H262" t="str">
        <f t="array" ref="H262">IFERROR(INDEX('Player Raw Data'!J:J,Match($A262,'Player Raw Data'!$B:$B,0)),"")</f>
        <v/>
      </c>
      <c r="I262" t="str">
        <f t="array" ref="I262">IFERROR(INDEX('Player Raw Data'!S:S,Match($A262,'Player Raw Data'!$B:$B,0)),"")</f>
        <v/>
      </c>
      <c r="J262" t="str">
        <f t="array" ref="J262">IFERROR(INDEX('Player Raw Data'!T:T,Match($A262,'Player Raw Data'!$B:$B,0)),"")</f>
        <v/>
      </c>
      <c r="K262" t="str">
        <f t="array" ref="K262">IFERROR(INDEX('Player Raw Data'!X:X,Match($A262,'Player Raw Data'!$B:$B,0)),"")</f>
        <v/>
      </c>
      <c r="L262" t="str">
        <f t="array" ref="L262">IFERROR(INDEX('Player Raw Data'!Y:Y,Match($A262,'Player Raw Data'!$B:$B,0)),"")</f>
        <v/>
      </c>
      <c r="M262" t="str">
        <f t="array" ref="M262">IFERROR(INDEX('Player Raw Data'!Z:Z,Match($A262,'Player Raw Data'!$B:$B,0)),"")</f>
        <v/>
      </c>
      <c r="N262" t="str">
        <f t="array" ref="N262">IFERROR(INDEX('Player Raw Data'!AA:AA,Match($A262,'Player Raw Data'!$B:$B,0)),"")</f>
        <v/>
      </c>
      <c r="O262" t="str">
        <f t="array" ref="O262">IFERROR(INDEX('Player Raw Data'!AB:AB,Match($A262,'Player Raw Data'!$B:$B,0)),"")</f>
        <v/>
      </c>
      <c r="P262" t="str">
        <f t="array" ref="P262">IFERROR(INDEX('Player Raw Data'!AD:AD,Match($A262,'Player Raw Data'!$B:$B,0)),"")</f>
        <v/>
      </c>
      <c r="Q262">
        <f t="shared" si="1"/>
        <v>0</v>
      </c>
      <c r="R262" s="9">
        <f t="shared" si="2"/>
        <v>0</v>
      </c>
      <c r="S262" s="14">
        <f t="shared" si="3"/>
        <v>0</v>
      </c>
      <c r="T262" s="15">
        <f>IFERROR(__xludf.DUMMYFUNCTION("IFERROR(PERCENTRANK.INC(FILTER(Q:Q,$F:$F&lt;&gt;""""),Q262)*100,"""")"),1.5)</f>
        <v>1.5</v>
      </c>
      <c r="U262" s="15">
        <f>IFERROR(__xludf.DUMMYFUNCTION("IFERROR(PERCENTRANK.INC(FILTER(R:R,$F:$F&lt;&gt;""""),R262)*100,"""")"),1.5)</f>
        <v>1.5</v>
      </c>
      <c r="V262" s="15">
        <f>IFERROR(__xludf.DUMMYFUNCTION("IFERROR(PERCENTRANK.INC(FILTER(S:S,$F:$F&lt;&gt;""""),S262)*100,"""")"),1.5)</f>
        <v>1.5</v>
      </c>
      <c r="W262" s="15" t="str">
        <f t="shared" si="4"/>
        <v/>
      </c>
      <c r="X262" s="16"/>
      <c r="Y262" s="9"/>
      <c r="Z262" s="9"/>
    </row>
    <row r="263">
      <c r="B263" t="str">
        <f t="array" ref="B263">IFERROR(INDEX('Player Raw Data'!E:E,Match($A263,'Player Raw Data'!$B:$B,0)),"")</f>
        <v/>
      </c>
      <c r="C263" t="str">
        <f t="array" ref="C263">IFERROR(INDEX('Player Raw Data'!C:C,Match($A263,'Player Raw Data'!$B:$B,0)),"")</f>
        <v/>
      </c>
      <c r="D263" t="str">
        <f t="array" ref="D263">IFERROR(IF(A263=A262, INDEX('Player Raw Data'!D:D,Match($A263,'Player Raw Data'!$B:$B,0)+2),INDEX('Player Raw Data'!D:D,Match($A263,'Player Raw Data'!$B:$B,0))),"")</f>
        <v/>
      </c>
      <c r="E263" t="str">
        <f t="array" ref="E263">IFERROR(INDEX('Player Raw Data'!F:F,Match($A263,'Player Raw Data'!$B:$B,0)),"")</f>
        <v/>
      </c>
      <c r="F263" t="str">
        <f t="array" ref="F263">IFERROR(INDEX('Player Raw Data'!H:H,Match($A263,'Player Raw Data'!$B:$B,0)),"")</f>
        <v/>
      </c>
      <c r="G263" t="str">
        <f t="array" ref="G263">IFERROR(INDEX('Player Raw Data'!I:I,Match($A263,'Player Raw Data'!$B:$B,0)),"")</f>
        <v/>
      </c>
      <c r="H263" t="str">
        <f t="array" ref="H263">IFERROR(INDEX('Player Raw Data'!J:J,Match($A263,'Player Raw Data'!$B:$B,0)),"")</f>
        <v/>
      </c>
      <c r="I263" t="str">
        <f t="array" ref="I263">IFERROR(INDEX('Player Raw Data'!S:S,Match($A263,'Player Raw Data'!$B:$B,0)),"")</f>
        <v/>
      </c>
      <c r="J263" t="str">
        <f t="array" ref="J263">IFERROR(INDEX('Player Raw Data'!T:T,Match($A263,'Player Raw Data'!$B:$B,0)),"")</f>
        <v/>
      </c>
      <c r="K263" t="str">
        <f t="array" ref="K263">IFERROR(INDEX('Player Raw Data'!X:X,Match($A263,'Player Raw Data'!$B:$B,0)),"")</f>
        <v/>
      </c>
      <c r="L263" t="str">
        <f t="array" ref="L263">IFERROR(INDEX('Player Raw Data'!Y:Y,Match($A263,'Player Raw Data'!$B:$B,0)),"")</f>
        <v/>
      </c>
      <c r="M263" t="str">
        <f t="array" ref="M263">IFERROR(INDEX('Player Raw Data'!Z:Z,Match($A263,'Player Raw Data'!$B:$B,0)),"")</f>
        <v/>
      </c>
      <c r="N263" t="str">
        <f t="array" ref="N263">IFERROR(INDEX('Player Raw Data'!AA:AA,Match($A263,'Player Raw Data'!$B:$B,0)),"")</f>
        <v/>
      </c>
      <c r="O263" t="str">
        <f t="array" ref="O263">IFERROR(INDEX('Player Raw Data'!AB:AB,Match($A263,'Player Raw Data'!$B:$B,0)),"")</f>
        <v/>
      </c>
      <c r="P263" t="str">
        <f t="array" ref="P263">IFERROR(INDEX('Player Raw Data'!AD:AD,Match($A263,'Player Raw Data'!$B:$B,0)),"")</f>
        <v/>
      </c>
      <c r="Q263">
        <f t="shared" si="1"/>
        <v>0</v>
      </c>
      <c r="R263" s="9">
        <f t="shared" si="2"/>
        <v>0</v>
      </c>
      <c r="S263" s="14">
        <f t="shared" si="3"/>
        <v>0</v>
      </c>
      <c r="T263" s="15">
        <f>IFERROR(__xludf.DUMMYFUNCTION("IFERROR(PERCENTRANK.INC(FILTER(Q:Q,$F:$F&lt;&gt;""""),Q263)*100,"""")"),1.5)</f>
        <v>1.5</v>
      </c>
      <c r="U263" s="15">
        <f>IFERROR(__xludf.DUMMYFUNCTION("IFERROR(PERCENTRANK.INC(FILTER(R:R,$F:$F&lt;&gt;""""),R263)*100,"""")"),1.5)</f>
        <v>1.5</v>
      </c>
      <c r="V263" s="15">
        <f>IFERROR(__xludf.DUMMYFUNCTION("IFERROR(PERCENTRANK.INC(FILTER(S:S,$F:$F&lt;&gt;""""),S263)*100,"""")"),1.5)</f>
        <v>1.5</v>
      </c>
      <c r="W263" s="15" t="str">
        <f t="shared" si="4"/>
        <v/>
      </c>
      <c r="X263" s="16"/>
      <c r="Y263" s="9"/>
      <c r="Z263" s="9"/>
    </row>
    <row r="264">
      <c r="B264" t="str">
        <f t="array" ref="B264">IFERROR(INDEX('Player Raw Data'!E:E,Match($A264,'Player Raw Data'!$B:$B,0)),"")</f>
        <v/>
      </c>
      <c r="C264" t="str">
        <f t="array" ref="C264">IFERROR(INDEX('Player Raw Data'!C:C,Match($A264,'Player Raw Data'!$B:$B,0)),"")</f>
        <v/>
      </c>
      <c r="D264" t="str">
        <f t="array" ref="D264">IFERROR(IF(A264=A263, INDEX('Player Raw Data'!D:D,Match($A264,'Player Raw Data'!$B:$B,0)+2),INDEX('Player Raw Data'!D:D,Match($A264,'Player Raw Data'!$B:$B,0))),"")</f>
        <v/>
      </c>
      <c r="E264" t="str">
        <f t="array" ref="E264">IFERROR(INDEX('Player Raw Data'!F:F,Match($A264,'Player Raw Data'!$B:$B,0)),"")</f>
        <v/>
      </c>
      <c r="F264" t="str">
        <f t="array" ref="F264">IFERROR(INDEX('Player Raw Data'!H:H,Match($A264,'Player Raw Data'!$B:$B,0)),"")</f>
        <v/>
      </c>
      <c r="G264" t="str">
        <f t="array" ref="G264">IFERROR(INDEX('Player Raw Data'!I:I,Match($A264,'Player Raw Data'!$B:$B,0)),"")</f>
        <v/>
      </c>
      <c r="H264" t="str">
        <f t="array" ref="H264">IFERROR(INDEX('Player Raw Data'!J:J,Match($A264,'Player Raw Data'!$B:$B,0)),"")</f>
        <v/>
      </c>
      <c r="I264" t="str">
        <f t="array" ref="I264">IFERROR(INDEX('Player Raw Data'!S:S,Match($A264,'Player Raw Data'!$B:$B,0)),"")</f>
        <v/>
      </c>
      <c r="J264" t="str">
        <f t="array" ref="J264">IFERROR(INDEX('Player Raw Data'!T:T,Match($A264,'Player Raw Data'!$B:$B,0)),"")</f>
        <v/>
      </c>
      <c r="K264" t="str">
        <f t="array" ref="K264">IFERROR(INDEX('Player Raw Data'!X:X,Match($A264,'Player Raw Data'!$B:$B,0)),"")</f>
        <v/>
      </c>
      <c r="L264" t="str">
        <f t="array" ref="L264">IFERROR(INDEX('Player Raw Data'!Y:Y,Match($A264,'Player Raw Data'!$B:$B,0)),"")</f>
        <v/>
      </c>
      <c r="M264" t="str">
        <f t="array" ref="M264">IFERROR(INDEX('Player Raw Data'!Z:Z,Match($A264,'Player Raw Data'!$B:$B,0)),"")</f>
        <v/>
      </c>
      <c r="N264" t="str">
        <f t="array" ref="N264">IFERROR(INDEX('Player Raw Data'!AA:AA,Match($A264,'Player Raw Data'!$B:$B,0)),"")</f>
        <v/>
      </c>
      <c r="O264" t="str">
        <f t="array" ref="O264">IFERROR(INDEX('Player Raw Data'!AB:AB,Match($A264,'Player Raw Data'!$B:$B,0)),"")</f>
        <v/>
      </c>
      <c r="P264" t="str">
        <f t="array" ref="P264">IFERROR(INDEX('Player Raw Data'!AD:AD,Match($A264,'Player Raw Data'!$B:$B,0)),"")</f>
        <v/>
      </c>
      <c r="Q264">
        <f t="shared" si="1"/>
        <v>0</v>
      </c>
      <c r="R264" s="9">
        <f t="shared" si="2"/>
        <v>0</v>
      </c>
      <c r="S264" s="14">
        <f t="shared" si="3"/>
        <v>0</v>
      </c>
      <c r="T264" s="15">
        <f>IFERROR(__xludf.DUMMYFUNCTION("IFERROR(PERCENTRANK.INC(FILTER(Q:Q,$F:$F&lt;&gt;""""),Q264)*100,"""")"),1.5)</f>
        <v>1.5</v>
      </c>
      <c r="U264" s="15">
        <f>IFERROR(__xludf.DUMMYFUNCTION("IFERROR(PERCENTRANK.INC(FILTER(R:R,$F:$F&lt;&gt;""""),R264)*100,"""")"),1.5)</f>
        <v>1.5</v>
      </c>
      <c r="V264" s="15">
        <f>IFERROR(__xludf.DUMMYFUNCTION("IFERROR(PERCENTRANK.INC(FILTER(S:S,$F:$F&lt;&gt;""""),S264)*100,"""")"),1.5)</f>
        <v>1.5</v>
      </c>
      <c r="W264" s="15" t="str">
        <f t="shared" si="4"/>
        <v/>
      </c>
      <c r="X264" s="16"/>
      <c r="Y264" s="9"/>
      <c r="Z264" s="9"/>
    </row>
    <row r="265">
      <c r="B265" t="str">
        <f t="array" ref="B265">IFERROR(INDEX('Player Raw Data'!E:E,Match($A265,'Player Raw Data'!$B:$B,0)),"")</f>
        <v/>
      </c>
      <c r="C265" t="str">
        <f t="array" ref="C265">IFERROR(INDEX('Player Raw Data'!C:C,Match($A265,'Player Raw Data'!$B:$B,0)),"")</f>
        <v/>
      </c>
      <c r="D265" t="str">
        <f t="array" ref="D265">IFERROR(IF(A265=A264, INDEX('Player Raw Data'!D:D,Match($A265,'Player Raw Data'!$B:$B,0)+2),INDEX('Player Raw Data'!D:D,Match($A265,'Player Raw Data'!$B:$B,0))),"")</f>
        <v/>
      </c>
      <c r="E265" t="str">
        <f t="array" ref="E265">IFERROR(INDEX('Player Raw Data'!F:F,Match($A265,'Player Raw Data'!$B:$B,0)),"")</f>
        <v/>
      </c>
      <c r="F265" t="str">
        <f t="array" ref="F265">IFERROR(INDEX('Player Raw Data'!H:H,Match($A265,'Player Raw Data'!$B:$B,0)),"")</f>
        <v/>
      </c>
      <c r="G265" t="str">
        <f t="array" ref="G265">IFERROR(INDEX('Player Raw Data'!I:I,Match($A265,'Player Raw Data'!$B:$B,0)),"")</f>
        <v/>
      </c>
      <c r="H265" t="str">
        <f t="array" ref="H265">IFERROR(INDEX('Player Raw Data'!J:J,Match($A265,'Player Raw Data'!$B:$B,0)),"")</f>
        <v/>
      </c>
      <c r="I265" t="str">
        <f t="array" ref="I265">IFERROR(INDEX('Player Raw Data'!S:S,Match($A265,'Player Raw Data'!$B:$B,0)),"")</f>
        <v/>
      </c>
      <c r="J265" t="str">
        <f t="array" ref="J265">IFERROR(INDEX('Player Raw Data'!T:T,Match($A265,'Player Raw Data'!$B:$B,0)),"")</f>
        <v/>
      </c>
      <c r="K265" t="str">
        <f t="array" ref="K265">IFERROR(INDEX('Player Raw Data'!X:X,Match($A265,'Player Raw Data'!$B:$B,0)),"")</f>
        <v/>
      </c>
      <c r="L265" t="str">
        <f t="array" ref="L265">IFERROR(INDEX('Player Raw Data'!Y:Y,Match($A265,'Player Raw Data'!$B:$B,0)),"")</f>
        <v/>
      </c>
      <c r="M265" t="str">
        <f t="array" ref="M265">IFERROR(INDEX('Player Raw Data'!Z:Z,Match($A265,'Player Raw Data'!$B:$B,0)),"")</f>
        <v/>
      </c>
      <c r="N265" t="str">
        <f t="array" ref="N265">IFERROR(INDEX('Player Raw Data'!AA:AA,Match($A265,'Player Raw Data'!$B:$B,0)),"")</f>
        <v/>
      </c>
      <c r="O265" t="str">
        <f t="array" ref="O265">IFERROR(INDEX('Player Raw Data'!AB:AB,Match($A265,'Player Raw Data'!$B:$B,0)),"")</f>
        <v/>
      </c>
      <c r="P265" t="str">
        <f t="array" ref="P265">IFERROR(INDEX('Player Raw Data'!AD:AD,Match($A265,'Player Raw Data'!$B:$B,0)),"")</f>
        <v/>
      </c>
      <c r="Q265">
        <f t="shared" si="1"/>
        <v>0</v>
      </c>
      <c r="R265" s="9">
        <f t="shared" si="2"/>
        <v>0</v>
      </c>
      <c r="S265" s="14">
        <f t="shared" si="3"/>
        <v>0</v>
      </c>
      <c r="T265" s="15">
        <f>IFERROR(__xludf.DUMMYFUNCTION("IFERROR(PERCENTRANK.INC(FILTER(Q:Q,$F:$F&lt;&gt;""""),Q265)*100,"""")"),1.5)</f>
        <v>1.5</v>
      </c>
      <c r="U265" s="15">
        <f>IFERROR(__xludf.DUMMYFUNCTION("IFERROR(PERCENTRANK.INC(FILTER(R:R,$F:$F&lt;&gt;""""),R265)*100,"""")"),1.5)</f>
        <v>1.5</v>
      </c>
      <c r="V265" s="15">
        <f>IFERROR(__xludf.DUMMYFUNCTION("IFERROR(PERCENTRANK.INC(FILTER(S:S,$F:$F&lt;&gt;""""),S265)*100,"""")"),1.5)</f>
        <v>1.5</v>
      </c>
      <c r="W265" s="15" t="str">
        <f t="shared" si="4"/>
        <v/>
      </c>
      <c r="X265" s="16"/>
      <c r="Y265" s="9"/>
      <c r="Z265" s="9"/>
    </row>
    <row r="266">
      <c r="B266" t="str">
        <f t="array" ref="B266">IFERROR(INDEX('Player Raw Data'!E:E,Match($A266,'Player Raw Data'!$B:$B,0)),"")</f>
        <v/>
      </c>
      <c r="C266" t="str">
        <f t="array" ref="C266">IFERROR(INDEX('Player Raw Data'!C:C,Match($A266,'Player Raw Data'!$B:$B,0)),"")</f>
        <v/>
      </c>
      <c r="D266" t="str">
        <f t="array" ref="D266">IFERROR(IF(A266=A265, INDEX('Player Raw Data'!D:D,Match($A266,'Player Raw Data'!$B:$B,0)+2),INDEX('Player Raw Data'!D:D,Match($A266,'Player Raw Data'!$B:$B,0))),"")</f>
        <v/>
      </c>
      <c r="E266" t="str">
        <f t="array" ref="E266">IFERROR(INDEX('Player Raw Data'!F:F,Match($A266,'Player Raw Data'!$B:$B,0)),"")</f>
        <v/>
      </c>
      <c r="F266" t="str">
        <f t="array" ref="F266">IFERROR(INDEX('Player Raw Data'!H:H,Match($A266,'Player Raw Data'!$B:$B,0)),"")</f>
        <v/>
      </c>
      <c r="G266" t="str">
        <f t="array" ref="G266">IFERROR(INDEX('Player Raw Data'!I:I,Match($A266,'Player Raw Data'!$B:$B,0)),"")</f>
        <v/>
      </c>
      <c r="H266" t="str">
        <f t="array" ref="H266">IFERROR(INDEX('Player Raw Data'!J:J,Match($A266,'Player Raw Data'!$B:$B,0)),"")</f>
        <v/>
      </c>
      <c r="I266" t="str">
        <f t="array" ref="I266">IFERROR(INDEX('Player Raw Data'!S:S,Match($A266,'Player Raw Data'!$B:$B,0)),"")</f>
        <v/>
      </c>
      <c r="J266" t="str">
        <f t="array" ref="J266">IFERROR(INDEX('Player Raw Data'!T:T,Match($A266,'Player Raw Data'!$B:$B,0)),"")</f>
        <v/>
      </c>
      <c r="K266" t="str">
        <f t="array" ref="K266">IFERROR(INDEX('Player Raw Data'!X:X,Match($A266,'Player Raw Data'!$B:$B,0)),"")</f>
        <v/>
      </c>
      <c r="L266" t="str">
        <f t="array" ref="L266">IFERROR(INDEX('Player Raw Data'!Y:Y,Match($A266,'Player Raw Data'!$B:$B,0)),"")</f>
        <v/>
      </c>
      <c r="M266" t="str">
        <f t="array" ref="M266">IFERROR(INDEX('Player Raw Data'!Z:Z,Match($A266,'Player Raw Data'!$B:$B,0)),"")</f>
        <v/>
      </c>
      <c r="N266" t="str">
        <f t="array" ref="N266">IFERROR(INDEX('Player Raw Data'!AA:AA,Match($A266,'Player Raw Data'!$B:$B,0)),"")</f>
        <v/>
      </c>
      <c r="O266" t="str">
        <f t="array" ref="O266">IFERROR(INDEX('Player Raw Data'!AB:AB,Match($A266,'Player Raw Data'!$B:$B,0)),"")</f>
        <v/>
      </c>
      <c r="P266" t="str">
        <f t="array" ref="P266">IFERROR(INDEX('Player Raw Data'!AD:AD,Match($A266,'Player Raw Data'!$B:$B,0)),"")</f>
        <v/>
      </c>
      <c r="Q266">
        <f t="shared" si="1"/>
        <v>0</v>
      </c>
      <c r="R266" s="9">
        <f t="shared" si="2"/>
        <v>0</v>
      </c>
      <c r="S266" s="14">
        <f t="shared" si="3"/>
        <v>0</v>
      </c>
      <c r="T266" s="15">
        <f>IFERROR(__xludf.DUMMYFUNCTION("IFERROR(PERCENTRANK.INC(FILTER(Q:Q,$F:$F&lt;&gt;""""),Q266)*100,"""")"),1.5)</f>
        <v>1.5</v>
      </c>
      <c r="U266" s="15">
        <f>IFERROR(__xludf.DUMMYFUNCTION("IFERROR(PERCENTRANK.INC(FILTER(R:R,$F:$F&lt;&gt;""""),R266)*100,"""")"),1.5)</f>
        <v>1.5</v>
      </c>
      <c r="V266" s="15">
        <f>IFERROR(__xludf.DUMMYFUNCTION("IFERROR(PERCENTRANK.INC(FILTER(S:S,$F:$F&lt;&gt;""""),S266)*100,"""")"),1.5)</f>
        <v>1.5</v>
      </c>
      <c r="W266" s="15" t="str">
        <f t="shared" si="4"/>
        <v/>
      </c>
      <c r="X266" s="16"/>
      <c r="Y266" s="9"/>
      <c r="Z266" s="9"/>
    </row>
    <row r="267">
      <c r="B267" t="str">
        <f t="array" ref="B267">IFERROR(INDEX('Player Raw Data'!E:E,Match($A267,'Player Raw Data'!$B:$B,0)),"")</f>
        <v/>
      </c>
      <c r="C267" t="str">
        <f t="array" ref="C267">IFERROR(INDEX('Player Raw Data'!C:C,Match($A267,'Player Raw Data'!$B:$B,0)),"")</f>
        <v/>
      </c>
      <c r="D267" t="str">
        <f t="array" ref="D267">IFERROR(IF(A267=A266, INDEX('Player Raw Data'!D:D,Match($A267,'Player Raw Data'!$B:$B,0)+2),INDEX('Player Raw Data'!D:D,Match($A267,'Player Raw Data'!$B:$B,0))),"")</f>
        <v/>
      </c>
      <c r="E267" t="str">
        <f t="array" ref="E267">IFERROR(INDEX('Player Raw Data'!F:F,Match($A267,'Player Raw Data'!$B:$B,0)),"")</f>
        <v/>
      </c>
      <c r="F267" t="str">
        <f t="array" ref="F267">IFERROR(INDEX('Player Raw Data'!H:H,Match($A267,'Player Raw Data'!$B:$B,0)),"")</f>
        <v/>
      </c>
      <c r="G267" t="str">
        <f t="array" ref="G267">IFERROR(INDEX('Player Raw Data'!I:I,Match($A267,'Player Raw Data'!$B:$B,0)),"")</f>
        <v/>
      </c>
      <c r="H267" t="str">
        <f t="array" ref="H267">IFERROR(INDEX('Player Raw Data'!J:J,Match($A267,'Player Raw Data'!$B:$B,0)),"")</f>
        <v/>
      </c>
      <c r="I267" t="str">
        <f t="array" ref="I267">IFERROR(INDEX('Player Raw Data'!S:S,Match($A267,'Player Raw Data'!$B:$B,0)),"")</f>
        <v/>
      </c>
      <c r="J267" t="str">
        <f t="array" ref="J267">IFERROR(INDEX('Player Raw Data'!T:T,Match($A267,'Player Raw Data'!$B:$B,0)),"")</f>
        <v/>
      </c>
      <c r="K267" t="str">
        <f t="array" ref="K267">IFERROR(INDEX('Player Raw Data'!X:X,Match($A267,'Player Raw Data'!$B:$B,0)),"")</f>
        <v/>
      </c>
      <c r="L267" t="str">
        <f t="array" ref="L267">IFERROR(INDEX('Player Raw Data'!Y:Y,Match($A267,'Player Raw Data'!$B:$B,0)),"")</f>
        <v/>
      </c>
      <c r="M267" t="str">
        <f t="array" ref="M267">IFERROR(INDEX('Player Raw Data'!Z:Z,Match($A267,'Player Raw Data'!$B:$B,0)),"")</f>
        <v/>
      </c>
      <c r="N267" t="str">
        <f t="array" ref="N267">IFERROR(INDEX('Player Raw Data'!AA:AA,Match($A267,'Player Raw Data'!$B:$B,0)),"")</f>
        <v/>
      </c>
      <c r="O267" t="str">
        <f t="array" ref="O267">IFERROR(INDEX('Player Raw Data'!AB:AB,Match($A267,'Player Raw Data'!$B:$B,0)),"")</f>
        <v/>
      </c>
      <c r="P267" t="str">
        <f t="array" ref="P267">IFERROR(INDEX('Player Raw Data'!AD:AD,Match($A267,'Player Raw Data'!$B:$B,0)),"")</f>
        <v/>
      </c>
      <c r="Q267">
        <f t="shared" si="1"/>
        <v>0</v>
      </c>
      <c r="R267" s="9">
        <f t="shared" si="2"/>
        <v>0</v>
      </c>
      <c r="S267" s="14">
        <f t="shared" si="3"/>
        <v>0</v>
      </c>
      <c r="T267" s="15">
        <f>IFERROR(__xludf.DUMMYFUNCTION("IFERROR(PERCENTRANK.INC(FILTER(Q:Q,$F:$F&lt;&gt;""""),Q267)*100,"""")"),1.5)</f>
        <v>1.5</v>
      </c>
      <c r="U267" s="15">
        <f>IFERROR(__xludf.DUMMYFUNCTION("IFERROR(PERCENTRANK.INC(FILTER(R:R,$F:$F&lt;&gt;""""),R267)*100,"""")"),1.5)</f>
        <v>1.5</v>
      </c>
      <c r="V267" s="15">
        <f>IFERROR(__xludf.DUMMYFUNCTION("IFERROR(PERCENTRANK.INC(FILTER(S:S,$F:$F&lt;&gt;""""),S267)*100,"""")"),1.5)</f>
        <v>1.5</v>
      </c>
      <c r="W267" s="15" t="str">
        <f t="shared" si="4"/>
        <v/>
      </c>
      <c r="X267" s="16"/>
      <c r="Y267" s="9"/>
      <c r="Z267" s="9"/>
    </row>
    <row r="268">
      <c r="B268" t="str">
        <f t="array" ref="B268">IFERROR(INDEX('Player Raw Data'!E:E,Match($A268,'Player Raw Data'!$B:$B,0)),"")</f>
        <v/>
      </c>
      <c r="C268" t="str">
        <f t="array" ref="C268">IFERROR(INDEX('Player Raw Data'!C:C,Match($A268,'Player Raw Data'!$B:$B,0)),"")</f>
        <v/>
      </c>
      <c r="D268" t="str">
        <f t="array" ref="D268">IFERROR(IF(A268=A267, INDEX('Player Raw Data'!D:D,Match($A268,'Player Raw Data'!$B:$B,0)+2),INDEX('Player Raw Data'!D:D,Match($A268,'Player Raw Data'!$B:$B,0))),"")</f>
        <v/>
      </c>
      <c r="E268" t="str">
        <f t="array" ref="E268">IFERROR(INDEX('Player Raw Data'!F:F,Match($A268,'Player Raw Data'!$B:$B,0)),"")</f>
        <v/>
      </c>
      <c r="F268" t="str">
        <f t="array" ref="F268">IFERROR(INDEX('Player Raw Data'!H:H,Match($A268,'Player Raw Data'!$B:$B,0)),"")</f>
        <v/>
      </c>
      <c r="G268" t="str">
        <f t="array" ref="G268">IFERROR(INDEX('Player Raw Data'!I:I,Match($A268,'Player Raw Data'!$B:$B,0)),"")</f>
        <v/>
      </c>
      <c r="H268" t="str">
        <f t="array" ref="H268">IFERROR(INDEX('Player Raw Data'!J:J,Match($A268,'Player Raw Data'!$B:$B,0)),"")</f>
        <v/>
      </c>
      <c r="I268" t="str">
        <f t="array" ref="I268">IFERROR(INDEX('Player Raw Data'!S:S,Match($A268,'Player Raw Data'!$B:$B,0)),"")</f>
        <v/>
      </c>
      <c r="J268" t="str">
        <f t="array" ref="J268">IFERROR(INDEX('Player Raw Data'!T:T,Match($A268,'Player Raw Data'!$B:$B,0)),"")</f>
        <v/>
      </c>
      <c r="K268" t="str">
        <f t="array" ref="K268">IFERROR(INDEX('Player Raw Data'!X:X,Match($A268,'Player Raw Data'!$B:$B,0)),"")</f>
        <v/>
      </c>
      <c r="L268" t="str">
        <f t="array" ref="L268">IFERROR(INDEX('Player Raw Data'!Y:Y,Match($A268,'Player Raw Data'!$B:$B,0)),"")</f>
        <v/>
      </c>
      <c r="M268" t="str">
        <f t="array" ref="M268">IFERROR(INDEX('Player Raw Data'!Z:Z,Match($A268,'Player Raw Data'!$B:$B,0)),"")</f>
        <v/>
      </c>
      <c r="N268" t="str">
        <f t="array" ref="N268">IFERROR(INDEX('Player Raw Data'!AA:AA,Match($A268,'Player Raw Data'!$B:$B,0)),"")</f>
        <v/>
      </c>
      <c r="O268" t="str">
        <f t="array" ref="O268">IFERROR(INDEX('Player Raw Data'!AB:AB,Match($A268,'Player Raw Data'!$B:$B,0)),"")</f>
        <v/>
      </c>
      <c r="P268" t="str">
        <f t="array" ref="P268">IFERROR(INDEX('Player Raw Data'!AD:AD,Match($A268,'Player Raw Data'!$B:$B,0)),"")</f>
        <v/>
      </c>
      <c r="Q268">
        <f t="shared" si="1"/>
        <v>0</v>
      </c>
      <c r="R268" s="9">
        <f t="shared" si="2"/>
        <v>0</v>
      </c>
      <c r="S268" s="14">
        <f t="shared" si="3"/>
        <v>0</v>
      </c>
      <c r="T268" s="15">
        <f>IFERROR(__xludf.DUMMYFUNCTION("IFERROR(PERCENTRANK.INC(FILTER(Q:Q,$F:$F&lt;&gt;""""),Q268)*100,"""")"),1.5)</f>
        <v>1.5</v>
      </c>
      <c r="U268" s="15">
        <f>IFERROR(__xludf.DUMMYFUNCTION("IFERROR(PERCENTRANK.INC(FILTER(R:R,$F:$F&lt;&gt;""""),R268)*100,"""")"),1.5)</f>
        <v>1.5</v>
      </c>
      <c r="V268" s="15">
        <f>IFERROR(__xludf.DUMMYFUNCTION("IFERROR(PERCENTRANK.INC(FILTER(S:S,$F:$F&lt;&gt;""""),S268)*100,"""")"),1.5)</f>
        <v>1.5</v>
      </c>
      <c r="W268" s="15" t="str">
        <f t="shared" si="4"/>
        <v/>
      </c>
      <c r="X268" s="16"/>
      <c r="Y268" s="9"/>
      <c r="Z268" s="9"/>
    </row>
    <row r="269">
      <c r="B269" t="str">
        <f t="array" ref="B269">IFERROR(INDEX('Player Raw Data'!E:E,Match($A269,'Player Raw Data'!$B:$B,0)),"")</f>
        <v/>
      </c>
      <c r="C269" t="str">
        <f t="array" ref="C269">IFERROR(INDEX('Player Raw Data'!C:C,Match($A269,'Player Raw Data'!$B:$B,0)),"")</f>
        <v/>
      </c>
      <c r="D269" t="str">
        <f t="array" ref="D269">IFERROR(IF(A269=A268, INDEX('Player Raw Data'!D:D,Match($A269,'Player Raw Data'!$B:$B,0)+2),INDEX('Player Raw Data'!D:D,Match($A269,'Player Raw Data'!$B:$B,0))),"")</f>
        <v/>
      </c>
      <c r="E269" t="str">
        <f t="array" ref="E269">IFERROR(INDEX('Player Raw Data'!F:F,Match($A269,'Player Raw Data'!$B:$B,0)),"")</f>
        <v/>
      </c>
      <c r="F269" t="str">
        <f t="array" ref="F269">IFERROR(INDEX('Player Raw Data'!H:H,Match($A269,'Player Raw Data'!$B:$B,0)),"")</f>
        <v/>
      </c>
      <c r="G269" t="str">
        <f t="array" ref="G269">IFERROR(INDEX('Player Raw Data'!I:I,Match($A269,'Player Raw Data'!$B:$B,0)),"")</f>
        <v/>
      </c>
      <c r="H269" t="str">
        <f t="array" ref="H269">IFERROR(INDEX('Player Raw Data'!J:J,Match($A269,'Player Raw Data'!$B:$B,0)),"")</f>
        <v/>
      </c>
      <c r="I269" t="str">
        <f t="array" ref="I269">IFERROR(INDEX('Player Raw Data'!S:S,Match($A269,'Player Raw Data'!$B:$B,0)),"")</f>
        <v/>
      </c>
      <c r="J269" t="str">
        <f t="array" ref="J269">IFERROR(INDEX('Player Raw Data'!T:T,Match($A269,'Player Raw Data'!$B:$B,0)),"")</f>
        <v/>
      </c>
      <c r="K269" t="str">
        <f t="array" ref="K269">IFERROR(INDEX('Player Raw Data'!X:X,Match($A269,'Player Raw Data'!$B:$B,0)),"")</f>
        <v/>
      </c>
      <c r="L269" t="str">
        <f t="array" ref="L269">IFERROR(INDEX('Player Raw Data'!Y:Y,Match($A269,'Player Raw Data'!$B:$B,0)),"")</f>
        <v/>
      </c>
      <c r="M269" t="str">
        <f t="array" ref="M269">IFERROR(INDEX('Player Raw Data'!Z:Z,Match($A269,'Player Raw Data'!$B:$B,0)),"")</f>
        <v/>
      </c>
      <c r="N269" t="str">
        <f t="array" ref="N269">IFERROR(INDEX('Player Raw Data'!AA:AA,Match($A269,'Player Raw Data'!$B:$B,0)),"")</f>
        <v/>
      </c>
      <c r="O269" t="str">
        <f t="array" ref="O269">IFERROR(INDEX('Player Raw Data'!AB:AB,Match($A269,'Player Raw Data'!$B:$B,0)),"")</f>
        <v/>
      </c>
      <c r="P269" t="str">
        <f t="array" ref="P269">IFERROR(INDEX('Player Raw Data'!AD:AD,Match($A269,'Player Raw Data'!$B:$B,0)),"")</f>
        <v/>
      </c>
      <c r="Q269">
        <f t="shared" si="1"/>
        <v>0</v>
      </c>
      <c r="R269" s="9">
        <f t="shared" si="2"/>
        <v>0</v>
      </c>
      <c r="S269" s="14">
        <f t="shared" si="3"/>
        <v>0</v>
      </c>
      <c r="T269" s="15">
        <f>IFERROR(__xludf.DUMMYFUNCTION("IFERROR(PERCENTRANK.INC(FILTER(Q:Q,$F:$F&lt;&gt;""""),Q269)*100,"""")"),1.5)</f>
        <v>1.5</v>
      </c>
      <c r="U269" s="15">
        <f>IFERROR(__xludf.DUMMYFUNCTION("IFERROR(PERCENTRANK.INC(FILTER(R:R,$F:$F&lt;&gt;""""),R269)*100,"""")"),1.5)</f>
        <v>1.5</v>
      </c>
      <c r="V269" s="15">
        <f>IFERROR(__xludf.DUMMYFUNCTION("IFERROR(PERCENTRANK.INC(FILTER(S:S,$F:$F&lt;&gt;""""),S269)*100,"""")"),1.5)</f>
        <v>1.5</v>
      </c>
      <c r="W269" s="15" t="str">
        <f t="shared" si="4"/>
        <v/>
      </c>
      <c r="X269" s="16"/>
      <c r="Y269" s="9"/>
      <c r="Z269" s="9"/>
    </row>
    <row r="270">
      <c r="B270" t="str">
        <f t="array" ref="B270">IFERROR(INDEX('Player Raw Data'!E:E,Match($A270,'Player Raw Data'!$B:$B,0)),"")</f>
        <v/>
      </c>
      <c r="C270" t="str">
        <f t="array" ref="C270">IFERROR(INDEX('Player Raw Data'!C:C,Match($A270,'Player Raw Data'!$B:$B,0)),"")</f>
        <v/>
      </c>
      <c r="D270" t="str">
        <f t="array" ref="D270">IFERROR(IF(A270=A269, INDEX('Player Raw Data'!D:D,Match($A270,'Player Raw Data'!$B:$B,0)+2),INDEX('Player Raw Data'!D:D,Match($A270,'Player Raw Data'!$B:$B,0))),"")</f>
        <v/>
      </c>
      <c r="E270" t="str">
        <f t="array" ref="E270">IFERROR(INDEX('Player Raw Data'!F:F,Match($A270,'Player Raw Data'!$B:$B,0)),"")</f>
        <v/>
      </c>
      <c r="F270" t="str">
        <f t="array" ref="F270">IFERROR(INDEX('Player Raw Data'!H:H,Match($A270,'Player Raw Data'!$B:$B,0)),"")</f>
        <v/>
      </c>
      <c r="G270" t="str">
        <f t="array" ref="G270">IFERROR(INDEX('Player Raw Data'!I:I,Match($A270,'Player Raw Data'!$B:$B,0)),"")</f>
        <v/>
      </c>
      <c r="H270" t="str">
        <f t="array" ref="H270">IFERROR(INDEX('Player Raw Data'!J:J,Match($A270,'Player Raw Data'!$B:$B,0)),"")</f>
        <v/>
      </c>
      <c r="I270" t="str">
        <f t="array" ref="I270">IFERROR(INDEX('Player Raw Data'!S:S,Match($A270,'Player Raw Data'!$B:$B,0)),"")</f>
        <v/>
      </c>
      <c r="J270" t="str">
        <f t="array" ref="J270">IFERROR(INDEX('Player Raw Data'!T:T,Match($A270,'Player Raw Data'!$B:$B,0)),"")</f>
        <v/>
      </c>
      <c r="K270" t="str">
        <f t="array" ref="K270">IFERROR(INDEX('Player Raw Data'!X:X,Match($A270,'Player Raw Data'!$B:$B,0)),"")</f>
        <v/>
      </c>
      <c r="L270" t="str">
        <f t="array" ref="L270">IFERROR(INDEX('Player Raw Data'!Y:Y,Match($A270,'Player Raw Data'!$B:$B,0)),"")</f>
        <v/>
      </c>
      <c r="M270" t="str">
        <f t="array" ref="M270">IFERROR(INDEX('Player Raw Data'!Z:Z,Match($A270,'Player Raw Data'!$B:$B,0)),"")</f>
        <v/>
      </c>
      <c r="N270" t="str">
        <f t="array" ref="N270">IFERROR(INDEX('Player Raw Data'!AA:AA,Match($A270,'Player Raw Data'!$B:$B,0)),"")</f>
        <v/>
      </c>
      <c r="O270" t="str">
        <f t="array" ref="O270">IFERROR(INDEX('Player Raw Data'!AB:AB,Match($A270,'Player Raw Data'!$B:$B,0)),"")</f>
        <v/>
      </c>
      <c r="P270" t="str">
        <f t="array" ref="P270">IFERROR(INDEX('Player Raw Data'!AD:AD,Match($A270,'Player Raw Data'!$B:$B,0)),"")</f>
        <v/>
      </c>
      <c r="Q270">
        <f t="shared" si="1"/>
        <v>0</v>
      </c>
      <c r="R270" s="9">
        <f t="shared" si="2"/>
        <v>0</v>
      </c>
      <c r="S270" s="14">
        <f t="shared" si="3"/>
        <v>0</v>
      </c>
      <c r="T270" s="15">
        <f>IFERROR(__xludf.DUMMYFUNCTION("IFERROR(PERCENTRANK.INC(FILTER(Q:Q,$F:$F&lt;&gt;""""),Q270)*100,"""")"),1.5)</f>
        <v>1.5</v>
      </c>
      <c r="U270" s="15">
        <f>IFERROR(__xludf.DUMMYFUNCTION("IFERROR(PERCENTRANK.INC(FILTER(R:R,$F:$F&lt;&gt;""""),R270)*100,"""")"),1.5)</f>
        <v>1.5</v>
      </c>
      <c r="V270" s="15">
        <f>IFERROR(__xludf.DUMMYFUNCTION("IFERROR(PERCENTRANK.INC(FILTER(S:S,$F:$F&lt;&gt;""""),S270)*100,"""")"),1.5)</f>
        <v>1.5</v>
      </c>
      <c r="W270" s="15" t="str">
        <f t="shared" si="4"/>
        <v/>
      </c>
      <c r="X270" s="16"/>
      <c r="Y270" s="9"/>
      <c r="Z270" s="9"/>
    </row>
    <row r="271">
      <c r="B271" t="str">
        <f t="array" ref="B271">IFERROR(INDEX('Player Raw Data'!E:E,Match($A271,'Player Raw Data'!$B:$B,0)),"")</f>
        <v/>
      </c>
      <c r="C271" t="str">
        <f t="array" ref="C271">IFERROR(INDEX('Player Raw Data'!C:C,Match($A271,'Player Raw Data'!$B:$B,0)),"")</f>
        <v/>
      </c>
      <c r="D271" t="str">
        <f t="array" ref="D271">IFERROR(IF(A271=A270, INDEX('Player Raw Data'!D:D,Match($A271,'Player Raw Data'!$B:$B,0)+2),INDEX('Player Raw Data'!D:D,Match($A271,'Player Raw Data'!$B:$B,0))),"")</f>
        <v/>
      </c>
      <c r="E271" t="str">
        <f t="array" ref="E271">IFERROR(INDEX('Player Raw Data'!F:F,Match($A271,'Player Raw Data'!$B:$B,0)),"")</f>
        <v/>
      </c>
      <c r="F271" t="str">
        <f t="array" ref="F271">IFERROR(INDEX('Player Raw Data'!H:H,Match($A271,'Player Raw Data'!$B:$B,0)),"")</f>
        <v/>
      </c>
      <c r="G271" t="str">
        <f t="array" ref="G271">IFERROR(INDEX('Player Raw Data'!I:I,Match($A271,'Player Raw Data'!$B:$B,0)),"")</f>
        <v/>
      </c>
      <c r="H271" t="str">
        <f t="array" ref="H271">IFERROR(INDEX('Player Raw Data'!J:J,Match($A271,'Player Raw Data'!$B:$B,0)),"")</f>
        <v/>
      </c>
      <c r="I271" t="str">
        <f t="array" ref="I271">IFERROR(INDEX('Player Raw Data'!S:S,Match($A271,'Player Raw Data'!$B:$B,0)),"")</f>
        <v/>
      </c>
      <c r="J271" t="str">
        <f t="array" ref="J271">IFERROR(INDEX('Player Raw Data'!T:T,Match($A271,'Player Raw Data'!$B:$B,0)),"")</f>
        <v/>
      </c>
      <c r="K271" t="str">
        <f t="array" ref="K271">IFERROR(INDEX('Player Raw Data'!X:X,Match($A271,'Player Raw Data'!$B:$B,0)),"")</f>
        <v/>
      </c>
      <c r="L271" t="str">
        <f t="array" ref="L271">IFERROR(INDEX('Player Raw Data'!Y:Y,Match($A271,'Player Raw Data'!$B:$B,0)),"")</f>
        <v/>
      </c>
      <c r="M271" t="str">
        <f t="array" ref="M271">IFERROR(INDEX('Player Raw Data'!Z:Z,Match($A271,'Player Raw Data'!$B:$B,0)),"")</f>
        <v/>
      </c>
      <c r="N271" t="str">
        <f t="array" ref="N271">IFERROR(INDEX('Player Raw Data'!AA:AA,Match($A271,'Player Raw Data'!$B:$B,0)),"")</f>
        <v/>
      </c>
      <c r="O271" t="str">
        <f t="array" ref="O271">IFERROR(INDEX('Player Raw Data'!AB:AB,Match($A271,'Player Raw Data'!$B:$B,0)),"")</f>
        <v/>
      </c>
      <c r="P271" t="str">
        <f t="array" ref="P271">IFERROR(INDEX('Player Raw Data'!AD:AD,Match($A271,'Player Raw Data'!$B:$B,0)),"")</f>
        <v/>
      </c>
      <c r="Q271">
        <f t="shared" si="1"/>
        <v>0</v>
      </c>
      <c r="R271" s="9">
        <f t="shared" si="2"/>
        <v>0</v>
      </c>
      <c r="S271" s="14">
        <f t="shared" si="3"/>
        <v>0</v>
      </c>
      <c r="T271" s="15">
        <f>IFERROR(__xludf.DUMMYFUNCTION("IFERROR(PERCENTRANK.INC(FILTER(Q:Q,$F:$F&lt;&gt;""""),Q271)*100,"""")"),1.5)</f>
        <v>1.5</v>
      </c>
      <c r="U271" s="15">
        <f>IFERROR(__xludf.DUMMYFUNCTION("IFERROR(PERCENTRANK.INC(FILTER(R:R,$F:$F&lt;&gt;""""),R271)*100,"""")"),1.5)</f>
        <v>1.5</v>
      </c>
      <c r="V271" s="15">
        <f>IFERROR(__xludf.DUMMYFUNCTION("IFERROR(PERCENTRANK.INC(FILTER(S:S,$F:$F&lt;&gt;""""),S271)*100,"""")"),1.5)</f>
        <v>1.5</v>
      </c>
      <c r="W271" s="15" t="str">
        <f t="shared" si="4"/>
        <v/>
      </c>
      <c r="X271" s="16"/>
      <c r="Y271" s="9"/>
      <c r="Z271" s="9"/>
    </row>
    <row r="272">
      <c r="B272" t="str">
        <f t="array" ref="B272">IFERROR(INDEX('Player Raw Data'!E:E,Match($A272,'Player Raw Data'!$B:$B,0)),"")</f>
        <v/>
      </c>
      <c r="C272" t="str">
        <f t="array" ref="C272">IFERROR(INDEX('Player Raw Data'!C:C,Match($A272,'Player Raw Data'!$B:$B,0)),"")</f>
        <v/>
      </c>
      <c r="D272" t="str">
        <f t="array" ref="D272">IFERROR(IF(A272=A271, INDEX('Player Raw Data'!D:D,Match($A272,'Player Raw Data'!$B:$B,0)+2),INDEX('Player Raw Data'!D:D,Match($A272,'Player Raw Data'!$B:$B,0))),"")</f>
        <v/>
      </c>
      <c r="E272" t="str">
        <f t="array" ref="E272">IFERROR(INDEX('Player Raw Data'!F:F,Match($A272,'Player Raw Data'!$B:$B,0)),"")</f>
        <v/>
      </c>
      <c r="F272" t="str">
        <f t="array" ref="F272">IFERROR(INDEX('Player Raw Data'!H:H,Match($A272,'Player Raw Data'!$B:$B,0)),"")</f>
        <v/>
      </c>
      <c r="G272" t="str">
        <f t="array" ref="G272">IFERROR(INDEX('Player Raw Data'!I:I,Match($A272,'Player Raw Data'!$B:$B,0)),"")</f>
        <v/>
      </c>
      <c r="H272" t="str">
        <f t="array" ref="H272">IFERROR(INDEX('Player Raw Data'!J:J,Match($A272,'Player Raw Data'!$B:$B,0)),"")</f>
        <v/>
      </c>
      <c r="I272" t="str">
        <f t="array" ref="I272">IFERROR(INDEX('Player Raw Data'!S:S,Match($A272,'Player Raw Data'!$B:$B,0)),"")</f>
        <v/>
      </c>
      <c r="J272" t="str">
        <f t="array" ref="J272">IFERROR(INDEX('Player Raw Data'!T:T,Match($A272,'Player Raw Data'!$B:$B,0)),"")</f>
        <v/>
      </c>
      <c r="K272" t="str">
        <f t="array" ref="K272">IFERROR(INDEX('Player Raw Data'!X:X,Match($A272,'Player Raw Data'!$B:$B,0)),"")</f>
        <v/>
      </c>
      <c r="L272" t="str">
        <f t="array" ref="L272">IFERROR(INDEX('Player Raw Data'!Y:Y,Match($A272,'Player Raw Data'!$B:$B,0)),"")</f>
        <v/>
      </c>
      <c r="M272" t="str">
        <f t="array" ref="M272">IFERROR(INDEX('Player Raw Data'!Z:Z,Match($A272,'Player Raw Data'!$B:$B,0)),"")</f>
        <v/>
      </c>
      <c r="N272" t="str">
        <f t="array" ref="N272">IFERROR(INDEX('Player Raw Data'!AA:AA,Match($A272,'Player Raw Data'!$B:$B,0)),"")</f>
        <v/>
      </c>
      <c r="O272" t="str">
        <f t="array" ref="O272">IFERROR(INDEX('Player Raw Data'!AB:AB,Match($A272,'Player Raw Data'!$B:$B,0)),"")</f>
        <v/>
      </c>
      <c r="P272" t="str">
        <f t="array" ref="P272">IFERROR(INDEX('Player Raw Data'!AD:AD,Match($A272,'Player Raw Data'!$B:$B,0)),"")</f>
        <v/>
      </c>
      <c r="Q272">
        <f t="shared" si="1"/>
        <v>0</v>
      </c>
      <c r="R272" s="9">
        <f t="shared" si="2"/>
        <v>0</v>
      </c>
      <c r="S272" s="14">
        <f t="shared" si="3"/>
        <v>0</v>
      </c>
      <c r="T272" s="15">
        <f>IFERROR(__xludf.DUMMYFUNCTION("IFERROR(PERCENTRANK.INC(FILTER(Q:Q,$F:$F&lt;&gt;""""),Q272)*100,"""")"),1.5)</f>
        <v>1.5</v>
      </c>
      <c r="U272" s="15">
        <f>IFERROR(__xludf.DUMMYFUNCTION("IFERROR(PERCENTRANK.INC(FILTER(R:R,$F:$F&lt;&gt;""""),R272)*100,"""")"),1.5)</f>
        <v>1.5</v>
      </c>
      <c r="V272" s="15">
        <f>IFERROR(__xludf.DUMMYFUNCTION("IFERROR(PERCENTRANK.INC(FILTER(S:S,$F:$F&lt;&gt;""""),S272)*100,"""")"),1.5)</f>
        <v>1.5</v>
      </c>
      <c r="W272" s="15" t="str">
        <f t="shared" si="4"/>
        <v/>
      </c>
      <c r="X272" s="16"/>
      <c r="Y272" s="9"/>
      <c r="Z272" s="9"/>
    </row>
    <row r="273">
      <c r="B273" t="str">
        <f t="array" ref="B273">IFERROR(INDEX('Player Raw Data'!E:E,Match($A273,'Player Raw Data'!$B:$B,0)),"")</f>
        <v/>
      </c>
      <c r="C273" t="str">
        <f t="array" ref="C273">IFERROR(INDEX('Player Raw Data'!C:C,Match($A273,'Player Raw Data'!$B:$B,0)),"")</f>
        <v/>
      </c>
      <c r="D273" t="str">
        <f t="array" ref="D273">IFERROR(IF(A273=A272, INDEX('Player Raw Data'!D:D,Match($A273,'Player Raw Data'!$B:$B,0)+2),INDEX('Player Raw Data'!D:D,Match($A273,'Player Raw Data'!$B:$B,0))),"")</f>
        <v/>
      </c>
      <c r="E273" t="str">
        <f t="array" ref="E273">IFERROR(INDEX('Player Raw Data'!F:F,Match($A273,'Player Raw Data'!$B:$B,0)),"")</f>
        <v/>
      </c>
      <c r="F273" t="str">
        <f t="array" ref="F273">IFERROR(INDEX('Player Raw Data'!H:H,Match($A273,'Player Raw Data'!$B:$B,0)),"")</f>
        <v/>
      </c>
      <c r="G273" t="str">
        <f t="array" ref="G273">IFERROR(INDEX('Player Raw Data'!I:I,Match($A273,'Player Raw Data'!$B:$B,0)),"")</f>
        <v/>
      </c>
      <c r="H273" t="str">
        <f t="array" ref="H273">IFERROR(INDEX('Player Raw Data'!J:J,Match($A273,'Player Raw Data'!$B:$B,0)),"")</f>
        <v/>
      </c>
      <c r="I273" t="str">
        <f t="array" ref="I273">IFERROR(INDEX('Player Raw Data'!S:S,Match($A273,'Player Raw Data'!$B:$B,0)),"")</f>
        <v/>
      </c>
      <c r="J273" t="str">
        <f t="array" ref="J273">IFERROR(INDEX('Player Raw Data'!T:T,Match($A273,'Player Raw Data'!$B:$B,0)),"")</f>
        <v/>
      </c>
      <c r="K273" t="str">
        <f t="array" ref="K273">IFERROR(INDEX('Player Raw Data'!X:X,Match($A273,'Player Raw Data'!$B:$B,0)),"")</f>
        <v/>
      </c>
      <c r="L273" t="str">
        <f t="array" ref="L273">IFERROR(INDEX('Player Raw Data'!Y:Y,Match($A273,'Player Raw Data'!$B:$B,0)),"")</f>
        <v/>
      </c>
      <c r="M273" t="str">
        <f t="array" ref="M273">IFERROR(INDEX('Player Raw Data'!Z:Z,Match($A273,'Player Raw Data'!$B:$B,0)),"")</f>
        <v/>
      </c>
      <c r="N273" t="str">
        <f t="array" ref="N273">IFERROR(INDEX('Player Raw Data'!AA:AA,Match($A273,'Player Raw Data'!$B:$B,0)),"")</f>
        <v/>
      </c>
      <c r="O273" t="str">
        <f t="array" ref="O273">IFERROR(INDEX('Player Raw Data'!AB:AB,Match($A273,'Player Raw Data'!$B:$B,0)),"")</f>
        <v/>
      </c>
      <c r="P273" t="str">
        <f t="array" ref="P273">IFERROR(INDEX('Player Raw Data'!AD:AD,Match($A273,'Player Raw Data'!$B:$B,0)),"")</f>
        <v/>
      </c>
      <c r="Q273">
        <f t="shared" si="1"/>
        <v>0</v>
      </c>
      <c r="R273" s="9">
        <f t="shared" si="2"/>
        <v>0</v>
      </c>
      <c r="S273" s="14">
        <f t="shared" si="3"/>
        <v>0</v>
      </c>
      <c r="T273" s="15">
        <f>IFERROR(__xludf.DUMMYFUNCTION("IFERROR(PERCENTRANK.INC(FILTER(Q:Q,$F:$F&lt;&gt;""""),Q273)*100,"""")"),1.5)</f>
        <v>1.5</v>
      </c>
      <c r="U273" s="15">
        <f>IFERROR(__xludf.DUMMYFUNCTION("IFERROR(PERCENTRANK.INC(FILTER(R:R,$F:$F&lt;&gt;""""),R273)*100,"""")"),1.5)</f>
        <v>1.5</v>
      </c>
      <c r="V273" s="15">
        <f>IFERROR(__xludf.DUMMYFUNCTION("IFERROR(PERCENTRANK.INC(FILTER(S:S,$F:$F&lt;&gt;""""),S273)*100,"""")"),1.5)</f>
        <v>1.5</v>
      </c>
      <c r="W273" s="15" t="str">
        <f t="shared" si="4"/>
        <v/>
      </c>
      <c r="X273" s="16"/>
      <c r="Y273" s="9"/>
      <c r="Z273" s="9"/>
    </row>
    <row r="274">
      <c r="B274" t="str">
        <f t="array" ref="B274">IFERROR(INDEX('Player Raw Data'!E:E,Match($A274,'Player Raw Data'!$B:$B,0)),"")</f>
        <v/>
      </c>
      <c r="C274" t="str">
        <f t="array" ref="C274">IFERROR(INDEX('Player Raw Data'!C:C,Match($A274,'Player Raw Data'!$B:$B,0)),"")</f>
        <v/>
      </c>
      <c r="D274" t="str">
        <f t="array" ref="D274">IFERROR(IF(A274=A273, INDEX('Player Raw Data'!D:D,Match($A274,'Player Raw Data'!$B:$B,0)+2),INDEX('Player Raw Data'!D:D,Match($A274,'Player Raw Data'!$B:$B,0))),"")</f>
        <v/>
      </c>
      <c r="E274" t="str">
        <f t="array" ref="E274">IFERROR(INDEX('Player Raw Data'!F:F,Match($A274,'Player Raw Data'!$B:$B,0)),"")</f>
        <v/>
      </c>
      <c r="F274" t="str">
        <f t="array" ref="F274">IFERROR(INDEX('Player Raw Data'!H:H,Match($A274,'Player Raw Data'!$B:$B,0)),"")</f>
        <v/>
      </c>
      <c r="G274" t="str">
        <f t="array" ref="G274">IFERROR(INDEX('Player Raw Data'!I:I,Match($A274,'Player Raw Data'!$B:$B,0)),"")</f>
        <v/>
      </c>
      <c r="H274" t="str">
        <f t="array" ref="H274">IFERROR(INDEX('Player Raw Data'!J:J,Match($A274,'Player Raw Data'!$B:$B,0)),"")</f>
        <v/>
      </c>
      <c r="I274" t="str">
        <f t="array" ref="I274">IFERROR(INDEX('Player Raw Data'!S:S,Match($A274,'Player Raw Data'!$B:$B,0)),"")</f>
        <v/>
      </c>
      <c r="J274" t="str">
        <f t="array" ref="J274">IFERROR(INDEX('Player Raw Data'!T:T,Match($A274,'Player Raw Data'!$B:$B,0)),"")</f>
        <v/>
      </c>
      <c r="K274" t="str">
        <f t="array" ref="K274">IFERROR(INDEX('Player Raw Data'!X:X,Match($A274,'Player Raw Data'!$B:$B,0)),"")</f>
        <v/>
      </c>
      <c r="L274" t="str">
        <f t="array" ref="L274">IFERROR(INDEX('Player Raw Data'!Y:Y,Match($A274,'Player Raw Data'!$B:$B,0)),"")</f>
        <v/>
      </c>
      <c r="M274" t="str">
        <f t="array" ref="M274">IFERROR(INDEX('Player Raw Data'!Z:Z,Match($A274,'Player Raw Data'!$B:$B,0)),"")</f>
        <v/>
      </c>
      <c r="N274" t="str">
        <f t="array" ref="N274">IFERROR(INDEX('Player Raw Data'!AA:AA,Match($A274,'Player Raw Data'!$B:$B,0)),"")</f>
        <v/>
      </c>
      <c r="O274" t="str">
        <f t="array" ref="O274">IFERROR(INDEX('Player Raw Data'!AB:AB,Match($A274,'Player Raw Data'!$B:$B,0)),"")</f>
        <v/>
      </c>
      <c r="P274" t="str">
        <f t="array" ref="P274">IFERROR(INDEX('Player Raw Data'!AD:AD,Match($A274,'Player Raw Data'!$B:$B,0)),"")</f>
        <v/>
      </c>
      <c r="Q274">
        <f t="shared" si="1"/>
        <v>0</v>
      </c>
      <c r="R274" s="9">
        <f t="shared" si="2"/>
        <v>0</v>
      </c>
      <c r="S274" s="14">
        <f t="shared" si="3"/>
        <v>0</v>
      </c>
      <c r="T274" s="15">
        <f>IFERROR(__xludf.DUMMYFUNCTION("IFERROR(PERCENTRANK.INC(FILTER(Q:Q,$F:$F&lt;&gt;""""),Q274)*100,"""")"),1.5)</f>
        <v>1.5</v>
      </c>
      <c r="U274" s="15">
        <f>IFERROR(__xludf.DUMMYFUNCTION("IFERROR(PERCENTRANK.INC(FILTER(R:R,$F:$F&lt;&gt;""""),R274)*100,"""")"),1.5)</f>
        <v>1.5</v>
      </c>
      <c r="V274" s="15">
        <f>IFERROR(__xludf.DUMMYFUNCTION("IFERROR(PERCENTRANK.INC(FILTER(S:S,$F:$F&lt;&gt;""""),S274)*100,"""")"),1.5)</f>
        <v>1.5</v>
      </c>
      <c r="W274" s="15" t="str">
        <f t="shared" si="4"/>
        <v/>
      </c>
      <c r="X274" s="16"/>
      <c r="Y274" s="9"/>
      <c r="Z274" s="9"/>
    </row>
    <row r="275">
      <c r="B275" t="str">
        <f t="array" ref="B275">IFERROR(INDEX('Player Raw Data'!E:E,Match($A275,'Player Raw Data'!$B:$B,0)),"")</f>
        <v/>
      </c>
      <c r="C275" t="str">
        <f t="array" ref="C275">IFERROR(INDEX('Player Raw Data'!C:C,Match($A275,'Player Raw Data'!$B:$B,0)),"")</f>
        <v/>
      </c>
      <c r="D275" t="str">
        <f t="array" ref="D275">IFERROR(IF(A275=A274, INDEX('Player Raw Data'!D:D,Match($A275,'Player Raw Data'!$B:$B,0)+2),INDEX('Player Raw Data'!D:D,Match($A275,'Player Raw Data'!$B:$B,0))),"")</f>
        <v/>
      </c>
      <c r="E275" t="str">
        <f t="array" ref="E275">IFERROR(INDEX('Player Raw Data'!F:F,Match($A275,'Player Raw Data'!$B:$B,0)),"")</f>
        <v/>
      </c>
      <c r="F275" t="str">
        <f t="array" ref="F275">IFERROR(INDEX('Player Raw Data'!H:H,Match($A275,'Player Raw Data'!$B:$B,0)),"")</f>
        <v/>
      </c>
      <c r="G275" t="str">
        <f t="array" ref="G275">IFERROR(INDEX('Player Raw Data'!I:I,Match($A275,'Player Raw Data'!$B:$B,0)),"")</f>
        <v/>
      </c>
      <c r="H275" t="str">
        <f t="array" ref="H275">IFERROR(INDEX('Player Raw Data'!J:J,Match($A275,'Player Raw Data'!$B:$B,0)),"")</f>
        <v/>
      </c>
      <c r="I275" t="str">
        <f t="array" ref="I275">IFERROR(INDEX('Player Raw Data'!S:S,Match($A275,'Player Raw Data'!$B:$B,0)),"")</f>
        <v/>
      </c>
      <c r="J275" t="str">
        <f t="array" ref="J275">IFERROR(INDEX('Player Raw Data'!T:T,Match($A275,'Player Raw Data'!$B:$B,0)),"")</f>
        <v/>
      </c>
      <c r="K275" t="str">
        <f t="array" ref="K275">IFERROR(INDEX('Player Raw Data'!X:X,Match($A275,'Player Raw Data'!$B:$B,0)),"")</f>
        <v/>
      </c>
      <c r="L275" t="str">
        <f t="array" ref="L275">IFERROR(INDEX('Player Raw Data'!Y:Y,Match($A275,'Player Raw Data'!$B:$B,0)),"")</f>
        <v/>
      </c>
      <c r="M275" t="str">
        <f t="array" ref="M275">IFERROR(INDEX('Player Raw Data'!Z:Z,Match($A275,'Player Raw Data'!$B:$B,0)),"")</f>
        <v/>
      </c>
      <c r="N275" t="str">
        <f t="array" ref="N275">IFERROR(INDEX('Player Raw Data'!AA:AA,Match($A275,'Player Raw Data'!$B:$B,0)),"")</f>
        <v/>
      </c>
      <c r="O275" t="str">
        <f t="array" ref="O275">IFERROR(INDEX('Player Raw Data'!AB:AB,Match($A275,'Player Raw Data'!$B:$B,0)),"")</f>
        <v/>
      </c>
      <c r="P275" t="str">
        <f t="array" ref="P275">IFERROR(INDEX('Player Raw Data'!AD:AD,Match($A275,'Player Raw Data'!$B:$B,0)),"")</f>
        <v/>
      </c>
      <c r="Q275">
        <f t="shared" si="1"/>
        <v>0</v>
      </c>
      <c r="R275" s="9">
        <f t="shared" si="2"/>
        <v>0</v>
      </c>
      <c r="S275" s="14">
        <f t="shared" si="3"/>
        <v>0</v>
      </c>
      <c r="T275" s="15">
        <f>IFERROR(__xludf.DUMMYFUNCTION("IFERROR(PERCENTRANK.INC(FILTER(Q:Q,$F:$F&lt;&gt;""""),Q275)*100,"""")"),1.5)</f>
        <v>1.5</v>
      </c>
      <c r="U275" s="15">
        <f>IFERROR(__xludf.DUMMYFUNCTION("IFERROR(PERCENTRANK.INC(FILTER(R:R,$F:$F&lt;&gt;""""),R275)*100,"""")"),1.5)</f>
        <v>1.5</v>
      </c>
      <c r="V275" s="15">
        <f>IFERROR(__xludf.DUMMYFUNCTION("IFERROR(PERCENTRANK.INC(FILTER(S:S,$F:$F&lt;&gt;""""),S275)*100,"""")"),1.5)</f>
        <v>1.5</v>
      </c>
      <c r="W275" s="15" t="str">
        <f t="shared" si="4"/>
        <v/>
      </c>
      <c r="X275" s="16"/>
      <c r="Y275" s="9"/>
      <c r="Z275" s="9"/>
    </row>
    <row r="276">
      <c r="B276" t="str">
        <f t="array" ref="B276">IFERROR(INDEX('Player Raw Data'!E:E,Match($A276,'Player Raw Data'!$B:$B,0)),"")</f>
        <v/>
      </c>
      <c r="C276" t="str">
        <f t="array" ref="C276">IFERROR(INDEX('Player Raw Data'!C:C,Match($A276,'Player Raw Data'!$B:$B,0)),"")</f>
        <v/>
      </c>
      <c r="D276" t="str">
        <f t="array" ref="D276">IFERROR(IF(A276=A275, INDEX('Player Raw Data'!D:D,Match($A276,'Player Raw Data'!$B:$B,0)+2),INDEX('Player Raw Data'!D:D,Match($A276,'Player Raw Data'!$B:$B,0))),"")</f>
        <v/>
      </c>
      <c r="E276" t="str">
        <f t="array" ref="E276">IFERROR(INDEX('Player Raw Data'!F:F,Match($A276,'Player Raw Data'!$B:$B,0)),"")</f>
        <v/>
      </c>
      <c r="F276" t="str">
        <f t="array" ref="F276">IFERROR(INDEX('Player Raw Data'!H:H,Match($A276,'Player Raw Data'!$B:$B,0)),"")</f>
        <v/>
      </c>
      <c r="G276" t="str">
        <f t="array" ref="G276">IFERROR(INDEX('Player Raw Data'!I:I,Match($A276,'Player Raw Data'!$B:$B,0)),"")</f>
        <v/>
      </c>
      <c r="H276" t="str">
        <f t="array" ref="H276">IFERROR(INDEX('Player Raw Data'!J:J,Match($A276,'Player Raw Data'!$B:$B,0)),"")</f>
        <v/>
      </c>
      <c r="I276" t="str">
        <f t="array" ref="I276">IFERROR(INDEX('Player Raw Data'!S:S,Match($A276,'Player Raw Data'!$B:$B,0)),"")</f>
        <v/>
      </c>
      <c r="J276" t="str">
        <f t="array" ref="J276">IFERROR(INDEX('Player Raw Data'!T:T,Match($A276,'Player Raw Data'!$B:$B,0)),"")</f>
        <v/>
      </c>
      <c r="K276" t="str">
        <f t="array" ref="K276">IFERROR(INDEX('Player Raw Data'!X:X,Match($A276,'Player Raw Data'!$B:$B,0)),"")</f>
        <v/>
      </c>
      <c r="L276" t="str">
        <f t="array" ref="L276">IFERROR(INDEX('Player Raw Data'!Y:Y,Match($A276,'Player Raw Data'!$B:$B,0)),"")</f>
        <v/>
      </c>
      <c r="M276" t="str">
        <f t="array" ref="M276">IFERROR(INDEX('Player Raw Data'!Z:Z,Match($A276,'Player Raw Data'!$B:$B,0)),"")</f>
        <v/>
      </c>
      <c r="N276" t="str">
        <f t="array" ref="N276">IFERROR(INDEX('Player Raw Data'!AA:AA,Match($A276,'Player Raw Data'!$B:$B,0)),"")</f>
        <v/>
      </c>
      <c r="O276" t="str">
        <f t="array" ref="O276">IFERROR(INDEX('Player Raw Data'!AB:AB,Match($A276,'Player Raw Data'!$B:$B,0)),"")</f>
        <v/>
      </c>
      <c r="P276" t="str">
        <f t="array" ref="P276">IFERROR(INDEX('Player Raw Data'!AD:AD,Match($A276,'Player Raw Data'!$B:$B,0)),"")</f>
        <v/>
      </c>
      <c r="Q276">
        <f t="shared" si="1"/>
        <v>0</v>
      </c>
      <c r="R276" s="9">
        <f t="shared" si="2"/>
        <v>0</v>
      </c>
      <c r="S276" s="14">
        <f t="shared" si="3"/>
        <v>0</v>
      </c>
      <c r="T276" s="15">
        <f>IFERROR(__xludf.DUMMYFUNCTION("IFERROR(PERCENTRANK.INC(FILTER(Q:Q,$F:$F&lt;&gt;""""),Q276)*100,"""")"),1.5)</f>
        <v>1.5</v>
      </c>
      <c r="U276" s="15">
        <f>IFERROR(__xludf.DUMMYFUNCTION("IFERROR(PERCENTRANK.INC(FILTER(R:R,$F:$F&lt;&gt;""""),R276)*100,"""")"),1.5)</f>
        <v>1.5</v>
      </c>
      <c r="V276" s="15">
        <f>IFERROR(__xludf.DUMMYFUNCTION("IFERROR(PERCENTRANK.INC(FILTER(S:S,$F:$F&lt;&gt;""""),S276)*100,"""")"),1.5)</f>
        <v>1.5</v>
      </c>
      <c r="W276" s="15" t="str">
        <f t="shared" si="4"/>
        <v/>
      </c>
      <c r="X276" s="16"/>
      <c r="Y276" s="9"/>
      <c r="Z276" s="9"/>
    </row>
    <row r="277">
      <c r="B277" t="str">
        <f t="array" ref="B277">IFERROR(INDEX('Player Raw Data'!E:E,Match($A277,'Player Raw Data'!$B:$B,0)),"")</f>
        <v/>
      </c>
      <c r="C277" t="str">
        <f t="array" ref="C277">IFERROR(INDEX('Player Raw Data'!C:C,Match($A277,'Player Raw Data'!$B:$B,0)),"")</f>
        <v/>
      </c>
      <c r="D277" t="str">
        <f t="array" ref="D277">IFERROR(IF(A277=A276, INDEX('Player Raw Data'!D:D,Match($A277,'Player Raw Data'!$B:$B,0)+2),INDEX('Player Raw Data'!D:D,Match($A277,'Player Raw Data'!$B:$B,0))),"")</f>
        <v/>
      </c>
      <c r="E277" t="str">
        <f t="array" ref="E277">IFERROR(INDEX('Player Raw Data'!F:F,Match($A277,'Player Raw Data'!$B:$B,0)),"")</f>
        <v/>
      </c>
      <c r="F277" t="str">
        <f t="array" ref="F277">IFERROR(INDEX('Player Raw Data'!H:H,Match($A277,'Player Raw Data'!$B:$B,0)),"")</f>
        <v/>
      </c>
      <c r="G277" t="str">
        <f t="array" ref="G277">IFERROR(INDEX('Player Raw Data'!I:I,Match($A277,'Player Raw Data'!$B:$B,0)),"")</f>
        <v/>
      </c>
      <c r="H277" t="str">
        <f t="array" ref="H277">IFERROR(INDEX('Player Raw Data'!J:J,Match($A277,'Player Raw Data'!$B:$B,0)),"")</f>
        <v/>
      </c>
      <c r="I277" t="str">
        <f t="array" ref="I277">IFERROR(INDEX('Player Raw Data'!S:S,Match($A277,'Player Raw Data'!$B:$B,0)),"")</f>
        <v/>
      </c>
      <c r="J277" t="str">
        <f t="array" ref="J277">IFERROR(INDEX('Player Raw Data'!T:T,Match($A277,'Player Raw Data'!$B:$B,0)),"")</f>
        <v/>
      </c>
      <c r="K277" t="str">
        <f t="array" ref="K277">IFERROR(INDEX('Player Raw Data'!X:X,Match($A277,'Player Raw Data'!$B:$B,0)),"")</f>
        <v/>
      </c>
      <c r="L277" t="str">
        <f t="array" ref="L277">IFERROR(INDEX('Player Raw Data'!Y:Y,Match($A277,'Player Raw Data'!$B:$B,0)),"")</f>
        <v/>
      </c>
      <c r="M277" t="str">
        <f t="array" ref="M277">IFERROR(INDEX('Player Raw Data'!Z:Z,Match($A277,'Player Raw Data'!$B:$B,0)),"")</f>
        <v/>
      </c>
      <c r="N277" t="str">
        <f t="array" ref="N277">IFERROR(INDEX('Player Raw Data'!AA:AA,Match($A277,'Player Raw Data'!$B:$B,0)),"")</f>
        <v/>
      </c>
      <c r="O277" t="str">
        <f t="array" ref="O277">IFERROR(INDEX('Player Raw Data'!AB:AB,Match($A277,'Player Raw Data'!$B:$B,0)),"")</f>
        <v/>
      </c>
      <c r="P277" t="str">
        <f t="array" ref="P277">IFERROR(INDEX('Player Raw Data'!AD:AD,Match($A277,'Player Raw Data'!$B:$B,0)),"")</f>
        <v/>
      </c>
      <c r="Q277">
        <f t="shared" si="1"/>
        <v>0</v>
      </c>
      <c r="R277" s="9">
        <f t="shared" si="2"/>
        <v>0</v>
      </c>
      <c r="S277" s="14">
        <f t="shared" si="3"/>
        <v>0</v>
      </c>
      <c r="T277" s="15">
        <f>IFERROR(__xludf.DUMMYFUNCTION("IFERROR(PERCENTRANK.INC(FILTER(Q:Q,$F:$F&lt;&gt;""""),Q277)*100,"""")"),1.5)</f>
        <v>1.5</v>
      </c>
      <c r="U277" s="15">
        <f>IFERROR(__xludf.DUMMYFUNCTION("IFERROR(PERCENTRANK.INC(FILTER(R:R,$F:$F&lt;&gt;""""),R277)*100,"""")"),1.5)</f>
        <v>1.5</v>
      </c>
      <c r="V277" s="15">
        <f>IFERROR(__xludf.DUMMYFUNCTION("IFERROR(PERCENTRANK.INC(FILTER(S:S,$F:$F&lt;&gt;""""),S277)*100,"""")"),1.5)</f>
        <v>1.5</v>
      </c>
      <c r="W277" s="15" t="str">
        <f t="shared" si="4"/>
        <v/>
      </c>
      <c r="X277" s="16"/>
      <c r="Y277" s="9"/>
      <c r="Z277" s="9"/>
    </row>
    <row r="278">
      <c r="B278" t="str">
        <f t="array" ref="B278">IFERROR(INDEX('Player Raw Data'!E:E,Match($A278,'Player Raw Data'!$B:$B,0)),"")</f>
        <v/>
      </c>
      <c r="C278" t="str">
        <f t="array" ref="C278">IFERROR(INDEX('Player Raw Data'!C:C,Match($A278,'Player Raw Data'!$B:$B,0)),"")</f>
        <v/>
      </c>
      <c r="D278" t="str">
        <f t="array" ref="D278">IFERROR(IF(A278=A277, INDEX('Player Raw Data'!D:D,Match($A278,'Player Raw Data'!$B:$B,0)+2),INDEX('Player Raw Data'!D:D,Match($A278,'Player Raw Data'!$B:$B,0))),"")</f>
        <v/>
      </c>
      <c r="E278" t="str">
        <f t="array" ref="E278">IFERROR(INDEX('Player Raw Data'!F:F,Match($A278,'Player Raw Data'!$B:$B,0)),"")</f>
        <v/>
      </c>
      <c r="F278" t="str">
        <f t="array" ref="F278">IFERROR(INDEX('Player Raw Data'!H:H,Match($A278,'Player Raw Data'!$B:$B,0)),"")</f>
        <v/>
      </c>
      <c r="G278" t="str">
        <f t="array" ref="G278">IFERROR(INDEX('Player Raw Data'!I:I,Match($A278,'Player Raw Data'!$B:$B,0)),"")</f>
        <v/>
      </c>
      <c r="H278" t="str">
        <f t="array" ref="H278">IFERROR(INDEX('Player Raw Data'!J:J,Match($A278,'Player Raw Data'!$B:$B,0)),"")</f>
        <v/>
      </c>
      <c r="I278" t="str">
        <f t="array" ref="I278">IFERROR(INDEX('Player Raw Data'!S:S,Match($A278,'Player Raw Data'!$B:$B,0)),"")</f>
        <v/>
      </c>
      <c r="J278" t="str">
        <f t="array" ref="J278">IFERROR(INDEX('Player Raw Data'!T:T,Match($A278,'Player Raw Data'!$B:$B,0)),"")</f>
        <v/>
      </c>
      <c r="K278" t="str">
        <f t="array" ref="K278">IFERROR(INDEX('Player Raw Data'!X:X,Match($A278,'Player Raw Data'!$B:$B,0)),"")</f>
        <v/>
      </c>
      <c r="L278" t="str">
        <f t="array" ref="L278">IFERROR(INDEX('Player Raw Data'!Y:Y,Match($A278,'Player Raw Data'!$B:$B,0)),"")</f>
        <v/>
      </c>
      <c r="M278" t="str">
        <f t="array" ref="M278">IFERROR(INDEX('Player Raw Data'!Z:Z,Match($A278,'Player Raw Data'!$B:$B,0)),"")</f>
        <v/>
      </c>
      <c r="N278" t="str">
        <f t="array" ref="N278">IFERROR(INDEX('Player Raw Data'!AA:AA,Match($A278,'Player Raw Data'!$B:$B,0)),"")</f>
        <v/>
      </c>
      <c r="O278" t="str">
        <f t="array" ref="O278">IFERROR(INDEX('Player Raw Data'!AB:AB,Match($A278,'Player Raw Data'!$B:$B,0)),"")</f>
        <v/>
      </c>
      <c r="P278" t="str">
        <f t="array" ref="P278">IFERROR(INDEX('Player Raw Data'!AD:AD,Match($A278,'Player Raw Data'!$B:$B,0)),"")</f>
        <v/>
      </c>
      <c r="Q278">
        <f t="shared" si="1"/>
        <v>0</v>
      </c>
      <c r="R278" s="9">
        <f t="shared" si="2"/>
        <v>0</v>
      </c>
      <c r="S278" s="14">
        <f t="shared" si="3"/>
        <v>0</v>
      </c>
      <c r="T278" s="15">
        <f>IFERROR(__xludf.DUMMYFUNCTION("IFERROR(PERCENTRANK.INC(FILTER(Q:Q,$F:$F&lt;&gt;""""),Q278)*100,"""")"),1.5)</f>
        <v>1.5</v>
      </c>
      <c r="U278" s="15">
        <f>IFERROR(__xludf.DUMMYFUNCTION("IFERROR(PERCENTRANK.INC(FILTER(R:R,$F:$F&lt;&gt;""""),R278)*100,"""")"),1.5)</f>
        <v>1.5</v>
      </c>
      <c r="V278" s="15">
        <f>IFERROR(__xludf.DUMMYFUNCTION("IFERROR(PERCENTRANK.INC(FILTER(S:S,$F:$F&lt;&gt;""""),S278)*100,"""")"),1.5)</f>
        <v>1.5</v>
      </c>
      <c r="W278" s="15" t="str">
        <f t="shared" si="4"/>
        <v/>
      </c>
      <c r="X278" s="16"/>
      <c r="Y278" s="9"/>
      <c r="Z278" s="9"/>
    </row>
    <row r="279">
      <c r="B279" t="str">
        <f t="array" ref="B279">IFERROR(INDEX('Player Raw Data'!E:E,Match($A279,'Player Raw Data'!$B:$B,0)),"")</f>
        <v/>
      </c>
      <c r="C279" t="str">
        <f t="array" ref="C279">IFERROR(INDEX('Player Raw Data'!C:C,Match($A279,'Player Raw Data'!$B:$B,0)),"")</f>
        <v/>
      </c>
      <c r="D279" t="str">
        <f t="array" ref="D279">IFERROR(IF(A279=A278, INDEX('Player Raw Data'!D:D,Match($A279,'Player Raw Data'!$B:$B,0)+2),INDEX('Player Raw Data'!D:D,Match($A279,'Player Raw Data'!$B:$B,0))),"")</f>
        <v/>
      </c>
      <c r="E279" t="str">
        <f t="array" ref="E279">IFERROR(INDEX('Player Raw Data'!F:F,Match($A279,'Player Raw Data'!$B:$B,0)),"")</f>
        <v/>
      </c>
      <c r="F279" t="str">
        <f t="array" ref="F279">IFERROR(INDEX('Player Raw Data'!H:H,Match($A279,'Player Raw Data'!$B:$B,0)),"")</f>
        <v/>
      </c>
      <c r="G279" t="str">
        <f t="array" ref="G279">IFERROR(INDEX('Player Raw Data'!I:I,Match($A279,'Player Raw Data'!$B:$B,0)),"")</f>
        <v/>
      </c>
      <c r="H279" t="str">
        <f t="array" ref="H279">IFERROR(INDEX('Player Raw Data'!J:J,Match($A279,'Player Raw Data'!$B:$B,0)),"")</f>
        <v/>
      </c>
      <c r="I279" t="str">
        <f t="array" ref="I279">IFERROR(INDEX('Player Raw Data'!S:S,Match($A279,'Player Raw Data'!$B:$B,0)),"")</f>
        <v/>
      </c>
      <c r="J279" t="str">
        <f t="array" ref="J279">IFERROR(INDEX('Player Raw Data'!T:T,Match($A279,'Player Raw Data'!$B:$B,0)),"")</f>
        <v/>
      </c>
      <c r="K279" t="str">
        <f t="array" ref="K279">IFERROR(INDEX('Player Raw Data'!X:X,Match($A279,'Player Raw Data'!$B:$B,0)),"")</f>
        <v/>
      </c>
      <c r="L279" t="str">
        <f t="array" ref="L279">IFERROR(INDEX('Player Raw Data'!Y:Y,Match($A279,'Player Raw Data'!$B:$B,0)),"")</f>
        <v/>
      </c>
      <c r="M279" t="str">
        <f t="array" ref="M279">IFERROR(INDEX('Player Raw Data'!Z:Z,Match($A279,'Player Raw Data'!$B:$B,0)),"")</f>
        <v/>
      </c>
      <c r="N279" t="str">
        <f t="array" ref="N279">IFERROR(INDEX('Player Raw Data'!AA:AA,Match($A279,'Player Raw Data'!$B:$B,0)),"")</f>
        <v/>
      </c>
      <c r="O279" t="str">
        <f t="array" ref="O279">IFERROR(INDEX('Player Raw Data'!AB:AB,Match($A279,'Player Raw Data'!$B:$B,0)),"")</f>
        <v/>
      </c>
      <c r="P279" t="str">
        <f t="array" ref="P279">IFERROR(INDEX('Player Raw Data'!AD:AD,Match($A279,'Player Raw Data'!$B:$B,0)),"")</f>
        <v/>
      </c>
      <c r="Q279">
        <f t="shared" si="1"/>
        <v>0</v>
      </c>
      <c r="R279" s="9">
        <f t="shared" si="2"/>
        <v>0</v>
      </c>
      <c r="S279" s="14">
        <f t="shared" si="3"/>
        <v>0</v>
      </c>
      <c r="T279" s="15">
        <f>IFERROR(__xludf.DUMMYFUNCTION("IFERROR(PERCENTRANK.INC(FILTER(Q:Q,$F:$F&lt;&gt;""""),Q279)*100,"""")"),1.5)</f>
        <v>1.5</v>
      </c>
      <c r="U279" s="15">
        <f>IFERROR(__xludf.DUMMYFUNCTION("IFERROR(PERCENTRANK.INC(FILTER(R:R,$F:$F&lt;&gt;""""),R279)*100,"""")"),1.5)</f>
        <v>1.5</v>
      </c>
      <c r="V279" s="15">
        <f>IFERROR(__xludf.DUMMYFUNCTION("IFERROR(PERCENTRANK.INC(FILTER(S:S,$F:$F&lt;&gt;""""),S279)*100,"""")"),1.5)</f>
        <v>1.5</v>
      </c>
      <c r="W279" s="15" t="str">
        <f t="shared" si="4"/>
        <v/>
      </c>
      <c r="X279" s="16"/>
      <c r="Y279" s="9"/>
      <c r="Z279" s="9"/>
    </row>
    <row r="280">
      <c r="B280" t="str">
        <f t="array" ref="B280">IFERROR(INDEX('Player Raw Data'!E:E,Match($A280,'Player Raw Data'!$B:$B,0)),"")</f>
        <v/>
      </c>
      <c r="C280" t="str">
        <f t="array" ref="C280">IFERROR(INDEX('Player Raw Data'!C:C,Match($A280,'Player Raw Data'!$B:$B,0)),"")</f>
        <v/>
      </c>
      <c r="D280" t="str">
        <f t="array" ref="D280">IFERROR(IF(A280=A279, INDEX('Player Raw Data'!D:D,Match($A280,'Player Raw Data'!$B:$B,0)+2),INDEX('Player Raw Data'!D:D,Match($A280,'Player Raw Data'!$B:$B,0))),"")</f>
        <v/>
      </c>
      <c r="E280" t="str">
        <f t="array" ref="E280">IFERROR(INDEX('Player Raw Data'!F:F,Match($A280,'Player Raw Data'!$B:$B,0)),"")</f>
        <v/>
      </c>
      <c r="F280" t="str">
        <f t="array" ref="F280">IFERROR(INDEX('Player Raw Data'!H:H,Match($A280,'Player Raw Data'!$B:$B,0)),"")</f>
        <v/>
      </c>
      <c r="G280" t="str">
        <f t="array" ref="G280">IFERROR(INDEX('Player Raw Data'!I:I,Match($A280,'Player Raw Data'!$B:$B,0)),"")</f>
        <v/>
      </c>
      <c r="H280" t="str">
        <f t="array" ref="H280">IFERROR(INDEX('Player Raw Data'!J:J,Match($A280,'Player Raw Data'!$B:$B,0)),"")</f>
        <v/>
      </c>
      <c r="I280" t="str">
        <f t="array" ref="I280">IFERROR(INDEX('Player Raw Data'!S:S,Match($A280,'Player Raw Data'!$B:$B,0)),"")</f>
        <v/>
      </c>
      <c r="J280" t="str">
        <f t="array" ref="J280">IFERROR(INDEX('Player Raw Data'!T:T,Match($A280,'Player Raw Data'!$B:$B,0)),"")</f>
        <v/>
      </c>
      <c r="K280" t="str">
        <f t="array" ref="K280">IFERROR(INDEX('Player Raw Data'!X:X,Match($A280,'Player Raw Data'!$B:$B,0)),"")</f>
        <v/>
      </c>
      <c r="L280" t="str">
        <f t="array" ref="L280">IFERROR(INDEX('Player Raw Data'!Y:Y,Match($A280,'Player Raw Data'!$B:$B,0)),"")</f>
        <v/>
      </c>
      <c r="M280" t="str">
        <f t="array" ref="M280">IFERROR(INDEX('Player Raw Data'!Z:Z,Match($A280,'Player Raw Data'!$B:$B,0)),"")</f>
        <v/>
      </c>
      <c r="N280" t="str">
        <f t="array" ref="N280">IFERROR(INDEX('Player Raw Data'!AA:AA,Match($A280,'Player Raw Data'!$B:$B,0)),"")</f>
        <v/>
      </c>
      <c r="O280" t="str">
        <f t="array" ref="O280">IFERROR(INDEX('Player Raw Data'!AB:AB,Match($A280,'Player Raw Data'!$B:$B,0)),"")</f>
        <v/>
      </c>
      <c r="P280" t="str">
        <f t="array" ref="P280">IFERROR(INDEX('Player Raw Data'!AD:AD,Match($A280,'Player Raw Data'!$B:$B,0)),"")</f>
        <v/>
      </c>
      <c r="Q280">
        <f t="shared" si="1"/>
        <v>0</v>
      </c>
      <c r="R280" s="9">
        <f t="shared" si="2"/>
        <v>0</v>
      </c>
      <c r="S280" s="14">
        <f t="shared" si="3"/>
        <v>0</v>
      </c>
      <c r="T280" s="15">
        <f>IFERROR(__xludf.DUMMYFUNCTION("IFERROR(PERCENTRANK.INC(FILTER(Q:Q,$F:$F&lt;&gt;""""),Q280)*100,"""")"),1.5)</f>
        <v>1.5</v>
      </c>
      <c r="U280" s="15">
        <f>IFERROR(__xludf.DUMMYFUNCTION("IFERROR(PERCENTRANK.INC(FILTER(R:R,$F:$F&lt;&gt;""""),R280)*100,"""")"),1.5)</f>
        <v>1.5</v>
      </c>
      <c r="V280" s="15">
        <f>IFERROR(__xludf.DUMMYFUNCTION("IFERROR(PERCENTRANK.INC(FILTER(S:S,$F:$F&lt;&gt;""""),S280)*100,"""")"),1.5)</f>
        <v>1.5</v>
      </c>
      <c r="W280" s="15" t="str">
        <f t="shared" si="4"/>
        <v/>
      </c>
      <c r="X280" s="16"/>
      <c r="Y280" s="9"/>
      <c r="Z280" s="9"/>
    </row>
    <row r="281">
      <c r="B281" t="str">
        <f t="array" ref="B281">IFERROR(INDEX('Player Raw Data'!E:E,Match($A281,'Player Raw Data'!$B:$B,0)),"")</f>
        <v/>
      </c>
      <c r="C281" t="str">
        <f t="array" ref="C281">IFERROR(INDEX('Player Raw Data'!C:C,Match($A281,'Player Raw Data'!$B:$B,0)),"")</f>
        <v/>
      </c>
      <c r="D281" t="str">
        <f t="array" ref="D281">IFERROR(IF(A281=A280, INDEX('Player Raw Data'!D:D,Match($A281,'Player Raw Data'!$B:$B,0)+2),INDEX('Player Raw Data'!D:D,Match($A281,'Player Raw Data'!$B:$B,0))),"")</f>
        <v/>
      </c>
      <c r="E281" t="str">
        <f t="array" ref="E281">IFERROR(INDEX('Player Raw Data'!F:F,Match($A281,'Player Raw Data'!$B:$B,0)),"")</f>
        <v/>
      </c>
      <c r="F281" t="str">
        <f t="array" ref="F281">IFERROR(INDEX('Player Raw Data'!H:H,Match($A281,'Player Raw Data'!$B:$B,0)),"")</f>
        <v/>
      </c>
      <c r="G281" t="str">
        <f t="array" ref="G281">IFERROR(INDEX('Player Raw Data'!I:I,Match($A281,'Player Raw Data'!$B:$B,0)),"")</f>
        <v/>
      </c>
      <c r="H281" t="str">
        <f t="array" ref="H281">IFERROR(INDEX('Player Raw Data'!J:J,Match($A281,'Player Raw Data'!$B:$B,0)),"")</f>
        <v/>
      </c>
      <c r="I281" t="str">
        <f t="array" ref="I281">IFERROR(INDEX('Player Raw Data'!S:S,Match($A281,'Player Raw Data'!$B:$B,0)),"")</f>
        <v/>
      </c>
      <c r="J281" t="str">
        <f t="array" ref="J281">IFERROR(INDEX('Player Raw Data'!T:T,Match($A281,'Player Raw Data'!$B:$B,0)),"")</f>
        <v/>
      </c>
      <c r="K281" t="str">
        <f t="array" ref="K281">IFERROR(INDEX('Player Raw Data'!X:X,Match($A281,'Player Raw Data'!$B:$B,0)),"")</f>
        <v/>
      </c>
      <c r="L281" t="str">
        <f t="array" ref="L281">IFERROR(INDEX('Player Raw Data'!Y:Y,Match($A281,'Player Raw Data'!$B:$B,0)),"")</f>
        <v/>
      </c>
      <c r="M281" t="str">
        <f t="array" ref="M281">IFERROR(INDEX('Player Raw Data'!Z:Z,Match($A281,'Player Raw Data'!$B:$B,0)),"")</f>
        <v/>
      </c>
      <c r="N281" t="str">
        <f t="array" ref="N281">IFERROR(INDEX('Player Raw Data'!AA:AA,Match($A281,'Player Raw Data'!$B:$B,0)),"")</f>
        <v/>
      </c>
      <c r="O281" t="str">
        <f t="array" ref="O281">IFERROR(INDEX('Player Raw Data'!AB:AB,Match($A281,'Player Raw Data'!$B:$B,0)),"")</f>
        <v/>
      </c>
      <c r="P281" t="str">
        <f t="array" ref="P281">IFERROR(INDEX('Player Raw Data'!AD:AD,Match($A281,'Player Raw Data'!$B:$B,0)),"")</f>
        <v/>
      </c>
      <c r="Q281">
        <f t="shared" si="1"/>
        <v>0</v>
      </c>
      <c r="R281" s="9">
        <f t="shared" si="2"/>
        <v>0</v>
      </c>
      <c r="S281" s="14">
        <f t="shared" si="3"/>
        <v>0</v>
      </c>
      <c r="T281" s="15">
        <f>IFERROR(__xludf.DUMMYFUNCTION("IFERROR(PERCENTRANK.INC(FILTER(Q:Q,$F:$F&lt;&gt;""""),Q281)*100,"""")"),1.5)</f>
        <v>1.5</v>
      </c>
      <c r="U281" s="15">
        <f>IFERROR(__xludf.DUMMYFUNCTION("IFERROR(PERCENTRANK.INC(FILTER(R:R,$F:$F&lt;&gt;""""),R281)*100,"""")"),1.5)</f>
        <v>1.5</v>
      </c>
      <c r="V281" s="15">
        <f>IFERROR(__xludf.DUMMYFUNCTION("IFERROR(PERCENTRANK.INC(FILTER(S:S,$F:$F&lt;&gt;""""),S281)*100,"""")"),1.5)</f>
        <v>1.5</v>
      </c>
      <c r="W281" s="15" t="str">
        <f t="shared" si="4"/>
        <v/>
      </c>
      <c r="X281" s="16"/>
      <c r="Y281" s="9"/>
      <c r="Z281" s="9"/>
    </row>
    <row r="282">
      <c r="B282" t="str">
        <f t="array" ref="B282">IFERROR(INDEX('Player Raw Data'!E:E,Match($A282,'Player Raw Data'!$B:$B,0)),"")</f>
        <v/>
      </c>
      <c r="C282" t="str">
        <f t="array" ref="C282">IFERROR(INDEX('Player Raw Data'!C:C,Match($A282,'Player Raw Data'!$B:$B,0)),"")</f>
        <v/>
      </c>
      <c r="D282" t="str">
        <f t="array" ref="D282">IFERROR(IF(A282=A281, INDEX('Player Raw Data'!D:D,Match($A282,'Player Raw Data'!$B:$B,0)+2),INDEX('Player Raw Data'!D:D,Match($A282,'Player Raw Data'!$B:$B,0))),"")</f>
        <v/>
      </c>
      <c r="E282" t="str">
        <f t="array" ref="E282">IFERROR(INDEX('Player Raw Data'!F:F,Match($A282,'Player Raw Data'!$B:$B,0)),"")</f>
        <v/>
      </c>
      <c r="F282" t="str">
        <f t="array" ref="F282">IFERROR(INDEX('Player Raw Data'!H:H,Match($A282,'Player Raw Data'!$B:$B,0)),"")</f>
        <v/>
      </c>
      <c r="G282" t="str">
        <f t="array" ref="G282">IFERROR(INDEX('Player Raw Data'!I:I,Match($A282,'Player Raw Data'!$B:$B,0)),"")</f>
        <v/>
      </c>
      <c r="H282" t="str">
        <f t="array" ref="H282">IFERROR(INDEX('Player Raw Data'!J:J,Match($A282,'Player Raw Data'!$B:$B,0)),"")</f>
        <v/>
      </c>
      <c r="I282" t="str">
        <f t="array" ref="I282">IFERROR(INDEX('Player Raw Data'!S:S,Match($A282,'Player Raw Data'!$B:$B,0)),"")</f>
        <v/>
      </c>
      <c r="J282" t="str">
        <f t="array" ref="J282">IFERROR(INDEX('Player Raw Data'!T:T,Match($A282,'Player Raw Data'!$B:$B,0)),"")</f>
        <v/>
      </c>
      <c r="K282" t="str">
        <f t="array" ref="K282">IFERROR(INDEX('Player Raw Data'!X:X,Match($A282,'Player Raw Data'!$B:$B,0)),"")</f>
        <v/>
      </c>
      <c r="L282" t="str">
        <f t="array" ref="L282">IFERROR(INDEX('Player Raw Data'!Y:Y,Match($A282,'Player Raw Data'!$B:$B,0)),"")</f>
        <v/>
      </c>
      <c r="M282" t="str">
        <f t="array" ref="M282">IFERROR(INDEX('Player Raw Data'!Z:Z,Match($A282,'Player Raw Data'!$B:$B,0)),"")</f>
        <v/>
      </c>
      <c r="N282" t="str">
        <f t="array" ref="N282">IFERROR(INDEX('Player Raw Data'!AA:AA,Match($A282,'Player Raw Data'!$B:$B,0)),"")</f>
        <v/>
      </c>
      <c r="O282" t="str">
        <f t="array" ref="O282">IFERROR(INDEX('Player Raw Data'!AB:AB,Match($A282,'Player Raw Data'!$B:$B,0)),"")</f>
        <v/>
      </c>
      <c r="P282" t="str">
        <f t="array" ref="P282">IFERROR(INDEX('Player Raw Data'!AD:AD,Match($A282,'Player Raw Data'!$B:$B,0)),"")</f>
        <v/>
      </c>
      <c r="Q282">
        <f t="shared" si="1"/>
        <v>0</v>
      </c>
      <c r="R282" s="9">
        <f t="shared" si="2"/>
        <v>0</v>
      </c>
      <c r="S282" s="14">
        <f t="shared" si="3"/>
        <v>0</v>
      </c>
      <c r="T282" s="15">
        <f>IFERROR(__xludf.DUMMYFUNCTION("IFERROR(PERCENTRANK.INC(FILTER(Q:Q,$F:$F&lt;&gt;""""),Q282)*100,"""")"),1.5)</f>
        <v>1.5</v>
      </c>
      <c r="U282" s="15">
        <f>IFERROR(__xludf.DUMMYFUNCTION("IFERROR(PERCENTRANK.INC(FILTER(R:R,$F:$F&lt;&gt;""""),R282)*100,"""")"),1.5)</f>
        <v>1.5</v>
      </c>
      <c r="V282" s="15">
        <f>IFERROR(__xludf.DUMMYFUNCTION("IFERROR(PERCENTRANK.INC(FILTER(S:S,$F:$F&lt;&gt;""""),S282)*100,"""")"),1.5)</f>
        <v>1.5</v>
      </c>
      <c r="W282" s="15" t="str">
        <f t="shared" si="4"/>
        <v/>
      </c>
      <c r="X282" s="16"/>
      <c r="Y282" s="9"/>
      <c r="Z282" s="9"/>
    </row>
    <row r="283">
      <c r="B283" t="str">
        <f t="array" ref="B283">IFERROR(INDEX('Player Raw Data'!E:E,Match($A283,'Player Raw Data'!$B:$B,0)),"")</f>
        <v/>
      </c>
      <c r="C283" t="str">
        <f t="array" ref="C283">IFERROR(INDEX('Player Raw Data'!C:C,Match($A283,'Player Raw Data'!$B:$B,0)),"")</f>
        <v/>
      </c>
      <c r="D283" t="str">
        <f t="array" ref="D283">IFERROR(IF(A283=A282, INDEX('Player Raw Data'!D:D,Match($A283,'Player Raw Data'!$B:$B,0)+2),INDEX('Player Raw Data'!D:D,Match($A283,'Player Raw Data'!$B:$B,0))),"")</f>
        <v/>
      </c>
      <c r="E283" t="str">
        <f t="array" ref="E283">IFERROR(INDEX('Player Raw Data'!F:F,Match($A283,'Player Raw Data'!$B:$B,0)),"")</f>
        <v/>
      </c>
      <c r="F283" t="str">
        <f t="array" ref="F283">IFERROR(INDEX('Player Raw Data'!H:H,Match($A283,'Player Raw Data'!$B:$B,0)),"")</f>
        <v/>
      </c>
      <c r="G283" t="str">
        <f t="array" ref="G283">IFERROR(INDEX('Player Raw Data'!I:I,Match($A283,'Player Raw Data'!$B:$B,0)),"")</f>
        <v/>
      </c>
      <c r="H283" t="str">
        <f t="array" ref="H283">IFERROR(INDEX('Player Raw Data'!J:J,Match($A283,'Player Raw Data'!$B:$B,0)),"")</f>
        <v/>
      </c>
      <c r="I283" t="str">
        <f t="array" ref="I283">IFERROR(INDEX('Player Raw Data'!S:S,Match($A283,'Player Raw Data'!$B:$B,0)),"")</f>
        <v/>
      </c>
      <c r="J283" t="str">
        <f t="array" ref="J283">IFERROR(INDEX('Player Raw Data'!T:T,Match($A283,'Player Raw Data'!$B:$B,0)),"")</f>
        <v/>
      </c>
      <c r="K283" t="str">
        <f t="array" ref="K283">IFERROR(INDEX('Player Raw Data'!X:X,Match($A283,'Player Raw Data'!$B:$B,0)),"")</f>
        <v/>
      </c>
      <c r="L283" t="str">
        <f t="array" ref="L283">IFERROR(INDEX('Player Raw Data'!Y:Y,Match($A283,'Player Raw Data'!$B:$B,0)),"")</f>
        <v/>
      </c>
      <c r="M283" t="str">
        <f t="array" ref="M283">IFERROR(INDEX('Player Raw Data'!Z:Z,Match($A283,'Player Raw Data'!$B:$B,0)),"")</f>
        <v/>
      </c>
      <c r="N283" t="str">
        <f t="array" ref="N283">IFERROR(INDEX('Player Raw Data'!AA:AA,Match($A283,'Player Raw Data'!$B:$B,0)),"")</f>
        <v/>
      </c>
      <c r="O283" t="str">
        <f t="array" ref="O283">IFERROR(INDEX('Player Raw Data'!AB:AB,Match($A283,'Player Raw Data'!$B:$B,0)),"")</f>
        <v/>
      </c>
      <c r="P283" t="str">
        <f t="array" ref="P283">IFERROR(INDEX('Player Raw Data'!AD:AD,Match($A283,'Player Raw Data'!$B:$B,0)),"")</f>
        <v/>
      </c>
      <c r="Q283">
        <f t="shared" si="1"/>
        <v>0</v>
      </c>
      <c r="R283" s="9">
        <f t="shared" si="2"/>
        <v>0</v>
      </c>
      <c r="S283" s="14">
        <f t="shared" si="3"/>
        <v>0</v>
      </c>
      <c r="T283" s="15">
        <f>IFERROR(__xludf.DUMMYFUNCTION("IFERROR(PERCENTRANK.INC(FILTER(Q:Q,$F:$F&lt;&gt;""""),Q283)*100,"""")"),1.5)</f>
        <v>1.5</v>
      </c>
      <c r="U283" s="15">
        <f>IFERROR(__xludf.DUMMYFUNCTION("IFERROR(PERCENTRANK.INC(FILTER(R:R,$F:$F&lt;&gt;""""),R283)*100,"""")"),1.5)</f>
        <v>1.5</v>
      </c>
      <c r="V283" s="15">
        <f>IFERROR(__xludf.DUMMYFUNCTION("IFERROR(PERCENTRANK.INC(FILTER(S:S,$F:$F&lt;&gt;""""),S283)*100,"""")"),1.5)</f>
        <v>1.5</v>
      </c>
      <c r="W283" s="15" t="str">
        <f t="shared" si="4"/>
        <v/>
      </c>
      <c r="X283" s="16"/>
      <c r="Y283" s="9"/>
      <c r="Z283" s="9"/>
    </row>
    <row r="284">
      <c r="B284" t="str">
        <f t="array" ref="B284">IFERROR(INDEX('Player Raw Data'!E:E,Match($A284,'Player Raw Data'!$B:$B,0)),"")</f>
        <v/>
      </c>
      <c r="C284" t="str">
        <f t="array" ref="C284">IFERROR(INDEX('Player Raw Data'!C:C,Match($A284,'Player Raw Data'!$B:$B,0)),"")</f>
        <v/>
      </c>
      <c r="D284" t="str">
        <f t="array" ref="D284">IFERROR(IF(A284=A283, INDEX('Player Raw Data'!D:D,Match($A284,'Player Raw Data'!$B:$B,0)+2),INDEX('Player Raw Data'!D:D,Match($A284,'Player Raw Data'!$B:$B,0))),"")</f>
        <v/>
      </c>
      <c r="E284" t="str">
        <f t="array" ref="E284">IFERROR(INDEX('Player Raw Data'!F:F,Match($A284,'Player Raw Data'!$B:$B,0)),"")</f>
        <v/>
      </c>
      <c r="F284" t="str">
        <f t="array" ref="F284">IFERROR(INDEX('Player Raw Data'!H:H,Match($A284,'Player Raw Data'!$B:$B,0)),"")</f>
        <v/>
      </c>
      <c r="G284" t="str">
        <f t="array" ref="G284">IFERROR(INDEX('Player Raw Data'!I:I,Match($A284,'Player Raw Data'!$B:$B,0)),"")</f>
        <v/>
      </c>
      <c r="H284" t="str">
        <f t="array" ref="H284">IFERROR(INDEX('Player Raw Data'!J:J,Match($A284,'Player Raw Data'!$B:$B,0)),"")</f>
        <v/>
      </c>
      <c r="I284" t="str">
        <f t="array" ref="I284">IFERROR(INDEX('Player Raw Data'!S:S,Match($A284,'Player Raw Data'!$B:$B,0)),"")</f>
        <v/>
      </c>
      <c r="J284" t="str">
        <f t="array" ref="J284">IFERROR(INDEX('Player Raw Data'!T:T,Match($A284,'Player Raw Data'!$B:$B,0)),"")</f>
        <v/>
      </c>
      <c r="K284" t="str">
        <f t="array" ref="K284">IFERROR(INDEX('Player Raw Data'!X:X,Match($A284,'Player Raw Data'!$B:$B,0)),"")</f>
        <v/>
      </c>
      <c r="L284" t="str">
        <f t="array" ref="L284">IFERROR(INDEX('Player Raw Data'!Y:Y,Match($A284,'Player Raw Data'!$B:$B,0)),"")</f>
        <v/>
      </c>
      <c r="M284" t="str">
        <f t="array" ref="M284">IFERROR(INDEX('Player Raw Data'!Z:Z,Match($A284,'Player Raw Data'!$B:$B,0)),"")</f>
        <v/>
      </c>
      <c r="N284" t="str">
        <f t="array" ref="N284">IFERROR(INDEX('Player Raw Data'!AA:AA,Match($A284,'Player Raw Data'!$B:$B,0)),"")</f>
        <v/>
      </c>
      <c r="O284" t="str">
        <f t="array" ref="O284">IFERROR(INDEX('Player Raw Data'!AB:AB,Match($A284,'Player Raw Data'!$B:$B,0)),"")</f>
        <v/>
      </c>
      <c r="P284" t="str">
        <f t="array" ref="P284">IFERROR(INDEX('Player Raw Data'!AD:AD,Match($A284,'Player Raw Data'!$B:$B,0)),"")</f>
        <v/>
      </c>
      <c r="Q284">
        <f t="shared" si="1"/>
        <v>0</v>
      </c>
      <c r="R284" s="9">
        <f t="shared" si="2"/>
        <v>0</v>
      </c>
      <c r="S284" s="14">
        <f t="shared" si="3"/>
        <v>0</v>
      </c>
      <c r="T284" s="15">
        <f>IFERROR(__xludf.DUMMYFUNCTION("IFERROR(PERCENTRANK.INC(FILTER(Q:Q,$F:$F&lt;&gt;""""),Q284)*100,"""")"),1.5)</f>
        <v>1.5</v>
      </c>
      <c r="U284" s="15">
        <f>IFERROR(__xludf.DUMMYFUNCTION("IFERROR(PERCENTRANK.INC(FILTER(R:R,$F:$F&lt;&gt;""""),R284)*100,"""")"),1.5)</f>
        <v>1.5</v>
      </c>
      <c r="V284" s="15">
        <f>IFERROR(__xludf.DUMMYFUNCTION("IFERROR(PERCENTRANK.INC(FILTER(S:S,$F:$F&lt;&gt;""""),S284)*100,"""")"),1.5)</f>
        <v>1.5</v>
      </c>
      <c r="W284" s="15" t="str">
        <f t="shared" si="4"/>
        <v/>
      </c>
      <c r="X284" s="16"/>
      <c r="Y284" s="9"/>
      <c r="Z284" s="9"/>
    </row>
    <row r="285">
      <c r="B285" t="str">
        <f t="array" ref="B285">IFERROR(INDEX('Player Raw Data'!E:E,Match($A285,'Player Raw Data'!$B:$B,0)),"")</f>
        <v/>
      </c>
      <c r="C285" t="str">
        <f t="array" ref="C285">IFERROR(INDEX('Player Raw Data'!C:C,Match($A285,'Player Raw Data'!$B:$B,0)),"")</f>
        <v/>
      </c>
      <c r="D285" t="str">
        <f t="array" ref="D285">IFERROR(IF(A285=A284, INDEX('Player Raw Data'!D:D,Match($A285,'Player Raw Data'!$B:$B,0)+2),INDEX('Player Raw Data'!D:D,Match($A285,'Player Raw Data'!$B:$B,0))),"")</f>
        <v/>
      </c>
      <c r="E285" t="str">
        <f t="array" ref="E285">IFERROR(INDEX('Player Raw Data'!F:F,Match($A285,'Player Raw Data'!$B:$B,0)),"")</f>
        <v/>
      </c>
      <c r="F285" t="str">
        <f t="array" ref="F285">IFERROR(INDEX('Player Raw Data'!H:H,Match($A285,'Player Raw Data'!$B:$B,0)),"")</f>
        <v/>
      </c>
      <c r="G285" t="str">
        <f t="array" ref="G285">IFERROR(INDEX('Player Raw Data'!I:I,Match($A285,'Player Raw Data'!$B:$B,0)),"")</f>
        <v/>
      </c>
      <c r="H285" t="str">
        <f t="array" ref="H285">IFERROR(INDEX('Player Raw Data'!J:J,Match($A285,'Player Raw Data'!$B:$B,0)),"")</f>
        <v/>
      </c>
      <c r="I285" t="str">
        <f t="array" ref="I285">IFERROR(INDEX('Player Raw Data'!S:S,Match($A285,'Player Raw Data'!$B:$B,0)),"")</f>
        <v/>
      </c>
      <c r="J285" t="str">
        <f t="array" ref="J285">IFERROR(INDEX('Player Raw Data'!T:T,Match($A285,'Player Raw Data'!$B:$B,0)),"")</f>
        <v/>
      </c>
      <c r="K285" t="str">
        <f t="array" ref="K285">IFERROR(INDEX('Player Raw Data'!X:X,Match($A285,'Player Raw Data'!$B:$B,0)),"")</f>
        <v/>
      </c>
      <c r="L285" t="str">
        <f t="array" ref="L285">IFERROR(INDEX('Player Raw Data'!Y:Y,Match($A285,'Player Raw Data'!$B:$B,0)),"")</f>
        <v/>
      </c>
      <c r="M285" t="str">
        <f t="array" ref="M285">IFERROR(INDEX('Player Raw Data'!Z:Z,Match($A285,'Player Raw Data'!$B:$B,0)),"")</f>
        <v/>
      </c>
      <c r="N285" t="str">
        <f t="array" ref="N285">IFERROR(INDEX('Player Raw Data'!AA:AA,Match($A285,'Player Raw Data'!$B:$B,0)),"")</f>
        <v/>
      </c>
      <c r="O285" t="str">
        <f t="array" ref="O285">IFERROR(INDEX('Player Raw Data'!AB:AB,Match($A285,'Player Raw Data'!$B:$B,0)),"")</f>
        <v/>
      </c>
      <c r="P285" t="str">
        <f t="array" ref="P285">IFERROR(INDEX('Player Raw Data'!AD:AD,Match($A285,'Player Raw Data'!$B:$B,0)),"")</f>
        <v/>
      </c>
      <c r="Q285">
        <f t="shared" si="1"/>
        <v>0</v>
      </c>
      <c r="R285" s="9">
        <f t="shared" si="2"/>
        <v>0</v>
      </c>
      <c r="S285" s="14">
        <f t="shared" si="3"/>
        <v>0</v>
      </c>
      <c r="T285" s="15">
        <f>IFERROR(__xludf.DUMMYFUNCTION("IFERROR(PERCENTRANK.INC(FILTER(Q:Q,$F:$F&lt;&gt;""""),Q285)*100,"""")"),1.5)</f>
        <v>1.5</v>
      </c>
      <c r="U285" s="15">
        <f>IFERROR(__xludf.DUMMYFUNCTION("IFERROR(PERCENTRANK.INC(FILTER(R:R,$F:$F&lt;&gt;""""),R285)*100,"""")"),1.5)</f>
        <v>1.5</v>
      </c>
      <c r="V285" s="15">
        <f>IFERROR(__xludf.DUMMYFUNCTION("IFERROR(PERCENTRANK.INC(FILTER(S:S,$F:$F&lt;&gt;""""),S285)*100,"""")"),1.5)</f>
        <v>1.5</v>
      </c>
      <c r="W285" s="15" t="str">
        <f t="shared" si="4"/>
        <v/>
      </c>
      <c r="X285" s="16"/>
      <c r="Y285" s="9"/>
      <c r="Z285" s="9"/>
    </row>
    <row r="286">
      <c r="B286" t="str">
        <f t="array" ref="B286">IFERROR(INDEX('Player Raw Data'!E:E,Match($A286,'Player Raw Data'!$B:$B,0)),"")</f>
        <v/>
      </c>
      <c r="C286" t="str">
        <f t="array" ref="C286">IFERROR(INDEX('Player Raw Data'!C:C,Match($A286,'Player Raw Data'!$B:$B,0)),"")</f>
        <v/>
      </c>
      <c r="D286" t="str">
        <f t="array" ref="D286">IFERROR(IF(A286=A285, INDEX('Player Raw Data'!D:D,Match($A286,'Player Raw Data'!$B:$B,0)+2),INDEX('Player Raw Data'!D:D,Match($A286,'Player Raw Data'!$B:$B,0))),"")</f>
        <v/>
      </c>
      <c r="E286" t="str">
        <f t="array" ref="E286">IFERROR(INDEX('Player Raw Data'!F:F,Match($A286,'Player Raw Data'!$B:$B,0)),"")</f>
        <v/>
      </c>
      <c r="F286" t="str">
        <f t="array" ref="F286">IFERROR(INDEX('Player Raw Data'!H:H,Match($A286,'Player Raw Data'!$B:$B,0)),"")</f>
        <v/>
      </c>
      <c r="G286" t="str">
        <f t="array" ref="G286">IFERROR(INDEX('Player Raw Data'!I:I,Match($A286,'Player Raw Data'!$B:$B,0)),"")</f>
        <v/>
      </c>
      <c r="H286" t="str">
        <f t="array" ref="H286">IFERROR(INDEX('Player Raw Data'!J:J,Match($A286,'Player Raw Data'!$B:$B,0)),"")</f>
        <v/>
      </c>
      <c r="I286" t="str">
        <f t="array" ref="I286">IFERROR(INDEX('Player Raw Data'!S:S,Match($A286,'Player Raw Data'!$B:$B,0)),"")</f>
        <v/>
      </c>
      <c r="J286" t="str">
        <f t="array" ref="J286">IFERROR(INDEX('Player Raw Data'!T:T,Match($A286,'Player Raw Data'!$B:$B,0)),"")</f>
        <v/>
      </c>
      <c r="K286" t="str">
        <f t="array" ref="K286">IFERROR(INDEX('Player Raw Data'!X:X,Match($A286,'Player Raw Data'!$B:$B,0)),"")</f>
        <v/>
      </c>
      <c r="L286" t="str">
        <f t="array" ref="L286">IFERROR(INDEX('Player Raw Data'!Y:Y,Match($A286,'Player Raw Data'!$B:$B,0)),"")</f>
        <v/>
      </c>
      <c r="M286" t="str">
        <f t="array" ref="M286">IFERROR(INDEX('Player Raw Data'!Z:Z,Match($A286,'Player Raw Data'!$B:$B,0)),"")</f>
        <v/>
      </c>
      <c r="N286" t="str">
        <f t="array" ref="N286">IFERROR(INDEX('Player Raw Data'!AA:AA,Match($A286,'Player Raw Data'!$B:$B,0)),"")</f>
        <v/>
      </c>
      <c r="O286" t="str">
        <f t="array" ref="O286">IFERROR(INDEX('Player Raw Data'!AB:AB,Match($A286,'Player Raw Data'!$B:$B,0)),"")</f>
        <v/>
      </c>
      <c r="P286" t="str">
        <f t="array" ref="P286">IFERROR(INDEX('Player Raw Data'!AD:AD,Match($A286,'Player Raw Data'!$B:$B,0)),"")</f>
        <v/>
      </c>
      <c r="Q286">
        <f t="shared" si="1"/>
        <v>0</v>
      </c>
      <c r="R286" s="9">
        <f t="shared" si="2"/>
        <v>0</v>
      </c>
      <c r="S286" s="14">
        <f t="shared" si="3"/>
        <v>0</v>
      </c>
      <c r="T286" s="15">
        <f>IFERROR(__xludf.DUMMYFUNCTION("IFERROR(PERCENTRANK.INC(FILTER(Q:Q,$F:$F&lt;&gt;""""),Q286)*100,"""")"),1.5)</f>
        <v>1.5</v>
      </c>
      <c r="U286" s="15">
        <f>IFERROR(__xludf.DUMMYFUNCTION("IFERROR(PERCENTRANK.INC(FILTER(R:R,$F:$F&lt;&gt;""""),R286)*100,"""")"),1.5)</f>
        <v>1.5</v>
      </c>
      <c r="V286" s="15">
        <f>IFERROR(__xludf.DUMMYFUNCTION("IFERROR(PERCENTRANK.INC(FILTER(S:S,$F:$F&lt;&gt;""""),S286)*100,"""")"),1.5)</f>
        <v>1.5</v>
      </c>
      <c r="W286" s="15" t="str">
        <f t="shared" si="4"/>
        <v/>
      </c>
      <c r="X286" s="16"/>
      <c r="Y286" s="9"/>
      <c r="Z286" s="9"/>
    </row>
    <row r="287">
      <c r="B287" t="str">
        <f t="array" ref="B287">IFERROR(INDEX('Player Raw Data'!E:E,Match($A287,'Player Raw Data'!$B:$B,0)),"")</f>
        <v/>
      </c>
      <c r="C287" t="str">
        <f t="array" ref="C287">IFERROR(INDEX('Player Raw Data'!C:C,Match($A287,'Player Raw Data'!$B:$B,0)),"")</f>
        <v/>
      </c>
      <c r="D287" t="str">
        <f t="array" ref="D287">IFERROR(IF(A287=A286, INDEX('Player Raw Data'!D:D,Match($A287,'Player Raw Data'!$B:$B,0)+2),INDEX('Player Raw Data'!D:D,Match($A287,'Player Raw Data'!$B:$B,0))),"")</f>
        <v/>
      </c>
      <c r="E287" t="str">
        <f t="array" ref="E287">IFERROR(INDEX('Player Raw Data'!F:F,Match($A287,'Player Raw Data'!$B:$B,0)),"")</f>
        <v/>
      </c>
      <c r="F287" t="str">
        <f t="array" ref="F287">IFERROR(INDEX('Player Raw Data'!H:H,Match($A287,'Player Raw Data'!$B:$B,0)),"")</f>
        <v/>
      </c>
      <c r="G287" t="str">
        <f t="array" ref="G287">IFERROR(INDEX('Player Raw Data'!I:I,Match($A287,'Player Raw Data'!$B:$B,0)),"")</f>
        <v/>
      </c>
      <c r="H287" t="str">
        <f t="array" ref="H287">IFERROR(INDEX('Player Raw Data'!J:J,Match($A287,'Player Raw Data'!$B:$B,0)),"")</f>
        <v/>
      </c>
      <c r="I287" t="str">
        <f t="array" ref="I287">IFERROR(INDEX('Player Raw Data'!S:S,Match($A287,'Player Raw Data'!$B:$B,0)),"")</f>
        <v/>
      </c>
      <c r="J287" t="str">
        <f t="array" ref="J287">IFERROR(INDEX('Player Raw Data'!T:T,Match($A287,'Player Raw Data'!$B:$B,0)),"")</f>
        <v/>
      </c>
      <c r="K287" t="str">
        <f t="array" ref="K287">IFERROR(INDEX('Player Raw Data'!X:X,Match($A287,'Player Raw Data'!$B:$B,0)),"")</f>
        <v/>
      </c>
      <c r="L287" t="str">
        <f t="array" ref="L287">IFERROR(INDEX('Player Raw Data'!Y:Y,Match($A287,'Player Raw Data'!$B:$B,0)),"")</f>
        <v/>
      </c>
      <c r="M287" t="str">
        <f t="array" ref="M287">IFERROR(INDEX('Player Raw Data'!Z:Z,Match($A287,'Player Raw Data'!$B:$B,0)),"")</f>
        <v/>
      </c>
      <c r="N287" t="str">
        <f t="array" ref="N287">IFERROR(INDEX('Player Raw Data'!AA:AA,Match($A287,'Player Raw Data'!$B:$B,0)),"")</f>
        <v/>
      </c>
      <c r="O287" t="str">
        <f t="array" ref="O287">IFERROR(INDEX('Player Raw Data'!AB:AB,Match($A287,'Player Raw Data'!$B:$B,0)),"")</f>
        <v/>
      </c>
      <c r="P287" t="str">
        <f t="array" ref="P287">IFERROR(INDEX('Player Raw Data'!AD:AD,Match($A287,'Player Raw Data'!$B:$B,0)),"")</f>
        <v/>
      </c>
      <c r="Q287">
        <f t="shared" si="1"/>
        <v>0</v>
      </c>
      <c r="R287" s="9">
        <f t="shared" si="2"/>
        <v>0</v>
      </c>
      <c r="S287" s="14">
        <f t="shared" si="3"/>
        <v>0</v>
      </c>
      <c r="T287" s="15">
        <f>IFERROR(__xludf.DUMMYFUNCTION("IFERROR(PERCENTRANK.INC(FILTER(Q:Q,$F:$F&lt;&gt;""""),Q287)*100,"""")"),1.5)</f>
        <v>1.5</v>
      </c>
      <c r="U287" s="15">
        <f>IFERROR(__xludf.DUMMYFUNCTION("IFERROR(PERCENTRANK.INC(FILTER(R:R,$F:$F&lt;&gt;""""),R287)*100,"""")"),1.5)</f>
        <v>1.5</v>
      </c>
      <c r="V287" s="15">
        <f>IFERROR(__xludf.DUMMYFUNCTION("IFERROR(PERCENTRANK.INC(FILTER(S:S,$F:$F&lt;&gt;""""),S287)*100,"""")"),1.5)</f>
        <v>1.5</v>
      </c>
      <c r="W287" s="15" t="str">
        <f t="shared" si="4"/>
        <v/>
      </c>
      <c r="X287" s="16"/>
      <c r="Y287" s="9"/>
      <c r="Z287" s="9"/>
    </row>
    <row r="288">
      <c r="B288" t="str">
        <f t="array" ref="B288">IFERROR(INDEX('Player Raw Data'!E:E,Match($A288,'Player Raw Data'!$B:$B,0)),"")</f>
        <v/>
      </c>
      <c r="C288" t="str">
        <f t="array" ref="C288">IFERROR(INDEX('Player Raw Data'!C:C,Match($A288,'Player Raw Data'!$B:$B,0)),"")</f>
        <v/>
      </c>
      <c r="D288" t="str">
        <f t="array" ref="D288">IFERROR(IF(A288=A287, INDEX('Player Raw Data'!D:D,Match($A288,'Player Raw Data'!$B:$B,0)+2),INDEX('Player Raw Data'!D:D,Match($A288,'Player Raw Data'!$B:$B,0))),"")</f>
        <v/>
      </c>
      <c r="E288" t="str">
        <f t="array" ref="E288">IFERROR(INDEX('Player Raw Data'!F:F,Match($A288,'Player Raw Data'!$B:$B,0)),"")</f>
        <v/>
      </c>
      <c r="F288" t="str">
        <f t="array" ref="F288">IFERROR(INDEX('Player Raw Data'!H:H,Match($A288,'Player Raw Data'!$B:$B,0)),"")</f>
        <v/>
      </c>
      <c r="G288" t="str">
        <f t="array" ref="G288">IFERROR(INDEX('Player Raw Data'!I:I,Match($A288,'Player Raw Data'!$B:$B,0)),"")</f>
        <v/>
      </c>
      <c r="H288" t="str">
        <f t="array" ref="H288">IFERROR(INDEX('Player Raw Data'!J:J,Match($A288,'Player Raw Data'!$B:$B,0)),"")</f>
        <v/>
      </c>
      <c r="I288" t="str">
        <f t="array" ref="I288">IFERROR(INDEX('Player Raw Data'!S:S,Match($A288,'Player Raw Data'!$B:$B,0)),"")</f>
        <v/>
      </c>
      <c r="J288" t="str">
        <f t="array" ref="J288">IFERROR(INDEX('Player Raw Data'!T:T,Match($A288,'Player Raw Data'!$B:$B,0)),"")</f>
        <v/>
      </c>
      <c r="K288" t="str">
        <f t="array" ref="K288">IFERROR(INDEX('Player Raw Data'!X:X,Match($A288,'Player Raw Data'!$B:$B,0)),"")</f>
        <v/>
      </c>
      <c r="L288" t="str">
        <f t="array" ref="L288">IFERROR(INDEX('Player Raw Data'!Y:Y,Match($A288,'Player Raw Data'!$B:$B,0)),"")</f>
        <v/>
      </c>
      <c r="M288" t="str">
        <f t="array" ref="M288">IFERROR(INDEX('Player Raw Data'!Z:Z,Match($A288,'Player Raw Data'!$B:$B,0)),"")</f>
        <v/>
      </c>
      <c r="N288" t="str">
        <f t="array" ref="N288">IFERROR(INDEX('Player Raw Data'!AA:AA,Match($A288,'Player Raw Data'!$B:$B,0)),"")</f>
        <v/>
      </c>
      <c r="O288" t="str">
        <f t="array" ref="O288">IFERROR(INDEX('Player Raw Data'!AB:AB,Match($A288,'Player Raw Data'!$B:$B,0)),"")</f>
        <v/>
      </c>
      <c r="P288" t="str">
        <f t="array" ref="P288">IFERROR(INDEX('Player Raw Data'!AD:AD,Match($A288,'Player Raw Data'!$B:$B,0)),"")</f>
        <v/>
      </c>
      <c r="Q288">
        <f t="shared" si="1"/>
        <v>0</v>
      </c>
      <c r="R288" s="9">
        <f t="shared" si="2"/>
        <v>0</v>
      </c>
      <c r="S288" s="14">
        <f t="shared" si="3"/>
        <v>0</v>
      </c>
      <c r="T288" s="15">
        <f>IFERROR(__xludf.DUMMYFUNCTION("IFERROR(PERCENTRANK.INC(FILTER(Q:Q,$F:$F&lt;&gt;""""),Q288)*100,"""")"),1.5)</f>
        <v>1.5</v>
      </c>
      <c r="U288" s="15">
        <f>IFERROR(__xludf.DUMMYFUNCTION("IFERROR(PERCENTRANK.INC(FILTER(R:R,$F:$F&lt;&gt;""""),R288)*100,"""")"),1.5)</f>
        <v>1.5</v>
      </c>
      <c r="V288" s="15">
        <f>IFERROR(__xludf.DUMMYFUNCTION("IFERROR(PERCENTRANK.INC(FILTER(S:S,$F:$F&lt;&gt;""""),S288)*100,"""")"),1.5)</f>
        <v>1.5</v>
      </c>
      <c r="W288" s="15" t="str">
        <f t="shared" si="4"/>
        <v/>
      </c>
      <c r="X288" s="16"/>
      <c r="Y288" s="9"/>
      <c r="Z288" s="9"/>
    </row>
    <row r="289">
      <c r="B289" t="str">
        <f t="array" ref="B289">IFERROR(INDEX('Player Raw Data'!E:E,Match($A289,'Player Raw Data'!$B:$B,0)),"")</f>
        <v/>
      </c>
      <c r="C289" t="str">
        <f t="array" ref="C289">IFERROR(INDEX('Player Raw Data'!C:C,Match($A289,'Player Raw Data'!$B:$B,0)),"")</f>
        <v/>
      </c>
      <c r="D289" t="str">
        <f t="array" ref="D289">IFERROR(IF(A289=A288, INDEX('Player Raw Data'!D:D,Match($A289,'Player Raw Data'!$B:$B,0)+2),INDEX('Player Raw Data'!D:D,Match($A289,'Player Raw Data'!$B:$B,0))),"")</f>
        <v/>
      </c>
      <c r="E289" t="str">
        <f t="array" ref="E289">IFERROR(INDEX('Player Raw Data'!F:F,Match($A289,'Player Raw Data'!$B:$B,0)),"")</f>
        <v/>
      </c>
      <c r="F289" t="str">
        <f t="array" ref="F289">IFERROR(INDEX('Player Raw Data'!H:H,Match($A289,'Player Raw Data'!$B:$B,0)),"")</f>
        <v/>
      </c>
      <c r="G289" t="str">
        <f t="array" ref="G289">IFERROR(INDEX('Player Raw Data'!I:I,Match($A289,'Player Raw Data'!$B:$B,0)),"")</f>
        <v/>
      </c>
      <c r="H289" t="str">
        <f t="array" ref="H289">IFERROR(INDEX('Player Raw Data'!J:J,Match($A289,'Player Raw Data'!$B:$B,0)),"")</f>
        <v/>
      </c>
      <c r="I289" t="str">
        <f t="array" ref="I289">IFERROR(INDEX('Player Raw Data'!S:S,Match($A289,'Player Raw Data'!$B:$B,0)),"")</f>
        <v/>
      </c>
      <c r="J289" t="str">
        <f t="array" ref="J289">IFERROR(INDEX('Player Raw Data'!T:T,Match($A289,'Player Raw Data'!$B:$B,0)),"")</f>
        <v/>
      </c>
      <c r="K289" t="str">
        <f t="array" ref="K289">IFERROR(INDEX('Player Raw Data'!X:X,Match($A289,'Player Raw Data'!$B:$B,0)),"")</f>
        <v/>
      </c>
      <c r="L289" t="str">
        <f t="array" ref="L289">IFERROR(INDEX('Player Raw Data'!Y:Y,Match($A289,'Player Raw Data'!$B:$B,0)),"")</f>
        <v/>
      </c>
      <c r="M289" t="str">
        <f t="array" ref="M289">IFERROR(INDEX('Player Raw Data'!Z:Z,Match($A289,'Player Raw Data'!$B:$B,0)),"")</f>
        <v/>
      </c>
      <c r="N289" t="str">
        <f t="array" ref="N289">IFERROR(INDEX('Player Raw Data'!AA:AA,Match($A289,'Player Raw Data'!$B:$B,0)),"")</f>
        <v/>
      </c>
      <c r="O289" t="str">
        <f t="array" ref="O289">IFERROR(INDEX('Player Raw Data'!AB:AB,Match($A289,'Player Raw Data'!$B:$B,0)),"")</f>
        <v/>
      </c>
      <c r="P289" t="str">
        <f t="array" ref="P289">IFERROR(INDEX('Player Raw Data'!AD:AD,Match($A289,'Player Raw Data'!$B:$B,0)),"")</f>
        <v/>
      </c>
      <c r="Q289">
        <f t="shared" si="1"/>
        <v>0</v>
      </c>
      <c r="R289" s="9">
        <f t="shared" si="2"/>
        <v>0</v>
      </c>
      <c r="S289" s="14">
        <f t="shared" si="3"/>
        <v>0</v>
      </c>
      <c r="T289" s="15">
        <f>IFERROR(__xludf.DUMMYFUNCTION("IFERROR(PERCENTRANK.INC(FILTER(Q:Q,$F:$F&lt;&gt;""""),Q289)*100,"""")"),1.5)</f>
        <v>1.5</v>
      </c>
      <c r="U289" s="15">
        <f>IFERROR(__xludf.DUMMYFUNCTION("IFERROR(PERCENTRANK.INC(FILTER(R:R,$F:$F&lt;&gt;""""),R289)*100,"""")"),1.5)</f>
        <v>1.5</v>
      </c>
      <c r="V289" s="15">
        <f>IFERROR(__xludf.DUMMYFUNCTION("IFERROR(PERCENTRANK.INC(FILTER(S:S,$F:$F&lt;&gt;""""),S289)*100,"""")"),1.5)</f>
        <v>1.5</v>
      </c>
      <c r="W289" s="15" t="str">
        <f t="shared" si="4"/>
        <v/>
      </c>
      <c r="X289" s="16"/>
      <c r="Y289" s="9"/>
      <c r="Z289" s="9"/>
    </row>
    <row r="290">
      <c r="B290" t="str">
        <f t="array" ref="B290">IFERROR(INDEX('Player Raw Data'!E:E,Match($A290,'Player Raw Data'!$B:$B,0)),"")</f>
        <v/>
      </c>
      <c r="C290" t="str">
        <f t="array" ref="C290">IFERROR(INDEX('Player Raw Data'!C:C,Match($A290,'Player Raw Data'!$B:$B,0)),"")</f>
        <v/>
      </c>
      <c r="D290" t="str">
        <f t="array" ref="D290">IFERROR(IF(A290=A289, INDEX('Player Raw Data'!D:D,Match($A290,'Player Raw Data'!$B:$B,0)+2),INDEX('Player Raw Data'!D:D,Match($A290,'Player Raw Data'!$B:$B,0))),"")</f>
        <v/>
      </c>
      <c r="E290" t="str">
        <f t="array" ref="E290">IFERROR(INDEX('Player Raw Data'!F:F,Match($A290,'Player Raw Data'!$B:$B,0)),"")</f>
        <v/>
      </c>
      <c r="F290" t="str">
        <f t="array" ref="F290">IFERROR(INDEX('Player Raw Data'!H:H,Match($A290,'Player Raw Data'!$B:$B,0)),"")</f>
        <v/>
      </c>
      <c r="G290" t="str">
        <f t="array" ref="G290">IFERROR(INDEX('Player Raw Data'!I:I,Match($A290,'Player Raw Data'!$B:$B,0)),"")</f>
        <v/>
      </c>
      <c r="H290" t="str">
        <f t="array" ref="H290">IFERROR(INDEX('Player Raw Data'!J:J,Match($A290,'Player Raw Data'!$B:$B,0)),"")</f>
        <v/>
      </c>
      <c r="I290" t="str">
        <f t="array" ref="I290">IFERROR(INDEX('Player Raw Data'!S:S,Match($A290,'Player Raw Data'!$B:$B,0)),"")</f>
        <v/>
      </c>
      <c r="J290" t="str">
        <f t="array" ref="J290">IFERROR(INDEX('Player Raw Data'!T:T,Match($A290,'Player Raw Data'!$B:$B,0)),"")</f>
        <v/>
      </c>
      <c r="K290" t="str">
        <f t="array" ref="K290">IFERROR(INDEX('Player Raw Data'!X:X,Match($A290,'Player Raw Data'!$B:$B,0)),"")</f>
        <v/>
      </c>
      <c r="L290" t="str">
        <f t="array" ref="L290">IFERROR(INDEX('Player Raw Data'!Y:Y,Match($A290,'Player Raw Data'!$B:$B,0)),"")</f>
        <v/>
      </c>
      <c r="M290" t="str">
        <f t="array" ref="M290">IFERROR(INDEX('Player Raw Data'!Z:Z,Match($A290,'Player Raw Data'!$B:$B,0)),"")</f>
        <v/>
      </c>
      <c r="N290" t="str">
        <f t="array" ref="N290">IFERROR(INDEX('Player Raw Data'!AA:AA,Match($A290,'Player Raw Data'!$B:$B,0)),"")</f>
        <v/>
      </c>
      <c r="O290" t="str">
        <f t="array" ref="O290">IFERROR(INDEX('Player Raw Data'!AB:AB,Match($A290,'Player Raw Data'!$B:$B,0)),"")</f>
        <v/>
      </c>
      <c r="P290" t="str">
        <f t="array" ref="P290">IFERROR(INDEX('Player Raw Data'!AD:AD,Match($A290,'Player Raw Data'!$B:$B,0)),"")</f>
        <v/>
      </c>
      <c r="Q290">
        <f t="shared" si="1"/>
        <v>0</v>
      </c>
      <c r="R290" s="9">
        <f t="shared" si="2"/>
        <v>0</v>
      </c>
      <c r="S290" s="14">
        <f t="shared" si="3"/>
        <v>0</v>
      </c>
      <c r="T290" s="15">
        <f>IFERROR(__xludf.DUMMYFUNCTION("IFERROR(PERCENTRANK.INC(FILTER(Q:Q,$F:$F&lt;&gt;""""),Q290)*100,"""")"),1.5)</f>
        <v>1.5</v>
      </c>
      <c r="U290" s="15">
        <f>IFERROR(__xludf.DUMMYFUNCTION("IFERROR(PERCENTRANK.INC(FILTER(R:R,$F:$F&lt;&gt;""""),R290)*100,"""")"),1.5)</f>
        <v>1.5</v>
      </c>
      <c r="V290" s="15">
        <f>IFERROR(__xludf.DUMMYFUNCTION("IFERROR(PERCENTRANK.INC(FILTER(S:S,$F:$F&lt;&gt;""""),S290)*100,"""")"),1.5)</f>
        <v>1.5</v>
      </c>
      <c r="W290" s="15" t="str">
        <f t="shared" si="4"/>
        <v/>
      </c>
      <c r="X290" s="16"/>
      <c r="Y290" s="9"/>
      <c r="Z290" s="9"/>
    </row>
    <row r="291">
      <c r="B291" t="str">
        <f t="array" ref="B291">IFERROR(INDEX('Player Raw Data'!E:E,Match($A291,'Player Raw Data'!$B:$B,0)),"")</f>
        <v/>
      </c>
      <c r="C291" t="str">
        <f t="array" ref="C291">IFERROR(INDEX('Player Raw Data'!C:C,Match($A291,'Player Raw Data'!$B:$B,0)),"")</f>
        <v/>
      </c>
      <c r="D291" t="str">
        <f t="array" ref="D291">IFERROR(IF(A291=A290, INDEX('Player Raw Data'!D:D,Match($A291,'Player Raw Data'!$B:$B,0)+2),INDEX('Player Raw Data'!D:D,Match($A291,'Player Raw Data'!$B:$B,0))),"")</f>
        <v/>
      </c>
      <c r="E291" t="str">
        <f t="array" ref="E291">IFERROR(INDEX('Player Raw Data'!F:F,Match($A291,'Player Raw Data'!$B:$B,0)),"")</f>
        <v/>
      </c>
      <c r="F291" t="str">
        <f t="array" ref="F291">IFERROR(INDEX('Player Raw Data'!H:H,Match($A291,'Player Raw Data'!$B:$B,0)),"")</f>
        <v/>
      </c>
      <c r="G291" t="str">
        <f t="array" ref="G291">IFERROR(INDEX('Player Raw Data'!I:I,Match($A291,'Player Raw Data'!$B:$B,0)),"")</f>
        <v/>
      </c>
      <c r="H291" t="str">
        <f t="array" ref="H291">IFERROR(INDEX('Player Raw Data'!J:J,Match($A291,'Player Raw Data'!$B:$B,0)),"")</f>
        <v/>
      </c>
      <c r="I291" t="str">
        <f t="array" ref="I291">IFERROR(INDEX('Player Raw Data'!S:S,Match($A291,'Player Raw Data'!$B:$B,0)),"")</f>
        <v/>
      </c>
      <c r="J291" t="str">
        <f t="array" ref="J291">IFERROR(INDEX('Player Raw Data'!T:T,Match($A291,'Player Raw Data'!$B:$B,0)),"")</f>
        <v/>
      </c>
      <c r="K291" t="str">
        <f t="array" ref="K291">IFERROR(INDEX('Player Raw Data'!X:X,Match($A291,'Player Raw Data'!$B:$B,0)),"")</f>
        <v/>
      </c>
      <c r="L291" t="str">
        <f t="array" ref="L291">IFERROR(INDEX('Player Raw Data'!Y:Y,Match($A291,'Player Raw Data'!$B:$B,0)),"")</f>
        <v/>
      </c>
      <c r="M291" t="str">
        <f t="array" ref="M291">IFERROR(INDEX('Player Raw Data'!Z:Z,Match($A291,'Player Raw Data'!$B:$B,0)),"")</f>
        <v/>
      </c>
      <c r="N291" t="str">
        <f t="array" ref="N291">IFERROR(INDEX('Player Raw Data'!AA:AA,Match($A291,'Player Raw Data'!$B:$B,0)),"")</f>
        <v/>
      </c>
      <c r="O291" t="str">
        <f t="array" ref="O291">IFERROR(INDEX('Player Raw Data'!AB:AB,Match($A291,'Player Raw Data'!$B:$B,0)),"")</f>
        <v/>
      </c>
      <c r="P291" t="str">
        <f t="array" ref="P291">IFERROR(INDEX('Player Raw Data'!AD:AD,Match($A291,'Player Raw Data'!$B:$B,0)),"")</f>
        <v/>
      </c>
      <c r="Q291">
        <f t="shared" si="1"/>
        <v>0</v>
      </c>
      <c r="R291" s="9">
        <f t="shared" si="2"/>
        <v>0</v>
      </c>
      <c r="S291" s="14">
        <f t="shared" si="3"/>
        <v>0</v>
      </c>
      <c r="T291" s="15">
        <f>IFERROR(__xludf.DUMMYFUNCTION("IFERROR(PERCENTRANK.INC(FILTER(Q:Q,$F:$F&lt;&gt;""""),Q291)*100,"""")"),1.5)</f>
        <v>1.5</v>
      </c>
      <c r="U291" s="15">
        <f>IFERROR(__xludf.DUMMYFUNCTION("IFERROR(PERCENTRANK.INC(FILTER(R:R,$F:$F&lt;&gt;""""),R291)*100,"""")"),1.5)</f>
        <v>1.5</v>
      </c>
      <c r="V291" s="15">
        <f>IFERROR(__xludf.DUMMYFUNCTION("IFERROR(PERCENTRANK.INC(FILTER(S:S,$F:$F&lt;&gt;""""),S291)*100,"""")"),1.5)</f>
        <v>1.5</v>
      </c>
      <c r="W291" s="15" t="str">
        <f t="shared" si="4"/>
        <v/>
      </c>
      <c r="X291" s="16"/>
      <c r="Y291" s="9"/>
      <c r="Z291" s="9"/>
    </row>
    <row r="292">
      <c r="B292" t="str">
        <f t="array" ref="B292">IFERROR(INDEX('Player Raw Data'!E:E,Match($A292,'Player Raw Data'!$B:$B,0)),"")</f>
        <v/>
      </c>
      <c r="C292" t="str">
        <f t="array" ref="C292">IFERROR(INDEX('Player Raw Data'!C:C,Match($A292,'Player Raw Data'!$B:$B,0)),"")</f>
        <v/>
      </c>
      <c r="D292" t="str">
        <f t="array" ref="D292">IFERROR(IF(A292=A291, INDEX('Player Raw Data'!D:D,Match($A292,'Player Raw Data'!$B:$B,0)+2),INDEX('Player Raw Data'!D:D,Match($A292,'Player Raw Data'!$B:$B,0))),"")</f>
        <v/>
      </c>
      <c r="E292" t="str">
        <f t="array" ref="E292">IFERROR(INDEX('Player Raw Data'!F:F,Match($A292,'Player Raw Data'!$B:$B,0)),"")</f>
        <v/>
      </c>
      <c r="F292" t="str">
        <f t="array" ref="F292">IFERROR(INDEX('Player Raw Data'!H:H,Match($A292,'Player Raw Data'!$B:$B,0)),"")</f>
        <v/>
      </c>
      <c r="G292" t="str">
        <f t="array" ref="G292">IFERROR(INDEX('Player Raw Data'!I:I,Match($A292,'Player Raw Data'!$B:$B,0)),"")</f>
        <v/>
      </c>
      <c r="H292" t="str">
        <f t="array" ref="H292">IFERROR(INDEX('Player Raw Data'!J:J,Match($A292,'Player Raw Data'!$B:$B,0)),"")</f>
        <v/>
      </c>
      <c r="I292" t="str">
        <f t="array" ref="I292">IFERROR(INDEX('Player Raw Data'!S:S,Match($A292,'Player Raw Data'!$B:$B,0)),"")</f>
        <v/>
      </c>
      <c r="J292" t="str">
        <f t="array" ref="J292">IFERROR(INDEX('Player Raw Data'!T:T,Match($A292,'Player Raw Data'!$B:$B,0)),"")</f>
        <v/>
      </c>
      <c r="K292" t="str">
        <f t="array" ref="K292">IFERROR(INDEX('Player Raw Data'!X:X,Match($A292,'Player Raw Data'!$B:$B,0)),"")</f>
        <v/>
      </c>
      <c r="L292" t="str">
        <f t="array" ref="L292">IFERROR(INDEX('Player Raw Data'!Y:Y,Match($A292,'Player Raw Data'!$B:$B,0)),"")</f>
        <v/>
      </c>
      <c r="M292" t="str">
        <f t="array" ref="M292">IFERROR(INDEX('Player Raw Data'!Z:Z,Match($A292,'Player Raw Data'!$B:$B,0)),"")</f>
        <v/>
      </c>
      <c r="N292" t="str">
        <f t="array" ref="N292">IFERROR(INDEX('Player Raw Data'!AA:AA,Match($A292,'Player Raw Data'!$B:$B,0)),"")</f>
        <v/>
      </c>
      <c r="O292" t="str">
        <f t="array" ref="O292">IFERROR(INDEX('Player Raw Data'!AB:AB,Match($A292,'Player Raw Data'!$B:$B,0)),"")</f>
        <v/>
      </c>
      <c r="P292" t="str">
        <f t="array" ref="P292">IFERROR(INDEX('Player Raw Data'!AD:AD,Match($A292,'Player Raw Data'!$B:$B,0)),"")</f>
        <v/>
      </c>
      <c r="Q292">
        <f t="shared" si="1"/>
        <v>0</v>
      </c>
      <c r="R292" s="9">
        <f t="shared" si="2"/>
        <v>0</v>
      </c>
      <c r="S292" s="14">
        <f t="shared" si="3"/>
        <v>0</v>
      </c>
      <c r="T292" s="15">
        <f>IFERROR(__xludf.DUMMYFUNCTION("IFERROR(PERCENTRANK.INC(FILTER(Q:Q,$F:$F&lt;&gt;""""),Q292)*100,"""")"),1.5)</f>
        <v>1.5</v>
      </c>
      <c r="U292" s="15">
        <f>IFERROR(__xludf.DUMMYFUNCTION("IFERROR(PERCENTRANK.INC(FILTER(R:R,$F:$F&lt;&gt;""""),R292)*100,"""")"),1.5)</f>
        <v>1.5</v>
      </c>
      <c r="V292" s="15">
        <f>IFERROR(__xludf.DUMMYFUNCTION("IFERROR(PERCENTRANK.INC(FILTER(S:S,$F:$F&lt;&gt;""""),S292)*100,"""")"),1.5)</f>
        <v>1.5</v>
      </c>
      <c r="W292" s="15" t="str">
        <f t="shared" si="4"/>
        <v/>
      </c>
      <c r="X292" s="16"/>
      <c r="Y292" s="9"/>
      <c r="Z292" s="9"/>
    </row>
    <row r="293">
      <c r="B293" t="str">
        <f t="array" ref="B293">IFERROR(INDEX('Player Raw Data'!E:E,Match($A293,'Player Raw Data'!$B:$B,0)),"")</f>
        <v/>
      </c>
      <c r="C293" t="str">
        <f t="array" ref="C293">IFERROR(INDEX('Player Raw Data'!C:C,Match($A293,'Player Raw Data'!$B:$B,0)),"")</f>
        <v/>
      </c>
      <c r="D293" t="str">
        <f t="array" ref="D293">IFERROR(IF(A293=A292, INDEX('Player Raw Data'!D:D,Match($A293,'Player Raw Data'!$B:$B,0)+2),INDEX('Player Raw Data'!D:D,Match($A293,'Player Raw Data'!$B:$B,0))),"")</f>
        <v/>
      </c>
      <c r="E293" t="str">
        <f t="array" ref="E293">IFERROR(INDEX('Player Raw Data'!F:F,Match($A293,'Player Raw Data'!$B:$B,0)),"")</f>
        <v/>
      </c>
      <c r="F293" t="str">
        <f t="array" ref="F293">IFERROR(INDEX('Player Raw Data'!H:H,Match($A293,'Player Raw Data'!$B:$B,0)),"")</f>
        <v/>
      </c>
      <c r="G293" t="str">
        <f t="array" ref="G293">IFERROR(INDEX('Player Raw Data'!I:I,Match($A293,'Player Raw Data'!$B:$B,0)),"")</f>
        <v/>
      </c>
      <c r="H293" t="str">
        <f t="array" ref="H293">IFERROR(INDEX('Player Raw Data'!J:J,Match($A293,'Player Raw Data'!$B:$B,0)),"")</f>
        <v/>
      </c>
      <c r="I293" t="str">
        <f t="array" ref="I293">IFERROR(INDEX('Player Raw Data'!S:S,Match($A293,'Player Raw Data'!$B:$B,0)),"")</f>
        <v/>
      </c>
      <c r="J293" t="str">
        <f t="array" ref="J293">IFERROR(INDEX('Player Raw Data'!T:T,Match($A293,'Player Raw Data'!$B:$B,0)),"")</f>
        <v/>
      </c>
      <c r="K293" t="str">
        <f t="array" ref="K293">IFERROR(INDEX('Player Raw Data'!X:X,Match($A293,'Player Raw Data'!$B:$B,0)),"")</f>
        <v/>
      </c>
      <c r="L293" t="str">
        <f t="array" ref="L293">IFERROR(INDEX('Player Raw Data'!Y:Y,Match($A293,'Player Raw Data'!$B:$B,0)),"")</f>
        <v/>
      </c>
      <c r="M293" t="str">
        <f t="array" ref="M293">IFERROR(INDEX('Player Raw Data'!Z:Z,Match($A293,'Player Raw Data'!$B:$B,0)),"")</f>
        <v/>
      </c>
      <c r="N293" t="str">
        <f t="array" ref="N293">IFERROR(INDEX('Player Raw Data'!AA:AA,Match($A293,'Player Raw Data'!$B:$B,0)),"")</f>
        <v/>
      </c>
      <c r="O293" t="str">
        <f t="array" ref="O293">IFERROR(INDEX('Player Raw Data'!AB:AB,Match($A293,'Player Raw Data'!$B:$B,0)),"")</f>
        <v/>
      </c>
      <c r="P293" t="str">
        <f t="array" ref="P293">IFERROR(INDEX('Player Raw Data'!AD:AD,Match($A293,'Player Raw Data'!$B:$B,0)),"")</f>
        <v/>
      </c>
      <c r="Q293">
        <f t="shared" si="1"/>
        <v>0</v>
      </c>
      <c r="R293" s="9">
        <f t="shared" si="2"/>
        <v>0</v>
      </c>
      <c r="S293" s="14">
        <f t="shared" si="3"/>
        <v>0</v>
      </c>
      <c r="T293" s="15">
        <f>IFERROR(__xludf.DUMMYFUNCTION("IFERROR(PERCENTRANK.INC(FILTER(Q:Q,$F:$F&lt;&gt;""""),Q293)*100,"""")"),1.5)</f>
        <v>1.5</v>
      </c>
      <c r="U293" s="15">
        <f>IFERROR(__xludf.DUMMYFUNCTION("IFERROR(PERCENTRANK.INC(FILTER(R:R,$F:$F&lt;&gt;""""),R293)*100,"""")"),1.5)</f>
        <v>1.5</v>
      </c>
      <c r="V293" s="15">
        <f>IFERROR(__xludf.DUMMYFUNCTION("IFERROR(PERCENTRANK.INC(FILTER(S:S,$F:$F&lt;&gt;""""),S293)*100,"""")"),1.5)</f>
        <v>1.5</v>
      </c>
      <c r="W293" s="15" t="str">
        <f t="shared" si="4"/>
        <v/>
      </c>
      <c r="X293" s="16"/>
      <c r="Y293" s="9"/>
      <c r="Z293" s="9"/>
    </row>
    <row r="294">
      <c r="B294" t="str">
        <f t="array" ref="B294">IFERROR(INDEX('Player Raw Data'!E:E,Match($A294,'Player Raw Data'!$B:$B,0)),"")</f>
        <v/>
      </c>
      <c r="C294" t="str">
        <f t="array" ref="C294">IFERROR(INDEX('Player Raw Data'!C:C,Match($A294,'Player Raw Data'!$B:$B,0)),"")</f>
        <v/>
      </c>
      <c r="D294" t="str">
        <f t="array" ref="D294">IFERROR(IF(A294=A293, INDEX('Player Raw Data'!D:D,Match($A294,'Player Raw Data'!$B:$B,0)+2),INDEX('Player Raw Data'!D:D,Match($A294,'Player Raw Data'!$B:$B,0))),"")</f>
        <v/>
      </c>
      <c r="E294" t="str">
        <f t="array" ref="E294">IFERROR(INDEX('Player Raw Data'!F:F,Match($A294,'Player Raw Data'!$B:$B,0)),"")</f>
        <v/>
      </c>
      <c r="F294" t="str">
        <f t="array" ref="F294">IFERROR(INDEX('Player Raw Data'!H:H,Match($A294,'Player Raw Data'!$B:$B,0)),"")</f>
        <v/>
      </c>
      <c r="G294" t="str">
        <f t="array" ref="G294">IFERROR(INDEX('Player Raw Data'!I:I,Match($A294,'Player Raw Data'!$B:$B,0)),"")</f>
        <v/>
      </c>
      <c r="H294" t="str">
        <f t="array" ref="H294">IFERROR(INDEX('Player Raw Data'!J:J,Match($A294,'Player Raw Data'!$B:$B,0)),"")</f>
        <v/>
      </c>
      <c r="I294" t="str">
        <f t="array" ref="I294">IFERROR(INDEX('Player Raw Data'!S:S,Match($A294,'Player Raw Data'!$B:$B,0)),"")</f>
        <v/>
      </c>
      <c r="J294" t="str">
        <f t="array" ref="J294">IFERROR(INDEX('Player Raw Data'!T:T,Match($A294,'Player Raw Data'!$B:$B,0)),"")</f>
        <v/>
      </c>
      <c r="K294" t="str">
        <f t="array" ref="K294">IFERROR(INDEX('Player Raw Data'!X:X,Match($A294,'Player Raw Data'!$B:$B,0)),"")</f>
        <v/>
      </c>
      <c r="L294" t="str">
        <f t="array" ref="L294">IFERROR(INDEX('Player Raw Data'!Y:Y,Match($A294,'Player Raw Data'!$B:$B,0)),"")</f>
        <v/>
      </c>
      <c r="M294" t="str">
        <f t="array" ref="M294">IFERROR(INDEX('Player Raw Data'!Z:Z,Match($A294,'Player Raw Data'!$B:$B,0)),"")</f>
        <v/>
      </c>
      <c r="N294" t="str">
        <f t="array" ref="N294">IFERROR(INDEX('Player Raw Data'!AA:AA,Match($A294,'Player Raw Data'!$B:$B,0)),"")</f>
        <v/>
      </c>
      <c r="O294" t="str">
        <f t="array" ref="O294">IFERROR(INDEX('Player Raw Data'!AB:AB,Match($A294,'Player Raw Data'!$B:$B,0)),"")</f>
        <v/>
      </c>
      <c r="P294" t="str">
        <f t="array" ref="P294">IFERROR(INDEX('Player Raw Data'!AD:AD,Match($A294,'Player Raw Data'!$B:$B,0)),"")</f>
        <v/>
      </c>
      <c r="Q294">
        <f t="shared" si="1"/>
        <v>0</v>
      </c>
      <c r="R294" s="9">
        <f t="shared" si="2"/>
        <v>0</v>
      </c>
      <c r="S294" s="14">
        <f t="shared" si="3"/>
        <v>0</v>
      </c>
      <c r="T294" s="15">
        <f>IFERROR(__xludf.DUMMYFUNCTION("IFERROR(PERCENTRANK.INC(FILTER(Q:Q,$F:$F&lt;&gt;""""),Q294)*100,"""")"),1.5)</f>
        <v>1.5</v>
      </c>
      <c r="U294" s="15">
        <f>IFERROR(__xludf.DUMMYFUNCTION("IFERROR(PERCENTRANK.INC(FILTER(R:R,$F:$F&lt;&gt;""""),R294)*100,"""")"),1.5)</f>
        <v>1.5</v>
      </c>
      <c r="V294" s="15">
        <f>IFERROR(__xludf.DUMMYFUNCTION("IFERROR(PERCENTRANK.INC(FILTER(S:S,$F:$F&lt;&gt;""""),S294)*100,"""")"),1.5)</f>
        <v>1.5</v>
      </c>
      <c r="W294" s="15" t="str">
        <f t="shared" si="4"/>
        <v/>
      </c>
      <c r="X294" s="16"/>
      <c r="Y294" s="9"/>
      <c r="Z294" s="9"/>
    </row>
    <row r="295">
      <c r="B295" t="str">
        <f t="array" ref="B295">IFERROR(INDEX('Player Raw Data'!E:E,Match($A295,'Player Raw Data'!$B:$B,0)),"")</f>
        <v/>
      </c>
      <c r="C295" t="str">
        <f t="array" ref="C295">IFERROR(INDEX('Player Raw Data'!C:C,Match($A295,'Player Raw Data'!$B:$B,0)),"")</f>
        <v/>
      </c>
      <c r="D295" t="str">
        <f t="array" ref="D295">IFERROR(IF(A295=A294, INDEX('Player Raw Data'!D:D,Match($A295,'Player Raw Data'!$B:$B,0)+2),INDEX('Player Raw Data'!D:D,Match($A295,'Player Raw Data'!$B:$B,0))),"")</f>
        <v/>
      </c>
      <c r="E295" t="str">
        <f t="array" ref="E295">IFERROR(INDEX('Player Raw Data'!F:F,Match($A295,'Player Raw Data'!$B:$B,0)),"")</f>
        <v/>
      </c>
      <c r="F295" t="str">
        <f t="array" ref="F295">IFERROR(INDEX('Player Raw Data'!H:H,Match($A295,'Player Raw Data'!$B:$B,0)),"")</f>
        <v/>
      </c>
      <c r="G295" t="str">
        <f t="array" ref="G295">IFERROR(INDEX('Player Raw Data'!I:I,Match($A295,'Player Raw Data'!$B:$B,0)),"")</f>
        <v/>
      </c>
      <c r="H295" t="str">
        <f t="array" ref="H295">IFERROR(INDEX('Player Raw Data'!J:J,Match($A295,'Player Raw Data'!$B:$B,0)),"")</f>
        <v/>
      </c>
      <c r="I295" t="str">
        <f t="array" ref="I295">IFERROR(INDEX('Player Raw Data'!S:S,Match($A295,'Player Raw Data'!$B:$B,0)),"")</f>
        <v/>
      </c>
      <c r="J295" t="str">
        <f t="array" ref="J295">IFERROR(INDEX('Player Raw Data'!T:T,Match($A295,'Player Raw Data'!$B:$B,0)),"")</f>
        <v/>
      </c>
      <c r="K295" t="str">
        <f t="array" ref="K295">IFERROR(INDEX('Player Raw Data'!X:X,Match($A295,'Player Raw Data'!$B:$B,0)),"")</f>
        <v/>
      </c>
      <c r="L295" t="str">
        <f t="array" ref="L295">IFERROR(INDEX('Player Raw Data'!Y:Y,Match($A295,'Player Raw Data'!$B:$B,0)),"")</f>
        <v/>
      </c>
      <c r="M295" t="str">
        <f t="array" ref="M295">IFERROR(INDEX('Player Raw Data'!Z:Z,Match($A295,'Player Raw Data'!$B:$B,0)),"")</f>
        <v/>
      </c>
      <c r="N295" t="str">
        <f t="array" ref="N295">IFERROR(INDEX('Player Raw Data'!AA:AA,Match($A295,'Player Raw Data'!$B:$B,0)),"")</f>
        <v/>
      </c>
      <c r="O295" t="str">
        <f t="array" ref="O295">IFERROR(INDEX('Player Raw Data'!AB:AB,Match($A295,'Player Raw Data'!$B:$B,0)),"")</f>
        <v/>
      </c>
      <c r="P295" t="str">
        <f t="array" ref="P295">IFERROR(INDEX('Player Raw Data'!AD:AD,Match($A295,'Player Raw Data'!$B:$B,0)),"")</f>
        <v/>
      </c>
      <c r="Q295">
        <f t="shared" si="1"/>
        <v>0</v>
      </c>
      <c r="R295" s="9">
        <f t="shared" si="2"/>
        <v>0</v>
      </c>
      <c r="S295" s="14">
        <f t="shared" si="3"/>
        <v>0</v>
      </c>
      <c r="T295" s="15">
        <f>IFERROR(__xludf.DUMMYFUNCTION("IFERROR(PERCENTRANK.INC(FILTER(Q:Q,$F:$F&lt;&gt;""""),Q295)*100,"""")"),1.5)</f>
        <v>1.5</v>
      </c>
      <c r="U295" s="15">
        <f>IFERROR(__xludf.DUMMYFUNCTION("IFERROR(PERCENTRANK.INC(FILTER(R:R,$F:$F&lt;&gt;""""),R295)*100,"""")"),1.5)</f>
        <v>1.5</v>
      </c>
      <c r="V295" s="15">
        <f>IFERROR(__xludf.DUMMYFUNCTION("IFERROR(PERCENTRANK.INC(FILTER(S:S,$F:$F&lt;&gt;""""),S295)*100,"""")"),1.5)</f>
        <v>1.5</v>
      </c>
      <c r="W295" s="15" t="str">
        <f t="shared" si="4"/>
        <v/>
      </c>
      <c r="X295" s="16"/>
      <c r="Y295" s="9"/>
      <c r="Z295" s="9"/>
    </row>
    <row r="296">
      <c r="B296" t="str">
        <f t="array" ref="B296">IFERROR(INDEX('Player Raw Data'!E:E,Match($A296,'Player Raw Data'!$B:$B,0)),"")</f>
        <v/>
      </c>
      <c r="C296" t="str">
        <f t="array" ref="C296">IFERROR(INDEX('Player Raw Data'!C:C,Match($A296,'Player Raw Data'!$B:$B,0)),"")</f>
        <v/>
      </c>
      <c r="D296" t="str">
        <f t="array" ref="D296">IFERROR(IF(A296=A295, INDEX('Player Raw Data'!D:D,Match($A296,'Player Raw Data'!$B:$B,0)+2),INDEX('Player Raw Data'!D:D,Match($A296,'Player Raw Data'!$B:$B,0))),"")</f>
        <v/>
      </c>
      <c r="E296" t="str">
        <f t="array" ref="E296">IFERROR(INDEX('Player Raw Data'!F:F,Match($A296,'Player Raw Data'!$B:$B,0)),"")</f>
        <v/>
      </c>
      <c r="F296" t="str">
        <f t="array" ref="F296">IFERROR(INDEX('Player Raw Data'!H:H,Match($A296,'Player Raw Data'!$B:$B,0)),"")</f>
        <v/>
      </c>
      <c r="G296" t="str">
        <f t="array" ref="G296">IFERROR(INDEX('Player Raw Data'!I:I,Match($A296,'Player Raw Data'!$B:$B,0)),"")</f>
        <v/>
      </c>
      <c r="H296" t="str">
        <f t="array" ref="H296">IFERROR(INDEX('Player Raw Data'!J:J,Match($A296,'Player Raw Data'!$B:$B,0)),"")</f>
        <v/>
      </c>
      <c r="I296" t="str">
        <f t="array" ref="I296">IFERROR(INDEX('Player Raw Data'!S:S,Match($A296,'Player Raw Data'!$B:$B,0)),"")</f>
        <v/>
      </c>
      <c r="J296" t="str">
        <f t="array" ref="J296">IFERROR(INDEX('Player Raw Data'!T:T,Match($A296,'Player Raw Data'!$B:$B,0)),"")</f>
        <v/>
      </c>
      <c r="K296" t="str">
        <f t="array" ref="K296">IFERROR(INDEX('Player Raw Data'!X:X,Match($A296,'Player Raw Data'!$B:$B,0)),"")</f>
        <v/>
      </c>
      <c r="L296" t="str">
        <f t="array" ref="L296">IFERROR(INDEX('Player Raw Data'!Y:Y,Match($A296,'Player Raw Data'!$B:$B,0)),"")</f>
        <v/>
      </c>
      <c r="M296" t="str">
        <f t="array" ref="M296">IFERROR(INDEX('Player Raw Data'!Z:Z,Match($A296,'Player Raw Data'!$B:$B,0)),"")</f>
        <v/>
      </c>
      <c r="N296" t="str">
        <f t="array" ref="N296">IFERROR(INDEX('Player Raw Data'!AA:AA,Match($A296,'Player Raw Data'!$B:$B,0)),"")</f>
        <v/>
      </c>
      <c r="O296" t="str">
        <f t="array" ref="O296">IFERROR(INDEX('Player Raw Data'!AB:AB,Match($A296,'Player Raw Data'!$B:$B,0)),"")</f>
        <v/>
      </c>
      <c r="P296" t="str">
        <f t="array" ref="P296">IFERROR(INDEX('Player Raw Data'!AD:AD,Match($A296,'Player Raw Data'!$B:$B,0)),"")</f>
        <v/>
      </c>
      <c r="Q296">
        <f t="shared" si="1"/>
        <v>0</v>
      </c>
      <c r="R296" s="9">
        <f t="shared" si="2"/>
        <v>0</v>
      </c>
      <c r="S296" s="14">
        <f t="shared" si="3"/>
        <v>0</v>
      </c>
      <c r="T296" s="15">
        <f>IFERROR(__xludf.DUMMYFUNCTION("IFERROR(PERCENTRANK.INC(FILTER(Q:Q,$F:$F&lt;&gt;""""),Q296)*100,"""")"),1.5)</f>
        <v>1.5</v>
      </c>
      <c r="U296" s="15">
        <f>IFERROR(__xludf.DUMMYFUNCTION("IFERROR(PERCENTRANK.INC(FILTER(R:R,$F:$F&lt;&gt;""""),R296)*100,"""")"),1.5)</f>
        <v>1.5</v>
      </c>
      <c r="V296" s="15">
        <f>IFERROR(__xludf.DUMMYFUNCTION("IFERROR(PERCENTRANK.INC(FILTER(S:S,$F:$F&lt;&gt;""""),S296)*100,"""")"),1.5)</f>
        <v>1.5</v>
      </c>
      <c r="W296" s="15" t="str">
        <f t="shared" si="4"/>
        <v/>
      </c>
      <c r="X296" s="16"/>
      <c r="Y296" s="9"/>
      <c r="Z296" s="9"/>
    </row>
    <row r="297">
      <c r="B297" t="str">
        <f t="array" ref="B297">IFERROR(INDEX('Player Raw Data'!E:E,Match($A297,'Player Raw Data'!$B:$B,0)),"")</f>
        <v/>
      </c>
      <c r="C297" t="str">
        <f t="array" ref="C297">IFERROR(INDEX('Player Raw Data'!C:C,Match($A297,'Player Raw Data'!$B:$B,0)),"")</f>
        <v/>
      </c>
      <c r="D297" t="str">
        <f t="array" ref="D297">IFERROR(IF(A297=A296, INDEX('Player Raw Data'!D:D,Match($A297,'Player Raw Data'!$B:$B,0)+2),INDEX('Player Raw Data'!D:D,Match($A297,'Player Raw Data'!$B:$B,0))),"")</f>
        <v/>
      </c>
      <c r="E297" t="str">
        <f t="array" ref="E297">IFERROR(INDEX('Player Raw Data'!F:F,Match($A297,'Player Raw Data'!$B:$B,0)),"")</f>
        <v/>
      </c>
      <c r="F297" t="str">
        <f t="array" ref="F297">IFERROR(INDEX('Player Raw Data'!H:H,Match($A297,'Player Raw Data'!$B:$B,0)),"")</f>
        <v/>
      </c>
      <c r="G297" t="str">
        <f t="array" ref="G297">IFERROR(INDEX('Player Raw Data'!I:I,Match($A297,'Player Raw Data'!$B:$B,0)),"")</f>
        <v/>
      </c>
      <c r="H297" t="str">
        <f t="array" ref="H297">IFERROR(INDEX('Player Raw Data'!J:J,Match($A297,'Player Raw Data'!$B:$B,0)),"")</f>
        <v/>
      </c>
      <c r="I297" t="str">
        <f t="array" ref="I297">IFERROR(INDEX('Player Raw Data'!S:S,Match($A297,'Player Raw Data'!$B:$B,0)),"")</f>
        <v/>
      </c>
      <c r="J297" t="str">
        <f t="array" ref="J297">IFERROR(INDEX('Player Raw Data'!T:T,Match($A297,'Player Raw Data'!$B:$B,0)),"")</f>
        <v/>
      </c>
      <c r="K297" t="str">
        <f t="array" ref="K297">IFERROR(INDEX('Player Raw Data'!X:X,Match($A297,'Player Raw Data'!$B:$B,0)),"")</f>
        <v/>
      </c>
      <c r="L297" t="str">
        <f t="array" ref="L297">IFERROR(INDEX('Player Raw Data'!Y:Y,Match($A297,'Player Raw Data'!$B:$B,0)),"")</f>
        <v/>
      </c>
      <c r="M297" t="str">
        <f t="array" ref="M297">IFERROR(INDEX('Player Raw Data'!Z:Z,Match($A297,'Player Raw Data'!$B:$B,0)),"")</f>
        <v/>
      </c>
      <c r="N297" t="str">
        <f t="array" ref="N297">IFERROR(INDEX('Player Raw Data'!AA:AA,Match($A297,'Player Raw Data'!$B:$B,0)),"")</f>
        <v/>
      </c>
      <c r="O297" t="str">
        <f t="array" ref="O297">IFERROR(INDEX('Player Raw Data'!AB:AB,Match($A297,'Player Raw Data'!$B:$B,0)),"")</f>
        <v/>
      </c>
      <c r="P297" t="str">
        <f t="array" ref="P297">IFERROR(INDEX('Player Raw Data'!AD:AD,Match($A297,'Player Raw Data'!$B:$B,0)),"")</f>
        <v/>
      </c>
      <c r="Q297">
        <f t="shared" si="1"/>
        <v>0</v>
      </c>
      <c r="R297" s="9">
        <f t="shared" si="2"/>
        <v>0</v>
      </c>
      <c r="S297" s="14">
        <f t="shared" si="3"/>
        <v>0</v>
      </c>
      <c r="T297" s="15">
        <f>IFERROR(__xludf.DUMMYFUNCTION("IFERROR(PERCENTRANK.INC(FILTER(Q:Q,$F:$F&lt;&gt;""""),Q297)*100,"""")"),1.5)</f>
        <v>1.5</v>
      </c>
      <c r="U297" s="15">
        <f>IFERROR(__xludf.DUMMYFUNCTION("IFERROR(PERCENTRANK.INC(FILTER(R:R,$F:$F&lt;&gt;""""),R297)*100,"""")"),1.5)</f>
        <v>1.5</v>
      </c>
      <c r="V297" s="15">
        <f>IFERROR(__xludf.DUMMYFUNCTION("IFERROR(PERCENTRANK.INC(FILTER(S:S,$F:$F&lt;&gt;""""),S297)*100,"""")"),1.5)</f>
        <v>1.5</v>
      </c>
      <c r="W297" s="15" t="str">
        <f t="shared" si="4"/>
        <v/>
      </c>
      <c r="X297" s="16"/>
      <c r="Y297" s="9"/>
      <c r="Z297" s="9"/>
    </row>
    <row r="298">
      <c r="B298" t="str">
        <f t="array" ref="B298">IFERROR(INDEX('Player Raw Data'!E:E,Match($A298,'Player Raw Data'!$B:$B,0)),"")</f>
        <v/>
      </c>
      <c r="C298" t="str">
        <f t="array" ref="C298">IFERROR(INDEX('Player Raw Data'!C:C,Match($A298,'Player Raw Data'!$B:$B,0)),"")</f>
        <v/>
      </c>
      <c r="D298" t="str">
        <f t="array" ref="D298">IFERROR(IF(A298=A297, INDEX('Player Raw Data'!D:D,Match($A298,'Player Raw Data'!$B:$B,0)+2),INDEX('Player Raw Data'!D:D,Match($A298,'Player Raw Data'!$B:$B,0))),"")</f>
        <v/>
      </c>
      <c r="E298" t="str">
        <f t="array" ref="E298">IFERROR(INDEX('Player Raw Data'!F:F,Match($A298,'Player Raw Data'!$B:$B,0)),"")</f>
        <v/>
      </c>
      <c r="F298" t="str">
        <f t="array" ref="F298">IFERROR(INDEX('Player Raw Data'!H:H,Match($A298,'Player Raw Data'!$B:$B,0)),"")</f>
        <v/>
      </c>
      <c r="G298" t="str">
        <f t="array" ref="G298">IFERROR(INDEX('Player Raw Data'!I:I,Match($A298,'Player Raw Data'!$B:$B,0)),"")</f>
        <v/>
      </c>
      <c r="H298" t="str">
        <f t="array" ref="H298">IFERROR(INDEX('Player Raw Data'!J:J,Match($A298,'Player Raw Data'!$B:$B,0)),"")</f>
        <v/>
      </c>
      <c r="I298" t="str">
        <f t="array" ref="I298">IFERROR(INDEX('Player Raw Data'!S:S,Match($A298,'Player Raw Data'!$B:$B,0)),"")</f>
        <v/>
      </c>
      <c r="J298" t="str">
        <f t="array" ref="J298">IFERROR(INDEX('Player Raw Data'!T:T,Match($A298,'Player Raw Data'!$B:$B,0)),"")</f>
        <v/>
      </c>
      <c r="K298" t="str">
        <f t="array" ref="K298">IFERROR(INDEX('Player Raw Data'!X:X,Match($A298,'Player Raw Data'!$B:$B,0)),"")</f>
        <v/>
      </c>
      <c r="L298" t="str">
        <f t="array" ref="L298">IFERROR(INDEX('Player Raw Data'!Y:Y,Match($A298,'Player Raw Data'!$B:$B,0)),"")</f>
        <v/>
      </c>
      <c r="M298" t="str">
        <f t="array" ref="M298">IFERROR(INDEX('Player Raw Data'!Z:Z,Match($A298,'Player Raw Data'!$B:$B,0)),"")</f>
        <v/>
      </c>
      <c r="N298" t="str">
        <f t="array" ref="N298">IFERROR(INDEX('Player Raw Data'!AA:AA,Match($A298,'Player Raw Data'!$B:$B,0)),"")</f>
        <v/>
      </c>
      <c r="O298" t="str">
        <f t="array" ref="O298">IFERROR(INDEX('Player Raw Data'!AB:AB,Match($A298,'Player Raw Data'!$B:$B,0)),"")</f>
        <v/>
      </c>
      <c r="P298" t="str">
        <f t="array" ref="P298">IFERROR(INDEX('Player Raw Data'!AD:AD,Match($A298,'Player Raw Data'!$B:$B,0)),"")</f>
        <v/>
      </c>
      <c r="Q298">
        <f t="shared" si="1"/>
        <v>0</v>
      </c>
      <c r="R298" s="9">
        <f t="shared" si="2"/>
        <v>0</v>
      </c>
      <c r="S298" s="14">
        <f t="shared" si="3"/>
        <v>0</v>
      </c>
      <c r="T298" s="15">
        <f>IFERROR(__xludf.DUMMYFUNCTION("IFERROR(PERCENTRANK.INC(FILTER(Q:Q,$F:$F&lt;&gt;""""),Q298)*100,"""")"),1.5)</f>
        <v>1.5</v>
      </c>
      <c r="U298" s="15">
        <f>IFERROR(__xludf.DUMMYFUNCTION("IFERROR(PERCENTRANK.INC(FILTER(R:R,$F:$F&lt;&gt;""""),R298)*100,"""")"),1.5)</f>
        <v>1.5</v>
      </c>
      <c r="V298" s="15">
        <f>IFERROR(__xludf.DUMMYFUNCTION("IFERROR(PERCENTRANK.INC(FILTER(S:S,$F:$F&lt;&gt;""""),S298)*100,"""")"),1.5)</f>
        <v>1.5</v>
      </c>
      <c r="W298" s="15" t="str">
        <f t="shared" si="4"/>
        <v/>
      </c>
      <c r="X298" s="16"/>
      <c r="Y298" s="9"/>
      <c r="Z298" s="9"/>
    </row>
    <row r="299">
      <c r="B299" t="str">
        <f t="array" ref="B299">IFERROR(INDEX('Player Raw Data'!E:E,Match($A299,'Player Raw Data'!$B:$B,0)),"")</f>
        <v/>
      </c>
      <c r="C299" t="str">
        <f t="array" ref="C299">IFERROR(INDEX('Player Raw Data'!C:C,Match($A299,'Player Raw Data'!$B:$B,0)),"")</f>
        <v/>
      </c>
      <c r="D299" t="str">
        <f t="array" ref="D299">IFERROR(IF(A299=A298, INDEX('Player Raw Data'!D:D,Match($A299,'Player Raw Data'!$B:$B,0)+2),INDEX('Player Raw Data'!D:D,Match($A299,'Player Raw Data'!$B:$B,0))),"")</f>
        <v/>
      </c>
      <c r="E299" t="str">
        <f t="array" ref="E299">IFERROR(INDEX('Player Raw Data'!F:F,Match($A299,'Player Raw Data'!$B:$B,0)),"")</f>
        <v/>
      </c>
      <c r="F299" t="str">
        <f t="array" ref="F299">IFERROR(INDEX('Player Raw Data'!H:H,Match($A299,'Player Raw Data'!$B:$B,0)),"")</f>
        <v/>
      </c>
      <c r="G299" t="str">
        <f t="array" ref="G299">IFERROR(INDEX('Player Raw Data'!I:I,Match($A299,'Player Raw Data'!$B:$B,0)),"")</f>
        <v/>
      </c>
      <c r="H299" t="str">
        <f t="array" ref="H299">IFERROR(INDEX('Player Raw Data'!J:J,Match($A299,'Player Raw Data'!$B:$B,0)),"")</f>
        <v/>
      </c>
      <c r="I299" t="str">
        <f t="array" ref="I299">IFERROR(INDEX('Player Raw Data'!S:S,Match($A299,'Player Raw Data'!$B:$B,0)),"")</f>
        <v/>
      </c>
      <c r="J299" t="str">
        <f t="array" ref="J299">IFERROR(INDEX('Player Raw Data'!T:T,Match($A299,'Player Raw Data'!$B:$B,0)),"")</f>
        <v/>
      </c>
      <c r="K299" t="str">
        <f t="array" ref="K299">IFERROR(INDEX('Player Raw Data'!X:X,Match($A299,'Player Raw Data'!$B:$B,0)),"")</f>
        <v/>
      </c>
      <c r="L299" t="str">
        <f t="array" ref="L299">IFERROR(INDEX('Player Raw Data'!Y:Y,Match($A299,'Player Raw Data'!$B:$B,0)),"")</f>
        <v/>
      </c>
      <c r="M299" t="str">
        <f t="array" ref="M299">IFERROR(INDEX('Player Raw Data'!Z:Z,Match($A299,'Player Raw Data'!$B:$B,0)),"")</f>
        <v/>
      </c>
      <c r="N299" t="str">
        <f t="array" ref="N299">IFERROR(INDEX('Player Raw Data'!AA:AA,Match($A299,'Player Raw Data'!$B:$B,0)),"")</f>
        <v/>
      </c>
      <c r="O299" t="str">
        <f t="array" ref="O299">IFERROR(INDEX('Player Raw Data'!AB:AB,Match($A299,'Player Raw Data'!$B:$B,0)),"")</f>
        <v/>
      </c>
      <c r="P299" t="str">
        <f t="array" ref="P299">IFERROR(INDEX('Player Raw Data'!AD:AD,Match($A299,'Player Raw Data'!$B:$B,0)),"")</f>
        <v/>
      </c>
      <c r="Q299">
        <f t="shared" si="1"/>
        <v>0</v>
      </c>
      <c r="R299" s="9">
        <f t="shared" si="2"/>
        <v>0</v>
      </c>
      <c r="S299" s="14">
        <f t="shared" si="3"/>
        <v>0</v>
      </c>
      <c r="T299" s="15">
        <f>IFERROR(__xludf.DUMMYFUNCTION("IFERROR(PERCENTRANK.INC(FILTER(Q:Q,$F:$F&lt;&gt;""""),Q299)*100,"""")"),1.5)</f>
        <v>1.5</v>
      </c>
      <c r="U299" s="15">
        <f>IFERROR(__xludf.DUMMYFUNCTION("IFERROR(PERCENTRANK.INC(FILTER(R:R,$F:$F&lt;&gt;""""),R299)*100,"""")"),1.5)</f>
        <v>1.5</v>
      </c>
      <c r="V299" s="15">
        <f>IFERROR(__xludf.DUMMYFUNCTION("IFERROR(PERCENTRANK.INC(FILTER(S:S,$F:$F&lt;&gt;""""),S299)*100,"""")"),1.5)</f>
        <v>1.5</v>
      </c>
      <c r="W299" s="15" t="str">
        <f t="shared" si="4"/>
        <v/>
      </c>
      <c r="X299" s="16"/>
      <c r="Y299" s="9"/>
      <c r="Z299" s="9"/>
    </row>
    <row r="300">
      <c r="B300" t="str">
        <f t="array" ref="B300">IFERROR(INDEX('Player Raw Data'!E:E,Match($A300,'Player Raw Data'!$B:$B,0)),"")</f>
        <v/>
      </c>
      <c r="C300" t="str">
        <f t="array" ref="C300">IFERROR(INDEX('Player Raw Data'!C:C,Match($A300,'Player Raw Data'!$B:$B,0)),"")</f>
        <v/>
      </c>
      <c r="D300" t="str">
        <f t="array" ref="D300">IFERROR(IF(A300=A299, INDEX('Player Raw Data'!D:D,Match($A300,'Player Raw Data'!$B:$B,0)+2),INDEX('Player Raw Data'!D:D,Match($A300,'Player Raw Data'!$B:$B,0))),"")</f>
        <v/>
      </c>
      <c r="E300" t="str">
        <f t="array" ref="E300">IFERROR(INDEX('Player Raw Data'!F:F,Match($A300,'Player Raw Data'!$B:$B,0)),"")</f>
        <v/>
      </c>
      <c r="F300" t="str">
        <f t="array" ref="F300">IFERROR(INDEX('Player Raw Data'!H:H,Match($A300,'Player Raw Data'!$B:$B,0)),"")</f>
        <v/>
      </c>
      <c r="G300" t="str">
        <f t="array" ref="G300">IFERROR(INDEX('Player Raw Data'!I:I,Match($A300,'Player Raw Data'!$B:$B,0)),"")</f>
        <v/>
      </c>
      <c r="H300" t="str">
        <f t="array" ref="H300">IFERROR(INDEX('Player Raw Data'!J:J,Match($A300,'Player Raw Data'!$B:$B,0)),"")</f>
        <v/>
      </c>
      <c r="I300" t="str">
        <f t="array" ref="I300">IFERROR(INDEX('Player Raw Data'!S:S,Match($A300,'Player Raw Data'!$B:$B,0)),"")</f>
        <v/>
      </c>
      <c r="J300" t="str">
        <f t="array" ref="J300">IFERROR(INDEX('Player Raw Data'!T:T,Match($A300,'Player Raw Data'!$B:$B,0)),"")</f>
        <v/>
      </c>
      <c r="K300" t="str">
        <f t="array" ref="K300">IFERROR(INDEX('Player Raw Data'!X:X,Match($A300,'Player Raw Data'!$B:$B,0)),"")</f>
        <v/>
      </c>
      <c r="L300" t="str">
        <f t="array" ref="L300">IFERROR(INDEX('Player Raw Data'!Y:Y,Match($A300,'Player Raw Data'!$B:$B,0)),"")</f>
        <v/>
      </c>
      <c r="M300" t="str">
        <f t="array" ref="M300">IFERROR(INDEX('Player Raw Data'!Z:Z,Match($A300,'Player Raw Data'!$B:$B,0)),"")</f>
        <v/>
      </c>
      <c r="N300" t="str">
        <f t="array" ref="N300">IFERROR(INDEX('Player Raw Data'!AA:AA,Match($A300,'Player Raw Data'!$B:$B,0)),"")</f>
        <v/>
      </c>
      <c r="O300" t="str">
        <f t="array" ref="O300">IFERROR(INDEX('Player Raw Data'!AB:AB,Match($A300,'Player Raw Data'!$B:$B,0)),"")</f>
        <v/>
      </c>
      <c r="P300" t="str">
        <f t="array" ref="P300">IFERROR(INDEX('Player Raw Data'!AD:AD,Match($A300,'Player Raw Data'!$B:$B,0)),"")</f>
        <v/>
      </c>
      <c r="Q300">
        <f t="shared" si="1"/>
        <v>0</v>
      </c>
      <c r="R300" s="9">
        <f t="shared" si="2"/>
        <v>0</v>
      </c>
      <c r="S300" s="14">
        <f t="shared" si="3"/>
        <v>0</v>
      </c>
      <c r="T300" s="15">
        <f>IFERROR(__xludf.DUMMYFUNCTION("IFERROR(PERCENTRANK.INC(FILTER(Q:Q,$F:$F&lt;&gt;""""),Q300)*100,"""")"),1.5)</f>
        <v>1.5</v>
      </c>
      <c r="U300" s="15">
        <f>IFERROR(__xludf.DUMMYFUNCTION("IFERROR(PERCENTRANK.INC(FILTER(R:R,$F:$F&lt;&gt;""""),R300)*100,"""")"),1.5)</f>
        <v>1.5</v>
      </c>
      <c r="V300" s="15">
        <f>IFERROR(__xludf.DUMMYFUNCTION("IFERROR(PERCENTRANK.INC(FILTER(S:S,$F:$F&lt;&gt;""""),S300)*100,"""")"),1.5)</f>
        <v>1.5</v>
      </c>
      <c r="W300" s="15" t="str">
        <f t="shared" si="4"/>
        <v/>
      </c>
      <c r="X300" s="16"/>
      <c r="Y300" s="9"/>
      <c r="Z300" s="9"/>
    </row>
    <row r="301">
      <c r="B301" t="str">
        <f t="array" ref="B301">IFERROR(INDEX('Player Raw Data'!E:E,Match($A301,'Player Raw Data'!$B:$B,0)),"")</f>
        <v/>
      </c>
      <c r="C301" t="str">
        <f t="array" ref="C301">IFERROR(INDEX('Player Raw Data'!C:C,Match($A301,'Player Raw Data'!$B:$B,0)),"")</f>
        <v/>
      </c>
      <c r="D301" t="str">
        <f t="array" ref="D301">IFERROR(IF(A301=A300, INDEX('Player Raw Data'!D:D,Match($A301,'Player Raw Data'!$B:$B,0)+2),INDEX('Player Raw Data'!D:D,Match($A301,'Player Raw Data'!$B:$B,0))),"")</f>
        <v/>
      </c>
      <c r="E301" t="str">
        <f t="array" ref="E301">IFERROR(INDEX('Player Raw Data'!F:F,Match($A301,'Player Raw Data'!$B:$B,0)),"")</f>
        <v/>
      </c>
      <c r="F301" t="str">
        <f t="array" ref="F301">IFERROR(INDEX('Player Raw Data'!H:H,Match($A301,'Player Raw Data'!$B:$B,0)),"")</f>
        <v/>
      </c>
      <c r="G301" t="str">
        <f t="array" ref="G301">IFERROR(INDEX('Player Raw Data'!I:I,Match($A301,'Player Raw Data'!$B:$B,0)),"")</f>
        <v/>
      </c>
      <c r="H301" t="str">
        <f t="array" ref="H301">IFERROR(INDEX('Player Raw Data'!J:J,Match($A301,'Player Raw Data'!$B:$B,0)),"")</f>
        <v/>
      </c>
      <c r="I301" t="str">
        <f t="array" ref="I301">IFERROR(INDEX('Player Raw Data'!S:S,Match($A301,'Player Raw Data'!$B:$B,0)),"")</f>
        <v/>
      </c>
      <c r="J301" t="str">
        <f t="array" ref="J301">IFERROR(INDEX('Player Raw Data'!T:T,Match($A301,'Player Raw Data'!$B:$B,0)),"")</f>
        <v/>
      </c>
      <c r="K301" t="str">
        <f t="array" ref="K301">IFERROR(INDEX('Player Raw Data'!X:X,Match($A301,'Player Raw Data'!$B:$B,0)),"")</f>
        <v/>
      </c>
      <c r="L301" t="str">
        <f t="array" ref="L301">IFERROR(INDEX('Player Raw Data'!Y:Y,Match($A301,'Player Raw Data'!$B:$B,0)),"")</f>
        <v/>
      </c>
      <c r="M301" t="str">
        <f t="array" ref="M301">IFERROR(INDEX('Player Raw Data'!Z:Z,Match($A301,'Player Raw Data'!$B:$B,0)),"")</f>
        <v/>
      </c>
      <c r="N301" t="str">
        <f t="array" ref="N301">IFERROR(INDEX('Player Raw Data'!AA:AA,Match($A301,'Player Raw Data'!$B:$B,0)),"")</f>
        <v/>
      </c>
      <c r="O301" t="str">
        <f t="array" ref="O301">IFERROR(INDEX('Player Raw Data'!AB:AB,Match($A301,'Player Raw Data'!$B:$B,0)),"")</f>
        <v/>
      </c>
      <c r="P301" t="str">
        <f t="array" ref="P301">IFERROR(INDEX('Player Raw Data'!AD:AD,Match($A301,'Player Raw Data'!$B:$B,0)),"")</f>
        <v/>
      </c>
      <c r="Q301">
        <f t="shared" si="1"/>
        <v>0</v>
      </c>
      <c r="R301" s="9">
        <f t="shared" si="2"/>
        <v>0</v>
      </c>
      <c r="S301" s="14">
        <f t="shared" si="3"/>
        <v>0</v>
      </c>
      <c r="T301" s="15">
        <f>IFERROR(__xludf.DUMMYFUNCTION("IFERROR(PERCENTRANK.INC(FILTER(Q:Q,$F:$F&lt;&gt;""""),Q301)*100,"""")"),1.5)</f>
        <v>1.5</v>
      </c>
      <c r="U301" s="15">
        <f>IFERROR(__xludf.DUMMYFUNCTION("IFERROR(PERCENTRANK.INC(FILTER(R:R,$F:$F&lt;&gt;""""),R301)*100,"""")"),1.5)</f>
        <v>1.5</v>
      </c>
      <c r="V301" s="15">
        <f>IFERROR(__xludf.DUMMYFUNCTION("IFERROR(PERCENTRANK.INC(FILTER(S:S,$F:$F&lt;&gt;""""),S301)*100,"""")"),1.5)</f>
        <v>1.5</v>
      </c>
      <c r="W301" s="15" t="str">
        <f t="shared" si="4"/>
        <v/>
      </c>
      <c r="X301" s="16"/>
      <c r="Y301" s="9"/>
      <c r="Z301" s="9"/>
    </row>
    <row r="302">
      <c r="B302" t="str">
        <f t="array" ref="B302">IFERROR(INDEX('Player Raw Data'!E:E,Match($A302,'Player Raw Data'!$B:$B,0)),"")</f>
        <v/>
      </c>
      <c r="C302" t="str">
        <f t="array" ref="C302">IFERROR(INDEX('Player Raw Data'!C:C,Match($A302,'Player Raw Data'!$B:$B,0)),"")</f>
        <v/>
      </c>
      <c r="D302" t="str">
        <f t="array" ref="D302">IFERROR(IF(A302=A301, INDEX('Player Raw Data'!D:D,Match($A302,'Player Raw Data'!$B:$B,0)+2),INDEX('Player Raw Data'!D:D,Match($A302,'Player Raw Data'!$B:$B,0))),"")</f>
        <v/>
      </c>
      <c r="E302" t="str">
        <f t="array" ref="E302">IFERROR(INDEX('Player Raw Data'!F:F,Match($A302,'Player Raw Data'!$B:$B,0)),"")</f>
        <v/>
      </c>
      <c r="F302" t="str">
        <f t="array" ref="F302">IFERROR(INDEX('Player Raw Data'!H:H,Match($A302,'Player Raw Data'!$B:$B,0)),"")</f>
        <v/>
      </c>
      <c r="G302" t="str">
        <f t="array" ref="G302">IFERROR(INDEX('Player Raw Data'!I:I,Match($A302,'Player Raw Data'!$B:$B,0)),"")</f>
        <v/>
      </c>
      <c r="H302" t="str">
        <f t="array" ref="H302">IFERROR(INDEX('Player Raw Data'!J:J,Match($A302,'Player Raw Data'!$B:$B,0)),"")</f>
        <v/>
      </c>
      <c r="I302" t="str">
        <f t="array" ref="I302">IFERROR(INDEX('Player Raw Data'!S:S,Match($A302,'Player Raw Data'!$B:$B,0)),"")</f>
        <v/>
      </c>
      <c r="J302" t="str">
        <f t="array" ref="J302">IFERROR(INDEX('Player Raw Data'!T:T,Match($A302,'Player Raw Data'!$B:$B,0)),"")</f>
        <v/>
      </c>
      <c r="K302" t="str">
        <f t="array" ref="K302">IFERROR(INDEX('Player Raw Data'!X:X,Match($A302,'Player Raw Data'!$B:$B,0)),"")</f>
        <v/>
      </c>
      <c r="L302" t="str">
        <f t="array" ref="L302">IFERROR(INDEX('Player Raw Data'!Y:Y,Match($A302,'Player Raw Data'!$B:$B,0)),"")</f>
        <v/>
      </c>
      <c r="M302" t="str">
        <f t="array" ref="M302">IFERROR(INDEX('Player Raw Data'!Z:Z,Match($A302,'Player Raw Data'!$B:$B,0)),"")</f>
        <v/>
      </c>
      <c r="N302" t="str">
        <f t="array" ref="N302">IFERROR(INDEX('Player Raw Data'!AA:AA,Match($A302,'Player Raw Data'!$B:$B,0)),"")</f>
        <v/>
      </c>
      <c r="O302" t="str">
        <f t="array" ref="O302">IFERROR(INDEX('Player Raw Data'!AB:AB,Match($A302,'Player Raw Data'!$B:$B,0)),"")</f>
        <v/>
      </c>
      <c r="P302" t="str">
        <f t="array" ref="P302">IFERROR(INDEX('Player Raw Data'!AD:AD,Match($A302,'Player Raw Data'!$B:$B,0)),"")</f>
        <v/>
      </c>
      <c r="Q302">
        <f t="shared" si="1"/>
        <v>0</v>
      </c>
      <c r="R302" s="9">
        <f t="shared" si="2"/>
        <v>0</v>
      </c>
      <c r="S302" s="14">
        <f t="shared" si="3"/>
        <v>0</v>
      </c>
      <c r="T302" s="15">
        <f>IFERROR(__xludf.DUMMYFUNCTION("IFERROR(PERCENTRANK.INC(FILTER(Q:Q,$F:$F&lt;&gt;""""),Q302)*100,"""")"),1.5)</f>
        <v>1.5</v>
      </c>
      <c r="U302" s="15">
        <f>IFERROR(__xludf.DUMMYFUNCTION("IFERROR(PERCENTRANK.INC(FILTER(R:R,$F:$F&lt;&gt;""""),R302)*100,"""")"),1.5)</f>
        <v>1.5</v>
      </c>
      <c r="V302" s="15">
        <f>IFERROR(__xludf.DUMMYFUNCTION("IFERROR(PERCENTRANK.INC(FILTER(S:S,$F:$F&lt;&gt;""""),S302)*100,"""")"),1.5)</f>
        <v>1.5</v>
      </c>
      <c r="W302" s="15" t="str">
        <f t="shared" si="4"/>
        <v/>
      </c>
      <c r="X302" s="16"/>
      <c r="Y302" s="9"/>
      <c r="Z302" s="9"/>
    </row>
    <row r="303">
      <c r="B303" t="str">
        <f t="array" ref="B303">IFERROR(INDEX('Player Raw Data'!E:E,Match($A303,'Player Raw Data'!$B:$B,0)),"")</f>
        <v/>
      </c>
      <c r="C303" t="str">
        <f t="array" ref="C303">IFERROR(INDEX('Player Raw Data'!C:C,Match($A303,'Player Raw Data'!$B:$B,0)),"")</f>
        <v/>
      </c>
      <c r="D303" t="str">
        <f t="array" ref="D303">IFERROR(IF(A303=A302, INDEX('Player Raw Data'!D:D,Match($A303,'Player Raw Data'!$B:$B,0)+2),INDEX('Player Raw Data'!D:D,Match($A303,'Player Raw Data'!$B:$B,0))),"")</f>
        <v/>
      </c>
      <c r="E303" t="str">
        <f t="array" ref="E303">IFERROR(INDEX('Player Raw Data'!F:F,Match($A303,'Player Raw Data'!$B:$B,0)),"")</f>
        <v/>
      </c>
      <c r="F303" t="str">
        <f t="array" ref="F303">IFERROR(INDEX('Player Raw Data'!H:H,Match($A303,'Player Raw Data'!$B:$B,0)),"")</f>
        <v/>
      </c>
      <c r="G303" t="str">
        <f t="array" ref="G303">IFERROR(INDEX('Player Raw Data'!I:I,Match($A303,'Player Raw Data'!$B:$B,0)),"")</f>
        <v/>
      </c>
      <c r="H303" t="str">
        <f t="array" ref="H303">IFERROR(INDEX('Player Raw Data'!J:J,Match($A303,'Player Raw Data'!$B:$B,0)),"")</f>
        <v/>
      </c>
      <c r="I303" t="str">
        <f t="array" ref="I303">IFERROR(INDEX('Player Raw Data'!S:S,Match($A303,'Player Raw Data'!$B:$B,0)),"")</f>
        <v/>
      </c>
      <c r="J303" t="str">
        <f t="array" ref="J303">IFERROR(INDEX('Player Raw Data'!T:T,Match($A303,'Player Raw Data'!$B:$B,0)),"")</f>
        <v/>
      </c>
      <c r="K303" t="str">
        <f t="array" ref="K303">IFERROR(INDEX('Player Raw Data'!X:X,Match($A303,'Player Raw Data'!$B:$B,0)),"")</f>
        <v/>
      </c>
      <c r="L303" t="str">
        <f t="array" ref="L303">IFERROR(INDEX('Player Raw Data'!Y:Y,Match($A303,'Player Raw Data'!$B:$B,0)),"")</f>
        <v/>
      </c>
      <c r="M303" t="str">
        <f t="array" ref="M303">IFERROR(INDEX('Player Raw Data'!Z:Z,Match($A303,'Player Raw Data'!$B:$B,0)),"")</f>
        <v/>
      </c>
      <c r="N303" t="str">
        <f t="array" ref="N303">IFERROR(INDEX('Player Raw Data'!AA:AA,Match($A303,'Player Raw Data'!$B:$B,0)),"")</f>
        <v/>
      </c>
      <c r="O303" t="str">
        <f t="array" ref="O303">IFERROR(INDEX('Player Raw Data'!AB:AB,Match($A303,'Player Raw Data'!$B:$B,0)),"")</f>
        <v/>
      </c>
      <c r="P303" t="str">
        <f t="array" ref="P303">IFERROR(INDEX('Player Raw Data'!AD:AD,Match($A303,'Player Raw Data'!$B:$B,0)),"")</f>
        <v/>
      </c>
      <c r="Q303">
        <f t="shared" si="1"/>
        <v>0</v>
      </c>
      <c r="R303" s="9">
        <f t="shared" si="2"/>
        <v>0</v>
      </c>
      <c r="S303" s="14">
        <f t="shared" si="3"/>
        <v>0</v>
      </c>
      <c r="T303" s="15">
        <f>IFERROR(__xludf.DUMMYFUNCTION("IFERROR(PERCENTRANK.INC(FILTER(Q:Q,$F:$F&lt;&gt;""""),Q303)*100,"""")"),1.5)</f>
        <v>1.5</v>
      </c>
      <c r="U303" s="15">
        <f>IFERROR(__xludf.DUMMYFUNCTION("IFERROR(PERCENTRANK.INC(FILTER(R:R,$F:$F&lt;&gt;""""),R303)*100,"""")"),1.5)</f>
        <v>1.5</v>
      </c>
      <c r="V303" s="15">
        <f>IFERROR(__xludf.DUMMYFUNCTION("IFERROR(PERCENTRANK.INC(FILTER(S:S,$F:$F&lt;&gt;""""),S303)*100,"""")"),1.5)</f>
        <v>1.5</v>
      </c>
      <c r="W303" s="15" t="str">
        <f t="shared" si="4"/>
        <v/>
      </c>
      <c r="X303" s="16"/>
      <c r="Y303" s="9"/>
      <c r="Z303" s="9"/>
    </row>
    <row r="304">
      <c r="B304" t="str">
        <f t="array" ref="B304">IFERROR(INDEX('Player Raw Data'!E:E,Match($A304,'Player Raw Data'!$B:$B,0)),"")</f>
        <v/>
      </c>
      <c r="C304" t="str">
        <f t="array" ref="C304">IFERROR(INDEX('Player Raw Data'!C:C,Match($A304,'Player Raw Data'!$B:$B,0)),"")</f>
        <v/>
      </c>
      <c r="D304" t="str">
        <f t="array" ref="D304">IFERROR(IF(A304=A303, INDEX('Player Raw Data'!D:D,Match($A304,'Player Raw Data'!$B:$B,0)+2),INDEX('Player Raw Data'!D:D,Match($A304,'Player Raw Data'!$B:$B,0))),"")</f>
        <v/>
      </c>
      <c r="E304" t="str">
        <f t="array" ref="E304">IFERROR(INDEX('Player Raw Data'!F:F,Match($A304,'Player Raw Data'!$B:$B,0)),"")</f>
        <v/>
      </c>
      <c r="F304" t="str">
        <f t="array" ref="F304">IFERROR(INDEX('Player Raw Data'!H:H,Match($A304,'Player Raw Data'!$B:$B,0)),"")</f>
        <v/>
      </c>
      <c r="G304" t="str">
        <f t="array" ref="G304">IFERROR(INDEX('Player Raw Data'!I:I,Match($A304,'Player Raw Data'!$B:$B,0)),"")</f>
        <v/>
      </c>
      <c r="H304" t="str">
        <f t="array" ref="H304">IFERROR(INDEX('Player Raw Data'!J:J,Match($A304,'Player Raw Data'!$B:$B,0)),"")</f>
        <v/>
      </c>
      <c r="I304" t="str">
        <f t="array" ref="I304">IFERROR(INDEX('Player Raw Data'!S:S,Match($A304,'Player Raw Data'!$B:$B,0)),"")</f>
        <v/>
      </c>
      <c r="J304" t="str">
        <f t="array" ref="J304">IFERROR(INDEX('Player Raw Data'!T:T,Match($A304,'Player Raw Data'!$B:$B,0)),"")</f>
        <v/>
      </c>
      <c r="K304" t="str">
        <f t="array" ref="K304">IFERROR(INDEX('Player Raw Data'!X:X,Match($A304,'Player Raw Data'!$B:$B,0)),"")</f>
        <v/>
      </c>
      <c r="L304" t="str">
        <f t="array" ref="L304">IFERROR(INDEX('Player Raw Data'!Y:Y,Match($A304,'Player Raw Data'!$B:$B,0)),"")</f>
        <v/>
      </c>
      <c r="M304" t="str">
        <f t="array" ref="M304">IFERROR(INDEX('Player Raw Data'!Z:Z,Match($A304,'Player Raw Data'!$B:$B,0)),"")</f>
        <v/>
      </c>
      <c r="N304" t="str">
        <f t="array" ref="N304">IFERROR(INDEX('Player Raw Data'!AA:AA,Match($A304,'Player Raw Data'!$B:$B,0)),"")</f>
        <v/>
      </c>
      <c r="O304" t="str">
        <f t="array" ref="O304">IFERROR(INDEX('Player Raw Data'!AB:AB,Match($A304,'Player Raw Data'!$B:$B,0)),"")</f>
        <v/>
      </c>
      <c r="P304" t="str">
        <f t="array" ref="P304">IFERROR(INDEX('Player Raw Data'!AD:AD,Match($A304,'Player Raw Data'!$B:$B,0)),"")</f>
        <v/>
      </c>
      <c r="Q304">
        <f t="shared" si="1"/>
        <v>0</v>
      </c>
      <c r="R304" s="9">
        <f t="shared" si="2"/>
        <v>0</v>
      </c>
      <c r="S304" s="14">
        <f t="shared" si="3"/>
        <v>0</v>
      </c>
      <c r="T304" s="15">
        <f>IFERROR(__xludf.DUMMYFUNCTION("IFERROR(PERCENTRANK.INC(FILTER(Q:Q,$F:$F&lt;&gt;""""),Q304)*100,"""")"),1.5)</f>
        <v>1.5</v>
      </c>
      <c r="U304" s="15">
        <f>IFERROR(__xludf.DUMMYFUNCTION("IFERROR(PERCENTRANK.INC(FILTER(R:R,$F:$F&lt;&gt;""""),R304)*100,"""")"),1.5)</f>
        <v>1.5</v>
      </c>
      <c r="V304" s="15">
        <f>IFERROR(__xludf.DUMMYFUNCTION("IFERROR(PERCENTRANK.INC(FILTER(S:S,$F:$F&lt;&gt;""""),S304)*100,"""")"),1.5)</f>
        <v>1.5</v>
      </c>
      <c r="W304" s="15" t="str">
        <f t="shared" si="4"/>
        <v/>
      </c>
      <c r="X304" s="16"/>
      <c r="Y304" s="9"/>
      <c r="Z304" s="9"/>
    </row>
    <row r="305">
      <c r="B305" t="str">
        <f t="array" ref="B305">IFERROR(INDEX('Player Raw Data'!E:E,Match($A305,'Player Raw Data'!$B:$B,0)),"")</f>
        <v/>
      </c>
      <c r="C305" t="str">
        <f t="array" ref="C305">IFERROR(INDEX('Player Raw Data'!C:C,Match($A305,'Player Raw Data'!$B:$B,0)),"")</f>
        <v/>
      </c>
      <c r="D305" t="str">
        <f t="array" ref="D305">IFERROR(IF(A305=A304, INDEX('Player Raw Data'!D:D,Match($A305,'Player Raw Data'!$B:$B,0)+2),INDEX('Player Raw Data'!D:D,Match($A305,'Player Raw Data'!$B:$B,0))),"")</f>
        <v/>
      </c>
      <c r="E305" t="str">
        <f t="array" ref="E305">IFERROR(INDEX('Player Raw Data'!F:F,Match($A305,'Player Raw Data'!$B:$B,0)),"")</f>
        <v/>
      </c>
      <c r="F305" t="str">
        <f t="array" ref="F305">IFERROR(INDEX('Player Raw Data'!H:H,Match($A305,'Player Raw Data'!$B:$B,0)),"")</f>
        <v/>
      </c>
      <c r="G305" t="str">
        <f t="array" ref="G305">IFERROR(INDEX('Player Raw Data'!I:I,Match($A305,'Player Raw Data'!$B:$B,0)),"")</f>
        <v/>
      </c>
      <c r="H305" t="str">
        <f t="array" ref="H305">IFERROR(INDEX('Player Raw Data'!J:J,Match($A305,'Player Raw Data'!$B:$B,0)),"")</f>
        <v/>
      </c>
      <c r="I305" t="str">
        <f t="array" ref="I305">IFERROR(INDEX('Player Raw Data'!S:S,Match($A305,'Player Raw Data'!$B:$B,0)),"")</f>
        <v/>
      </c>
      <c r="J305" t="str">
        <f t="array" ref="J305">IFERROR(INDEX('Player Raw Data'!T:T,Match($A305,'Player Raw Data'!$B:$B,0)),"")</f>
        <v/>
      </c>
      <c r="K305" t="str">
        <f t="array" ref="K305">IFERROR(INDEX('Player Raw Data'!X:X,Match($A305,'Player Raw Data'!$B:$B,0)),"")</f>
        <v/>
      </c>
      <c r="L305" t="str">
        <f t="array" ref="L305">IFERROR(INDEX('Player Raw Data'!Y:Y,Match($A305,'Player Raw Data'!$B:$B,0)),"")</f>
        <v/>
      </c>
      <c r="M305" t="str">
        <f t="array" ref="M305">IFERROR(INDEX('Player Raw Data'!Z:Z,Match($A305,'Player Raw Data'!$B:$B,0)),"")</f>
        <v/>
      </c>
      <c r="N305" t="str">
        <f t="array" ref="N305">IFERROR(INDEX('Player Raw Data'!AA:AA,Match($A305,'Player Raw Data'!$B:$B,0)),"")</f>
        <v/>
      </c>
      <c r="O305" t="str">
        <f t="array" ref="O305">IFERROR(INDEX('Player Raw Data'!AB:AB,Match($A305,'Player Raw Data'!$B:$B,0)),"")</f>
        <v/>
      </c>
      <c r="P305" t="str">
        <f t="array" ref="P305">IFERROR(INDEX('Player Raw Data'!AD:AD,Match($A305,'Player Raw Data'!$B:$B,0)),"")</f>
        <v/>
      </c>
      <c r="Q305">
        <f t="shared" si="1"/>
        <v>0</v>
      </c>
      <c r="R305" s="9">
        <f t="shared" si="2"/>
        <v>0</v>
      </c>
      <c r="S305" s="14">
        <f t="shared" si="3"/>
        <v>0</v>
      </c>
      <c r="T305" s="15">
        <f>IFERROR(__xludf.DUMMYFUNCTION("IFERROR(PERCENTRANK.INC(FILTER(Q:Q,$F:$F&lt;&gt;""""),Q305)*100,"""")"),1.5)</f>
        <v>1.5</v>
      </c>
      <c r="U305" s="15">
        <f>IFERROR(__xludf.DUMMYFUNCTION("IFERROR(PERCENTRANK.INC(FILTER(R:R,$F:$F&lt;&gt;""""),R305)*100,"""")"),1.5)</f>
        <v>1.5</v>
      </c>
      <c r="V305" s="15">
        <f>IFERROR(__xludf.DUMMYFUNCTION("IFERROR(PERCENTRANK.INC(FILTER(S:S,$F:$F&lt;&gt;""""),S305)*100,"""")"),1.5)</f>
        <v>1.5</v>
      </c>
      <c r="W305" s="15" t="str">
        <f t="shared" si="4"/>
        <v/>
      </c>
      <c r="X305" s="16"/>
      <c r="Y305" s="9"/>
      <c r="Z305" s="9"/>
    </row>
    <row r="306">
      <c r="B306" t="str">
        <f t="array" ref="B306">IFERROR(INDEX('Player Raw Data'!E:E,Match($A306,'Player Raw Data'!$B:$B,0)),"")</f>
        <v/>
      </c>
      <c r="C306" t="str">
        <f t="array" ref="C306">IFERROR(INDEX('Player Raw Data'!C:C,Match($A306,'Player Raw Data'!$B:$B,0)),"")</f>
        <v/>
      </c>
      <c r="D306" t="str">
        <f t="array" ref="D306">IFERROR(IF(A306=A305, INDEX('Player Raw Data'!D:D,Match($A306,'Player Raw Data'!$B:$B,0)+2),INDEX('Player Raw Data'!D:D,Match($A306,'Player Raw Data'!$B:$B,0))),"")</f>
        <v/>
      </c>
      <c r="E306" t="str">
        <f t="array" ref="E306">IFERROR(INDEX('Player Raw Data'!F:F,Match($A306,'Player Raw Data'!$B:$B,0)),"")</f>
        <v/>
      </c>
      <c r="F306" t="str">
        <f t="array" ref="F306">IFERROR(INDEX('Player Raw Data'!H:H,Match($A306,'Player Raw Data'!$B:$B,0)),"")</f>
        <v/>
      </c>
      <c r="G306" t="str">
        <f t="array" ref="G306">IFERROR(INDEX('Player Raw Data'!I:I,Match($A306,'Player Raw Data'!$B:$B,0)),"")</f>
        <v/>
      </c>
      <c r="H306" t="str">
        <f t="array" ref="H306">IFERROR(INDEX('Player Raw Data'!J:J,Match($A306,'Player Raw Data'!$B:$B,0)),"")</f>
        <v/>
      </c>
      <c r="I306" t="str">
        <f t="array" ref="I306">IFERROR(INDEX('Player Raw Data'!S:S,Match($A306,'Player Raw Data'!$B:$B,0)),"")</f>
        <v/>
      </c>
      <c r="J306" t="str">
        <f t="array" ref="J306">IFERROR(INDEX('Player Raw Data'!T:T,Match($A306,'Player Raw Data'!$B:$B,0)),"")</f>
        <v/>
      </c>
      <c r="K306" t="str">
        <f t="array" ref="K306">IFERROR(INDEX('Player Raw Data'!X:X,Match($A306,'Player Raw Data'!$B:$B,0)),"")</f>
        <v/>
      </c>
      <c r="L306" t="str">
        <f t="array" ref="L306">IFERROR(INDEX('Player Raw Data'!Y:Y,Match($A306,'Player Raw Data'!$B:$B,0)),"")</f>
        <v/>
      </c>
      <c r="M306" t="str">
        <f t="array" ref="M306">IFERROR(INDEX('Player Raw Data'!Z:Z,Match($A306,'Player Raw Data'!$B:$B,0)),"")</f>
        <v/>
      </c>
      <c r="N306" t="str">
        <f t="array" ref="N306">IFERROR(INDEX('Player Raw Data'!AA:AA,Match($A306,'Player Raw Data'!$B:$B,0)),"")</f>
        <v/>
      </c>
      <c r="O306" t="str">
        <f t="array" ref="O306">IFERROR(INDEX('Player Raw Data'!AB:AB,Match($A306,'Player Raw Data'!$B:$B,0)),"")</f>
        <v/>
      </c>
      <c r="P306" t="str">
        <f t="array" ref="P306">IFERROR(INDEX('Player Raw Data'!AD:AD,Match($A306,'Player Raw Data'!$B:$B,0)),"")</f>
        <v/>
      </c>
      <c r="Q306">
        <f t="shared" si="1"/>
        <v>0</v>
      </c>
      <c r="R306" s="9">
        <f t="shared" si="2"/>
        <v>0</v>
      </c>
      <c r="S306" s="14">
        <f t="shared" si="3"/>
        <v>0</v>
      </c>
      <c r="T306" s="15">
        <f>IFERROR(__xludf.DUMMYFUNCTION("IFERROR(PERCENTRANK.INC(FILTER(Q:Q,$F:$F&lt;&gt;""""),Q306)*100,"""")"),1.5)</f>
        <v>1.5</v>
      </c>
      <c r="U306" s="15">
        <f>IFERROR(__xludf.DUMMYFUNCTION("IFERROR(PERCENTRANK.INC(FILTER(R:R,$F:$F&lt;&gt;""""),R306)*100,"""")"),1.5)</f>
        <v>1.5</v>
      </c>
      <c r="V306" s="15">
        <f>IFERROR(__xludf.DUMMYFUNCTION("IFERROR(PERCENTRANK.INC(FILTER(S:S,$F:$F&lt;&gt;""""),S306)*100,"""")"),1.5)</f>
        <v>1.5</v>
      </c>
      <c r="W306" s="15" t="str">
        <f t="shared" si="4"/>
        <v/>
      </c>
      <c r="X306" s="16"/>
      <c r="Y306" s="9"/>
      <c r="Z306" s="9"/>
    </row>
    <row r="307">
      <c r="B307" t="str">
        <f t="array" ref="B307">IFERROR(INDEX('Player Raw Data'!E:E,Match($A307,'Player Raw Data'!$B:$B,0)),"")</f>
        <v/>
      </c>
      <c r="C307" t="str">
        <f t="array" ref="C307">IFERROR(INDEX('Player Raw Data'!C:C,Match($A307,'Player Raw Data'!$B:$B,0)),"")</f>
        <v/>
      </c>
      <c r="D307" t="str">
        <f t="array" ref="D307">IFERROR(IF(A307=A306, INDEX('Player Raw Data'!D:D,Match($A307,'Player Raw Data'!$B:$B,0)+2),INDEX('Player Raw Data'!D:D,Match($A307,'Player Raw Data'!$B:$B,0))),"")</f>
        <v/>
      </c>
      <c r="E307" t="str">
        <f t="array" ref="E307">IFERROR(INDEX('Player Raw Data'!F:F,Match($A307,'Player Raw Data'!$B:$B,0)),"")</f>
        <v/>
      </c>
      <c r="F307" t="str">
        <f t="array" ref="F307">IFERROR(INDEX('Player Raw Data'!H:H,Match($A307,'Player Raw Data'!$B:$B,0)),"")</f>
        <v/>
      </c>
      <c r="G307" t="str">
        <f t="array" ref="G307">IFERROR(INDEX('Player Raw Data'!I:I,Match($A307,'Player Raw Data'!$B:$B,0)),"")</f>
        <v/>
      </c>
      <c r="H307" t="str">
        <f t="array" ref="H307">IFERROR(INDEX('Player Raw Data'!J:J,Match($A307,'Player Raw Data'!$B:$B,0)),"")</f>
        <v/>
      </c>
      <c r="I307" t="str">
        <f t="array" ref="I307">IFERROR(INDEX('Player Raw Data'!S:S,Match($A307,'Player Raw Data'!$B:$B,0)),"")</f>
        <v/>
      </c>
      <c r="J307" t="str">
        <f t="array" ref="J307">IFERROR(INDEX('Player Raw Data'!T:T,Match($A307,'Player Raw Data'!$B:$B,0)),"")</f>
        <v/>
      </c>
      <c r="K307" t="str">
        <f t="array" ref="K307">IFERROR(INDEX('Player Raw Data'!X:X,Match($A307,'Player Raw Data'!$B:$B,0)),"")</f>
        <v/>
      </c>
      <c r="L307" t="str">
        <f t="array" ref="L307">IFERROR(INDEX('Player Raw Data'!Y:Y,Match($A307,'Player Raw Data'!$B:$B,0)),"")</f>
        <v/>
      </c>
      <c r="M307" t="str">
        <f t="array" ref="M307">IFERROR(INDEX('Player Raw Data'!Z:Z,Match($A307,'Player Raw Data'!$B:$B,0)),"")</f>
        <v/>
      </c>
      <c r="N307" t="str">
        <f t="array" ref="N307">IFERROR(INDEX('Player Raw Data'!AA:AA,Match($A307,'Player Raw Data'!$B:$B,0)),"")</f>
        <v/>
      </c>
      <c r="O307" t="str">
        <f t="array" ref="O307">IFERROR(INDEX('Player Raw Data'!AB:AB,Match($A307,'Player Raw Data'!$B:$B,0)),"")</f>
        <v/>
      </c>
      <c r="P307" t="str">
        <f t="array" ref="P307">IFERROR(INDEX('Player Raw Data'!AD:AD,Match($A307,'Player Raw Data'!$B:$B,0)),"")</f>
        <v/>
      </c>
      <c r="Q307">
        <f t="shared" si="1"/>
        <v>0</v>
      </c>
      <c r="R307" s="9">
        <f t="shared" si="2"/>
        <v>0</v>
      </c>
      <c r="S307" s="14">
        <f t="shared" si="3"/>
        <v>0</v>
      </c>
      <c r="T307" s="15">
        <f>IFERROR(__xludf.DUMMYFUNCTION("IFERROR(PERCENTRANK.INC(FILTER(Q:Q,$F:$F&lt;&gt;""""),Q307)*100,"""")"),1.5)</f>
        <v>1.5</v>
      </c>
      <c r="U307" s="15">
        <f>IFERROR(__xludf.DUMMYFUNCTION("IFERROR(PERCENTRANK.INC(FILTER(R:R,$F:$F&lt;&gt;""""),R307)*100,"""")"),1.5)</f>
        <v>1.5</v>
      </c>
      <c r="V307" s="15">
        <f>IFERROR(__xludf.DUMMYFUNCTION("IFERROR(PERCENTRANK.INC(FILTER(S:S,$F:$F&lt;&gt;""""),S307)*100,"""")"),1.5)</f>
        <v>1.5</v>
      </c>
      <c r="W307" s="15" t="str">
        <f t="shared" si="4"/>
        <v/>
      </c>
      <c r="X307" s="16"/>
      <c r="Y307" s="9"/>
      <c r="Z307" s="9"/>
    </row>
    <row r="308">
      <c r="B308" t="str">
        <f t="array" ref="B308">IFERROR(INDEX('Player Raw Data'!E:E,Match($A308,'Player Raw Data'!$B:$B,0)),"")</f>
        <v/>
      </c>
      <c r="C308" t="str">
        <f t="array" ref="C308">IFERROR(INDEX('Player Raw Data'!C:C,Match($A308,'Player Raw Data'!$B:$B,0)),"")</f>
        <v/>
      </c>
      <c r="D308" t="str">
        <f t="array" ref="D308">IFERROR(IF(A308=A307, INDEX('Player Raw Data'!D:D,Match($A308,'Player Raw Data'!$B:$B,0)+2),INDEX('Player Raw Data'!D:D,Match($A308,'Player Raw Data'!$B:$B,0))),"")</f>
        <v/>
      </c>
      <c r="E308" t="str">
        <f t="array" ref="E308">IFERROR(INDEX('Player Raw Data'!F:F,Match($A308,'Player Raw Data'!$B:$B,0)),"")</f>
        <v/>
      </c>
      <c r="F308" t="str">
        <f t="array" ref="F308">IFERROR(INDEX('Player Raw Data'!H:H,Match($A308,'Player Raw Data'!$B:$B,0)),"")</f>
        <v/>
      </c>
      <c r="G308" t="str">
        <f t="array" ref="G308">IFERROR(INDEX('Player Raw Data'!I:I,Match($A308,'Player Raw Data'!$B:$B,0)),"")</f>
        <v/>
      </c>
      <c r="H308" t="str">
        <f t="array" ref="H308">IFERROR(INDEX('Player Raw Data'!J:J,Match($A308,'Player Raw Data'!$B:$B,0)),"")</f>
        <v/>
      </c>
      <c r="I308" t="str">
        <f t="array" ref="I308">IFERROR(INDEX('Player Raw Data'!S:S,Match($A308,'Player Raw Data'!$B:$B,0)),"")</f>
        <v/>
      </c>
      <c r="J308" t="str">
        <f t="array" ref="J308">IFERROR(INDEX('Player Raw Data'!T:T,Match($A308,'Player Raw Data'!$B:$B,0)),"")</f>
        <v/>
      </c>
      <c r="K308" t="str">
        <f t="array" ref="K308">IFERROR(INDEX('Player Raw Data'!X:X,Match($A308,'Player Raw Data'!$B:$B,0)),"")</f>
        <v/>
      </c>
      <c r="L308" t="str">
        <f t="array" ref="L308">IFERROR(INDEX('Player Raw Data'!Y:Y,Match($A308,'Player Raw Data'!$B:$B,0)),"")</f>
        <v/>
      </c>
      <c r="M308" t="str">
        <f t="array" ref="M308">IFERROR(INDEX('Player Raw Data'!Z:Z,Match($A308,'Player Raw Data'!$B:$B,0)),"")</f>
        <v/>
      </c>
      <c r="N308" t="str">
        <f t="array" ref="N308">IFERROR(INDEX('Player Raw Data'!AA:AA,Match($A308,'Player Raw Data'!$B:$B,0)),"")</f>
        <v/>
      </c>
      <c r="O308" t="str">
        <f t="array" ref="O308">IFERROR(INDEX('Player Raw Data'!AB:AB,Match($A308,'Player Raw Data'!$B:$B,0)),"")</f>
        <v/>
      </c>
      <c r="P308" t="str">
        <f t="array" ref="P308">IFERROR(INDEX('Player Raw Data'!AD:AD,Match($A308,'Player Raw Data'!$B:$B,0)),"")</f>
        <v/>
      </c>
      <c r="Q308">
        <f t="shared" si="1"/>
        <v>0</v>
      </c>
      <c r="R308" s="9">
        <f t="shared" si="2"/>
        <v>0</v>
      </c>
      <c r="S308" s="14">
        <f t="shared" si="3"/>
        <v>0</v>
      </c>
      <c r="T308" s="15">
        <f>IFERROR(__xludf.DUMMYFUNCTION("IFERROR(PERCENTRANK.INC(FILTER(Q:Q,$F:$F&lt;&gt;""""),Q308)*100,"""")"),1.5)</f>
        <v>1.5</v>
      </c>
      <c r="U308" s="15">
        <f>IFERROR(__xludf.DUMMYFUNCTION("IFERROR(PERCENTRANK.INC(FILTER(R:R,$F:$F&lt;&gt;""""),R308)*100,"""")"),1.5)</f>
        <v>1.5</v>
      </c>
      <c r="V308" s="15">
        <f>IFERROR(__xludf.DUMMYFUNCTION("IFERROR(PERCENTRANK.INC(FILTER(S:S,$F:$F&lt;&gt;""""),S308)*100,"""")"),1.5)</f>
        <v>1.5</v>
      </c>
      <c r="W308" s="15" t="str">
        <f t="shared" si="4"/>
        <v/>
      </c>
      <c r="X308" s="16"/>
      <c r="Y308" s="9"/>
      <c r="Z308" s="9"/>
    </row>
    <row r="309">
      <c r="B309" t="str">
        <f t="array" ref="B309">IFERROR(INDEX('Player Raw Data'!E:E,Match($A309,'Player Raw Data'!$B:$B,0)),"")</f>
        <v/>
      </c>
      <c r="C309" t="str">
        <f t="array" ref="C309">IFERROR(INDEX('Player Raw Data'!C:C,Match($A309,'Player Raw Data'!$B:$B,0)),"")</f>
        <v/>
      </c>
      <c r="D309" t="str">
        <f t="array" ref="D309">IFERROR(IF(A309=A308, INDEX('Player Raw Data'!D:D,Match($A309,'Player Raw Data'!$B:$B,0)+2),INDEX('Player Raw Data'!D:D,Match($A309,'Player Raw Data'!$B:$B,0))),"")</f>
        <v/>
      </c>
      <c r="E309" t="str">
        <f t="array" ref="E309">IFERROR(INDEX('Player Raw Data'!F:F,Match($A309,'Player Raw Data'!$B:$B,0)),"")</f>
        <v/>
      </c>
      <c r="F309" t="str">
        <f t="array" ref="F309">IFERROR(INDEX('Player Raw Data'!H:H,Match($A309,'Player Raw Data'!$B:$B,0)),"")</f>
        <v/>
      </c>
      <c r="G309" t="str">
        <f t="array" ref="G309">IFERROR(INDEX('Player Raw Data'!I:I,Match($A309,'Player Raw Data'!$B:$B,0)),"")</f>
        <v/>
      </c>
      <c r="H309" t="str">
        <f t="array" ref="H309">IFERROR(INDEX('Player Raw Data'!J:J,Match($A309,'Player Raw Data'!$B:$B,0)),"")</f>
        <v/>
      </c>
      <c r="I309" t="str">
        <f t="array" ref="I309">IFERROR(INDEX('Player Raw Data'!S:S,Match($A309,'Player Raw Data'!$B:$B,0)),"")</f>
        <v/>
      </c>
      <c r="J309" t="str">
        <f t="array" ref="J309">IFERROR(INDEX('Player Raw Data'!T:T,Match($A309,'Player Raw Data'!$B:$B,0)),"")</f>
        <v/>
      </c>
      <c r="K309" t="str">
        <f t="array" ref="K309">IFERROR(INDEX('Player Raw Data'!X:X,Match($A309,'Player Raw Data'!$B:$B,0)),"")</f>
        <v/>
      </c>
      <c r="L309" t="str">
        <f t="array" ref="L309">IFERROR(INDEX('Player Raw Data'!Y:Y,Match($A309,'Player Raw Data'!$B:$B,0)),"")</f>
        <v/>
      </c>
      <c r="M309" t="str">
        <f t="array" ref="M309">IFERROR(INDEX('Player Raw Data'!Z:Z,Match($A309,'Player Raw Data'!$B:$B,0)),"")</f>
        <v/>
      </c>
      <c r="N309" t="str">
        <f t="array" ref="N309">IFERROR(INDEX('Player Raw Data'!AA:AA,Match($A309,'Player Raw Data'!$B:$B,0)),"")</f>
        <v/>
      </c>
      <c r="O309" t="str">
        <f t="array" ref="O309">IFERROR(INDEX('Player Raw Data'!AB:AB,Match($A309,'Player Raw Data'!$B:$B,0)),"")</f>
        <v/>
      </c>
      <c r="P309" t="str">
        <f t="array" ref="P309">IFERROR(INDEX('Player Raw Data'!AD:AD,Match($A309,'Player Raw Data'!$B:$B,0)),"")</f>
        <v/>
      </c>
      <c r="Q309">
        <f t="shared" si="1"/>
        <v>0</v>
      </c>
      <c r="R309" s="9">
        <f t="shared" si="2"/>
        <v>0</v>
      </c>
      <c r="S309" s="14">
        <f t="shared" si="3"/>
        <v>0</v>
      </c>
      <c r="T309" s="15">
        <f>IFERROR(__xludf.DUMMYFUNCTION("IFERROR(PERCENTRANK.INC(FILTER(Q:Q,$F:$F&lt;&gt;""""),Q309)*100,"""")"),1.5)</f>
        <v>1.5</v>
      </c>
      <c r="U309" s="15">
        <f>IFERROR(__xludf.DUMMYFUNCTION("IFERROR(PERCENTRANK.INC(FILTER(R:R,$F:$F&lt;&gt;""""),R309)*100,"""")"),1.5)</f>
        <v>1.5</v>
      </c>
      <c r="V309" s="15">
        <f>IFERROR(__xludf.DUMMYFUNCTION("IFERROR(PERCENTRANK.INC(FILTER(S:S,$F:$F&lt;&gt;""""),S309)*100,"""")"),1.5)</f>
        <v>1.5</v>
      </c>
      <c r="W309" s="15" t="str">
        <f t="shared" si="4"/>
        <v/>
      </c>
      <c r="X309" s="16"/>
      <c r="Y309" s="9"/>
      <c r="Z309" s="9"/>
    </row>
    <row r="310">
      <c r="B310" t="str">
        <f t="array" ref="B310">IFERROR(INDEX('Player Raw Data'!E:E,Match($A310,'Player Raw Data'!$B:$B,0)),"")</f>
        <v/>
      </c>
      <c r="C310" t="str">
        <f t="array" ref="C310">IFERROR(INDEX('Player Raw Data'!C:C,Match($A310,'Player Raw Data'!$B:$B,0)),"")</f>
        <v/>
      </c>
      <c r="D310" t="str">
        <f t="array" ref="D310">IFERROR(IF(A310=A309, INDEX('Player Raw Data'!D:D,Match($A310,'Player Raw Data'!$B:$B,0)+2),INDEX('Player Raw Data'!D:D,Match($A310,'Player Raw Data'!$B:$B,0))),"")</f>
        <v/>
      </c>
      <c r="E310" t="str">
        <f t="array" ref="E310">IFERROR(INDEX('Player Raw Data'!F:F,Match($A310,'Player Raw Data'!$B:$B,0)),"")</f>
        <v/>
      </c>
      <c r="F310" t="str">
        <f t="array" ref="F310">IFERROR(INDEX('Player Raw Data'!H:H,Match($A310,'Player Raw Data'!$B:$B,0)),"")</f>
        <v/>
      </c>
      <c r="G310" t="str">
        <f t="array" ref="G310">IFERROR(INDEX('Player Raw Data'!I:I,Match($A310,'Player Raw Data'!$B:$B,0)),"")</f>
        <v/>
      </c>
      <c r="H310" t="str">
        <f t="array" ref="H310">IFERROR(INDEX('Player Raw Data'!J:J,Match($A310,'Player Raw Data'!$B:$B,0)),"")</f>
        <v/>
      </c>
      <c r="I310" t="str">
        <f t="array" ref="I310">IFERROR(INDEX('Player Raw Data'!S:S,Match($A310,'Player Raw Data'!$B:$B,0)),"")</f>
        <v/>
      </c>
      <c r="J310" t="str">
        <f t="array" ref="J310">IFERROR(INDEX('Player Raw Data'!T:T,Match($A310,'Player Raw Data'!$B:$B,0)),"")</f>
        <v/>
      </c>
      <c r="K310" t="str">
        <f t="array" ref="K310">IFERROR(INDEX('Player Raw Data'!X:X,Match($A310,'Player Raw Data'!$B:$B,0)),"")</f>
        <v/>
      </c>
      <c r="L310" t="str">
        <f t="array" ref="L310">IFERROR(INDEX('Player Raw Data'!Y:Y,Match($A310,'Player Raw Data'!$B:$B,0)),"")</f>
        <v/>
      </c>
      <c r="M310" t="str">
        <f t="array" ref="M310">IFERROR(INDEX('Player Raw Data'!Z:Z,Match($A310,'Player Raw Data'!$B:$B,0)),"")</f>
        <v/>
      </c>
      <c r="N310" t="str">
        <f t="array" ref="N310">IFERROR(INDEX('Player Raw Data'!AA:AA,Match($A310,'Player Raw Data'!$B:$B,0)),"")</f>
        <v/>
      </c>
      <c r="O310" t="str">
        <f t="array" ref="O310">IFERROR(INDEX('Player Raw Data'!AB:AB,Match($A310,'Player Raw Data'!$B:$B,0)),"")</f>
        <v/>
      </c>
      <c r="P310" t="str">
        <f t="array" ref="P310">IFERROR(INDEX('Player Raw Data'!AD:AD,Match($A310,'Player Raw Data'!$B:$B,0)),"")</f>
        <v/>
      </c>
      <c r="Q310">
        <f t="shared" si="1"/>
        <v>0</v>
      </c>
      <c r="R310" s="9">
        <f t="shared" si="2"/>
        <v>0</v>
      </c>
      <c r="S310" s="14">
        <f t="shared" si="3"/>
        <v>0</v>
      </c>
      <c r="T310" s="15">
        <f>IFERROR(__xludf.DUMMYFUNCTION("IFERROR(PERCENTRANK.INC(FILTER(Q:Q,$F:$F&lt;&gt;""""),Q310)*100,"""")"),1.5)</f>
        <v>1.5</v>
      </c>
      <c r="U310" s="15">
        <f>IFERROR(__xludf.DUMMYFUNCTION("IFERROR(PERCENTRANK.INC(FILTER(R:R,$F:$F&lt;&gt;""""),R310)*100,"""")"),1.5)</f>
        <v>1.5</v>
      </c>
      <c r="V310" s="15">
        <f>IFERROR(__xludf.DUMMYFUNCTION("IFERROR(PERCENTRANK.INC(FILTER(S:S,$F:$F&lt;&gt;""""),S310)*100,"""")"),1.5)</f>
        <v>1.5</v>
      </c>
      <c r="W310" s="15" t="str">
        <f t="shared" si="4"/>
        <v/>
      </c>
      <c r="X310" s="16"/>
      <c r="Y310" s="9"/>
      <c r="Z310" s="9"/>
    </row>
    <row r="311">
      <c r="B311" t="str">
        <f t="array" ref="B311">IFERROR(INDEX('Player Raw Data'!E:E,Match($A311,'Player Raw Data'!$B:$B,0)),"")</f>
        <v/>
      </c>
      <c r="C311" t="str">
        <f t="array" ref="C311">IFERROR(INDEX('Player Raw Data'!C:C,Match($A311,'Player Raw Data'!$B:$B,0)),"")</f>
        <v/>
      </c>
      <c r="D311" t="str">
        <f t="array" ref="D311">IFERROR(IF(A311=A310, INDEX('Player Raw Data'!D:D,Match($A311,'Player Raw Data'!$B:$B,0)+2),INDEX('Player Raw Data'!D:D,Match($A311,'Player Raw Data'!$B:$B,0))),"")</f>
        <v/>
      </c>
      <c r="E311" t="str">
        <f t="array" ref="E311">IFERROR(INDEX('Player Raw Data'!F:F,Match($A311,'Player Raw Data'!$B:$B,0)),"")</f>
        <v/>
      </c>
      <c r="F311" t="str">
        <f t="array" ref="F311">IFERROR(INDEX('Player Raw Data'!H:H,Match($A311,'Player Raw Data'!$B:$B,0)),"")</f>
        <v/>
      </c>
      <c r="G311" t="str">
        <f t="array" ref="G311">IFERROR(INDEX('Player Raw Data'!I:I,Match($A311,'Player Raw Data'!$B:$B,0)),"")</f>
        <v/>
      </c>
      <c r="H311" t="str">
        <f t="array" ref="H311">IFERROR(INDEX('Player Raw Data'!J:J,Match($A311,'Player Raw Data'!$B:$B,0)),"")</f>
        <v/>
      </c>
      <c r="I311" t="str">
        <f t="array" ref="I311">IFERROR(INDEX('Player Raw Data'!S:S,Match($A311,'Player Raw Data'!$B:$B,0)),"")</f>
        <v/>
      </c>
      <c r="J311" t="str">
        <f t="array" ref="J311">IFERROR(INDEX('Player Raw Data'!T:T,Match($A311,'Player Raw Data'!$B:$B,0)),"")</f>
        <v/>
      </c>
      <c r="K311" t="str">
        <f t="array" ref="K311">IFERROR(INDEX('Player Raw Data'!X:X,Match($A311,'Player Raw Data'!$B:$B,0)),"")</f>
        <v/>
      </c>
      <c r="L311" t="str">
        <f t="array" ref="L311">IFERROR(INDEX('Player Raw Data'!Y:Y,Match($A311,'Player Raw Data'!$B:$B,0)),"")</f>
        <v/>
      </c>
      <c r="M311" t="str">
        <f t="array" ref="M311">IFERROR(INDEX('Player Raw Data'!Z:Z,Match($A311,'Player Raw Data'!$B:$B,0)),"")</f>
        <v/>
      </c>
      <c r="N311" t="str">
        <f t="array" ref="N311">IFERROR(INDEX('Player Raw Data'!AA:AA,Match($A311,'Player Raw Data'!$B:$B,0)),"")</f>
        <v/>
      </c>
      <c r="O311" t="str">
        <f t="array" ref="O311">IFERROR(INDEX('Player Raw Data'!AB:AB,Match($A311,'Player Raw Data'!$B:$B,0)),"")</f>
        <v/>
      </c>
      <c r="P311" t="str">
        <f t="array" ref="P311">IFERROR(INDEX('Player Raw Data'!AD:AD,Match($A311,'Player Raw Data'!$B:$B,0)),"")</f>
        <v/>
      </c>
      <c r="Q311">
        <f t="shared" si="1"/>
        <v>0</v>
      </c>
      <c r="R311" s="9">
        <f t="shared" si="2"/>
        <v>0</v>
      </c>
      <c r="S311" s="14">
        <f t="shared" si="3"/>
        <v>0</v>
      </c>
      <c r="T311" s="15">
        <f>IFERROR(__xludf.DUMMYFUNCTION("IFERROR(PERCENTRANK.INC(FILTER(Q:Q,$F:$F&lt;&gt;""""),Q311)*100,"""")"),1.5)</f>
        <v>1.5</v>
      </c>
      <c r="U311" s="15">
        <f>IFERROR(__xludf.DUMMYFUNCTION("IFERROR(PERCENTRANK.INC(FILTER(R:R,$F:$F&lt;&gt;""""),R311)*100,"""")"),1.5)</f>
        <v>1.5</v>
      </c>
      <c r="V311" s="15">
        <f>IFERROR(__xludf.DUMMYFUNCTION("IFERROR(PERCENTRANK.INC(FILTER(S:S,$F:$F&lt;&gt;""""),S311)*100,"""")"),1.5)</f>
        <v>1.5</v>
      </c>
      <c r="W311" s="15" t="str">
        <f t="shared" si="4"/>
        <v/>
      </c>
      <c r="X311" s="16"/>
      <c r="Y311" s="9"/>
      <c r="Z311" s="9"/>
    </row>
    <row r="312">
      <c r="B312" t="str">
        <f t="array" ref="B312">IFERROR(INDEX('Player Raw Data'!E:E,Match($A312,'Player Raw Data'!$B:$B,0)),"")</f>
        <v/>
      </c>
      <c r="C312" t="str">
        <f t="array" ref="C312">IFERROR(INDEX('Player Raw Data'!C:C,Match($A312,'Player Raw Data'!$B:$B,0)),"")</f>
        <v/>
      </c>
      <c r="D312" t="str">
        <f t="array" ref="D312">IFERROR(IF(A312=A311, INDEX('Player Raw Data'!D:D,Match($A312,'Player Raw Data'!$B:$B,0)+2),INDEX('Player Raw Data'!D:D,Match($A312,'Player Raw Data'!$B:$B,0))),"")</f>
        <v/>
      </c>
      <c r="E312" t="str">
        <f t="array" ref="E312">IFERROR(INDEX('Player Raw Data'!F:F,Match($A312,'Player Raw Data'!$B:$B,0)),"")</f>
        <v/>
      </c>
      <c r="F312" t="str">
        <f t="array" ref="F312">IFERROR(INDEX('Player Raw Data'!H:H,Match($A312,'Player Raw Data'!$B:$B,0)),"")</f>
        <v/>
      </c>
      <c r="G312" t="str">
        <f t="array" ref="G312">IFERROR(INDEX('Player Raw Data'!I:I,Match($A312,'Player Raw Data'!$B:$B,0)),"")</f>
        <v/>
      </c>
      <c r="H312" t="str">
        <f t="array" ref="H312">IFERROR(INDEX('Player Raw Data'!J:J,Match($A312,'Player Raw Data'!$B:$B,0)),"")</f>
        <v/>
      </c>
      <c r="I312" t="str">
        <f t="array" ref="I312">IFERROR(INDEX('Player Raw Data'!S:S,Match($A312,'Player Raw Data'!$B:$B,0)),"")</f>
        <v/>
      </c>
      <c r="J312" t="str">
        <f t="array" ref="J312">IFERROR(INDEX('Player Raw Data'!T:T,Match($A312,'Player Raw Data'!$B:$B,0)),"")</f>
        <v/>
      </c>
      <c r="K312" t="str">
        <f t="array" ref="K312">IFERROR(INDEX('Player Raw Data'!X:X,Match($A312,'Player Raw Data'!$B:$B,0)),"")</f>
        <v/>
      </c>
      <c r="L312" t="str">
        <f t="array" ref="L312">IFERROR(INDEX('Player Raw Data'!Y:Y,Match($A312,'Player Raw Data'!$B:$B,0)),"")</f>
        <v/>
      </c>
      <c r="M312" t="str">
        <f t="array" ref="M312">IFERROR(INDEX('Player Raw Data'!Z:Z,Match($A312,'Player Raw Data'!$B:$B,0)),"")</f>
        <v/>
      </c>
      <c r="N312" t="str">
        <f t="array" ref="N312">IFERROR(INDEX('Player Raw Data'!AA:AA,Match($A312,'Player Raw Data'!$B:$B,0)),"")</f>
        <v/>
      </c>
      <c r="O312" t="str">
        <f t="array" ref="O312">IFERROR(INDEX('Player Raw Data'!AB:AB,Match($A312,'Player Raw Data'!$B:$B,0)),"")</f>
        <v/>
      </c>
      <c r="P312" t="str">
        <f t="array" ref="P312">IFERROR(INDEX('Player Raw Data'!AD:AD,Match($A312,'Player Raw Data'!$B:$B,0)),"")</f>
        <v/>
      </c>
      <c r="Q312">
        <f t="shared" si="1"/>
        <v>0</v>
      </c>
      <c r="R312" s="9">
        <f t="shared" si="2"/>
        <v>0</v>
      </c>
      <c r="S312" s="14">
        <f t="shared" si="3"/>
        <v>0</v>
      </c>
      <c r="T312" s="15">
        <f>IFERROR(__xludf.DUMMYFUNCTION("IFERROR(PERCENTRANK.INC(FILTER(Q:Q,$F:$F&lt;&gt;""""),Q312)*100,"""")"),1.5)</f>
        <v>1.5</v>
      </c>
      <c r="U312" s="15">
        <f>IFERROR(__xludf.DUMMYFUNCTION("IFERROR(PERCENTRANK.INC(FILTER(R:R,$F:$F&lt;&gt;""""),R312)*100,"""")"),1.5)</f>
        <v>1.5</v>
      </c>
      <c r="V312" s="15">
        <f>IFERROR(__xludf.DUMMYFUNCTION("IFERROR(PERCENTRANK.INC(FILTER(S:S,$F:$F&lt;&gt;""""),S312)*100,"""")"),1.5)</f>
        <v>1.5</v>
      </c>
      <c r="W312" s="15" t="str">
        <f t="shared" si="4"/>
        <v/>
      </c>
      <c r="X312" s="16"/>
      <c r="Y312" s="9"/>
      <c r="Z312" s="9"/>
    </row>
    <row r="313">
      <c r="B313" t="str">
        <f t="array" ref="B313">IFERROR(INDEX('Player Raw Data'!E:E,Match($A313,'Player Raw Data'!$B:$B,0)),"")</f>
        <v/>
      </c>
      <c r="C313" t="str">
        <f t="array" ref="C313">IFERROR(INDEX('Player Raw Data'!C:C,Match($A313,'Player Raw Data'!$B:$B,0)),"")</f>
        <v/>
      </c>
      <c r="D313" t="str">
        <f t="array" ref="D313">IFERROR(IF(A313=A312, INDEX('Player Raw Data'!D:D,Match($A313,'Player Raw Data'!$B:$B,0)+2),INDEX('Player Raw Data'!D:D,Match($A313,'Player Raw Data'!$B:$B,0))),"")</f>
        <v/>
      </c>
      <c r="E313" t="str">
        <f t="array" ref="E313">IFERROR(INDEX('Player Raw Data'!F:F,Match($A313,'Player Raw Data'!$B:$B,0)),"")</f>
        <v/>
      </c>
      <c r="F313" t="str">
        <f t="array" ref="F313">IFERROR(INDEX('Player Raw Data'!H:H,Match($A313,'Player Raw Data'!$B:$B,0)),"")</f>
        <v/>
      </c>
      <c r="G313" t="str">
        <f t="array" ref="G313">IFERROR(INDEX('Player Raw Data'!I:I,Match($A313,'Player Raw Data'!$B:$B,0)),"")</f>
        <v/>
      </c>
      <c r="H313" t="str">
        <f t="array" ref="H313">IFERROR(INDEX('Player Raw Data'!J:J,Match($A313,'Player Raw Data'!$B:$B,0)),"")</f>
        <v/>
      </c>
      <c r="I313" t="str">
        <f t="array" ref="I313">IFERROR(INDEX('Player Raw Data'!S:S,Match($A313,'Player Raw Data'!$B:$B,0)),"")</f>
        <v/>
      </c>
      <c r="J313" t="str">
        <f t="array" ref="J313">IFERROR(INDEX('Player Raw Data'!T:T,Match($A313,'Player Raw Data'!$B:$B,0)),"")</f>
        <v/>
      </c>
      <c r="K313" t="str">
        <f t="array" ref="K313">IFERROR(INDEX('Player Raw Data'!X:X,Match($A313,'Player Raw Data'!$B:$B,0)),"")</f>
        <v/>
      </c>
      <c r="L313" t="str">
        <f t="array" ref="L313">IFERROR(INDEX('Player Raw Data'!Y:Y,Match($A313,'Player Raw Data'!$B:$B,0)),"")</f>
        <v/>
      </c>
      <c r="M313" t="str">
        <f t="array" ref="M313">IFERROR(INDEX('Player Raw Data'!Z:Z,Match($A313,'Player Raw Data'!$B:$B,0)),"")</f>
        <v/>
      </c>
      <c r="N313" t="str">
        <f t="array" ref="N313">IFERROR(INDEX('Player Raw Data'!AA:AA,Match($A313,'Player Raw Data'!$B:$B,0)),"")</f>
        <v/>
      </c>
      <c r="O313" t="str">
        <f t="array" ref="O313">IFERROR(INDEX('Player Raw Data'!AB:AB,Match($A313,'Player Raw Data'!$B:$B,0)),"")</f>
        <v/>
      </c>
      <c r="P313" t="str">
        <f t="array" ref="P313">IFERROR(INDEX('Player Raw Data'!AD:AD,Match($A313,'Player Raw Data'!$B:$B,0)),"")</f>
        <v/>
      </c>
      <c r="Q313">
        <f t="shared" si="1"/>
        <v>0</v>
      </c>
      <c r="R313" s="9">
        <f t="shared" si="2"/>
        <v>0</v>
      </c>
      <c r="S313" s="14">
        <f t="shared" si="3"/>
        <v>0</v>
      </c>
      <c r="T313" s="15">
        <f>IFERROR(__xludf.DUMMYFUNCTION("IFERROR(PERCENTRANK.INC(FILTER(Q:Q,$F:$F&lt;&gt;""""),Q313)*100,"""")"),1.5)</f>
        <v>1.5</v>
      </c>
      <c r="U313" s="15">
        <f>IFERROR(__xludf.DUMMYFUNCTION("IFERROR(PERCENTRANK.INC(FILTER(R:R,$F:$F&lt;&gt;""""),R313)*100,"""")"),1.5)</f>
        <v>1.5</v>
      </c>
      <c r="V313" s="15">
        <f>IFERROR(__xludf.DUMMYFUNCTION("IFERROR(PERCENTRANK.INC(FILTER(S:S,$F:$F&lt;&gt;""""),S313)*100,"""")"),1.5)</f>
        <v>1.5</v>
      </c>
      <c r="W313" s="15" t="str">
        <f t="shared" si="4"/>
        <v/>
      </c>
      <c r="X313" s="16"/>
      <c r="Y313" s="9"/>
      <c r="Z313" s="9"/>
    </row>
    <row r="314">
      <c r="B314" t="str">
        <f t="array" ref="B314">IFERROR(INDEX('Player Raw Data'!E:E,Match($A314,'Player Raw Data'!$B:$B,0)),"")</f>
        <v/>
      </c>
      <c r="C314" t="str">
        <f t="array" ref="C314">IFERROR(INDEX('Player Raw Data'!C:C,Match($A314,'Player Raw Data'!$B:$B,0)),"")</f>
        <v/>
      </c>
      <c r="D314" t="str">
        <f t="array" ref="D314">IFERROR(IF(A314=A313, INDEX('Player Raw Data'!D:D,Match($A314,'Player Raw Data'!$B:$B,0)+2),INDEX('Player Raw Data'!D:D,Match($A314,'Player Raw Data'!$B:$B,0))),"")</f>
        <v/>
      </c>
      <c r="E314" t="str">
        <f t="array" ref="E314">IFERROR(INDEX('Player Raw Data'!F:F,Match($A314,'Player Raw Data'!$B:$B,0)),"")</f>
        <v/>
      </c>
      <c r="F314" t="str">
        <f t="array" ref="F314">IFERROR(INDEX('Player Raw Data'!H:H,Match($A314,'Player Raw Data'!$B:$B,0)),"")</f>
        <v/>
      </c>
      <c r="G314" t="str">
        <f t="array" ref="G314">IFERROR(INDEX('Player Raw Data'!I:I,Match($A314,'Player Raw Data'!$B:$B,0)),"")</f>
        <v/>
      </c>
      <c r="H314" t="str">
        <f t="array" ref="H314">IFERROR(INDEX('Player Raw Data'!J:J,Match($A314,'Player Raw Data'!$B:$B,0)),"")</f>
        <v/>
      </c>
      <c r="I314" t="str">
        <f t="array" ref="I314">IFERROR(INDEX('Player Raw Data'!S:S,Match($A314,'Player Raw Data'!$B:$B,0)),"")</f>
        <v/>
      </c>
      <c r="J314" t="str">
        <f t="array" ref="J314">IFERROR(INDEX('Player Raw Data'!T:T,Match($A314,'Player Raw Data'!$B:$B,0)),"")</f>
        <v/>
      </c>
      <c r="K314" t="str">
        <f t="array" ref="K314">IFERROR(INDEX('Player Raw Data'!X:X,Match($A314,'Player Raw Data'!$B:$B,0)),"")</f>
        <v/>
      </c>
      <c r="L314" t="str">
        <f t="array" ref="L314">IFERROR(INDEX('Player Raw Data'!Y:Y,Match($A314,'Player Raw Data'!$B:$B,0)),"")</f>
        <v/>
      </c>
      <c r="M314" t="str">
        <f t="array" ref="M314">IFERROR(INDEX('Player Raw Data'!Z:Z,Match($A314,'Player Raw Data'!$B:$B,0)),"")</f>
        <v/>
      </c>
      <c r="N314" t="str">
        <f t="array" ref="N314">IFERROR(INDEX('Player Raw Data'!AA:AA,Match($A314,'Player Raw Data'!$B:$B,0)),"")</f>
        <v/>
      </c>
      <c r="O314" t="str">
        <f t="array" ref="O314">IFERROR(INDEX('Player Raw Data'!AB:AB,Match($A314,'Player Raw Data'!$B:$B,0)),"")</f>
        <v/>
      </c>
      <c r="P314" t="str">
        <f t="array" ref="P314">IFERROR(INDEX('Player Raw Data'!AD:AD,Match($A314,'Player Raw Data'!$B:$B,0)),"")</f>
        <v/>
      </c>
      <c r="Q314">
        <f t="shared" si="1"/>
        <v>0</v>
      </c>
      <c r="R314" s="9">
        <f t="shared" si="2"/>
        <v>0</v>
      </c>
      <c r="S314" s="14">
        <f t="shared" si="3"/>
        <v>0</v>
      </c>
      <c r="T314" s="15">
        <f>IFERROR(__xludf.DUMMYFUNCTION("IFERROR(PERCENTRANK.INC(FILTER(Q:Q,$F:$F&lt;&gt;""""),Q314)*100,"""")"),1.5)</f>
        <v>1.5</v>
      </c>
      <c r="U314" s="15">
        <f>IFERROR(__xludf.DUMMYFUNCTION("IFERROR(PERCENTRANK.INC(FILTER(R:R,$F:$F&lt;&gt;""""),R314)*100,"""")"),1.5)</f>
        <v>1.5</v>
      </c>
      <c r="V314" s="15">
        <f>IFERROR(__xludf.DUMMYFUNCTION("IFERROR(PERCENTRANK.INC(FILTER(S:S,$F:$F&lt;&gt;""""),S314)*100,"""")"),1.5)</f>
        <v>1.5</v>
      </c>
      <c r="W314" s="15" t="str">
        <f t="shared" si="4"/>
        <v/>
      </c>
      <c r="X314" s="16"/>
      <c r="Y314" s="9"/>
      <c r="Z314" s="9"/>
    </row>
    <row r="315">
      <c r="B315" t="str">
        <f t="array" ref="B315">IFERROR(INDEX('Player Raw Data'!E:E,Match($A315,'Player Raw Data'!$B:$B,0)),"")</f>
        <v/>
      </c>
      <c r="C315" t="str">
        <f t="array" ref="C315">IFERROR(INDEX('Player Raw Data'!C:C,Match($A315,'Player Raw Data'!$B:$B,0)),"")</f>
        <v/>
      </c>
      <c r="D315" t="str">
        <f t="array" ref="D315">IFERROR(IF(A315=A314, INDEX('Player Raw Data'!D:D,Match($A315,'Player Raw Data'!$B:$B,0)+2),INDEX('Player Raw Data'!D:D,Match($A315,'Player Raw Data'!$B:$B,0))),"")</f>
        <v/>
      </c>
      <c r="E315" t="str">
        <f t="array" ref="E315">IFERROR(INDEX('Player Raw Data'!F:F,Match($A315,'Player Raw Data'!$B:$B,0)),"")</f>
        <v/>
      </c>
      <c r="F315" t="str">
        <f t="array" ref="F315">IFERROR(INDEX('Player Raw Data'!H:H,Match($A315,'Player Raw Data'!$B:$B,0)),"")</f>
        <v/>
      </c>
      <c r="G315" t="str">
        <f t="array" ref="G315">IFERROR(INDEX('Player Raw Data'!I:I,Match($A315,'Player Raw Data'!$B:$B,0)),"")</f>
        <v/>
      </c>
      <c r="H315" t="str">
        <f t="array" ref="H315">IFERROR(INDEX('Player Raw Data'!J:J,Match($A315,'Player Raw Data'!$B:$B,0)),"")</f>
        <v/>
      </c>
      <c r="I315" t="str">
        <f t="array" ref="I315">IFERROR(INDEX('Player Raw Data'!S:S,Match($A315,'Player Raw Data'!$B:$B,0)),"")</f>
        <v/>
      </c>
      <c r="J315" t="str">
        <f t="array" ref="J315">IFERROR(INDEX('Player Raw Data'!T:T,Match($A315,'Player Raw Data'!$B:$B,0)),"")</f>
        <v/>
      </c>
      <c r="K315" t="str">
        <f t="array" ref="K315">IFERROR(INDEX('Player Raw Data'!X:X,Match($A315,'Player Raw Data'!$B:$B,0)),"")</f>
        <v/>
      </c>
      <c r="L315" t="str">
        <f t="array" ref="L315">IFERROR(INDEX('Player Raw Data'!Y:Y,Match($A315,'Player Raw Data'!$B:$B,0)),"")</f>
        <v/>
      </c>
      <c r="M315" t="str">
        <f t="array" ref="M315">IFERROR(INDEX('Player Raw Data'!Z:Z,Match($A315,'Player Raw Data'!$B:$B,0)),"")</f>
        <v/>
      </c>
      <c r="N315" t="str">
        <f t="array" ref="N315">IFERROR(INDEX('Player Raw Data'!AA:AA,Match($A315,'Player Raw Data'!$B:$B,0)),"")</f>
        <v/>
      </c>
      <c r="O315" t="str">
        <f t="array" ref="O315">IFERROR(INDEX('Player Raw Data'!AB:AB,Match($A315,'Player Raw Data'!$B:$B,0)),"")</f>
        <v/>
      </c>
      <c r="P315" t="str">
        <f t="array" ref="P315">IFERROR(INDEX('Player Raw Data'!AD:AD,Match($A315,'Player Raw Data'!$B:$B,0)),"")</f>
        <v/>
      </c>
      <c r="Q315">
        <f t="shared" si="1"/>
        <v>0</v>
      </c>
      <c r="R315" s="9">
        <f t="shared" si="2"/>
        <v>0</v>
      </c>
      <c r="S315" s="14">
        <f t="shared" si="3"/>
        <v>0</v>
      </c>
      <c r="T315" s="15">
        <f>IFERROR(__xludf.DUMMYFUNCTION("IFERROR(PERCENTRANK.INC(FILTER(Q:Q,$F:$F&lt;&gt;""""),Q315)*100,"""")"),1.5)</f>
        <v>1.5</v>
      </c>
      <c r="U315" s="15">
        <f>IFERROR(__xludf.DUMMYFUNCTION("IFERROR(PERCENTRANK.INC(FILTER(R:R,$F:$F&lt;&gt;""""),R315)*100,"""")"),1.5)</f>
        <v>1.5</v>
      </c>
      <c r="V315" s="15">
        <f>IFERROR(__xludf.DUMMYFUNCTION("IFERROR(PERCENTRANK.INC(FILTER(S:S,$F:$F&lt;&gt;""""),S315)*100,"""")"),1.5)</f>
        <v>1.5</v>
      </c>
      <c r="W315" s="15" t="str">
        <f t="shared" si="4"/>
        <v/>
      </c>
      <c r="X315" s="16"/>
      <c r="Y315" s="9"/>
      <c r="Z315" s="9"/>
    </row>
    <row r="316">
      <c r="B316" t="str">
        <f t="array" ref="B316">IFERROR(INDEX('Player Raw Data'!E:E,Match($A316,'Player Raw Data'!$B:$B,0)),"")</f>
        <v/>
      </c>
      <c r="C316" t="str">
        <f t="array" ref="C316">IFERROR(INDEX('Player Raw Data'!C:C,Match($A316,'Player Raw Data'!$B:$B,0)),"")</f>
        <v/>
      </c>
      <c r="D316" t="str">
        <f t="array" ref="D316">IFERROR(IF(A316=A315, INDEX('Player Raw Data'!D:D,Match($A316,'Player Raw Data'!$B:$B,0)+2),INDEX('Player Raw Data'!D:D,Match($A316,'Player Raw Data'!$B:$B,0))),"")</f>
        <v/>
      </c>
      <c r="E316" t="str">
        <f t="array" ref="E316">IFERROR(INDEX('Player Raw Data'!F:F,Match($A316,'Player Raw Data'!$B:$B,0)),"")</f>
        <v/>
      </c>
      <c r="F316" t="str">
        <f t="array" ref="F316">IFERROR(INDEX('Player Raw Data'!H:H,Match($A316,'Player Raw Data'!$B:$B,0)),"")</f>
        <v/>
      </c>
      <c r="G316" t="str">
        <f t="array" ref="G316">IFERROR(INDEX('Player Raw Data'!I:I,Match($A316,'Player Raw Data'!$B:$B,0)),"")</f>
        <v/>
      </c>
      <c r="H316" t="str">
        <f t="array" ref="H316">IFERROR(INDEX('Player Raw Data'!J:J,Match($A316,'Player Raw Data'!$B:$B,0)),"")</f>
        <v/>
      </c>
      <c r="I316" t="str">
        <f t="array" ref="I316">IFERROR(INDEX('Player Raw Data'!S:S,Match($A316,'Player Raw Data'!$B:$B,0)),"")</f>
        <v/>
      </c>
      <c r="J316" t="str">
        <f t="array" ref="J316">IFERROR(INDEX('Player Raw Data'!T:T,Match($A316,'Player Raw Data'!$B:$B,0)),"")</f>
        <v/>
      </c>
      <c r="K316" t="str">
        <f t="array" ref="K316">IFERROR(INDEX('Player Raw Data'!X:X,Match($A316,'Player Raw Data'!$B:$B,0)),"")</f>
        <v/>
      </c>
      <c r="L316" t="str">
        <f t="array" ref="L316">IFERROR(INDEX('Player Raw Data'!Y:Y,Match($A316,'Player Raw Data'!$B:$B,0)),"")</f>
        <v/>
      </c>
      <c r="M316" t="str">
        <f t="array" ref="M316">IFERROR(INDEX('Player Raw Data'!Z:Z,Match($A316,'Player Raw Data'!$B:$B,0)),"")</f>
        <v/>
      </c>
      <c r="N316" t="str">
        <f t="array" ref="N316">IFERROR(INDEX('Player Raw Data'!AA:AA,Match($A316,'Player Raw Data'!$B:$B,0)),"")</f>
        <v/>
      </c>
      <c r="O316" t="str">
        <f t="array" ref="O316">IFERROR(INDEX('Player Raw Data'!AB:AB,Match($A316,'Player Raw Data'!$B:$B,0)),"")</f>
        <v/>
      </c>
      <c r="P316" t="str">
        <f t="array" ref="P316">IFERROR(INDEX('Player Raw Data'!AD:AD,Match($A316,'Player Raw Data'!$B:$B,0)),"")</f>
        <v/>
      </c>
      <c r="Q316">
        <f t="shared" si="1"/>
        <v>0</v>
      </c>
      <c r="R316" s="9">
        <f t="shared" si="2"/>
        <v>0</v>
      </c>
      <c r="S316" s="14">
        <f t="shared" si="3"/>
        <v>0</v>
      </c>
      <c r="T316" s="15">
        <f>IFERROR(__xludf.DUMMYFUNCTION("IFERROR(PERCENTRANK.INC(FILTER(Q:Q,$F:$F&lt;&gt;""""),Q316)*100,"""")"),1.5)</f>
        <v>1.5</v>
      </c>
      <c r="U316" s="15">
        <f>IFERROR(__xludf.DUMMYFUNCTION("IFERROR(PERCENTRANK.INC(FILTER(R:R,$F:$F&lt;&gt;""""),R316)*100,"""")"),1.5)</f>
        <v>1.5</v>
      </c>
      <c r="V316" s="15">
        <f>IFERROR(__xludf.DUMMYFUNCTION("IFERROR(PERCENTRANK.INC(FILTER(S:S,$F:$F&lt;&gt;""""),S316)*100,"""")"),1.5)</f>
        <v>1.5</v>
      </c>
      <c r="W316" s="15" t="str">
        <f t="shared" si="4"/>
        <v/>
      </c>
      <c r="X316" s="16"/>
      <c r="Y316" s="9"/>
      <c r="Z316" s="9"/>
    </row>
    <row r="317">
      <c r="B317" t="str">
        <f t="array" ref="B317">IFERROR(INDEX('Player Raw Data'!E:E,Match($A317,'Player Raw Data'!$B:$B,0)),"")</f>
        <v/>
      </c>
      <c r="C317" t="str">
        <f t="array" ref="C317">IFERROR(INDEX('Player Raw Data'!C:C,Match($A317,'Player Raw Data'!$B:$B,0)),"")</f>
        <v/>
      </c>
      <c r="D317" t="str">
        <f t="array" ref="D317">IFERROR(IF(A317=A316, INDEX('Player Raw Data'!D:D,Match($A317,'Player Raw Data'!$B:$B,0)+2),INDEX('Player Raw Data'!D:D,Match($A317,'Player Raw Data'!$B:$B,0))),"")</f>
        <v/>
      </c>
      <c r="E317" t="str">
        <f t="array" ref="E317">IFERROR(INDEX('Player Raw Data'!F:F,Match($A317,'Player Raw Data'!$B:$B,0)),"")</f>
        <v/>
      </c>
      <c r="F317" t="str">
        <f t="array" ref="F317">IFERROR(INDEX('Player Raw Data'!H:H,Match($A317,'Player Raw Data'!$B:$B,0)),"")</f>
        <v/>
      </c>
      <c r="G317" t="str">
        <f t="array" ref="G317">IFERROR(INDEX('Player Raw Data'!I:I,Match($A317,'Player Raw Data'!$B:$B,0)),"")</f>
        <v/>
      </c>
      <c r="H317" t="str">
        <f t="array" ref="H317">IFERROR(INDEX('Player Raw Data'!J:J,Match($A317,'Player Raw Data'!$B:$B,0)),"")</f>
        <v/>
      </c>
      <c r="I317" t="str">
        <f t="array" ref="I317">IFERROR(INDEX('Player Raw Data'!S:S,Match($A317,'Player Raw Data'!$B:$B,0)),"")</f>
        <v/>
      </c>
      <c r="J317" t="str">
        <f t="array" ref="J317">IFERROR(INDEX('Player Raw Data'!T:T,Match($A317,'Player Raw Data'!$B:$B,0)),"")</f>
        <v/>
      </c>
      <c r="K317" t="str">
        <f t="array" ref="K317">IFERROR(INDEX('Player Raw Data'!X:X,Match($A317,'Player Raw Data'!$B:$B,0)),"")</f>
        <v/>
      </c>
      <c r="L317" t="str">
        <f t="array" ref="L317">IFERROR(INDEX('Player Raw Data'!Y:Y,Match($A317,'Player Raw Data'!$B:$B,0)),"")</f>
        <v/>
      </c>
      <c r="M317" t="str">
        <f t="array" ref="M317">IFERROR(INDEX('Player Raw Data'!Z:Z,Match($A317,'Player Raw Data'!$B:$B,0)),"")</f>
        <v/>
      </c>
      <c r="N317" t="str">
        <f t="array" ref="N317">IFERROR(INDEX('Player Raw Data'!AA:AA,Match($A317,'Player Raw Data'!$B:$B,0)),"")</f>
        <v/>
      </c>
      <c r="O317" t="str">
        <f t="array" ref="O317">IFERROR(INDEX('Player Raw Data'!AB:AB,Match($A317,'Player Raw Data'!$B:$B,0)),"")</f>
        <v/>
      </c>
      <c r="P317" t="str">
        <f t="array" ref="P317">IFERROR(INDEX('Player Raw Data'!AD:AD,Match($A317,'Player Raw Data'!$B:$B,0)),"")</f>
        <v/>
      </c>
      <c r="Q317">
        <f t="shared" si="1"/>
        <v>0</v>
      </c>
      <c r="R317" s="9">
        <f t="shared" si="2"/>
        <v>0</v>
      </c>
      <c r="S317" s="14">
        <f t="shared" si="3"/>
        <v>0</v>
      </c>
      <c r="T317" s="15">
        <f>IFERROR(__xludf.DUMMYFUNCTION("IFERROR(PERCENTRANK.INC(FILTER(Q:Q,$F:$F&lt;&gt;""""),Q317)*100,"""")"),1.5)</f>
        <v>1.5</v>
      </c>
      <c r="U317" s="15">
        <f>IFERROR(__xludf.DUMMYFUNCTION("IFERROR(PERCENTRANK.INC(FILTER(R:R,$F:$F&lt;&gt;""""),R317)*100,"""")"),1.5)</f>
        <v>1.5</v>
      </c>
      <c r="V317" s="15">
        <f>IFERROR(__xludf.DUMMYFUNCTION("IFERROR(PERCENTRANK.INC(FILTER(S:S,$F:$F&lt;&gt;""""),S317)*100,"""")"),1.5)</f>
        <v>1.5</v>
      </c>
      <c r="W317" s="15" t="str">
        <f t="shared" si="4"/>
        <v/>
      </c>
      <c r="X317" s="16"/>
      <c r="Y317" s="9"/>
      <c r="Z317" s="9"/>
    </row>
    <row r="318">
      <c r="B318" t="str">
        <f t="array" ref="B318">IFERROR(INDEX('Player Raw Data'!E:E,Match($A318,'Player Raw Data'!$B:$B,0)),"")</f>
        <v/>
      </c>
      <c r="C318" t="str">
        <f t="array" ref="C318">IFERROR(INDEX('Player Raw Data'!C:C,Match($A318,'Player Raw Data'!$B:$B,0)),"")</f>
        <v/>
      </c>
      <c r="D318" t="str">
        <f t="array" ref="D318">IFERROR(IF(A318=A317, INDEX('Player Raw Data'!D:D,Match($A318,'Player Raw Data'!$B:$B,0)+2),INDEX('Player Raw Data'!D:D,Match($A318,'Player Raw Data'!$B:$B,0))),"")</f>
        <v/>
      </c>
      <c r="E318" t="str">
        <f t="array" ref="E318">IFERROR(INDEX('Player Raw Data'!F:F,Match($A318,'Player Raw Data'!$B:$B,0)),"")</f>
        <v/>
      </c>
      <c r="F318" t="str">
        <f t="array" ref="F318">IFERROR(INDEX('Player Raw Data'!H:H,Match($A318,'Player Raw Data'!$B:$B,0)),"")</f>
        <v/>
      </c>
      <c r="G318" t="str">
        <f t="array" ref="G318">IFERROR(INDEX('Player Raw Data'!I:I,Match($A318,'Player Raw Data'!$B:$B,0)),"")</f>
        <v/>
      </c>
      <c r="H318" t="str">
        <f t="array" ref="H318">IFERROR(INDEX('Player Raw Data'!J:J,Match($A318,'Player Raw Data'!$B:$B,0)),"")</f>
        <v/>
      </c>
      <c r="I318" t="str">
        <f t="array" ref="I318">IFERROR(INDEX('Player Raw Data'!S:S,Match($A318,'Player Raw Data'!$B:$B,0)),"")</f>
        <v/>
      </c>
      <c r="J318" t="str">
        <f t="array" ref="J318">IFERROR(INDEX('Player Raw Data'!T:T,Match($A318,'Player Raw Data'!$B:$B,0)),"")</f>
        <v/>
      </c>
      <c r="K318" t="str">
        <f t="array" ref="K318">IFERROR(INDEX('Player Raw Data'!X:X,Match($A318,'Player Raw Data'!$B:$B,0)),"")</f>
        <v/>
      </c>
      <c r="L318" t="str">
        <f t="array" ref="L318">IFERROR(INDEX('Player Raw Data'!Y:Y,Match($A318,'Player Raw Data'!$B:$B,0)),"")</f>
        <v/>
      </c>
      <c r="M318" t="str">
        <f t="array" ref="M318">IFERROR(INDEX('Player Raw Data'!Z:Z,Match($A318,'Player Raw Data'!$B:$B,0)),"")</f>
        <v/>
      </c>
      <c r="N318" t="str">
        <f t="array" ref="N318">IFERROR(INDEX('Player Raw Data'!AA:AA,Match($A318,'Player Raw Data'!$B:$B,0)),"")</f>
        <v/>
      </c>
      <c r="O318" t="str">
        <f t="array" ref="O318">IFERROR(INDEX('Player Raw Data'!AB:AB,Match($A318,'Player Raw Data'!$B:$B,0)),"")</f>
        <v/>
      </c>
      <c r="P318" t="str">
        <f t="array" ref="P318">IFERROR(INDEX('Player Raw Data'!AD:AD,Match($A318,'Player Raw Data'!$B:$B,0)),"")</f>
        <v/>
      </c>
      <c r="Q318">
        <f t="shared" si="1"/>
        <v>0</v>
      </c>
      <c r="R318" s="9">
        <f t="shared" si="2"/>
        <v>0</v>
      </c>
      <c r="S318" s="14">
        <f t="shared" si="3"/>
        <v>0</v>
      </c>
      <c r="T318" s="15">
        <f>IFERROR(__xludf.DUMMYFUNCTION("IFERROR(PERCENTRANK.INC(FILTER(Q:Q,$F:$F&lt;&gt;""""),Q318)*100,"""")"),1.5)</f>
        <v>1.5</v>
      </c>
      <c r="U318" s="15">
        <f>IFERROR(__xludf.DUMMYFUNCTION("IFERROR(PERCENTRANK.INC(FILTER(R:R,$F:$F&lt;&gt;""""),R318)*100,"""")"),1.5)</f>
        <v>1.5</v>
      </c>
      <c r="V318" s="15">
        <f>IFERROR(__xludf.DUMMYFUNCTION("IFERROR(PERCENTRANK.INC(FILTER(S:S,$F:$F&lt;&gt;""""),S318)*100,"""")"),1.5)</f>
        <v>1.5</v>
      </c>
      <c r="W318" s="15" t="str">
        <f t="shared" si="4"/>
        <v/>
      </c>
      <c r="X318" s="16"/>
      <c r="Y318" s="9"/>
      <c r="Z318" s="9"/>
    </row>
    <row r="319">
      <c r="B319" t="str">
        <f t="array" ref="B319">IFERROR(INDEX('Player Raw Data'!E:E,Match($A319,'Player Raw Data'!$B:$B,0)),"")</f>
        <v/>
      </c>
      <c r="C319" t="str">
        <f t="array" ref="C319">IFERROR(INDEX('Player Raw Data'!C:C,Match($A319,'Player Raw Data'!$B:$B,0)),"")</f>
        <v/>
      </c>
      <c r="D319" t="str">
        <f t="array" ref="D319">IFERROR(IF(A319=A318, INDEX('Player Raw Data'!D:D,Match($A319,'Player Raw Data'!$B:$B,0)+2),INDEX('Player Raw Data'!D:D,Match($A319,'Player Raw Data'!$B:$B,0))),"")</f>
        <v/>
      </c>
      <c r="E319" t="str">
        <f t="array" ref="E319">IFERROR(INDEX('Player Raw Data'!F:F,Match($A319,'Player Raw Data'!$B:$B,0)),"")</f>
        <v/>
      </c>
      <c r="F319" t="str">
        <f t="array" ref="F319">IFERROR(INDEX('Player Raw Data'!H:H,Match($A319,'Player Raw Data'!$B:$B,0)),"")</f>
        <v/>
      </c>
      <c r="G319" t="str">
        <f t="array" ref="G319">IFERROR(INDEX('Player Raw Data'!I:I,Match($A319,'Player Raw Data'!$B:$B,0)),"")</f>
        <v/>
      </c>
      <c r="H319" t="str">
        <f t="array" ref="H319">IFERROR(INDEX('Player Raw Data'!J:J,Match($A319,'Player Raw Data'!$B:$B,0)),"")</f>
        <v/>
      </c>
      <c r="I319" t="str">
        <f t="array" ref="I319">IFERROR(INDEX('Player Raw Data'!S:S,Match($A319,'Player Raw Data'!$B:$B,0)),"")</f>
        <v/>
      </c>
      <c r="J319" t="str">
        <f t="array" ref="J319">IFERROR(INDEX('Player Raw Data'!T:T,Match($A319,'Player Raw Data'!$B:$B,0)),"")</f>
        <v/>
      </c>
      <c r="K319" t="str">
        <f t="array" ref="K319">IFERROR(INDEX('Player Raw Data'!X:X,Match($A319,'Player Raw Data'!$B:$B,0)),"")</f>
        <v/>
      </c>
      <c r="L319" t="str">
        <f t="array" ref="L319">IFERROR(INDEX('Player Raw Data'!Y:Y,Match($A319,'Player Raw Data'!$B:$B,0)),"")</f>
        <v/>
      </c>
      <c r="M319" t="str">
        <f t="array" ref="M319">IFERROR(INDEX('Player Raw Data'!Z:Z,Match($A319,'Player Raw Data'!$B:$B,0)),"")</f>
        <v/>
      </c>
      <c r="N319" t="str">
        <f t="array" ref="N319">IFERROR(INDEX('Player Raw Data'!AA:AA,Match($A319,'Player Raw Data'!$B:$B,0)),"")</f>
        <v/>
      </c>
      <c r="O319" t="str">
        <f t="array" ref="O319">IFERROR(INDEX('Player Raw Data'!AB:AB,Match($A319,'Player Raw Data'!$B:$B,0)),"")</f>
        <v/>
      </c>
      <c r="P319" t="str">
        <f t="array" ref="P319">IFERROR(INDEX('Player Raw Data'!AD:AD,Match($A319,'Player Raw Data'!$B:$B,0)),"")</f>
        <v/>
      </c>
      <c r="Q319">
        <f t="shared" si="1"/>
        <v>0</v>
      </c>
      <c r="R319" s="9">
        <f t="shared" si="2"/>
        <v>0</v>
      </c>
      <c r="S319" s="14">
        <f t="shared" si="3"/>
        <v>0</v>
      </c>
      <c r="T319" s="15">
        <f>IFERROR(__xludf.DUMMYFUNCTION("IFERROR(PERCENTRANK.INC(FILTER(Q:Q,$F:$F&lt;&gt;""""),Q319)*100,"""")"),1.5)</f>
        <v>1.5</v>
      </c>
      <c r="U319" s="15">
        <f>IFERROR(__xludf.DUMMYFUNCTION("IFERROR(PERCENTRANK.INC(FILTER(R:R,$F:$F&lt;&gt;""""),R319)*100,"""")"),1.5)</f>
        <v>1.5</v>
      </c>
      <c r="V319" s="15">
        <f>IFERROR(__xludf.DUMMYFUNCTION("IFERROR(PERCENTRANK.INC(FILTER(S:S,$F:$F&lt;&gt;""""),S319)*100,"""")"),1.5)</f>
        <v>1.5</v>
      </c>
      <c r="W319" s="15" t="str">
        <f t="shared" si="4"/>
        <v/>
      </c>
      <c r="X319" s="16"/>
      <c r="Y319" s="9"/>
      <c r="Z319" s="9"/>
    </row>
    <row r="320">
      <c r="B320" t="str">
        <f t="array" ref="B320">IFERROR(INDEX('Player Raw Data'!E:E,Match($A320,'Player Raw Data'!$B:$B,0)),"")</f>
        <v/>
      </c>
      <c r="C320" t="str">
        <f t="array" ref="C320">IFERROR(INDEX('Player Raw Data'!C:C,Match($A320,'Player Raw Data'!$B:$B,0)),"")</f>
        <v/>
      </c>
      <c r="D320" t="str">
        <f t="array" ref="D320">IFERROR(IF(A320=A319, INDEX('Player Raw Data'!D:D,Match($A320,'Player Raw Data'!$B:$B,0)+2),INDEX('Player Raw Data'!D:D,Match($A320,'Player Raw Data'!$B:$B,0))),"")</f>
        <v/>
      </c>
      <c r="E320" t="str">
        <f t="array" ref="E320">IFERROR(INDEX('Player Raw Data'!F:F,Match($A320,'Player Raw Data'!$B:$B,0)),"")</f>
        <v/>
      </c>
      <c r="F320" t="str">
        <f t="array" ref="F320">IFERROR(INDEX('Player Raw Data'!H:H,Match($A320,'Player Raw Data'!$B:$B,0)),"")</f>
        <v/>
      </c>
      <c r="G320" t="str">
        <f t="array" ref="G320">IFERROR(INDEX('Player Raw Data'!I:I,Match($A320,'Player Raw Data'!$B:$B,0)),"")</f>
        <v/>
      </c>
      <c r="H320" t="str">
        <f t="array" ref="H320">IFERROR(INDEX('Player Raw Data'!J:J,Match($A320,'Player Raw Data'!$B:$B,0)),"")</f>
        <v/>
      </c>
      <c r="I320" t="str">
        <f t="array" ref="I320">IFERROR(INDEX('Player Raw Data'!S:S,Match($A320,'Player Raw Data'!$B:$B,0)),"")</f>
        <v/>
      </c>
      <c r="J320" t="str">
        <f t="array" ref="J320">IFERROR(INDEX('Player Raw Data'!T:T,Match($A320,'Player Raw Data'!$B:$B,0)),"")</f>
        <v/>
      </c>
      <c r="K320" t="str">
        <f t="array" ref="K320">IFERROR(INDEX('Player Raw Data'!X:X,Match($A320,'Player Raw Data'!$B:$B,0)),"")</f>
        <v/>
      </c>
      <c r="L320" t="str">
        <f t="array" ref="L320">IFERROR(INDEX('Player Raw Data'!Y:Y,Match($A320,'Player Raw Data'!$B:$B,0)),"")</f>
        <v/>
      </c>
      <c r="M320" t="str">
        <f t="array" ref="M320">IFERROR(INDEX('Player Raw Data'!Z:Z,Match($A320,'Player Raw Data'!$B:$B,0)),"")</f>
        <v/>
      </c>
      <c r="N320" t="str">
        <f t="array" ref="N320">IFERROR(INDEX('Player Raw Data'!AA:AA,Match($A320,'Player Raw Data'!$B:$B,0)),"")</f>
        <v/>
      </c>
      <c r="O320" t="str">
        <f t="array" ref="O320">IFERROR(INDEX('Player Raw Data'!AB:AB,Match($A320,'Player Raw Data'!$B:$B,0)),"")</f>
        <v/>
      </c>
      <c r="P320" t="str">
        <f t="array" ref="P320">IFERROR(INDEX('Player Raw Data'!AD:AD,Match($A320,'Player Raw Data'!$B:$B,0)),"")</f>
        <v/>
      </c>
      <c r="Q320">
        <f t="shared" si="1"/>
        <v>0</v>
      </c>
      <c r="R320" s="9">
        <f t="shared" si="2"/>
        <v>0</v>
      </c>
      <c r="S320" s="14">
        <f t="shared" si="3"/>
        <v>0</v>
      </c>
      <c r="T320" s="15">
        <f>IFERROR(__xludf.DUMMYFUNCTION("IFERROR(PERCENTRANK.INC(FILTER(Q:Q,$F:$F&lt;&gt;""""),Q320)*100,"""")"),1.5)</f>
        <v>1.5</v>
      </c>
      <c r="U320" s="15">
        <f>IFERROR(__xludf.DUMMYFUNCTION("IFERROR(PERCENTRANK.INC(FILTER(R:R,$F:$F&lt;&gt;""""),R320)*100,"""")"),1.5)</f>
        <v>1.5</v>
      </c>
      <c r="V320" s="15">
        <f>IFERROR(__xludf.DUMMYFUNCTION("IFERROR(PERCENTRANK.INC(FILTER(S:S,$F:$F&lt;&gt;""""),S320)*100,"""")"),1.5)</f>
        <v>1.5</v>
      </c>
      <c r="W320" s="15" t="str">
        <f t="shared" si="4"/>
        <v/>
      </c>
      <c r="X320" s="16"/>
      <c r="Y320" s="9"/>
      <c r="Z320" s="9"/>
    </row>
    <row r="321">
      <c r="B321" t="str">
        <f t="array" ref="B321">IFERROR(INDEX('Player Raw Data'!E:E,Match($A321,'Player Raw Data'!$B:$B,0)),"")</f>
        <v/>
      </c>
      <c r="C321" t="str">
        <f t="array" ref="C321">IFERROR(INDEX('Player Raw Data'!C:C,Match($A321,'Player Raw Data'!$B:$B,0)),"")</f>
        <v/>
      </c>
      <c r="D321" t="str">
        <f t="array" ref="D321">IFERROR(IF(A321=A320, INDEX('Player Raw Data'!D:D,Match($A321,'Player Raw Data'!$B:$B,0)+2),INDEX('Player Raw Data'!D:D,Match($A321,'Player Raw Data'!$B:$B,0))),"")</f>
        <v/>
      </c>
      <c r="E321" t="str">
        <f t="array" ref="E321">IFERROR(INDEX('Player Raw Data'!F:F,Match($A321,'Player Raw Data'!$B:$B,0)),"")</f>
        <v/>
      </c>
      <c r="F321" t="str">
        <f t="array" ref="F321">IFERROR(INDEX('Player Raw Data'!H:H,Match($A321,'Player Raw Data'!$B:$B,0)),"")</f>
        <v/>
      </c>
      <c r="G321" t="str">
        <f t="array" ref="G321">IFERROR(INDEX('Player Raw Data'!I:I,Match($A321,'Player Raw Data'!$B:$B,0)),"")</f>
        <v/>
      </c>
      <c r="H321" t="str">
        <f t="array" ref="H321">IFERROR(INDEX('Player Raw Data'!J:J,Match($A321,'Player Raw Data'!$B:$B,0)),"")</f>
        <v/>
      </c>
      <c r="I321" t="str">
        <f t="array" ref="I321">IFERROR(INDEX('Player Raw Data'!S:S,Match($A321,'Player Raw Data'!$B:$B,0)),"")</f>
        <v/>
      </c>
      <c r="J321" t="str">
        <f t="array" ref="J321">IFERROR(INDEX('Player Raw Data'!T:T,Match($A321,'Player Raw Data'!$B:$B,0)),"")</f>
        <v/>
      </c>
      <c r="K321" t="str">
        <f t="array" ref="K321">IFERROR(INDEX('Player Raw Data'!X:X,Match($A321,'Player Raw Data'!$B:$B,0)),"")</f>
        <v/>
      </c>
      <c r="L321" t="str">
        <f t="array" ref="L321">IFERROR(INDEX('Player Raw Data'!Y:Y,Match($A321,'Player Raw Data'!$B:$B,0)),"")</f>
        <v/>
      </c>
      <c r="M321" t="str">
        <f t="array" ref="M321">IFERROR(INDEX('Player Raw Data'!Z:Z,Match($A321,'Player Raw Data'!$B:$B,0)),"")</f>
        <v/>
      </c>
      <c r="N321" t="str">
        <f t="array" ref="N321">IFERROR(INDEX('Player Raw Data'!AA:AA,Match($A321,'Player Raw Data'!$B:$B,0)),"")</f>
        <v/>
      </c>
      <c r="O321" t="str">
        <f t="array" ref="O321">IFERROR(INDEX('Player Raw Data'!AB:AB,Match($A321,'Player Raw Data'!$B:$B,0)),"")</f>
        <v/>
      </c>
      <c r="P321" t="str">
        <f t="array" ref="P321">IFERROR(INDEX('Player Raw Data'!AD:AD,Match($A321,'Player Raw Data'!$B:$B,0)),"")</f>
        <v/>
      </c>
      <c r="Q321">
        <f t="shared" si="1"/>
        <v>0</v>
      </c>
      <c r="R321" s="9">
        <f t="shared" si="2"/>
        <v>0</v>
      </c>
      <c r="S321" s="14">
        <f t="shared" si="3"/>
        <v>0</v>
      </c>
      <c r="T321" s="15">
        <f>IFERROR(__xludf.DUMMYFUNCTION("IFERROR(PERCENTRANK.INC(FILTER(Q:Q,$F:$F&lt;&gt;""""),Q321)*100,"""")"),1.5)</f>
        <v>1.5</v>
      </c>
      <c r="U321" s="15">
        <f>IFERROR(__xludf.DUMMYFUNCTION("IFERROR(PERCENTRANK.INC(FILTER(R:R,$F:$F&lt;&gt;""""),R321)*100,"""")"),1.5)</f>
        <v>1.5</v>
      </c>
      <c r="V321" s="15">
        <f>IFERROR(__xludf.DUMMYFUNCTION("IFERROR(PERCENTRANK.INC(FILTER(S:S,$F:$F&lt;&gt;""""),S321)*100,"""")"),1.5)</f>
        <v>1.5</v>
      </c>
      <c r="W321" s="15" t="str">
        <f t="shared" si="4"/>
        <v/>
      </c>
      <c r="X321" s="16"/>
      <c r="Y321" s="9"/>
      <c r="Z321" s="9"/>
    </row>
    <row r="322">
      <c r="B322" t="str">
        <f t="array" ref="B322">IFERROR(INDEX('Player Raw Data'!E:E,Match($A322,'Player Raw Data'!$B:$B,0)),"")</f>
        <v/>
      </c>
      <c r="C322" t="str">
        <f t="array" ref="C322">IFERROR(INDEX('Player Raw Data'!C:C,Match($A322,'Player Raw Data'!$B:$B,0)),"")</f>
        <v/>
      </c>
      <c r="D322" t="str">
        <f t="array" ref="D322">IFERROR(IF(A322=A321, INDEX('Player Raw Data'!D:D,Match($A322,'Player Raw Data'!$B:$B,0)+2),INDEX('Player Raw Data'!D:D,Match($A322,'Player Raw Data'!$B:$B,0))),"")</f>
        <v/>
      </c>
      <c r="E322" t="str">
        <f t="array" ref="E322">IFERROR(INDEX('Player Raw Data'!F:F,Match($A322,'Player Raw Data'!$B:$B,0)),"")</f>
        <v/>
      </c>
      <c r="F322" t="str">
        <f t="array" ref="F322">IFERROR(INDEX('Player Raw Data'!H:H,Match($A322,'Player Raw Data'!$B:$B,0)),"")</f>
        <v/>
      </c>
      <c r="G322" t="str">
        <f t="array" ref="G322">IFERROR(INDEX('Player Raw Data'!I:I,Match($A322,'Player Raw Data'!$B:$B,0)),"")</f>
        <v/>
      </c>
      <c r="H322" t="str">
        <f t="array" ref="H322">IFERROR(INDEX('Player Raw Data'!J:J,Match($A322,'Player Raw Data'!$B:$B,0)),"")</f>
        <v/>
      </c>
      <c r="I322" t="str">
        <f t="array" ref="I322">IFERROR(INDEX('Player Raw Data'!S:S,Match($A322,'Player Raw Data'!$B:$B,0)),"")</f>
        <v/>
      </c>
      <c r="J322" t="str">
        <f t="array" ref="J322">IFERROR(INDEX('Player Raw Data'!T:T,Match($A322,'Player Raw Data'!$B:$B,0)),"")</f>
        <v/>
      </c>
      <c r="K322" t="str">
        <f t="array" ref="K322">IFERROR(INDEX('Player Raw Data'!X:X,Match($A322,'Player Raw Data'!$B:$B,0)),"")</f>
        <v/>
      </c>
      <c r="L322" t="str">
        <f t="array" ref="L322">IFERROR(INDEX('Player Raw Data'!Y:Y,Match($A322,'Player Raw Data'!$B:$B,0)),"")</f>
        <v/>
      </c>
      <c r="M322" t="str">
        <f t="array" ref="M322">IFERROR(INDEX('Player Raw Data'!Z:Z,Match($A322,'Player Raw Data'!$B:$B,0)),"")</f>
        <v/>
      </c>
      <c r="N322" t="str">
        <f t="array" ref="N322">IFERROR(INDEX('Player Raw Data'!AA:AA,Match($A322,'Player Raw Data'!$B:$B,0)),"")</f>
        <v/>
      </c>
      <c r="O322" t="str">
        <f t="array" ref="O322">IFERROR(INDEX('Player Raw Data'!AB:AB,Match($A322,'Player Raw Data'!$B:$B,0)),"")</f>
        <v/>
      </c>
      <c r="P322" t="str">
        <f t="array" ref="P322">IFERROR(INDEX('Player Raw Data'!AD:AD,Match($A322,'Player Raw Data'!$B:$B,0)),"")</f>
        <v/>
      </c>
      <c r="Q322">
        <f t="shared" si="1"/>
        <v>0</v>
      </c>
      <c r="R322" s="9">
        <f t="shared" si="2"/>
        <v>0</v>
      </c>
      <c r="S322" s="14">
        <f t="shared" si="3"/>
        <v>0</v>
      </c>
      <c r="T322" s="15">
        <f>IFERROR(__xludf.DUMMYFUNCTION("IFERROR(PERCENTRANK.INC(FILTER(Q:Q,$F:$F&lt;&gt;""""),Q322)*100,"""")"),1.5)</f>
        <v>1.5</v>
      </c>
      <c r="U322" s="15">
        <f>IFERROR(__xludf.DUMMYFUNCTION("IFERROR(PERCENTRANK.INC(FILTER(R:R,$F:$F&lt;&gt;""""),R322)*100,"""")"),1.5)</f>
        <v>1.5</v>
      </c>
      <c r="V322" s="15">
        <f>IFERROR(__xludf.DUMMYFUNCTION("IFERROR(PERCENTRANK.INC(FILTER(S:S,$F:$F&lt;&gt;""""),S322)*100,"""")"),1.5)</f>
        <v>1.5</v>
      </c>
      <c r="W322" s="15" t="str">
        <f t="shared" si="4"/>
        <v/>
      </c>
      <c r="X322" s="16"/>
      <c r="Y322" s="9"/>
      <c r="Z322" s="9"/>
    </row>
    <row r="323">
      <c r="B323" t="str">
        <f t="array" ref="B323">IFERROR(INDEX('Player Raw Data'!E:E,Match($A323,'Player Raw Data'!$B:$B,0)),"")</f>
        <v/>
      </c>
      <c r="C323" t="str">
        <f t="array" ref="C323">IFERROR(INDEX('Player Raw Data'!C:C,Match($A323,'Player Raw Data'!$B:$B,0)),"")</f>
        <v/>
      </c>
      <c r="D323" t="str">
        <f t="array" ref="D323">IFERROR(IF(A323=A322, INDEX('Player Raw Data'!D:D,Match($A323,'Player Raw Data'!$B:$B,0)+2),INDEX('Player Raw Data'!D:D,Match($A323,'Player Raw Data'!$B:$B,0))),"")</f>
        <v/>
      </c>
      <c r="E323" t="str">
        <f t="array" ref="E323">IFERROR(INDEX('Player Raw Data'!F:F,Match($A323,'Player Raw Data'!$B:$B,0)),"")</f>
        <v/>
      </c>
      <c r="F323" t="str">
        <f t="array" ref="F323">IFERROR(INDEX('Player Raw Data'!H:H,Match($A323,'Player Raw Data'!$B:$B,0)),"")</f>
        <v/>
      </c>
      <c r="G323" t="str">
        <f t="array" ref="G323">IFERROR(INDEX('Player Raw Data'!I:I,Match($A323,'Player Raw Data'!$B:$B,0)),"")</f>
        <v/>
      </c>
      <c r="H323" t="str">
        <f t="array" ref="H323">IFERROR(INDEX('Player Raw Data'!J:J,Match($A323,'Player Raw Data'!$B:$B,0)),"")</f>
        <v/>
      </c>
      <c r="I323" t="str">
        <f t="array" ref="I323">IFERROR(INDEX('Player Raw Data'!S:S,Match($A323,'Player Raw Data'!$B:$B,0)),"")</f>
        <v/>
      </c>
      <c r="J323" t="str">
        <f t="array" ref="J323">IFERROR(INDEX('Player Raw Data'!T:T,Match($A323,'Player Raw Data'!$B:$B,0)),"")</f>
        <v/>
      </c>
      <c r="K323" t="str">
        <f t="array" ref="K323">IFERROR(INDEX('Player Raw Data'!X:X,Match($A323,'Player Raw Data'!$B:$B,0)),"")</f>
        <v/>
      </c>
      <c r="L323" t="str">
        <f t="array" ref="L323">IFERROR(INDEX('Player Raw Data'!Y:Y,Match($A323,'Player Raw Data'!$B:$B,0)),"")</f>
        <v/>
      </c>
      <c r="M323" t="str">
        <f t="array" ref="M323">IFERROR(INDEX('Player Raw Data'!Z:Z,Match($A323,'Player Raw Data'!$B:$B,0)),"")</f>
        <v/>
      </c>
      <c r="N323" t="str">
        <f t="array" ref="N323">IFERROR(INDEX('Player Raw Data'!AA:AA,Match($A323,'Player Raw Data'!$B:$B,0)),"")</f>
        <v/>
      </c>
      <c r="O323" t="str">
        <f t="array" ref="O323">IFERROR(INDEX('Player Raw Data'!AB:AB,Match($A323,'Player Raw Data'!$B:$B,0)),"")</f>
        <v/>
      </c>
      <c r="P323" t="str">
        <f t="array" ref="P323">IFERROR(INDEX('Player Raw Data'!AD:AD,Match($A323,'Player Raw Data'!$B:$B,0)),"")</f>
        <v/>
      </c>
      <c r="Q323">
        <f t="shared" si="1"/>
        <v>0</v>
      </c>
      <c r="R323" s="9">
        <f t="shared" si="2"/>
        <v>0</v>
      </c>
      <c r="S323" s="14">
        <f t="shared" si="3"/>
        <v>0</v>
      </c>
      <c r="T323" s="15">
        <f>IFERROR(__xludf.DUMMYFUNCTION("IFERROR(PERCENTRANK.INC(FILTER(Q:Q,$F:$F&lt;&gt;""""),Q323)*100,"""")"),1.5)</f>
        <v>1.5</v>
      </c>
      <c r="U323" s="15">
        <f>IFERROR(__xludf.DUMMYFUNCTION("IFERROR(PERCENTRANK.INC(FILTER(R:R,$F:$F&lt;&gt;""""),R323)*100,"""")"),1.5)</f>
        <v>1.5</v>
      </c>
      <c r="V323" s="15">
        <f>IFERROR(__xludf.DUMMYFUNCTION("IFERROR(PERCENTRANK.INC(FILTER(S:S,$F:$F&lt;&gt;""""),S323)*100,"""")"),1.5)</f>
        <v>1.5</v>
      </c>
      <c r="W323" s="15" t="str">
        <f t="shared" si="4"/>
        <v/>
      </c>
      <c r="X323" s="16"/>
      <c r="Y323" s="9"/>
      <c r="Z323" s="9"/>
    </row>
    <row r="324">
      <c r="B324" t="str">
        <f t="array" ref="B324">IFERROR(INDEX('Player Raw Data'!E:E,Match($A324,'Player Raw Data'!$B:$B,0)),"")</f>
        <v/>
      </c>
      <c r="C324" t="str">
        <f t="array" ref="C324">IFERROR(INDEX('Player Raw Data'!C:C,Match($A324,'Player Raw Data'!$B:$B,0)),"")</f>
        <v/>
      </c>
      <c r="D324" t="str">
        <f t="array" ref="D324">IFERROR(IF(A324=A323, INDEX('Player Raw Data'!D:D,Match($A324,'Player Raw Data'!$B:$B,0)+2),INDEX('Player Raw Data'!D:D,Match($A324,'Player Raw Data'!$B:$B,0))),"")</f>
        <v/>
      </c>
      <c r="E324" t="str">
        <f t="array" ref="E324">IFERROR(INDEX('Player Raw Data'!F:F,Match($A324,'Player Raw Data'!$B:$B,0)),"")</f>
        <v/>
      </c>
      <c r="F324" t="str">
        <f t="array" ref="F324">IFERROR(INDEX('Player Raw Data'!H:H,Match($A324,'Player Raw Data'!$B:$B,0)),"")</f>
        <v/>
      </c>
      <c r="G324" t="str">
        <f t="array" ref="G324">IFERROR(INDEX('Player Raw Data'!I:I,Match($A324,'Player Raw Data'!$B:$B,0)),"")</f>
        <v/>
      </c>
      <c r="H324" t="str">
        <f t="array" ref="H324">IFERROR(INDEX('Player Raw Data'!J:J,Match($A324,'Player Raw Data'!$B:$B,0)),"")</f>
        <v/>
      </c>
      <c r="I324" t="str">
        <f t="array" ref="I324">IFERROR(INDEX('Player Raw Data'!S:S,Match($A324,'Player Raw Data'!$B:$B,0)),"")</f>
        <v/>
      </c>
      <c r="J324" t="str">
        <f t="array" ref="J324">IFERROR(INDEX('Player Raw Data'!T:T,Match($A324,'Player Raw Data'!$B:$B,0)),"")</f>
        <v/>
      </c>
      <c r="K324" t="str">
        <f t="array" ref="K324">IFERROR(INDEX('Player Raw Data'!X:X,Match($A324,'Player Raw Data'!$B:$B,0)),"")</f>
        <v/>
      </c>
      <c r="L324" t="str">
        <f t="array" ref="L324">IFERROR(INDEX('Player Raw Data'!Y:Y,Match($A324,'Player Raw Data'!$B:$B,0)),"")</f>
        <v/>
      </c>
      <c r="M324" t="str">
        <f t="array" ref="M324">IFERROR(INDEX('Player Raw Data'!Z:Z,Match($A324,'Player Raw Data'!$B:$B,0)),"")</f>
        <v/>
      </c>
      <c r="N324" t="str">
        <f t="array" ref="N324">IFERROR(INDEX('Player Raw Data'!AA:AA,Match($A324,'Player Raw Data'!$B:$B,0)),"")</f>
        <v/>
      </c>
      <c r="O324" t="str">
        <f t="array" ref="O324">IFERROR(INDEX('Player Raw Data'!AB:AB,Match($A324,'Player Raw Data'!$B:$B,0)),"")</f>
        <v/>
      </c>
      <c r="P324" t="str">
        <f t="array" ref="P324">IFERROR(INDEX('Player Raw Data'!AD:AD,Match($A324,'Player Raw Data'!$B:$B,0)),"")</f>
        <v/>
      </c>
      <c r="Q324">
        <f t="shared" si="1"/>
        <v>0</v>
      </c>
      <c r="R324" s="9">
        <f t="shared" si="2"/>
        <v>0</v>
      </c>
      <c r="S324" s="14">
        <f t="shared" si="3"/>
        <v>0</v>
      </c>
      <c r="T324" s="15">
        <f>IFERROR(__xludf.DUMMYFUNCTION("IFERROR(PERCENTRANK.INC(FILTER(Q:Q,$F:$F&lt;&gt;""""),Q324)*100,"""")"),1.5)</f>
        <v>1.5</v>
      </c>
      <c r="U324" s="15">
        <f>IFERROR(__xludf.DUMMYFUNCTION("IFERROR(PERCENTRANK.INC(FILTER(R:R,$F:$F&lt;&gt;""""),R324)*100,"""")"),1.5)</f>
        <v>1.5</v>
      </c>
      <c r="V324" s="15">
        <f>IFERROR(__xludf.DUMMYFUNCTION("IFERROR(PERCENTRANK.INC(FILTER(S:S,$F:$F&lt;&gt;""""),S324)*100,"""")"),1.5)</f>
        <v>1.5</v>
      </c>
      <c r="W324" s="15" t="str">
        <f t="shared" si="4"/>
        <v/>
      </c>
      <c r="X324" s="16"/>
      <c r="Y324" s="9"/>
      <c r="Z324" s="9"/>
    </row>
    <row r="325">
      <c r="B325" t="str">
        <f t="array" ref="B325">IFERROR(INDEX('Player Raw Data'!E:E,Match($A325,'Player Raw Data'!$B:$B,0)),"")</f>
        <v/>
      </c>
      <c r="C325" t="str">
        <f t="array" ref="C325">IFERROR(INDEX('Player Raw Data'!C:C,Match($A325,'Player Raw Data'!$B:$B,0)),"")</f>
        <v/>
      </c>
      <c r="D325" t="str">
        <f t="array" ref="D325">IFERROR(IF(A325=A324, INDEX('Player Raw Data'!D:D,Match($A325,'Player Raw Data'!$B:$B,0)+2),INDEX('Player Raw Data'!D:D,Match($A325,'Player Raw Data'!$B:$B,0))),"")</f>
        <v/>
      </c>
      <c r="E325" t="str">
        <f t="array" ref="E325">IFERROR(INDEX('Player Raw Data'!F:F,Match($A325,'Player Raw Data'!$B:$B,0)),"")</f>
        <v/>
      </c>
      <c r="F325" t="str">
        <f t="array" ref="F325">IFERROR(INDEX('Player Raw Data'!H:H,Match($A325,'Player Raw Data'!$B:$B,0)),"")</f>
        <v/>
      </c>
      <c r="G325" t="str">
        <f t="array" ref="G325">IFERROR(INDEX('Player Raw Data'!I:I,Match($A325,'Player Raw Data'!$B:$B,0)),"")</f>
        <v/>
      </c>
      <c r="H325" t="str">
        <f t="array" ref="H325">IFERROR(INDEX('Player Raw Data'!J:J,Match($A325,'Player Raw Data'!$B:$B,0)),"")</f>
        <v/>
      </c>
      <c r="I325" t="str">
        <f t="array" ref="I325">IFERROR(INDEX('Player Raw Data'!S:S,Match($A325,'Player Raw Data'!$B:$B,0)),"")</f>
        <v/>
      </c>
      <c r="J325" t="str">
        <f t="array" ref="J325">IFERROR(INDEX('Player Raw Data'!T:T,Match($A325,'Player Raw Data'!$B:$B,0)),"")</f>
        <v/>
      </c>
      <c r="K325" t="str">
        <f t="array" ref="K325">IFERROR(INDEX('Player Raw Data'!X:X,Match($A325,'Player Raw Data'!$B:$B,0)),"")</f>
        <v/>
      </c>
      <c r="L325" t="str">
        <f t="array" ref="L325">IFERROR(INDEX('Player Raw Data'!Y:Y,Match($A325,'Player Raw Data'!$B:$B,0)),"")</f>
        <v/>
      </c>
      <c r="M325" t="str">
        <f t="array" ref="M325">IFERROR(INDEX('Player Raw Data'!Z:Z,Match($A325,'Player Raw Data'!$B:$B,0)),"")</f>
        <v/>
      </c>
      <c r="N325" t="str">
        <f t="array" ref="N325">IFERROR(INDEX('Player Raw Data'!AA:AA,Match($A325,'Player Raw Data'!$B:$B,0)),"")</f>
        <v/>
      </c>
      <c r="O325" t="str">
        <f t="array" ref="O325">IFERROR(INDEX('Player Raw Data'!AB:AB,Match($A325,'Player Raw Data'!$B:$B,0)),"")</f>
        <v/>
      </c>
      <c r="P325" t="str">
        <f t="array" ref="P325">IFERROR(INDEX('Player Raw Data'!AD:AD,Match($A325,'Player Raw Data'!$B:$B,0)),"")</f>
        <v/>
      </c>
      <c r="Q325">
        <f t="shared" si="1"/>
        <v>0</v>
      </c>
      <c r="R325" s="9">
        <f t="shared" si="2"/>
        <v>0</v>
      </c>
      <c r="S325" s="14">
        <f t="shared" si="3"/>
        <v>0</v>
      </c>
      <c r="T325" s="15">
        <f>IFERROR(__xludf.DUMMYFUNCTION("IFERROR(PERCENTRANK.INC(FILTER(Q:Q,$F:$F&lt;&gt;""""),Q325)*100,"""")"),1.5)</f>
        <v>1.5</v>
      </c>
      <c r="U325" s="15">
        <f>IFERROR(__xludf.DUMMYFUNCTION("IFERROR(PERCENTRANK.INC(FILTER(R:R,$F:$F&lt;&gt;""""),R325)*100,"""")"),1.5)</f>
        <v>1.5</v>
      </c>
      <c r="V325" s="15">
        <f>IFERROR(__xludf.DUMMYFUNCTION("IFERROR(PERCENTRANK.INC(FILTER(S:S,$F:$F&lt;&gt;""""),S325)*100,"""")"),1.5)</f>
        <v>1.5</v>
      </c>
      <c r="W325" s="15" t="str">
        <f t="shared" si="4"/>
        <v/>
      </c>
      <c r="X325" s="16"/>
      <c r="Y325" s="9"/>
      <c r="Z325" s="9"/>
    </row>
    <row r="326">
      <c r="B326" t="str">
        <f t="array" ref="B326">IFERROR(INDEX('Player Raw Data'!E:E,Match($A326,'Player Raw Data'!$B:$B,0)),"")</f>
        <v/>
      </c>
      <c r="C326" t="str">
        <f t="array" ref="C326">IFERROR(INDEX('Player Raw Data'!C:C,Match($A326,'Player Raw Data'!$B:$B,0)),"")</f>
        <v/>
      </c>
      <c r="D326" t="str">
        <f t="array" ref="D326">IFERROR(IF(A326=A325, INDEX('Player Raw Data'!D:D,Match($A326,'Player Raw Data'!$B:$B,0)+2),INDEX('Player Raw Data'!D:D,Match($A326,'Player Raw Data'!$B:$B,0))),"")</f>
        <v/>
      </c>
      <c r="E326" t="str">
        <f t="array" ref="E326">IFERROR(INDEX('Player Raw Data'!F:F,Match($A326,'Player Raw Data'!$B:$B,0)),"")</f>
        <v/>
      </c>
      <c r="F326" t="str">
        <f t="array" ref="F326">IFERROR(INDEX('Player Raw Data'!H:H,Match($A326,'Player Raw Data'!$B:$B,0)),"")</f>
        <v/>
      </c>
      <c r="G326" t="str">
        <f t="array" ref="G326">IFERROR(INDEX('Player Raw Data'!I:I,Match($A326,'Player Raw Data'!$B:$B,0)),"")</f>
        <v/>
      </c>
      <c r="H326" t="str">
        <f t="array" ref="H326">IFERROR(INDEX('Player Raw Data'!J:J,Match($A326,'Player Raw Data'!$B:$B,0)),"")</f>
        <v/>
      </c>
      <c r="I326" t="str">
        <f t="array" ref="I326">IFERROR(INDEX('Player Raw Data'!S:S,Match($A326,'Player Raw Data'!$B:$B,0)),"")</f>
        <v/>
      </c>
      <c r="J326" t="str">
        <f t="array" ref="J326">IFERROR(INDEX('Player Raw Data'!T:T,Match($A326,'Player Raw Data'!$B:$B,0)),"")</f>
        <v/>
      </c>
      <c r="K326" t="str">
        <f t="array" ref="K326">IFERROR(INDEX('Player Raw Data'!X:X,Match($A326,'Player Raw Data'!$B:$B,0)),"")</f>
        <v/>
      </c>
      <c r="L326" t="str">
        <f t="array" ref="L326">IFERROR(INDEX('Player Raw Data'!Y:Y,Match($A326,'Player Raw Data'!$B:$B,0)),"")</f>
        <v/>
      </c>
      <c r="M326" t="str">
        <f t="array" ref="M326">IFERROR(INDEX('Player Raw Data'!Z:Z,Match($A326,'Player Raw Data'!$B:$B,0)),"")</f>
        <v/>
      </c>
      <c r="N326" t="str">
        <f t="array" ref="N326">IFERROR(INDEX('Player Raw Data'!AA:AA,Match($A326,'Player Raw Data'!$B:$B,0)),"")</f>
        <v/>
      </c>
      <c r="O326" t="str">
        <f t="array" ref="O326">IFERROR(INDEX('Player Raw Data'!AB:AB,Match($A326,'Player Raw Data'!$B:$B,0)),"")</f>
        <v/>
      </c>
      <c r="P326" t="str">
        <f t="array" ref="P326">IFERROR(INDEX('Player Raw Data'!AD:AD,Match($A326,'Player Raw Data'!$B:$B,0)),"")</f>
        <v/>
      </c>
      <c r="Q326">
        <f t="shared" si="1"/>
        <v>0</v>
      </c>
      <c r="R326" s="9">
        <f t="shared" si="2"/>
        <v>0</v>
      </c>
      <c r="S326" s="14">
        <f t="shared" si="3"/>
        <v>0</v>
      </c>
      <c r="T326" s="15">
        <f>IFERROR(__xludf.DUMMYFUNCTION("IFERROR(PERCENTRANK.INC(FILTER(Q:Q,$F:$F&lt;&gt;""""),Q326)*100,"""")"),1.5)</f>
        <v>1.5</v>
      </c>
      <c r="U326" s="15">
        <f>IFERROR(__xludf.DUMMYFUNCTION("IFERROR(PERCENTRANK.INC(FILTER(R:R,$F:$F&lt;&gt;""""),R326)*100,"""")"),1.5)</f>
        <v>1.5</v>
      </c>
      <c r="V326" s="15">
        <f>IFERROR(__xludf.DUMMYFUNCTION("IFERROR(PERCENTRANK.INC(FILTER(S:S,$F:$F&lt;&gt;""""),S326)*100,"""")"),1.5)</f>
        <v>1.5</v>
      </c>
      <c r="W326" s="15" t="str">
        <f t="shared" si="4"/>
        <v/>
      </c>
      <c r="X326" s="16"/>
      <c r="Y326" s="9"/>
      <c r="Z326" s="9"/>
    </row>
    <row r="327">
      <c r="B327" t="str">
        <f t="array" ref="B327">IFERROR(INDEX('Player Raw Data'!E:E,Match($A327,'Player Raw Data'!$B:$B,0)),"")</f>
        <v/>
      </c>
      <c r="C327" t="str">
        <f t="array" ref="C327">IFERROR(INDEX('Player Raw Data'!C:C,Match($A327,'Player Raw Data'!$B:$B,0)),"")</f>
        <v/>
      </c>
      <c r="D327" t="str">
        <f t="array" ref="D327">IFERROR(IF(A327=A326, INDEX('Player Raw Data'!D:D,Match($A327,'Player Raw Data'!$B:$B,0)+2),INDEX('Player Raw Data'!D:D,Match($A327,'Player Raw Data'!$B:$B,0))),"")</f>
        <v/>
      </c>
      <c r="E327" t="str">
        <f t="array" ref="E327">IFERROR(INDEX('Player Raw Data'!F:F,Match($A327,'Player Raw Data'!$B:$B,0)),"")</f>
        <v/>
      </c>
      <c r="F327" t="str">
        <f t="array" ref="F327">IFERROR(INDEX('Player Raw Data'!H:H,Match($A327,'Player Raw Data'!$B:$B,0)),"")</f>
        <v/>
      </c>
      <c r="G327" t="str">
        <f t="array" ref="G327">IFERROR(INDEX('Player Raw Data'!I:I,Match($A327,'Player Raw Data'!$B:$B,0)),"")</f>
        <v/>
      </c>
      <c r="H327" t="str">
        <f t="array" ref="H327">IFERROR(INDEX('Player Raw Data'!J:J,Match($A327,'Player Raw Data'!$B:$B,0)),"")</f>
        <v/>
      </c>
      <c r="I327" t="str">
        <f t="array" ref="I327">IFERROR(INDEX('Player Raw Data'!S:S,Match($A327,'Player Raw Data'!$B:$B,0)),"")</f>
        <v/>
      </c>
      <c r="J327" t="str">
        <f t="array" ref="J327">IFERROR(INDEX('Player Raw Data'!T:T,Match($A327,'Player Raw Data'!$B:$B,0)),"")</f>
        <v/>
      </c>
      <c r="K327" t="str">
        <f t="array" ref="K327">IFERROR(INDEX('Player Raw Data'!X:X,Match($A327,'Player Raw Data'!$B:$B,0)),"")</f>
        <v/>
      </c>
      <c r="L327" t="str">
        <f t="array" ref="L327">IFERROR(INDEX('Player Raw Data'!Y:Y,Match($A327,'Player Raw Data'!$B:$B,0)),"")</f>
        <v/>
      </c>
      <c r="M327" t="str">
        <f t="array" ref="M327">IFERROR(INDEX('Player Raw Data'!Z:Z,Match($A327,'Player Raw Data'!$B:$B,0)),"")</f>
        <v/>
      </c>
      <c r="N327" t="str">
        <f t="array" ref="N327">IFERROR(INDEX('Player Raw Data'!AA:AA,Match($A327,'Player Raw Data'!$B:$B,0)),"")</f>
        <v/>
      </c>
      <c r="O327" t="str">
        <f t="array" ref="O327">IFERROR(INDEX('Player Raw Data'!AB:AB,Match($A327,'Player Raw Data'!$B:$B,0)),"")</f>
        <v/>
      </c>
      <c r="P327" t="str">
        <f t="array" ref="P327">IFERROR(INDEX('Player Raw Data'!AD:AD,Match($A327,'Player Raw Data'!$B:$B,0)),"")</f>
        <v/>
      </c>
      <c r="Q327">
        <f t="shared" si="1"/>
        <v>0</v>
      </c>
      <c r="R327" s="9">
        <f t="shared" si="2"/>
        <v>0</v>
      </c>
      <c r="S327" s="14">
        <f t="shared" si="3"/>
        <v>0</v>
      </c>
      <c r="T327" s="15">
        <f>IFERROR(__xludf.DUMMYFUNCTION("IFERROR(PERCENTRANK.INC(FILTER(Q:Q,$F:$F&lt;&gt;""""),Q327)*100,"""")"),1.5)</f>
        <v>1.5</v>
      </c>
      <c r="U327" s="15">
        <f>IFERROR(__xludf.DUMMYFUNCTION("IFERROR(PERCENTRANK.INC(FILTER(R:R,$F:$F&lt;&gt;""""),R327)*100,"""")"),1.5)</f>
        <v>1.5</v>
      </c>
      <c r="V327" s="15">
        <f>IFERROR(__xludf.DUMMYFUNCTION("IFERROR(PERCENTRANK.INC(FILTER(S:S,$F:$F&lt;&gt;""""),S327)*100,"""")"),1.5)</f>
        <v>1.5</v>
      </c>
      <c r="W327" s="15" t="str">
        <f t="shared" si="4"/>
        <v/>
      </c>
      <c r="X327" s="16"/>
      <c r="Y327" s="9"/>
      <c r="Z327" s="9"/>
    </row>
    <row r="328">
      <c r="B328" t="str">
        <f t="array" ref="B328">IFERROR(INDEX('Player Raw Data'!E:E,Match($A328,'Player Raw Data'!$B:$B,0)),"")</f>
        <v/>
      </c>
      <c r="C328" t="str">
        <f t="array" ref="C328">IFERROR(INDEX('Player Raw Data'!C:C,Match($A328,'Player Raw Data'!$B:$B,0)),"")</f>
        <v/>
      </c>
      <c r="D328" t="str">
        <f t="array" ref="D328">IFERROR(IF(A328=A327, INDEX('Player Raw Data'!D:D,Match($A328,'Player Raw Data'!$B:$B,0)+2),INDEX('Player Raw Data'!D:D,Match($A328,'Player Raw Data'!$B:$B,0))),"")</f>
        <v/>
      </c>
      <c r="E328" t="str">
        <f t="array" ref="E328">IFERROR(INDEX('Player Raw Data'!F:F,Match($A328,'Player Raw Data'!$B:$B,0)),"")</f>
        <v/>
      </c>
      <c r="F328" t="str">
        <f t="array" ref="F328">IFERROR(INDEX('Player Raw Data'!H:H,Match($A328,'Player Raw Data'!$B:$B,0)),"")</f>
        <v/>
      </c>
      <c r="G328" t="str">
        <f t="array" ref="G328">IFERROR(INDEX('Player Raw Data'!I:I,Match($A328,'Player Raw Data'!$B:$B,0)),"")</f>
        <v/>
      </c>
      <c r="H328" t="str">
        <f t="array" ref="H328">IFERROR(INDEX('Player Raw Data'!J:J,Match($A328,'Player Raw Data'!$B:$B,0)),"")</f>
        <v/>
      </c>
      <c r="I328" t="str">
        <f t="array" ref="I328">IFERROR(INDEX('Player Raw Data'!S:S,Match($A328,'Player Raw Data'!$B:$B,0)),"")</f>
        <v/>
      </c>
      <c r="J328" t="str">
        <f t="array" ref="J328">IFERROR(INDEX('Player Raw Data'!T:T,Match($A328,'Player Raw Data'!$B:$B,0)),"")</f>
        <v/>
      </c>
      <c r="K328" t="str">
        <f t="array" ref="K328">IFERROR(INDEX('Player Raw Data'!X:X,Match($A328,'Player Raw Data'!$B:$B,0)),"")</f>
        <v/>
      </c>
      <c r="L328" t="str">
        <f t="array" ref="L328">IFERROR(INDEX('Player Raw Data'!Y:Y,Match($A328,'Player Raw Data'!$B:$B,0)),"")</f>
        <v/>
      </c>
      <c r="M328" t="str">
        <f t="array" ref="M328">IFERROR(INDEX('Player Raw Data'!Z:Z,Match($A328,'Player Raw Data'!$B:$B,0)),"")</f>
        <v/>
      </c>
      <c r="N328" t="str">
        <f t="array" ref="N328">IFERROR(INDEX('Player Raw Data'!AA:AA,Match($A328,'Player Raw Data'!$B:$B,0)),"")</f>
        <v/>
      </c>
      <c r="O328" t="str">
        <f t="array" ref="O328">IFERROR(INDEX('Player Raw Data'!AB:AB,Match($A328,'Player Raw Data'!$B:$B,0)),"")</f>
        <v/>
      </c>
      <c r="P328" t="str">
        <f t="array" ref="P328">IFERROR(INDEX('Player Raw Data'!AD:AD,Match($A328,'Player Raw Data'!$B:$B,0)),"")</f>
        <v/>
      </c>
      <c r="Q328">
        <f t="shared" si="1"/>
        <v>0</v>
      </c>
      <c r="R328" s="9">
        <f t="shared" si="2"/>
        <v>0</v>
      </c>
      <c r="S328" s="14">
        <f t="shared" si="3"/>
        <v>0</v>
      </c>
      <c r="T328" s="15">
        <f>IFERROR(__xludf.DUMMYFUNCTION("IFERROR(PERCENTRANK.INC(FILTER(Q:Q,$F:$F&lt;&gt;""""),Q328)*100,"""")"),1.5)</f>
        <v>1.5</v>
      </c>
      <c r="U328" s="15">
        <f>IFERROR(__xludf.DUMMYFUNCTION("IFERROR(PERCENTRANK.INC(FILTER(R:R,$F:$F&lt;&gt;""""),R328)*100,"""")"),1.5)</f>
        <v>1.5</v>
      </c>
      <c r="V328" s="15">
        <f>IFERROR(__xludf.DUMMYFUNCTION("IFERROR(PERCENTRANK.INC(FILTER(S:S,$F:$F&lt;&gt;""""),S328)*100,"""")"),1.5)</f>
        <v>1.5</v>
      </c>
      <c r="W328" s="15" t="str">
        <f t="shared" si="4"/>
        <v/>
      </c>
      <c r="X328" s="16"/>
      <c r="Y328" s="9"/>
      <c r="Z328" s="9"/>
    </row>
    <row r="329">
      <c r="B329" t="str">
        <f t="array" ref="B329">IFERROR(INDEX('Player Raw Data'!E:E,Match($A329,'Player Raw Data'!$B:$B,0)),"")</f>
        <v/>
      </c>
      <c r="C329" t="str">
        <f t="array" ref="C329">IFERROR(INDEX('Player Raw Data'!C:C,Match($A329,'Player Raw Data'!$B:$B,0)),"")</f>
        <v/>
      </c>
      <c r="D329" t="str">
        <f t="array" ref="D329">IFERROR(IF(A329=A328, INDEX('Player Raw Data'!D:D,Match($A329,'Player Raw Data'!$B:$B,0)+2),INDEX('Player Raw Data'!D:D,Match($A329,'Player Raw Data'!$B:$B,0))),"")</f>
        <v/>
      </c>
      <c r="E329" t="str">
        <f t="array" ref="E329">IFERROR(INDEX('Player Raw Data'!F:F,Match($A329,'Player Raw Data'!$B:$B,0)),"")</f>
        <v/>
      </c>
      <c r="F329" t="str">
        <f t="array" ref="F329">IFERROR(INDEX('Player Raw Data'!H:H,Match($A329,'Player Raw Data'!$B:$B,0)),"")</f>
        <v/>
      </c>
      <c r="G329" t="str">
        <f t="array" ref="G329">IFERROR(INDEX('Player Raw Data'!I:I,Match($A329,'Player Raw Data'!$B:$B,0)),"")</f>
        <v/>
      </c>
      <c r="H329" t="str">
        <f t="array" ref="H329">IFERROR(INDEX('Player Raw Data'!J:J,Match($A329,'Player Raw Data'!$B:$B,0)),"")</f>
        <v/>
      </c>
      <c r="I329" t="str">
        <f t="array" ref="I329">IFERROR(INDEX('Player Raw Data'!S:S,Match($A329,'Player Raw Data'!$B:$B,0)),"")</f>
        <v/>
      </c>
      <c r="J329" t="str">
        <f t="array" ref="J329">IFERROR(INDEX('Player Raw Data'!T:T,Match($A329,'Player Raw Data'!$B:$B,0)),"")</f>
        <v/>
      </c>
      <c r="K329" t="str">
        <f t="array" ref="K329">IFERROR(INDEX('Player Raw Data'!X:X,Match($A329,'Player Raw Data'!$B:$B,0)),"")</f>
        <v/>
      </c>
      <c r="L329" t="str">
        <f t="array" ref="L329">IFERROR(INDEX('Player Raw Data'!Y:Y,Match($A329,'Player Raw Data'!$B:$B,0)),"")</f>
        <v/>
      </c>
      <c r="M329" t="str">
        <f t="array" ref="M329">IFERROR(INDEX('Player Raw Data'!Z:Z,Match($A329,'Player Raw Data'!$B:$B,0)),"")</f>
        <v/>
      </c>
      <c r="N329" t="str">
        <f t="array" ref="N329">IFERROR(INDEX('Player Raw Data'!AA:AA,Match($A329,'Player Raw Data'!$B:$B,0)),"")</f>
        <v/>
      </c>
      <c r="O329" t="str">
        <f t="array" ref="O329">IFERROR(INDEX('Player Raw Data'!AB:AB,Match($A329,'Player Raw Data'!$B:$B,0)),"")</f>
        <v/>
      </c>
      <c r="P329" t="str">
        <f t="array" ref="P329">IFERROR(INDEX('Player Raw Data'!AD:AD,Match($A329,'Player Raw Data'!$B:$B,0)),"")</f>
        <v/>
      </c>
      <c r="Q329">
        <f t="shared" si="1"/>
        <v>0</v>
      </c>
      <c r="R329" s="9">
        <f t="shared" si="2"/>
        <v>0</v>
      </c>
      <c r="S329" s="14">
        <f t="shared" si="3"/>
        <v>0</v>
      </c>
      <c r="T329" s="15">
        <f>IFERROR(__xludf.DUMMYFUNCTION("IFERROR(PERCENTRANK.INC(FILTER(Q:Q,$F:$F&lt;&gt;""""),Q329)*100,"""")"),1.5)</f>
        <v>1.5</v>
      </c>
      <c r="U329" s="15">
        <f>IFERROR(__xludf.DUMMYFUNCTION("IFERROR(PERCENTRANK.INC(FILTER(R:R,$F:$F&lt;&gt;""""),R329)*100,"""")"),1.5)</f>
        <v>1.5</v>
      </c>
      <c r="V329" s="15">
        <f>IFERROR(__xludf.DUMMYFUNCTION("IFERROR(PERCENTRANK.INC(FILTER(S:S,$F:$F&lt;&gt;""""),S329)*100,"""")"),1.5)</f>
        <v>1.5</v>
      </c>
      <c r="W329" s="15" t="str">
        <f t="shared" si="4"/>
        <v/>
      </c>
      <c r="X329" s="16"/>
      <c r="Y329" s="9"/>
      <c r="Z329" s="9"/>
    </row>
    <row r="330">
      <c r="B330" t="str">
        <f t="array" ref="B330">IFERROR(INDEX('Player Raw Data'!E:E,Match($A330,'Player Raw Data'!$B:$B,0)),"")</f>
        <v/>
      </c>
      <c r="C330" t="str">
        <f t="array" ref="C330">IFERROR(INDEX('Player Raw Data'!C:C,Match($A330,'Player Raw Data'!$B:$B,0)),"")</f>
        <v/>
      </c>
      <c r="D330" t="str">
        <f t="array" ref="D330">IFERROR(IF(A330=A329, INDEX('Player Raw Data'!D:D,Match($A330,'Player Raw Data'!$B:$B,0)+2),INDEX('Player Raw Data'!D:D,Match($A330,'Player Raw Data'!$B:$B,0))),"")</f>
        <v/>
      </c>
      <c r="E330" t="str">
        <f t="array" ref="E330">IFERROR(INDEX('Player Raw Data'!F:F,Match($A330,'Player Raw Data'!$B:$B,0)),"")</f>
        <v/>
      </c>
      <c r="F330" t="str">
        <f t="array" ref="F330">IFERROR(INDEX('Player Raw Data'!H:H,Match($A330,'Player Raw Data'!$B:$B,0)),"")</f>
        <v/>
      </c>
      <c r="G330" t="str">
        <f t="array" ref="G330">IFERROR(INDEX('Player Raw Data'!I:I,Match($A330,'Player Raw Data'!$B:$B,0)),"")</f>
        <v/>
      </c>
      <c r="H330" t="str">
        <f t="array" ref="H330">IFERROR(INDEX('Player Raw Data'!J:J,Match($A330,'Player Raw Data'!$B:$B,0)),"")</f>
        <v/>
      </c>
      <c r="I330" t="str">
        <f t="array" ref="I330">IFERROR(INDEX('Player Raw Data'!S:S,Match($A330,'Player Raw Data'!$B:$B,0)),"")</f>
        <v/>
      </c>
      <c r="J330" t="str">
        <f t="array" ref="J330">IFERROR(INDEX('Player Raw Data'!T:T,Match($A330,'Player Raw Data'!$B:$B,0)),"")</f>
        <v/>
      </c>
      <c r="K330" t="str">
        <f t="array" ref="K330">IFERROR(INDEX('Player Raw Data'!X:X,Match($A330,'Player Raw Data'!$B:$B,0)),"")</f>
        <v/>
      </c>
      <c r="L330" t="str">
        <f t="array" ref="L330">IFERROR(INDEX('Player Raw Data'!Y:Y,Match($A330,'Player Raw Data'!$B:$B,0)),"")</f>
        <v/>
      </c>
      <c r="M330" t="str">
        <f t="array" ref="M330">IFERROR(INDEX('Player Raw Data'!Z:Z,Match($A330,'Player Raw Data'!$B:$B,0)),"")</f>
        <v/>
      </c>
      <c r="N330" t="str">
        <f t="array" ref="N330">IFERROR(INDEX('Player Raw Data'!AA:AA,Match($A330,'Player Raw Data'!$B:$B,0)),"")</f>
        <v/>
      </c>
      <c r="O330" t="str">
        <f t="array" ref="O330">IFERROR(INDEX('Player Raw Data'!AB:AB,Match($A330,'Player Raw Data'!$B:$B,0)),"")</f>
        <v/>
      </c>
      <c r="P330" t="str">
        <f t="array" ref="P330">IFERROR(INDEX('Player Raw Data'!AD:AD,Match($A330,'Player Raw Data'!$B:$B,0)),"")</f>
        <v/>
      </c>
      <c r="Q330">
        <f t="shared" si="1"/>
        <v>0</v>
      </c>
      <c r="R330" s="9">
        <f t="shared" si="2"/>
        <v>0</v>
      </c>
      <c r="S330" s="14">
        <f t="shared" si="3"/>
        <v>0</v>
      </c>
      <c r="T330" s="15">
        <f>IFERROR(__xludf.DUMMYFUNCTION("IFERROR(PERCENTRANK.INC(FILTER(Q:Q,$F:$F&lt;&gt;""""),Q330)*100,"""")"),1.5)</f>
        <v>1.5</v>
      </c>
      <c r="U330" s="15">
        <f>IFERROR(__xludf.DUMMYFUNCTION("IFERROR(PERCENTRANK.INC(FILTER(R:R,$F:$F&lt;&gt;""""),R330)*100,"""")"),1.5)</f>
        <v>1.5</v>
      </c>
      <c r="V330" s="15">
        <f>IFERROR(__xludf.DUMMYFUNCTION("IFERROR(PERCENTRANK.INC(FILTER(S:S,$F:$F&lt;&gt;""""),S330)*100,"""")"),1.5)</f>
        <v>1.5</v>
      </c>
      <c r="W330" s="15" t="str">
        <f t="shared" si="4"/>
        <v/>
      </c>
      <c r="X330" s="16"/>
      <c r="Y330" s="9"/>
      <c r="Z330" s="9"/>
    </row>
    <row r="331">
      <c r="B331" t="str">
        <f t="array" ref="B331">IFERROR(INDEX('Player Raw Data'!E:E,Match($A331,'Player Raw Data'!$B:$B,0)),"")</f>
        <v/>
      </c>
      <c r="C331" t="str">
        <f t="array" ref="C331">IFERROR(INDEX('Player Raw Data'!C:C,Match($A331,'Player Raw Data'!$B:$B,0)),"")</f>
        <v/>
      </c>
      <c r="D331" t="str">
        <f t="array" ref="D331">IFERROR(IF(A331=A330, INDEX('Player Raw Data'!D:D,Match($A331,'Player Raw Data'!$B:$B,0)+2),INDEX('Player Raw Data'!D:D,Match($A331,'Player Raw Data'!$B:$B,0))),"")</f>
        <v/>
      </c>
      <c r="E331" t="str">
        <f t="array" ref="E331">IFERROR(INDEX('Player Raw Data'!F:F,Match($A331,'Player Raw Data'!$B:$B,0)),"")</f>
        <v/>
      </c>
      <c r="F331" t="str">
        <f t="array" ref="F331">IFERROR(INDEX('Player Raw Data'!H:H,Match($A331,'Player Raw Data'!$B:$B,0)),"")</f>
        <v/>
      </c>
      <c r="G331" t="str">
        <f t="array" ref="G331">IFERROR(INDEX('Player Raw Data'!I:I,Match($A331,'Player Raw Data'!$B:$B,0)),"")</f>
        <v/>
      </c>
      <c r="H331" t="str">
        <f t="array" ref="H331">IFERROR(INDEX('Player Raw Data'!J:J,Match($A331,'Player Raw Data'!$B:$B,0)),"")</f>
        <v/>
      </c>
      <c r="I331" t="str">
        <f t="array" ref="I331">IFERROR(INDEX('Player Raw Data'!S:S,Match($A331,'Player Raw Data'!$B:$B,0)),"")</f>
        <v/>
      </c>
      <c r="J331" t="str">
        <f t="array" ref="J331">IFERROR(INDEX('Player Raw Data'!T:T,Match($A331,'Player Raw Data'!$B:$B,0)),"")</f>
        <v/>
      </c>
      <c r="K331" t="str">
        <f t="array" ref="K331">IFERROR(INDEX('Player Raw Data'!X:X,Match($A331,'Player Raw Data'!$B:$B,0)),"")</f>
        <v/>
      </c>
      <c r="L331" t="str">
        <f t="array" ref="L331">IFERROR(INDEX('Player Raw Data'!Y:Y,Match($A331,'Player Raw Data'!$B:$B,0)),"")</f>
        <v/>
      </c>
      <c r="M331" t="str">
        <f t="array" ref="M331">IFERROR(INDEX('Player Raw Data'!Z:Z,Match($A331,'Player Raw Data'!$B:$B,0)),"")</f>
        <v/>
      </c>
      <c r="N331" t="str">
        <f t="array" ref="N331">IFERROR(INDEX('Player Raw Data'!AA:AA,Match($A331,'Player Raw Data'!$B:$B,0)),"")</f>
        <v/>
      </c>
      <c r="O331" t="str">
        <f t="array" ref="O331">IFERROR(INDEX('Player Raw Data'!AB:AB,Match($A331,'Player Raw Data'!$B:$B,0)),"")</f>
        <v/>
      </c>
      <c r="P331" t="str">
        <f t="array" ref="P331">IFERROR(INDEX('Player Raw Data'!AD:AD,Match($A331,'Player Raw Data'!$B:$B,0)),"")</f>
        <v/>
      </c>
      <c r="Q331">
        <f t="shared" si="1"/>
        <v>0</v>
      </c>
      <c r="R331" s="9">
        <f t="shared" si="2"/>
        <v>0</v>
      </c>
      <c r="S331" s="14">
        <f t="shared" si="3"/>
        <v>0</v>
      </c>
      <c r="T331" s="15">
        <f>IFERROR(__xludf.DUMMYFUNCTION("IFERROR(PERCENTRANK.INC(FILTER(Q:Q,$F:$F&lt;&gt;""""),Q331)*100,"""")"),1.5)</f>
        <v>1.5</v>
      </c>
      <c r="U331" s="15">
        <f>IFERROR(__xludf.DUMMYFUNCTION("IFERROR(PERCENTRANK.INC(FILTER(R:R,$F:$F&lt;&gt;""""),R331)*100,"""")"),1.5)</f>
        <v>1.5</v>
      </c>
      <c r="V331" s="15">
        <f>IFERROR(__xludf.DUMMYFUNCTION("IFERROR(PERCENTRANK.INC(FILTER(S:S,$F:$F&lt;&gt;""""),S331)*100,"""")"),1.5)</f>
        <v>1.5</v>
      </c>
      <c r="W331" s="15" t="str">
        <f t="shared" si="4"/>
        <v/>
      </c>
      <c r="X331" s="16"/>
      <c r="Y331" s="9"/>
      <c r="Z331" s="9"/>
    </row>
    <row r="332">
      <c r="B332" t="str">
        <f t="array" ref="B332">IFERROR(INDEX('Player Raw Data'!E:E,Match($A332,'Player Raw Data'!$B:$B,0)),"")</f>
        <v/>
      </c>
      <c r="C332" t="str">
        <f t="array" ref="C332">IFERROR(INDEX('Player Raw Data'!C:C,Match($A332,'Player Raw Data'!$B:$B,0)),"")</f>
        <v/>
      </c>
      <c r="D332" t="str">
        <f t="array" ref="D332">IFERROR(IF(A332=A331, INDEX('Player Raw Data'!D:D,Match($A332,'Player Raw Data'!$B:$B,0)+2),INDEX('Player Raw Data'!D:D,Match($A332,'Player Raw Data'!$B:$B,0))),"")</f>
        <v/>
      </c>
      <c r="E332" t="str">
        <f t="array" ref="E332">IFERROR(INDEX('Player Raw Data'!F:F,Match($A332,'Player Raw Data'!$B:$B,0)),"")</f>
        <v/>
      </c>
      <c r="F332" t="str">
        <f t="array" ref="F332">IFERROR(INDEX('Player Raw Data'!H:H,Match($A332,'Player Raw Data'!$B:$B,0)),"")</f>
        <v/>
      </c>
      <c r="G332" t="str">
        <f t="array" ref="G332">IFERROR(INDEX('Player Raw Data'!I:I,Match($A332,'Player Raw Data'!$B:$B,0)),"")</f>
        <v/>
      </c>
      <c r="H332" t="str">
        <f t="array" ref="H332">IFERROR(INDEX('Player Raw Data'!J:J,Match($A332,'Player Raw Data'!$B:$B,0)),"")</f>
        <v/>
      </c>
      <c r="I332" t="str">
        <f t="array" ref="I332">IFERROR(INDEX('Player Raw Data'!S:S,Match($A332,'Player Raw Data'!$B:$B,0)),"")</f>
        <v/>
      </c>
      <c r="J332" t="str">
        <f t="array" ref="J332">IFERROR(INDEX('Player Raw Data'!T:T,Match($A332,'Player Raw Data'!$B:$B,0)),"")</f>
        <v/>
      </c>
      <c r="K332" t="str">
        <f t="array" ref="K332">IFERROR(INDEX('Player Raw Data'!X:X,Match($A332,'Player Raw Data'!$B:$B,0)),"")</f>
        <v/>
      </c>
      <c r="L332" t="str">
        <f t="array" ref="L332">IFERROR(INDEX('Player Raw Data'!Y:Y,Match($A332,'Player Raw Data'!$B:$B,0)),"")</f>
        <v/>
      </c>
      <c r="M332" t="str">
        <f t="array" ref="M332">IFERROR(INDEX('Player Raw Data'!Z:Z,Match($A332,'Player Raw Data'!$B:$B,0)),"")</f>
        <v/>
      </c>
      <c r="N332" t="str">
        <f t="array" ref="N332">IFERROR(INDEX('Player Raw Data'!AA:AA,Match($A332,'Player Raw Data'!$B:$B,0)),"")</f>
        <v/>
      </c>
      <c r="O332" t="str">
        <f t="array" ref="O332">IFERROR(INDEX('Player Raw Data'!AB:AB,Match($A332,'Player Raw Data'!$B:$B,0)),"")</f>
        <v/>
      </c>
      <c r="P332" t="str">
        <f t="array" ref="P332">IFERROR(INDEX('Player Raw Data'!AD:AD,Match($A332,'Player Raw Data'!$B:$B,0)),"")</f>
        <v/>
      </c>
      <c r="Q332">
        <f t="shared" si="1"/>
        <v>0</v>
      </c>
      <c r="R332" s="9">
        <f t="shared" si="2"/>
        <v>0</v>
      </c>
      <c r="S332" s="14">
        <f t="shared" si="3"/>
        <v>0</v>
      </c>
      <c r="T332" s="15">
        <f>IFERROR(__xludf.DUMMYFUNCTION("IFERROR(PERCENTRANK.INC(FILTER(Q:Q,$F:$F&lt;&gt;""""),Q332)*100,"""")"),1.5)</f>
        <v>1.5</v>
      </c>
      <c r="U332" s="15">
        <f>IFERROR(__xludf.DUMMYFUNCTION("IFERROR(PERCENTRANK.INC(FILTER(R:R,$F:$F&lt;&gt;""""),R332)*100,"""")"),1.5)</f>
        <v>1.5</v>
      </c>
      <c r="V332" s="15">
        <f>IFERROR(__xludf.DUMMYFUNCTION("IFERROR(PERCENTRANK.INC(FILTER(S:S,$F:$F&lt;&gt;""""),S332)*100,"""")"),1.5)</f>
        <v>1.5</v>
      </c>
      <c r="W332" s="15" t="str">
        <f t="shared" si="4"/>
        <v/>
      </c>
      <c r="X332" s="16"/>
      <c r="Y332" s="9"/>
      <c r="Z332" s="9"/>
    </row>
    <row r="333">
      <c r="B333" t="str">
        <f t="array" ref="B333">IFERROR(INDEX('Player Raw Data'!E:E,Match($A333,'Player Raw Data'!$B:$B,0)),"")</f>
        <v/>
      </c>
      <c r="C333" t="str">
        <f t="array" ref="C333">IFERROR(INDEX('Player Raw Data'!C:C,Match($A333,'Player Raw Data'!$B:$B,0)),"")</f>
        <v/>
      </c>
      <c r="D333" t="str">
        <f t="array" ref="D333">IFERROR(IF(A333=A332, INDEX('Player Raw Data'!D:D,Match($A333,'Player Raw Data'!$B:$B,0)+2),INDEX('Player Raw Data'!D:D,Match($A333,'Player Raw Data'!$B:$B,0))),"")</f>
        <v/>
      </c>
      <c r="E333" t="str">
        <f t="array" ref="E333">IFERROR(INDEX('Player Raw Data'!F:F,Match($A333,'Player Raw Data'!$B:$B,0)),"")</f>
        <v/>
      </c>
      <c r="F333" t="str">
        <f t="array" ref="F333">IFERROR(INDEX('Player Raw Data'!H:H,Match($A333,'Player Raw Data'!$B:$B,0)),"")</f>
        <v/>
      </c>
      <c r="G333" t="str">
        <f t="array" ref="G333">IFERROR(INDEX('Player Raw Data'!I:I,Match($A333,'Player Raw Data'!$B:$B,0)),"")</f>
        <v/>
      </c>
      <c r="H333" t="str">
        <f t="array" ref="H333">IFERROR(INDEX('Player Raw Data'!J:J,Match($A333,'Player Raw Data'!$B:$B,0)),"")</f>
        <v/>
      </c>
      <c r="I333" t="str">
        <f t="array" ref="I333">IFERROR(INDEX('Player Raw Data'!S:S,Match($A333,'Player Raw Data'!$B:$B,0)),"")</f>
        <v/>
      </c>
      <c r="J333" t="str">
        <f t="array" ref="J333">IFERROR(INDEX('Player Raw Data'!T:T,Match($A333,'Player Raw Data'!$B:$B,0)),"")</f>
        <v/>
      </c>
      <c r="K333" t="str">
        <f t="array" ref="K333">IFERROR(INDEX('Player Raw Data'!X:X,Match($A333,'Player Raw Data'!$B:$B,0)),"")</f>
        <v/>
      </c>
      <c r="L333" t="str">
        <f t="array" ref="L333">IFERROR(INDEX('Player Raw Data'!Y:Y,Match($A333,'Player Raw Data'!$B:$B,0)),"")</f>
        <v/>
      </c>
      <c r="M333" t="str">
        <f t="array" ref="M333">IFERROR(INDEX('Player Raw Data'!Z:Z,Match($A333,'Player Raw Data'!$B:$B,0)),"")</f>
        <v/>
      </c>
      <c r="N333" t="str">
        <f t="array" ref="N333">IFERROR(INDEX('Player Raw Data'!AA:AA,Match($A333,'Player Raw Data'!$B:$B,0)),"")</f>
        <v/>
      </c>
      <c r="O333" t="str">
        <f t="array" ref="O333">IFERROR(INDEX('Player Raw Data'!AB:AB,Match($A333,'Player Raw Data'!$B:$B,0)),"")</f>
        <v/>
      </c>
      <c r="P333" t="str">
        <f t="array" ref="P333">IFERROR(INDEX('Player Raw Data'!AD:AD,Match($A333,'Player Raw Data'!$B:$B,0)),"")</f>
        <v/>
      </c>
      <c r="Q333">
        <f t="shared" si="1"/>
        <v>0</v>
      </c>
      <c r="R333" s="9">
        <f t="shared" si="2"/>
        <v>0</v>
      </c>
      <c r="S333" s="14">
        <f t="shared" si="3"/>
        <v>0</v>
      </c>
      <c r="T333" s="15">
        <f>IFERROR(__xludf.DUMMYFUNCTION("IFERROR(PERCENTRANK.INC(FILTER(Q:Q,$F:$F&lt;&gt;""""),Q333)*100,"""")"),1.5)</f>
        <v>1.5</v>
      </c>
      <c r="U333" s="15">
        <f>IFERROR(__xludf.DUMMYFUNCTION("IFERROR(PERCENTRANK.INC(FILTER(R:R,$F:$F&lt;&gt;""""),R333)*100,"""")"),1.5)</f>
        <v>1.5</v>
      </c>
      <c r="V333" s="15">
        <f>IFERROR(__xludf.DUMMYFUNCTION("IFERROR(PERCENTRANK.INC(FILTER(S:S,$F:$F&lt;&gt;""""),S333)*100,"""")"),1.5)</f>
        <v>1.5</v>
      </c>
      <c r="W333" s="15" t="str">
        <f t="shared" si="4"/>
        <v/>
      </c>
      <c r="X333" s="16"/>
      <c r="Y333" s="9"/>
      <c r="Z333" s="9"/>
    </row>
    <row r="334">
      <c r="B334" t="str">
        <f t="array" ref="B334">IFERROR(INDEX('Player Raw Data'!E:E,Match($A334,'Player Raw Data'!$B:$B,0)),"")</f>
        <v/>
      </c>
      <c r="C334" t="str">
        <f t="array" ref="C334">IFERROR(INDEX('Player Raw Data'!C:C,Match($A334,'Player Raw Data'!$B:$B,0)),"")</f>
        <v/>
      </c>
      <c r="D334" t="str">
        <f t="array" ref="D334">IFERROR(IF(A334=A333, INDEX('Player Raw Data'!D:D,Match($A334,'Player Raw Data'!$B:$B,0)+2),INDEX('Player Raw Data'!D:D,Match($A334,'Player Raw Data'!$B:$B,0))),"")</f>
        <v/>
      </c>
      <c r="E334" t="str">
        <f t="array" ref="E334">IFERROR(INDEX('Player Raw Data'!F:F,Match($A334,'Player Raw Data'!$B:$B,0)),"")</f>
        <v/>
      </c>
      <c r="F334" t="str">
        <f t="array" ref="F334">IFERROR(INDEX('Player Raw Data'!H:H,Match($A334,'Player Raw Data'!$B:$B,0)),"")</f>
        <v/>
      </c>
      <c r="G334" t="str">
        <f t="array" ref="G334">IFERROR(INDEX('Player Raw Data'!I:I,Match($A334,'Player Raw Data'!$B:$B,0)),"")</f>
        <v/>
      </c>
      <c r="H334" t="str">
        <f t="array" ref="H334">IFERROR(INDEX('Player Raw Data'!J:J,Match($A334,'Player Raw Data'!$B:$B,0)),"")</f>
        <v/>
      </c>
      <c r="I334" t="str">
        <f t="array" ref="I334">IFERROR(INDEX('Player Raw Data'!S:S,Match($A334,'Player Raw Data'!$B:$B,0)),"")</f>
        <v/>
      </c>
      <c r="J334" t="str">
        <f t="array" ref="J334">IFERROR(INDEX('Player Raw Data'!T:T,Match($A334,'Player Raw Data'!$B:$B,0)),"")</f>
        <v/>
      </c>
      <c r="K334" t="str">
        <f t="array" ref="K334">IFERROR(INDEX('Player Raw Data'!X:X,Match($A334,'Player Raw Data'!$B:$B,0)),"")</f>
        <v/>
      </c>
      <c r="L334" t="str">
        <f t="array" ref="L334">IFERROR(INDEX('Player Raw Data'!Y:Y,Match($A334,'Player Raw Data'!$B:$B,0)),"")</f>
        <v/>
      </c>
      <c r="M334" t="str">
        <f t="array" ref="M334">IFERROR(INDEX('Player Raw Data'!Z:Z,Match($A334,'Player Raw Data'!$B:$B,0)),"")</f>
        <v/>
      </c>
      <c r="N334" t="str">
        <f t="array" ref="N334">IFERROR(INDEX('Player Raw Data'!AA:AA,Match($A334,'Player Raw Data'!$B:$B,0)),"")</f>
        <v/>
      </c>
      <c r="O334" t="str">
        <f t="array" ref="O334">IFERROR(INDEX('Player Raw Data'!AB:AB,Match($A334,'Player Raw Data'!$B:$B,0)),"")</f>
        <v/>
      </c>
      <c r="P334" t="str">
        <f t="array" ref="P334">IFERROR(INDEX('Player Raw Data'!AD:AD,Match($A334,'Player Raw Data'!$B:$B,0)),"")</f>
        <v/>
      </c>
      <c r="Q334">
        <f t="shared" si="1"/>
        <v>0</v>
      </c>
      <c r="R334" s="9">
        <f t="shared" si="2"/>
        <v>0</v>
      </c>
      <c r="S334" s="14">
        <f t="shared" si="3"/>
        <v>0</v>
      </c>
      <c r="T334" s="15">
        <f>IFERROR(__xludf.DUMMYFUNCTION("IFERROR(PERCENTRANK.INC(FILTER(Q:Q,$F:$F&lt;&gt;""""),Q334)*100,"""")"),1.5)</f>
        <v>1.5</v>
      </c>
      <c r="U334" s="15">
        <f>IFERROR(__xludf.DUMMYFUNCTION("IFERROR(PERCENTRANK.INC(FILTER(R:R,$F:$F&lt;&gt;""""),R334)*100,"""")"),1.5)</f>
        <v>1.5</v>
      </c>
      <c r="V334" s="15">
        <f>IFERROR(__xludf.DUMMYFUNCTION("IFERROR(PERCENTRANK.INC(FILTER(S:S,$F:$F&lt;&gt;""""),S334)*100,"""")"),1.5)</f>
        <v>1.5</v>
      </c>
      <c r="W334" s="15" t="str">
        <f t="shared" si="4"/>
        <v/>
      </c>
      <c r="X334" s="16"/>
      <c r="Y334" s="9"/>
      <c r="Z334" s="9"/>
    </row>
    <row r="335">
      <c r="B335" t="str">
        <f t="array" ref="B335">IFERROR(INDEX('Player Raw Data'!E:E,Match($A335,'Player Raw Data'!$B:$B,0)),"")</f>
        <v/>
      </c>
      <c r="C335" t="str">
        <f t="array" ref="C335">IFERROR(INDEX('Player Raw Data'!C:C,Match($A335,'Player Raw Data'!$B:$B,0)),"")</f>
        <v/>
      </c>
      <c r="D335" t="str">
        <f t="array" ref="D335">IFERROR(IF(A335=A334, INDEX('Player Raw Data'!D:D,Match($A335,'Player Raw Data'!$B:$B,0)+2),INDEX('Player Raw Data'!D:D,Match($A335,'Player Raw Data'!$B:$B,0))),"")</f>
        <v/>
      </c>
      <c r="E335" t="str">
        <f t="array" ref="E335">IFERROR(INDEX('Player Raw Data'!F:F,Match($A335,'Player Raw Data'!$B:$B,0)),"")</f>
        <v/>
      </c>
      <c r="F335" t="str">
        <f t="array" ref="F335">IFERROR(INDEX('Player Raw Data'!H:H,Match($A335,'Player Raw Data'!$B:$B,0)),"")</f>
        <v/>
      </c>
      <c r="G335" t="str">
        <f t="array" ref="G335">IFERROR(INDEX('Player Raw Data'!I:I,Match($A335,'Player Raw Data'!$B:$B,0)),"")</f>
        <v/>
      </c>
      <c r="H335" t="str">
        <f t="array" ref="H335">IFERROR(INDEX('Player Raw Data'!J:J,Match($A335,'Player Raw Data'!$B:$B,0)),"")</f>
        <v/>
      </c>
      <c r="I335" t="str">
        <f t="array" ref="I335">IFERROR(INDEX('Player Raw Data'!S:S,Match($A335,'Player Raw Data'!$B:$B,0)),"")</f>
        <v/>
      </c>
      <c r="J335" t="str">
        <f t="array" ref="J335">IFERROR(INDEX('Player Raw Data'!T:T,Match($A335,'Player Raw Data'!$B:$B,0)),"")</f>
        <v/>
      </c>
      <c r="K335" t="str">
        <f t="array" ref="K335">IFERROR(INDEX('Player Raw Data'!X:X,Match($A335,'Player Raw Data'!$B:$B,0)),"")</f>
        <v/>
      </c>
      <c r="L335" t="str">
        <f t="array" ref="L335">IFERROR(INDEX('Player Raw Data'!Y:Y,Match($A335,'Player Raw Data'!$B:$B,0)),"")</f>
        <v/>
      </c>
      <c r="M335" t="str">
        <f t="array" ref="M335">IFERROR(INDEX('Player Raw Data'!Z:Z,Match($A335,'Player Raw Data'!$B:$B,0)),"")</f>
        <v/>
      </c>
      <c r="N335" t="str">
        <f t="array" ref="N335">IFERROR(INDEX('Player Raw Data'!AA:AA,Match($A335,'Player Raw Data'!$B:$B,0)),"")</f>
        <v/>
      </c>
      <c r="O335" t="str">
        <f t="array" ref="O335">IFERROR(INDEX('Player Raw Data'!AB:AB,Match($A335,'Player Raw Data'!$B:$B,0)),"")</f>
        <v/>
      </c>
      <c r="P335" t="str">
        <f t="array" ref="P335">IFERROR(INDEX('Player Raw Data'!AD:AD,Match($A335,'Player Raw Data'!$B:$B,0)),"")</f>
        <v/>
      </c>
      <c r="Q335">
        <f t="shared" si="1"/>
        <v>0</v>
      </c>
      <c r="R335" s="9">
        <f t="shared" si="2"/>
        <v>0</v>
      </c>
      <c r="S335" s="14">
        <f t="shared" si="3"/>
        <v>0</v>
      </c>
      <c r="T335" s="15">
        <f>IFERROR(__xludf.DUMMYFUNCTION("IFERROR(PERCENTRANK.INC(FILTER(Q:Q,$F:$F&lt;&gt;""""),Q335)*100,"""")"),1.5)</f>
        <v>1.5</v>
      </c>
      <c r="U335" s="15">
        <f>IFERROR(__xludf.DUMMYFUNCTION("IFERROR(PERCENTRANK.INC(FILTER(R:R,$F:$F&lt;&gt;""""),R335)*100,"""")"),1.5)</f>
        <v>1.5</v>
      </c>
      <c r="V335" s="15">
        <f>IFERROR(__xludf.DUMMYFUNCTION("IFERROR(PERCENTRANK.INC(FILTER(S:S,$F:$F&lt;&gt;""""),S335)*100,"""")"),1.5)</f>
        <v>1.5</v>
      </c>
      <c r="W335" s="15" t="str">
        <f t="shared" si="4"/>
        <v/>
      </c>
      <c r="X335" s="16"/>
      <c r="Y335" s="9"/>
      <c r="Z335" s="9"/>
    </row>
    <row r="336">
      <c r="B336" t="str">
        <f t="array" ref="B336">IFERROR(INDEX('Player Raw Data'!E:E,Match($A336,'Player Raw Data'!$B:$B,0)),"")</f>
        <v/>
      </c>
      <c r="C336" t="str">
        <f t="array" ref="C336">IFERROR(INDEX('Player Raw Data'!C:C,Match($A336,'Player Raw Data'!$B:$B,0)),"")</f>
        <v/>
      </c>
      <c r="D336" t="str">
        <f t="array" ref="D336">IFERROR(IF(A336=A335, INDEX('Player Raw Data'!D:D,Match($A336,'Player Raw Data'!$B:$B,0)+2),INDEX('Player Raw Data'!D:D,Match($A336,'Player Raw Data'!$B:$B,0))),"")</f>
        <v/>
      </c>
      <c r="E336" t="str">
        <f t="array" ref="E336">IFERROR(INDEX('Player Raw Data'!F:F,Match($A336,'Player Raw Data'!$B:$B,0)),"")</f>
        <v/>
      </c>
      <c r="F336" t="str">
        <f t="array" ref="F336">IFERROR(INDEX('Player Raw Data'!H:H,Match($A336,'Player Raw Data'!$B:$B,0)),"")</f>
        <v/>
      </c>
      <c r="G336" t="str">
        <f t="array" ref="G336">IFERROR(INDEX('Player Raw Data'!I:I,Match($A336,'Player Raw Data'!$B:$B,0)),"")</f>
        <v/>
      </c>
      <c r="H336" t="str">
        <f t="array" ref="H336">IFERROR(INDEX('Player Raw Data'!J:J,Match($A336,'Player Raw Data'!$B:$B,0)),"")</f>
        <v/>
      </c>
      <c r="I336" t="str">
        <f t="array" ref="I336">IFERROR(INDEX('Player Raw Data'!S:S,Match($A336,'Player Raw Data'!$B:$B,0)),"")</f>
        <v/>
      </c>
      <c r="J336" t="str">
        <f t="array" ref="J336">IFERROR(INDEX('Player Raw Data'!T:T,Match($A336,'Player Raw Data'!$B:$B,0)),"")</f>
        <v/>
      </c>
      <c r="K336" t="str">
        <f t="array" ref="K336">IFERROR(INDEX('Player Raw Data'!X:X,Match($A336,'Player Raw Data'!$B:$B,0)),"")</f>
        <v/>
      </c>
      <c r="L336" t="str">
        <f t="array" ref="L336">IFERROR(INDEX('Player Raw Data'!Y:Y,Match($A336,'Player Raw Data'!$B:$B,0)),"")</f>
        <v/>
      </c>
      <c r="M336" t="str">
        <f t="array" ref="M336">IFERROR(INDEX('Player Raw Data'!Z:Z,Match($A336,'Player Raw Data'!$B:$B,0)),"")</f>
        <v/>
      </c>
      <c r="N336" t="str">
        <f t="array" ref="N336">IFERROR(INDEX('Player Raw Data'!AA:AA,Match($A336,'Player Raw Data'!$B:$B,0)),"")</f>
        <v/>
      </c>
      <c r="O336" t="str">
        <f t="array" ref="O336">IFERROR(INDEX('Player Raw Data'!AB:AB,Match($A336,'Player Raw Data'!$B:$B,0)),"")</f>
        <v/>
      </c>
      <c r="P336" t="str">
        <f t="array" ref="P336">IFERROR(INDEX('Player Raw Data'!AD:AD,Match($A336,'Player Raw Data'!$B:$B,0)),"")</f>
        <v/>
      </c>
      <c r="Q336">
        <f t="shared" si="1"/>
        <v>0</v>
      </c>
      <c r="R336" s="9">
        <f t="shared" si="2"/>
        <v>0</v>
      </c>
      <c r="S336" s="14">
        <f t="shared" si="3"/>
        <v>0</v>
      </c>
      <c r="T336" s="15">
        <f>IFERROR(__xludf.DUMMYFUNCTION("IFERROR(PERCENTRANK.INC(FILTER(Q:Q,$F:$F&lt;&gt;""""),Q336)*100,"""")"),1.5)</f>
        <v>1.5</v>
      </c>
      <c r="U336" s="15">
        <f>IFERROR(__xludf.DUMMYFUNCTION("IFERROR(PERCENTRANK.INC(FILTER(R:R,$F:$F&lt;&gt;""""),R336)*100,"""")"),1.5)</f>
        <v>1.5</v>
      </c>
      <c r="V336" s="15">
        <f>IFERROR(__xludf.DUMMYFUNCTION("IFERROR(PERCENTRANK.INC(FILTER(S:S,$F:$F&lt;&gt;""""),S336)*100,"""")"),1.5)</f>
        <v>1.5</v>
      </c>
      <c r="W336" s="15" t="str">
        <f t="shared" si="4"/>
        <v/>
      </c>
      <c r="X336" s="16"/>
      <c r="Y336" s="9"/>
      <c r="Z336" s="9"/>
    </row>
    <row r="337">
      <c r="B337" t="str">
        <f t="array" ref="B337">IFERROR(INDEX('Player Raw Data'!E:E,Match($A337,'Player Raw Data'!$B:$B,0)),"")</f>
        <v/>
      </c>
      <c r="C337" t="str">
        <f t="array" ref="C337">IFERROR(INDEX('Player Raw Data'!C:C,Match($A337,'Player Raw Data'!$B:$B,0)),"")</f>
        <v/>
      </c>
      <c r="D337" t="str">
        <f t="array" ref="D337">IFERROR(IF(A337=A336, INDEX('Player Raw Data'!D:D,Match($A337,'Player Raw Data'!$B:$B,0)+2),INDEX('Player Raw Data'!D:D,Match($A337,'Player Raw Data'!$B:$B,0))),"")</f>
        <v/>
      </c>
      <c r="E337" t="str">
        <f t="array" ref="E337">IFERROR(INDEX('Player Raw Data'!F:F,Match($A337,'Player Raw Data'!$B:$B,0)),"")</f>
        <v/>
      </c>
      <c r="F337" t="str">
        <f t="array" ref="F337">IFERROR(INDEX('Player Raw Data'!H:H,Match($A337,'Player Raw Data'!$B:$B,0)),"")</f>
        <v/>
      </c>
      <c r="G337" t="str">
        <f t="array" ref="G337">IFERROR(INDEX('Player Raw Data'!I:I,Match($A337,'Player Raw Data'!$B:$B,0)),"")</f>
        <v/>
      </c>
      <c r="H337" t="str">
        <f t="array" ref="H337">IFERROR(INDEX('Player Raw Data'!J:J,Match($A337,'Player Raw Data'!$B:$B,0)),"")</f>
        <v/>
      </c>
      <c r="I337" t="str">
        <f t="array" ref="I337">IFERROR(INDEX('Player Raw Data'!S:S,Match($A337,'Player Raw Data'!$B:$B,0)),"")</f>
        <v/>
      </c>
      <c r="J337" t="str">
        <f t="array" ref="J337">IFERROR(INDEX('Player Raw Data'!T:T,Match($A337,'Player Raw Data'!$B:$B,0)),"")</f>
        <v/>
      </c>
      <c r="K337" t="str">
        <f t="array" ref="K337">IFERROR(INDEX('Player Raw Data'!X:X,Match($A337,'Player Raw Data'!$B:$B,0)),"")</f>
        <v/>
      </c>
      <c r="L337" t="str">
        <f t="array" ref="L337">IFERROR(INDEX('Player Raw Data'!Y:Y,Match($A337,'Player Raw Data'!$B:$B,0)),"")</f>
        <v/>
      </c>
      <c r="M337" t="str">
        <f t="array" ref="M337">IFERROR(INDEX('Player Raw Data'!Z:Z,Match($A337,'Player Raw Data'!$B:$B,0)),"")</f>
        <v/>
      </c>
      <c r="N337" t="str">
        <f t="array" ref="N337">IFERROR(INDEX('Player Raw Data'!AA:AA,Match($A337,'Player Raw Data'!$B:$B,0)),"")</f>
        <v/>
      </c>
      <c r="O337" t="str">
        <f t="array" ref="O337">IFERROR(INDEX('Player Raw Data'!AB:AB,Match($A337,'Player Raw Data'!$B:$B,0)),"")</f>
        <v/>
      </c>
      <c r="P337" t="str">
        <f t="array" ref="P337">IFERROR(INDEX('Player Raw Data'!AD:AD,Match($A337,'Player Raw Data'!$B:$B,0)),"")</f>
        <v/>
      </c>
      <c r="Q337">
        <f t="shared" si="1"/>
        <v>0</v>
      </c>
      <c r="R337" s="9">
        <f t="shared" si="2"/>
        <v>0</v>
      </c>
      <c r="S337" s="14">
        <f t="shared" si="3"/>
        <v>0</v>
      </c>
      <c r="T337" s="15">
        <f>IFERROR(__xludf.DUMMYFUNCTION("IFERROR(PERCENTRANK.INC(FILTER(Q:Q,$F:$F&lt;&gt;""""),Q337)*100,"""")"),1.5)</f>
        <v>1.5</v>
      </c>
      <c r="U337" s="15">
        <f>IFERROR(__xludf.DUMMYFUNCTION("IFERROR(PERCENTRANK.INC(FILTER(R:R,$F:$F&lt;&gt;""""),R337)*100,"""")"),1.5)</f>
        <v>1.5</v>
      </c>
      <c r="V337" s="15">
        <f>IFERROR(__xludf.DUMMYFUNCTION("IFERROR(PERCENTRANK.INC(FILTER(S:S,$F:$F&lt;&gt;""""),S337)*100,"""")"),1.5)</f>
        <v>1.5</v>
      </c>
      <c r="W337" s="15" t="str">
        <f t="shared" si="4"/>
        <v/>
      </c>
      <c r="X337" s="16"/>
      <c r="Y337" s="9"/>
      <c r="Z337" s="9"/>
    </row>
    <row r="338">
      <c r="B338" t="str">
        <f t="array" ref="B338">IFERROR(INDEX('Player Raw Data'!E:E,Match($A338,'Player Raw Data'!$B:$B,0)),"")</f>
        <v/>
      </c>
      <c r="C338" t="str">
        <f t="array" ref="C338">IFERROR(INDEX('Player Raw Data'!C:C,Match($A338,'Player Raw Data'!$B:$B,0)),"")</f>
        <v/>
      </c>
      <c r="D338" t="str">
        <f t="array" ref="D338">IFERROR(IF(A338=A337, INDEX('Player Raw Data'!D:D,Match($A338,'Player Raw Data'!$B:$B,0)+2),INDEX('Player Raw Data'!D:D,Match($A338,'Player Raw Data'!$B:$B,0))),"")</f>
        <v/>
      </c>
      <c r="E338" t="str">
        <f t="array" ref="E338">IFERROR(INDEX('Player Raw Data'!F:F,Match($A338,'Player Raw Data'!$B:$B,0)),"")</f>
        <v/>
      </c>
      <c r="F338" t="str">
        <f t="array" ref="F338">IFERROR(INDEX('Player Raw Data'!H:H,Match($A338,'Player Raw Data'!$B:$B,0)),"")</f>
        <v/>
      </c>
      <c r="G338" t="str">
        <f t="array" ref="G338">IFERROR(INDEX('Player Raw Data'!I:I,Match($A338,'Player Raw Data'!$B:$B,0)),"")</f>
        <v/>
      </c>
      <c r="H338" t="str">
        <f t="array" ref="H338">IFERROR(INDEX('Player Raw Data'!J:J,Match($A338,'Player Raw Data'!$B:$B,0)),"")</f>
        <v/>
      </c>
      <c r="I338" t="str">
        <f t="array" ref="I338">IFERROR(INDEX('Player Raw Data'!S:S,Match($A338,'Player Raw Data'!$B:$B,0)),"")</f>
        <v/>
      </c>
      <c r="J338" t="str">
        <f t="array" ref="J338">IFERROR(INDEX('Player Raw Data'!T:T,Match($A338,'Player Raw Data'!$B:$B,0)),"")</f>
        <v/>
      </c>
      <c r="K338" t="str">
        <f t="array" ref="K338">IFERROR(INDEX('Player Raw Data'!X:X,Match($A338,'Player Raw Data'!$B:$B,0)),"")</f>
        <v/>
      </c>
      <c r="L338" t="str">
        <f t="array" ref="L338">IFERROR(INDEX('Player Raw Data'!Y:Y,Match($A338,'Player Raw Data'!$B:$B,0)),"")</f>
        <v/>
      </c>
      <c r="M338" t="str">
        <f t="array" ref="M338">IFERROR(INDEX('Player Raw Data'!Z:Z,Match($A338,'Player Raw Data'!$B:$B,0)),"")</f>
        <v/>
      </c>
      <c r="N338" t="str">
        <f t="array" ref="N338">IFERROR(INDEX('Player Raw Data'!AA:AA,Match($A338,'Player Raw Data'!$B:$B,0)),"")</f>
        <v/>
      </c>
      <c r="O338" t="str">
        <f t="array" ref="O338">IFERROR(INDEX('Player Raw Data'!AB:AB,Match($A338,'Player Raw Data'!$B:$B,0)),"")</f>
        <v/>
      </c>
      <c r="P338" t="str">
        <f t="array" ref="P338">IFERROR(INDEX('Player Raw Data'!AD:AD,Match($A338,'Player Raw Data'!$B:$B,0)),"")</f>
        <v/>
      </c>
      <c r="Q338">
        <f t="shared" si="1"/>
        <v>0</v>
      </c>
      <c r="R338" s="9">
        <f t="shared" si="2"/>
        <v>0</v>
      </c>
      <c r="S338" s="14">
        <f t="shared" si="3"/>
        <v>0</v>
      </c>
      <c r="T338" s="15">
        <f>IFERROR(__xludf.DUMMYFUNCTION("IFERROR(PERCENTRANK.INC(FILTER(Q:Q,$F:$F&lt;&gt;""""),Q338)*100,"""")"),1.5)</f>
        <v>1.5</v>
      </c>
      <c r="U338" s="15">
        <f>IFERROR(__xludf.DUMMYFUNCTION("IFERROR(PERCENTRANK.INC(FILTER(R:R,$F:$F&lt;&gt;""""),R338)*100,"""")"),1.5)</f>
        <v>1.5</v>
      </c>
      <c r="V338" s="15">
        <f>IFERROR(__xludf.DUMMYFUNCTION("IFERROR(PERCENTRANK.INC(FILTER(S:S,$F:$F&lt;&gt;""""),S338)*100,"""")"),1.5)</f>
        <v>1.5</v>
      </c>
      <c r="W338" s="15" t="str">
        <f t="shared" si="4"/>
        <v/>
      </c>
      <c r="X338" s="16"/>
      <c r="Y338" s="9"/>
      <c r="Z338" s="9"/>
    </row>
    <row r="339">
      <c r="B339" t="str">
        <f t="array" ref="B339">IFERROR(INDEX('Player Raw Data'!E:E,Match($A339,'Player Raw Data'!$B:$B,0)),"")</f>
        <v/>
      </c>
      <c r="C339" t="str">
        <f t="array" ref="C339">IFERROR(INDEX('Player Raw Data'!C:C,Match($A339,'Player Raw Data'!$B:$B,0)),"")</f>
        <v/>
      </c>
      <c r="D339" t="str">
        <f t="array" ref="D339">IFERROR(IF(A339=A338, INDEX('Player Raw Data'!D:D,Match($A339,'Player Raw Data'!$B:$B,0)+2),INDEX('Player Raw Data'!D:D,Match($A339,'Player Raw Data'!$B:$B,0))),"")</f>
        <v/>
      </c>
      <c r="E339" t="str">
        <f t="array" ref="E339">IFERROR(INDEX('Player Raw Data'!F:F,Match($A339,'Player Raw Data'!$B:$B,0)),"")</f>
        <v/>
      </c>
      <c r="F339" t="str">
        <f t="array" ref="F339">IFERROR(INDEX('Player Raw Data'!H:H,Match($A339,'Player Raw Data'!$B:$B,0)),"")</f>
        <v/>
      </c>
      <c r="G339" t="str">
        <f t="array" ref="G339">IFERROR(INDEX('Player Raw Data'!I:I,Match($A339,'Player Raw Data'!$B:$B,0)),"")</f>
        <v/>
      </c>
      <c r="H339" t="str">
        <f t="array" ref="H339">IFERROR(INDEX('Player Raw Data'!J:J,Match($A339,'Player Raw Data'!$B:$B,0)),"")</f>
        <v/>
      </c>
      <c r="I339" t="str">
        <f t="array" ref="I339">IFERROR(INDEX('Player Raw Data'!S:S,Match($A339,'Player Raw Data'!$B:$B,0)),"")</f>
        <v/>
      </c>
      <c r="J339" t="str">
        <f t="array" ref="J339">IFERROR(INDEX('Player Raw Data'!T:T,Match($A339,'Player Raw Data'!$B:$B,0)),"")</f>
        <v/>
      </c>
      <c r="K339" t="str">
        <f t="array" ref="K339">IFERROR(INDEX('Player Raw Data'!X:X,Match($A339,'Player Raw Data'!$B:$B,0)),"")</f>
        <v/>
      </c>
      <c r="L339" t="str">
        <f t="array" ref="L339">IFERROR(INDEX('Player Raw Data'!Y:Y,Match($A339,'Player Raw Data'!$B:$B,0)),"")</f>
        <v/>
      </c>
      <c r="M339" t="str">
        <f t="array" ref="M339">IFERROR(INDEX('Player Raw Data'!Z:Z,Match($A339,'Player Raw Data'!$B:$B,0)),"")</f>
        <v/>
      </c>
      <c r="N339" t="str">
        <f t="array" ref="N339">IFERROR(INDEX('Player Raw Data'!AA:AA,Match($A339,'Player Raw Data'!$B:$B,0)),"")</f>
        <v/>
      </c>
      <c r="O339" t="str">
        <f t="array" ref="O339">IFERROR(INDEX('Player Raw Data'!AB:AB,Match($A339,'Player Raw Data'!$B:$B,0)),"")</f>
        <v/>
      </c>
      <c r="P339" t="str">
        <f t="array" ref="P339">IFERROR(INDEX('Player Raw Data'!AD:AD,Match($A339,'Player Raw Data'!$B:$B,0)),"")</f>
        <v/>
      </c>
      <c r="Q339">
        <f t="shared" si="1"/>
        <v>0</v>
      </c>
      <c r="R339" s="9">
        <f t="shared" si="2"/>
        <v>0</v>
      </c>
      <c r="S339" s="14">
        <f t="shared" si="3"/>
        <v>0</v>
      </c>
      <c r="T339" s="15">
        <f>IFERROR(__xludf.DUMMYFUNCTION("IFERROR(PERCENTRANK.INC(FILTER(Q:Q,$F:$F&lt;&gt;""""),Q339)*100,"""")"),1.5)</f>
        <v>1.5</v>
      </c>
      <c r="U339" s="15">
        <f>IFERROR(__xludf.DUMMYFUNCTION("IFERROR(PERCENTRANK.INC(FILTER(R:R,$F:$F&lt;&gt;""""),R339)*100,"""")"),1.5)</f>
        <v>1.5</v>
      </c>
      <c r="V339" s="15">
        <f>IFERROR(__xludf.DUMMYFUNCTION("IFERROR(PERCENTRANK.INC(FILTER(S:S,$F:$F&lt;&gt;""""),S339)*100,"""")"),1.5)</f>
        <v>1.5</v>
      </c>
      <c r="W339" s="15" t="str">
        <f t="shared" si="4"/>
        <v/>
      </c>
      <c r="X339" s="16"/>
      <c r="Y339" s="9"/>
      <c r="Z339" s="9"/>
    </row>
    <row r="340">
      <c r="B340" t="str">
        <f t="array" ref="B340">IFERROR(INDEX('Player Raw Data'!E:E,Match($A340,'Player Raw Data'!$B:$B,0)),"")</f>
        <v/>
      </c>
      <c r="C340" t="str">
        <f t="array" ref="C340">IFERROR(INDEX('Player Raw Data'!C:C,Match($A340,'Player Raw Data'!$B:$B,0)),"")</f>
        <v/>
      </c>
      <c r="D340" t="str">
        <f t="array" ref="D340">IFERROR(IF(A340=A339, INDEX('Player Raw Data'!D:D,Match($A340,'Player Raw Data'!$B:$B,0)+2),INDEX('Player Raw Data'!D:D,Match($A340,'Player Raw Data'!$B:$B,0))),"")</f>
        <v/>
      </c>
      <c r="E340" t="str">
        <f t="array" ref="E340">IFERROR(INDEX('Player Raw Data'!F:F,Match($A340,'Player Raw Data'!$B:$B,0)),"")</f>
        <v/>
      </c>
      <c r="F340" t="str">
        <f t="array" ref="F340">IFERROR(INDEX('Player Raw Data'!H:H,Match($A340,'Player Raw Data'!$B:$B,0)),"")</f>
        <v/>
      </c>
      <c r="G340" t="str">
        <f t="array" ref="G340">IFERROR(INDEX('Player Raw Data'!I:I,Match($A340,'Player Raw Data'!$B:$B,0)),"")</f>
        <v/>
      </c>
      <c r="H340" t="str">
        <f t="array" ref="H340">IFERROR(INDEX('Player Raw Data'!J:J,Match($A340,'Player Raw Data'!$B:$B,0)),"")</f>
        <v/>
      </c>
      <c r="I340" t="str">
        <f t="array" ref="I340">IFERROR(INDEX('Player Raw Data'!S:S,Match($A340,'Player Raw Data'!$B:$B,0)),"")</f>
        <v/>
      </c>
      <c r="J340" t="str">
        <f t="array" ref="J340">IFERROR(INDEX('Player Raw Data'!T:T,Match($A340,'Player Raw Data'!$B:$B,0)),"")</f>
        <v/>
      </c>
      <c r="K340" t="str">
        <f t="array" ref="K340">IFERROR(INDEX('Player Raw Data'!X:X,Match($A340,'Player Raw Data'!$B:$B,0)),"")</f>
        <v/>
      </c>
      <c r="L340" t="str">
        <f t="array" ref="L340">IFERROR(INDEX('Player Raw Data'!Y:Y,Match($A340,'Player Raw Data'!$B:$B,0)),"")</f>
        <v/>
      </c>
      <c r="M340" t="str">
        <f t="array" ref="M340">IFERROR(INDEX('Player Raw Data'!Z:Z,Match($A340,'Player Raw Data'!$B:$B,0)),"")</f>
        <v/>
      </c>
      <c r="N340" t="str">
        <f t="array" ref="N340">IFERROR(INDEX('Player Raw Data'!AA:AA,Match($A340,'Player Raw Data'!$B:$B,0)),"")</f>
        <v/>
      </c>
      <c r="O340" t="str">
        <f t="array" ref="O340">IFERROR(INDEX('Player Raw Data'!AB:AB,Match($A340,'Player Raw Data'!$B:$B,0)),"")</f>
        <v/>
      </c>
      <c r="P340" t="str">
        <f t="array" ref="P340">IFERROR(INDEX('Player Raw Data'!AD:AD,Match($A340,'Player Raw Data'!$B:$B,0)),"")</f>
        <v/>
      </c>
      <c r="Q340">
        <f t="shared" si="1"/>
        <v>0</v>
      </c>
      <c r="R340" s="9">
        <f t="shared" si="2"/>
        <v>0</v>
      </c>
      <c r="S340" s="14">
        <f t="shared" si="3"/>
        <v>0</v>
      </c>
      <c r="T340" s="15">
        <f>IFERROR(__xludf.DUMMYFUNCTION("IFERROR(PERCENTRANK.INC(FILTER(Q:Q,$F:$F&lt;&gt;""""),Q340)*100,"""")"),1.5)</f>
        <v>1.5</v>
      </c>
      <c r="U340" s="15">
        <f>IFERROR(__xludf.DUMMYFUNCTION("IFERROR(PERCENTRANK.INC(FILTER(R:R,$F:$F&lt;&gt;""""),R340)*100,"""")"),1.5)</f>
        <v>1.5</v>
      </c>
      <c r="V340" s="15">
        <f>IFERROR(__xludf.DUMMYFUNCTION("IFERROR(PERCENTRANK.INC(FILTER(S:S,$F:$F&lt;&gt;""""),S340)*100,"""")"),1.5)</f>
        <v>1.5</v>
      </c>
      <c r="W340" s="15" t="str">
        <f t="shared" si="4"/>
        <v/>
      </c>
      <c r="X340" s="16"/>
      <c r="Y340" s="9"/>
      <c r="Z340" s="9"/>
    </row>
    <row r="341">
      <c r="B341" t="str">
        <f t="array" ref="B341">IFERROR(INDEX('Player Raw Data'!E:E,Match($A341,'Player Raw Data'!$B:$B,0)),"")</f>
        <v/>
      </c>
      <c r="C341" t="str">
        <f t="array" ref="C341">IFERROR(INDEX('Player Raw Data'!C:C,Match($A341,'Player Raw Data'!$B:$B,0)),"")</f>
        <v/>
      </c>
      <c r="D341" t="str">
        <f t="array" ref="D341">IFERROR(IF(A341=A340, INDEX('Player Raw Data'!D:D,Match($A341,'Player Raw Data'!$B:$B,0)+2),INDEX('Player Raw Data'!D:D,Match($A341,'Player Raw Data'!$B:$B,0))),"")</f>
        <v/>
      </c>
      <c r="E341" t="str">
        <f t="array" ref="E341">IFERROR(INDEX('Player Raw Data'!F:F,Match($A341,'Player Raw Data'!$B:$B,0)),"")</f>
        <v/>
      </c>
      <c r="F341" t="str">
        <f t="array" ref="F341">IFERROR(INDEX('Player Raw Data'!H:H,Match($A341,'Player Raw Data'!$B:$B,0)),"")</f>
        <v/>
      </c>
      <c r="G341" t="str">
        <f t="array" ref="G341">IFERROR(INDEX('Player Raw Data'!I:I,Match($A341,'Player Raw Data'!$B:$B,0)),"")</f>
        <v/>
      </c>
      <c r="H341" t="str">
        <f t="array" ref="H341">IFERROR(INDEX('Player Raw Data'!J:J,Match($A341,'Player Raw Data'!$B:$B,0)),"")</f>
        <v/>
      </c>
      <c r="I341" t="str">
        <f t="array" ref="I341">IFERROR(INDEX('Player Raw Data'!S:S,Match($A341,'Player Raw Data'!$B:$B,0)),"")</f>
        <v/>
      </c>
      <c r="J341" t="str">
        <f t="array" ref="J341">IFERROR(INDEX('Player Raw Data'!T:T,Match($A341,'Player Raw Data'!$B:$B,0)),"")</f>
        <v/>
      </c>
      <c r="K341" t="str">
        <f t="array" ref="K341">IFERROR(INDEX('Player Raw Data'!X:X,Match($A341,'Player Raw Data'!$B:$B,0)),"")</f>
        <v/>
      </c>
      <c r="L341" t="str">
        <f t="array" ref="L341">IFERROR(INDEX('Player Raw Data'!Y:Y,Match($A341,'Player Raw Data'!$B:$B,0)),"")</f>
        <v/>
      </c>
      <c r="M341" t="str">
        <f t="array" ref="M341">IFERROR(INDEX('Player Raw Data'!Z:Z,Match($A341,'Player Raw Data'!$B:$B,0)),"")</f>
        <v/>
      </c>
      <c r="N341" t="str">
        <f t="array" ref="N341">IFERROR(INDEX('Player Raw Data'!AA:AA,Match($A341,'Player Raw Data'!$B:$B,0)),"")</f>
        <v/>
      </c>
      <c r="O341" t="str">
        <f t="array" ref="O341">IFERROR(INDEX('Player Raw Data'!AB:AB,Match($A341,'Player Raw Data'!$B:$B,0)),"")</f>
        <v/>
      </c>
      <c r="P341" t="str">
        <f t="array" ref="P341">IFERROR(INDEX('Player Raw Data'!AD:AD,Match($A341,'Player Raw Data'!$B:$B,0)),"")</f>
        <v/>
      </c>
      <c r="Q341">
        <f t="shared" si="1"/>
        <v>0</v>
      </c>
      <c r="R341" s="9">
        <f t="shared" si="2"/>
        <v>0</v>
      </c>
      <c r="S341" s="14">
        <f t="shared" si="3"/>
        <v>0</v>
      </c>
      <c r="T341" s="15">
        <f>IFERROR(__xludf.DUMMYFUNCTION("IFERROR(PERCENTRANK.INC(FILTER(Q:Q,$F:$F&lt;&gt;""""),Q341)*100,"""")"),1.5)</f>
        <v>1.5</v>
      </c>
      <c r="U341" s="15">
        <f>IFERROR(__xludf.DUMMYFUNCTION("IFERROR(PERCENTRANK.INC(FILTER(R:R,$F:$F&lt;&gt;""""),R341)*100,"""")"),1.5)</f>
        <v>1.5</v>
      </c>
      <c r="V341" s="15">
        <f>IFERROR(__xludf.DUMMYFUNCTION("IFERROR(PERCENTRANK.INC(FILTER(S:S,$F:$F&lt;&gt;""""),S341)*100,"""")"),1.5)</f>
        <v>1.5</v>
      </c>
      <c r="W341" s="15" t="str">
        <f t="shared" si="4"/>
        <v/>
      </c>
      <c r="X341" s="16"/>
      <c r="Y341" s="9"/>
      <c r="Z341" s="9"/>
    </row>
    <row r="342">
      <c r="B342" t="str">
        <f t="array" ref="B342">IFERROR(INDEX('Player Raw Data'!E:E,Match($A342,'Player Raw Data'!$B:$B,0)),"")</f>
        <v/>
      </c>
      <c r="C342" t="str">
        <f t="array" ref="C342">IFERROR(INDEX('Player Raw Data'!C:C,Match($A342,'Player Raw Data'!$B:$B,0)),"")</f>
        <v/>
      </c>
      <c r="D342" t="str">
        <f t="array" ref="D342">IFERROR(IF(A342=A341, INDEX('Player Raw Data'!D:D,Match($A342,'Player Raw Data'!$B:$B,0)+2),INDEX('Player Raw Data'!D:D,Match($A342,'Player Raw Data'!$B:$B,0))),"")</f>
        <v/>
      </c>
      <c r="E342" t="str">
        <f t="array" ref="E342">IFERROR(INDEX('Player Raw Data'!F:F,Match($A342,'Player Raw Data'!$B:$B,0)),"")</f>
        <v/>
      </c>
      <c r="F342" t="str">
        <f t="array" ref="F342">IFERROR(INDEX('Player Raw Data'!H:H,Match($A342,'Player Raw Data'!$B:$B,0)),"")</f>
        <v/>
      </c>
      <c r="G342" t="str">
        <f t="array" ref="G342">IFERROR(INDEX('Player Raw Data'!I:I,Match($A342,'Player Raw Data'!$B:$B,0)),"")</f>
        <v/>
      </c>
      <c r="H342" t="str">
        <f t="array" ref="H342">IFERROR(INDEX('Player Raw Data'!J:J,Match($A342,'Player Raw Data'!$B:$B,0)),"")</f>
        <v/>
      </c>
      <c r="I342" t="str">
        <f t="array" ref="I342">IFERROR(INDEX('Player Raw Data'!S:S,Match($A342,'Player Raw Data'!$B:$B,0)),"")</f>
        <v/>
      </c>
      <c r="J342" t="str">
        <f t="array" ref="J342">IFERROR(INDEX('Player Raw Data'!T:T,Match($A342,'Player Raw Data'!$B:$B,0)),"")</f>
        <v/>
      </c>
      <c r="K342" t="str">
        <f t="array" ref="K342">IFERROR(INDEX('Player Raw Data'!X:X,Match($A342,'Player Raw Data'!$B:$B,0)),"")</f>
        <v/>
      </c>
      <c r="L342" t="str">
        <f t="array" ref="L342">IFERROR(INDEX('Player Raw Data'!Y:Y,Match($A342,'Player Raw Data'!$B:$B,0)),"")</f>
        <v/>
      </c>
      <c r="M342" t="str">
        <f t="array" ref="M342">IFERROR(INDEX('Player Raw Data'!Z:Z,Match($A342,'Player Raw Data'!$B:$B,0)),"")</f>
        <v/>
      </c>
      <c r="N342" t="str">
        <f t="array" ref="N342">IFERROR(INDEX('Player Raw Data'!AA:AA,Match($A342,'Player Raw Data'!$B:$B,0)),"")</f>
        <v/>
      </c>
      <c r="O342" t="str">
        <f t="array" ref="O342">IFERROR(INDEX('Player Raw Data'!AB:AB,Match($A342,'Player Raw Data'!$B:$B,0)),"")</f>
        <v/>
      </c>
      <c r="P342" t="str">
        <f t="array" ref="P342">IFERROR(INDEX('Player Raw Data'!AD:AD,Match($A342,'Player Raw Data'!$B:$B,0)),"")</f>
        <v/>
      </c>
      <c r="Q342">
        <f t="shared" si="1"/>
        <v>0</v>
      </c>
      <c r="R342" s="9">
        <f t="shared" si="2"/>
        <v>0</v>
      </c>
      <c r="S342" s="14">
        <f t="shared" si="3"/>
        <v>0</v>
      </c>
      <c r="T342" s="15">
        <f>IFERROR(__xludf.DUMMYFUNCTION("IFERROR(PERCENTRANK.INC(FILTER(Q:Q,$F:$F&lt;&gt;""""),Q342)*100,"""")"),1.5)</f>
        <v>1.5</v>
      </c>
      <c r="U342" s="15">
        <f>IFERROR(__xludf.DUMMYFUNCTION("IFERROR(PERCENTRANK.INC(FILTER(R:R,$F:$F&lt;&gt;""""),R342)*100,"""")"),1.5)</f>
        <v>1.5</v>
      </c>
      <c r="V342" s="15">
        <f>IFERROR(__xludf.DUMMYFUNCTION("IFERROR(PERCENTRANK.INC(FILTER(S:S,$F:$F&lt;&gt;""""),S342)*100,"""")"),1.5)</f>
        <v>1.5</v>
      </c>
      <c r="W342" s="15" t="str">
        <f t="shared" si="4"/>
        <v/>
      </c>
      <c r="X342" s="16"/>
      <c r="Y342" s="9"/>
      <c r="Z342" s="9"/>
    </row>
    <row r="343">
      <c r="B343" t="str">
        <f t="array" ref="B343">IFERROR(INDEX('Player Raw Data'!E:E,Match($A343,'Player Raw Data'!$B:$B,0)),"")</f>
        <v/>
      </c>
      <c r="C343" t="str">
        <f t="array" ref="C343">IFERROR(INDEX('Player Raw Data'!C:C,Match($A343,'Player Raw Data'!$B:$B,0)),"")</f>
        <v/>
      </c>
      <c r="D343" t="str">
        <f t="array" ref="D343">IFERROR(IF(A343=A342, INDEX('Player Raw Data'!D:D,Match($A343,'Player Raw Data'!$B:$B,0)+2),INDEX('Player Raw Data'!D:D,Match($A343,'Player Raw Data'!$B:$B,0))),"")</f>
        <v/>
      </c>
      <c r="E343" t="str">
        <f t="array" ref="E343">IFERROR(INDEX('Player Raw Data'!F:F,Match($A343,'Player Raw Data'!$B:$B,0)),"")</f>
        <v/>
      </c>
      <c r="F343" t="str">
        <f t="array" ref="F343">IFERROR(INDEX('Player Raw Data'!H:H,Match($A343,'Player Raw Data'!$B:$B,0)),"")</f>
        <v/>
      </c>
      <c r="G343" t="str">
        <f t="array" ref="G343">IFERROR(INDEX('Player Raw Data'!I:I,Match($A343,'Player Raw Data'!$B:$B,0)),"")</f>
        <v/>
      </c>
      <c r="H343" t="str">
        <f t="array" ref="H343">IFERROR(INDEX('Player Raw Data'!J:J,Match($A343,'Player Raw Data'!$B:$B,0)),"")</f>
        <v/>
      </c>
      <c r="I343" t="str">
        <f t="array" ref="I343">IFERROR(INDEX('Player Raw Data'!S:S,Match($A343,'Player Raw Data'!$B:$B,0)),"")</f>
        <v/>
      </c>
      <c r="J343" t="str">
        <f t="array" ref="J343">IFERROR(INDEX('Player Raw Data'!T:T,Match($A343,'Player Raw Data'!$B:$B,0)),"")</f>
        <v/>
      </c>
      <c r="K343" t="str">
        <f t="array" ref="K343">IFERROR(INDEX('Player Raw Data'!X:X,Match($A343,'Player Raw Data'!$B:$B,0)),"")</f>
        <v/>
      </c>
      <c r="L343" t="str">
        <f t="array" ref="L343">IFERROR(INDEX('Player Raw Data'!Y:Y,Match($A343,'Player Raw Data'!$B:$B,0)),"")</f>
        <v/>
      </c>
      <c r="M343" t="str">
        <f t="array" ref="M343">IFERROR(INDEX('Player Raw Data'!Z:Z,Match($A343,'Player Raw Data'!$B:$B,0)),"")</f>
        <v/>
      </c>
      <c r="N343" t="str">
        <f t="array" ref="N343">IFERROR(INDEX('Player Raw Data'!AA:AA,Match($A343,'Player Raw Data'!$B:$B,0)),"")</f>
        <v/>
      </c>
      <c r="O343" t="str">
        <f t="array" ref="O343">IFERROR(INDEX('Player Raw Data'!AB:AB,Match($A343,'Player Raw Data'!$B:$B,0)),"")</f>
        <v/>
      </c>
      <c r="P343" t="str">
        <f t="array" ref="P343">IFERROR(INDEX('Player Raw Data'!AD:AD,Match($A343,'Player Raw Data'!$B:$B,0)),"")</f>
        <v/>
      </c>
      <c r="Q343">
        <f t="shared" si="1"/>
        <v>0</v>
      </c>
      <c r="R343" s="9">
        <f t="shared" si="2"/>
        <v>0</v>
      </c>
      <c r="S343" s="14">
        <f t="shared" si="3"/>
        <v>0</v>
      </c>
      <c r="T343" s="15">
        <f>IFERROR(__xludf.DUMMYFUNCTION("IFERROR(PERCENTRANK.INC(FILTER(Q:Q,$F:$F&lt;&gt;""""),Q343)*100,"""")"),1.5)</f>
        <v>1.5</v>
      </c>
      <c r="U343" s="15">
        <f>IFERROR(__xludf.DUMMYFUNCTION("IFERROR(PERCENTRANK.INC(FILTER(R:R,$F:$F&lt;&gt;""""),R343)*100,"""")"),1.5)</f>
        <v>1.5</v>
      </c>
      <c r="V343" s="15">
        <f>IFERROR(__xludf.DUMMYFUNCTION("IFERROR(PERCENTRANK.INC(FILTER(S:S,$F:$F&lt;&gt;""""),S343)*100,"""")"),1.5)</f>
        <v>1.5</v>
      </c>
      <c r="W343" s="15" t="str">
        <f t="shared" si="4"/>
        <v/>
      </c>
      <c r="X343" s="16"/>
      <c r="Y343" s="9"/>
      <c r="Z343" s="9"/>
    </row>
    <row r="344">
      <c r="B344" t="str">
        <f t="array" ref="B344">IFERROR(INDEX('Player Raw Data'!E:E,Match($A344,'Player Raw Data'!$B:$B,0)),"")</f>
        <v/>
      </c>
      <c r="C344" t="str">
        <f t="array" ref="C344">IFERROR(INDEX('Player Raw Data'!C:C,Match($A344,'Player Raw Data'!$B:$B,0)),"")</f>
        <v/>
      </c>
      <c r="D344" t="str">
        <f t="array" ref="D344">IFERROR(IF(A344=A343, INDEX('Player Raw Data'!D:D,Match($A344,'Player Raw Data'!$B:$B,0)+2),INDEX('Player Raw Data'!D:D,Match($A344,'Player Raw Data'!$B:$B,0))),"")</f>
        <v/>
      </c>
      <c r="E344" t="str">
        <f t="array" ref="E344">IFERROR(INDEX('Player Raw Data'!F:F,Match($A344,'Player Raw Data'!$B:$B,0)),"")</f>
        <v/>
      </c>
      <c r="F344" t="str">
        <f t="array" ref="F344">IFERROR(INDEX('Player Raw Data'!H:H,Match($A344,'Player Raw Data'!$B:$B,0)),"")</f>
        <v/>
      </c>
      <c r="G344" t="str">
        <f t="array" ref="G344">IFERROR(INDEX('Player Raw Data'!I:I,Match($A344,'Player Raw Data'!$B:$B,0)),"")</f>
        <v/>
      </c>
      <c r="H344" t="str">
        <f t="array" ref="H344">IFERROR(INDEX('Player Raw Data'!J:J,Match($A344,'Player Raw Data'!$B:$B,0)),"")</f>
        <v/>
      </c>
      <c r="I344" t="str">
        <f t="array" ref="I344">IFERROR(INDEX('Player Raw Data'!S:S,Match($A344,'Player Raw Data'!$B:$B,0)),"")</f>
        <v/>
      </c>
      <c r="J344" t="str">
        <f t="array" ref="J344">IFERROR(INDEX('Player Raw Data'!T:T,Match($A344,'Player Raw Data'!$B:$B,0)),"")</f>
        <v/>
      </c>
      <c r="K344" t="str">
        <f t="array" ref="K344">IFERROR(INDEX('Player Raw Data'!X:X,Match($A344,'Player Raw Data'!$B:$B,0)),"")</f>
        <v/>
      </c>
      <c r="L344" t="str">
        <f t="array" ref="L344">IFERROR(INDEX('Player Raw Data'!Y:Y,Match($A344,'Player Raw Data'!$B:$B,0)),"")</f>
        <v/>
      </c>
      <c r="M344" t="str">
        <f t="array" ref="M344">IFERROR(INDEX('Player Raw Data'!Z:Z,Match($A344,'Player Raw Data'!$B:$B,0)),"")</f>
        <v/>
      </c>
      <c r="N344" t="str">
        <f t="array" ref="N344">IFERROR(INDEX('Player Raw Data'!AA:AA,Match($A344,'Player Raw Data'!$B:$B,0)),"")</f>
        <v/>
      </c>
      <c r="O344" t="str">
        <f t="array" ref="O344">IFERROR(INDEX('Player Raw Data'!AB:AB,Match($A344,'Player Raw Data'!$B:$B,0)),"")</f>
        <v/>
      </c>
      <c r="P344" t="str">
        <f t="array" ref="P344">IFERROR(INDEX('Player Raw Data'!AD:AD,Match($A344,'Player Raw Data'!$B:$B,0)),"")</f>
        <v/>
      </c>
      <c r="Q344">
        <f t="shared" si="1"/>
        <v>0</v>
      </c>
      <c r="R344" s="9">
        <f t="shared" si="2"/>
        <v>0</v>
      </c>
      <c r="S344" s="14">
        <f t="shared" si="3"/>
        <v>0</v>
      </c>
      <c r="T344" s="15">
        <f>IFERROR(__xludf.DUMMYFUNCTION("IFERROR(PERCENTRANK.INC(FILTER(Q:Q,$F:$F&lt;&gt;""""),Q344)*100,"""")"),1.5)</f>
        <v>1.5</v>
      </c>
      <c r="U344" s="15">
        <f>IFERROR(__xludf.DUMMYFUNCTION("IFERROR(PERCENTRANK.INC(FILTER(R:R,$F:$F&lt;&gt;""""),R344)*100,"""")"),1.5)</f>
        <v>1.5</v>
      </c>
      <c r="V344" s="15">
        <f>IFERROR(__xludf.DUMMYFUNCTION("IFERROR(PERCENTRANK.INC(FILTER(S:S,$F:$F&lt;&gt;""""),S344)*100,"""")"),1.5)</f>
        <v>1.5</v>
      </c>
      <c r="W344" s="15" t="str">
        <f t="shared" si="4"/>
        <v/>
      </c>
      <c r="X344" s="16"/>
      <c r="Y344" s="9"/>
      <c r="Z344" s="9"/>
    </row>
    <row r="345">
      <c r="B345" t="str">
        <f t="array" ref="B345">IFERROR(INDEX('Player Raw Data'!E:E,Match($A345,'Player Raw Data'!$B:$B,0)),"")</f>
        <v/>
      </c>
      <c r="C345" t="str">
        <f t="array" ref="C345">IFERROR(INDEX('Player Raw Data'!C:C,Match($A345,'Player Raw Data'!$B:$B,0)),"")</f>
        <v/>
      </c>
      <c r="D345" t="str">
        <f t="array" ref="D345">IFERROR(IF(A345=A344, INDEX('Player Raw Data'!D:D,Match($A345,'Player Raw Data'!$B:$B,0)+2),INDEX('Player Raw Data'!D:D,Match($A345,'Player Raw Data'!$B:$B,0))),"")</f>
        <v/>
      </c>
      <c r="E345" t="str">
        <f t="array" ref="E345">IFERROR(INDEX('Player Raw Data'!F:F,Match($A345,'Player Raw Data'!$B:$B,0)),"")</f>
        <v/>
      </c>
      <c r="F345" t="str">
        <f t="array" ref="F345">IFERROR(INDEX('Player Raw Data'!H:H,Match($A345,'Player Raw Data'!$B:$B,0)),"")</f>
        <v/>
      </c>
      <c r="G345" t="str">
        <f t="array" ref="G345">IFERROR(INDEX('Player Raw Data'!I:I,Match($A345,'Player Raw Data'!$B:$B,0)),"")</f>
        <v/>
      </c>
      <c r="H345" t="str">
        <f t="array" ref="H345">IFERROR(INDEX('Player Raw Data'!J:J,Match($A345,'Player Raw Data'!$B:$B,0)),"")</f>
        <v/>
      </c>
      <c r="I345" t="str">
        <f t="array" ref="I345">IFERROR(INDEX('Player Raw Data'!S:S,Match($A345,'Player Raw Data'!$B:$B,0)),"")</f>
        <v/>
      </c>
      <c r="J345" t="str">
        <f t="array" ref="J345">IFERROR(INDEX('Player Raw Data'!T:T,Match($A345,'Player Raw Data'!$B:$B,0)),"")</f>
        <v/>
      </c>
      <c r="K345" t="str">
        <f t="array" ref="K345">IFERROR(INDEX('Player Raw Data'!X:X,Match($A345,'Player Raw Data'!$B:$B,0)),"")</f>
        <v/>
      </c>
      <c r="L345" t="str">
        <f t="array" ref="L345">IFERROR(INDEX('Player Raw Data'!Y:Y,Match($A345,'Player Raw Data'!$B:$B,0)),"")</f>
        <v/>
      </c>
      <c r="M345" t="str">
        <f t="array" ref="M345">IFERROR(INDEX('Player Raw Data'!Z:Z,Match($A345,'Player Raw Data'!$B:$B,0)),"")</f>
        <v/>
      </c>
      <c r="N345" t="str">
        <f t="array" ref="N345">IFERROR(INDEX('Player Raw Data'!AA:AA,Match($A345,'Player Raw Data'!$B:$B,0)),"")</f>
        <v/>
      </c>
      <c r="O345" t="str">
        <f t="array" ref="O345">IFERROR(INDEX('Player Raw Data'!AB:AB,Match($A345,'Player Raw Data'!$B:$B,0)),"")</f>
        <v/>
      </c>
      <c r="P345" t="str">
        <f t="array" ref="P345">IFERROR(INDEX('Player Raw Data'!AD:AD,Match($A345,'Player Raw Data'!$B:$B,0)),"")</f>
        <v/>
      </c>
      <c r="Q345">
        <f t="shared" si="1"/>
        <v>0</v>
      </c>
      <c r="R345" s="9">
        <f t="shared" si="2"/>
        <v>0</v>
      </c>
      <c r="S345" s="14">
        <f t="shared" si="3"/>
        <v>0</v>
      </c>
      <c r="T345" s="15">
        <f>IFERROR(__xludf.DUMMYFUNCTION("IFERROR(PERCENTRANK.INC(FILTER(Q:Q,$F:$F&lt;&gt;""""),Q345)*100,"""")"),1.5)</f>
        <v>1.5</v>
      </c>
      <c r="U345" s="15">
        <f>IFERROR(__xludf.DUMMYFUNCTION("IFERROR(PERCENTRANK.INC(FILTER(R:R,$F:$F&lt;&gt;""""),R345)*100,"""")"),1.5)</f>
        <v>1.5</v>
      </c>
      <c r="V345" s="15">
        <f>IFERROR(__xludf.DUMMYFUNCTION("IFERROR(PERCENTRANK.INC(FILTER(S:S,$F:$F&lt;&gt;""""),S345)*100,"""")"),1.5)</f>
        <v>1.5</v>
      </c>
      <c r="W345" s="15" t="str">
        <f t="shared" si="4"/>
        <v/>
      </c>
      <c r="X345" s="16"/>
      <c r="Y345" s="9"/>
      <c r="Z345" s="9"/>
    </row>
    <row r="346">
      <c r="B346" t="str">
        <f t="array" ref="B346">IFERROR(INDEX('Player Raw Data'!E:E,Match($A346,'Player Raw Data'!$B:$B,0)),"")</f>
        <v/>
      </c>
      <c r="C346" t="str">
        <f t="array" ref="C346">IFERROR(INDEX('Player Raw Data'!C:C,Match($A346,'Player Raw Data'!$B:$B,0)),"")</f>
        <v/>
      </c>
      <c r="D346" t="str">
        <f t="array" ref="D346">IFERROR(IF(A346=A345, INDEX('Player Raw Data'!D:D,Match($A346,'Player Raw Data'!$B:$B,0)+2),INDEX('Player Raw Data'!D:D,Match($A346,'Player Raw Data'!$B:$B,0))),"")</f>
        <v/>
      </c>
      <c r="E346" t="str">
        <f t="array" ref="E346">IFERROR(INDEX('Player Raw Data'!F:F,Match($A346,'Player Raw Data'!$B:$B,0)),"")</f>
        <v/>
      </c>
      <c r="F346" t="str">
        <f t="array" ref="F346">IFERROR(INDEX('Player Raw Data'!H:H,Match($A346,'Player Raw Data'!$B:$B,0)),"")</f>
        <v/>
      </c>
      <c r="G346" t="str">
        <f t="array" ref="G346">IFERROR(INDEX('Player Raw Data'!I:I,Match($A346,'Player Raw Data'!$B:$B,0)),"")</f>
        <v/>
      </c>
      <c r="H346" t="str">
        <f t="array" ref="H346">IFERROR(INDEX('Player Raw Data'!J:J,Match($A346,'Player Raw Data'!$B:$B,0)),"")</f>
        <v/>
      </c>
      <c r="I346" t="str">
        <f t="array" ref="I346">IFERROR(INDEX('Player Raw Data'!S:S,Match($A346,'Player Raw Data'!$B:$B,0)),"")</f>
        <v/>
      </c>
      <c r="J346" t="str">
        <f t="array" ref="J346">IFERROR(INDEX('Player Raw Data'!T:T,Match($A346,'Player Raw Data'!$B:$B,0)),"")</f>
        <v/>
      </c>
      <c r="K346" t="str">
        <f t="array" ref="K346">IFERROR(INDEX('Player Raw Data'!X:X,Match($A346,'Player Raw Data'!$B:$B,0)),"")</f>
        <v/>
      </c>
      <c r="L346" t="str">
        <f t="array" ref="L346">IFERROR(INDEX('Player Raw Data'!Y:Y,Match($A346,'Player Raw Data'!$B:$B,0)),"")</f>
        <v/>
      </c>
      <c r="M346" t="str">
        <f t="array" ref="M346">IFERROR(INDEX('Player Raw Data'!Z:Z,Match($A346,'Player Raw Data'!$B:$B,0)),"")</f>
        <v/>
      </c>
      <c r="N346" t="str">
        <f t="array" ref="N346">IFERROR(INDEX('Player Raw Data'!AA:AA,Match($A346,'Player Raw Data'!$B:$B,0)),"")</f>
        <v/>
      </c>
      <c r="O346" t="str">
        <f t="array" ref="O346">IFERROR(INDEX('Player Raw Data'!AB:AB,Match($A346,'Player Raw Data'!$B:$B,0)),"")</f>
        <v/>
      </c>
      <c r="P346" t="str">
        <f t="array" ref="P346">IFERROR(INDEX('Player Raw Data'!AD:AD,Match($A346,'Player Raw Data'!$B:$B,0)),"")</f>
        <v/>
      </c>
      <c r="Q346">
        <f t="shared" si="1"/>
        <v>0</v>
      </c>
      <c r="R346" s="9">
        <f t="shared" si="2"/>
        <v>0</v>
      </c>
      <c r="S346" s="14">
        <f t="shared" si="3"/>
        <v>0</v>
      </c>
      <c r="T346" s="15">
        <f>IFERROR(__xludf.DUMMYFUNCTION("IFERROR(PERCENTRANK.INC(FILTER(Q:Q,$F:$F&lt;&gt;""""),Q346)*100,"""")"),1.5)</f>
        <v>1.5</v>
      </c>
      <c r="U346" s="15">
        <f>IFERROR(__xludf.DUMMYFUNCTION("IFERROR(PERCENTRANK.INC(FILTER(R:R,$F:$F&lt;&gt;""""),R346)*100,"""")"),1.5)</f>
        <v>1.5</v>
      </c>
      <c r="V346" s="15">
        <f>IFERROR(__xludf.DUMMYFUNCTION("IFERROR(PERCENTRANK.INC(FILTER(S:S,$F:$F&lt;&gt;""""),S346)*100,"""")"),1.5)</f>
        <v>1.5</v>
      </c>
      <c r="W346" s="15" t="str">
        <f t="shared" si="4"/>
        <v/>
      </c>
      <c r="X346" s="16"/>
      <c r="Y346" s="9"/>
      <c r="Z346" s="9"/>
    </row>
    <row r="347">
      <c r="B347" t="str">
        <f t="array" ref="B347">IFERROR(INDEX('Player Raw Data'!E:E,Match($A347,'Player Raw Data'!$B:$B,0)),"")</f>
        <v/>
      </c>
      <c r="C347" t="str">
        <f t="array" ref="C347">IFERROR(INDEX('Player Raw Data'!C:C,Match($A347,'Player Raw Data'!$B:$B,0)),"")</f>
        <v/>
      </c>
      <c r="D347" t="str">
        <f t="array" ref="D347">IFERROR(IF(A347=A346, INDEX('Player Raw Data'!D:D,Match($A347,'Player Raw Data'!$B:$B,0)+2),INDEX('Player Raw Data'!D:D,Match($A347,'Player Raw Data'!$B:$B,0))),"")</f>
        <v/>
      </c>
      <c r="E347" t="str">
        <f t="array" ref="E347">IFERROR(INDEX('Player Raw Data'!F:F,Match($A347,'Player Raw Data'!$B:$B,0)),"")</f>
        <v/>
      </c>
      <c r="F347" t="str">
        <f t="array" ref="F347">IFERROR(INDEX('Player Raw Data'!H:H,Match($A347,'Player Raw Data'!$B:$B,0)),"")</f>
        <v/>
      </c>
      <c r="G347" t="str">
        <f t="array" ref="G347">IFERROR(INDEX('Player Raw Data'!I:I,Match($A347,'Player Raw Data'!$B:$B,0)),"")</f>
        <v/>
      </c>
      <c r="H347" t="str">
        <f t="array" ref="H347">IFERROR(INDEX('Player Raw Data'!J:J,Match($A347,'Player Raw Data'!$B:$B,0)),"")</f>
        <v/>
      </c>
      <c r="I347" t="str">
        <f t="array" ref="I347">IFERROR(INDEX('Player Raw Data'!S:S,Match($A347,'Player Raw Data'!$B:$B,0)),"")</f>
        <v/>
      </c>
      <c r="J347" t="str">
        <f t="array" ref="J347">IFERROR(INDEX('Player Raw Data'!T:T,Match($A347,'Player Raw Data'!$B:$B,0)),"")</f>
        <v/>
      </c>
      <c r="K347" t="str">
        <f t="array" ref="K347">IFERROR(INDEX('Player Raw Data'!X:X,Match($A347,'Player Raw Data'!$B:$B,0)),"")</f>
        <v/>
      </c>
      <c r="L347" t="str">
        <f t="array" ref="L347">IFERROR(INDEX('Player Raw Data'!Y:Y,Match($A347,'Player Raw Data'!$B:$B,0)),"")</f>
        <v/>
      </c>
      <c r="M347" t="str">
        <f t="array" ref="M347">IFERROR(INDEX('Player Raw Data'!Z:Z,Match($A347,'Player Raw Data'!$B:$B,0)),"")</f>
        <v/>
      </c>
      <c r="N347" t="str">
        <f t="array" ref="N347">IFERROR(INDEX('Player Raw Data'!AA:AA,Match($A347,'Player Raw Data'!$B:$B,0)),"")</f>
        <v/>
      </c>
      <c r="O347" t="str">
        <f t="array" ref="O347">IFERROR(INDEX('Player Raw Data'!AB:AB,Match($A347,'Player Raw Data'!$B:$B,0)),"")</f>
        <v/>
      </c>
      <c r="P347" t="str">
        <f t="array" ref="P347">IFERROR(INDEX('Player Raw Data'!AD:AD,Match($A347,'Player Raw Data'!$B:$B,0)),"")</f>
        <v/>
      </c>
      <c r="Q347">
        <f t="shared" si="1"/>
        <v>0</v>
      </c>
      <c r="R347" s="9">
        <f t="shared" si="2"/>
        <v>0</v>
      </c>
      <c r="S347" s="14">
        <f t="shared" si="3"/>
        <v>0</v>
      </c>
      <c r="T347" s="15">
        <f>IFERROR(__xludf.DUMMYFUNCTION("IFERROR(PERCENTRANK.INC(FILTER(Q:Q,$F:$F&lt;&gt;""""),Q347)*100,"""")"),1.5)</f>
        <v>1.5</v>
      </c>
      <c r="U347" s="15">
        <f>IFERROR(__xludf.DUMMYFUNCTION("IFERROR(PERCENTRANK.INC(FILTER(R:R,$F:$F&lt;&gt;""""),R347)*100,"""")"),1.5)</f>
        <v>1.5</v>
      </c>
      <c r="V347" s="15">
        <f>IFERROR(__xludf.DUMMYFUNCTION("IFERROR(PERCENTRANK.INC(FILTER(S:S,$F:$F&lt;&gt;""""),S347)*100,"""")"),1.5)</f>
        <v>1.5</v>
      </c>
      <c r="W347" s="15" t="str">
        <f t="shared" si="4"/>
        <v/>
      </c>
      <c r="X347" s="16"/>
      <c r="Y347" s="9"/>
      <c r="Z347" s="9"/>
    </row>
    <row r="348">
      <c r="B348" t="str">
        <f t="array" ref="B348">IFERROR(INDEX('Player Raw Data'!E:E,Match($A348,'Player Raw Data'!$B:$B,0)),"")</f>
        <v/>
      </c>
      <c r="C348" t="str">
        <f t="array" ref="C348">IFERROR(INDEX('Player Raw Data'!C:C,Match($A348,'Player Raw Data'!$B:$B,0)),"")</f>
        <v/>
      </c>
      <c r="D348" t="str">
        <f t="array" ref="D348">IFERROR(IF(A348=A347, INDEX('Player Raw Data'!D:D,Match($A348,'Player Raw Data'!$B:$B,0)+2),INDEX('Player Raw Data'!D:D,Match($A348,'Player Raw Data'!$B:$B,0))),"")</f>
        <v/>
      </c>
      <c r="E348" t="str">
        <f t="array" ref="E348">IFERROR(INDEX('Player Raw Data'!F:F,Match($A348,'Player Raw Data'!$B:$B,0)),"")</f>
        <v/>
      </c>
      <c r="F348" t="str">
        <f t="array" ref="F348">IFERROR(INDEX('Player Raw Data'!H:H,Match($A348,'Player Raw Data'!$B:$B,0)),"")</f>
        <v/>
      </c>
      <c r="G348" t="str">
        <f t="array" ref="G348">IFERROR(INDEX('Player Raw Data'!I:I,Match($A348,'Player Raw Data'!$B:$B,0)),"")</f>
        <v/>
      </c>
      <c r="H348" t="str">
        <f t="array" ref="H348">IFERROR(INDEX('Player Raw Data'!J:J,Match($A348,'Player Raw Data'!$B:$B,0)),"")</f>
        <v/>
      </c>
      <c r="I348" t="str">
        <f t="array" ref="I348">IFERROR(INDEX('Player Raw Data'!S:S,Match($A348,'Player Raw Data'!$B:$B,0)),"")</f>
        <v/>
      </c>
      <c r="J348" t="str">
        <f t="array" ref="J348">IFERROR(INDEX('Player Raw Data'!T:T,Match($A348,'Player Raw Data'!$B:$B,0)),"")</f>
        <v/>
      </c>
      <c r="K348" t="str">
        <f t="array" ref="K348">IFERROR(INDEX('Player Raw Data'!X:X,Match($A348,'Player Raw Data'!$B:$B,0)),"")</f>
        <v/>
      </c>
      <c r="L348" t="str">
        <f t="array" ref="L348">IFERROR(INDEX('Player Raw Data'!Y:Y,Match($A348,'Player Raw Data'!$B:$B,0)),"")</f>
        <v/>
      </c>
      <c r="M348" t="str">
        <f t="array" ref="M348">IFERROR(INDEX('Player Raw Data'!Z:Z,Match($A348,'Player Raw Data'!$B:$B,0)),"")</f>
        <v/>
      </c>
      <c r="N348" t="str">
        <f t="array" ref="N348">IFERROR(INDEX('Player Raw Data'!AA:AA,Match($A348,'Player Raw Data'!$B:$B,0)),"")</f>
        <v/>
      </c>
      <c r="O348" t="str">
        <f t="array" ref="O348">IFERROR(INDEX('Player Raw Data'!AB:AB,Match($A348,'Player Raw Data'!$B:$B,0)),"")</f>
        <v/>
      </c>
      <c r="P348" t="str">
        <f t="array" ref="P348">IFERROR(INDEX('Player Raw Data'!AD:AD,Match($A348,'Player Raw Data'!$B:$B,0)),"")</f>
        <v/>
      </c>
      <c r="Q348">
        <f t="shared" si="1"/>
        <v>0</v>
      </c>
      <c r="R348" s="9">
        <f t="shared" si="2"/>
        <v>0</v>
      </c>
      <c r="S348" s="14">
        <f t="shared" si="3"/>
        <v>0</v>
      </c>
      <c r="T348" s="15">
        <f>IFERROR(__xludf.DUMMYFUNCTION("IFERROR(PERCENTRANK.INC(FILTER(Q:Q,$F:$F&lt;&gt;""""),Q348)*100,"""")"),1.5)</f>
        <v>1.5</v>
      </c>
      <c r="U348" s="15">
        <f>IFERROR(__xludf.DUMMYFUNCTION("IFERROR(PERCENTRANK.INC(FILTER(R:R,$F:$F&lt;&gt;""""),R348)*100,"""")"),1.5)</f>
        <v>1.5</v>
      </c>
      <c r="V348" s="15">
        <f>IFERROR(__xludf.DUMMYFUNCTION("IFERROR(PERCENTRANK.INC(FILTER(S:S,$F:$F&lt;&gt;""""),S348)*100,"""")"),1.5)</f>
        <v>1.5</v>
      </c>
      <c r="W348" s="15" t="str">
        <f t="shared" si="4"/>
        <v/>
      </c>
      <c r="X348" s="16"/>
      <c r="Y348" s="9"/>
      <c r="Z348" s="9"/>
    </row>
    <row r="349">
      <c r="B349" t="str">
        <f t="array" ref="B349">IFERROR(INDEX('Player Raw Data'!E:E,Match($A349,'Player Raw Data'!$B:$B,0)),"")</f>
        <v/>
      </c>
      <c r="C349" t="str">
        <f t="array" ref="C349">IFERROR(INDEX('Player Raw Data'!C:C,Match($A349,'Player Raw Data'!$B:$B,0)),"")</f>
        <v/>
      </c>
      <c r="D349" t="str">
        <f t="array" ref="D349">IFERROR(IF(A349=A348, INDEX('Player Raw Data'!D:D,Match($A349,'Player Raw Data'!$B:$B,0)+2),INDEX('Player Raw Data'!D:D,Match($A349,'Player Raw Data'!$B:$B,0))),"")</f>
        <v/>
      </c>
      <c r="E349" t="str">
        <f t="array" ref="E349">IFERROR(INDEX('Player Raw Data'!F:F,Match($A349,'Player Raw Data'!$B:$B,0)),"")</f>
        <v/>
      </c>
      <c r="F349" t="str">
        <f t="array" ref="F349">IFERROR(INDEX('Player Raw Data'!H:H,Match($A349,'Player Raw Data'!$B:$B,0)),"")</f>
        <v/>
      </c>
      <c r="G349" t="str">
        <f t="array" ref="G349">IFERROR(INDEX('Player Raw Data'!I:I,Match($A349,'Player Raw Data'!$B:$B,0)),"")</f>
        <v/>
      </c>
      <c r="H349" t="str">
        <f t="array" ref="H349">IFERROR(INDEX('Player Raw Data'!J:J,Match($A349,'Player Raw Data'!$B:$B,0)),"")</f>
        <v/>
      </c>
      <c r="I349" t="str">
        <f t="array" ref="I349">IFERROR(INDEX('Player Raw Data'!S:S,Match($A349,'Player Raw Data'!$B:$B,0)),"")</f>
        <v/>
      </c>
      <c r="J349" t="str">
        <f t="array" ref="J349">IFERROR(INDEX('Player Raw Data'!T:T,Match($A349,'Player Raw Data'!$B:$B,0)),"")</f>
        <v/>
      </c>
      <c r="K349" t="str">
        <f t="array" ref="K349">IFERROR(INDEX('Player Raw Data'!X:X,Match($A349,'Player Raw Data'!$B:$B,0)),"")</f>
        <v/>
      </c>
      <c r="L349" t="str">
        <f t="array" ref="L349">IFERROR(INDEX('Player Raw Data'!Y:Y,Match($A349,'Player Raw Data'!$B:$B,0)),"")</f>
        <v/>
      </c>
      <c r="M349" t="str">
        <f t="array" ref="M349">IFERROR(INDEX('Player Raw Data'!Z:Z,Match($A349,'Player Raw Data'!$B:$B,0)),"")</f>
        <v/>
      </c>
      <c r="N349" t="str">
        <f t="array" ref="N349">IFERROR(INDEX('Player Raw Data'!AA:AA,Match($A349,'Player Raw Data'!$B:$B,0)),"")</f>
        <v/>
      </c>
      <c r="O349" t="str">
        <f t="array" ref="O349">IFERROR(INDEX('Player Raw Data'!AB:AB,Match($A349,'Player Raw Data'!$B:$B,0)),"")</f>
        <v/>
      </c>
      <c r="P349" t="str">
        <f t="array" ref="P349">IFERROR(INDEX('Player Raw Data'!AD:AD,Match($A349,'Player Raw Data'!$B:$B,0)),"")</f>
        <v/>
      </c>
      <c r="Q349">
        <f t="shared" si="1"/>
        <v>0</v>
      </c>
      <c r="R349" s="9">
        <f t="shared" si="2"/>
        <v>0</v>
      </c>
      <c r="S349" s="14">
        <f t="shared" si="3"/>
        <v>0</v>
      </c>
      <c r="T349" s="15">
        <f>IFERROR(__xludf.DUMMYFUNCTION("IFERROR(PERCENTRANK.INC(FILTER(Q:Q,$F:$F&lt;&gt;""""),Q349)*100,"""")"),1.5)</f>
        <v>1.5</v>
      </c>
      <c r="U349" s="15">
        <f>IFERROR(__xludf.DUMMYFUNCTION("IFERROR(PERCENTRANK.INC(FILTER(R:R,$F:$F&lt;&gt;""""),R349)*100,"""")"),1.5)</f>
        <v>1.5</v>
      </c>
      <c r="V349" s="15">
        <f>IFERROR(__xludf.DUMMYFUNCTION("IFERROR(PERCENTRANK.INC(FILTER(S:S,$F:$F&lt;&gt;""""),S349)*100,"""")"),1.5)</f>
        <v>1.5</v>
      </c>
      <c r="W349" s="15" t="str">
        <f t="shared" si="4"/>
        <v/>
      </c>
      <c r="X349" s="16"/>
      <c r="Y349" s="9"/>
      <c r="Z349" s="9"/>
    </row>
    <row r="350">
      <c r="B350" t="str">
        <f t="array" ref="B350">IFERROR(INDEX('Player Raw Data'!E:E,Match($A350,'Player Raw Data'!$B:$B,0)),"")</f>
        <v/>
      </c>
      <c r="C350" t="str">
        <f t="array" ref="C350">IFERROR(INDEX('Player Raw Data'!C:C,Match($A350,'Player Raw Data'!$B:$B,0)),"")</f>
        <v/>
      </c>
      <c r="D350" t="str">
        <f t="array" ref="D350">IFERROR(IF(A350=A349, INDEX('Player Raw Data'!D:D,Match($A350,'Player Raw Data'!$B:$B,0)+2),INDEX('Player Raw Data'!D:D,Match($A350,'Player Raw Data'!$B:$B,0))),"")</f>
        <v/>
      </c>
      <c r="E350" t="str">
        <f t="array" ref="E350">IFERROR(INDEX('Player Raw Data'!F:F,Match($A350,'Player Raw Data'!$B:$B,0)),"")</f>
        <v/>
      </c>
      <c r="F350" t="str">
        <f t="array" ref="F350">IFERROR(INDEX('Player Raw Data'!H:H,Match($A350,'Player Raw Data'!$B:$B,0)),"")</f>
        <v/>
      </c>
      <c r="G350" t="str">
        <f t="array" ref="G350">IFERROR(INDEX('Player Raw Data'!I:I,Match($A350,'Player Raw Data'!$B:$B,0)),"")</f>
        <v/>
      </c>
      <c r="H350" t="str">
        <f t="array" ref="H350">IFERROR(INDEX('Player Raw Data'!J:J,Match($A350,'Player Raw Data'!$B:$B,0)),"")</f>
        <v/>
      </c>
      <c r="I350" t="str">
        <f t="array" ref="I350">IFERROR(INDEX('Player Raw Data'!S:S,Match($A350,'Player Raw Data'!$B:$B,0)),"")</f>
        <v/>
      </c>
      <c r="J350" t="str">
        <f t="array" ref="J350">IFERROR(INDEX('Player Raw Data'!T:T,Match($A350,'Player Raw Data'!$B:$B,0)),"")</f>
        <v/>
      </c>
      <c r="K350" t="str">
        <f t="array" ref="K350">IFERROR(INDEX('Player Raw Data'!X:X,Match($A350,'Player Raw Data'!$B:$B,0)),"")</f>
        <v/>
      </c>
      <c r="L350" t="str">
        <f t="array" ref="L350">IFERROR(INDEX('Player Raw Data'!Y:Y,Match($A350,'Player Raw Data'!$B:$B,0)),"")</f>
        <v/>
      </c>
      <c r="M350" t="str">
        <f t="array" ref="M350">IFERROR(INDEX('Player Raw Data'!Z:Z,Match($A350,'Player Raw Data'!$B:$B,0)),"")</f>
        <v/>
      </c>
      <c r="N350" t="str">
        <f t="array" ref="N350">IFERROR(INDEX('Player Raw Data'!AA:AA,Match($A350,'Player Raw Data'!$B:$B,0)),"")</f>
        <v/>
      </c>
      <c r="O350" t="str">
        <f t="array" ref="O350">IFERROR(INDEX('Player Raw Data'!AB:AB,Match($A350,'Player Raw Data'!$B:$B,0)),"")</f>
        <v/>
      </c>
      <c r="P350" t="str">
        <f t="array" ref="P350">IFERROR(INDEX('Player Raw Data'!AD:AD,Match($A350,'Player Raw Data'!$B:$B,0)),"")</f>
        <v/>
      </c>
      <c r="Q350">
        <f t="shared" si="1"/>
        <v>0</v>
      </c>
      <c r="R350" s="9">
        <f t="shared" si="2"/>
        <v>0</v>
      </c>
      <c r="S350" s="14">
        <f t="shared" si="3"/>
        <v>0</v>
      </c>
      <c r="T350" s="15">
        <f>IFERROR(__xludf.DUMMYFUNCTION("IFERROR(PERCENTRANK.INC(FILTER(Q:Q,$F:$F&lt;&gt;""""),Q350)*100,"""")"),1.5)</f>
        <v>1.5</v>
      </c>
      <c r="U350" s="15">
        <f>IFERROR(__xludf.DUMMYFUNCTION("IFERROR(PERCENTRANK.INC(FILTER(R:R,$F:$F&lt;&gt;""""),R350)*100,"""")"),1.5)</f>
        <v>1.5</v>
      </c>
      <c r="V350" s="15">
        <f>IFERROR(__xludf.DUMMYFUNCTION("IFERROR(PERCENTRANK.INC(FILTER(S:S,$F:$F&lt;&gt;""""),S350)*100,"""")"),1.5)</f>
        <v>1.5</v>
      </c>
      <c r="W350" s="15" t="str">
        <f t="shared" si="4"/>
        <v/>
      </c>
      <c r="X350" s="16"/>
      <c r="Y350" s="9"/>
      <c r="Z350" s="9"/>
    </row>
    <row r="351">
      <c r="B351" t="str">
        <f t="array" ref="B351">IFERROR(INDEX('Player Raw Data'!E:E,Match($A351,'Player Raw Data'!$B:$B,0)),"")</f>
        <v/>
      </c>
      <c r="C351" t="str">
        <f t="array" ref="C351">IFERROR(INDEX('Player Raw Data'!C:C,Match($A351,'Player Raw Data'!$B:$B,0)),"")</f>
        <v/>
      </c>
      <c r="D351" t="str">
        <f t="array" ref="D351">IFERROR(IF(A351=A350, INDEX('Player Raw Data'!D:D,Match($A351,'Player Raw Data'!$B:$B,0)+2),INDEX('Player Raw Data'!D:D,Match($A351,'Player Raw Data'!$B:$B,0))),"")</f>
        <v/>
      </c>
      <c r="E351" t="str">
        <f t="array" ref="E351">IFERROR(INDEX('Player Raw Data'!F:F,Match($A351,'Player Raw Data'!$B:$B,0)),"")</f>
        <v/>
      </c>
      <c r="F351" t="str">
        <f t="array" ref="F351">IFERROR(INDEX('Player Raw Data'!H:H,Match($A351,'Player Raw Data'!$B:$B,0)),"")</f>
        <v/>
      </c>
      <c r="G351" t="str">
        <f t="array" ref="G351">IFERROR(INDEX('Player Raw Data'!I:I,Match($A351,'Player Raw Data'!$B:$B,0)),"")</f>
        <v/>
      </c>
      <c r="H351" t="str">
        <f t="array" ref="H351">IFERROR(INDEX('Player Raw Data'!J:J,Match($A351,'Player Raw Data'!$B:$B,0)),"")</f>
        <v/>
      </c>
      <c r="I351" t="str">
        <f t="array" ref="I351">IFERROR(INDEX('Player Raw Data'!S:S,Match($A351,'Player Raw Data'!$B:$B,0)),"")</f>
        <v/>
      </c>
      <c r="J351" t="str">
        <f t="array" ref="J351">IFERROR(INDEX('Player Raw Data'!T:T,Match($A351,'Player Raw Data'!$B:$B,0)),"")</f>
        <v/>
      </c>
      <c r="K351" t="str">
        <f t="array" ref="K351">IFERROR(INDEX('Player Raw Data'!X:X,Match($A351,'Player Raw Data'!$B:$B,0)),"")</f>
        <v/>
      </c>
      <c r="L351" t="str">
        <f t="array" ref="L351">IFERROR(INDEX('Player Raw Data'!Y:Y,Match($A351,'Player Raw Data'!$B:$B,0)),"")</f>
        <v/>
      </c>
      <c r="M351" t="str">
        <f t="array" ref="M351">IFERROR(INDEX('Player Raw Data'!Z:Z,Match($A351,'Player Raw Data'!$B:$B,0)),"")</f>
        <v/>
      </c>
      <c r="N351" t="str">
        <f t="array" ref="N351">IFERROR(INDEX('Player Raw Data'!AA:AA,Match($A351,'Player Raw Data'!$B:$B,0)),"")</f>
        <v/>
      </c>
      <c r="O351" t="str">
        <f t="array" ref="O351">IFERROR(INDEX('Player Raw Data'!AB:AB,Match($A351,'Player Raw Data'!$B:$B,0)),"")</f>
        <v/>
      </c>
      <c r="P351" t="str">
        <f t="array" ref="P351">IFERROR(INDEX('Player Raw Data'!AD:AD,Match($A351,'Player Raw Data'!$B:$B,0)),"")</f>
        <v/>
      </c>
      <c r="Q351">
        <f t="shared" si="1"/>
        <v>0</v>
      </c>
      <c r="R351" s="9">
        <f t="shared" si="2"/>
        <v>0</v>
      </c>
      <c r="S351" s="14">
        <f t="shared" si="3"/>
        <v>0</v>
      </c>
      <c r="T351" s="15">
        <f>IFERROR(__xludf.DUMMYFUNCTION("IFERROR(PERCENTRANK.INC(FILTER(Q:Q,$F:$F&lt;&gt;""""),Q351)*100,"""")"),1.5)</f>
        <v>1.5</v>
      </c>
      <c r="U351" s="15">
        <f>IFERROR(__xludf.DUMMYFUNCTION("IFERROR(PERCENTRANK.INC(FILTER(R:R,$F:$F&lt;&gt;""""),R351)*100,"""")"),1.5)</f>
        <v>1.5</v>
      </c>
      <c r="V351" s="15">
        <f>IFERROR(__xludf.DUMMYFUNCTION("IFERROR(PERCENTRANK.INC(FILTER(S:S,$F:$F&lt;&gt;""""),S351)*100,"""")"),1.5)</f>
        <v>1.5</v>
      </c>
      <c r="W351" s="15" t="str">
        <f t="shared" si="4"/>
        <v/>
      </c>
      <c r="X351" s="16"/>
      <c r="Y351" s="9"/>
      <c r="Z351" s="9"/>
    </row>
    <row r="352">
      <c r="B352" t="str">
        <f t="array" ref="B352">IFERROR(INDEX('Player Raw Data'!E:E,Match($A352,'Player Raw Data'!$B:$B,0)),"")</f>
        <v/>
      </c>
      <c r="C352" t="str">
        <f t="array" ref="C352">IFERROR(INDEX('Player Raw Data'!C:C,Match($A352,'Player Raw Data'!$B:$B,0)),"")</f>
        <v/>
      </c>
      <c r="D352" t="str">
        <f t="array" ref="D352">IFERROR(IF(A352=A351, INDEX('Player Raw Data'!D:D,Match($A352,'Player Raw Data'!$B:$B,0)+2),INDEX('Player Raw Data'!D:D,Match($A352,'Player Raw Data'!$B:$B,0))),"")</f>
        <v/>
      </c>
      <c r="E352" t="str">
        <f t="array" ref="E352">IFERROR(INDEX('Player Raw Data'!F:F,Match($A352,'Player Raw Data'!$B:$B,0)),"")</f>
        <v/>
      </c>
      <c r="F352" t="str">
        <f t="array" ref="F352">IFERROR(INDEX('Player Raw Data'!H:H,Match($A352,'Player Raw Data'!$B:$B,0)),"")</f>
        <v/>
      </c>
      <c r="G352" t="str">
        <f t="array" ref="G352">IFERROR(INDEX('Player Raw Data'!I:I,Match($A352,'Player Raw Data'!$B:$B,0)),"")</f>
        <v/>
      </c>
      <c r="H352" t="str">
        <f t="array" ref="H352">IFERROR(INDEX('Player Raw Data'!J:J,Match($A352,'Player Raw Data'!$B:$B,0)),"")</f>
        <v/>
      </c>
      <c r="I352" t="str">
        <f t="array" ref="I352">IFERROR(INDEX('Player Raw Data'!S:S,Match($A352,'Player Raw Data'!$B:$B,0)),"")</f>
        <v/>
      </c>
      <c r="J352" t="str">
        <f t="array" ref="J352">IFERROR(INDEX('Player Raw Data'!T:T,Match($A352,'Player Raw Data'!$B:$B,0)),"")</f>
        <v/>
      </c>
      <c r="K352" t="str">
        <f t="array" ref="K352">IFERROR(INDEX('Player Raw Data'!X:X,Match($A352,'Player Raw Data'!$B:$B,0)),"")</f>
        <v/>
      </c>
      <c r="L352" t="str">
        <f t="array" ref="L352">IFERROR(INDEX('Player Raw Data'!Y:Y,Match($A352,'Player Raw Data'!$B:$B,0)),"")</f>
        <v/>
      </c>
      <c r="M352" t="str">
        <f t="array" ref="M352">IFERROR(INDEX('Player Raw Data'!Z:Z,Match($A352,'Player Raw Data'!$B:$B,0)),"")</f>
        <v/>
      </c>
      <c r="N352" t="str">
        <f t="array" ref="N352">IFERROR(INDEX('Player Raw Data'!AA:AA,Match($A352,'Player Raw Data'!$B:$B,0)),"")</f>
        <v/>
      </c>
      <c r="O352" t="str">
        <f t="array" ref="O352">IFERROR(INDEX('Player Raw Data'!AB:AB,Match($A352,'Player Raw Data'!$B:$B,0)),"")</f>
        <v/>
      </c>
      <c r="P352" t="str">
        <f t="array" ref="P352">IFERROR(INDEX('Player Raw Data'!AD:AD,Match($A352,'Player Raw Data'!$B:$B,0)),"")</f>
        <v/>
      </c>
      <c r="Q352">
        <f t="shared" si="1"/>
        <v>0</v>
      </c>
      <c r="R352" s="9">
        <f t="shared" si="2"/>
        <v>0</v>
      </c>
      <c r="S352" s="14">
        <f t="shared" si="3"/>
        <v>0</v>
      </c>
      <c r="T352" s="15">
        <f>IFERROR(__xludf.DUMMYFUNCTION("IFERROR(PERCENTRANK.INC(FILTER(Q:Q,$F:$F&lt;&gt;""""),Q352)*100,"""")"),1.5)</f>
        <v>1.5</v>
      </c>
      <c r="U352" s="15">
        <f>IFERROR(__xludf.DUMMYFUNCTION("IFERROR(PERCENTRANK.INC(FILTER(R:R,$F:$F&lt;&gt;""""),R352)*100,"""")"),1.5)</f>
        <v>1.5</v>
      </c>
      <c r="V352" s="15">
        <f>IFERROR(__xludf.DUMMYFUNCTION("IFERROR(PERCENTRANK.INC(FILTER(S:S,$F:$F&lt;&gt;""""),S352)*100,"""")"),1.5)</f>
        <v>1.5</v>
      </c>
      <c r="W352" s="15" t="str">
        <f t="shared" si="4"/>
        <v/>
      </c>
      <c r="X352" s="16"/>
      <c r="Y352" s="9"/>
      <c r="Z352" s="9"/>
    </row>
    <row r="353">
      <c r="B353" t="str">
        <f t="array" ref="B353">IFERROR(INDEX('Player Raw Data'!E:E,Match($A353,'Player Raw Data'!$B:$B,0)),"")</f>
        <v/>
      </c>
      <c r="C353" t="str">
        <f t="array" ref="C353">IFERROR(INDEX('Player Raw Data'!C:C,Match($A353,'Player Raw Data'!$B:$B,0)),"")</f>
        <v/>
      </c>
      <c r="D353" t="str">
        <f t="array" ref="D353">IFERROR(IF(A353=A352, INDEX('Player Raw Data'!D:D,Match($A353,'Player Raw Data'!$B:$B,0)+2),INDEX('Player Raw Data'!D:D,Match($A353,'Player Raw Data'!$B:$B,0))),"")</f>
        <v/>
      </c>
      <c r="E353" t="str">
        <f t="array" ref="E353">IFERROR(INDEX('Player Raw Data'!F:F,Match($A353,'Player Raw Data'!$B:$B,0)),"")</f>
        <v/>
      </c>
      <c r="F353" t="str">
        <f t="array" ref="F353">IFERROR(INDEX('Player Raw Data'!H:H,Match($A353,'Player Raw Data'!$B:$B,0)),"")</f>
        <v/>
      </c>
      <c r="G353" t="str">
        <f t="array" ref="G353">IFERROR(INDEX('Player Raw Data'!I:I,Match($A353,'Player Raw Data'!$B:$B,0)),"")</f>
        <v/>
      </c>
      <c r="H353" t="str">
        <f t="array" ref="H353">IFERROR(INDEX('Player Raw Data'!J:J,Match($A353,'Player Raw Data'!$B:$B,0)),"")</f>
        <v/>
      </c>
      <c r="I353" t="str">
        <f t="array" ref="I353">IFERROR(INDEX('Player Raw Data'!S:S,Match($A353,'Player Raw Data'!$B:$B,0)),"")</f>
        <v/>
      </c>
      <c r="J353" t="str">
        <f t="array" ref="J353">IFERROR(INDEX('Player Raw Data'!T:T,Match($A353,'Player Raw Data'!$B:$B,0)),"")</f>
        <v/>
      </c>
      <c r="K353" t="str">
        <f t="array" ref="K353">IFERROR(INDEX('Player Raw Data'!X:X,Match($A353,'Player Raw Data'!$B:$B,0)),"")</f>
        <v/>
      </c>
      <c r="L353" t="str">
        <f t="array" ref="L353">IFERROR(INDEX('Player Raw Data'!Y:Y,Match($A353,'Player Raw Data'!$B:$B,0)),"")</f>
        <v/>
      </c>
      <c r="M353" t="str">
        <f t="array" ref="M353">IFERROR(INDEX('Player Raw Data'!Z:Z,Match($A353,'Player Raw Data'!$B:$B,0)),"")</f>
        <v/>
      </c>
      <c r="N353" t="str">
        <f t="array" ref="N353">IFERROR(INDEX('Player Raw Data'!AA:AA,Match($A353,'Player Raw Data'!$B:$B,0)),"")</f>
        <v/>
      </c>
      <c r="O353" t="str">
        <f t="array" ref="O353">IFERROR(INDEX('Player Raw Data'!AB:AB,Match($A353,'Player Raw Data'!$B:$B,0)),"")</f>
        <v/>
      </c>
      <c r="P353" t="str">
        <f t="array" ref="P353">IFERROR(INDEX('Player Raw Data'!AD:AD,Match($A353,'Player Raw Data'!$B:$B,0)),"")</f>
        <v/>
      </c>
      <c r="Q353">
        <f t="shared" si="1"/>
        <v>0</v>
      </c>
      <c r="R353" s="9">
        <f t="shared" si="2"/>
        <v>0</v>
      </c>
      <c r="S353" s="14">
        <f t="shared" si="3"/>
        <v>0</v>
      </c>
      <c r="T353" s="15">
        <f>IFERROR(__xludf.DUMMYFUNCTION("IFERROR(PERCENTRANK.INC(FILTER(Q:Q,$F:$F&lt;&gt;""""),Q353)*100,"""")"),1.5)</f>
        <v>1.5</v>
      </c>
      <c r="U353" s="15">
        <f>IFERROR(__xludf.DUMMYFUNCTION("IFERROR(PERCENTRANK.INC(FILTER(R:R,$F:$F&lt;&gt;""""),R353)*100,"""")"),1.5)</f>
        <v>1.5</v>
      </c>
      <c r="V353" s="15">
        <f>IFERROR(__xludf.DUMMYFUNCTION("IFERROR(PERCENTRANK.INC(FILTER(S:S,$F:$F&lt;&gt;""""),S353)*100,"""")"),1.5)</f>
        <v>1.5</v>
      </c>
      <c r="W353" s="15" t="str">
        <f t="shared" si="4"/>
        <v/>
      </c>
      <c r="X353" s="16"/>
      <c r="Y353" s="9"/>
      <c r="Z353" s="9"/>
    </row>
    <row r="354">
      <c r="B354" t="str">
        <f t="array" ref="B354">IFERROR(INDEX('Player Raw Data'!E:E,Match($A354,'Player Raw Data'!$B:$B,0)),"")</f>
        <v/>
      </c>
      <c r="C354" t="str">
        <f t="array" ref="C354">IFERROR(INDEX('Player Raw Data'!C:C,Match($A354,'Player Raw Data'!$B:$B,0)),"")</f>
        <v/>
      </c>
      <c r="D354" t="str">
        <f t="array" ref="D354">IFERROR(IF(A354=A353, INDEX('Player Raw Data'!D:D,Match($A354,'Player Raw Data'!$B:$B,0)+2),INDEX('Player Raw Data'!D:D,Match($A354,'Player Raw Data'!$B:$B,0))),"")</f>
        <v/>
      </c>
      <c r="E354" t="str">
        <f t="array" ref="E354">IFERROR(INDEX('Player Raw Data'!F:F,Match($A354,'Player Raw Data'!$B:$B,0)),"")</f>
        <v/>
      </c>
      <c r="F354" t="str">
        <f t="array" ref="F354">IFERROR(INDEX('Player Raw Data'!H:H,Match($A354,'Player Raw Data'!$B:$B,0)),"")</f>
        <v/>
      </c>
      <c r="G354" t="str">
        <f t="array" ref="G354">IFERROR(INDEX('Player Raw Data'!I:I,Match($A354,'Player Raw Data'!$B:$B,0)),"")</f>
        <v/>
      </c>
      <c r="H354" t="str">
        <f t="array" ref="H354">IFERROR(INDEX('Player Raw Data'!J:J,Match($A354,'Player Raw Data'!$B:$B,0)),"")</f>
        <v/>
      </c>
      <c r="I354" t="str">
        <f t="array" ref="I354">IFERROR(INDEX('Player Raw Data'!S:S,Match($A354,'Player Raw Data'!$B:$B,0)),"")</f>
        <v/>
      </c>
      <c r="J354" t="str">
        <f t="array" ref="J354">IFERROR(INDEX('Player Raw Data'!T:T,Match($A354,'Player Raw Data'!$B:$B,0)),"")</f>
        <v/>
      </c>
      <c r="K354" t="str">
        <f t="array" ref="K354">IFERROR(INDEX('Player Raw Data'!X:X,Match($A354,'Player Raw Data'!$B:$B,0)),"")</f>
        <v/>
      </c>
      <c r="L354" t="str">
        <f t="array" ref="L354">IFERROR(INDEX('Player Raw Data'!Y:Y,Match($A354,'Player Raw Data'!$B:$B,0)),"")</f>
        <v/>
      </c>
      <c r="M354" t="str">
        <f t="array" ref="M354">IFERROR(INDEX('Player Raw Data'!Z:Z,Match($A354,'Player Raw Data'!$B:$B,0)),"")</f>
        <v/>
      </c>
      <c r="N354" t="str">
        <f t="array" ref="N354">IFERROR(INDEX('Player Raw Data'!AA:AA,Match($A354,'Player Raw Data'!$B:$B,0)),"")</f>
        <v/>
      </c>
      <c r="O354" t="str">
        <f t="array" ref="O354">IFERROR(INDEX('Player Raw Data'!AB:AB,Match($A354,'Player Raw Data'!$B:$B,0)),"")</f>
        <v/>
      </c>
      <c r="P354" t="str">
        <f t="array" ref="P354">IFERROR(INDEX('Player Raw Data'!AD:AD,Match($A354,'Player Raw Data'!$B:$B,0)),"")</f>
        <v/>
      </c>
      <c r="Q354">
        <f t="shared" si="1"/>
        <v>0</v>
      </c>
      <c r="R354" s="9">
        <f t="shared" si="2"/>
        <v>0</v>
      </c>
      <c r="S354" s="14">
        <f t="shared" si="3"/>
        <v>0</v>
      </c>
      <c r="T354" s="15">
        <f>IFERROR(__xludf.DUMMYFUNCTION("IFERROR(PERCENTRANK.INC(FILTER(Q:Q,$F:$F&lt;&gt;""""),Q354)*100,"""")"),1.5)</f>
        <v>1.5</v>
      </c>
      <c r="U354" s="15">
        <f>IFERROR(__xludf.DUMMYFUNCTION("IFERROR(PERCENTRANK.INC(FILTER(R:R,$F:$F&lt;&gt;""""),R354)*100,"""")"),1.5)</f>
        <v>1.5</v>
      </c>
      <c r="V354" s="15">
        <f>IFERROR(__xludf.DUMMYFUNCTION("IFERROR(PERCENTRANK.INC(FILTER(S:S,$F:$F&lt;&gt;""""),S354)*100,"""")"),1.5)</f>
        <v>1.5</v>
      </c>
      <c r="W354" s="15" t="str">
        <f t="shared" si="4"/>
        <v/>
      </c>
      <c r="X354" s="16"/>
      <c r="Y354" s="9"/>
      <c r="Z354" s="9"/>
    </row>
    <row r="355">
      <c r="B355" t="str">
        <f t="array" ref="B355">IFERROR(INDEX('Player Raw Data'!E:E,Match($A355,'Player Raw Data'!$B:$B,0)),"")</f>
        <v/>
      </c>
      <c r="C355" t="str">
        <f t="array" ref="C355">IFERROR(INDEX('Player Raw Data'!C:C,Match($A355,'Player Raw Data'!$B:$B,0)),"")</f>
        <v/>
      </c>
      <c r="D355" t="str">
        <f t="array" ref="D355">IFERROR(IF(A355=A354, INDEX('Player Raw Data'!D:D,Match($A355,'Player Raw Data'!$B:$B,0)+2),INDEX('Player Raw Data'!D:D,Match($A355,'Player Raw Data'!$B:$B,0))),"")</f>
        <v/>
      </c>
      <c r="E355" t="str">
        <f t="array" ref="E355">IFERROR(INDEX('Player Raw Data'!F:F,Match($A355,'Player Raw Data'!$B:$B,0)),"")</f>
        <v/>
      </c>
      <c r="F355" t="str">
        <f t="array" ref="F355">IFERROR(INDEX('Player Raw Data'!H:H,Match($A355,'Player Raw Data'!$B:$B,0)),"")</f>
        <v/>
      </c>
      <c r="G355" t="str">
        <f t="array" ref="G355">IFERROR(INDEX('Player Raw Data'!I:I,Match($A355,'Player Raw Data'!$B:$B,0)),"")</f>
        <v/>
      </c>
      <c r="H355" t="str">
        <f t="array" ref="H355">IFERROR(INDEX('Player Raw Data'!J:J,Match($A355,'Player Raw Data'!$B:$B,0)),"")</f>
        <v/>
      </c>
      <c r="I355" t="str">
        <f t="array" ref="I355">IFERROR(INDEX('Player Raw Data'!S:S,Match($A355,'Player Raw Data'!$B:$B,0)),"")</f>
        <v/>
      </c>
      <c r="J355" t="str">
        <f t="array" ref="J355">IFERROR(INDEX('Player Raw Data'!T:T,Match($A355,'Player Raw Data'!$B:$B,0)),"")</f>
        <v/>
      </c>
      <c r="K355" t="str">
        <f t="array" ref="K355">IFERROR(INDEX('Player Raw Data'!X:X,Match($A355,'Player Raw Data'!$B:$B,0)),"")</f>
        <v/>
      </c>
      <c r="L355" t="str">
        <f t="array" ref="L355">IFERROR(INDEX('Player Raw Data'!Y:Y,Match($A355,'Player Raw Data'!$B:$B,0)),"")</f>
        <v/>
      </c>
      <c r="M355" t="str">
        <f t="array" ref="M355">IFERROR(INDEX('Player Raw Data'!Z:Z,Match($A355,'Player Raw Data'!$B:$B,0)),"")</f>
        <v/>
      </c>
      <c r="N355" t="str">
        <f t="array" ref="N355">IFERROR(INDEX('Player Raw Data'!AA:AA,Match($A355,'Player Raw Data'!$B:$B,0)),"")</f>
        <v/>
      </c>
      <c r="O355" t="str">
        <f t="array" ref="O355">IFERROR(INDEX('Player Raw Data'!AB:AB,Match($A355,'Player Raw Data'!$B:$B,0)),"")</f>
        <v/>
      </c>
      <c r="P355" t="str">
        <f t="array" ref="P355">IFERROR(INDEX('Player Raw Data'!AD:AD,Match($A355,'Player Raw Data'!$B:$B,0)),"")</f>
        <v/>
      </c>
      <c r="Q355">
        <f t="shared" si="1"/>
        <v>0</v>
      </c>
      <c r="R355" s="9">
        <f t="shared" si="2"/>
        <v>0</v>
      </c>
      <c r="S355" s="14">
        <f t="shared" si="3"/>
        <v>0</v>
      </c>
      <c r="T355" s="15">
        <f>IFERROR(__xludf.DUMMYFUNCTION("IFERROR(PERCENTRANK.INC(FILTER(Q:Q,$F:$F&lt;&gt;""""),Q355)*100,"""")"),1.5)</f>
        <v>1.5</v>
      </c>
      <c r="U355" s="15">
        <f>IFERROR(__xludf.DUMMYFUNCTION("IFERROR(PERCENTRANK.INC(FILTER(R:R,$F:$F&lt;&gt;""""),R355)*100,"""")"),1.5)</f>
        <v>1.5</v>
      </c>
      <c r="V355" s="15">
        <f>IFERROR(__xludf.DUMMYFUNCTION("IFERROR(PERCENTRANK.INC(FILTER(S:S,$F:$F&lt;&gt;""""),S355)*100,"""")"),1.5)</f>
        <v>1.5</v>
      </c>
      <c r="W355" s="15" t="str">
        <f t="shared" si="4"/>
        <v/>
      </c>
      <c r="X355" s="16"/>
      <c r="Y355" s="9"/>
      <c r="Z355" s="9"/>
    </row>
    <row r="356">
      <c r="B356" t="str">
        <f t="array" ref="B356">IFERROR(INDEX('Player Raw Data'!E:E,Match($A356,'Player Raw Data'!$B:$B,0)),"")</f>
        <v/>
      </c>
      <c r="C356" t="str">
        <f t="array" ref="C356">IFERROR(INDEX('Player Raw Data'!C:C,Match($A356,'Player Raw Data'!$B:$B,0)),"")</f>
        <v/>
      </c>
      <c r="D356" t="str">
        <f t="array" ref="D356">IFERROR(IF(A356=A355, INDEX('Player Raw Data'!D:D,Match($A356,'Player Raw Data'!$B:$B,0)+2),INDEX('Player Raw Data'!D:D,Match($A356,'Player Raw Data'!$B:$B,0))),"")</f>
        <v/>
      </c>
      <c r="E356" t="str">
        <f t="array" ref="E356">IFERROR(INDEX('Player Raw Data'!F:F,Match($A356,'Player Raw Data'!$B:$B,0)),"")</f>
        <v/>
      </c>
      <c r="F356" t="str">
        <f t="array" ref="F356">IFERROR(INDEX('Player Raw Data'!H:H,Match($A356,'Player Raw Data'!$B:$B,0)),"")</f>
        <v/>
      </c>
      <c r="G356" t="str">
        <f t="array" ref="G356">IFERROR(INDEX('Player Raw Data'!I:I,Match($A356,'Player Raw Data'!$B:$B,0)),"")</f>
        <v/>
      </c>
      <c r="H356" t="str">
        <f t="array" ref="H356">IFERROR(INDEX('Player Raw Data'!J:J,Match($A356,'Player Raw Data'!$B:$B,0)),"")</f>
        <v/>
      </c>
      <c r="I356" t="str">
        <f t="array" ref="I356">IFERROR(INDEX('Player Raw Data'!S:S,Match($A356,'Player Raw Data'!$B:$B,0)),"")</f>
        <v/>
      </c>
      <c r="J356" t="str">
        <f t="array" ref="J356">IFERROR(INDEX('Player Raw Data'!T:T,Match($A356,'Player Raw Data'!$B:$B,0)),"")</f>
        <v/>
      </c>
      <c r="K356" t="str">
        <f t="array" ref="K356">IFERROR(INDEX('Player Raw Data'!X:X,Match($A356,'Player Raw Data'!$B:$B,0)),"")</f>
        <v/>
      </c>
      <c r="L356" t="str">
        <f t="array" ref="L356">IFERROR(INDEX('Player Raw Data'!Y:Y,Match($A356,'Player Raw Data'!$B:$B,0)),"")</f>
        <v/>
      </c>
      <c r="M356" t="str">
        <f t="array" ref="M356">IFERROR(INDEX('Player Raw Data'!Z:Z,Match($A356,'Player Raw Data'!$B:$B,0)),"")</f>
        <v/>
      </c>
      <c r="N356" t="str">
        <f t="array" ref="N356">IFERROR(INDEX('Player Raw Data'!AA:AA,Match($A356,'Player Raw Data'!$B:$B,0)),"")</f>
        <v/>
      </c>
      <c r="O356" t="str">
        <f t="array" ref="O356">IFERROR(INDEX('Player Raw Data'!AB:AB,Match($A356,'Player Raw Data'!$B:$B,0)),"")</f>
        <v/>
      </c>
      <c r="P356" t="str">
        <f t="array" ref="P356">IFERROR(INDEX('Player Raw Data'!AD:AD,Match($A356,'Player Raw Data'!$B:$B,0)),"")</f>
        <v/>
      </c>
      <c r="Q356">
        <f t="shared" si="1"/>
        <v>0</v>
      </c>
      <c r="R356" s="9">
        <f t="shared" si="2"/>
        <v>0</v>
      </c>
      <c r="S356" s="14">
        <f t="shared" si="3"/>
        <v>0</v>
      </c>
      <c r="T356" s="15">
        <f>IFERROR(__xludf.DUMMYFUNCTION("IFERROR(PERCENTRANK.INC(FILTER(Q:Q,$F:$F&lt;&gt;""""),Q356)*100,"""")"),1.5)</f>
        <v>1.5</v>
      </c>
      <c r="U356" s="15">
        <f>IFERROR(__xludf.DUMMYFUNCTION("IFERROR(PERCENTRANK.INC(FILTER(R:R,$F:$F&lt;&gt;""""),R356)*100,"""")"),1.5)</f>
        <v>1.5</v>
      </c>
      <c r="V356" s="15">
        <f>IFERROR(__xludf.DUMMYFUNCTION("IFERROR(PERCENTRANK.INC(FILTER(S:S,$F:$F&lt;&gt;""""),S356)*100,"""")"),1.5)</f>
        <v>1.5</v>
      </c>
      <c r="W356" s="15" t="str">
        <f t="shared" si="4"/>
        <v/>
      </c>
      <c r="X356" s="16"/>
      <c r="Y356" s="9"/>
      <c r="Z356" s="9"/>
    </row>
    <row r="357">
      <c r="B357" t="str">
        <f t="array" ref="B357">IFERROR(INDEX('Player Raw Data'!E:E,Match($A357,'Player Raw Data'!$B:$B,0)),"")</f>
        <v/>
      </c>
      <c r="C357" t="str">
        <f t="array" ref="C357">IFERROR(INDEX('Player Raw Data'!C:C,Match($A357,'Player Raw Data'!$B:$B,0)),"")</f>
        <v/>
      </c>
      <c r="D357" t="str">
        <f t="array" ref="D357">IFERROR(IF(A357=A356, INDEX('Player Raw Data'!D:D,Match($A357,'Player Raw Data'!$B:$B,0)+2),INDEX('Player Raw Data'!D:D,Match($A357,'Player Raw Data'!$B:$B,0))),"")</f>
        <v/>
      </c>
      <c r="E357" t="str">
        <f t="array" ref="E357">IFERROR(INDEX('Player Raw Data'!F:F,Match($A357,'Player Raw Data'!$B:$B,0)),"")</f>
        <v/>
      </c>
      <c r="F357" t="str">
        <f t="array" ref="F357">IFERROR(INDEX('Player Raw Data'!H:H,Match($A357,'Player Raw Data'!$B:$B,0)),"")</f>
        <v/>
      </c>
      <c r="G357" t="str">
        <f t="array" ref="G357">IFERROR(INDEX('Player Raw Data'!I:I,Match($A357,'Player Raw Data'!$B:$B,0)),"")</f>
        <v/>
      </c>
      <c r="H357" t="str">
        <f t="array" ref="H357">IFERROR(INDEX('Player Raw Data'!J:J,Match($A357,'Player Raw Data'!$B:$B,0)),"")</f>
        <v/>
      </c>
      <c r="I357" t="str">
        <f t="array" ref="I357">IFERROR(INDEX('Player Raw Data'!S:S,Match($A357,'Player Raw Data'!$B:$B,0)),"")</f>
        <v/>
      </c>
      <c r="J357" t="str">
        <f t="array" ref="J357">IFERROR(INDEX('Player Raw Data'!T:T,Match($A357,'Player Raw Data'!$B:$B,0)),"")</f>
        <v/>
      </c>
      <c r="K357" t="str">
        <f t="array" ref="K357">IFERROR(INDEX('Player Raw Data'!X:X,Match($A357,'Player Raw Data'!$B:$B,0)),"")</f>
        <v/>
      </c>
      <c r="L357" t="str">
        <f t="array" ref="L357">IFERROR(INDEX('Player Raw Data'!Y:Y,Match($A357,'Player Raw Data'!$B:$B,0)),"")</f>
        <v/>
      </c>
      <c r="M357" t="str">
        <f t="array" ref="M357">IFERROR(INDEX('Player Raw Data'!Z:Z,Match($A357,'Player Raw Data'!$B:$B,0)),"")</f>
        <v/>
      </c>
      <c r="N357" t="str">
        <f t="array" ref="N357">IFERROR(INDEX('Player Raw Data'!AA:AA,Match($A357,'Player Raw Data'!$B:$B,0)),"")</f>
        <v/>
      </c>
      <c r="O357" t="str">
        <f t="array" ref="O357">IFERROR(INDEX('Player Raw Data'!AB:AB,Match($A357,'Player Raw Data'!$B:$B,0)),"")</f>
        <v/>
      </c>
      <c r="P357" t="str">
        <f t="array" ref="P357">IFERROR(INDEX('Player Raw Data'!AD:AD,Match($A357,'Player Raw Data'!$B:$B,0)),"")</f>
        <v/>
      </c>
      <c r="Q357">
        <f t="shared" si="1"/>
        <v>0</v>
      </c>
      <c r="R357" s="9">
        <f t="shared" si="2"/>
        <v>0</v>
      </c>
      <c r="S357" s="14">
        <f t="shared" si="3"/>
        <v>0</v>
      </c>
      <c r="T357" s="15">
        <f>IFERROR(__xludf.DUMMYFUNCTION("IFERROR(PERCENTRANK.INC(FILTER(Q:Q,$F:$F&lt;&gt;""""),Q357)*100,"""")"),1.5)</f>
        <v>1.5</v>
      </c>
      <c r="U357" s="15">
        <f>IFERROR(__xludf.DUMMYFUNCTION("IFERROR(PERCENTRANK.INC(FILTER(R:R,$F:$F&lt;&gt;""""),R357)*100,"""")"),1.5)</f>
        <v>1.5</v>
      </c>
      <c r="V357" s="15">
        <f>IFERROR(__xludf.DUMMYFUNCTION("IFERROR(PERCENTRANK.INC(FILTER(S:S,$F:$F&lt;&gt;""""),S357)*100,"""")"),1.5)</f>
        <v>1.5</v>
      </c>
      <c r="W357" s="15" t="str">
        <f t="shared" si="4"/>
        <v/>
      </c>
      <c r="X357" s="16"/>
      <c r="Y357" s="9"/>
      <c r="Z357" s="9"/>
    </row>
    <row r="358">
      <c r="B358" t="str">
        <f t="array" ref="B358">IFERROR(INDEX('Player Raw Data'!E:E,Match($A358,'Player Raw Data'!$B:$B,0)),"")</f>
        <v/>
      </c>
      <c r="C358" t="str">
        <f t="array" ref="C358">IFERROR(INDEX('Player Raw Data'!C:C,Match($A358,'Player Raw Data'!$B:$B,0)),"")</f>
        <v/>
      </c>
      <c r="D358" t="str">
        <f t="array" ref="D358">IFERROR(IF(A358=A357, INDEX('Player Raw Data'!D:D,Match($A358,'Player Raw Data'!$B:$B,0)+2),INDEX('Player Raw Data'!D:D,Match($A358,'Player Raw Data'!$B:$B,0))),"")</f>
        <v/>
      </c>
      <c r="E358" t="str">
        <f t="array" ref="E358">IFERROR(INDEX('Player Raw Data'!F:F,Match($A358,'Player Raw Data'!$B:$B,0)),"")</f>
        <v/>
      </c>
      <c r="F358" t="str">
        <f t="array" ref="F358">IFERROR(INDEX('Player Raw Data'!H:H,Match($A358,'Player Raw Data'!$B:$B,0)),"")</f>
        <v/>
      </c>
      <c r="G358" t="str">
        <f t="array" ref="G358">IFERROR(INDEX('Player Raw Data'!I:I,Match($A358,'Player Raw Data'!$B:$B,0)),"")</f>
        <v/>
      </c>
      <c r="H358" t="str">
        <f t="array" ref="H358">IFERROR(INDEX('Player Raw Data'!J:J,Match($A358,'Player Raw Data'!$B:$B,0)),"")</f>
        <v/>
      </c>
      <c r="I358" t="str">
        <f t="array" ref="I358">IFERROR(INDEX('Player Raw Data'!S:S,Match($A358,'Player Raw Data'!$B:$B,0)),"")</f>
        <v/>
      </c>
      <c r="J358" t="str">
        <f t="array" ref="J358">IFERROR(INDEX('Player Raw Data'!T:T,Match($A358,'Player Raw Data'!$B:$B,0)),"")</f>
        <v/>
      </c>
      <c r="K358" t="str">
        <f t="array" ref="K358">IFERROR(INDEX('Player Raw Data'!X:X,Match($A358,'Player Raw Data'!$B:$B,0)),"")</f>
        <v/>
      </c>
      <c r="L358" t="str">
        <f t="array" ref="L358">IFERROR(INDEX('Player Raw Data'!Y:Y,Match($A358,'Player Raw Data'!$B:$B,0)),"")</f>
        <v/>
      </c>
      <c r="M358" t="str">
        <f t="array" ref="M358">IFERROR(INDEX('Player Raw Data'!Z:Z,Match($A358,'Player Raw Data'!$B:$B,0)),"")</f>
        <v/>
      </c>
      <c r="N358" t="str">
        <f t="array" ref="N358">IFERROR(INDEX('Player Raw Data'!AA:AA,Match($A358,'Player Raw Data'!$B:$B,0)),"")</f>
        <v/>
      </c>
      <c r="O358" t="str">
        <f t="array" ref="O358">IFERROR(INDEX('Player Raw Data'!AB:AB,Match($A358,'Player Raw Data'!$B:$B,0)),"")</f>
        <v/>
      </c>
      <c r="P358" t="str">
        <f t="array" ref="P358">IFERROR(INDEX('Player Raw Data'!AD:AD,Match($A358,'Player Raw Data'!$B:$B,0)),"")</f>
        <v/>
      </c>
      <c r="Q358">
        <f t="shared" si="1"/>
        <v>0</v>
      </c>
      <c r="R358" s="9">
        <f t="shared" si="2"/>
        <v>0</v>
      </c>
      <c r="S358" s="14">
        <f t="shared" si="3"/>
        <v>0</v>
      </c>
      <c r="T358" s="15">
        <f>IFERROR(__xludf.DUMMYFUNCTION("IFERROR(PERCENTRANK.INC(FILTER(Q:Q,$F:$F&lt;&gt;""""),Q358)*100,"""")"),1.5)</f>
        <v>1.5</v>
      </c>
      <c r="U358" s="15">
        <f>IFERROR(__xludf.DUMMYFUNCTION("IFERROR(PERCENTRANK.INC(FILTER(R:R,$F:$F&lt;&gt;""""),R358)*100,"""")"),1.5)</f>
        <v>1.5</v>
      </c>
      <c r="V358" s="15">
        <f>IFERROR(__xludf.DUMMYFUNCTION("IFERROR(PERCENTRANK.INC(FILTER(S:S,$F:$F&lt;&gt;""""),S358)*100,"""")"),1.5)</f>
        <v>1.5</v>
      </c>
      <c r="W358" s="15" t="str">
        <f t="shared" si="4"/>
        <v/>
      </c>
      <c r="X358" s="16"/>
      <c r="Y358" s="9"/>
      <c r="Z358" s="9"/>
    </row>
    <row r="359">
      <c r="B359" t="str">
        <f t="array" ref="B359">IFERROR(INDEX('Player Raw Data'!E:E,Match($A359,'Player Raw Data'!$B:$B,0)),"")</f>
        <v/>
      </c>
      <c r="C359" t="str">
        <f t="array" ref="C359">IFERROR(INDEX('Player Raw Data'!C:C,Match($A359,'Player Raw Data'!$B:$B,0)),"")</f>
        <v/>
      </c>
      <c r="D359" t="str">
        <f t="array" ref="D359">IFERROR(IF(A359=A358, INDEX('Player Raw Data'!D:D,Match($A359,'Player Raw Data'!$B:$B,0)+2),INDEX('Player Raw Data'!D:D,Match($A359,'Player Raw Data'!$B:$B,0))),"")</f>
        <v/>
      </c>
      <c r="E359" t="str">
        <f t="array" ref="E359">IFERROR(INDEX('Player Raw Data'!F:F,Match($A359,'Player Raw Data'!$B:$B,0)),"")</f>
        <v/>
      </c>
      <c r="F359" t="str">
        <f t="array" ref="F359">IFERROR(INDEX('Player Raw Data'!H:H,Match($A359,'Player Raw Data'!$B:$B,0)),"")</f>
        <v/>
      </c>
      <c r="G359" t="str">
        <f t="array" ref="G359">IFERROR(INDEX('Player Raw Data'!I:I,Match($A359,'Player Raw Data'!$B:$B,0)),"")</f>
        <v/>
      </c>
      <c r="H359" t="str">
        <f t="array" ref="H359">IFERROR(INDEX('Player Raw Data'!J:J,Match($A359,'Player Raw Data'!$B:$B,0)),"")</f>
        <v/>
      </c>
      <c r="I359" t="str">
        <f t="array" ref="I359">IFERROR(INDEX('Player Raw Data'!S:S,Match($A359,'Player Raw Data'!$B:$B,0)),"")</f>
        <v/>
      </c>
      <c r="J359" t="str">
        <f t="array" ref="J359">IFERROR(INDEX('Player Raw Data'!T:T,Match($A359,'Player Raw Data'!$B:$B,0)),"")</f>
        <v/>
      </c>
      <c r="K359" t="str">
        <f t="array" ref="K359">IFERROR(INDEX('Player Raw Data'!X:X,Match($A359,'Player Raw Data'!$B:$B,0)),"")</f>
        <v/>
      </c>
      <c r="L359" t="str">
        <f t="array" ref="L359">IFERROR(INDEX('Player Raw Data'!Y:Y,Match($A359,'Player Raw Data'!$B:$B,0)),"")</f>
        <v/>
      </c>
      <c r="M359" t="str">
        <f t="array" ref="M359">IFERROR(INDEX('Player Raw Data'!Z:Z,Match($A359,'Player Raw Data'!$B:$B,0)),"")</f>
        <v/>
      </c>
      <c r="N359" t="str">
        <f t="array" ref="N359">IFERROR(INDEX('Player Raw Data'!AA:AA,Match($A359,'Player Raw Data'!$B:$B,0)),"")</f>
        <v/>
      </c>
      <c r="O359" t="str">
        <f t="array" ref="O359">IFERROR(INDEX('Player Raw Data'!AB:AB,Match($A359,'Player Raw Data'!$B:$B,0)),"")</f>
        <v/>
      </c>
      <c r="P359" t="str">
        <f t="array" ref="P359">IFERROR(INDEX('Player Raw Data'!AD:AD,Match($A359,'Player Raw Data'!$B:$B,0)),"")</f>
        <v/>
      </c>
      <c r="Q359">
        <f t="shared" si="1"/>
        <v>0</v>
      </c>
      <c r="R359" s="9">
        <f t="shared" si="2"/>
        <v>0</v>
      </c>
      <c r="S359" s="14">
        <f t="shared" si="3"/>
        <v>0</v>
      </c>
      <c r="T359" s="15">
        <f>IFERROR(__xludf.DUMMYFUNCTION("IFERROR(PERCENTRANK.INC(FILTER(Q:Q,$F:$F&lt;&gt;""""),Q359)*100,"""")"),1.5)</f>
        <v>1.5</v>
      </c>
      <c r="U359" s="15">
        <f>IFERROR(__xludf.DUMMYFUNCTION("IFERROR(PERCENTRANK.INC(FILTER(R:R,$F:$F&lt;&gt;""""),R359)*100,"""")"),1.5)</f>
        <v>1.5</v>
      </c>
      <c r="V359" s="15">
        <f>IFERROR(__xludf.DUMMYFUNCTION("IFERROR(PERCENTRANK.INC(FILTER(S:S,$F:$F&lt;&gt;""""),S359)*100,"""")"),1.5)</f>
        <v>1.5</v>
      </c>
      <c r="W359" s="15" t="str">
        <f t="shared" si="4"/>
        <v/>
      </c>
      <c r="X359" s="16"/>
      <c r="Y359" s="9"/>
      <c r="Z359" s="9"/>
    </row>
    <row r="360">
      <c r="B360" t="str">
        <f t="array" ref="B360">IFERROR(INDEX('Player Raw Data'!E:E,Match($A360,'Player Raw Data'!$B:$B,0)),"")</f>
        <v/>
      </c>
      <c r="C360" t="str">
        <f t="array" ref="C360">IFERROR(INDEX('Player Raw Data'!C:C,Match($A360,'Player Raw Data'!$B:$B,0)),"")</f>
        <v/>
      </c>
      <c r="D360" t="str">
        <f t="array" ref="D360">IFERROR(IF(A360=A359, INDEX('Player Raw Data'!D:D,Match($A360,'Player Raw Data'!$B:$B,0)+2),INDEX('Player Raw Data'!D:D,Match($A360,'Player Raw Data'!$B:$B,0))),"")</f>
        <v/>
      </c>
      <c r="E360" t="str">
        <f t="array" ref="E360">IFERROR(INDEX('Player Raw Data'!F:F,Match($A360,'Player Raw Data'!$B:$B,0)),"")</f>
        <v/>
      </c>
      <c r="F360" t="str">
        <f t="array" ref="F360">IFERROR(INDEX('Player Raw Data'!H:H,Match($A360,'Player Raw Data'!$B:$B,0)),"")</f>
        <v/>
      </c>
      <c r="G360" t="str">
        <f t="array" ref="G360">IFERROR(INDEX('Player Raw Data'!I:I,Match($A360,'Player Raw Data'!$B:$B,0)),"")</f>
        <v/>
      </c>
      <c r="H360" t="str">
        <f t="array" ref="H360">IFERROR(INDEX('Player Raw Data'!J:J,Match($A360,'Player Raw Data'!$B:$B,0)),"")</f>
        <v/>
      </c>
      <c r="I360" t="str">
        <f t="array" ref="I360">IFERROR(INDEX('Player Raw Data'!S:S,Match($A360,'Player Raw Data'!$B:$B,0)),"")</f>
        <v/>
      </c>
      <c r="J360" t="str">
        <f t="array" ref="J360">IFERROR(INDEX('Player Raw Data'!T:T,Match($A360,'Player Raw Data'!$B:$B,0)),"")</f>
        <v/>
      </c>
      <c r="K360" t="str">
        <f t="array" ref="K360">IFERROR(INDEX('Player Raw Data'!X:X,Match($A360,'Player Raw Data'!$B:$B,0)),"")</f>
        <v/>
      </c>
      <c r="L360" t="str">
        <f t="array" ref="L360">IFERROR(INDEX('Player Raw Data'!Y:Y,Match($A360,'Player Raw Data'!$B:$B,0)),"")</f>
        <v/>
      </c>
      <c r="M360" t="str">
        <f t="array" ref="M360">IFERROR(INDEX('Player Raw Data'!Z:Z,Match($A360,'Player Raw Data'!$B:$B,0)),"")</f>
        <v/>
      </c>
      <c r="N360" t="str">
        <f t="array" ref="N360">IFERROR(INDEX('Player Raw Data'!AA:AA,Match($A360,'Player Raw Data'!$B:$B,0)),"")</f>
        <v/>
      </c>
      <c r="O360" t="str">
        <f t="array" ref="O360">IFERROR(INDEX('Player Raw Data'!AB:AB,Match($A360,'Player Raw Data'!$B:$B,0)),"")</f>
        <v/>
      </c>
      <c r="P360" t="str">
        <f t="array" ref="P360">IFERROR(INDEX('Player Raw Data'!AD:AD,Match($A360,'Player Raw Data'!$B:$B,0)),"")</f>
        <v/>
      </c>
      <c r="Q360">
        <f t="shared" si="1"/>
        <v>0</v>
      </c>
      <c r="R360" s="9">
        <f t="shared" si="2"/>
        <v>0</v>
      </c>
      <c r="S360" s="14">
        <f t="shared" si="3"/>
        <v>0</v>
      </c>
      <c r="T360" s="15">
        <f>IFERROR(__xludf.DUMMYFUNCTION("IFERROR(PERCENTRANK.INC(FILTER(Q:Q,$F:$F&lt;&gt;""""),Q360)*100,"""")"),1.5)</f>
        <v>1.5</v>
      </c>
      <c r="U360" s="15">
        <f>IFERROR(__xludf.DUMMYFUNCTION("IFERROR(PERCENTRANK.INC(FILTER(R:R,$F:$F&lt;&gt;""""),R360)*100,"""")"),1.5)</f>
        <v>1.5</v>
      </c>
      <c r="V360" s="15">
        <f>IFERROR(__xludf.DUMMYFUNCTION("IFERROR(PERCENTRANK.INC(FILTER(S:S,$F:$F&lt;&gt;""""),S360)*100,"""")"),1.5)</f>
        <v>1.5</v>
      </c>
      <c r="W360" s="15" t="str">
        <f t="shared" si="4"/>
        <v/>
      </c>
      <c r="X360" s="16"/>
      <c r="Y360" s="9"/>
      <c r="Z360" s="9"/>
    </row>
    <row r="361">
      <c r="B361" t="str">
        <f t="array" ref="B361">IFERROR(INDEX('Player Raw Data'!E:E,Match($A361,'Player Raw Data'!$B:$B,0)),"")</f>
        <v/>
      </c>
      <c r="C361" t="str">
        <f t="array" ref="C361">IFERROR(INDEX('Player Raw Data'!C:C,Match($A361,'Player Raw Data'!$B:$B,0)),"")</f>
        <v/>
      </c>
      <c r="D361" t="str">
        <f t="array" ref="D361">IFERROR(IF(A361=A360, INDEX('Player Raw Data'!D:D,Match($A361,'Player Raw Data'!$B:$B,0)+2),INDEX('Player Raw Data'!D:D,Match($A361,'Player Raw Data'!$B:$B,0))),"")</f>
        <v/>
      </c>
      <c r="E361" t="str">
        <f t="array" ref="E361">IFERROR(INDEX('Player Raw Data'!F:F,Match($A361,'Player Raw Data'!$B:$B,0)),"")</f>
        <v/>
      </c>
      <c r="F361" t="str">
        <f t="array" ref="F361">IFERROR(INDEX('Player Raw Data'!H:H,Match($A361,'Player Raw Data'!$B:$B,0)),"")</f>
        <v/>
      </c>
      <c r="G361" t="str">
        <f t="array" ref="G361">IFERROR(INDEX('Player Raw Data'!I:I,Match($A361,'Player Raw Data'!$B:$B,0)),"")</f>
        <v/>
      </c>
      <c r="H361" t="str">
        <f t="array" ref="H361">IFERROR(INDEX('Player Raw Data'!J:J,Match($A361,'Player Raw Data'!$B:$B,0)),"")</f>
        <v/>
      </c>
      <c r="I361" t="str">
        <f t="array" ref="I361">IFERROR(INDEX('Player Raw Data'!S:S,Match($A361,'Player Raw Data'!$B:$B,0)),"")</f>
        <v/>
      </c>
      <c r="J361" t="str">
        <f t="array" ref="J361">IFERROR(INDEX('Player Raw Data'!T:T,Match($A361,'Player Raw Data'!$B:$B,0)),"")</f>
        <v/>
      </c>
      <c r="K361" t="str">
        <f t="array" ref="K361">IFERROR(INDEX('Player Raw Data'!X:X,Match($A361,'Player Raw Data'!$B:$B,0)),"")</f>
        <v/>
      </c>
      <c r="L361" t="str">
        <f t="array" ref="L361">IFERROR(INDEX('Player Raw Data'!Y:Y,Match($A361,'Player Raw Data'!$B:$B,0)),"")</f>
        <v/>
      </c>
      <c r="M361" t="str">
        <f t="array" ref="M361">IFERROR(INDEX('Player Raw Data'!Z:Z,Match($A361,'Player Raw Data'!$B:$B,0)),"")</f>
        <v/>
      </c>
      <c r="N361" t="str">
        <f t="array" ref="N361">IFERROR(INDEX('Player Raw Data'!AA:AA,Match($A361,'Player Raw Data'!$B:$B,0)),"")</f>
        <v/>
      </c>
      <c r="O361" t="str">
        <f t="array" ref="O361">IFERROR(INDEX('Player Raw Data'!AB:AB,Match($A361,'Player Raw Data'!$B:$B,0)),"")</f>
        <v/>
      </c>
      <c r="P361" t="str">
        <f t="array" ref="P361">IFERROR(INDEX('Player Raw Data'!AD:AD,Match($A361,'Player Raw Data'!$B:$B,0)),"")</f>
        <v/>
      </c>
      <c r="Q361">
        <f t="shared" si="1"/>
        <v>0</v>
      </c>
      <c r="R361" s="9">
        <f t="shared" si="2"/>
        <v>0</v>
      </c>
      <c r="S361" s="14">
        <f t="shared" si="3"/>
        <v>0</v>
      </c>
      <c r="T361" s="15">
        <f>IFERROR(__xludf.DUMMYFUNCTION("IFERROR(PERCENTRANK.INC(FILTER(Q:Q,$F:$F&lt;&gt;""""),Q361)*100,"""")"),1.5)</f>
        <v>1.5</v>
      </c>
      <c r="U361" s="15">
        <f>IFERROR(__xludf.DUMMYFUNCTION("IFERROR(PERCENTRANK.INC(FILTER(R:R,$F:$F&lt;&gt;""""),R361)*100,"""")"),1.5)</f>
        <v>1.5</v>
      </c>
      <c r="V361" s="15">
        <f>IFERROR(__xludf.DUMMYFUNCTION("IFERROR(PERCENTRANK.INC(FILTER(S:S,$F:$F&lt;&gt;""""),S361)*100,"""")"),1.5)</f>
        <v>1.5</v>
      </c>
      <c r="W361" s="15" t="str">
        <f t="shared" si="4"/>
        <v/>
      </c>
      <c r="X361" s="16"/>
      <c r="Y361" s="9"/>
      <c r="Z361" s="9"/>
    </row>
    <row r="362">
      <c r="B362" t="str">
        <f t="array" ref="B362">IFERROR(INDEX('Player Raw Data'!E:E,Match($A362,'Player Raw Data'!$B:$B,0)),"")</f>
        <v/>
      </c>
      <c r="C362" t="str">
        <f t="array" ref="C362">IFERROR(INDEX('Player Raw Data'!C:C,Match($A362,'Player Raw Data'!$B:$B,0)),"")</f>
        <v/>
      </c>
      <c r="D362" t="str">
        <f t="array" ref="D362">IFERROR(IF(A362=A361, INDEX('Player Raw Data'!D:D,Match($A362,'Player Raw Data'!$B:$B,0)+2),INDEX('Player Raw Data'!D:D,Match($A362,'Player Raw Data'!$B:$B,0))),"")</f>
        <v/>
      </c>
      <c r="E362" t="str">
        <f t="array" ref="E362">IFERROR(INDEX('Player Raw Data'!F:F,Match($A362,'Player Raw Data'!$B:$B,0)),"")</f>
        <v/>
      </c>
      <c r="F362" t="str">
        <f t="array" ref="F362">IFERROR(INDEX('Player Raw Data'!H:H,Match($A362,'Player Raw Data'!$B:$B,0)),"")</f>
        <v/>
      </c>
      <c r="G362" t="str">
        <f t="array" ref="G362">IFERROR(INDEX('Player Raw Data'!I:I,Match($A362,'Player Raw Data'!$B:$B,0)),"")</f>
        <v/>
      </c>
      <c r="H362" t="str">
        <f t="array" ref="H362">IFERROR(INDEX('Player Raw Data'!J:J,Match($A362,'Player Raw Data'!$B:$B,0)),"")</f>
        <v/>
      </c>
      <c r="I362" t="str">
        <f t="array" ref="I362">IFERROR(INDEX('Player Raw Data'!S:S,Match($A362,'Player Raw Data'!$B:$B,0)),"")</f>
        <v/>
      </c>
      <c r="J362" t="str">
        <f t="array" ref="J362">IFERROR(INDEX('Player Raw Data'!T:T,Match($A362,'Player Raw Data'!$B:$B,0)),"")</f>
        <v/>
      </c>
      <c r="K362" t="str">
        <f t="array" ref="K362">IFERROR(INDEX('Player Raw Data'!X:X,Match($A362,'Player Raw Data'!$B:$B,0)),"")</f>
        <v/>
      </c>
      <c r="L362" t="str">
        <f t="array" ref="L362">IFERROR(INDEX('Player Raw Data'!Y:Y,Match($A362,'Player Raw Data'!$B:$B,0)),"")</f>
        <v/>
      </c>
      <c r="M362" t="str">
        <f t="array" ref="M362">IFERROR(INDEX('Player Raw Data'!Z:Z,Match($A362,'Player Raw Data'!$B:$B,0)),"")</f>
        <v/>
      </c>
      <c r="N362" t="str">
        <f t="array" ref="N362">IFERROR(INDEX('Player Raw Data'!AA:AA,Match($A362,'Player Raw Data'!$B:$B,0)),"")</f>
        <v/>
      </c>
      <c r="O362" t="str">
        <f t="array" ref="O362">IFERROR(INDEX('Player Raw Data'!AB:AB,Match($A362,'Player Raw Data'!$B:$B,0)),"")</f>
        <v/>
      </c>
      <c r="P362" t="str">
        <f t="array" ref="P362">IFERROR(INDEX('Player Raw Data'!AD:AD,Match($A362,'Player Raw Data'!$B:$B,0)),"")</f>
        <v/>
      </c>
      <c r="Q362">
        <f t="shared" si="1"/>
        <v>0</v>
      </c>
      <c r="R362" s="9">
        <f t="shared" si="2"/>
        <v>0</v>
      </c>
      <c r="S362" s="14">
        <f t="shared" si="3"/>
        <v>0</v>
      </c>
      <c r="T362" s="15">
        <f>IFERROR(__xludf.DUMMYFUNCTION("IFERROR(PERCENTRANK.INC(FILTER(Q:Q,$F:$F&lt;&gt;""""),Q362)*100,"""")"),1.5)</f>
        <v>1.5</v>
      </c>
      <c r="U362" s="15">
        <f>IFERROR(__xludf.DUMMYFUNCTION("IFERROR(PERCENTRANK.INC(FILTER(R:R,$F:$F&lt;&gt;""""),R362)*100,"""")"),1.5)</f>
        <v>1.5</v>
      </c>
      <c r="V362" s="15">
        <f>IFERROR(__xludf.DUMMYFUNCTION("IFERROR(PERCENTRANK.INC(FILTER(S:S,$F:$F&lt;&gt;""""),S362)*100,"""")"),1.5)</f>
        <v>1.5</v>
      </c>
      <c r="W362" s="15" t="str">
        <f t="shared" si="4"/>
        <v/>
      </c>
      <c r="X362" s="16"/>
      <c r="Y362" s="9"/>
      <c r="Z362" s="9"/>
    </row>
    <row r="363">
      <c r="B363" t="str">
        <f t="array" ref="B363">IFERROR(INDEX('Player Raw Data'!E:E,Match($A363,'Player Raw Data'!$B:$B,0)),"")</f>
        <v/>
      </c>
      <c r="C363" t="str">
        <f t="array" ref="C363">IFERROR(INDEX('Player Raw Data'!C:C,Match($A363,'Player Raw Data'!$B:$B,0)),"")</f>
        <v/>
      </c>
      <c r="D363" t="str">
        <f t="array" ref="D363">IFERROR(IF(A363=A362, INDEX('Player Raw Data'!D:D,Match($A363,'Player Raw Data'!$B:$B,0)+2),INDEX('Player Raw Data'!D:D,Match($A363,'Player Raw Data'!$B:$B,0))),"")</f>
        <v/>
      </c>
      <c r="E363" t="str">
        <f t="array" ref="E363">IFERROR(INDEX('Player Raw Data'!F:F,Match($A363,'Player Raw Data'!$B:$B,0)),"")</f>
        <v/>
      </c>
      <c r="F363" t="str">
        <f t="array" ref="F363">IFERROR(INDEX('Player Raw Data'!H:H,Match($A363,'Player Raw Data'!$B:$B,0)),"")</f>
        <v/>
      </c>
      <c r="G363" t="str">
        <f t="array" ref="G363">IFERROR(INDEX('Player Raw Data'!I:I,Match($A363,'Player Raw Data'!$B:$B,0)),"")</f>
        <v/>
      </c>
      <c r="H363" t="str">
        <f t="array" ref="H363">IFERROR(INDEX('Player Raw Data'!J:J,Match($A363,'Player Raw Data'!$B:$B,0)),"")</f>
        <v/>
      </c>
      <c r="I363" t="str">
        <f t="array" ref="I363">IFERROR(INDEX('Player Raw Data'!S:S,Match($A363,'Player Raw Data'!$B:$B,0)),"")</f>
        <v/>
      </c>
      <c r="J363" t="str">
        <f t="array" ref="J363">IFERROR(INDEX('Player Raw Data'!T:T,Match($A363,'Player Raw Data'!$B:$B,0)),"")</f>
        <v/>
      </c>
      <c r="K363" t="str">
        <f t="array" ref="K363">IFERROR(INDEX('Player Raw Data'!X:X,Match($A363,'Player Raw Data'!$B:$B,0)),"")</f>
        <v/>
      </c>
      <c r="L363" t="str">
        <f t="array" ref="L363">IFERROR(INDEX('Player Raw Data'!Y:Y,Match($A363,'Player Raw Data'!$B:$B,0)),"")</f>
        <v/>
      </c>
      <c r="M363" t="str">
        <f t="array" ref="M363">IFERROR(INDEX('Player Raw Data'!Z:Z,Match($A363,'Player Raw Data'!$B:$B,0)),"")</f>
        <v/>
      </c>
      <c r="N363" t="str">
        <f t="array" ref="N363">IFERROR(INDEX('Player Raw Data'!AA:AA,Match($A363,'Player Raw Data'!$B:$B,0)),"")</f>
        <v/>
      </c>
      <c r="O363" t="str">
        <f t="array" ref="O363">IFERROR(INDEX('Player Raw Data'!AB:AB,Match($A363,'Player Raw Data'!$B:$B,0)),"")</f>
        <v/>
      </c>
      <c r="P363" t="str">
        <f t="array" ref="P363">IFERROR(INDEX('Player Raw Data'!AD:AD,Match($A363,'Player Raw Data'!$B:$B,0)),"")</f>
        <v/>
      </c>
      <c r="Q363">
        <f t="shared" si="1"/>
        <v>0</v>
      </c>
      <c r="R363" s="9">
        <f t="shared" si="2"/>
        <v>0</v>
      </c>
      <c r="S363" s="14">
        <f t="shared" si="3"/>
        <v>0</v>
      </c>
      <c r="T363" s="15">
        <f>IFERROR(__xludf.DUMMYFUNCTION("IFERROR(PERCENTRANK.INC(FILTER(Q:Q,$F:$F&lt;&gt;""""),Q363)*100,"""")"),1.5)</f>
        <v>1.5</v>
      </c>
      <c r="U363" s="15">
        <f>IFERROR(__xludf.DUMMYFUNCTION("IFERROR(PERCENTRANK.INC(FILTER(R:R,$F:$F&lt;&gt;""""),R363)*100,"""")"),1.5)</f>
        <v>1.5</v>
      </c>
      <c r="V363" s="15">
        <f>IFERROR(__xludf.DUMMYFUNCTION("IFERROR(PERCENTRANK.INC(FILTER(S:S,$F:$F&lt;&gt;""""),S363)*100,"""")"),1.5)</f>
        <v>1.5</v>
      </c>
      <c r="W363" s="15" t="str">
        <f t="shared" si="4"/>
        <v/>
      </c>
      <c r="X363" s="16"/>
      <c r="Y363" s="9"/>
      <c r="Z363" s="9"/>
    </row>
    <row r="364">
      <c r="B364" t="str">
        <f t="array" ref="B364">IFERROR(INDEX('Player Raw Data'!E:E,Match($A364,'Player Raw Data'!$B:$B,0)),"")</f>
        <v/>
      </c>
      <c r="C364" t="str">
        <f t="array" ref="C364">IFERROR(INDEX('Player Raw Data'!C:C,Match($A364,'Player Raw Data'!$B:$B,0)),"")</f>
        <v/>
      </c>
      <c r="D364" t="str">
        <f t="array" ref="D364">IFERROR(IF(A364=A363, INDEX('Player Raw Data'!D:D,Match($A364,'Player Raw Data'!$B:$B,0)+2),INDEX('Player Raw Data'!D:D,Match($A364,'Player Raw Data'!$B:$B,0))),"")</f>
        <v/>
      </c>
      <c r="E364" t="str">
        <f t="array" ref="E364">IFERROR(INDEX('Player Raw Data'!F:F,Match($A364,'Player Raw Data'!$B:$B,0)),"")</f>
        <v/>
      </c>
      <c r="F364" t="str">
        <f t="array" ref="F364">IFERROR(INDEX('Player Raw Data'!H:H,Match($A364,'Player Raw Data'!$B:$B,0)),"")</f>
        <v/>
      </c>
      <c r="G364" t="str">
        <f t="array" ref="G364">IFERROR(INDEX('Player Raw Data'!I:I,Match($A364,'Player Raw Data'!$B:$B,0)),"")</f>
        <v/>
      </c>
      <c r="H364" t="str">
        <f t="array" ref="H364">IFERROR(INDEX('Player Raw Data'!J:J,Match($A364,'Player Raw Data'!$B:$B,0)),"")</f>
        <v/>
      </c>
      <c r="I364" t="str">
        <f t="array" ref="I364">IFERROR(INDEX('Player Raw Data'!S:S,Match($A364,'Player Raw Data'!$B:$B,0)),"")</f>
        <v/>
      </c>
      <c r="J364" t="str">
        <f t="array" ref="J364">IFERROR(INDEX('Player Raw Data'!T:T,Match($A364,'Player Raw Data'!$B:$B,0)),"")</f>
        <v/>
      </c>
      <c r="K364" t="str">
        <f t="array" ref="K364">IFERROR(INDEX('Player Raw Data'!X:X,Match($A364,'Player Raw Data'!$B:$B,0)),"")</f>
        <v/>
      </c>
      <c r="L364" t="str">
        <f t="array" ref="L364">IFERROR(INDEX('Player Raw Data'!Y:Y,Match($A364,'Player Raw Data'!$B:$B,0)),"")</f>
        <v/>
      </c>
      <c r="M364" t="str">
        <f t="array" ref="M364">IFERROR(INDEX('Player Raw Data'!Z:Z,Match($A364,'Player Raw Data'!$B:$B,0)),"")</f>
        <v/>
      </c>
      <c r="N364" t="str">
        <f t="array" ref="N364">IFERROR(INDEX('Player Raw Data'!AA:AA,Match($A364,'Player Raw Data'!$B:$B,0)),"")</f>
        <v/>
      </c>
      <c r="O364" t="str">
        <f t="array" ref="O364">IFERROR(INDEX('Player Raw Data'!AB:AB,Match($A364,'Player Raw Data'!$B:$B,0)),"")</f>
        <v/>
      </c>
      <c r="P364" t="str">
        <f t="array" ref="P364">IFERROR(INDEX('Player Raw Data'!AD:AD,Match($A364,'Player Raw Data'!$B:$B,0)),"")</f>
        <v/>
      </c>
      <c r="Q364">
        <f t="shared" si="1"/>
        <v>0</v>
      </c>
      <c r="R364" s="9">
        <f t="shared" si="2"/>
        <v>0</v>
      </c>
      <c r="S364" s="14">
        <f t="shared" si="3"/>
        <v>0</v>
      </c>
      <c r="T364" s="15">
        <f>IFERROR(__xludf.DUMMYFUNCTION("IFERROR(PERCENTRANK.INC(FILTER(Q:Q,$F:$F&lt;&gt;""""),Q364)*100,"""")"),1.5)</f>
        <v>1.5</v>
      </c>
      <c r="U364" s="15">
        <f>IFERROR(__xludf.DUMMYFUNCTION("IFERROR(PERCENTRANK.INC(FILTER(R:R,$F:$F&lt;&gt;""""),R364)*100,"""")"),1.5)</f>
        <v>1.5</v>
      </c>
      <c r="V364" s="15">
        <f>IFERROR(__xludf.DUMMYFUNCTION("IFERROR(PERCENTRANK.INC(FILTER(S:S,$F:$F&lt;&gt;""""),S364)*100,"""")"),1.5)</f>
        <v>1.5</v>
      </c>
      <c r="W364" s="15" t="str">
        <f t="shared" si="4"/>
        <v/>
      </c>
      <c r="X364" s="16"/>
      <c r="Y364" s="9"/>
      <c r="Z364" s="9"/>
    </row>
    <row r="365">
      <c r="B365" t="str">
        <f t="array" ref="B365">IFERROR(INDEX('Player Raw Data'!E:E,Match($A365,'Player Raw Data'!$B:$B,0)),"")</f>
        <v/>
      </c>
      <c r="C365" t="str">
        <f t="array" ref="C365">IFERROR(INDEX('Player Raw Data'!C:C,Match($A365,'Player Raw Data'!$B:$B,0)),"")</f>
        <v/>
      </c>
      <c r="D365" t="str">
        <f t="array" ref="D365">IFERROR(IF(A365=A364, INDEX('Player Raw Data'!D:D,Match($A365,'Player Raw Data'!$B:$B,0)+2),INDEX('Player Raw Data'!D:D,Match($A365,'Player Raw Data'!$B:$B,0))),"")</f>
        <v/>
      </c>
      <c r="E365" t="str">
        <f t="array" ref="E365">IFERROR(INDEX('Player Raw Data'!F:F,Match($A365,'Player Raw Data'!$B:$B,0)),"")</f>
        <v/>
      </c>
      <c r="F365" t="str">
        <f t="array" ref="F365">IFERROR(INDEX('Player Raw Data'!H:H,Match($A365,'Player Raw Data'!$B:$B,0)),"")</f>
        <v/>
      </c>
      <c r="G365" t="str">
        <f t="array" ref="G365">IFERROR(INDEX('Player Raw Data'!I:I,Match($A365,'Player Raw Data'!$B:$B,0)),"")</f>
        <v/>
      </c>
      <c r="H365" t="str">
        <f t="array" ref="H365">IFERROR(INDEX('Player Raw Data'!J:J,Match($A365,'Player Raw Data'!$B:$B,0)),"")</f>
        <v/>
      </c>
      <c r="I365" t="str">
        <f t="array" ref="I365">IFERROR(INDEX('Player Raw Data'!S:S,Match($A365,'Player Raw Data'!$B:$B,0)),"")</f>
        <v/>
      </c>
      <c r="J365" t="str">
        <f t="array" ref="J365">IFERROR(INDEX('Player Raw Data'!T:T,Match($A365,'Player Raw Data'!$B:$B,0)),"")</f>
        <v/>
      </c>
      <c r="K365" t="str">
        <f t="array" ref="K365">IFERROR(INDEX('Player Raw Data'!X:X,Match($A365,'Player Raw Data'!$B:$B,0)),"")</f>
        <v/>
      </c>
      <c r="L365" t="str">
        <f t="array" ref="L365">IFERROR(INDEX('Player Raw Data'!Y:Y,Match($A365,'Player Raw Data'!$B:$B,0)),"")</f>
        <v/>
      </c>
      <c r="M365" t="str">
        <f t="array" ref="M365">IFERROR(INDEX('Player Raw Data'!Z:Z,Match($A365,'Player Raw Data'!$B:$B,0)),"")</f>
        <v/>
      </c>
      <c r="N365" t="str">
        <f t="array" ref="N365">IFERROR(INDEX('Player Raw Data'!AA:AA,Match($A365,'Player Raw Data'!$B:$B,0)),"")</f>
        <v/>
      </c>
      <c r="O365" t="str">
        <f t="array" ref="O365">IFERROR(INDEX('Player Raw Data'!AB:AB,Match($A365,'Player Raw Data'!$B:$B,0)),"")</f>
        <v/>
      </c>
      <c r="P365" t="str">
        <f t="array" ref="P365">IFERROR(INDEX('Player Raw Data'!AD:AD,Match($A365,'Player Raw Data'!$B:$B,0)),"")</f>
        <v/>
      </c>
      <c r="Q365">
        <f t="shared" si="1"/>
        <v>0</v>
      </c>
      <c r="R365" s="9">
        <f t="shared" si="2"/>
        <v>0</v>
      </c>
      <c r="S365" s="14">
        <f t="shared" si="3"/>
        <v>0</v>
      </c>
      <c r="T365" s="15">
        <f>IFERROR(__xludf.DUMMYFUNCTION("IFERROR(PERCENTRANK.INC(FILTER(Q:Q,$F:$F&lt;&gt;""""),Q365)*100,"""")"),1.5)</f>
        <v>1.5</v>
      </c>
      <c r="U365" s="15">
        <f>IFERROR(__xludf.DUMMYFUNCTION("IFERROR(PERCENTRANK.INC(FILTER(R:R,$F:$F&lt;&gt;""""),R365)*100,"""")"),1.5)</f>
        <v>1.5</v>
      </c>
      <c r="V365" s="15">
        <f>IFERROR(__xludf.DUMMYFUNCTION("IFERROR(PERCENTRANK.INC(FILTER(S:S,$F:$F&lt;&gt;""""),S365)*100,"""")"),1.5)</f>
        <v>1.5</v>
      </c>
      <c r="W365" s="15" t="str">
        <f t="shared" si="4"/>
        <v/>
      </c>
      <c r="X365" s="16"/>
      <c r="Y365" s="9"/>
      <c r="Z365" s="9"/>
    </row>
    <row r="366">
      <c r="B366" t="str">
        <f t="array" ref="B366">IFERROR(INDEX('Player Raw Data'!E:E,Match($A366,'Player Raw Data'!$B:$B,0)),"")</f>
        <v/>
      </c>
      <c r="C366" t="str">
        <f t="array" ref="C366">IFERROR(INDEX('Player Raw Data'!C:C,Match($A366,'Player Raw Data'!$B:$B,0)),"")</f>
        <v/>
      </c>
      <c r="D366" t="str">
        <f t="array" ref="D366">IFERROR(IF(A366=A365, INDEX('Player Raw Data'!D:D,Match($A366,'Player Raw Data'!$B:$B,0)+2),INDEX('Player Raw Data'!D:D,Match($A366,'Player Raw Data'!$B:$B,0))),"")</f>
        <v/>
      </c>
      <c r="E366" t="str">
        <f t="array" ref="E366">IFERROR(INDEX('Player Raw Data'!F:F,Match($A366,'Player Raw Data'!$B:$B,0)),"")</f>
        <v/>
      </c>
      <c r="F366" t="str">
        <f t="array" ref="F366">IFERROR(INDEX('Player Raw Data'!H:H,Match($A366,'Player Raw Data'!$B:$B,0)),"")</f>
        <v/>
      </c>
      <c r="G366" t="str">
        <f t="array" ref="G366">IFERROR(INDEX('Player Raw Data'!I:I,Match($A366,'Player Raw Data'!$B:$B,0)),"")</f>
        <v/>
      </c>
      <c r="H366" t="str">
        <f t="array" ref="H366">IFERROR(INDEX('Player Raw Data'!J:J,Match($A366,'Player Raw Data'!$B:$B,0)),"")</f>
        <v/>
      </c>
      <c r="I366" t="str">
        <f t="array" ref="I366">IFERROR(INDEX('Player Raw Data'!S:S,Match($A366,'Player Raw Data'!$B:$B,0)),"")</f>
        <v/>
      </c>
      <c r="J366" t="str">
        <f t="array" ref="J366">IFERROR(INDEX('Player Raw Data'!T:T,Match($A366,'Player Raw Data'!$B:$B,0)),"")</f>
        <v/>
      </c>
      <c r="K366" t="str">
        <f t="array" ref="K366">IFERROR(INDEX('Player Raw Data'!X:X,Match($A366,'Player Raw Data'!$B:$B,0)),"")</f>
        <v/>
      </c>
      <c r="L366" t="str">
        <f t="array" ref="L366">IFERROR(INDEX('Player Raw Data'!Y:Y,Match($A366,'Player Raw Data'!$B:$B,0)),"")</f>
        <v/>
      </c>
      <c r="M366" t="str">
        <f t="array" ref="M366">IFERROR(INDEX('Player Raw Data'!Z:Z,Match($A366,'Player Raw Data'!$B:$B,0)),"")</f>
        <v/>
      </c>
      <c r="N366" t="str">
        <f t="array" ref="N366">IFERROR(INDEX('Player Raw Data'!AA:AA,Match($A366,'Player Raw Data'!$B:$B,0)),"")</f>
        <v/>
      </c>
      <c r="O366" t="str">
        <f t="array" ref="O366">IFERROR(INDEX('Player Raw Data'!AB:AB,Match($A366,'Player Raw Data'!$B:$B,0)),"")</f>
        <v/>
      </c>
      <c r="P366" t="str">
        <f t="array" ref="P366">IFERROR(INDEX('Player Raw Data'!AD:AD,Match($A366,'Player Raw Data'!$B:$B,0)),"")</f>
        <v/>
      </c>
      <c r="Q366">
        <f t="shared" si="1"/>
        <v>0</v>
      </c>
      <c r="R366" s="9">
        <f t="shared" si="2"/>
        <v>0</v>
      </c>
      <c r="S366" s="14">
        <f t="shared" si="3"/>
        <v>0</v>
      </c>
      <c r="T366" s="15">
        <f>IFERROR(__xludf.DUMMYFUNCTION("IFERROR(PERCENTRANK.INC(FILTER(Q:Q,$F:$F&lt;&gt;""""),Q366)*100,"""")"),1.5)</f>
        <v>1.5</v>
      </c>
      <c r="U366" s="15">
        <f>IFERROR(__xludf.DUMMYFUNCTION("IFERROR(PERCENTRANK.INC(FILTER(R:R,$F:$F&lt;&gt;""""),R366)*100,"""")"),1.5)</f>
        <v>1.5</v>
      </c>
      <c r="V366" s="15">
        <f>IFERROR(__xludf.DUMMYFUNCTION("IFERROR(PERCENTRANK.INC(FILTER(S:S,$F:$F&lt;&gt;""""),S366)*100,"""")"),1.5)</f>
        <v>1.5</v>
      </c>
      <c r="W366" s="15" t="str">
        <f t="shared" si="4"/>
        <v/>
      </c>
      <c r="X366" s="16"/>
      <c r="Y366" s="9"/>
      <c r="Z366" s="9"/>
    </row>
    <row r="367">
      <c r="B367" t="str">
        <f t="array" ref="B367">IFERROR(INDEX('Player Raw Data'!E:E,Match($A367,'Player Raw Data'!$B:$B,0)),"")</f>
        <v/>
      </c>
      <c r="C367" t="str">
        <f t="array" ref="C367">IFERROR(INDEX('Player Raw Data'!C:C,Match($A367,'Player Raw Data'!$B:$B,0)),"")</f>
        <v/>
      </c>
      <c r="D367" t="str">
        <f t="array" ref="D367">IFERROR(IF(A367=A366, INDEX('Player Raw Data'!D:D,Match($A367,'Player Raw Data'!$B:$B,0)+2),INDEX('Player Raw Data'!D:D,Match($A367,'Player Raw Data'!$B:$B,0))),"")</f>
        <v/>
      </c>
      <c r="E367" t="str">
        <f t="array" ref="E367">IFERROR(INDEX('Player Raw Data'!F:F,Match($A367,'Player Raw Data'!$B:$B,0)),"")</f>
        <v/>
      </c>
      <c r="F367" t="str">
        <f t="array" ref="F367">IFERROR(INDEX('Player Raw Data'!H:H,Match($A367,'Player Raw Data'!$B:$B,0)),"")</f>
        <v/>
      </c>
      <c r="G367" t="str">
        <f t="array" ref="G367">IFERROR(INDEX('Player Raw Data'!I:I,Match($A367,'Player Raw Data'!$B:$B,0)),"")</f>
        <v/>
      </c>
      <c r="H367" t="str">
        <f t="array" ref="H367">IFERROR(INDEX('Player Raw Data'!J:J,Match($A367,'Player Raw Data'!$B:$B,0)),"")</f>
        <v/>
      </c>
      <c r="I367" t="str">
        <f t="array" ref="I367">IFERROR(INDEX('Player Raw Data'!S:S,Match($A367,'Player Raw Data'!$B:$B,0)),"")</f>
        <v/>
      </c>
      <c r="J367" t="str">
        <f t="array" ref="J367">IFERROR(INDEX('Player Raw Data'!T:T,Match($A367,'Player Raw Data'!$B:$B,0)),"")</f>
        <v/>
      </c>
      <c r="K367" t="str">
        <f t="array" ref="K367">IFERROR(INDEX('Player Raw Data'!X:X,Match($A367,'Player Raw Data'!$B:$B,0)),"")</f>
        <v/>
      </c>
      <c r="L367" t="str">
        <f t="array" ref="L367">IFERROR(INDEX('Player Raw Data'!Y:Y,Match($A367,'Player Raw Data'!$B:$B,0)),"")</f>
        <v/>
      </c>
      <c r="M367" t="str">
        <f t="array" ref="M367">IFERROR(INDEX('Player Raw Data'!Z:Z,Match($A367,'Player Raw Data'!$B:$B,0)),"")</f>
        <v/>
      </c>
      <c r="N367" t="str">
        <f t="array" ref="N367">IFERROR(INDEX('Player Raw Data'!AA:AA,Match($A367,'Player Raw Data'!$B:$B,0)),"")</f>
        <v/>
      </c>
      <c r="O367" t="str">
        <f t="array" ref="O367">IFERROR(INDEX('Player Raw Data'!AB:AB,Match($A367,'Player Raw Data'!$B:$B,0)),"")</f>
        <v/>
      </c>
      <c r="P367" t="str">
        <f t="array" ref="P367">IFERROR(INDEX('Player Raw Data'!AD:AD,Match($A367,'Player Raw Data'!$B:$B,0)),"")</f>
        <v/>
      </c>
      <c r="Q367">
        <f t="shared" si="1"/>
        <v>0</v>
      </c>
      <c r="R367" s="9">
        <f t="shared" si="2"/>
        <v>0</v>
      </c>
      <c r="S367" s="14">
        <f t="shared" si="3"/>
        <v>0</v>
      </c>
      <c r="T367" s="15">
        <f>IFERROR(__xludf.DUMMYFUNCTION("IFERROR(PERCENTRANK.INC(FILTER(Q:Q,$F:$F&lt;&gt;""""),Q367)*100,"""")"),1.5)</f>
        <v>1.5</v>
      </c>
      <c r="U367" s="15">
        <f>IFERROR(__xludf.DUMMYFUNCTION("IFERROR(PERCENTRANK.INC(FILTER(R:R,$F:$F&lt;&gt;""""),R367)*100,"""")"),1.5)</f>
        <v>1.5</v>
      </c>
      <c r="V367" s="15">
        <f>IFERROR(__xludf.DUMMYFUNCTION("IFERROR(PERCENTRANK.INC(FILTER(S:S,$F:$F&lt;&gt;""""),S367)*100,"""")"),1.5)</f>
        <v>1.5</v>
      </c>
      <c r="W367" s="15" t="str">
        <f t="shared" si="4"/>
        <v/>
      </c>
      <c r="X367" s="16"/>
      <c r="Y367" s="9"/>
      <c r="Z367" s="9"/>
    </row>
    <row r="368">
      <c r="B368" t="str">
        <f t="array" ref="B368">IFERROR(INDEX('Player Raw Data'!E:E,Match($A368,'Player Raw Data'!$B:$B,0)),"")</f>
        <v/>
      </c>
      <c r="C368" t="str">
        <f t="array" ref="C368">IFERROR(INDEX('Player Raw Data'!C:C,Match($A368,'Player Raw Data'!$B:$B,0)),"")</f>
        <v/>
      </c>
      <c r="D368" t="str">
        <f t="array" ref="D368">IFERROR(IF(A368=A367, INDEX('Player Raw Data'!D:D,Match($A368,'Player Raw Data'!$B:$B,0)+2),INDEX('Player Raw Data'!D:D,Match($A368,'Player Raw Data'!$B:$B,0))),"")</f>
        <v/>
      </c>
      <c r="E368" t="str">
        <f t="array" ref="E368">IFERROR(INDEX('Player Raw Data'!F:F,Match($A368,'Player Raw Data'!$B:$B,0)),"")</f>
        <v/>
      </c>
      <c r="F368" t="str">
        <f t="array" ref="F368">IFERROR(INDEX('Player Raw Data'!H:H,Match($A368,'Player Raw Data'!$B:$B,0)),"")</f>
        <v/>
      </c>
      <c r="G368" t="str">
        <f t="array" ref="G368">IFERROR(INDEX('Player Raw Data'!I:I,Match($A368,'Player Raw Data'!$B:$B,0)),"")</f>
        <v/>
      </c>
      <c r="H368" t="str">
        <f t="array" ref="H368">IFERROR(INDEX('Player Raw Data'!J:J,Match($A368,'Player Raw Data'!$B:$B,0)),"")</f>
        <v/>
      </c>
      <c r="I368" t="str">
        <f t="array" ref="I368">IFERROR(INDEX('Player Raw Data'!S:S,Match($A368,'Player Raw Data'!$B:$B,0)),"")</f>
        <v/>
      </c>
      <c r="J368" t="str">
        <f t="array" ref="J368">IFERROR(INDEX('Player Raw Data'!T:T,Match($A368,'Player Raw Data'!$B:$B,0)),"")</f>
        <v/>
      </c>
      <c r="K368" t="str">
        <f t="array" ref="K368">IFERROR(INDEX('Player Raw Data'!X:X,Match($A368,'Player Raw Data'!$B:$B,0)),"")</f>
        <v/>
      </c>
      <c r="L368" t="str">
        <f t="array" ref="L368">IFERROR(INDEX('Player Raw Data'!Y:Y,Match($A368,'Player Raw Data'!$B:$B,0)),"")</f>
        <v/>
      </c>
      <c r="M368" t="str">
        <f t="array" ref="M368">IFERROR(INDEX('Player Raw Data'!Z:Z,Match($A368,'Player Raw Data'!$B:$B,0)),"")</f>
        <v/>
      </c>
      <c r="N368" t="str">
        <f t="array" ref="N368">IFERROR(INDEX('Player Raw Data'!AA:AA,Match($A368,'Player Raw Data'!$B:$B,0)),"")</f>
        <v/>
      </c>
      <c r="O368" t="str">
        <f t="array" ref="O368">IFERROR(INDEX('Player Raw Data'!AB:AB,Match($A368,'Player Raw Data'!$B:$B,0)),"")</f>
        <v/>
      </c>
      <c r="P368" t="str">
        <f t="array" ref="P368">IFERROR(INDEX('Player Raw Data'!AD:AD,Match($A368,'Player Raw Data'!$B:$B,0)),"")</f>
        <v/>
      </c>
      <c r="Q368">
        <f t="shared" si="1"/>
        <v>0</v>
      </c>
      <c r="R368" s="9">
        <f t="shared" si="2"/>
        <v>0</v>
      </c>
      <c r="S368" s="14">
        <f t="shared" si="3"/>
        <v>0</v>
      </c>
      <c r="T368" s="15">
        <f>IFERROR(__xludf.DUMMYFUNCTION("IFERROR(PERCENTRANK.INC(FILTER(Q:Q,$F:$F&lt;&gt;""""),Q368)*100,"""")"),1.5)</f>
        <v>1.5</v>
      </c>
      <c r="U368" s="15">
        <f>IFERROR(__xludf.DUMMYFUNCTION("IFERROR(PERCENTRANK.INC(FILTER(R:R,$F:$F&lt;&gt;""""),R368)*100,"""")"),1.5)</f>
        <v>1.5</v>
      </c>
      <c r="V368" s="15">
        <f>IFERROR(__xludf.DUMMYFUNCTION("IFERROR(PERCENTRANK.INC(FILTER(S:S,$F:$F&lt;&gt;""""),S368)*100,"""")"),1.5)</f>
        <v>1.5</v>
      </c>
      <c r="W368" s="15" t="str">
        <f t="shared" si="4"/>
        <v/>
      </c>
      <c r="X368" s="16"/>
      <c r="Y368" s="9"/>
      <c r="Z368" s="9"/>
    </row>
    <row r="369">
      <c r="B369" t="str">
        <f t="array" ref="B369">IFERROR(INDEX('Player Raw Data'!E:E,Match($A369,'Player Raw Data'!$B:$B,0)),"")</f>
        <v/>
      </c>
      <c r="C369" t="str">
        <f t="array" ref="C369">IFERROR(INDEX('Player Raw Data'!C:C,Match($A369,'Player Raw Data'!$B:$B,0)),"")</f>
        <v/>
      </c>
      <c r="D369" t="str">
        <f t="array" ref="D369">IFERROR(IF(A369=A368, INDEX('Player Raw Data'!D:D,Match($A369,'Player Raw Data'!$B:$B,0)+2),INDEX('Player Raw Data'!D:D,Match($A369,'Player Raw Data'!$B:$B,0))),"")</f>
        <v/>
      </c>
      <c r="E369" t="str">
        <f t="array" ref="E369">IFERROR(INDEX('Player Raw Data'!F:F,Match($A369,'Player Raw Data'!$B:$B,0)),"")</f>
        <v/>
      </c>
      <c r="F369" t="str">
        <f t="array" ref="F369">IFERROR(INDEX('Player Raw Data'!H:H,Match($A369,'Player Raw Data'!$B:$B,0)),"")</f>
        <v/>
      </c>
      <c r="G369" t="str">
        <f t="array" ref="G369">IFERROR(INDEX('Player Raw Data'!I:I,Match($A369,'Player Raw Data'!$B:$B,0)),"")</f>
        <v/>
      </c>
      <c r="H369" t="str">
        <f t="array" ref="H369">IFERROR(INDEX('Player Raw Data'!J:J,Match($A369,'Player Raw Data'!$B:$B,0)),"")</f>
        <v/>
      </c>
      <c r="I369" t="str">
        <f t="array" ref="I369">IFERROR(INDEX('Player Raw Data'!S:S,Match($A369,'Player Raw Data'!$B:$B,0)),"")</f>
        <v/>
      </c>
      <c r="J369" t="str">
        <f t="array" ref="J369">IFERROR(INDEX('Player Raw Data'!T:T,Match($A369,'Player Raw Data'!$B:$B,0)),"")</f>
        <v/>
      </c>
      <c r="K369" t="str">
        <f t="array" ref="K369">IFERROR(INDEX('Player Raw Data'!X:X,Match($A369,'Player Raw Data'!$B:$B,0)),"")</f>
        <v/>
      </c>
      <c r="L369" t="str">
        <f t="array" ref="L369">IFERROR(INDEX('Player Raw Data'!Y:Y,Match($A369,'Player Raw Data'!$B:$B,0)),"")</f>
        <v/>
      </c>
      <c r="M369" t="str">
        <f t="array" ref="M369">IFERROR(INDEX('Player Raw Data'!Z:Z,Match($A369,'Player Raw Data'!$B:$B,0)),"")</f>
        <v/>
      </c>
      <c r="N369" t="str">
        <f t="array" ref="N369">IFERROR(INDEX('Player Raw Data'!AA:AA,Match($A369,'Player Raw Data'!$B:$B,0)),"")</f>
        <v/>
      </c>
      <c r="O369" t="str">
        <f t="array" ref="O369">IFERROR(INDEX('Player Raw Data'!AB:AB,Match($A369,'Player Raw Data'!$B:$B,0)),"")</f>
        <v/>
      </c>
      <c r="P369" t="str">
        <f t="array" ref="P369">IFERROR(INDEX('Player Raw Data'!AD:AD,Match($A369,'Player Raw Data'!$B:$B,0)),"")</f>
        <v/>
      </c>
      <c r="Q369">
        <f t="shared" si="1"/>
        <v>0</v>
      </c>
      <c r="R369" s="9">
        <f t="shared" si="2"/>
        <v>0</v>
      </c>
      <c r="S369" s="14">
        <f t="shared" si="3"/>
        <v>0</v>
      </c>
      <c r="T369" s="15">
        <f>IFERROR(__xludf.DUMMYFUNCTION("IFERROR(PERCENTRANK.INC(FILTER(Q:Q,$F:$F&lt;&gt;""""),Q369)*100,"""")"),1.5)</f>
        <v>1.5</v>
      </c>
      <c r="U369" s="15">
        <f>IFERROR(__xludf.DUMMYFUNCTION("IFERROR(PERCENTRANK.INC(FILTER(R:R,$F:$F&lt;&gt;""""),R369)*100,"""")"),1.5)</f>
        <v>1.5</v>
      </c>
      <c r="V369" s="15">
        <f>IFERROR(__xludf.DUMMYFUNCTION("IFERROR(PERCENTRANK.INC(FILTER(S:S,$F:$F&lt;&gt;""""),S369)*100,"""")"),1.5)</f>
        <v>1.5</v>
      </c>
      <c r="W369" s="15" t="str">
        <f t="shared" si="4"/>
        <v/>
      </c>
      <c r="X369" s="16"/>
      <c r="Y369" s="9"/>
      <c r="Z369" s="9"/>
    </row>
    <row r="370">
      <c r="B370" t="str">
        <f t="array" ref="B370">IFERROR(INDEX('Player Raw Data'!E:E,Match($A370,'Player Raw Data'!$B:$B,0)),"")</f>
        <v/>
      </c>
      <c r="C370" t="str">
        <f t="array" ref="C370">IFERROR(INDEX('Player Raw Data'!C:C,Match($A370,'Player Raw Data'!$B:$B,0)),"")</f>
        <v/>
      </c>
      <c r="D370" t="str">
        <f t="array" ref="D370">IFERROR(IF(A370=A369, INDEX('Player Raw Data'!D:D,Match($A370,'Player Raw Data'!$B:$B,0)+2),INDEX('Player Raw Data'!D:D,Match($A370,'Player Raw Data'!$B:$B,0))),"")</f>
        <v/>
      </c>
      <c r="E370" t="str">
        <f t="array" ref="E370">IFERROR(INDEX('Player Raw Data'!F:F,Match($A370,'Player Raw Data'!$B:$B,0)),"")</f>
        <v/>
      </c>
      <c r="F370" t="str">
        <f t="array" ref="F370">IFERROR(INDEX('Player Raw Data'!H:H,Match($A370,'Player Raw Data'!$B:$B,0)),"")</f>
        <v/>
      </c>
      <c r="G370" t="str">
        <f t="array" ref="G370">IFERROR(INDEX('Player Raw Data'!I:I,Match($A370,'Player Raw Data'!$B:$B,0)),"")</f>
        <v/>
      </c>
      <c r="H370" t="str">
        <f t="array" ref="H370">IFERROR(INDEX('Player Raw Data'!J:J,Match($A370,'Player Raw Data'!$B:$B,0)),"")</f>
        <v/>
      </c>
      <c r="I370" t="str">
        <f t="array" ref="I370">IFERROR(INDEX('Player Raw Data'!S:S,Match($A370,'Player Raw Data'!$B:$B,0)),"")</f>
        <v/>
      </c>
      <c r="J370" t="str">
        <f t="array" ref="J370">IFERROR(INDEX('Player Raw Data'!T:T,Match($A370,'Player Raw Data'!$B:$B,0)),"")</f>
        <v/>
      </c>
      <c r="K370" t="str">
        <f t="array" ref="K370">IFERROR(INDEX('Player Raw Data'!X:X,Match($A370,'Player Raw Data'!$B:$B,0)),"")</f>
        <v/>
      </c>
      <c r="L370" t="str">
        <f t="array" ref="L370">IFERROR(INDEX('Player Raw Data'!Y:Y,Match($A370,'Player Raw Data'!$B:$B,0)),"")</f>
        <v/>
      </c>
      <c r="M370" t="str">
        <f t="array" ref="M370">IFERROR(INDEX('Player Raw Data'!Z:Z,Match($A370,'Player Raw Data'!$B:$B,0)),"")</f>
        <v/>
      </c>
      <c r="N370" t="str">
        <f t="array" ref="N370">IFERROR(INDEX('Player Raw Data'!AA:AA,Match($A370,'Player Raw Data'!$B:$B,0)),"")</f>
        <v/>
      </c>
      <c r="O370" t="str">
        <f t="array" ref="O370">IFERROR(INDEX('Player Raw Data'!AB:AB,Match($A370,'Player Raw Data'!$B:$B,0)),"")</f>
        <v/>
      </c>
      <c r="P370" t="str">
        <f t="array" ref="P370">IFERROR(INDEX('Player Raw Data'!AD:AD,Match($A370,'Player Raw Data'!$B:$B,0)),"")</f>
        <v/>
      </c>
      <c r="Q370">
        <f t="shared" si="1"/>
        <v>0</v>
      </c>
      <c r="R370" s="9">
        <f t="shared" si="2"/>
        <v>0</v>
      </c>
      <c r="S370" s="14">
        <f t="shared" si="3"/>
        <v>0</v>
      </c>
      <c r="T370" s="15">
        <f>IFERROR(__xludf.DUMMYFUNCTION("IFERROR(PERCENTRANK.INC(FILTER(Q:Q,$F:$F&lt;&gt;""""),Q370)*100,"""")"),1.5)</f>
        <v>1.5</v>
      </c>
      <c r="U370" s="15">
        <f>IFERROR(__xludf.DUMMYFUNCTION("IFERROR(PERCENTRANK.INC(FILTER(R:R,$F:$F&lt;&gt;""""),R370)*100,"""")"),1.5)</f>
        <v>1.5</v>
      </c>
      <c r="V370" s="15">
        <f>IFERROR(__xludf.DUMMYFUNCTION("IFERROR(PERCENTRANK.INC(FILTER(S:S,$F:$F&lt;&gt;""""),S370)*100,"""")"),1.5)</f>
        <v>1.5</v>
      </c>
      <c r="W370" s="15" t="str">
        <f t="shared" si="4"/>
        <v/>
      </c>
      <c r="X370" s="16"/>
      <c r="Y370" s="9"/>
      <c r="Z370" s="9"/>
    </row>
    <row r="371">
      <c r="B371" t="str">
        <f t="array" ref="B371">IFERROR(INDEX('Player Raw Data'!E:E,Match($A371,'Player Raw Data'!$B:$B,0)),"")</f>
        <v/>
      </c>
      <c r="C371" t="str">
        <f t="array" ref="C371">IFERROR(INDEX('Player Raw Data'!C:C,Match($A371,'Player Raw Data'!$B:$B,0)),"")</f>
        <v/>
      </c>
      <c r="D371" t="str">
        <f t="array" ref="D371">IFERROR(IF(A371=A370, INDEX('Player Raw Data'!D:D,Match($A371,'Player Raw Data'!$B:$B,0)+2),INDEX('Player Raw Data'!D:D,Match($A371,'Player Raw Data'!$B:$B,0))),"")</f>
        <v/>
      </c>
      <c r="E371" t="str">
        <f t="array" ref="E371">IFERROR(INDEX('Player Raw Data'!F:F,Match($A371,'Player Raw Data'!$B:$B,0)),"")</f>
        <v/>
      </c>
      <c r="F371" t="str">
        <f t="array" ref="F371">IFERROR(INDEX('Player Raw Data'!H:H,Match($A371,'Player Raw Data'!$B:$B,0)),"")</f>
        <v/>
      </c>
      <c r="G371" t="str">
        <f t="array" ref="G371">IFERROR(INDEX('Player Raw Data'!I:I,Match($A371,'Player Raw Data'!$B:$B,0)),"")</f>
        <v/>
      </c>
      <c r="H371" t="str">
        <f t="array" ref="H371">IFERROR(INDEX('Player Raw Data'!J:J,Match($A371,'Player Raw Data'!$B:$B,0)),"")</f>
        <v/>
      </c>
      <c r="I371" t="str">
        <f t="array" ref="I371">IFERROR(INDEX('Player Raw Data'!S:S,Match($A371,'Player Raw Data'!$B:$B,0)),"")</f>
        <v/>
      </c>
      <c r="J371" t="str">
        <f t="array" ref="J371">IFERROR(INDEX('Player Raw Data'!T:T,Match($A371,'Player Raw Data'!$B:$B,0)),"")</f>
        <v/>
      </c>
      <c r="K371" t="str">
        <f t="array" ref="K371">IFERROR(INDEX('Player Raw Data'!X:X,Match($A371,'Player Raw Data'!$B:$B,0)),"")</f>
        <v/>
      </c>
      <c r="L371" t="str">
        <f t="array" ref="L371">IFERROR(INDEX('Player Raw Data'!Y:Y,Match($A371,'Player Raw Data'!$B:$B,0)),"")</f>
        <v/>
      </c>
      <c r="M371" t="str">
        <f t="array" ref="M371">IFERROR(INDEX('Player Raw Data'!Z:Z,Match($A371,'Player Raw Data'!$B:$B,0)),"")</f>
        <v/>
      </c>
      <c r="N371" t="str">
        <f t="array" ref="N371">IFERROR(INDEX('Player Raw Data'!AA:AA,Match($A371,'Player Raw Data'!$B:$B,0)),"")</f>
        <v/>
      </c>
      <c r="O371" t="str">
        <f t="array" ref="O371">IFERROR(INDEX('Player Raw Data'!AB:AB,Match($A371,'Player Raw Data'!$B:$B,0)),"")</f>
        <v/>
      </c>
      <c r="P371" t="str">
        <f t="array" ref="P371">IFERROR(INDEX('Player Raw Data'!AD:AD,Match($A371,'Player Raw Data'!$B:$B,0)),"")</f>
        <v/>
      </c>
      <c r="Q371">
        <f t="shared" si="1"/>
        <v>0</v>
      </c>
      <c r="R371" s="9">
        <f t="shared" si="2"/>
        <v>0</v>
      </c>
      <c r="S371" s="14">
        <f t="shared" si="3"/>
        <v>0</v>
      </c>
      <c r="T371" s="15">
        <f>IFERROR(__xludf.DUMMYFUNCTION("IFERROR(PERCENTRANK.INC(FILTER(Q:Q,$F:$F&lt;&gt;""""),Q371)*100,"""")"),1.5)</f>
        <v>1.5</v>
      </c>
      <c r="U371" s="15">
        <f>IFERROR(__xludf.DUMMYFUNCTION("IFERROR(PERCENTRANK.INC(FILTER(R:R,$F:$F&lt;&gt;""""),R371)*100,"""")"),1.5)</f>
        <v>1.5</v>
      </c>
      <c r="V371" s="15">
        <f>IFERROR(__xludf.DUMMYFUNCTION("IFERROR(PERCENTRANK.INC(FILTER(S:S,$F:$F&lt;&gt;""""),S371)*100,"""")"),1.5)</f>
        <v>1.5</v>
      </c>
      <c r="W371" s="15" t="str">
        <f t="shared" si="4"/>
        <v/>
      </c>
      <c r="X371" s="16"/>
      <c r="Y371" s="9"/>
      <c r="Z371" s="9"/>
    </row>
    <row r="372">
      <c r="B372" t="str">
        <f t="array" ref="B372">IFERROR(INDEX('Player Raw Data'!E:E,Match($A372,'Player Raw Data'!$B:$B,0)),"")</f>
        <v/>
      </c>
      <c r="C372" t="str">
        <f t="array" ref="C372">IFERROR(INDEX('Player Raw Data'!C:C,Match($A372,'Player Raw Data'!$B:$B,0)),"")</f>
        <v/>
      </c>
      <c r="D372" t="str">
        <f t="array" ref="D372">IFERROR(IF(A372=A371, INDEX('Player Raw Data'!D:D,Match($A372,'Player Raw Data'!$B:$B,0)+2),INDEX('Player Raw Data'!D:D,Match($A372,'Player Raw Data'!$B:$B,0))),"")</f>
        <v/>
      </c>
      <c r="E372" t="str">
        <f t="array" ref="E372">IFERROR(INDEX('Player Raw Data'!F:F,Match($A372,'Player Raw Data'!$B:$B,0)),"")</f>
        <v/>
      </c>
      <c r="F372" t="str">
        <f t="array" ref="F372">IFERROR(INDEX('Player Raw Data'!H:H,Match($A372,'Player Raw Data'!$B:$B,0)),"")</f>
        <v/>
      </c>
      <c r="G372" t="str">
        <f t="array" ref="G372">IFERROR(INDEX('Player Raw Data'!I:I,Match($A372,'Player Raw Data'!$B:$B,0)),"")</f>
        <v/>
      </c>
      <c r="H372" t="str">
        <f t="array" ref="H372">IFERROR(INDEX('Player Raw Data'!J:J,Match($A372,'Player Raw Data'!$B:$B,0)),"")</f>
        <v/>
      </c>
      <c r="I372" t="str">
        <f t="array" ref="I372">IFERROR(INDEX('Player Raw Data'!S:S,Match($A372,'Player Raw Data'!$B:$B,0)),"")</f>
        <v/>
      </c>
      <c r="J372" t="str">
        <f t="array" ref="J372">IFERROR(INDEX('Player Raw Data'!T:T,Match($A372,'Player Raw Data'!$B:$B,0)),"")</f>
        <v/>
      </c>
      <c r="K372" t="str">
        <f t="array" ref="K372">IFERROR(INDEX('Player Raw Data'!X:X,Match($A372,'Player Raw Data'!$B:$B,0)),"")</f>
        <v/>
      </c>
      <c r="L372" t="str">
        <f t="array" ref="L372">IFERROR(INDEX('Player Raw Data'!Y:Y,Match($A372,'Player Raw Data'!$B:$B,0)),"")</f>
        <v/>
      </c>
      <c r="M372" t="str">
        <f t="array" ref="M372">IFERROR(INDEX('Player Raw Data'!Z:Z,Match($A372,'Player Raw Data'!$B:$B,0)),"")</f>
        <v/>
      </c>
      <c r="N372" t="str">
        <f t="array" ref="N372">IFERROR(INDEX('Player Raw Data'!AA:AA,Match($A372,'Player Raw Data'!$B:$B,0)),"")</f>
        <v/>
      </c>
      <c r="O372" t="str">
        <f t="array" ref="O372">IFERROR(INDEX('Player Raw Data'!AB:AB,Match($A372,'Player Raw Data'!$B:$B,0)),"")</f>
        <v/>
      </c>
      <c r="P372" t="str">
        <f t="array" ref="P372">IFERROR(INDEX('Player Raw Data'!AD:AD,Match($A372,'Player Raw Data'!$B:$B,0)),"")</f>
        <v/>
      </c>
      <c r="Q372">
        <f t="shared" si="1"/>
        <v>0</v>
      </c>
      <c r="R372" s="9">
        <f t="shared" si="2"/>
        <v>0</v>
      </c>
      <c r="S372" s="14">
        <f t="shared" si="3"/>
        <v>0</v>
      </c>
      <c r="T372" s="15">
        <f>IFERROR(__xludf.DUMMYFUNCTION("IFERROR(PERCENTRANK.INC(FILTER(Q:Q,$F:$F&lt;&gt;""""),Q372)*100,"""")"),1.5)</f>
        <v>1.5</v>
      </c>
      <c r="U372" s="15">
        <f>IFERROR(__xludf.DUMMYFUNCTION("IFERROR(PERCENTRANK.INC(FILTER(R:R,$F:$F&lt;&gt;""""),R372)*100,"""")"),1.5)</f>
        <v>1.5</v>
      </c>
      <c r="V372" s="15">
        <f>IFERROR(__xludf.DUMMYFUNCTION("IFERROR(PERCENTRANK.INC(FILTER(S:S,$F:$F&lt;&gt;""""),S372)*100,"""")"),1.5)</f>
        <v>1.5</v>
      </c>
      <c r="W372" s="15" t="str">
        <f t="shared" si="4"/>
        <v/>
      </c>
      <c r="X372" s="16"/>
      <c r="Y372" s="9"/>
      <c r="Z372" s="9"/>
    </row>
    <row r="373">
      <c r="B373" t="str">
        <f t="array" ref="B373">IFERROR(INDEX('Player Raw Data'!E:E,Match($A373,'Player Raw Data'!$B:$B,0)),"")</f>
        <v/>
      </c>
      <c r="C373" t="str">
        <f t="array" ref="C373">IFERROR(INDEX('Player Raw Data'!C:C,Match($A373,'Player Raw Data'!$B:$B,0)),"")</f>
        <v/>
      </c>
      <c r="D373" t="str">
        <f t="array" ref="D373">IFERROR(IF(A373=A372, INDEX('Player Raw Data'!D:D,Match($A373,'Player Raw Data'!$B:$B,0)+2),INDEX('Player Raw Data'!D:D,Match($A373,'Player Raw Data'!$B:$B,0))),"")</f>
        <v/>
      </c>
      <c r="E373" t="str">
        <f t="array" ref="E373">IFERROR(INDEX('Player Raw Data'!F:F,Match($A373,'Player Raw Data'!$B:$B,0)),"")</f>
        <v/>
      </c>
      <c r="F373" t="str">
        <f t="array" ref="F373">IFERROR(INDEX('Player Raw Data'!H:H,Match($A373,'Player Raw Data'!$B:$B,0)),"")</f>
        <v/>
      </c>
      <c r="G373" t="str">
        <f t="array" ref="G373">IFERROR(INDEX('Player Raw Data'!I:I,Match($A373,'Player Raw Data'!$B:$B,0)),"")</f>
        <v/>
      </c>
      <c r="H373" t="str">
        <f t="array" ref="H373">IFERROR(INDEX('Player Raw Data'!J:J,Match($A373,'Player Raw Data'!$B:$B,0)),"")</f>
        <v/>
      </c>
      <c r="I373" t="str">
        <f t="array" ref="I373">IFERROR(INDEX('Player Raw Data'!S:S,Match($A373,'Player Raw Data'!$B:$B,0)),"")</f>
        <v/>
      </c>
      <c r="J373" t="str">
        <f t="array" ref="J373">IFERROR(INDEX('Player Raw Data'!T:T,Match($A373,'Player Raw Data'!$B:$B,0)),"")</f>
        <v/>
      </c>
      <c r="K373" t="str">
        <f t="array" ref="K373">IFERROR(INDEX('Player Raw Data'!X:X,Match($A373,'Player Raw Data'!$B:$B,0)),"")</f>
        <v/>
      </c>
      <c r="L373" t="str">
        <f t="array" ref="L373">IFERROR(INDEX('Player Raw Data'!Y:Y,Match($A373,'Player Raw Data'!$B:$B,0)),"")</f>
        <v/>
      </c>
      <c r="M373" t="str">
        <f t="array" ref="M373">IFERROR(INDEX('Player Raw Data'!Z:Z,Match($A373,'Player Raw Data'!$B:$B,0)),"")</f>
        <v/>
      </c>
      <c r="N373" t="str">
        <f t="array" ref="N373">IFERROR(INDEX('Player Raw Data'!AA:AA,Match($A373,'Player Raw Data'!$B:$B,0)),"")</f>
        <v/>
      </c>
      <c r="O373" t="str">
        <f t="array" ref="O373">IFERROR(INDEX('Player Raw Data'!AB:AB,Match($A373,'Player Raw Data'!$B:$B,0)),"")</f>
        <v/>
      </c>
      <c r="P373" t="str">
        <f t="array" ref="P373">IFERROR(INDEX('Player Raw Data'!AD:AD,Match($A373,'Player Raw Data'!$B:$B,0)),"")</f>
        <v/>
      </c>
      <c r="Q373">
        <f t="shared" si="1"/>
        <v>0</v>
      </c>
      <c r="R373" s="9">
        <f t="shared" si="2"/>
        <v>0</v>
      </c>
      <c r="S373" s="14">
        <f t="shared" si="3"/>
        <v>0</v>
      </c>
      <c r="T373" s="15">
        <f>IFERROR(__xludf.DUMMYFUNCTION("IFERROR(PERCENTRANK.INC(FILTER(Q:Q,$F:$F&lt;&gt;""""),Q373)*100,"""")"),1.5)</f>
        <v>1.5</v>
      </c>
      <c r="U373" s="15">
        <f>IFERROR(__xludf.DUMMYFUNCTION("IFERROR(PERCENTRANK.INC(FILTER(R:R,$F:$F&lt;&gt;""""),R373)*100,"""")"),1.5)</f>
        <v>1.5</v>
      </c>
      <c r="V373" s="15">
        <f>IFERROR(__xludf.DUMMYFUNCTION("IFERROR(PERCENTRANK.INC(FILTER(S:S,$F:$F&lt;&gt;""""),S373)*100,"""")"),1.5)</f>
        <v>1.5</v>
      </c>
      <c r="W373" s="15" t="str">
        <f t="shared" si="4"/>
        <v/>
      </c>
      <c r="X373" s="16"/>
      <c r="Y373" s="9"/>
      <c r="Z373" s="9"/>
    </row>
    <row r="374">
      <c r="B374" t="str">
        <f t="array" ref="B374">IFERROR(INDEX('Player Raw Data'!E:E,Match($A374,'Player Raw Data'!$B:$B,0)),"")</f>
        <v/>
      </c>
      <c r="C374" t="str">
        <f t="array" ref="C374">IFERROR(INDEX('Player Raw Data'!C:C,Match($A374,'Player Raw Data'!$B:$B,0)),"")</f>
        <v/>
      </c>
      <c r="D374" t="str">
        <f t="array" ref="D374">IFERROR(IF(A374=A373, INDEX('Player Raw Data'!D:D,Match($A374,'Player Raw Data'!$B:$B,0)+2),INDEX('Player Raw Data'!D:D,Match($A374,'Player Raw Data'!$B:$B,0))),"")</f>
        <v/>
      </c>
      <c r="E374" t="str">
        <f t="array" ref="E374">IFERROR(INDEX('Player Raw Data'!F:F,Match($A374,'Player Raw Data'!$B:$B,0)),"")</f>
        <v/>
      </c>
      <c r="F374" t="str">
        <f t="array" ref="F374">IFERROR(INDEX('Player Raw Data'!H:H,Match($A374,'Player Raw Data'!$B:$B,0)),"")</f>
        <v/>
      </c>
      <c r="G374" t="str">
        <f t="array" ref="G374">IFERROR(INDEX('Player Raw Data'!I:I,Match($A374,'Player Raw Data'!$B:$B,0)),"")</f>
        <v/>
      </c>
      <c r="H374" t="str">
        <f t="array" ref="H374">IFERROR(INDEX('Player Raw Data'!J:J,Match($A374,'Player Raw Data'!$B:$B,0)),"")</f>
        <v/>
      </c>
      <c r="I374" t="str">
        <f t="array" ref="I374">IFERROR(INDEX('Player Raw Data'!S:S,Match($A374,'Player Raw Data'!$B:$B,0)),"")</f>
        <v/>
      </c>
      <c r="J374" t="str">
        <f t="array" ref="J374">IFERROR(INDEX('Player Raw Data'!T:T,Match($A374,'Player Raw Data'!$B:$B,0)),"")</f>
        <v/>
      </c>
      <c r="K374" t="str">
        <f t="array" ref="K374">IFERROR(INDEX('Player Raw Data'!X:X,Match($A374,'Player Raw Data'!$B:$B,0)),"")</f>
        <v/>
      </c>
      <c r="L374" t="str">
        <f t="array" ref="L374">IFERROR(INDEX('Player Raw Data'!Y:Y,Match($A374,'Player Raw Data'!$B:$B,0)),"")</f>
        <v/>
      </c>
      <c r="M374" t="str">
        <f t="array" ref="M374">IFERROR(INDEX('Player Raw Data'!Z:Z,Match($A374,'Player Raw Data'!$B:$B,0)),"")</f>
        <v/>
      </c>
      <c r="N374" t="str">
        <f t="array" ref="N374">IFERROR(INDEX('Player Raw Data'!AA:AA,Match($A374,'Player Raw Data'!$B:$B,0)),"")</f>
        <v/>
      </c>
      <c r="O374" t="str">
        <f t="array" ref="O374">IFERROR(INDEX('Player Raw Data'!AB:AB,Match($A374,'Player Raw Data'!$B:$B,0)),"")</f>
        <v/>
      </c>
      <c r="P374" t="str">
        <f t="array" ref="P374">IFERROR(INDEX('Player Raw Data'!AD:AD,Match($A374,'Player Raw Data'!$B:$B,0)),"")</f>
        <v/>
      </c>
      <c r="Q374">
        <f t="shared" si="1"/>
        <v>0</v>
      </c>
      <c r="R374" s="9">
        <f t="shared" si="2"/>
        <v>0</v>
      </c>
      <c r="S374" s="14">
        <f t="shared" si="3"/>
        <v>0</v>
      </c>
      <c r="T374" s="15">
        <f>IFERROR(__xludf.DUMMYFUNCTION("IFERROR(PERCENTRANK.INC(FILTER(Q:Q,$F:$F&lt;&gt;""""),Q374)*100,"""")"),1.5)</f>
        <v>1.5</v>
      </c>
      <c r="U374" s="15">
        <f>IFERROR(__xludf.DUMMYFUNCTION("IFERROR(PERCENTRANK.INC(FILTER(R:R,$F:$F&lt;&gt;""""),R374)*100,"""")"),1.5)</f>
        <v>1.5</v>
      </c>
      <c r="V374" s="15">
        <f>IFERROR(__xludf.DUMMYFUNCTION("IFERROR(PERCENTRANK.INC(FILTER(S:S,$F:$F&lt;&gt;""""),S374)*100,"""")"),1.5)</f>
        <v>1.5</v>
      </c>
      <c r="W374" s="15" t="str">
        <f t="shared" si="4"/>
        <v/>
      </c>
      <c r="X374" s="16"/>
      <c r="Y374" s="9"/>
      <c r="Z374" s="9"/>
    </row>
    <row r="375">
      <c r="B375" t="str">
        <f t="array" ref="B375">IFERROR(INDEX('Player Raw Data'!E:E,Match($A375,'Player Raw Data'!$B:$B,0)),"")</f>
        <v/>
      </c>
      <c r="C375" t="str">
        <f t="array" ref="C375">IFERROR(INDEX('Player Raw Data'!C:C,Match($A375,'Player Raw Data'!$B:$B,0)),"")</f>
        <v/>
      </c>
      <c r="D375" t="str">
        <f t="array" ref="D375">IFERROR(IF(A375=A374, INDEX('Player Raw Data'!D:D,Match($A375,'Player Raw Data'!$B:$B,0)+2),INDEX('Player Raw Data'!D:D,Match($A375,'Player Raw Data'!$B:$B,0))),"")</f>
        <v/>
      </c>
      <c r="E375" t="str">
        <f t="array" ref="E375">IFERROR(INDEX('Player Raw Data'!F:F,Match($A375,'Player Raw Data'!$B:$B,0)),"")</f>
        <v/>
      </c>
      <c r="F375" t="str">
        <f t="array" ref="F375">IFERROR(INDEX('Player Raw Data'!H:H,Match($A375,'Player Raw Data'!$B:$B,0)),"")</f>
        <v/>
      </c>
      <c r="G375" t="str">
        <f t="array" ref="G375">IFERROR(INDEX('Player Raw Data'!I:I,Match($A375,'Player Raw Data'!$B:$B,0)),"")</f>
        <v/>
      </c>
      <c r="H375" t="str">
        <f t="array" ref="H375">IFERROR(INDEX('Player Raw Data'!J:J,Match($A375,'Player Raw Data'!$B:$B,0)),"")</f>
        <v/>
      </c>
      <c r="I375" t="str">
        <f t="array" ref="I375">IFERROR(INDEX('Player Raw Data'!S:S,Match($A375,'Player Raw Data'!$B:$B,0)),"")</f>
        <v/>
      </c>
      <c r="J375" t="str">
        <f t="array" ref="J375">IFERROR(INDEX('Player Raw Data'!T:T,Match($A375,'Player Raw Data'!$B:$B,0)),"")</f>
        <v/>
      </c>
      <c r="K375" t="str">
        <f t="array" ref="K375">IFERROR(INDEX('Player Raw Data'!X:X,Match($A375,'Player Raw Data'!$B:$B,0)),"")</f>
        <v/>
      </c>
      <c r="L375" t="str">
        <f t="array" ref="L375">IFERROR(INDEX('Player Raw Data'!Y:Y,Match($A375,'Player Raw Data'!$B:$B,0)),"")</f>
        <v/>
      </c>
      <c r="M375" t="str">
        <f t="array" ref="M375">IFERROR(INDEX('Player Raw Data'!Z:Z,Match($A375,'Player Raw Data'!$B:$B,0)),"")</f>
        <v/>
      </c>
      <c r="N375" t="str">
        <f t="array" ref="N375">IFERROR(INDEX('Player Raw Data'!AA:AA,Match($A375,'Player Raw Data'!$B:$B,0)),"")</f>
        <v/>
      </c>
      <c r="O375" t="str">
        <f t="array" ref="O375">IFERROR(INDEX('Player Raw Data'!AB:AB,Match($A375,'Player Raw Data'!$B:$B,0)),"")</f>
        <v/>
      </c>
      <c r="P375" t="str">
        <f t="array" ref="P375">IFERROR(INDEX('Player Raw Data'!AD:AD,Match($A375,'Player Raw Data'!$B:$B,0)),"")</f>
        <v/>
      </c>
      <c r="Q375">
        <f t="shared" si="1"/>
        <v>0</v>
      </c>
      <c r="R375" s="9">
        <f t="shared" si="2"/>
        <v>0</v>
      </c>
      <c r="S375" s="14">
        <f t="shared" si="3"/>
        <v>0</v>
      </c>
      <c r="T375" s="15">
        <f>IFERROR(__xludf.DUMMYFUNCTION("IFERROR(PERCENTRANK.INC(FILTER(Q:Q,$F:$F&lt;&gt;""""),Q375)*100,"""")"),1.5)</f>
        <v>1.5</v>
      </c>
      <c r="U375" s="15">
        <f>IFERROR(__xludf.DUMMYFUNCTION("IFERROR(PERCENTRANK.INC(FILTER(R:R,$F:$F&lt;&gt;""""),R375)*100,"""")"),1.5)</f>
        <v>1.5</v>
      </c>
      <c r="V375" s="15">
        <f>IFERROR(__xludf.DUMMYFUNCTION("IFERROR(PERCENTRANK.INC(FILTER(S:S,$F:$F&lt;&gt;""""),S375)*100,"""")"),1.5)</f>
        <v>1.5</v>
      </c>
      <c r="W375" s="15" t="str">
        <f t="shared" si="4"/>
        <v/>
      </c>
      <c r="X375" s="16"/>
      <c r="Y375" s="9"/>
      <c r="Z375" s="9"/>
    </row>
    <row r="376">
      <c r="B376" t="str">
        <f t="array" ref="B376">IFERROR(INDEX('Player Raw Data'!E:E,Match($A376,'Player Raw Data'!$B:$B,0)),"")</f>
        <v/>
      </c>
      <c r="C376" t="str">
        <f t="array" ref="C376">IFERROR(INDEX('Player Raw Data'!C:C,Match($A376,'Player Raw Data'!$B:$B,0)),"")</f>
        <v/>
      </c>
      <c r="D376" t="str">
        <f t="array" ref="D376">IFERROR(IF(A376=A375, INDEX('Player Raw Data'!D:D,Match($A376,'Player Raw Data'!$B:$B,0)+2),INDEX('Player Raw Data'!D:D,Match($A376,'Player Raw Data'!$B:$B,0))),"")</f>
        <v/>
      </c>
      <c r="E376" t="str">
        <f t="array" ref="E376">IFERROR(INDEX('Player Raw Data'!F:F,Match($A376,'Player Raw Data'!$B:$B,0)),"")</f>
        <v/>
      </c>
      <c r="F376" t="str">
        <f t="array" ref="F376">IFERROR(INDEX('Player Raw Data'!H:H,Match($A376,'Player Raw Data'!$B:$B,0)),"")</f>
        <v/>
      </c>
      <c r="G376" t="str">
        <f t="array" ref="G376">IFERROR(INDEX('Player Raw Data'!I:I,Match($A376,'Player Raw Data'!$B:$B,0)),"")</f>
        <v/>
      </c>
      <c r="H376" t="str">
        <f t="array" ref="H376">IFERROR(INDEX('Player Raw Data'!J:J,Match($A376,'Player Raw Data'!$B:$B,0)),"")</f>
        <v/>
      </c>
      <c r="I376" t="str">
        <f t="array" ref="I376">IFERROR(INDEX('Player Raw Data'!S:S,Match($A376,'Player Raw Data'!$B:$B,0)),"")</f>
        <v/>
      </c>
      <c r="J376" t="str">
        <f t="array" ref="J376">IFERROR(INDEX('Player Raw Data'!T:T,Match($A376,'Player Raw Data'!$B:$B,0)),"")</f>
        <v/>
      </c>
      <c r="K376" t="str">
        <f t="array" ref="K376">IFERROR(INDEX('Player Raw Data'!X:X,Match($A376,'Player Raw Data'!$B:$B,0)),"")</f>
        <v/>
      </c>
      <c r="L376" t="str">
        <f t="array" ref="L376">IFERROR(INDEX('Player Raw Data'!Y:Y,Match($A376,'Player Raw Data'!$B:$B,0)),"")</f>
        <v/>
      </c>
      <c r="M376" t="str">
        <f t="array" ref="M376">IFERROR(INDEX('Player Raw Data'!Z:Z,Match($A376,'Player Raw Data'!$B:$B,0)),"")</f>
        <v/>
      </c>
      <c r="N376" t="str">
        <f t="array" ref="N376">IFERROR(INDEX('Player Raw Data'!AA:AA,Match($A376,'Player Raw Data'!$B:$B,0)),"")</f>
        <v/>
      </c>
      <c r="O376" t="str">
        <f t="array" ref="O376">IFERROR(INDEX('Player Raw Data'!AB:AB,Match($A376,'Player Raw Data'!$B:$B,0)),"")</f>
        <v/>
      </c>
      <c r="P376" t="str">
        <f t="array" ref="P376">IFERROR(INDEX('Player Raw Data'!AD:AD,Match($A376,'Player Raw Data'!$B:$B,0)),"")</f>
        <v/>
      </c>
      <c r="Q376">
        <f t="shared" si="1"/>
        <v>0</v>
      </c>
      <c r="R376" s="9">
        <f t="shared" si="2"/>
        <v>0</v>
      </c>
      <c r="S376" s="14">
        <f t="shared" si="3"/>
        <v>0</v>
      </c>
      <c r="T376" s="15">
        <f>IFERROR(__xludf.DUMMYFUNCTION("IFERROR(PERCENTRANK.INC(FILTER(Q:Q,$F:$F&lt;&gt;""""),Q376)*100,"""")"),1.5)</f>
        <v>1.5</v>
      </c>
      <c r="U376" s="15">
        <f>IFERROR(__xludf.DUMMYFUNCTION("IFERROR(PERCENTRANK.INC(FILTER(R:R,$F:$F&lt;&gt;""""),R376)*100,"""")"),1.5)</f>
        <v>1.5</v>
      </c>
      <c r="V376" s="15">
        <f>IFERROR(__xludf.DUMMYFUNCTION("IFERROR(PERCENTRANK.INC(FILTER(S:S,$F:$F&lt;&gt;""""),S376)*100,"""")"),1.5)</f>
        <v>1.5</v>
      </c>
      <c r="W376" s="15" t="str">
        <f t="shared" si="4"/>
        <v/>
      </c>
      <c r="X376" s="16"/>
      <c r="Y376" s="9"/>
      <c r="Z376" s="9"/>
    </row>
    <row r="377">
      <c r="B377" t="str">
        <f t="array" ref="B377">IFERROR(INDEX('Player Raw Data'!E:E,Match($A377,'Player Raw Data'!$B:$B,0)),"")</f>
        <v/>
      </c>
      <c r="C377" t="str">
        <f t="array" ref="C377">IFERROR(INDEX('Player Raw Data'!C:C,Match($A377,'Player Raw Data'!$B:$B,0)),"")</f>
        <v/>
      </c>
      <c r="D377" t="str">
        <f t="array" ref="D377">IFERROR(IF(A377=A376, INDEX('Player Raw Data'!D:D,Match($A377,'Player Raw Data'!$B:$B,0)+2),INDEX('Player Raw Data'!D:D,Match($A377,'Player Raw Data'!$B:$B,0))),"")</f>
        <v/>
      </c>
      <c r="E377" t="str">
        <f t="array" ref="E377">IFERROR(INDEX('Player Raw Data'!F:F,Match($A377,'Player Raw Data'!$B:$B,0)),"")</f>
        <v/>
      </c>
      <c r="F377" t="str">
        <f t="array" ref="F377">IFERROR(INDEX('Player Raw Data'!H:H,Match($A377,'Player Raw Data'!$B:$B,0)),"")</f>
        <v/>
      </c>
      <c r="G377" t="str">
        <f t="array" ref="G377">IFERROR(INDEX('Player Raw Data'!I:I,Match($A377,'Player Raw Data'!$B:$B,0)),"")</f>
        <v/>
      </c>
      <c r="H377" t="str">
        <f t="array" ref="H377">IFERROR(INDEX('Player Raw Data'!J:J,Match($A377,'Player Raw Data'!$B:$B,0)),"")</f>
        <v/>
      </c>
      <c r="I377" t="str">
        <f t="array" ref="I377">IFERROR(INDEX('Player Raw Data'!S:S,Match($A377,'Player Raw Data'!$B:$B,0)),"")</f>
        <v/>
      </c>
      <c r="J377" t="str">
        <f t="array" ref="J377">IFERROR(INDEX('Player Raw Data'!T:T,Match($A377,'Player Raw Data'!$B:$B,0)),"")</f>
        <v/>
      </c>
      <c r="K377" t="str">
        <f t="array" ref="K377">IFERROR(INDEX('Player Raw Data'!X:X,Match($A377,'Player Raw Data'!$B:$B,0)),"")</f>
        <v/>
      </c>
      <c r="L377" t="str">
        <f t="array" ref="L377">IFERROR(INDEX('Player Raw Data'!Y:Y,Match($A377,'Player Raw Data'!$B:$B,0)),"")</f>
        <v/>
      </c>
      <c r="M377" t="str">
        <f t="array" ref="M377">IFERROR(INDEX('Player Raw Data'!Z:Z,Match($A377,'Player Raw Data'!$B:$B,0)),"")</f>
        <v/>
      </c>
      <c r="N377" t="str">
        <f t="array" ref="N377">IFERROR(INDEX('Player Raw Data'!AA:AA,Match($A377,'Player Raw Data'!$B:$B,0)),"")</f>
        <v/>
      </c>
      <c r="O377" t="str">
        <f t="array" ref="O377">IFERROR(INDEX('Player Raw Data'!AB:AB,Match($A377,'Player Raw Data'!$B:$B,0)),"")</f>
        <v/>
      </c>
      <c r="P377" t="str">
        <f t="array" ref="P377">IFERROR(INDEX('Player Raw Data'!AD:AD,Match($A377,'Player Raw Data'!$B:$B,0)),"")</f>
        <v/>
      </c>
      <c r="Q377">
        <f t="shared" si="1"/>
        <v>0</v>
      </c>
      <c r="R377" s="9">
        <f t="shared" si="2"/>
        <v>0</v>
      </c>
      <c r="S377" s="14">
        <f t="shared" si="3"/>
        <v>0</v>
      </c>
      <c r="T377" s="15">
        <f>IFERROR(__xludf.DUMMYFUNCTION("IFERROR(PERCENTRANK.INC(FILTER(Q:Q,$F:$F&lt;&gt;""""),Q377)*100,"""")"),1.5)</f>
        <v>1.5</v>
      </c>
      <c r="U377" s="15">
        <f>IFERROR(__xludf.DUMMYFUNCTION("IFERROR(PERCENTRANK.INC(FILTER(R:R,$F:$F&lt;&gt;""""),R377)*100,"""")"),1.5)</f>
        <v>1.5</v>
      </c>
      <c r="V377" s="15">
        <f>IFERROR(__xludf.DUMMYFUNCTION("IFERROR(PERCENTRANK.INC(FILTER(S:S,$F:$F&lt;&gt;""""),S377)*100,"""")"),1.5)</f>
        <v>1.5</v>
      </c>
      <c r="W377" s="15" t="str">
        <f t="shared" si="4"/>
        <v/>
      </c>
      <c r="X377" s="16"/>
      <c r="Y377" s="9"/>
      <c r="Z377" s="9"/>
    </row>
    <row r="378">
      <c r="B378" t="str">
        <f t="array" ref="B378">IFERROR(INDEX('Player Raw Data'!E:E,Match($A378,'Player Raw Data'!$B:$B,0)),"")</f>
        <v/>
      </c>
      <c r="C378" t="str">
        <f t="array" ref="C378">IFERROR(INDEX('Player Raw Data'!C:C,Match($A378,'Player Raw Data'!$B:$B,0)),"")</f>
        <v/>
      </c>
      <c r="D378" t="str">
        <f t="array" ref="D378">IFERROR(IF(A378=A377, INDEX('Player Raw Data'!D:D,Match($A378,'Player Raw Data'!$B:$B,0)+2),INDEX('Player Raw Data'!D:D,Match($A378,'Player Raw Data'!$B:$B,0))),"")</f>
        <v/>
      </c>
      <c r="E378" t="str">
        <f t="array" ref="E378">IFERROR(INDEX('Player Raw Data'!F:F,Match($A378,'Player Raw Data'!$B:$B,0)),"")</f>
        <v/>
      </c>
      <c r="F378" t="str">
        <f t="array" ref="F378">IFERROR(INDEX('Player Raw Data'!H:H,Match($A378,'Player Raw Data'!$B:$B,0)),"")</f>
        <v/>
      </c>
      <c r="G378" t="str">
        <f t="array" ref="G378">IFERROR(INDEX('Player Raw Data'!I:I,Match($A378,'Player Raw Data'!$B:$B,0)),"")</f>
        <v/>
      </c>
      <c r="H378" t="str">
        <f t="array" ref="H378">IFERROR(INDEX('Player Raw Data'!J:J,Match($A378,'Player Raw Data'!$B:$B,0)),"")</f>
        <v/>
      </c>
      <c r="I378" t="str">
        <f t="array" ref="I378">IFERROR(INDEX('Player Raw Data'!S:S,Match($A378,'Player Raw Data'!$B:$B,0)),"")</f>
        <v/>
      </c>
      <c r="J378" t="str">
        <f t="array" ref="J378">IFERROR(INDEX('Player Raw Data'!T:T,Match($A378,'Player Raw Data'!$B:$B,0)),"")</f>
        <v/>
      </c>
      <c r="K378" t="str">
        <f t="array" ref="K378">IFERROR(INDEX('Player Raw Data'!X:X,Match($A378,'Player Raw Data'!$B:$B,0)),"")</f>
        <v/>
      </c>
      <c r="L378" t="str">
        <f t="array" ref="L378">IFERROR(INDEX('Player Raw Data'!Y:Y,Match($A378,'Player Raw Data'!$B:$B,0)),"")</f>
        <v/>
      </c>
      <c r="M378" t="str">
        <f t="array" ref="M378">IFERROR(INDEX('Player Raw Data'!Z:Z,Match($A378,'Player Raw Data'!$B:$B,0)),"")</f>
        <v/>
      </c>
      <c r="N378" t="str">
        <f t="array" ref="N378">IFERROR(INDEX('Player Raw Data'!AA:AA,Match($A378,'Player Raw Data'!$B:$B,0)),"")</f>
        <v/>
      </c>
      <c r="O378" t="str">
        <f t="array" ref="O378">IFERROR(INDEX('Player Raw Data'!AB:AB,Match($A378,'Player Raw Data'!$B:$B,0)),"")</f>
        <v/>
      </c>
      <c r="P378" t="str">
        <f t="array" ref="P378">IFERROR(INDEX('Player Raw Data'!AD:AD,Match($A378,'Player Raw Data'!$B:$B,0)),"")</f>
        <v/>
      </c>
      <c r="Q378">
        <f t="shared" si="1"/>
        <v>0</v>
      </c>
      <c r="R378" s="9">
        <f t="shared" si="2"/>
        <v>0</v>
      </c>
      <c r="S378" s="14">
        <f t="shared" si="3"/>
        <v>0</v>
      </c>
      <c r="T378" s="15">
        <f>IFERROR(__xludf.DUMMYFUNCTION("IFERROR(PERCENTRANK.INC(FILTER(Q:Q,$F:$F&lt;&gt;""""),Q378)*100,"""")"),1.5)</f>
        <v>1.5</v>
      </c>
      <c r="U378" s="15">
        <f>IFERROR(__xludf.DUMMYFUNCTION("IFERROR(PERCENTRANK.INC(FILTER(R:R,$F:$F&lt;&gt;""""),R378)*100,"""")"),1.5)</f>
        <v>1.5</v>
      </c>
      <c r="V378" s="15">
        <f>IFERROR(__xludf.DUMMYFUNCTION("IFERROR(PERCENTRANK.INC(FILTER(S:S,$F:$F&lt;&gt;""""),S378)*100,"""")"),1.5)</f>
        <v>1.5</v>
      </c>
      <c r="W378" s="15" t="str">
        <f t="shared" si="4"/>
        <v/>
      </c>
      <c r="X378" s="16"/>
      <c r="Y378" s="9"/>
      <c r="Z378" s="9"/>
    </row>
    <row r="379">
      <c r="B379" t="str">
        <f t="array" ref="B379">IFERROR(INDEX('Player Raw Data'!E:E,Match($A379,'Player Raw Data'!$B:$B,0)),"")</f>
        <v/>
      </c>
      <c r="C379" t="str">
        <f t="array" ref="C379">IFERROR(INDEX('Player Raw Data'!C:C,Match($A379,'Player Raw Data'!$B:$B,0)),"")</f>
        <v/>
      </c>
      <c r="D379" t="str">
        <f t="array" ref="D379">IFERROR(IF(A379=A378, INDEX('Player Raw Data'!D:D,Match($A379,'Player Raw Data'!$B:$B,0)+2),INDEX('Player Raw Data'!D:D,Match($A379,'Player Raw Data'!$B:$B,0))),"")</f>
        <v/>
      </c>
      <c r="E379" t="str">
        <f t="array" ref="E379">IFERROR(INDEX('Player Raw Data'!F:F,Match($A379,'Player Raw Data'!$B:$B,0)),"")</f>
        <v/>
      </c>
      <c r="F379" t="str">
        <f t="array" ref="F379">IFERROR(INDEX('Player Raw Data'!H:H,Match($A379,'Player Raw Data'!$B:$B,0)),"")</f>
        <v/>
      </c>
      <c r="G379" t="str">
        <f t="array" ref="G379">IFERROR(INDEX('Player Raw Data'!I:I,Match($A379,'Player Raw Data'!$B:$B,0)),"")</f>
        <v/>
      </c>
      <c r="H379" t="str">
        <f t="array" ref="H379">IFERROR(INDEX('Player Raw Data'!J:J,Match($A379,'Player Raw Data'!$B:$B,0)),"")</f>
        <v/>
      </c>
      <c r="I379" t="str">
        <f t="array" ref="I379">IFERROR(INDEX('Player Raw Data'!S:S,Match($A379,'Player Raw Data'!$B:$B,0)),"")</f>
        <v/>
      </c>
      <c r="J379" t="str">
        <f t="array" ref="J379">IFERROR(INDEX('Player Raw Data'!T:T,Match($A379,'Player Raw Data'!$B:$B,0)),"")</f>
        <v/>
      </c>
      <c r="K379" t="str">
        <f t="array" ref="K379">IFERROR(INDEX('Player Raw Data'!X:X,Match($A379,'Player Raw Data'!$B:$B,0)),"")</f>
        <v/>
      </c>
      <c r="L379" t="str">
        <f t="array" ref="L379">IFERROR(INDEX('Player Raw Data'!Y:Y,Match($A379,'Player Raw Data'!$B:$B,0)),"")</f>
        <v/>
      </c>
      <c r="M379" t="str">
        <f t="array" ref="M379">IFERROR(INDEX('Player Raw Data'!Z:Z,Match($A379,'Player Raw Data'!$B:$B,0)),"")</f>
        <v/>
      </c>
      <c r="N379" t="str">
        <f t="array" ref="N379">IFERROR(INDEX('Player Raw Data'!AA:AA,Match($A379,'Player Raw Data'!$B:$B,0)),"")</f>
        <v/>
      </c>
      <c r="O379" t="str">
        <f t="array" ref="O379">IFERROR(INDEX('Player Raw Data'!AB:AB,Match($A379,'Player Raw Data'!$B:$B,0)),"")</f>
        <v/>
      </c>
      <c r="P379" t="str">
        <f t="array" ref="P379">IFERROR(INDEX('Player Raw Data'!AD:AD,Match($A379,'Player Raw Data'!$B:$B,0)),"")</f>
        <v/>
      </c>
      <c r="Q379">
        <f t="shared" si="1"/>
        <v>0</v>
      </c>
      <c r="R379" s="9">
        <f t="shared" si="2"/>
        <v>0</v>
      </c>
      <c r="S379" s="14">
        <f t="shared" si="3"/>
        <v>0</v>
      </c>
      <c r="T379" s="15">
        <f>IFERROR(__xludf.DUMMYFUNCTION("IFERROR(PERCENTRANK.INC(FILTER(Q:Q,$F:$F&lt;&gt;""""),Q379)*100,"""")"),1.5)</f>
        <v>1.5</v>
      </c>
      <c r="U379" s="15">
        <f>IFERROR(__xludf.DUMMYFUNCTION("IFERROR(PERCENTRANK.INC(FILTER(R:R,$F:$F&lt;&gt;""""),R379)*100,"""")"),1.5)</f>
        <v>1.5</v>
      </c>
      <c r="V379" s="15">
        <f>IFERROR(__xludf.DUMMYFUNCTION("IFERROR(PERCENTRANK.INC(FILTER(S:S,$F:$F&lt;&gt;""""),S379)*100,"""")"),1.5)</f>
        <v>1.5</v>
      </c>
      <c r="W379" s="15" t="str">
        <f t="shared" si="4"/>
        <v/>
      </c>
      <c r="X379" s="16"/>
      <c r="Y379" s="9"/>
      <c r="Z379" s="9"/>
    </row>
    <row r="380">
      <c r="B380" t="str">
        <f t="array" ref="B380">IFERROR(INDEX('Player Raw Data'!E:E,Match($A380,'Player Raw Data'!$B:$B,0)),"")</f>
        <v/>
      </c>
      <c r="C380" t="str">
        <f t="array" ref="C380">IFERROR(INDEX('Player Raw Data'!C:C,Match($A380,'Player Raw Data'!$B:$B,0)),"")</f>
        <v/>
      </c>
      <c r="D380" t="str">
        <f t="array" ref="D380">IFERROR(IF(A380=A379, INDEX('Player Raw Data'!D:D,Match($A380,'Player Raw Data'!$B:$B,0)+2),INDEX('Player Raw Data'!D:D,Match($A380,'Player Raw Data'!$B:$B,0))),"")</f>
        <v/>
      </c>
      <c r="E380" t="str">
        <f t="array" ref="E380">IFERROR(INDEX('Player Raw Data'!F:F,Match($A380,'Player Raw Data'!$B:$B,0)),"")</f>
        <v/>
      </c>
      <c r="F380" t="str">
        <f t="array" ref="F380">IFERROR(INDEX('Player Raw Data'!H:H,Match($A380,'Player Raw Data'!$B:$B,0)),"")</f>
        <v/>
      </c>
      <c r="G380" t="str">
        <f t="array" ref="G380">IFERROR(INDEX('Player Raw Data'!I:I,Match($A380,'Player Raw Data'!$B:$B,0)),"")</f>
        <v/>
      </c>
      <c r="H380" t="str">
        <f t="array" ref="H380">IFERROR(INDEX('Player Raw Data'!J:J,Match($A380,'Player Raw Data'!$B:$B,0)),"")</f>
        <v/>
      </c>
      <c r="I380" t="str">
        <f t="array" ref="I380">IFERROR(INDEX('Player Raw Data'!S:S,Match($A380,'Player Raw Data'!$B:$B,0)),"")</f>
        <v/>
      </c>
      <c r="J380" t="str">
        <f t="array" ref="J380">IFERROR(INDEX('Player Raw Data'!T:T,Match($A380,'Player Raw Data'!$B:$B,0)),"")</f>
        <v/>
      </c>
      <c r="K380" t="str">
        <f t="array" ref="K380">IFERROR(INDEX('Player Raw Data'!X:X,Match($A380,'Player Raw Data'!$B:$B,0)),"")</f>
        <v/>
      </c>
      <c r="L380" t="str">
        <f t="array" ref="L380">IFERROR(INDEX('Player Raw Data'!Y:Y,Match($A380,'Player Raw Data'!$B:$B,0)),"")</f>
        <v/>
      </c>
      <c r="M380" t="str">
        <f t="array" ref="M380">IFERROR(INDEX('Player Raw Data'!Z:Z,Match($A380,'Player Raw Data'!$B:$B,0)),"")</f>
        <v/>
      </c>
      <c r="N380" t="str">
        <f t="array" ref="N380">IFERROR(INDEX('Player Raw Data'!AA:AA,Match($A380,'Player Raw Data'!$B:$B,0)),"")</f>
        <v/>
      </c>
      <c r="O380" t="str">
        <f t="array" ref="O380">IFERROR(INDEX('Player Raw Data'!AB:AB,Match($A380,'Player Raw Data'!$B:$B,0)),"")</f>
        <v/>
      </c>
      <c r="P380" t="str">
        <f t="array" ref="P380">IFERROR(INDEX('Player Raw Data'!AD:AD,Match($A380,'Player Raw Data'!$B:$B,0)),"")</f>
        <v/>
      </c>
      <c r="Q380">
        <f t="shared" si="1"/>
        <v>0</v>
      </c>
      <c r="R380" s="9">
        <f t="shared" si="2"/>
        <v>0</v>
      </c>
      <c r="S380" s="14">
        <f t="shared" si="3"/>
        <v>0</v>
      </c>
      <c r="T380" s="15">
        <f>IFERROR(__xludf.DUMMYFUNCTION("IFERROR(PERCENTRANK.INC(FILTER(Q:Q,$F:$F&lt;&gt;""""),Q380)*100,"""")"),1.5)</f>
        <v>1.5</v>
      </c>
      <c r="U380" s="15">
        <f>IFERROR(__xludf.DUMMYFUNCTION("IFERROR(PERCENTRANK.INC(FILTER(R:R,$F:$F&lt;&gt;""""),R380)*100,"""")"),1.5)</f>
        <v>1.5</v>
      </c>
      <c r="V380" s="15">
        <f>IFERROR(__xludf.DUMMYFUNCTION("IFERROR(PERCENTRANK.INC(FILTER(S:S,$F:$F&lt;&gt;""""),S380)*100,"""")"),1.5)</f>
        <v>1.5</v>
      </c>
      <c r="W380" s="15" t="str">
        <f t="shared" si="4"/>
        <v/>
      </c>
      <c r="X380" s="16"/>
      <c r="Y380" s="9"/>
      <c r="Z380" s="9"/>
    </row>
    <row r="381">
      <c r="B381" t="str">
        <f t="array" ref="B381">IFERROR(INDEX('Player Raw Data'!E:E,Match($A381,'Player Raw Data'!$B:$B,0)),"")</f>
        <v/>
      </c>
      <c r="C381" t="str">
        <f t="array" ref="C381">IFERROR(INDEX('Player Raw Data'!C:C,Match($A381,'Player Raw Data'!$B:$B,0)),"")</f>
        <v/>
      </c>
      <c r="D381" t="str">
        <f t="array" ref="D381">IFERROR(IF(A381=A380, INDEX('Player Raw Data'!D:D,Match($A381,'Player Raw Data'!$B:$B,0)+2),INDEX('Player Raw Data'!D:D,Match($A381,'Player Raw Data'!$B:$B,0))),"")</f>
        <v/>
      </c>
      <c r="E381" t="str">
        <f t="array" ref="E381">IFERROR(INDEX('Player Raw Data'!F:F,Match($A381,'Player Raw Data'!$B:$B,0)),"")</f>
        <v/>
      </c>
      <c r="F381" t="str">
        <f t="array" ref="F381">IFERROR(INDEX('Player Raw Data'!H:H,Match($A381,'Player Raw Data'!$B:$B,0)),"")</f>
        <v/>
      </c>
      <c r="G381" t="str">
        <f t="array" ref="G381">IFERROR(INDEX('Player Raw Data'!I:I,Match($A381,'Player Raw Data'!$B:$B,0)),"")</f>
        <v/>
      </c>
      <c r="H381" t="str">
        <f t="array" ref="H381">IFERROR(INDEX('Player Raw Data'!J:J,Match($A381,'Player Raw Data'!$B:$B,0)),"")</f>
        <v/>
      </c>
      <c r="I381" t="str">
        <f t="array" ref="I381">IFERROR(INDEX('Player Raw Data'!S:S,Match($A381,'Player Raw Data'!$B:$B,0)),"")</f>
        <v/>
      </c>
      <c r="J381" t="str">
        <f t="array" ref="J381">IFERROR(INDEX('Player Raw Data'!T:T,Match($A381,'Player Raw Data'!$B:$B,0)),"")</f>
        <v/>
      </c>
      <c r="K381" t="str">
        <f t="array" ref="K381">IFERROR(INDEX('Player Raw Data'!X:X,Match($A381,'Player Raw Data'!$B:$B,0)),"")</f>
        <v/>
      </c>
      <c r="L381" t="str">
        <f t="array" ref="L381">IFERROR(INDEX('Player Raw Data'!Y:Y,Match($A381,'Player Raw Data'!$B:$B,0)),"")</f>
        <v/>
      </c>
      <c r="M381" t="str">
        <f t="array" ref="M381">IFERROR(INDEX('Player Raw Data'!Z:Z,Match($A381,'Player Raw Data'!$B:$B,0)),"")</f>
        <v/>
      </c>
      <c r="N381" t="str">
        <f t="array" ref="N381">IFERROR(INDEX('Player Raw Data'!AA:AA,Match($A381,'Player Raw Data'!$B:$B,0)),"")</f>
        <v/>
      </c>
      <c r="O381" t="str">
        <f t="array" ref="O381">IFERROR(INDEX('Player Raw Data'!AB:AB,Match($A381,'Player Raw Data'!$B:$B,0)),"")</f>
        <v/>
      </c>
      <c r="P381" t="str">
        <f t="array" ref="P381">IFERROR(INDEX('Player Raw Data'!AD:AD,Match($A381,'Player Raw Data'!$B:$B,0)),"")</f>
        <v/>
      </c>
      <c r="Q381">
        <f t="shared" si="1"/>
        <v>0</v>
      </c>
      <c r="R381" s="9">
        <f t="shared" si="2"/>
        <v>0</v>
      </c>
      <c r="S381" s="14">
        <f t="shared" si="3"/>
        <v>0</v>
      </c>
      <c r="T381" s="15">
        <f>IFERROR(__xludf.DUMMYFUNCTION("IFERROR(PERCENTRANK.INC(FILTER(Q:Q,$F:$F&lt;&gt;""""),Q381)*100,"""")"),1.5)</f>
        <v>1.5</v>
      </c>
      <c r="U381" s="15">
        <f>IFERROR(__xludf.DUMMYFUNCTION("IFERROR(PERCENTRANK.INC(FILTER(R:R,$F:$F&lt;&gt;""""),R381)*100,"""")"),1.5)</f>
        <v>1.5</v>
      </c>
      <c r="V381" s="15">
        <f>IFERROR(__xludf.DUMMYFUNCTION("IFERROR(PERCENTRANK.INC(FILTER(S:S,$F:$F&lt;&gt;""""),S381)*100,"""")"),1.5)</f>
        <v>1.5</v>
      </c>
      <c r="W381" s="15" t="str">
        <f t="shared" si="4"/>
        <v/>
      </c>
      <c r="X381" s="16"/>
      <c r="Y381" s="9"/>
      <c r="Z381" s="9"/>
    </row>
    <row r="382">
      <c r="B382" t="str">
        <f t="array" ref="B382">IFERROR(INDEX('Player Raw Data'!E:E,Match($A382,'Player Raw Data'!$B:$B,0)),"")</f>
        <v/>
      </c>
      <c r="C382" t="str">
        <f t="array" ref="C382">IFERROR(INDEX('Player Raw Data'!C:C,Match($A382,'Player Raw Data'!$B:$B,0)),"")</f>
        <v/>
      </c>
      <c r="D382" t="str">
        <f t="array" ref="D382">IFERROR(IF(A382=A381, INDEX('Player Raw Data'!D:D,Match($A382,'Player Raw Data'!$B:$B,0)+2),INDEX('Player Raw Data'!D:D,Match($A382,'Player Raw Data'!$B:$B,0))),"")</f>
        <v/>
      </c>
      <c r="E382" t="str">
        <f t="array" ref="E382">IFERROR(INDEX('Player Raw Data'!F:F,Match($A382,'Player Raw Data'!$B:$B,0)),"")</f>
        <v/>
      </c>
      <c r="F382" t="str">
        <f t="array" ref="F382">IFERROR(INDEX('Player Raw Data'!H:H,Match($A382,'Player Raw Data'!$B:$B,0)),"")</f>
        <v/>
      </c>
      <c r="G382" t="str">
        <f t="array" ref="G382">IFERROR(INDEX('Player Raw Data'!I:I,Match($A382,'Player Raw Data'!$B:$B,0)),"")</f>
        <v/>
      </c>
      <c r="H382" t="str">
        <f t="array" ref="H382">IFERROR(INDEX('Player Raw Data'!J:J,Match($A382,'Player Raw Data'!$B:$B,0)),"")</f>
        <v/>
      </c>
      <c r="I382" t="str">
        <f t="array" ref="I382">IFERROR(INDEX('Player Raw Data'!S:S,Match($A382,'Player Raw Data'!$B:$B,0)),"")</f>
        <v/>
      </c>
      <c r="J382" t="str">
        <f t="array" ref="J382">IFERROR(INDEX('Player Raw Data'!T:T,Match($A382,'Player Raw Data'!$B:$B,0)),"")</f>
        <v/>
      </c>
      <c r="K382" t="str">
        <f t="array" ref="K382">IFERROR(INDEX('Player Raw Data'!X:X,Match($A382,'Player Raw Data'!$B:$B,0)),"")</f>
        <v/>
      </c>
      <c r="L382" t="str">
        <f t="array" ref="L382">IFERROR(INDEX('Player Raw Data'!Y:Y,Match($A382,'Player Raw Data'!$B:$B,0)),"")</f>
        <v/>
      </c>
      <c r="M382" t="str">
        <f t="array" ref="M382">IFERROR(INDEX('Player Raw Data'!Z:Z,Match($A382,'Player Raw Data'!$B:$B,0)),"")</f>
        <v/>
      </c>
      <c r="N382" t="str">
        <f t="array" ref="N382">IFERROR(INDEX('Player Raw Data'!AA:AA,Match($A382,'Player Raw Data'!$B:$B,0)),"")</f>
        <v/>
      </c>
      <c r="O382" t="str">
        <f t="array" ref="O382">IFERROR(INDEX('Player Raw Data'!AB:AB,Match($A382,'Player Raw Data'!$B:$B,0)),"")</f>
        <v/>
      </c>
      <c r="P382" t="str">
        <f t="array" ref="P382">IFERROR(INDEX('Player Raw Data'!AD:AD,Match($A382,'Player Raw Data'!$B:$B,0)),"")</f>
        <v/>
      </c>
      <c r="Q382">
        <f t="shared" si="1"/>
        <v>0</v>
      </c>
      <c r="R382" s="9">
        <f t="shared" si="2"/>
        <v>0</v>
      </c>
      <c r="S382" s="14">
        <f t="shared" si="3"/>
        <v>0</v>
      </c>
      <c r="T382" s="15">
        <f>IFERROR(__xludf.DUMMYFUNCTION("IFERROR(PERCENTRANK.INC(FILTER(Q:Q,$F:$F&lt;&gt;""""),Q382)*100,"""")"),1.5)</f>
        <v>1.5</v>
      </c>
      <c r="U382" s="15">
        <f>IFERROR(__xludf.DUMMYFUNCTION("IFERROR(PERCENTRANK.INC(FILTER(R:R,$F:$F&lt;&gt;""""),R382)*100,"""")"),1.5)</f>
        <v>1.5</v>
      </c>
      <c r="V382" s="15">
        <f>IFERROR(__xludf.DUMMYFUNCTION("IFERROR(PERCENTRANK.INC(FILTER(S:S,$F:$F&lt;&gt;""""),S382)*100,"""")"),1.5)</f>
        <v>1.5</v>
      </c>
      <c r="W382" s="15" t="str">
        <f t="shared" si="4"/>
        <v/>
      </c>
      <c r="X382" s="16"/>
      <c r="Y382" s="9"/>
      <c r="Z382" s="9"/>
    </row>
    <row r="383">
      <c r="B383" t="str">
        <f t="array" ref="B383">IFERROR(INDEX('Player Raw Data'!E:E,Match($A383,'Player Raw Data'!$B:$B,0)),"")</f>
        <v/>
      </c>
      <c r="C383" t="str">
        <f t="array" ref="C383">IFERROR(INDEX('Player Raw Data'!C:C,Match($A383,'Player Raw Data'!$B:$B,0)),"")</f>
        <v/>
      </c>
      <c r="D383" t="str">
        <f t="array" ref="D383">IFERROR(IF(A383=A382, INDEX('Player Raw Data'!D:D,Match($A383,'Player Raw Data'!$B:$B,0)+2),INDEX('Player Raw Data'!D:D,Match($A383,'Player Raw Data'!$B:$B,0))),"")</f>
        <v/>
      </c>
      <c r="E383" t="str">
        <f t="array" ref="E383">IFERROR(INDEX('Player Raw Data'!F:F,Match($A383,'Player Raw Data'!$B:$B,0)),"")</f>
        <v/>
      </c>
      <c r="F383" t="str">
        <f t="array" ref="F383">IFERROR(INDEX('Player Raw Data'!H:H,Match($A383,'Player Raw Data'!$B:$B,0)),"")</f>
        <v/>
      </c>
      <c r="G383" t="str">
        <f t="array" ref="G383">IFERROR(INDEX('Player Raw Data'!I:I,Match($A383,'Player Raw Data'!$B:$B,0)),"")</f>
        <v/>
      </c>
      <c r="H383" t="str">
        <f t="array" ref="H383">IFERROR(INDEX('Player Raw Data'!J:J,Match($A383,'Player Raw Data'!$B:$B,0)),"")</f>
        <v/>
      </c>
      <c r="I383" t="str">
        <f t="array" ref="I383">IFERROR(INDEX('Player Raw Data'!S:S,Match($A383,'Player Raw Data'!$B:$B,0)),"")</f>
        <v/>
      </c>
      <c r="J383" t="str">
        <f t="array" ref="J383">IFERROR(INDEX('Player Raw Data'!T:T,Match($A383,'Player Raw Data'!$B:$B,0)),"")</f>
        <v/>
      </c>
      <c r="K383" t="str">
        <f t="array" ref="K383">IFERROR(INDEX('Player Raw Data'!X:X,Match($A383,'Player Raw Data'!$B:$B,0)),"")</f>
        <v/>
      </c>
      <c r="L383" t="str">
        <f t="array" ref="L383">IFERROR(INDEX('Player Raw Data'!Y:Y,Match($A383,'Player Raw Data'!$B:$B,0)),"")</f>
        <v/>
      </c>
      <c r="M383" t="str">
        <f t="array" ref="M383">IFERROR(INDEX('Player Raw Data'!Z:Z,Match($A383,'Player Raw Data'!$B:$B,0)),"")</f>
        <v/>
      </c>
      <c r="N383" t="str">
        <f t="array" ref="N383">IFERROR(INDEX('Player Raw Data'!AA:AA,Match($A383,'Player Raw Data'!$B:$B,0)),"")</f>
        <v/>
      </c>
      <c r="O383" t="str">
        <f t="array" ref="O383">IFERROR(INDEX('Player Raw Data'!AB:AB,Match($A383,'Player Raw Data'!$B:$B,0)),"")</f>
        <v/>
      </c>
      <c r="P383" t="str">
        <f t="array" ref="P383">IFERROR(INDEX('Player Raw Data'!AD:AD,Match($A383,'Player Raw Data'!$B:$B,0)),"")</f>
        <v/>
      </c>
      <c r="Q383">
        <f t="shared" si="1"/>
        <v>0</v>
      </c>
      <c r="R383" s="9">
        <f t="shared" si="2"/>
        <v>0</v>
      </c>
      <c r="S383" s="14">
        <f t="shared" si="3"/>
        <v>0</v>
      </c>
      <c r="T383" s="15">
        <f>IFERROR(__xludf.DUMMYFUNCTION("IFERROR(PERCENTRANK.INC(FILTER(Q:Q,$F:$F&lt;&gt;""""),Q383)*100,"""")"),1.5)</f>
        <v>1.5</v>
      </c>
      <c r="U383" s="15">
        <f>IFERROR(__xludf.DUMMYFUNCTION("IFERROR(PERCENTRANK.INC(FILTER(R:R,$F:$F&lt;&gt;""""),R383)*100,"""")"),1.5)</f>
        <v>1.5</v>
      </c>
      <c r="V383" s="15">
        <f>IFERROR(__xludf.DUMMYFUNCTION("IFERROR(PERCENTRANK.INC(FILTER(S:S,$F:$F&lt;&gt;""""),S383)*100,"""")"),1.5)</f>
        <v>1.5</v>
      </c>
      <c r="W383" s="15" t="str">
        <f t="shared" si="4"/>
        <v/>
      </c>
      <c r="X383" s="16"/>
      <c r="Y383" s="9"/>
      <c r="Z383" s="9"/>
    </row>
    <row r="384">
      <c r="B384" t="str">
        <f t="array" ref="B384">IFERROR(INDEX('Player Raw Data'!E:E,Match($A384,'Player Raw Data'!$B:$B,0)),"")</f>
        <v/>
      </c>
      <c r="C384" t="str">
        <f t="array" ref="C384">IFERROR(INDEX('Player Raw Data'!C:C,Match($A384,'Player Raw Data'!$B:$B,0)),"")</f>
        <v/>
      </c>
      <c r="D384" t="str">
        <f t="array" ref="D384">IFERROR(IF(A384=A383, INDEX('Player Raw Data'!D:D,Match($A384,'Player Raw Data'!$B:$B,0)+2),INDEX('Player Raw Data'!D:D,Match($A384,'Player Raw Data'!$B:$B,0))),"")</f>
        <v/>
      </c>
      <c r="E384" t="str">
        <f t="array" ref="E384">IFERROR(INDEX('Player Raw Data'!F:F,Match($A384,'Player Raw Data'!$B:$B,0)),"")</f>
        <v/>
      </c>
      <c r="F384" t="str">
        <f t="array" ref="F384">IFERROR(INDEX('Player Raw Data'!H:H,Match($A384,'Player Raw Data'!$B:$B,0)),"")</f>
        <v/>
      </c>
      <c r="G384" t="str">
        <f t="array" ref="G384">IFERROR(INDEX('Player Raw Data'!I:I,Match($A384,'Player Raw Data'!$B:$B,0)),"")</f>
        <v/>
      </c>
      <c r="H384" t="str">
        <f t="array" ref="H384">IFERROR(INDEX('Player Raw Data'!J:J,Match($A384,'Player Raw Data'!$B:$B,0)),"")</f>
        <v/>
      </c>
      <c r="I384" t="str">
        <f t="array" ref="I384">IFERROR(INDEX('Player Raw Data'!S:S,Match($A384,'Player Raw Data'!$B:$B,0)),"")</f>
        <v/>
      </c>
      <c r="J384" t="str">
        <f t="array" ref="J384">IFERROR(INDEX('Player Raw Data'!T:T,Match($A384,'Player Raw Data'!$B:$B,0)),"")</f>
        <v/>
      </c>
      <c r="K384" t="str">
        <f t="array" ref="K384">IFERROR(INDEX('Player Raw Data'!X:X,Match($A384,'Player Raw Data'!$B:$B,0)),"")</f>
        <v/>
      </c>
      <c r="L384" t="str">
        <f t="array" ref="L384">IFERROR(INDEX('Player Raw Data'!Y:Y,Match($A384,'Player Raw Data'!$B:$B,0)),"")</f>
        <v/>
      </c>
      <c r="M384" t="str">
        <f t="array" ref="M384">IFERROR(INDEX('Player Raw Data'!Z:Z,Match($A384,'Player Raw Data'!$B:$B,0)),"")</f>
        <v/>
      </c>
      <c r="N384" t="str">
        <f t="array" ref="N384">IFERROR(INDEX('Player Raw Data'!AA:AA,Match($A384,'Player Raw Data'!$B:$B,0)),"")</f>
        <v/>
      </c>
      <c r="O384" t="str">
        <f t="array" ref="O384">IFERROR(INDEX('Player Raw Data'!AB:AB,Match($A384,'Player Raw Data'!$B:$B,0)),"")</f>
        <v/>
      </c>
      <c r="P384" t="str">
        <f t="array" ref="P384">IFERROR(INDEX('Player Raw Data'!AD:AD,Match($A384,'Player Raw Data'!$B:$B,0)),"")</f>
        <v/>
      </c>
      <c r="Q384">
        <f t="shared" si="1"/>
        <v>0</v>
      </c>
      <c r="R384" s="9">
        <f t="shared" si="2"/>
        <v>0</v>
      </c>
      <c r="S384" s="14">
        <f t="shared" si="3"/>
        <v>0</v>
      </c>
      <c r="T384" s="15">
        <f>IFERROR(__xludf.DUMMYFUNCTION("IFERROR(PERCENTRANK.INC(FILTER(Q:Q,$F:$F&lt;&gt;""""),Q384)*100,"""")"),1.5)</f>
        <v>1.5</v>
      </c>
      <c r="U384" s="15">
        <f>IFERROR(__xludf.DUMMYFUNCTION("IFERROR(PERCENTRANK.INC(FILTER(R:R,$F:$F&lt;&gt;""""),R384)*100,"""")"),1.5)</f>
        <v>1.5</v>
      </c>
      <c r="V384" s="15">
        <f>IFERROR(__xludf.DUMMYFUNCTION("IFERROR(PERCENTRANK.INC(FILTER(S:S,$F:$F&lt;&gt;""""),S384)*100,"""")"),1.5)</f>
        <v>1.5</v>
      </c>
      <c r="W384" s="15" t="str">
        <f t="shared" si="4"/>
        <v/>
      </c>
      <c r="X384" s="16"/>
      <c r="Y384" s="9"/>
      <c r="Z384" s="9"/>
    </row>
    <row r="385">
      <c r="B385" t="str">
        <f t="array" ref="B385">IFERROR(INDEX('Player Raw Data'!E:E,Match($A385,'Player Raw Data'!$B:$B,0)),"")</f>
        <v/>
      </c>
      <c r="C385" t="str">
        <f t="array" ref="C385">IFERROR(INDEX('Player Raw Data'!C:C,Match($A385,'Player Raw Data'!$B:$B,0)),"")</f>
        <v/>
      </c>
      <c r="D385" t="str">
        <f t="array" ref="D385">IFERROR(IF(A385=A384, INDEX('Player Raw Data'!D:D,Match($A385,'Player Raw Data'!$B:$B,0)+2),INDEX('Player Raw Data'!D:D,Match($A385,'Player Raw Data'!$B:$B,0))),"")</f>
        <v/>
      </c>
      <c r="E385" t="str">
        <f t="array" ref="E385">IFERROR(INDEX('Player Raw Data'!F:F,Match($A385,'Player Raw Data'!$B:$B,0)),"")</f>
        <v/>
      </c>
      <c r="F385" t="str">
        <f t="array" ref="F385">IFERROR(INDEX('Player Raw Data'!H:H,Match($A385,'Player Raw Data'!$B:$B,0)),"")</f>
        <v/>
      </c>
      <c r="G385" t="str">
        <f t="array" ref="G385">IFERROR(INDEX('Player Raw Data'!I:I,Match($A385,'Player Raw Data'!$B:$B,0)),"")</f>
        <v/>
      </c>
      <c r="H385" t="str">
        <f t="array" ref="H385">IFERROR(INDEX('Player Raw Data'!J:J,Match($A385,'Player Raw Data'!$B:$B,0)),"")</f>
        <v/>
      </c>
      <c r="I385" t="str">
        <f t="array" ref="I385">IFERROR(INDEX('Player Raw Data'!S:S,Match($A385,'Player Raw Data'!$B:$B,0)),"")</f>
        <v/>
      </c>
      <c r="J385" t="str">
        <f t="array" ref="J385">IFERROR(INDEX('Player Raw Data'!T:T,Match($A385,'Player Raw Data'!$B:$B,0)),"")</f>
        <v/>
      </c>
      <c r="K385" t="str">
        <f t="array" ref="K385">IFERROR(INDEX('Player Raw Data'!X:X,Match($A385,'Player Raw Data'!$B:$B,0)),"")</f>
        <v/>
      </c>
      <c r="L385" t="str">
        <f t="array" ref="L385">IFERROR(INDEX('Player Raw Data'!Y:Y,Match($A385,'Player Raw Data'!$B:$B,0)),"")</f>
        <v/>
      </c>
      <c r="M385" t="str">
        <f t="array" ref="M385">IFERROR(INDEX('Player Raw Data'!Z:Z,Match($A385,'Player Raw Data'!$B:$B,0)),"")</f>
        <v/>
      </c>
      <c r="N385" t="str">
        <f t="array" ref="N385">IFERROR(INDEX('Player Raw Data'!AA:AA,Match($A385,'Player Raw Data'!$B:$B,0)),"")</f>
        <v/>
      </c>
      <c r="O385" t="str">
        <f t="array" ref="O385">IFERROR(INDEX('Player Raw Data'!AB:AB,Match($A385,'Player Raw Data'!$B:$B,0)),"")</f>
        <v/>
      </c>
      <c r="P385" t="str">
        <f t="array" ref="P385">IFERROR(INDEX('Player Raw Data'!AD:AD,Match($A385,'Player Raw Data'!$B:$B,0)),"")</f>
        <v/>
      </c>
      <c r="Q385">
        <f t="shared" si="1"/>
        <v>0</v>
      </c>
      <c r="R385" s="9">
        <f t="shared" si="2"/>
        <v>0</v>
      </c>
      <c r="S385" s="14">
        <f t="shared" si="3"/>
        <v>0</v>
      </c>
      <c r="T385" s="15">
        <f>IFERROR(__xludf.DUMMYFUNCTION("IFERROR(PERCENTRANK.INC(FILTER(Q:Q,$F:$F&lt;&gt;""""),Q385)*100,"""")"),1.5)</f>
        <v>1.5</v>
      </c>
      <c r="U385" s="15">
        <f>IFERROR(__xludf.DUMMYFUNCTION("IFERROR(PERCENTRANK.INC(FILTER(R:R,$F:$F&lt;&gt;""""),R385)*100,"""")"),1.5)</f>
        <v>1.5</v>
      </c>
      <c r="V385" s="15">
        <f>IFERROR(__xludf.DUMMYFUNCTION("IFERROR(PERCENTRANK.INC(FILTER(S:S,$F:$F&lt;&gt;""""),S385)*100,"""")"),1.5)</f>
        <v>1.5</v>
      </c>
      <c r="W385" s="15" t="str">
        <f t="shared" si="4"/>
        <v/>
      </c>
      <c r="X385" s="16"/>
      <c r="Y385" s="9"/>
      <c r="Z385" s="9"/>
    </row>
    <row r="386">
      <c r="B386" t="str">
        <f t="array" ref="B386">IFERROR(INDEX('Player Raw Data'!E:E,Match($A386,'Player Raw Data'!$B:$B,0)),"")</f>
        <v/>
      </c>
      <c r="C386" t="str">
        <f t="array" ref="C386">IFERROR(INDEX('Player Raw Data'!C:C,Match($A386,'Player Raw Data'!$B:$B,0)),"")</f>
        <v/>
      </c>
      <c r="D386" t="str">
        <f t="array" ref="D386">IFERROR(IF(A386=A385, INDEX('Player Raw Data'!D:D,Match($A386,'Player Raw Data'!$B:$B,0)+2),INDEX('Player Raw Data'!D:D,Match($A386,'Player Raw Data'!$B:$B,0))),"")</f>
        <v/>
      </c>
      <c r="E386" t="str">
        <f t="array" ref="E386">IFERROR(INDEX('Player Raw Data'!F:F,Match($A386,'Player Raw Data'!$B:$B,0)),"")</f>
        <v/>
      </c>
      <c r="F386" t="str">
        <f t="array" ref="F386">IFERROR(INDEX('Player Raw Data'!H:H,Match($A386,'Player Raw Data'!$B:$B,0)),"")</f>
        <v/>
      </c>
      <c r="G386" t="str">
        <f t="array" ref="G386">IFERROR(INDEX('Player Raw Data'!I:I,Match($A386,'Player Raw Data'!$B:$B,0)),"")</f>
        <v/>
      </c>
      <c r="H386" t="str">
        <f t="array" ref="H386">IFERROR(INDEX('Player Raw Data'!J:J,Match($A386,'Player Raw Data'!$B:$B,0)),"")</f>
        <v/>
      </c>
      <c r="I386" t="str">
        <f t="array" ref="I386">IFERROR(INDEX('Player Raw Data'!S:S,Match($A386,'Player Raw Data'!$B:$B,0)),"")</f>
        <v/>
      </c>
      <c r="J386" t="str">
        <f t="array" ref="J386">IFERROR(INDEX('Player Raw Data'!T:T,Match($A386,'Player Raw Data'!$B:$B,0)),"")</f>
        <v/>
      </c>
      <c r="K386" t="str">
        <f t="array" ref="K386">IFERROR(INDEX('Player Raw Data'!X:X,Match($A386,'Player Raw Data'!$B:$B,0)),"")</f>
        <v/>
      </c>
      <c r="L386" t="str">
        <f t="array" ref="L386">IFERROR(INDEX('Player Raw Data'!Y:Y,Match($A386,'Player Raw Data'!$B:$B,0)),"")</f>
        <v/>
      </c>
      <c r="M386" t="str">
        <f t="array" ref="M386">IFERROR(INDEX('Player Raw Data'!Z:Z,Match($A386,'Player Raw Data'!$B:$B,0)),"")</f>
        <v/>
      </c>
      <c r="N386" t="str">
        <f t="array" ref="N386">IFERROR(INDEX('Player Raw Data'!AA:AA,Match($A386,'Player Raw Data'!$B:$B,0)),"")</f>
        <v/>
      </c>
      <c r="O386" t="str">
        <f t="array" ref="O386">IFERROR(INDEX('Player Raw Data'!AB:AB,Match($A386,'Player Raw Data'!$B:$B,0)),"")</f>
        <v/>
      </c>
      <c r="P386" t="str">
        <f t="array" ref="P386">IFERROR(INDEX('Player Raw Data'!AD:AD,Match($A386,'Player Raw Data'!$B:$B,0)),"")</f>
        <v/>
      </c>
      <c r="Q386">
        <f t="shared" si="1"/>
        <v>0</v>
      </c>
      <c r="R386" s="9">
        <f t="shared" si="2"/>
        <v>0</v>
      </c>
      <c r="S386" s="14">
        <f t="shared" si="3"/>
        <v>0</v>
      </c>
      <c r="T386" s="15">
        <f>IFERROR(__xludf.DUMMYFUNCTION("IFERROR(PERCENTRANK.INC(FILTER(Q:Q,$F:$F&lt;&gt;""""),Q386)*100,"""")"),1.5)</f>
        <v>1.5</v>
      </c>
      <c r="U386" s="15">
        <f>IFERROR(__xludf.DUMMYFUNCTION("IFERROR(PERCENTRANK.INC(FILTER(R:R,$F:$F&lt;&gt;""""),R386)*100,"""")"),1.5)</f>
        <v>1.5</v>
      </c>
      <c r="V386" s="15">
        <f>IFERROR(__xludf.DUMMYFUNCTION("IFERROR(PERCENTRANK.INC(FILTER(S:S,$F:$F&lt;&gt;""""),S386)*100,"""")"),1.5)</f>
        <v>1.5</v>
      </c>
      <c r="W386" s="15" t="str">
        <f t="shared" si="4"/>
        <v/>
      </c>
      <c r="X386" s="16"/>
      <c r="Y386" s="9"/>
      <c r="Z386" s="9"/>
    </row>
    <row r="387">
      <c r="B387" t="str">
        <f t="array" ref="B387">IFERROR(INDEX('Player Raw Data'!E:E,Match($A387,'Player Raw Data'!$B:$B,0)),"")</f>
        <v/>
      </c>
      <c r="C387" t="str">
        <f t="array" ref="C387">IFERROR(INDEX('Player Raw Data'!C:C,Match($A387,'Player Raw Data'!$B:$B,0)),"")</f>
        <v/>
      </c>
      <c r="D387" t="str">
        <f t="array" ref="D387">IFERROR(IF(A387=A386, INDEX('Player Raw Data'!D:D,Match($A387,'Player Raw Data'!$B:$B,0)+2),INDEX('Player Raw Data'!D:D,Match($A387,'Player Raw Data'!$B:$B,0))),"")</f>
        <v/>
      </c>
      <c r="E387" t="str">
        <f t="array" ref="E387">IFERROR(INDEX('Player Raw Data'!F:F,Match($A387,'Player Raw Data'!$B:$B,0)),"")</f>
        <v/>
      </c>
      <c r="F387" t="str">
        <f t="array" ref="F387">IFERROR(INDEX('Player Raw Data'!H:H,Match($A387,'Player Raw Data'!$B:$B,0)),"")</f>
        <v/>
      </c>
      <c r="G387" t="str">
        <f t="array" ref="G387">IFERROR(INDEX('Player Raw Data'!I:I,Match($A387,'Player Raw Data'!$B:$B,0)),"")</f>
        <v/>
      </c>
      <c r="H387" t="str">
        <f t="array" ref="H387">IFERROR(INDEX('Player Raw Data'!J:J,Match($A387,'Player Raw Data'!$B:$B,0)),"")</f>
        <v/>
      </c>
      <c r="I387" t="str">
        <f t="array" ref="I387">IFERROR(INDEX('Player Raw Data'!S:S,Match($A387,'Player Raw Data'!$B:$B,0)),"")</f>
        <v/>
      </c>
      <c r="J387" t="str">
        <f t="array" ref="J387">IFERROR(INDEX('Player Raw Data'!T:T,Match($A387,'Player Raw Data'!$B:$B,0)),"")</f>
        <v/>
      </c>
      <c r="K387" t="str">
        <f t="array" ref="K387">IFERROR(INDEX('Player Raw Data'!X:X,Match($A387,'Player Raw Data'!$B:$B,0)),"")</f>
        <v/>
      </c>
      <c r="L387" t="str">
        <f t="array" ref="L387">IFERROR(INDEX('Player Raw Data'!Y:Y,Match($A387,'Player Raw Data'!$B:$B,0)),"")</f>
        <v/>
      </c>
      <c r="M387" t="str">
        <f t="array" ref="M387">IFERROR(INDEX('Player Raw Data'!Z:Z,Match($A387,'Player Raw Data'!$B:$B,0)),"")</f>
        <v/>
      </c>
      <c r="N387" t="str">
        <f t="array" ref="N387">IFERROR(INDEX('Player Raw Data'!AA:AA,Match($A387,'Player Raw Data'!$B:$B,0)),"")</f>
        <v/>
      </c>
      <c r="O387" t="str">
        <f t="array" ref="O387">IFERROR(INDEX('Player Raw Data'!AB:AB,Match($A387,'Player Raw Data'!$B:$B,0)),"")</f>
        <v/>
      </c>
      <c r="P387" t="str">
        <f t="array" ref="P387">IFERROR(INDEX('Player Raw Data'!AD:AD,Match($A387,'Player Raw Data'!$B:$B,0)),"")</f>
        <v/>
      </c>
      <c r="Q387">
        <f t="shared" si="1"/>
        <v>0</v>
      </c>
      <c r="R387" s="9">
        <f t="shared" si="2"/>
        <v>0</v>
      </c>
      <c r="S387" s="14">
        <f t="shared" si="3"/>
        <v>0</v>
      </c>
      <c r="T387" s="15">
        <f>IFERROR(__xludf.DUMMYFUNCTION("IFERROR(PERCENTRANK.INC(FILTER(Q:Q,$F:$F&lt;&gt;""""),Q387)*100,"""")"),1.5)</f>
        <v>1.5</v>
      </c>
      <c r="U387" s="15">
        <f>IFERROR(__xludf.DUMMYFUNCTION("IFERROR(PERCENTRANK.INC(FILTER(R:R,$F:$F&lt;&gt;""""),R387)*100,"""")"),1.5)</f>
        <v>1.5</v>
      </c>
      <c r="V387" s="15">
        <f>IFERROR(__xludf.DUMMYFUNCTION("IFERROR(PERCENTRANK.INC(FILTER(S:S,$F:$F&lt;&gt;""""),S387)*100,"""")"),1.5)</f>
        <v>1.5</v>
      </c>
      <c r="W387" s="15" t="str">
        <f t="shared" si="4"/>
        <v/>
      </c>
      <c r="X387" s="16"/>
      <c r="Y387" s="9"/>
      <c r="Z387" s="9"/>
    </row>
    <row r="388">
      <c r="B388" t="str">
        <f t="array" ref="B388">IFERROR(INDEX('Player Raw Data'!E:E,Match($A388,'Player Raw Data'!$B:$B,0)),"")</f>
        <v/>
      </c>
      <c r="C388" t="str">
        <f t="array" ref="C388">IFERROR(INDEX('Player Raw Data'!C:C,Match($A388,'Player Raw Data'!$B:$B,0)),"")</f>
        <v/>
      </c>
      <c r="D388" t="str">
        <f t="array" ref="D388">IFERROR(IF(A388=A387, INDEX('Player Raw Data'!D:D,Match($A388,'Player Raw Data'!$B:$B,0)+2),INDEX('Player Raw Data'!D:D,Match($A388,'Player Raw Data'!$B:$B,0))),"")</f>
        <v/>
      </c>
      <c r="E388" t="str">
        <f t="array" ref="E388">IFERROR(INDEX('Player Raw Data'!F:F,Match($A388,'Player Raw Data'!$B:$B,0)),"")</f>
        <v/>
      </c>
      <c r="F388" t="str">
        <f t="array" ref="F388">IFERROR(INDEX('Player Raw Data'!H:H,Match($A388,'Player Raw Data'!$B:$B,0)),"")</f>
        <v/>
      </c>
      <c r="G388" t="str">
        <f t="array" ref="G388">IFERROR(INDEX('Player Raw Data'!I:I,Match($A388,'Player Raw Data'!$B:$B,0)),"")</f>
        <v/>
      </c>
      <c r="H388" t="str">
        <f t="array" ref="H388">IFERROR(INDEX('Player Raw Data'!J:J,Match($A388,'Player Raw Data'!$B:$B,0)),"")</f>
        <v/>
      </c>
      <c r="I388" t="str">
        <f t="array" ref="I388">IFERROR(INDEX('Player Raw Data'!S:S,Match($A388,'Player Raw Data'!$B:$B,0)),"")</f>
        <v/>
      </c>
      <c r="J388" t="str">
        <f t="array" ref="J388">IFERROR(INDEX('Player Raw Data'!T:T,Match($A388,'Player Raw Data'!$B:$B,0)),"")</f>
        <v/>
      </c>
      <c r="K388" t="str">
        <f t="array" ref="K388">IFERROR(INDEX('Player Raw Data'!X:X,Match($A388,'Player Raw Data'!$B:$B,0)),"")</f>
        <v/>
      </c>
      <c r="L388" t="str">
        <f t="array" ref="L388">IFERROR(INDEX('Player Raw Data'!Y:Y,Match($A388,'Player Raw Data'!$B:$B,0)),"")</f>
        <v/>
      </c>
      <c r="M388" t="str">
        <f t="array" ref="M388">IFERROR(INDEX('Player Raw Data'!Z:Z,Match($A388,'Player Raw Data'!$B:$B,0)),"")</f>
        <v/>
      </c>
      <c r="N388" t="str">
        <f t="array" ref="N388">IFERROR(INDEX('Player Raw Data'!AA:AA,Match($A388,'Player Raw Data'!$B:$B,0)),"")</f>
        <v/>
      </c>
      <c r="O388" t="str">
        <f t="array" ref="O388">IFERROR(INDEX('Player Raw Data'!AB:AB,Match($A388,'Player Raw Data'!$B:$B,0)),"")</f>
        <v/>
      </c>
      <c r="P388" t="str">
        <f t="array" ref="P388">IFERROR(INDEX('Player Raw Data'!AD:AD,Match($A388,'Player Raw Data'!$B:$B,0)),"")</f>
        <v/>
      </c>
      <c r="Q388">
        <f t="shared" si="1"/>
        <v>0</v>
      </c>
      <c r="R388" s="9">
        <f t="shared" si="2"/>
        <v>0</v>
      </c>
      <c r="S388" s="14">
        <f t="shared" si="3"/>
        <v>0</v>
      </c>
      <c r="T388" s="15">
        <f>IFERROR(__xludf.DUMMYFUNCTION("IFERROR(PERCENTRANK.INC(FILTER(Q:Q,$F:$F&lt;&gt;""""),Q388)*100,"""")"),1.5)</f>
        <v>1.5</v>
      </c>
      <c r="U388" s="15">
        <f>IFERROR(__xludf.DUMMYFUNCTION("IFERROR(PERCENTRANK.INC(FILTER(R:R,$F:$F&lt;&gt;""""),R388)*100,"""")"),1.5)</f>
        <v>1.5</v>
      </c>
      <c r="V388" s="15">
        <f>IFERROR(__xludf.DUMMYFUNCTION("IFERROR(PERCENTRANK.INC(FILTER(S:S,$F:$F&lt;&gt;""""),S388)*100,"""")"),1.5)</f>
        <v>1.5</v>
      </c>
      <c r="W388" s="15" t="str">
        <f t="shared" si="4"/>
        <v/>
      </c>
      <c r="X388" s="16"/>
      <c r="Y388" s="9"/>
      <c r="Z388" s="9"/>
    </row>
    <row r="389">
      <c r="B389" t="str">
        <f t="array" ref="B389">IFERROR(INDEX('Player Raw Data'!E:E,Match($A389,'Player Raw Data'!$B:$B,0)),"")</f>
        <v/>
      </c>
      <c r="C389" t="str">
        <f t="array" ref="C389">IFERROR(INDEX('Player Raw Data'!C:C,Match($A389,'Player Raw Data'!$B:$B,0)),"")</f>
        <v/>
      </c>
      <c r="D389" t="str">
        <f t="array" ref="D389">IFERROR(IF(A389=A388, INDEX('Player Raw Data'!D:D,Match($A389,'Player Raw Data'!$B:$B,0)+2),INDEX('Player Raw Data'!D:D,Match($A389,'Player Raw Data'!$B:$B,0))),"")</f>
        <v/>
      </c>
      <c r="E389" t="str">
        <f t="array" ref="E389">IFERROR(INDEX('Player Raw Data'!F:F,Match($A389,'Player Raw Data'!$B:$B,0)),"")</f>
        <v/>
      </c>
      <c r="F389" t="str">
        <f t="array" ref="F389">IFERROR(INDEX('Player Raw Data'!H:H,Match($A389,'Player Raw Data'!$B:$B,0)),"")</f>
        <v/>
      </c>
      <c r="G389" t="str">
        <f t="array" ref="G389">IFERROR(INDEX('Player Raw Data'!I:I,Match($A389,'Player Raw Data'!$B:$B,0)),"")</f>
        <v/>
      </c>
      <c r="H389" t="str">
        <f t="array" ref="H389">IFERROR(INDEX('Player Raw Data'!J:J,Match($A389,'Player Raw Data'!$B:$B,0)),"")</f>
        <v/>
      </c>
      <c r="I389" t="str">
        <f t="array" ref="I389">IFERROR(INDEX('Player Raw Data'!S:S,Match($A389,'Player Raw Data'!$B:$B,0)),"")</f>
        <v/>
      </c>
      <c r="J389" t="str">
        <f t="array" ref="J389">IFERROR(INDEX('Player Raw Data'!T:T,Match($A389,'Player Raw Data'!$B:$B,0)),"")</f>
        <v/>
      </c>
      <c r="K389" t="str">
        <f t="array" ref="K389">IFERROR(INDEX('Player Raw Data'!X:X,Match($A389,'Player Raw Data'!$B:$B,0)),"")</f>
        <v/>
      </c>
      <c r="L389" t="str">
        <f t="array" ref="L389">IFERROR(INDEX('Player Raw Data'!Y:Y,Match($A389,'Player Raw Data'!$B:$B,0)),"")</f>
        <v/>
      </c>
      <c r="M389" t="str">
        <f t="array" ref="M389">IFERROR(INDEX('Player Raw Data'!Z:Z,Match($A389,'Player Raw Data'!$B:$B,0)),"")</f>
        <v/>
      </c>
      <c r="N389" t="str">
        <f t="array" ref="N389">IFERROR(INDEX('Player Raw Data'!AA:AA,Match($A389,'Player Raw Data'!$B:$B,0)),"")</f>
        <v/>
      </c>
      <c r="O389" t="str">
        <f t="array" ref="O389">IFERROR(INDEX('Player Raw Data'!AB:AB,Match($A389,'Player Raw Data'!$B:$B,0)),"")</f>
        <v/>
      </c>
      <c r="P389" t="str">
        <f t="array" ref="P389">IFERROR(INDEX('Player Raw Data'!AD:AD,Match($A389,'Player Raw Data'!$B:$B,0)),"")</f>
        <v/>
      </c>
      <c r="Q389">
        <f t="shared" si="1"/>
        <v>0</v>
      </c>
      <c r="R389" s="9">
        <f t="shared" si="2"/>
        <v>0</v>
      </c>
      <c r="S389" s="14">
        <f t="shared" si="3"/>
        <v>0</v>
      </c>
      <c r="T389" s="15">
        <f>IFERROR(__xludf.DUMMYFUNCTION("IFERROR(PERCENTRANK.INC(FILTER(Q:Q,$F:$F&lt;&gt;""""),Q389)*100,"""")"),1.5)</f>
        <v>1.5</v>
      </c>
      <c r="U389" s="15">
        <f>IFERROR(__xludf.DUMMYFUNCTION("IFERROR(PERCENTRANK.INC(FILTER(R:R,$F:$F&lt;&gt;""""),R389)*100,"""")"),1.5)</f>
        <v>1.5</v>
      </c>
      <c r="V389" s="15">
        <f>IFERROR(__xludf.DUMMYFUNCTION("IFERROR(PERCENTRANK.INC(FILTER(S:S,$F:$F&lt;&gt;""""),S389)*100,"""")"),1.5)</f>
        <v>1.5</v>
      </c>
      <c r="W389" s="15" t="str">
        <f t="shared" si="4"/>
        <v/>
      </c>
      <c r="X389" s="16"/>
      <c r="Y389" s="9"/>
      <c r="Z389" s="9"/>
    </row>
    <row r="390">
      <c r="B390" t="str">
        <f t="array" ref="B390">IFERROR(INDEX('Player Raw Data'!E:E,Match($A390,'Player Raw Data'!$B:$B,0)),"")</f>
        <v/>
      </c>
      <c r="C390" t="str">
        <f t="array" ref="C390">IFERROR(INDEX('Player Raw Data'!C:C,Match($A390,'Player Raw Data'!$B:$B,0)),"")</f>
        <v/>
      </c>
      <c r="D390" t="str">
        <f t="array" ref="D390">IFERROR(IF(A390=A389, INDEX('Player Raw Data'!D:D,Match($A390,'Player Raw Data'!$B:$B,0)+2),INDEX('Player Raw Data'!D:D,Match($A390,'Player Raw Data'!$B:$B,0))),"")</f>
        <v/>
      </c>
      <c r="E390" t="str">
        <f t="array" ref="E390">IFERROR(INDEX('Player Raw Data'!F:F,Match($A390,'Player Raw Data'!$B:$B,0)),"")</f>
        <v/>
      </c>
      <c r="F390" t="str">
        <f t="array" ref="F390">IFERROR(INDEX('Player Raw Data'!H:H,Match($A390,'Player Raw Data'!$B:$B,0)),"")</f>
        <v/>
      </c>
      <c r="G390" t="str">
        <f t="array" ref="G390">IFERROR(INDEX('Player Raw Data'!I:I,Match($A390,'Player Raw Data'!$B:$B,0)),"")</f>
        <v/>
      </c>
      <c r="H390" t="str">
        <f t="array" ref="H390">IFERROR(INDEX('Player Raw Data'!J:J,Match($A390,'Player Raw Data'!$B:$B,0)),"")</f>
        <v/>
      </c>
      <c r="I390" t="str">
        <f t="array" ref="I390">IFERROR(INDEX('Player Raw Data'!S:S,Match($A390,'Player Raw Data'!$B:$B,0)),"")</f>
        <v/>
      </c>
      <c r="J390" t="str">
        <f t="array" ref="J390">IFERROR(INDEX('Player Raw Data'!T:T,Match($A390,'Player Raw Data'!$B:$B,0)),"")</f>
        <v/>
      </c>
      <c r="K390" t="str">
        <f t="array" ref="K390">IFERROR(INDEX('Player Raw Data'!X:X,Match($A390,'Player Raw Data'!$B:$B,0)),"")</f>
        <v/>
      </c>
      <c r="L390" t="str">
        <f t="array" ref="L390">IFERROR(INDEX('Player Raw Data'!Y:Y,Match($A390,'Player Raw Data'!$B:$B,0)),"")</f>
        <v/>
      </c>
      <c r="M390" t="str">
        <f t="array" ref="M390">IFERROR(INDEX('Player Raw Data'!Z:Z,Match($A390,'Player Raw Data'!$B:$B,0)),"")</f>
        <v/>
      </c>
      <c r="N390" t="str">
        <f t="array" ref="N390">IFERROR(INDEX('Player Raw Data'!AA:AA,Match($A390,'Player Raw Data'!$B:$B,0)),"")</f>
        <v/>
      </c>
      <c r="O390" t="str">
        <f t="array" ref="O390">IFERROR(INDEX('Player Raw Data'!AB:AB,Match($A390,'Player Raw Data'!$B:$B,0)),"")</f>
        <v/>
      </c>
      <c r="P390" t="str">
        <f t="array" ref="P390">IFERROR(INDEX('Player Raw Data'!AD:AD,Match($A390,'Player Raw Data'!$B:$B,0)),"")</f>
        <v/>
      </c>
      <c r="Q390">
        <f t="shared" si="1"/>
        <v>0</v>
      </c>
      <c r="R390" s="9">
        <f t="shared" si="2"/>
        <v>0</v>
      </c>
      <c r="S390" s="14">
        <f t="shared" si="3"/>
        <v>0</v>
      </c>
      <c r="T390" s="15">
        <f>IFERROR(__xludf.DUMMYFUNCTION("IFERROR(PERCENTRANK.INC(FILTER(Q:Q,$F:$F&lt;&gt;""""),Q390)*100,"""")"),1.5)</f>
        <v>1.5</v>
      </c>
      <c r="U390" s="15">
        <f>IFERROR(__xludf.DUMMYFUNCTION("IFERROR(PERCENTRANK.INC(FILTER(R:R,$F:$F&lt;&gt;""""),R390)*100,"""")"),1.5)</f>
        <v>1.5</v>
      </c>
      <c r="V390" s="15">
        <f>IFERROR(__xludf.DUMMYFUNCTION("IFERROR(PERCENTRANK.INC(FILTER(S:S,$F:$F&lt;&gt;""""),S390)*100,"""")"),1.5)</f>
        <v>1.5</v>
      </c>
      <c r="W390" s="15" t="str">
        <f t="shared" si="4"/>
        <v/>
      </c>
      <c r="X390" s="16"/>
      <c r="Y390" s="9"/>
      <c r="Z390" s="9"/>
    </row>
    <row r="391">
      <c r="B391" t="str">
        <f t="array" ref="B391">IFERROR(INDEX('Player Raw Data'!E:E,Match($A391,'Player Raw Data'!$B:$B,0)),"")</f>
        <v/>
      </c>
      <c r="C391" t="str">
        <f t="array" ref="C391">IFERROR(INDEX('Player Raw Data'!C:C,Match($A391,'Player Raw Data'!$B:$B,0)),"")</f>
        <v/>
      </c>
      <c r="D391" t="str">
        <f t="array" ref="D391">IFERROR(IF(A391=A390, INDEX('Player Raw Data'!D:D,Match($A391,'Player Raw Data'!$B:$B,0)+2),INDEX('Player Raw Data'!D:D,Match($A391,'Player Raw Data'!$B:$B,0))),"")</f>
        <v/>
      </c>
      <c r="E391" t="str">
        <f t="array" ref="E391">IFERROR(INDEX('Player Raw Data'!F:F,Match($A391,'Player Raw Data'!$B:$B,0)),"")</f>
        <v/>
      </c>
      <c r="F391" t="str">
        <f t="array" ref="F391">IFERROR(INDEX('Player Raw Data'!H:H,Match($A391,'Player Raw Data'!$B:$B,0)),"")</f>
        <v/>
      </c>
      <c r="G391" t="str">
        <f t="array" ref="G391">IFERROR(INDEX('Player Raw Data'!I:I,Match($A391,'Player Raw Data'!$B:$B,0)),"")</f>
        <v/>
      </c>
      <c r="H391" t="str">
        <f t="array" ref="H391">IFERROR(INDEX('Player Raw Data'!J:J,Match($A391,'Player Raw Data'!$B:$B,0)),"")</f>
        <v/>
      </c>
      <c r="I391" t="str">
        <f t="array" ref="I391">IFERROR(INDEX('Player Raw Data'!S:S,Match($A391,'Player Raw Data'!$B:$B,0)),"")</f>
        <v/>
      </c>
      <c r="J391" t="str">
        <f t="array" ref="J391">IFERROR(INDEX('Player Raw Data'!T:T,Match($A391,'Player Raw Data'!$B:$B,0)),"")</f>
        <v/>
      </c>
      <c r="K391" t="str">
        <f t="array" ref="K391">IFERROR(INDEX('Player Raw Data'!X:X,Match($A391,'Player Raw Data'!$B:$B,0)),"")</f>
        <v/>
      </c>
      <c r="L391" t="str">
        <f t="array" ref="L391">IFERROR(INDEX('Player Raw Data'!Y:Y,Match($A391,'Player Raw Data'!$B:$B,0)),"")</f>
        <v/>
      </c>
      <c r="M391" t="str">
        <f t="array" ref="M391">IFERROR(INDEX('Player Raw Data'!Z:Z,Match($A391,'Player Raw Data'!$B:$B,0)),"")</f>
        <v/>
      </c>
      <c r="N391" t="str">
        <f t="array" ref="N391">IFERROR(INDEX('Player Raw Data'!AA:AA,Match($A391,'Player Raw Data'!$B:$B,0)),"")</f>
        <v/>
      </c>
      <c r="O391" t="str">
        <f t="array" ref="O391">IFERROR(INDEX('Player Raw Data'!AB:AB,Match($A391,'Player Raw Data'!$B:$B,0)),"")</f>
        <v/>
      </c>
      <c r="P391" t="str">
        <f t="array" ref="P391">IFERROR(INDEX('Player Raw Data'!AD:AD,Match($A391,'Player Raw Data'!$B:$B,0)),"")</f>
        <v/>
      </c>
      <c r="Q391">
        <f t="shared" si="1"/>
        <v>0</v>
      </c>
      <c r="R391" s="9">
        <f t="shared" si="2"/>
        <v>0</v>
      </c>
      <c r="S391" s="14">
        <f t="shared" si="3"/>
        <v>0</v>
      </c>
      <c r="T391" s="15">
        <f>IFERROR(__xludf.DUMMYFUNCTION("IFERROR(PERCENTRANK.INC(FILTER(Q:Q,$F:$F&lt;&gt;""""),Q391)*100,"""")"),1.5)</f>
        <v>1.5</v>
      </c>
      <c r="U391" s="15">
        <f>IFERROR(__xludf.DUMMYFUNCTION("IFERROR(PERCENTRANK.INC(FILTER(R:R,$F:$F&lt;&gt;""""),R391)*100,"""")"),1.5)</f>
        <v>1.5</v>
      </c>
      <c r="V391" s="15">
        <f>IFERROR(__xludf.DUMMYFUNCTION("IFERROR(PERCENTRANK.INC(FILTER(S:S,$F:$F&lt;&gt;""""),S391)*100,"""")"),1.5)</f>
        <v>1.5</v>
      </c>
      <c r="W391" s="15" t="str">
        <f t="shared" si="4"/>
        <v/>
      </c>
      <c r="X391" s="16"/>
      <c r="Y391" s="9"/>
      <c r="Z391" s="9"/>
    </row>
    <row r="392">
      <c r="B392" t="str">
        <f t="array" ref="B392">IFERROR(INDEX('Player Raw Data'!E:E,Match($A392,'Player Raw Data'!$B:$B,0)),"")</f>
        <v/>
      </c>
      <c r="C392" t="str">
        <f t="array" ref="C392">IFERROR(INDEX('Player Raw Data'!C:C,Match($A392,'Player Raw Data'!$B:$B,0)),"")</f>
        <v/>
      </c>
      <c r="D392" t="str">
        <f t="array" ref="D392">IFERROR(IF(A392=A391, INDEX('Player Raw Data'!D:D,Match($A392,'Player Raw Data'!$B:$B,0)+2),INDEX('Player Raw Data'!D:D,Match($A392,'Player Raw Data'!$B:$B,0))),"")</f>
        <v/>
      </c>
      <c r="E392" t="str">
        <f t="array" ref="E392">IFERROR(INDEX('Player Raw Data'!F:F,Match($A392,'Player Raw Data'!$B:$B,0)),"")</f>
        <v/>
      </c>
      <c r="F392" t="str">
        <f t="array" ref="F392">IFERROR(INDEX('Player Raw Data'!H:H,Match($A392,'Player Raw Data'!$B:$B,0)),"")</f>
        <v/>
      </c>
      <c r="G392" t="str">
        <f t="array" ref="G392">IFERROR(INDEX('Player Raw Data'!I:I,Match($A392,'Player Raw Data'!$B:$B,0)),"")</f>
        <v/>
      </c>
      <c r="H392" t="str">
        <f t="array" ref="H392">IFERROR(INDEX('Player Raw Data'!J:J,Match($A392,'Player Raw Data'!$B:$B,0)),"")</f>
        <v/>
      </c>
      <c r="I392" t="str">
        <f t="array" ref="I392">IFERROR(INDEX('Player Raw Data'!S:S,Match($A392,'Player Raw Data'!$B:$B,0)),"")</f>
        <v/>
      </c>
      <c r="J392" t="str">
        <f t="array" ref="J392">IFERROR(INDEX('Player Raw Data'!T:T,Match($A392,'Player Raw Data'!$B:$B,0)),"")</f>
        <v/>
      </c>
      <c r="K392" t="str">
        <f t="array" ref="K392">IFERROR(INDEX('Player Raw Data'!X:X,Match($A392,'Player Raw Data'!$B:$B,0)),"")</f>
        <v/>
      </c>
      <c r="L392" t="str">
        <f t="array" ref="L392">IFERROR(INDEX('Player Raw Data'!Y:Y,Match($A392,'Player Raw Data'!$B:$B,0)),"")</f>
        <v/>
      </c>
      <c r="M392" t="str">
        <f t="array" ref="M392">IFERROR(INDEX('Player Raw Data'!Z:Z,Match($A392,'Player Raw Data'!$B:$B,0)),"")</f>
        <v/>
      </c>
      <c r="N392" t="str">
        <f t="array" ref="N392">IFERROR(INDEX('Player Raw Data'!AA:AA,Match($A392,'Player Raw Data'!$B:$B,0)),"")</f>
        <v/>
      </c>
      <c r="O392" t="str">
        <f t="array" ref="O392">IFERROR(INDEX('Player Raw Data'!AB:AB,Match($A392,'Player Raw Data'!$B:$B,0)),"")</f>
        <v/>
      </c>
      <c r="P392" t="str">
        <f t="array" ref="P392">IFERROR(INDEX('Player Raw Data'!AD:AD,Match($A392,'Player Raw Data'!$B:$B,0)),"")</f>
        <v/>
      </c>
      <c r="Q392">
        <f t="shared" si="1"/>
        <v>0</v>
      </c>
      <c r="R392" s="9">
        <f t="shared" si="2"/>
        <v>0</v>
      </c>
      <c r="S392" s="14">
        <f t="shared" si="3"/>
        <v>0</v>
      </c>
      <c r="T392" s="15">
        <f>IFERROR(__xludf.DUMMYFUNCTION("IFERROR(PERCENTRANK.INC(FILTER(Q:Q,$F:$F&lt;&gt;""""),Q392)*100,"""")"),1.5)</f>
        <v>1.5</v>
      </c>
      <c r="U392" s="15">
        <f>IFERROR(__xludf.DUMMYFUNCTION("IFERROR(PERCENTRANK.INC(FILTER(R:R,$F:$F&lt;&gt;""""),R392)*100,"""")"),1.5)</f>
        <v>1.5</v>
      </c>
      <c r="V392" s="15">
        <f>IFERROR(__xludf.DUMMYFUNCTION("IFERROR(PERCENTRANK.INC(FILTER(S:S,$F:$F&lt;&gt;""""),S392)*100,"""")"),1.5)</f>
        <v>1.5</v>
      </c>
      <c r="W392" s="15" t="str">
        <f t="shared" si="4"/>
        <v/>
      </c>
      <c r="X392" s="16"/>
      <c r="Y392" s="9"/>
      <c r="Z392" s="9"/>
    </row>
    <row r="393">
      <c r="B393" t="str">
        <f t="array" ref="B393">IFERROR(INDEX('Player Raw Data'!E:E,Match($A393,'Player Raw Data'!$B:$B,0)),"")</f>
        <v/>
      </c>
      <c r="C393" t="str">
        <f t="array" ref="C393">IFERROR(INDEX('Player Raw Data'!C:C,Match($A393,'Player Raw Data'!$B:$B,0)),"")</f>
        <v/>
      </c>
      <c r="D393" t="str">
        <f t="array" ref="D393">IFERROR(IF(A393=A392, INDEX('Player Raw Data'!D:D,Match($A393,'Player Raw Data'!$B:$B,0)+2),INDEX('Player Raw Data'!D:D,Match($A393,'Player Raw Data'!$B:$B,0))),"")</f>
        <v/>
      </c>
      <c r="E393" t="str">
        <f t="array" ref="E393">IFERROR(INDEX('Player Raw Data'!F:F,Match($A393,'Player Raw Data'!$B:$B,0)),"")</f>
        <v/>
      </c>
      <c r="F393" t="str">
        <f t="array" ref="F393">IFERROR(INDEX('Player Raw Data'!H:H,Match($A393,'Player Raw Data'!$B:$B,0)),"")</f>
        <v/>
      </c>
      <c r="G393" t="str">
        <f t="array" ref="G393">IFERROR(INDEX('Player Raw Data'!I:I,Match($A393,'Player Raw Data'!$B:$B,0)),"")</f>
        <v/>
      </c>
      <c r="H393" t="str">
        <f t="array" ref="H393">IFERROR(INDEX('Player Raw Data'!J:J,Match($A393,'Player Raw Data'!$B:$B,0)),"")</f>
        <v/>
      </c>
      <c r="I393" t="str">
        <f t="array" ref="I393">IFERROR(INDEX('Player Raw Data'!S:S,Match($A393,'Player Raw Data'!$B:$B,0)),"")</f>
        <v/>
      </c>
      <c r="J393" t="str">
        <f t="array" ref="J393">IFERROR(INDEX('Player Raw Data'!T:T,Match($A393,'Player Raw Data'!$B:$B,0)),"")</f>
        <v/>
      </c>
      <c r="K393" t="str">
        <f t="array" ref="K393">IFERROR(INDEX('Player Raw Data'!X:X,Match($A393,'Player Raw Data'!$B:$B,0)),"")</f>
        <v/>
      </c>
      <c r="L393" t="str">
        <f t="array" ref="L393">IFERROR(INDEX('Player Raw Data'!Y:Y,Match($A393,'Player Raw Data'!$B:$B,0)),"")</f>
        <v/>
      </c>
      <c r="M393" t="str">
        <f t="array" ref="M393">IFERROR(INDEX('Player Raw Data'!Z:Z,Match($A393,'Player Raw Data'!$B:$B,0)),"")</f>
        <v/>
      </c>
      <c r="N393" t="str">
        <f t="array" ref="N393">IFERROR(INDEX('Player Raw Data'!AA:AA,Match($A393,'Player Raw Data'!$B:$B,0)),"")</f>
        <v/>
      </c>
      <c r="O393" t="str">
        <f t="array" ref="O393">IFERROR(INDEX('Player Raw Data'!AB:AB,Match($A393,'Player Raw Data'!$B:$B,0)),"")</f>
        <v/>
      </c>
      <c r="P393" t="str">
        <f t="array" ref="P393">IFERROR(INDEX('Player Raw Data'!AD:AD,Match($A393,'Player Raw Data'!$B:$B,0)),"")</f>
        <v/>
      </c>
      <c r="Q393">
        <f t="shared" si="1"/>
        <v>0</v>
      </c>
      <c r="R393" s="9">
        <f t="shared" si="2"/>
        <v>0</v>
      </c>
      <c r="S393" s="14">
        <f t="shared" si="3"/>
        <v>0</v>
      </c>
      <c r="T393" s="15">
        <f>IFERROR(__xludf.DUMMYFUNCTION("IFERROR(PERCENTRANK.INC(FILTER(Q:Q,$F:$F&lt;&gt;""""),Q393)*100,"""")"),1.5)</f>
        <v>1.5</v>
      </c>
      <c r="U393" s="15">
        <f>IFERROR(__xludf.DUMMYFUNCTION("IFERROR(PERCENTRANK.INC(FILTER(R:R,$F:$F&lt;&gt;""""),R393)*100,"""")"),1.5)</f>
        <v>1.5</v>
      </c>
      <c r="V393" s="15">
        <f>IFERROR(__xludf.DUMMYFUNCTION("IFERROR(PERCENTRANK.INC(FILTER(S:S,$F:$F&lt;&gt;""""),S393)*100,"""")"),1.5)</f>
        <v>1.5</v>
      </c>
      <c r="W393" s="15" t="str">
        <f t="shared" si="4"/>
        <v/>
      </c>
      <c r="X393" s="16"/>
      <c r="Y393" s="9"/>
      <c r="Z393" s="9"/>
    </row>
    <row r="394">
      <c r="B394" t="str">
        <f t="array" ref="B394">IFERROR(INDEX('Player Raw Data'!E:E,Match($A394,'Player Raw Data'!$B:$B,0)),"")</f>
        <v/>
      </c>
      <c r="C394" t="str">
        <f t="array" ref="C394">IFERROR(INDEX('Player Raw Data'!C:C,Match($A394,'Player Raw Data'!$B:$B,0)),"")</f>
        <v/>
      </c>
      <c r="D394" t="str">
        <f t="array" ref="D394">IFERROR(IF(A394=A393, INDEX('Player Raw Data'!D:D,Match($A394,'Player Raw Data'!$B:$B,0)+2),INDEX('Player Raw Data'!D:D,Match($A394,'Player Raw Data'!$B:$B,0))),"")</f>
        <v/>
      </c>
      <c r="E394" t="str">
        <f t="array" ref="E394">IFERROR(INDEX('Player Raw Data'!F:F,Match($A394,'Player Raw Data'!$B:$B,0)),"")</f>
        <v/>
      </c>
      <c r="F394" t="str">
        <f t="array" ref="F394">IFERROR(INDEX('Player Raw Data'!H:H,Match($A394,'Player Raw Data'!$B:$B,0)),"")</f>
        <v/>
      </c>
      <c r="G394" t="str">
        <f t="array" ref="G394">IFERROR(INDEX('Player Raw Data'!I:I,Match($A394,'Player Raw Data'!$B:$B,0)),"")</f>
        <v/>
      </c>
      <c r="H394" t="str">
        <f t="array" ref="H394">IFERROR(INDEX('Player Raw Data'!J:J,Match($A394,'Player Raw Data'!$B:$B,0)),"")</f>
        <v/>
      </c>
      <c r="I394" t="str">
        <f t="array" ref="I394">IFERROR(INDEX('Player Raw Data'!S:S,Match($A394,'Player Raw Data'!$B:$B,0)),"")</f>
        <v/>
      </c>
      <c r="J394" t="str">
        <f t="array" ref="J394">IFERROR(INDEX('Player Raw Data'!T:T,Match($A394,'Player Raw Data'!$B:$B,0)),"")</f>
        <v/>
      </c>
      <c r="K394" t="str">
        <f t="array" ref="K394">IFERROR(INDEX('Player Raw Data'!X:X,Match($A394,'Player Raw Data'!$B:$B,0)),"")</f>
        <v/>
      </c>
      <c r="L394" t="str">
        <f t="array" ref="L394">IFERROR(INDEX('Player Raw Data'!Y:Y,Match($A394,'Player Raw Data'!$B:$B,0)),"")</f>
        <v/>
      </c>
      <c r="M394" t="str">
        <f t="array" ref="M394">IFERROR(INDEX('Player Raw Data'!Z:Z,Match($A394,'Player Raw Data'!$B:$B,0)),"")</f>
        <v/>
      </c>
      <c r="N394" t="str">
        <f t="array" ref="N394">IFERROR(INDEX('Player Raw Data'!AA:AA,Match($A394,'Player Raw Data'!$B:$B,0)),"")</f>
        <v/>
      </c>
      <c r="O394" t="str">
        <f t="array" ref="O394">IFERROR(INDEX('Player Raw Data'!AB:AB,Match($A394,'Player Raw Data'!$B:$B,0)),"")</f>
        <v/>
      </c>
      <c r="P394" t="str">
        <f t="array" ref="P394">IFERROR(INDEX('Player Raw Data'!AD:AD,Match($A394,'Player Raw Data'!$B:$B,0)),"")</f>
        <v/>
      </c>
      <c r="Q394">
        <f t="shared" si="1"/>
        <v>0</v>
      </c>
      <c r="R394" s="9">
        <f t="shared" si="2"/>
        <v>0</v>
      </c>
      <c r="S394" s="14">
        <f t="shared" si="3"/>
        <v>0</v>
      </c>
      <c r="T394" s="15">
        <f>IFERROR(__xludf.DUMMYFUNCTION("IFERROR(PERCENTRANK.INC(FILTER(Q:Q,$F:$F&lt;&gt;""""),Q394)*100,"""")"),1.5)</f>
        <v>1.5</v>
      </c>
      <c r="U394" s="15">
        <f>IFERROR(__xludf.DUMMYFUNCTION("IFERROR(PERCENTRANK.INC(FILTER(R:R,$F:$F&lt;&gt;""""),R394)*100,"""")"),1.5)</f>
        <v>1.5</v>
      </c>
      <c r="V394" s="15">
        <f>IFERROR(__xludf.DUMMYFUNCTION("IFERROR(PERCENTRANK.INC(FILTER(S:S,$F:$F&lt;&gt;""""),S394)*100,"""")"),1.5)</f>
        <v>1.5</v>
      </c>
      <c r="W394" s="15" t="str">
        <f t="shared" si="4"/>
        <v/>
      </c>
      <c r="X394" s="16"/>
      <c r="Y394" s="9"/>
      <c r="Z394" s="9"/>
    </row>
    <row r="395">
      <c r="B395" t="str">
        <f t="array" ref="B395">IFERROR(INDEX('Player Raw Data'!E:E,Match($A395,'Player Raw Data'!$B:$B,0)),"")</f>
        <v/>
      </c>
      <c r="C395" t="str">
        <f t="array" ref="C395">IFERROR(INDEX('Player Raw Data'!C:C,Match($A395,'Player Raw Data'!$B:$B,0)),"")</f>
        <v/>
      </c>
      <c r="D395" t="str">
        <f t="array" ref="D395">IFERROR(IF(A395=A394, INDEX('Player Raw Data'!D:D,Match($A395,'Player Raw Data'!$B:$B,0)+2),INDEX('Player Raw Data'!D:D,Match($A395,'Player Raw Data'!$B:$B,0))),"")</f>
        <v/>
      </c>
      <c r="E395" t="str">
        <f t="array" ref="E395">IFERROR(INDEX('Player Raw Data'!F:F,Match($A395,'Player Raw Data'!$B:$B,0)),"")</f>
        <v/>
      </c>
      <c r="F395" t="str">
        <f t="array" ref="F395">IFERROR(INDEX('Player Raw Data'!H:H,Match($A395,'Player Raw Data'!$B:$B,0)),"")</f>
        <v/>
      </c>
      <c r="G395" t="str">
        <f t="array" ref="G395">IFERROR(INDEX('Player Raw Data'!I:I,Match($A395,'Player Raw Data'!$B:$B,0)),"")</f>
        <v/>
      </c>
      <c r="H395" t="str">
        <f t="array" ref="H395">IFERROR(INDEX('Player Raw Data'!J:J,Match($A395,'Player Raw Data'!$B:$B,0)),"")</f>
        <v/>
      </c>
      <c r="I395" t="str">
        <f t="array" ref="I395">IFERROR(INDEX('Player Raw Data'!S:S,Match($A395,'Player Raw Data'!$B:$B,0)),"")</f>
        <v/>
      </c>
      <c r="J395" t="str">
        <f t="array" ref="J395">IFERROR(INDEX('Player Raw Data'!T:T,Match($A395,'Player Raw Data'!$B:$B,0)),"")</f>
        <v/>
      </c>
      <c r="K395" t="str">
        <f t="array" ref="K395">IFERROR(INDEX('Player Raw Data'!X:X,Match($A395,'Player Raw Data'!$B:$B,0)),"")</f>
        <v/>
      </c>
      <c r="L395" t="str">
        <f t="array" ref="L395">IFERROR(INDEX('Player Raw Data'!Y:Y,Match($A395,'Player Raw Data'!$B:$B,0)),"")</f>
        <v/>
      </c>
      <c r="M395" t="str">
        <f t="array" ref="M395">IFERROR(INDEX('Player Raw Data'!Z:Z,Match($A395,'Player Raw Data'!$B:$B,0)),"")</f>
        <v/>
      </c>
      <c r="N395" t="str">
        <f t="array" ref="N395">IFERROR(INDEX('Player Raw Data'!AA:AA,Match($A395,'Player Raw Data'!$B:$B,0)),"")</f>
        <v/>
      </c>
      <c r="O395" t="str">
        <f t="array" ref="O395">IFERROR(INDEX('Player Raw Data'!AB:AB,Match($A395,'Player Raw Data'!$B:$B,0)),"")</f>
        <v/>
      </c>
      <c r="P395" t="str">
        <f t="array" ref="P395">IFERROR(INDEX('Player Raw Data'!AD:AD,Match($A395,'Player Raw Data'!$B:$B,0)),"")</f>
        <v/>
      </c>
      <c r="Q395">
        <f t="shared" si="1"/>
        <v>0</v>
      </c>
      <c r="R395" s="9">
        <f t="shared" si="2"/>
        <v>0</v>
      </c>
      <c r="S395" s="14">
        <f t="shared" si="3"/>
        <v>0</v>
      </c>
      <c r="T395" s="15">
        <f>IFERROR(__xludf.DUMMYFUNCTION("IFERROR(PERCENTRANK.INC(FILTER(Q:Q,$F:$F&lt;&gt;""""),Q395)*100,"""")"),1.5)</f>
        <v>1.5</v>
      </c>
      <c r="U395" s="15">
        <f>IFERROR(__xludf.DUMMYFUNCTION("IFERROR(PERCENTRANK.INC(FILTER(R:R,$F:$F&lt;&gt;""""),R395)*100,"""")"),1.5)</f>
        <v>1.5</v>
      </c>
      <c r="V395" s="15">
        <f>IFERROR(__xludf.DUMMYFUNCTION("IFERROR(PERCENTRANK.INC(FILTER(S:S,$F:$F&lt;&gt;""""),S395)*100,"""")"),1.5)</f>
        <v>1.5</v>
      </c>
      <c r="W395" s="15" t="str">
        <f t="shared" si="4"/>
        <v/>
      </c>
      <c r="X395" s="16"/>
      <c r="Y395" s="9"/>
      <c r="Z395" s="9"/>
    </row>
    <row r="396">
      <c r="B396" t="str">
        <f t="array" ref="B396">IFERROR(INDEX('Player Raw Data'!E:E,Match($A396,'Player Raw Data'!$B:$B,0)),"")</f>
        <v/>
      </c>
      <c r="C396" t="str">
        <f t="array" ref="C396">IFERROR(INDEX('Player Raw Data'!C:C,Match($A396,'Player Raw Data'!$B:$B,0)),"")</f>
        <v/>
      </c>
      <c r="D396" t="str">
        <f t="array" ref="D396">IFERROR(IF(A396=A395, INDEX('Player Raw Data'!D:D,Match($A396,'Player Raw Data'!$B:$B,0)+2),INDEX('Player Raw Data'!D:D,Match($A396,'Player Raw Data'!$B:$B,0))),"")</f>
        <v/>
      </c>
      <c r="E396" t="str">
        <f t="array" ref="E396">IFERROR(INDEX('Player Raw Data'!F:F,Match($A396,'Player Raw Data'!$B:$B,0)),"")</f>
        <v/>
      </c>
      <c r="F396" t="str">
        <f t="array" ref="F396">IFERROR(INDEX('Player Raw Data'!H:H,Match($A396,'Player Raw Data'!$B:$B,0)),"")</f>
        <v/>
      </c>
      <c r="G396" t="str">
        <f t="array" ref="G396">IFERROR(INDEX('Player Raw Data'!I:I,Match($A396,'Player Raw Data'!$B:$B,0)),"")</f>
        <v/>
      </c>
      <c r="H396" t="str">
        <f t="array" ref="H396">IFERROR(INDEX('Player Raw Data'!J:J,Match($A396,'Player Raw Data'!$B:$B,0)),"")</f>
        <v/>
      </c>
      <c r="I396" t="str">
        <f t="array" ref="I396">IFERROR(INDEX('Player Raw Data'!S:S,Match($A396,'Player Raw Data'!$B:$B,0)),"")</f>
        <v/>
      </c>
      <c r="J396" t="str">
        <f t="array" ref="J396">IFERROR(INDEX('Player Raw Data'!T:T,Match($A396,'Player Raw Data'!$B:$B,0)),"")</f>
        <v/>
      </c>
      <c r="K396" t="str">
        <f t="array" ref="K396">IFERROR(INDEX('Player Raw Data'!X:X,Match($A396,'Player Raw Data'!$B:$B,0)),"")</f>
        <v/>
      </c>
      <c r="L396" t="str">
        <f t="array" ref="L396">IFERROR(INDEX('Player Raw Data'!Y:Y,Match($A396,'Player Raw Data'!$B:$B,0)),"")</f>
        <v/>
      </c>
      <c r="M396" t="str">
        <f t="array" ref="M396">IFERROR(INDEX('Player Raw Data'!Z:Z,Match($A396,'Player Raw Data'!$B:$B,0)),"")</f>
        <v/>
      </c>
      <c r="N396" t="str">
        <f t="array" ref="N396">IFERROR(INDEX('Player Raw Data'!AA:AA,Match($A396,'Player Raw Data'!$B:$B,0)),"")</f>
        <v/>
      </c>
      <c r="O396" t="str">
        <f t="array" ref="O396">IFERROR(INDEX('Player Raw Data'!AB:AB,Match($A396,'Player Raw Data'!$B:$B,0)),"")</f>
        <v/>
      </c>
      <c r="P396" t="str">
        <f t="array" ref="P396">IFERROR(INDEX('Player Raw Data'!AD:AD,Match($A396,'Player Raw Data'!$B:$B,0)),"")</f>
        <v/>
      </c>
      <c r="Q396">
        <f t="shared" si="1"/>
        <v>0</v>
      </c>
      <c r="R396" s="9">
        <f t="shared" si="2"/>
        <v>0</v>
      </c>
      <c r="S396" s="14">
        <f t="shared" si="3"/>
        <v>0</v>
      </c>
      <c r="T396" s="15">
        <f>IFERROR(__xludf.DUMMYFUNCTION("IFERROR(PERCENTRANK.INC(FILTER(Q:Q,$F:$F&lt;&gt;""""),Q396)*100,"""")"),1.5)</f>
        <v>1.5</v>
      </c>
      <c r="U396" s="15">
        <f>IFERROR(__xludf.DUMMYFUNCTION("IFERROR(PERCENTRANK.INC(FILTER(R:R,$F:$F&lt;&gt;""""),R396)*100,"""")"),1.5)</f>
        <v>1.5</v>
      </c>
      <c r="V396" s="15">
        <f>IFERROR(__xludf.DUMMYFUNCTION("IFERROR(PERCENTRANK.INC(FILTER(S:S,$F:$F&lt;&gt;""""),S396)*100,"""")"),1.5)</f>
        <v>1.5</v>
      </c>
      <c r="W396" s="15" t="str">
        <f t="shared" si="4"/>
        <v/>
      </c>
      <c r="X396" s="16"/>
      <c r="Y396" s="9"/>
      <c r="Z396" s="9"/>
    </row>
    <row r="397">
      <c r="B397" t="str">
        <f t="array" ref="B397">IFERROR(INDEX('Player Raw Data'!E:E,Match($A397,'Player Raw Data'!$B:$B,0)),"")</f>
        <v/>
      </c>
      <c r="C397" t="str">
        <f t="array" ref="C397">IFERROR(INDEX('Player Raw Data'!C:C,Match($A397,'Player Raw Data'!$B:$B,0)),"")</f>
        <v/>
      </c>
      <c r="D397" t="str">
        <f t="array" ref="D397">IFERROR(IF(A397=A396, INDEX('Player Raw Data'!D:D,Match($A397,'Player Raw Data'!$B:$B,0)+2),INDEX('Player Raw Data'!D:D,Match($A397,'Player Raw Data'!$B:$B,0))),"")</f>
        <v/>
      </c>
      <c r="E397" t="str">
        <f t="array" ref="E397">IFERROR(INDEX('Player Raw Data'!F:F,Match($A397,'Player Raw Data'!$B:$B,0)),"")</f>
        <v/>
      </c>
      <c r="F397" t="str">
        <f t="array" ref="F397">IFERROR(INDEX('Player Raw Data'!H:H,Match($A397,'Player Raw Data'!$B:$B,0)),"")</f>
        <v/>
      </c>
      <c r="G397" t="str">
        <f t="array" ref="G397">IFERROR(INDEX('Player Raw Data'!I:I,Match($A397,'Player Raw Data'!$B:$B,0)),"")</f>
        <v/>
      </c>
      <c r="H397" t="str">
        <f t="array" ref="H397">IFERROR(INDEX('Player Raw Data'!J:J,Match($A397,'Player Raw Data'!$B:$B,0)),"")</f>
        <v/>
      </c>
      <c r="I397" t="str">
        <f t="array" ref="I397">IFERROR(INDEX('Player Raw Data'!S:S,Match($A397,'Player Raw Data'!$B:$B,0)),"")</f>
        <v/>
      </c>
      <c r="J397" t="str">
        <f t="array" ref="J397">IFERROR(INDEX('Player Raw Data'!T:T,Match($A397,'Player Raw Data'!$B:$B,0)),"")</f>
        <v/>
      </c>
      <c r="K397" t="str">
        <f t="array" ref="K397">IFERROR(INDEX('Player Raw Data'!X:X,Match($A397,'Player Raw Data'!$B:$B,0)),"")</f>
        <v/>
      </c>
      <c r="L397" t="str">
        <f t="array" ref="L397">IFERROR(INDEX('Player Raw Data'!Y:Y,Match($A397,'Player Raw Data'!$B:$B,0)),"")</f>
        <v/>
      </c>
      <c r="M397" t="str">
        <f t="array" ref="M397">IFERROR(INDEX('Player Raw Data'!Z:Z,Match($A397,'Player Raw Data'!$B:$B,0)),"")</f>
        <v/>
      </c>
      <c r="N397" t="str">
        <f t="array" ref="N397">IFERROR(INDEX('Player Raw Data'!AA:AA,Match($A397,'Player Raw Data'!$B:$B,0)),"")</f>
        <v/>
      </c>
      <c r="O397" t="str">
        <f t="array" ref="O397">IFERROR(INDEX('Player Raw Data'!AB:AB,Match($A397,'Player Raw Data'!$B:$B,0)),"")</f>
        <v/>
      </c>
      <c r="P397" t="str">
        <f t="array" ref="P397">IFERROR(INDEX('Player Raw Data'!AD:AD,Match($A397,'Player Raw Data'!$B:$B,0)),"")</f>
        <v/>
      </c>
      <c r="Q397">
        <f t="shared" si="1"/>
        <v>0</v>
      </c>
      <c r="R397" s="9">
        <f t="shared" si="2"/>
        <v>0</v>
      </c>
      <c r="S397" s="14">
        <f t="shared" si="3"/>
        <v>0</v>
      </c>
      <c r="T397" s="15">
        <f>IFERROR(__xludf.DUMMYFUNCTION("IFERROR(PERCENTRANK.INC(FILTER(Q:Q,$F:$F&lt;&gt;""""),Q397)*100,"""")"),1.5)</f>
        <v>1.5</v>
      </c>
      <c r="U397" s="15">
        <f>IFERROR(__xludf.DUMMYFUNCTION("IFERROR(PERCENTRANK.INC(FILTER(R:R,$F:$F&lt;&gt;""""),R397)*100,"""")"),1.5)</f>
        <v>1.5</v>
      </c>
      <c r="V397" s="15">
        <f>IFERROR(__xludf.DUMMYFUNCTION("IFERROR(PERCENTRANK.INC(FILTER(S:S,$F:$F&lt;&gt;""""),S397)*100,"""")"),1.5)</f>
        <v>1.5</v>
      </c>
      <c r="W397" s="15" t="str">
        <f t="shared" si="4"/>
        <v/>
      </c>
      <c r="X397" s="16"/>
      <c r="Y397" s="9"/>
      <c r="Z397" s="9"/>
    </row>
    <row r="398">
      <c r="B398" t="str">
        <f t="array" ref="B398">IFERROR(INDEX('Player Raw Data'!E:E,Match($A398,'Player Raw Data'!$B:$B,0)),"")</f>
        <v/>
      </c>
      <c r="C398" t="str">
        <f t="array" ref="C398">IFERROR(INDEX('Player Raw Data'!C:C,Match($A398,'Player Raw Data'!$B:$B,0)),"")</f>
        <v/>
      </c>
      <c r="D398" t="str">
        <f t="array" ref="D398">IFERROR(IF(A398=A397, INDEX('Player Raw Data'!D:D,Match($A398,'Player Raw Data'!$B:$B,0)+2),INDEX('Player Raw Data'!D:D,Match($A398,'Player Raw Data'!$B:$B,0))),"")</f>
        <v/>
      </c>
      <c r="E398" t="str">
        <f t="array" ref="E398">IFERROR(INDEX('Player Raw Data'!F:F,Match($A398,'Player Raw Data'!$B:$B,0)),"")</f>
        <v/>
      </c>
      <c r="F398" t="str">
        <f t="array" ref="F398">IFERROR(INDEX('Player Raw Data'!H:H,Match($A398,'Player Raw Data'!$B:$B,0)),"")</f>
        <v/>
      </c>
      <c r="G398" t="str">
        <f t="array" ref="G398">IFERROR(INDEX('Player Raw Data'!I:I,Match($A398,'Player Raw Data'!$B:$B,0)),"")</f>
        <v/>
      </c>
      <c r="H398" t="str">
        <f t="array" ref="H398">IFERROR(INDEX('Player Raw Data'!J:J,Match($A398,'Player Raw Data'!$B:$B,0)),"")</f>
        <v/>
      </c>
      <c r="I398" t="str">
        <f t="array" ref="I398">IFERROR(INDEX('Player Raw Data'!S:S,Match($A398,'Player Raw Data'!$B:$B,0)),"")</f>
        <v/>
      </c>
      <c r="J398" t="str">
        <f t="array" ref="J398">IFERROR(INDEX('Player Raw Data'!T:T,Match($A398,'Player Raw Data'!$B:$B,0)),"")</f>
        <v/>
      </c>
      <c r="K398" t="str">
        <f t="array" ref="K398">IFERROR(INDEX('Player Raw Data'!X:X,Match($A398,'Player Raw Data'!$B:$B,0)),"")</f>
        <v/>
      </c>
      <c r="L398" t="str">
        <f t="array" ref="L398">IFERROR(INDEX('Player Raw Data'!Y:Y,Match($A398,'Player Raw Data'!$B:$B,0)),"")</f>
        <v/>
      </c>
      <c r="M398" t="str">
        <f t="array" ref="M398">IFERROR(INDEX('Player Raw Data'!Z:Z,Match($A398,'Player Raw Data'!$B:$B,0)),"")</f>
        <v/>
      </c>
      <c r="N398" t="str">
        <f t="array" ref="N398">IFERROR(INDEX('Player Raw Data'!AA:AA,Match($A398,'Player Raw Data'!$B:$B,0)),"")</f>
        <v/>
      </c>
      <c r="O398" t="str">
        <f t="array" ref="O398">IFERROR(INDEX('Player Raw Data'!AB:AB,Match($A398,'Player Raw Data'!$B:$B,0)),"")</f>
        <v/>
      </c>
      <c r="P398" t="str">
        <f t="array" ref="P398">IFERROR(INDEX('Player Raw Data'!AD:AD,Match($A398,'Player Raw Data'!$B:$B,0)),"")</f>
        <v/>
      </c>
      <c r="Q398">
        <f t="shared" si="1"/>
        <v>0</v>
      </c>
      <c r="R398" s="9">
        <f t="shared" si="2"/>
        <v>0</v>
      </c>
      <c r="S398" s="14">
        <f t="shared" si="3"/>
        <v>0</v>
      </c>
      <c r="T398" s="15">
        <f>IFERROR(__xludf.DUMMYFUNCTION("IFERROR(PERCENTRANK.INC(FILTER(Q:Q,$F:$F&lt;&gt;""""),Q398)*100,"""")"),1.5)</f>
        <v>1.5</v>
      </c>
      <c r="U398" s="15">
        <f>IFERROR(__xludf.DUMMYFUNCTION("IFERROR(PERCENTRANK.INC(FILTER(R:R,$F:$F&lt;&gt;""""),R398)*100,"""")"),1.5)</f>
        <v>1.5</v>
      </c>
      <c r="V398" s="15">
        <f>IFERROR(__xludf.DUMMYFUNCTION("IFERROR(PERCENTRANK.INC(FILTER(S:S,$F:$F&lt;&gt;""""),S398)*100,"""")"),1.5)</f>
        <v>1.5</v>
      </c>
      <c r="W398" s="15" t="str">
        <f t="shared" si="4"/>
        <v/>
      </c>
      <c r="X398" s="16"/>
      <c r="Y398" s="9"/>
      <c r="Z398" s="9"/>
    </row>
    <row r="399">
      <c r="B399" t="str">
        <f t="array" ref="B399">IFERROR(INDEX('Player Raw Data'!E:E,Match($A399,'Player Raw Data'!$B:$B,0)),"")</f>
        <v/>
      </c>
      <c r="C399" t="str">
        <f t="array" ref="C399">IFERROR(INDEX('Player Raw Data'!C:C,Match($A399,'Player Raw Data'!$B:$B,0)),"")</f>
        <v/>
      </c>
      <c r="D399" t="str">
        <f t="array" ref="D399">IFERROR(IF(A399=A398, INDEX('Player Raw Data'!D:D,Match($A399,'Player Raw Data'!$B:$B,0)+2),INDEX('Player Raw Data'!D:D,Match($A399,'Player Raw Data'!$B:$B,0))),"")</f>
        <v/>
      </c>
      <c r="E399" t="str">
        <f t="array" ref="E399">IFERROR(INDEX('Player Raw Data'!F:F,Match($A399,'Player Raw Data'!$B:$B,0)),"")</f>
        <v/>
      </c>
      <c r="F399" t="str">
        <f t="array" ref="F399">IFERROR(INDEX('Player Raw Data'!H:H,Match($A399,'Player Raw Data'!$B:$B,0)),"")</f>
        <v/>
      </c>
      <c r="G399" t="str">
        <f t="array" ref="G399">IFERROR(INDEX('Player Raw Data'!I:I,Match($A399,'Player Raw Data'!$B:$B,0)),"")</f>
        <v/>
      </c>
      <c r="H399" t="str">
        <f t="array" ref="H399">IFERROR(INDEX('Player Raw Data'!J:J,Match($A399,'Player Raw Data'!$B:$B,0)),"")</f>
        <v/>
      </c>
      <c r="I399" t="str">
        <f t="array" ref="I399">IFERROR(INDEX('Player Raw Data'!S:S,Match($A399,'Player Raw Data'!$B:$B,0)),"")</f>
        <v/>
      </c>
      <c r="J399" t="str">
        <f t="array" ref="J399">IFERROR(INDEX('Player Raw Data'!T:T,Match($A399,'Player Raw Data'!$B:$B,0)),"")</f>
        <v/>
      </c>
      <c r="K399" t="str">
        <f t="array" ref="K399">IFERROR(INDEX('Player Raw Data'!X:X,Match($A399,'Player Raw Data'!$B:$B,0)),"")</f>
        <v/>
      </c>
      <c r="L399" t="str">
        <f t="array" ref="L399">IFERROR(INDEX('Player Raw Data'!Y:Y,Match($A399,'Player Raw Data'!$B:$B,0)),"")</f>
        <v/>
      </c>
      <c r="M399" t="str">
        <f t="array" ref="M399">IFERROR(INDEX('Player Raw Data'!Z:Z,Match($A399,'Player Raw Data'!$B:$B,0)),"")</f>
        <v/>
      </c>
      <c r="N399" t="str">
        <f t="array" ref="N399">IFERROR(INDEX('Player Raw Data'!AA:AA,Match($A399,'Player Raw Data'!$B:$B,0)),"")</f>
        <v/>
      </c>
      <c r="O399" t="str">
        <f t="array" ref="O399">IFERROR(INDEX('Player Raw Data'!AB:AB,Match($A399,'Player Raw Data'!$B:$B,0)),"")</f>
        <v/>
      </c>
      <c r="P399" t="str">
        <f t="array" ref="P399">IFERROR(INDEX('Player Raw Data'!AD:AD,Match($A399,'Player Raw Data'!$B:$B,0)),"")</f>
        <v/>
      </c>
      <c r="Q399">
        <f t="shared" si="1"/>
        <v>0</v>
      </c>
      <c r="R399" s="9">
        <f t="shared" si="2"/>
        <v>0</v>
      </c>
      <c r="S399" s="14">
        <f t="shared" si="3"/>
        <v>0</v>
      </c>
      <c r="T399" s="15">
        <f>IFERROR(__xludf.DUMMYFUNCTION("IFERROR(PERCENTRANK.INC(FILTER(Q:Q,$F:$F&lt;&gt;""""),Q399)*100,"""")"),1.5)</f>
        <v>1.5</v>
      </c>
      <c r="U399" s="15">
        <f>IFERROR(__xludf.DUMMYFUNCTION("IFERROR(PERCENTRANK.INC(FILTER(R:R,$F:$F&lt;&gt;""""),R399)*100,"""")"),1.5)</f>
        <v>1.5</v>
      </c>
      <c r="V399" s="15">
        <f>IFERROR(__xludf.DUMMYFUNCTION("IFERROR(PERCENTRANK.INC(FILTER(S:S,$F:$F&lt;&gt;""""),S399)*100,"""")"),1.5)</f>
        <v>1.5</v>
      </c>
      <c r="W399" s="15" t="str">
        <f t="shared" si="4"/>
        <v/>
      </c>
      <c r="X399" s="16"/>
      <c r="Y399" s="9"/>
      <c r="Z399" s="9"/>
    </row>
    <row r="400">
      <c r="B400" t="str">
        <f t="array" ref="B400">IFERROR(INDEX('Player Raw Data'!E:E,Match($A400,'Player Raw Data'!$B:$B,0)),"")</f>
        <v/>
      </c>
      <c r="C400" t="str">
        <f t="array" ref="C400">IFERROR(INDEX('Player Raw Data'!C:C,Match($A400,'Player Raw Data'!$B:$B,0)),"")</f>
        <v/>
      </c>
      <c r="D400" t="str">
        <f t="array" ref="D400">IFERROR(IF(A400=A399, INDEX('Player Raw Data'!D:D,Match($A400,'Player Raw Data'!$B:$B,0)+2),INDEX('Player Raw Data'!D:D,Match($A400,'Player Raw Data'!$B:$B,0))),"")</f>
        <v/>
      </c>
      <c r="E400" t="str">
        <f t="array" ref="E400">IFERROR(INDEX('Player Raw Data'!F:F,Match($A400,'Player Raw Data'!$B:$B,0)),"")</f>
        <v/>
      </c>
      <c r="F400" t="str">
        <f t="array" ref="F400">IFERROR(INDEX('Player Raw Data'!H:H,Match($A400,'Player Raw Data'!$B:$B,0)),"")</f>
        <v/>
      </c>
      <c r="G400" t="str">
        <f t="array" ref="G400">IFERROR(INDEX('Player Raw Data'!I:I,Match($A400,'Player Raw Data'!$B:$B,0)),"")</f>
        <v/>
      </c>
      <c r="H400" t="str">
        <f t="array" ref="H400">IFERROR(INDEX('Player Raw Data'!J:J,Match($A400,'Player Raw Data'!$B:$B,0)),"")</f>
        <v/>
      </c>
      <c r="I400" t="str">
        <f t="array" ref="I400">IFERROR(INDEX('Player Raw Data'!S:S,Match($A400,'Player Raw Data'!$B:$B,0)),"")</f>
        <v/>
      </c>
      <c r="J400" t="str">
        <f t="array" ref="J400">IFERROR(INDEX('Player Raw Data'!T:T,Match($A400,'Player Raw Data'!$B:$B,0)),"")</f>
        <v/>
      </c>
      <c r="K400" t="str">
        <f t="array" ref="K400">IFERROR(INDEX('Player Raw Data'!X:X,Match($A400,'Player Raw Data'!$B:$B,0)),"")</f>
        <v/>
      </c>
      <c r="L400" t="str">
        <f t="array" ref="L400">IFERROR(INDEX('Player Raw Data'!Y:Y,Match($A400,'Player Raw Data'!$B:$B,0)),"")</f>
        <v/>
      </c>
      <c r="M400" t="str">
        <f t="array" ref="M400">IFERROR(INDEX('Player Raw Data'!Z:Z,Match($A400,'Player Raw Data'!$B:$B,0)),"")</f>
        <v/>
      </c>
      <c r="N400" t="str">
        <f t="array" ref="N400">IFERROR(INDEX('Player Raw Data'!AA:AA,Match($A400,'Player Raw Data'!$B:$B,0)),"")</f>
        <v/>
      </c>
      <c r="O400" t="str">
        <f t="array" ref="O400">IFERROR(INDEX('Player Raw Data'!AB:AB,Match($A400,'Player Raw Data'!$B:$B,0)),"")</f>
        <v/>
      </c>
      <c r="P400" t="str">
        <f t="array" ref="P400">IFERROR(INDEX('Player Raw Data'!AD:AD,Match($A400,'Player Raw Data'!$B:$B,0)),"")</f>
        <v/>
      </c>
      <c r="Q400">
        <f t="shared" si="1"/>
        <v>0</v>
      </c>
      <c r="R400" s="9">
        <f t="shared" si="2"/>
        <v>0</v>
      </c>
      <c r="S400" s="14">
        <f t="shared" si="3"/>
        <v>0</v>
      </c>
      <c r="T400" s="15">
        <f>IFERROR(__xludf.DUMMYFUNCTION("IFERROR(PERCENTRANK.INC(FILTER(Q:Q,$F:$F&lt;&gt;""""),Q400)*100,"""")"),1.5)</f>
        <v>1.5</v>
      </c>
      <c r="U400" s="15">
        <f>IFERROR(__xludf.DUMMYFUNCTION("IFERROR(PERCENTRANK.INC(FILTER(R:R,$F:$F&lt;&gt;""""),R400)*100,"""")"),1.5)</f>
        <v>1.5</v>
      </c>
      <c r="V400" s="15">
        <f>IFERROR(__xludf.DUMMYFUNCTION("IFERROR(PERCENTRANK.INC(FILTER(S:S,$F:$F&lt;&gt;""""),S400)*100,"""")"),1.5)</f>
        <v>1.5</v>
      </c>
      <c r="W400" s="15" t="str">
        <f t="shared" si="4"/>
        <v/>
      </c>
      <c r="X400" s="16"/>
      <c r="Y400" s="9"/>
      <c r="Z400" s="9"/>
    </row>
    <row r="401">
      <c r="B401" t="str">
        <f t="array" ref="B401">IFERROR(INDEX('Player Raw Data'!E:E,Match($A401,'Player Raw Data'!$B:$B,0)),"")</f>
        <v/>
      </c>
      <c r="C401" t="str">
        <f t="array" ref="C401">IFERROR(INDEX('Player Raw Data'!C:C,Match($A401,'Player Raw Data'!$B:$B,0)),"")</f>
        <v/>
      </c>
      <c r="D401" t="str">
        <f t="array" ref="D401">IFERROR(IF(A401=A400, INDEX('Player Raw Data'!D:D,Match($A401,'Player Raw Data'!$B:$B,0)+2),INDEX('Player Raw Data'!D:D,Match($A401,'Player Raw Data'!$B:$B,0))),"")</f>
        <v/>
      </c>
      <c r="E401" t="str">
        <f t="array" ref="E401">IFERROR(INDEX('Player Raw Data'!F:F,Match($A401,'Player Raw Data'!$B:$B,0)),"")</f>
        <v/>
      </c>
      <c r="F401" t="str">
        <f t="array" ref="F401">IFERROR(INDEX('Player Raw Data'!H:H,Match($A401,'Player Raw Data'!$B:$B,0)),"")</f>
        <v/>
      </c>
      <c r="G401" t="str">
        <f t="array" ref="G401">IFERROR(INDEX('Player Raw Data'!I:I,Match($A401,'Player Raw Data'!$B:$B,0)),"")</f>
        <v/>
      </c>
      <c r="H401" t="str">
        <f t="array" ref="H401">IFERROR(INDEX('Player Raw Data'!J:J,Match($A401,'Player Raw Data'!$B:$B,0)),"")</f>
        <v/>
      </c>
      <c r="I401" t="str">
        <f t="array" ref="I401">IFERROR(INDEX('Player Raw Data'!S:S,Match($A401,'Player Raw Data'!$B:$B,0)),"")</f>
        <v/>
      </c>
      <c r="J401" t="str">
        <f t="array" ref="J401">IFERROR(INDEX('Player Raw Data'!T:T,Match($A401,'Player Raw Data'!$B:$B,0)),"")</f>
        <v/>
      </c>
      <c r="K401" t="str">
        <f t="array" ref="K401">IFERROR(INDEX('Player Raw Data'!X:X,Match($A401,'Player Raw Data'!$B:$B,0)),"")</f>
        <v/>
      </c>
      <c r="L401" t="str">
        <f t="array" ref="L401">IFERROR(INDEX('Player Raw Data'!Y:Y,Match($A401,'Player Raw Data'!$B:$B,0)),"")</f>
        <v/>
      </c>
      <c r="M401" t="str">
        <f t="array" ref="M401">IFERROR(INDEX('Player Raw Data'!Z:Z,Match($A401,'Player Raw Data'!$B:$B,0)),"")</f>
        <v/>
      </c>
      <c r="N401" t="str">
        <f t="array" ref="N401">IFERROR(INDEX('Player Raw Data'!AA:AA,Match($A401,'Player Raw Data'!$B:$B,0)),"")</f>
        <v/>
      </c>
      <c r="O401" t="str">
        <f t="array" ref="O401">IFERROR(INDEX('Player Raw Data'!AB:AB,Match($A401,'Player Raw Data'!$B:$B,0)),"")</f>
        <v/>
      </c>
      <c r="P401" t="str">
        <f t="array" ref="P401">IFERROR(INDEX('Player Raw Data'!AD:AD,Match($A401,'Player Raw Data'!$B:$B,0)),"")</f>
        <v/>
      </c>
      <c r="Q401">
        <f t="shared" si="1"/>
        <v>0</v>
      </c>
      <c r="R401" s="9">
        <f t="shared" si="2"/>
        <v>0</v>
      </c>
      <c r="S401" s="14">
        <f t="shared" si="3"/>
        <v>0</v>
      </c>
      <c r="T401" s="15">
        <f>IFERROR(__xludf.DUMMYFUNCTION("IFERROR(PERCENTRANK.INC(FILTER(Q:Q,$F:$F&lt;&gt;""""),Q401)*100,"""")"),1.5)</f>
        <v>1.5</v>
      </c>
      <c r="U401" s="15">
        <f>IFERROR(__xludf.DUMMYFUNCTION("IFERROR(PERCENTRANK.INC(FILTER(R:R,$F:$F&lt;&gt;""""),R401)*100,"""")"),1.5)</f>
        <v>1.5</v>
      </c>
      <c r="V401" s="15">
        <f>IFERROR(__xludf.DUMMYFUNCTION("IFERROR(PERCENTRANK.INC(FILTER(S:S,$F:$F&lt;&gt;""""),S401)*100,"""")"),1.5)</f>
        <v>1.5</v>
      </c>
      <c r="W401" s="15" t="str">
        <f t="shared" si="4"/>
        <v/>
      </c>
      <c r="X401" s="16"/>
      <c r="Y401" s="9"/>
      <c r="Z401" s="9"/>
    </row>
    <row r="402">
      <c r="B402" t="str">
        <f t="array" ref="B402">IFERROR(INDEX('Player Raw Data'!E:E,Match($A402,'Player Raw Data'!$B:$B,0)),"")</f>
        <v/>
      </c>
      <c r="C402" t="str">
        <f t="array" ref="C402">IFERROR(INDEX('Player Raw Data'!C:C,Match($A402,'Player Raw Data'!$B:$B,0)),"")</f>
        <v/>
      </c>
      <c r="D402" t="str">
        <f t="array" ref="D402">IFERROR(IF(A402=A401, INDEX('Player Raw Data'!D:D,Match($A402,'Player Raw Data'!$B:$B,0)+2),INDEX('Player Raw Data'!D:D,Match($A402,'Player Raw Data'!$B:$B,0))),"")</f>
        <v/>
      </c>
      <c r="E402" t="str">
        <f t="array" ref="E402">IFERROR(INDEX('Player Raw Data'!F:F,Match($A402,'Player Raw Data'!$B:$B,0)),"")</f>
        <v/>
      </c>
      <c r="F402" t="str">
        <f t="array" ref="F402">IFERROR(INDEX('Player Raw Data'!H:H,Match($A402,'Player Raw Data'!$B:$B,0)),"")</f>
        <v/>
      </c>
      <c r="G402" t="str">
        <f t="array" ref="G402">IFERROR(INDEX('Player Raw Data'!I:I,Match($A402,'Player Raw Data'!$B:$B,0)),"")</f>
        <v/>
      </c>
      <c r="H402" t="str">
        <f t="array" ref="H402">IFERROR(INDEX('Player Raw Data'!J:J,Match($A402,'Player Raw Data'!$B:$B,0)),"")</f>
        <v/>
      </c>
      <c r="I402" t="str">
        <f t="array" ref="I402">IFERROR(INDEX('Player Raw Data'!S:S,Match($A402,'Player Raw Data'!$B:$B,0)),"")</f>
        <v/>
      </c>
      <c r="J402" t="str">
        <f t="array" ref="J402">IFERROR(INDEX('Player Raw Data'!T:T,Match($A402,'Player Raw Data'!$B:$B,0)),"")</f>
        <v/>
      </c>
      <c r="K402" t="str">
        <f t="array" ref="K402">IFERROR(INDEX('Player Raw Data'!X:X,Match($A402,'Player Raw Data'!$B:$B,0)),"")</f>
        <v/>
      </c>
      <c r="L402" t="str">
        <f t="array" ref="L402">IFERROR(INDEX('Player Raw Data'!Y:Y,Match($A402,'Player Raw Data'!$B:$B,0)),"")</f>
        <v/>
      </c>
      <c r="M402" t="str">
        <f t="array" ref="M402">IFERROR(INDEX('Player Raw Data'!Z:Z,Match($A402,'Player Raw Data'!$B:$B,0)),"")</f>
        <v/>
      </c>
      <c r="N402" t="str">
        <f t="array" ref="N402">IFERROR(INDEX('Player Raw Data'!AA:AA,Match($A402,'Player Raw Data'!$B:$B,0)),"")</f>
        <v/>
      </c>
      <c r="O402" t="str">
        <f t="array" ref="O402">IFERROR(INDEX('Player Raw Data'!AB:AB,Match($A402,'Player Raw Data'!$B:$B,0)),"")</f>
        <v/>
      </c>
      <c r="P402" t="str">
        <f t="array" ref="P402">IFERROR(INDEX('Player Raw Data'!AD:AD,Match($A402,'Player Raw Data'!$B:$B,0)),"")</f>
        <v/>
      </c>
      <c r="Q402">
        <f t="shared" si="1"/>
        <v>0</v>
      </c>
      <c r="R402" s="9">
        <f t="shared" si="2"/>
        <v>0</v>
      </c>
      <c r="S402" s="14">
        <f t="shared" si="3"/>
        <v>0</v>
      </c>
      <c r="T402" s="15">
        <f>IFERROR(__xludf.DUMMYFUNCTION("IFERROR(PERCENTRANK.INC(FILTER(Q:Q,$F:$F&lt;&gt;""""),Q402)*100,"""")"),1.5)</f>
        <v>1.5</v>
      </c>
      <c r="U402" s="15">
        <f>IFERROR(__xludf.DUMMYFUNCTION("IFERROR(PERCENTRANK.INC(FILTER(R:R,$F:$F&lt;&gt;""""),R402)*100,"""")"),1.5)</f>
        <v>1.5</v>
      </c>
      <c r="V402" s="15">
        <f>IFERROR(__xludf.DUMMYFUNCTION("IFERROR(PERCENTRANK.INC(FILTER(S:S,$F:$F&lt;&gt;""""),S402)*100,"""")"),1.5)</f>
        <v>1.5</v>
      </c>
      <c r="W402" s="15" t="str">
        <f t="shared" si="4"/>
        <v/>
      </c>
      <c r="X402" s="16"/>
      <c r="Y402" s="9"/>
      <c r="Z402" s="9"/>
    </row>
    <row r="403">
      <c r="B403" t="str">
        <f t="array" ref="B403">IFERROR(INDEX('Player Raw Data'!E:E,Match($A403,'Player Raw Data'!$B:$B,0)),"")</f>
        <v/>
      </c>
      <c r="C403" t="str">
        <f t="array" ref="C403">IFERROR(INDEX('Player Raw Data'!C:C,Match($A403,'Player Raw Data'!$B:$B,0)),"")</f>
        <v/>
      </c>
      <c r="D403" t="str">
        <f t="array" ref="D403">IFERROR(IF(A403=A402, INDEX('Player Raw Data'!D:D,Match($A403,'Player Raw Data'!$B:$B,0)+2),INDEX('Player Raw Data'!D:D,Match($A403,'Player Raw Data'!$B:$B,0))),"")</f>
        <v/>
      </c>
      <c r="E403" t="str">
        <f t="array" ref="E403">IFERROR(INDEX('Player Raw Data'!F:F,Match($A403,'Player Raw Data'!$B:$B,0)),"")</f>
        <v/>
      </c>
      <c r="F403" t="str">
        <f t="array" ref="F403">IFERROR(INDEX('Player Raw Data'!H:H,Match($A403,'Player Raw Data'!$B:$B,0)),"")</f>
        <v/>
      </c>
      <c r="G403" t="str">
        <f t="array" ref="G403">IFERROR(INDEX('Player Raw Data'!I:I,Match($A403,'Player Raw Data'!$B:$B,0)),"")</f>
        <v/>
      </c>
      <c r="H403" t="str">
        <f t="array" ref="H403">IFERROR(INDEX('Player Raw Data'!J:J,Match($A403,'Player Raw Data'!$B:$B,0)),"")</f>
        <v/>
      </c>
      <c r="I403" t="str">
        <f t="array" ref="I403">IFERROR(INDEX('Player Raw Data'!S:S,Match($A403,'Player Raw Data'!$B:$B,0)),"")</f>
        <v/>
      </c>
      <c r="J403" t="str">
        <f t="array" ref="J403">IFERROR(INDEX('Player Raw Data'!T:T,Match($A403,'Player Raw Data'!$B:$B,0)),"")</f>
        <v/>
      </c>
      <c r="K403" t="str">
        <f t="array" ref="K403">IFERROR(INDEX('Player Raw Data'!X:X,Match($A403,'Player Raw Data'!$B:$B,0)),"")</f>
        <v/>
      </c>
      <c r="L403" t="str">
        <f t="array" ref="L403">IFERROR(INDEX('Player Raw Data'!Y:Y,Match($A403,'Player Raw Data'!$B:$B,0)),"")</f>
        <v/>
      </c>
      <c r="M403" t="str">
        <f t="array" ref="M403">IFERROR(INDEX('Player Raw Data'!Z:Z,Match($A403,'Player Raw Data'!$B:$B,0)),"")</f>
        <v/>
      </c>
      <c r="N403" t="str">
        <f t="array" ref="N403">IFERROR(INDEX('Player Raw Data'!AA:AA,Match($A403,'Player Raw Data'!$B:$B,0)),"")</f>
        <v/>
      </c>
      <c r="O403" t="str">
        <f t="array" ref="O403">IFERROR(INDEX('Player Raw Data'!AB:AB,Match($A403,'Player Raw Data'!$B:$B,0)),"")</f>
        <v/>
      </c>
      <c r="P403" t="str">
        <f t="array" ref="P403">IFERROR(INDEX('Player Raw Data'!AD:AD,Match($A403,'Player Raw Data'!$B:$B,0)),"")</f>
        <v/>
      </c>
      <c r="Q403">
        <f t="shared" si="1"/>
        <v>0</v>
      </c>
      <c r="R403" s="9">
        <f t="shared" si="2"/>
        <v>0</v>
      </c>
      <c r="S403" s="14">
        <f t="shared" si="3"/>
        <v>0</v>
      </c>
      <c r="T403" s="15">
        <f>IFERROR(__xludf.DUMMYFUNCTION("IFERROR(PERCENTRANK.INC(FILTER(Q:Q,$F:$F&lt;&gt;""""),Q403)*100,"""")"),1.5)</f>
        <v>1.5</v>
      </c>
      <c r="U403" s="15">
        <f>IFERROR(__xludf.DUMMYFUNCTION("IFERROR(PERCENTRANK.INC(FILTER(R:R,$F:$F&lt;&gt;""""),R403)*100,"""")"),1.5)</f>
        <v>1.5</v>
      </c>
      <c r="V403" s="15">
        <f>IFERROR(__xludf.DUMMYFUNCTION("IFERROR(PERCENTRANK.INC(FILTER(S:S,$F:$F&lt;&gt;""""),S403)*100,"""")"),1.5)</f>
        <v>1.5</v>
      </c>
      <c r="W403" s="15" t="str">
        <f t="shared" si="4"/>
        <v/>
      </c>
      <c r="X403" s="16"/>
      <c r="Y403" s="9"/>
      <c r="Z403" s="9"/>
    </row>
    <row r="404">
      <c r="B404" t="str">
        <f t="array" ref="B404">IFERROR(INDEX('Player Raw Data'!E:E,Match($A404,'Player Raw Data'!$B:$B,0)),"")</f>
        <v/>
      </c>
      <c r="C404" t="str">
        <f t="array" ref="C404">IFERROR(INDEX('Player Raw Data'!C:C,Match($A404,'Player Raw Data'!$B:$B,0)),"")</f>
        <v/>
      </c>
      <c r="D404" t="str">
        <f t="array" ref="D404">IFERROR(IF(A404=A403, INDEX('Player Raw Data'!D:D,Match($A404,'Player Raw Data'!$B:$B,0)+2),INDEX('Player Raw Data'!D:D,Match($A404,'Player Raw Data'!$B:$B,0))),"")</f>
        <v/>
      </c>
      <c r="E404" t="str">
        <f t="array" ref="E404">IFERROR(INDEX('Player Raw Data'!F:F,Match($A404,'Player Raw Data'!$B:$B,0)),"")</f>
        <v/>
      </c>
      <c r="F404" t="str">
        <f t="array" ref="F404">IFERROR(INDEX('Player Raw Data'!H:H,Match($A404,'Player Raw Data'!$B:$B,0)),"")</f>
        <v/>
      </c>
      <c r="G404" t="str">
        <f t="array" ref="G404">IFERROR(INDEX('Player Raw Data'!I:I,Match($A404,'Player Raw Data'!$B:$B,0)),"")</f>
        <v/>
      </c>
      <c r="H404" t="str">
        <f t="array" ref="H404">IFERROR(INDEX('Player Raw Data'!J:J,Match($A404,'Player Raw Data'!$B:$B,0)),"")</f>
        <v/>
      </c>
      <c r="I404" t="str">
        <f t="array" ref="I404">IFERROR(INDEX('Player Raw Data'!S:S,Match($A404,'Player Raw Data'!$B:$B,0)),"")</f>
        <v/>
      </c>
      <c r="J404" t="str">
        <f t="array" ref="J404">IFERROR(INDEX('Player Raw Data'!T:T,Match($A404,'Player Raw Data'!$B:$B,0)),"")</f>
        <v/>
      </c>
      <c r="K404" t="str">
        <f t="array" ref="K404">IFERROR(INDEX('Player Raw Data'!X:X,Match($A404,'Player Raw Data'!$B:$B,0)),"")</f>
        <v/>
      </c>
      <c r="L404" t="str">
        <f t="array" ref="L404">IFERROR(INDEX('Player Raw Data'!Y:Y,Match($A404,'Player Raw Data'!$B:$B,0)),"")</f>
        <v/>
      </c>
      <c r="M404" t="str">
        <f t="array" ref="M404">IFERROR(INDEX('Player Raw Data'!Z:Z,Match($A404,'Player Raw Data'!$B:$B,0)),"")</f>
        <v/>
      </c>
      <c r="N404" t="str">
        <f t="array" ref="N404">IFERROR(INDEX('Player Raw Data'!AA:AA,Match($A404,'Player Raw Data'!$B:$B,0)),"")</f>
        <v/>
      </c>
      <c r="O404" t="str">
        <f t="array" ref="O404">IFERROR(INDEX('Player Raw Data'!AB:AB,Match($A404,'Player Raw Data'!$B:$B,0)),"")</f>
        <v/>
      </c>
      <c r="P404" t="str">
        <f t="array" ref="P404">IFERROR(INDEX('Player Raw Data'!AD:AD,Match($A404,'Player Raw Data'!$B:$B,0)),"")</f>
        <v/>
      </c>
      <c r="Q404">
        <f t="shared" si="1"/>
        <v>0</v>
      </c>
      <c r="R404" s="9">
        <f t="shared" si="2"/>
        <v>0</v>
      </c>
      <c r="S404" s="14">
        <f t="shared" si="3"/>
        <v>0</v>
      </c>
      <c r="T404" s="15">
        <f>IFERROR(__xludf.DUMMYFUNCTION("IFERROR(PERCENTRANK.INC(FILTER(Q:Q,$F:$F&lt;&gt;""""),Q404)*100,"""")"),1.5)</f>
        <v>1.5</v>
      </c>
      <c r="U404" s="15">
        <f>IFERROR(__xludf.DUMMYFUNCTION("IFERROR(PERCENTRANK.INC(FILTER(R:R,$F:$F&lt;&gt;""""),R404)*100,"""")"),1.5)</f>
        <v>1.5</v>
      </c>
      <c r="V404" s="15">
        <f>IFERROR(__xludf.DUMMYFUNCTION("IFERROR(PERCENTRANK.INC(FILTER(S:S,$F:$F&lt;&gt;""""),S404)*100,"""")"),1.5)</f>
        <v>1.5</v>
      </c>
      <c r="W404" s="15" t="str">
        <f t="shared" si="4"/>
        <v/>
      </c>
      <c r="X404" s="16"/>
      <c r="Y404" s="9"/>
      <c r="Z404" s="9"/>
    </row>
    <row r="405">
      <c r="B405" t="str">
        <f t="array" ref="B405">IFERROR(INDEX('Player Raw Data'!E:E,Match($A405,'Player Raw Data'!$B:$B,0)),"")</f>
        <v/>
      </c>
      <c r="C405" t="str">
        <f t="array" ref="C405">IFERROR(INDEX('Player Raw Data'!C:C,Match($A405,'Player Raw Data'!$B:$B,0)),"")</f>
        <v/>
      </c>
      <c r="D405" t="str">
        <f t="array" ref="D405">IFERROR(IF(A405=A404, INDEX('Player Raw Data'!D:D,Match($A405,'Player Raw Data'!$B:$B,0)+2),INDEX('Player Raw Data'!D:D,Match($A405,'Player Raw Data'!$B:$B,0))),"")</f>
        <v/>
      </c>
      <c r="E405" t="str">
        <f t="array" ref="E405">IFERROR(INDEX('Player Raw Data'!F:F,Match($A405,'Player Raw Data'!$B:$B,0)),"")</f>
        <v/>
      </c>
      <c r="F405" t="str">
        <f t="array" ref="F405">IFERROR(INDEX('Player Raw Data'!H:H,Match($A405,'Player Raw Data'!$B:$B,0)),"")</f>
        <v/>
      </c>
      <c r="G405" t="str">
        <f t="array" ref="G405">IFERROR(INDEX('Player Raw Data'!I:I,Match($A405,'Player Raw Data'!$B:$B,0)),"")</f>
        <v/>
      </c>
      <c r="H405" t="str">
        <f t="array" ref="H405">IFERROR(INDEX('Player Raw Data'!J:J,Match($A405,'Player Raw Data'!$B:$B,0)),"")</f>
        <v/>
      </c>
      <c r="I405" t="str">
        <f t="array" ref="I405">IFERROR(INDEX('Player Raw Data'!S:S,Match($A405,'Player Raw Data'!$B:$B,0)),"")</f>
        <v/>
      </c>
      <c r="J405" t="str">
        <f t="array" ref="J405">IFERROR(INDEX('Player Raw Data'!T:T,Match($A405,'Player Raw Data'!$B:$B,0)),"")</f>
        <v/>
      </c>
      <c r="K405" t="str">
        <f t="array" ref="K405">IFERROR(INDEX('Player Raw Data'!X:X,Match($A405,'Player Raw Data'!$B:$B,0)),"")</f>
        <v/>
      </c>
      <c r="L405" t="str">
        <f t="array" ref="L405">IFERROR(INDEX('Player Raw Data'!Y:Y,Match($A405,'Player Raw Data'!$B:$B,0)),"")</f>
        <v/>
      </c>
      <c r="M405" t="str">
        <f t="array" ref="M405">IFERROR(INDEX('Player Raw Data'!Z:Z,Match($A405,'Player Raw Data'!$B:$B,0)),"")</f>
        <v/>
      </c>
      <c r="N405" t="str">
        <f t="array" ref="N405">IFERROR(INDEX('Player Raw Data'!AA:AA,Match($A405,'Player Raw Data'!$B:$B,0)),"")</f>
        <v/>
      </c>
      <c r="O405" t="str">
        <f t="array" ref="O405">IFERROR(INDEX('Player Raw Data'!AB:AB,Match($A405,'Player Raw Data'!$B:$B,0)),"")</f>
        <v/>
      </c>
      <c r="P405" t="str">
        <f t="array" ref="P405">IFERROR(INDEX('Player Raw Data'!AD:AD,Match($A405,'Player Raw Data'!$B:$B,0)),"")</f>
        <v/>
      </c>
      <c r="Q405">
        <f t="shared" si="1"/>
        <v>0</v>
      </c>
      <c r="R405" s="9">
        <f t="shared" si="2"/>
        <v>0</v>
      </c>
      <c r="S405" s="14">
        <f t="shared" si="3"/>
        <v>0</v>
      </c>
      <c r="T405" s="15">
        <f>IFERROR(__xludf.DUMMYFUNCTION("IFERROR(PERCENTRANK.INC(FILTER(Q:Q,$F:$F&lt;&gt;""""),Q405)*100,"""")"),1.5)</f>
        <v>1.5</v>
      </c>
      <c r="U405" s="15">
        <f>IFERROR(__xludf.DUMMYFUNCTION("IFERROR(PERCENTRANK.INC(FILTER(R:R,$F:$F&lt;&gt;""""),R405)*100,"""")"),1.5)</f>
        <v>1.5</v>
      </c>
      <c r="V405" s="15">
        <f>IFERROR(__xludf.DUMMYFUNCTION("IFERROR(PERCENTRANK.INC(FILTER(S:S,$F:$F&lt;&gt;""""),S405)*100,"""")"),1.5)</f>
        <v>1.5</v>
      </c>
      <c r="W405" s="15" t="str">
        <f t="shared" si="4"/>
        <v/>
      </c>
      <c r="X405" s="16"/>
      <c r="Y405" s="9"/>
      <c r="Z405" s="9"/>
    </row>
    <row r="406">
      <c r="B406" t="str">
        <f t="array" ref="B406">IFERROR(INDEX('Player Raw Data'!E:E,Match($A406,'Player Raw Data'!$B:$B,0)),"")</f>
        <v/>
      </c>
      <c r="C406" t="str">
        <f t="array" ref="C406">IFERROR(INDEX('Player Raw Data'!C:C,Match($A406,'Player Raw Data'!$B:$B,0)),"")</f>
        <v/>
      </c>
      <c r="D406" t="str">
        <f t="array" ref="D406">IFERROR(IF(A406=A405, INDEX('Player Raw Data'!D:D,Match($A406,'Player Raw Data'!$B:$B,0)+2),INDEX('Player Raw Data'!D:D,Match($A406,'Player Raw Data'!$B:$B,0))),"")</f>
        <v/>
      </c>
      <c r="E406" t="str">
        <f t="array" ref="E406">IFERROR(INDEX('Player Raw Data'!F:F,Match($A406,'Player Raw Data'!$B:$B,0)),"")</f>
        <v/>
      </c>
      <c r="F406" t="str">
        <f t="array" ref="F406">IFERROR(INDEX('Player Raw Data'!H:H,Match($A406,'Player Raw Data'!$B:$B,0)),"")</f>
        <v/>
      </c>
      <c r="G406" t="str">
        <f t="array" ref="G406">IFERROR(INDEX('Player Raw Data'!I:I,Match($A406,'Player Raw Data'!$B:$B,0)),"")</f>
        <v/>
      </c>
      <c r="H406" t="str">
        <f t="array" ref="H406">IFERROR(INDEX('Player Raw Data'!J:J,Match($A406,'Player Raw Data'!$B:$B,0)),"")</f>
        <v/>
      </c>
      <c r="I406" t="str">
        <f t="array" ref="I406">IFERROR(INDEX('Player Raw Data'!S:S,Match($A406,'Player Raw Data'!$B:$B,0)),"")</f>
        <v/>
      </c>
      <c r="J406" t="str">
        <f t="array" ref="J406">IFERROR(INDEX('Player Raw Data'!T:T,Match($A406,'Player Raw Data'!$B:$B,0)),"")</f>
        <v/>
      </c>
      <c r="K406" t="str">
        <f t="array" ref="K406">IFERROR(INDEX('Player Raw Data'!X:X,Match($A406,'Player Raw Data'!$B:$B,0)),"")</f>
        <v/>
      </c>
      <c r="L406" t="str">
        <f t="array" ref="L406">IFERROR(INDEX('Player Raw Data'!Y:Y,Match($A406,'Player Raw Data'!$B:$B,0)),"")</f>
        <v/>
      </c>
      <c r="M406" t="str">
        <f t="array" ref="M406">IFERROR(INDEX('Player Raw Data'!Z:Z,Match($A406,'Player Raw Data'!$B:$B,0)),"")</f>
        <v/>
      </c>
      <c r="N406" t="str">
        <f t="array" ref="N406">IFERROR(INDEX('Player Raw Data'!AA:AA,Match($A406,'Player Raw Data'!$B:$B,0)),"")</f>
        <v/>
      </c>
      <c r="O406" t="str">
        <f t="array" ref="O406">IFERROR(INDEX('Player Raw Data'!AB:AB,Match($A406,'Player Raw Data'!$B:$B,0)),"")</f>
        <v/>
      </c>
      <c r="P406" t="str">
        <f t="array" ref="P406">IFERROR(INDEX('Player Raw Data'!AD:AD,Match($A406,'Player Raw Data'!$B:$B,0)),"")</f>
        <v/>
      </c>
      <c r="Q406">
        <f t="shared" si="1"/>
        <v>0</v>
      </c>
      <c r="R406" s="9">
        <f t="shared" si="2"/>
        <v>0</v>
      </c>
      <c r="S406" s="14">
        <f t="shared" si="3"/>
        <v>0</v>
      </c>
      <c r="T406" s="15">
        <f>IFERROR(__xludf.DUMMYFUNCTION("IFERROR(PERCENTRANK.INC(FILTER(Q:Q,$F:$F&lt;&gt;""""),Q406)*100,"""")"),1.5)</f>
        <v>1.5</v>
      </c>
      <c r="U406" s="15">
        <f>IFERROR(__xludf.DUMMYFUNCTION("IFERROR(PERCENTRANK.INC(FILTER(R:R,$F:$F&lt;&gt;""""),R406)*100,"""")"),1.5)</f>
        <v>1.5</v>
      </c>
      <c r="V406" s="15">
        <f>IFERROR(__xludf.DUMMYFUNCTION("IFERROR(PERCENTRANK.INC(FILTER(S:S,$F:$F&lt;&gt;""""),S406)*100,"""")"),1.5)</f>
        <v>1.5</v>
      </c>
      <c r="W406" s="15" t="str">
        <f t="shared" si="4"/>
        <v/>
      </c>
      <c r="X406" s="16"/>
      <c r="Y406" s="9"/>
      <c r="Z406" s="9"/>
    </row>
    <row r="407">
      <c r="B407" t="str">
        <f t="array" ref="B407">IFERROR(INDEX('Player Raw Data'!E:E,Match($A407,'Player Raw Data'!$B:$B,0)),"")</f>
        <v/>
      </c>
      <c r="C407" t="str">
        <f t="array" ref="C407">IFERROR(INDEX('Player Raw Data'!C:C,Match($A407,'Player Raw Data'!$B:$B,0)),"")</f>
        <v/>
      </c>
      <c r="D407" t="str">
        <f t="array" ref="D407">IFERROR(IF(A407=A406, INDEX('Player Raw Data'!D:D,Match($A407,'Player Raw Data'!$B:$B,0)+2),INDEX('Player Raw Data'!D:D,Match($A407,'Player Raw Data'!$B:$B,0))),"")</f>
        <v/>
      </c>
      <c r="E407" t="str">
        <f t="array" ref="E407">IFERROR(INDEX('Player Raw Data'!F:F,Match($A407,'Player Raw Data'!$B:$B,0)),"")</f>
        <v/>
      </c>
      <c r="F407" t="str">
        <f t="array" ref="F407">IFERROR(INDEX('Player Raw Data'!H:H,Match($A407,'Player Raw Data'!$B:$B,0)),"")</f>
        <v/>
      </c>
      <c r="G407" t="str">
        <f t="array" ref="G407">IFERROR(INDEX('Player Raw Data'!I:I,Match($A407,'Player Raw Data'!$B:$B,0)),"")</f>
        <v/>
      </c>
      <c r="H407" t="str">
        <f t="array" ref="H407">IFERROR(INDEX('Player Raw Data'!J:J,Match($A407,'Player Raw Data'!$B:$B,0)),"")</f>
        <v/>
      </c>
      <c r="I407" t="str">
        <f t="array" ref="I407">IFERROR(INDEX('Player Raw Data'!S:S,Match($A407,'Player Raw Data'!$B:$B,0)),"")</f>
        <v/>
      </c>
      <c r="J407" t="str">
        <f t="array" ref="J407">IFERROR(INDEX('Player Raw Data'!T:T,Match($A407,'Player Raw Data'!$B:$B,0)),"")</f>
        <v/>
      </c>
      <c r="K407" t="str">
        <f t="array" ref="K407">IFERROR(INDEX('Player Raw Data'!X:X,Match($A407,'Player Raw Data'!$B:$B,0)),"")</f>
        <v/>
      </c>
      <c r="L407" t="str">
        <f t="array" ref="L407">IFERROR(INDEX('Player Raw Data'!Y:Y,Match($A407,'Player Raw Data'!$B:$B,0)),"")</f>
        <v/>
      </c>
      <c r="M407" t="str">
        <f t="array" ref="M407">IFERROR(INDEX('Player Raw Data'!Z:Z,Match($A407,'Player Raw Data'!$B:$B,0)),"")</f>
        <v/>
      </c>
      <c r="N407" t="str">
        <f t="array" ref="N407">IFERROR(INDEX('Player Raw Data'!AA:AA,Match($A407,'Player Raw Data'!$B:$B,0)),"")</f>
        <v/>
      </c>
      <c r="O407" t="str">
        <f t="array" ref="O407">IFERROR(INDEX('Player Raw Data'!AB:AB,Match($A407,'Player Raw Data'!$B:$B,0)),"")</f>
        <v/>
      </c>
      <c r="P407" t="str">
        <f t="array" ref="P407">IFERROR(INDEX('Player Raw Data'!AD:AD,Match($A407,'Player Raw Data'!$B:$B,0)),"")</f>
        <v/>
      </c>
      <c r="Q407">
        <f t="shared" si="1"/>
        <v>0</v>
      </c>
      <c r="R407" s="9">
        <f t="shared" si="2"/>
        <v>0</v>
      </c>
      <c r="S407" s="14">
        <f t="shared" si="3"/>
        <v>0</v>
      </c>
      <c r="T407" s="15">
        <f>IFERROR(__xludf.DUMMYFUNCTION("IFERROR(PERCENTRANK.INC(FILTER(Q:Q,$F:$F&lt;&gt;""""),Q407)*100,"""")"),1.5)</f>
        <v>1.5</v>
      </c>
      <c r="U407" s="15">
        <f>IFERROR(__xludf.DUMMYFUNCTION("IFERROR(PERCENTRANK.INC(FILTER(R:R,$F:$F&lt;&gt;""""),R407)*100,"""")"),1.5)</f>
        <v>1.5</v>
      </c>
      <c r="V407" s="15">
        <f>IFERROR(__xludf.DUMMYFUNCTION("IFERROR(PERCENTRANK.INC(FILTER(S:S,$F:$F&lt;&gt;""""),S407)*100,"""")"),1.5)</f>
        <v>1.5</v>
      </c>
      <c r="W407" s="15" t="str">
        <f t="shared" si="4"/>
        <v/>
      </c>
      <c r="X407" s="16"/>
      <c r="Y407" s="9"/>
      <c r="Z407" s="9"/>
    </row>
    <row r="408">
      <c r="B408" t="str">
        <f t="array" ref="B408">IFERROR(INDEX('Player Raw Data'!E:E,Match($A408,'Player Raw Data'!$B:$B,0)),"")</f>
        <v/>
      </c>
      <c r="C408" t="str">
        <f t="array" ref="C408">IFERROR(INDEX('Player Raw Data'!C:C,Match($A408,'Player Raw Data'!$B:$B,0)),"")</f>
        <v/>
      </c>
      <c r="D408" t="str">
        <f t="array" ref="D408">IFERROR(IF(A408=A407, INDEX('Player Raw Data'!D:D,Match($A408,'Player Raw Data'!$B:$B,0)+2),INDEX('Player Raw Data'!D:D,Match($A408,'Player Raw Data'!$B:$B,0))),"")</f>
        <v/>
      </c>
      <c r="E408" t="str">
        <f t="array" ref="E408">IFERROR(INDEX('Player Raw Data'!F:F,Match($A408,'Player Raw Data'!$B:$B,0)),"")</f>
        <v/>
      </c>
      <c r="F408" t="str">
        <f t="array" ref="F408">IFERROR(INDEX('Player Raw Data'!H:H,Match($A408,'Player Raw Data'!$B:$B,0)),"")</f>
        <v/>
      </c>
      <c r="G408" t="str">
        <f t="array" ref="G408">IFERROR(INDEX('Player Raw Data'!I:I,Match($A408,'Player Raw Data'!$B:$B,0)),"")</f>
        <v/>
      </c>
      <c r="H408" t="str">
        <f t="array" ref="H408">IFERROR(INDEX('Player Raw Data'!J:J,Match($A408,'Player Raw Data'!$B:$B,0)),"")</f>
        <v/>
      </c>
      <c r="I408" t="str">
        <f t="array" ref="I408">IFERROR(INDEX('Player Raw Data'!S:S,Match($A408,'Player Raw Data'!$B:$B,0)),"")</f>
        <v/>
      </c>
      <c r="J408" t="str">
        <f t="array" ref="J408">IFERROR(INDEX('Player Raw Data'!T:T,Match($A408,'Player Raw Data'!$B:$B,0)),"")</f>
        <v/>
      </c>
      <c r="K408" t="str">
        <f t="array" ref="K408">IFERROR(INDEX('Player Raw Data'!X:X,Match($A408,'Player Raw Data'!$B:$B,0)),"")</f>
        <v/>
      </c>
      <c r="L408" t="str">
        <f t="array" ref="L408">IFERROR(INDEX('Player Raw Data'!Y:Y,Match($A408,'Player Raw Data'!$B:$B,0)),"")</f>
        <v/>
      </c>
      <c r="M408" t="str">
        <f t="array" ref="M408">IFERROR(INDEX('Player Raw Data'!Z:Z,Match($A408,'Player Raw Data'!$B:$B,0)),"")</f>
        <v/>
      </c>
      <c r="N408" t="str">
        <f t="array" ref="N408">IFERROR(INDEX('Player Raw Data'!AA:AA,Match($A408,'Player Raw Data'!$B:$B,0)),"")</f>
        <v/>
      </c>
      <c r="O408" t="str">
        <f t="array" ref="O408">IFERROR(INDEX('Player Raw Data'!AB:AB,Match($A408,'Player Raw Data'!$B:$B,0)),"")</f>
        <v/>
      </c>
      <c r="P408" t="str">
        <f t="array" ref="P408">IFERROR(INDEX('Player Raw Data'!AD:AD,Match($A408,'Player Raw Data'!$B:$B,0)),"")</f>
        <v/>
      </c>
      <c r="Q408">
        <f t="shared" si="1"/>
        <v>0</v>
      </c>
      <c r="R408" s="9">
        <f t="shared" si="2"/>
        <v>0</v>
      </c>
      <c r="S408" s="14">
        <f t="shared" si="3"/>
        <v>0</v>
      </c>
      <c r="T408" s="15">
        <f>IFERROR(__xludf.DUMMYFUNCTION("IFERROR(PERCENTRANK.INC(FILTER(Q:Q,$F:$F&lt;&gt;""""),Q408)*100,"""")"),1.5)</f>
        <v>1.5</v>
      </c>
      <c r="U408" s="15">
        <f>IFERROR(__xludf.DUMMYFUNCTION("IFERROR(PERCENTRANK.INC(FILTER(R:R,$F:$F&lt;&gt;""""),R408)*100,"""")"),1.5)</f>
        <v>1.5</v>
      </c>
      <c r="V408" s="15">
        <f>IFERROR(__xludf.DUMMYFUNCTION("IFERROR(PERCENTRANK.INC(FILTER(S:S,$F:$F&lt;&gt;""""),S408)*100,"""")"),1.5)</f>
        <v>1.5</v>
      </c>
      <c r="W408" s="15" t="str">
        <f t="shared" si="4"/>
        <v/>
      </c>
      <c r="X408" s="16"/>
      <c r="Y408" s="9"/>
      <c r="Z408" s="9"/>
    </row>
    <row r="409">
      <c r="B409" t="str">
        <f t="array" ref="B409">IFERROR(INDEX('Player Raw Data'!E:E,Match($A409,'Player Raw Data'!$B:$B,0)),"")</f>
        <v/>
      </c>
      <c r="C409" t="str">
        <f t="array" ref="C409">IFERROR(INDEX('Player Raw Data'!C:C,Match($A409,'Player Raw Data'!$B:$B,0)),"")</f>
        <v/>
      </c>
      <c r="D409" t="str">
        <f t="array" ref="D409">IFERROR(IF(A409=A408, INDEX('Player Raw Data'!D:D,Match($A409,'Player Raw Data'!$B:$B,0)+2),INDEX('Player Raw Data'!D:D,Match($A409,'Player Raw Data'!$B:$B,0))),"")</f>
        <v/>
      </c>
      <c r="E409" t="str">
        <f t="array" ref="E409">IFERROR(INDEX('Player Raw Data'!F:F,Match($A409,'Player Raw Data'!$B:$B,0)),"")</f>
        <v/>
      </c>
      <c r="F409" t="str">
        <f t="array" ref="F409">IFERROR(INDEX('Player Raw Data'!H:H,Match($A409,'Player Raw Data'!$B:$B,0)),"")</f>
        <v/>
      </c>
      <c r="G409" t="str">
        <f t="array" ref="G409">IFERROR(INDEX('Player Raw Data'!I:I,Match($A409,'Player Raw Data'!$B:$B,0)),"")</f>
        <v/>
      </c>
      <c r="H409" t="str">
        <f t="array" ref="H409">IFERROR(INDEX('Player Raw Data'!J:J,Match($A409,'Player Raw Data'!$B:$B,0)),"")</f>
        <v/>
      </c>
      <c r="I409" t="str">
        <f t="array" ref="I409">IFERROR(INDEX('Player Raw Data'!S:S,Match($A409,'Player Raw Data'!$B:$B,0)),"")</f>
        <v/>
      </c>
      <c r="J409" t="str">
        <f t="array" ref="J409">IFERROR(INDEX('Player Raw Data'!T:T,Match($A409,'Player Raw Data'!$B:$B,0)),"")</f>
        <v/>
      </c>
      <c r="K409" t="str">
        <f t="array" ref="K409">IFERROR(INDEX('Player Raw Data'!X:X,Match($A409,'Player Raw Data'!$B:$B,0)),"")</f>
        <v/>
      </c>
      <c r="L409" t="str">
        <f t="array" ref="L409">IFERROR(INDEX('Player Raw Data'!Y:Y,Match($A409,'Player Raw Data'!$B:$B,0)),"")</f>
        <v/>
      </c>
      <c r="M409" t="str">
        <f t="array" ref="M409">IFERROR(INDEX('Player Raw Data'!Z:Z,Match($A409,'Player Raw Data'!$B:$B,0)),"")</f>
        <v/>
      </c>
      <c r="N409" t="str">
        <f t="array" ref="N409">IFERROR(INDEX('Player Raw Data'!AA:AA,Match($A409,'Player Raw Data'!$B:$B,0)),"")</f>
        <v/>
      </c>
      <c r="O409" t="str">
        <f t="array" ref="O409">IFERROR(INDEX('Player Raw Data'!AB:AB,Match($A409,'Player Raw Data'!$B:$B,0)),"")</f>
        <v/>
      </c>
      <c r="P409" t="str">
        <f t="array" ref="P409">IFERROR(INDEX('Player Raw Data'!AD:AD,Match($A409,'Player Raw Data'!$B:$B,0)),"")</f>
        <v/>
      </c>
      <c r="Q409">
        <f t="shared" si="1"/>
        <v>0</v>
      </c>
      <c r="R409" s="9">
        <f t="shared" si="2"/>
        <v>0</v>
      </c>
      <c r="S409" s="14">
        <f t="shared" si="3"/>
        <v>0</v>
      </c>
      <c r="T409" s="15">
        <f>IFERROR(__xludf.DUMMYFUNCTION("IFERROR(PERCENTRANK.INC(FILTER(Q:Q,$F:$F&lt;&gt;""""),Q409)*100,"""")"),1.5)</f>
        <v>1.5</v>
      </c>
      <c r="U409" s="15">
        <f>IFERROR(__xludf.DUMMYFUNCTION("IFERROR(PERCENTRANK.INC(FILTER(R:R,$F:$F&lt;&gt;""""),R409)*100,"""")"),1.5)</f>
        <v>1.5</v>
      </c>
      <c r="V409" s="15">
        <f>IFERROR(__xludf.DUMMYFUNCTION("IFERROR(PERCENTRANK.INC(FILTER(S:S,$F:$F&lt;&gt;""""),S409)*100,"""")"),1.5)</f>
        <v>1.5</v>
      </c>
      <c r="W409" s="15" t="str">
        <f t="shared" si="4"/>
        <v/>
      </c>
      <c r="X409" s="16"/>
      <c r="Y409" s="9"/>
      <c r="Z409" s="9"/>
    </row>
    <row r="410">
      <c r="B410" t="str">
        <f t="array" ref="B410">IFERROR(INDEX('Player Raw Data'!E:E,Match($A410,'Player Raw Data'!$B:$B,0)),"")</f>
        <v/>
      </c>
      <c r="C410" t="str">
        <f t="array" ref="C410">IFERROR(INDEX('Player Raw Data'!C:C,Match($A410,'Player Raw Data'!$B:$B,0)),"")</f>
        <v/>
      </c>
      <c r="D410" t="str">
        <f t="array" ref="D410">IFERROR(IF(A410=A409, INDEX('Player Raw Data'!D:D,Match($A410,'Player Raw Data'!$B:$B,0)+2),INDEX('Player Raw Data'!D:D,Match($A410,'Player Raw Data'!$B:$B,0))),"")</f>
        <v/>
      </c>
      <c r="E410" t="str">
        <f t="array" ref="E410">IFERROR(INDEX('Player Raw Data'!F:F,Match($A410,'Player Raw Data'!$B:$B,0)),"")</f>
        <v/>
      </c>
      <c r="F410" t="str">
        <f t="array" ref="F410">IFERROR(INDEX('Player Raw Data'!H:H,Match($A410,'Player Raw Data'!$B:$B,0)),"")</f>
        <v/>
      </c>
      <c r="G410" t="str">
        <f t="array" ref="G410">IFERROR(INDEX('Player Raw Data'!I:I,Match($A410,'Player Raw Data'!$B:$B,0)),"")</f>
        <v/>
      </c>
      <c r="H410" t="str">
        <f t="array" ref="H410">IFERROR(INDEX('Player Raw Data'!J:J,Match($A410,'Player Raw Data'!$B:$B,0)),"")</f>
        <v/>
      </c>
      <c r="I410" t="str">
        <f t="array" ref="I410">IFERROR(INDEX('Player Raw Data'!S:S,Match($A410,'Player Raw Data'!$B:$B,0)),"")</f>
        <v/>
      </c>
      <c r="J410" t="str">
        <f t="array" ref="J410">IFERROR(INDEX('Player Raw Data'!T:T,Match($A410,'Player Raw Data'!$B:$B,0)),"")</f>
        <v/>
      </c>
      <c r="K410" t="str">
        <f t="array" ref="K410">IFERROR(INDEX('Player Raw Data'!X:X,Match($A410,'Player Raw Data'!$B:$B,0)),"")</f>
        <v/>
      </c>
      <c r="L410" t="str">
        <f t="array" ref="L410">IFERROR(INDEX('Player Raw Data'!Y:Y,Match($A410,'Player Raw Data'!$B:$B,0)),"")</f>
        <v/>
      </c>
      <c r="M410" t="str">
        <f t="array" ref="M410">IFERROR(INDEX('Player Raw Data'!Z:Z,Match($A410,'Player Raw Data'!$B:$B,0)),"")</f>
        <v/>
      </c>
      <c r="N410" t="str">
        <f t="array" ref="N410">IFERROR(INDEX('Player Raw Data'!AA:AA,Match($A410,'Player Raw Data'!$B:$B,0)),"")</f>
        <v/>
      </c>
      <c r="O410" t="str">
        <f t="array" ref="O410">IFERROR(INDEX('Player Raw Data'!AB:AB,Match($A410,'Player Raw Data'!$B:$B,0)),"")</f>
        <v/>
      </c>
      <c r="P410" t="str">
        <f t="array" ref="P410">IFERROR(INDEX('Player Raw Data'!AD:AD,Match($A410,'Player Raw Data'!$B:$B,0)),"")</f>
        <v/>
      </c>
      <c r="Q410">
        <f t="shared" si="1"/>
        <v>0</v>
      </c>
      <c r="R410" s="9">
        <f t="shared" si="2"/>
        <v>0</v>
      </c>
      <c r="S410" s="14">
        <f t="shared" si="3"/>
        <v>0</v>
      </c>
      <c r="T410" s="15">
        <f>IFERROR(__xludf.DUMMYFUNCTION("IFERROR(PERCENTRANK.INC(FILTER(Q:Q,$F:$F&lt;&gt;""""),Q410)*100,"""")"),1.5)</f>
        <v>1.5</v>
      </c>
      <c r="U410" s="15">
        <f>IFERROR(__xludf.DUMMYFUNCTION("IFERROR(PERCENTRANK.INC(FILTER(R:R,$F:$F&lt;&gt;""""),R410)*100,"""")"),1.5)</f>
        <v>1.5</v>
      </c>
      <c r="V410" s="15">
        <f>IFERROR(__xludf.DUMMYFUNCTION("IFERROR(PERCENTRANK.INC(FILTER(S:S,$F:$F&lt;&gt;""""),S410)*100,"""")"),1.5)</f>
        <v>1.5</v>
      </c>
      <c r="W410" s="15" t="str">
        <f t="shared" si="4"/>
        <v/>
      </c>
      <c r="X410" s="16"/>
      <c r="Y410" s="9"/>
      <c r="Z410" s="9"/>
    </row>
    <row r="411">
      <c r="B411" t="str">
        <f t="array" ref="B411">IFERROR(INDEX('Player Raw Data'!E:E,Match($A411,'Player Raw Data'!$B:$B,0)),"")</f>
        <v/>
      </c>
      <c r="C411" t="str">
        <f t="array" ref="C411">IFERROR(INDEX('Player Raw Data'!C:C,Match($A411,'Player Raw Data'!$B:$B,0)),"")</f>
        <v/>
      </c>
      <c r="D411" t="str">
        <f t="array" ref="D411">IFERROR(IF(A411=A410, INDEX('Player Raw Data'!D:D,Match($A411,'Player Raw Data'!$B:$B,0)+2),INDEX('Player Raw Data'!D:D,Match($A411,'Player Raw Data'!$B:$B,0))),"")</f>
        <v/>
      </c>
      <c r="E411" t="str">
        <f t="array" ref="E411">IFERROR(INDEX('Player Raw Data'!F:F,Match($A411,'Player Raw Data'!$B:$B,0)),"")</f>
        <v/>
      </c>
      <c r="F411" t="str">
        <f t="array" ref="F411">IFERROR(INDEX('Player Raw Data'!H:H,Match($A411,'Player Raw Data'!$B:$B,0)),"")</f>
        <v/>
      </c>
      <c r="G411" t="str">
        <f t="array" ref="G411">IFERROR(INDEX('Player Raw Data'!I:I,Match($A411,'Player Raw Data'!$B:$B,0)),"")</f>
        <v/>
      </c>
      <c r="H411" t="str">
        <f t="array" ref="H411">IFERROR(INDEX('Player Raw Data'!J:J,Match($A411,'Player Raw Data'!$B:$B,0)),"")</f>
        <v/>
      </c>
      <c r="I411" t="str">
        <f t="array" ref="I411">IFERROR(INDEX('Player Raw Data'!S:S,Match($A411,'Player Raw Data'!$B:$B,0)),"")</f>
        <v/>
      </c>
      <c r="J411" t="str">
        <f t="array" ref="J411">IFERROR(INDEX('Player Raw Data'!T:T,Match($A411,'Player Raw Data'!$B:$B,0)),"")</f>
        <v/>
      </c>
      <c r="K411" t="str">
        <f t="array" ref="K411">IFERROR(INDEX('Player Raw Data'!X:X,Match($A411,'Player Raw Data'!$B:$B,0)),"")</f>
        <v/>
      </c>
      <c r="L411" t="str">
        <f t="array" ref="L411">IFERROR(INDEX('Player Raw Data'!Y:Y,Match($A411,'Player Raw Data'!$B:$B,0)),"")</f>
        <v/>
      </c>
      <c r="M411" t="str">
        <f t="array" ref="M411">IFERROR(INDEX('Player Raw Data'!Z:Z,Match($A411,'Player Raw Data'!$B:$B,0)),"")</f>
        <v/>
      </c>
      <c r="N411" t="str">
        <f t="array" ref="N411">IFERROR(INDEX('Player Raw Data'!AA:AA,Match($A411,'Player Raw Data'!$B:$B,0)),"")</f>
        <v/>
      </c>
      <c r="O411" t="str">
        <f t="array" ref="O411">IFERROR(INDEX('Player Raw Data'!AB:AB,Match($A411,'Player Raw Data'!$B:$B,0)),"")</f>
        <v/>
      </c>
      <c r="P411" t="str">
        <f t="array" ref="P411">IFERROR(INDEX('Player Raw Data'!AD:AD,Match($A411,'Player Raw Data'!$B:$B,0)),"")</f>
        <v/>
      </c>
      <c r="Q411">
        <f t="shared" si="1"/>
        <v>0</v>
      </c>
      <c r="R411" s="9">
        <f t="shared" si="2"/>
        <v>0</v>
      </c>
      <c r="S411" s="14">
        <f t="shared" si="3"/>
        <v>0</v>
      </c>
      <c r="T411" s="15">
        <f>IFERROR(__xludf.DUMMYFUNCTION("IFERROR(PERCENTRANK.INC(FILTER(Q:Q,$F:$F&lt;&gt;""""),Q411)*100,"""")"),1.5)</f>
        <v>1.5</v>
      </c>
      <c r="U411" s="15">
        <f>IFERROR(__xludf.DUMMYFUNCTION("IFERROR(PERCENTRANK.INC(FILTER(R:R,$F:$F&lt;&gt;""""),R411)*100,"""")"),1.5)</f>
        <v>1.5</v>
      </c>
      <c r="V411" s="15">
        <f>IFERROR(__xludf.DUMMYFUNCTION("IFERROR(PERCENTRANK.INC(FILTER(S:S,$F:$F&lt;&gt;""""),S411)*100,"""")"),1.5)</f>
        <v>1.5</v>
      </c>
      <c r="W411" s="15" t="str">
        <f t="shared" si="4"/>
        <v/>
      </c>
      <c r="X411" s="16"/>
      <c r="Y411" s="9"/>
      <c r="Z411" s="9"/>
    </row>
    <row r="412">
      <c r="B412" t="str">
        <f t="array" ref="B412">IFERROR(INDEX('Player Raw Data'!E:E,Match($A412,'Player Raw Data'!$B:$B,0)),"")</f>
        <v/>
      </c>
      <c r="C412" t="str">
        <f t="array" ref="C412">IFERROR(INDEX('Player Raw Data'!C:C,Match($A412,'Player Raw Data'!$B:$B,0)),"")</f>
        <v/>
      </c>
      <c r="D412" t="str">
        <f t="array" ref="D412">IFERROR(IF(A412=A411, INDEX('Player Raw Data'!D:D,Match($A412,'Player Raw Data'!$B:$B,0)+2),INDEX('Player Raw Data'!D:D,Match($A412,'Player Raw Data'!$B:$B,0))),"")</f>
        <v/>
      </c>
      <c r="E412" t="str">
        <f t="array" ref="E412">IFERROR(INDEX('Player Raw Data'!F:F,Match($A412,'Player Raw Data'!$B:$B,0)),"")</f>
        <v/>
      </c>
      <c r="F412" t="str">
        <f t="array" ref="F412">IFERROR(INDEX('Player Raw Data'!H:H,Match($A412,'Player Raw Data'!$B:$B,0)),"")</f>
        <v/>
      </c>
      <c r="G412" t="str">
        <f t="array" ref="G412">IFERROR(INDEX('Player Raw Data'!I:I,Match($A412,'Player Raw Data'!$B:$B,0)),"")</f>
        <v/>
      </c>
      <c r="H412" t="str">
        <f t="array" ref="H412">IFERROR(INDEX('Player Raw Data'!J:J,Match($A412,'Player Raw Data'!$B:$B,0)),"")</f>
        <v/>
      </c>
      <c r="I412" t="str">
        <f t="array" ref="I412">IFERROR(INDEX('Player Raw Data'!S:S,Match($A412,'Player Raw Data'!$B:$B,0)),"")</f>
        <v/>
      </c>
      <c r="J412" t="str">
        <f t="array" ref="J412">IFERROR(INDEX('Player Raw Data'!T:T,Match($A412,'Player Raw Data'!$B:$B,0)),"")</f>
        <v/>
      </c>
      <c r="K412" t="str">
        <f t="array" ref="K412">IFERROR(INDEX('Player Raw Data'!X:X,Match($A412,'Player Raw Data'!$B:$B,0)),"")</f>
        <v/>
      </c>
      <c r="L412" t="str">
        <f t="array" ref="L412">IFERROR(INDEX('Player Raw Data'!Y:Y,Match($A412,'Player Raw Data'!$B:$B,0)),"")</f>
        <v/>
      </c>
      <c r="M412" t="str">
        <f t="array" ref="M412">IFERROR(INDEX('Player Raw Data'!Z:Z,Match($A412,'Player Raw Data'!$B:$B,0)),"")</f>
        <v/>
      </c>
      <c r="N412" t="str">
        <f t="array" ref="N412">IFERROR(INDEX('Player Raw Data'!AA:AA,Match($A412,'Player Raw Data'!$B:$B,0)),"")</f>
        <v/>
      </c>
      <c r="O412" t="str">
        <f t="array" ref="O412">IFERROR(INDEX('Player Raw Data'!AB:AB,Match($A412,'Player Raw Data'!$B:$B,0)),"")</f>
        <v/>
      </c>
      <c r="P412" t="str">
        <f t="array" ref="P412">IFERROR(INDEX('Player Raw Data'!AD:AD,Match($A412,'Player Raw Data'!$B:$B,0)),"")</f>
        <v/>
      </c>
      <c r="Q412">
        <f t="shared" si="1"/>
        <v>0</v>
      </c>
      <c r="R412" s="9">
        <f t="shared" si="2"/>
        <v>0</v>
      </c>
      <c r="S412" s="14">
        <f t="shared" si="3"/>
        <v>0</v>
      </c>
      <c r="T412" s="15">
        <f>IFERROR(__xludf.DUMMYFUNCTION("IFERROR(PERCENTRANK.INC(FILTER(Q:Q,$F:$F&lt;&gt;""""),Q412)*100,"""")"),1.5)</f>
        <v>1.5</v>
      </c>
      <c r="U412" s="15">
        <f>IFERROR(__xludf.DUMMYFUNCTION("IFERROR(PERCENTRANK.INC(FILTER(R:R,$F:$F&lt;&gt;""""),R412)*100,"""")"),1.5)</f>
        <v>1.5</v>
      </c>
      <c r="V412" s="15">
        <f>IFERROR(__xludf.DUMMYFUNCTION("IFERROR(PERCENTRANK.INC(FILTER(S:S,$F:$F&lt;&gt;""""),S412)*100,"""")"),1.5)</f>
        <v>1.5</v>
      </c>
      <c r="W412" s="15" t="str">
        <f t="shared" si="4"/>
        <v/>
      </c>
      <c r="X412" s="16"/>
      <c r="Y412" s="9"/>
      <c r="Z412" s="9"/>
    </row>
    <row r="413">
      <c r="B413" t="str">
        <f t="array" ref="B413">IFERROR(INDEX('Player Raw Data'!E:E,Match($A413,'Player Raw Data'!$B:$B,0)),"")</f>
        <v/>
      </c>
      <c r="C413" t="str">
        <f t="array" ref="C413">IFERROR(INDEX('Player Raw Data'!C:C,Match($A413,'Player Raw Data'!$B:$B,0)),"")</f>
        <v/>
      </c>
      <c r="D413" t="str">
        <f t="array" ref="D413">IFERROR(IF(A413=A412, INDEX('Player Raw Data'!D:D,Match($A413,'Player Raw Data'!$B:$B,0)+2),INDEX('Player Raw Data'!D:D,Match($A413,'Player Raw Data'!$B:$B,0))),"")</f>
        <v/>
      </c>
      <c r="E413" t="str">
        <f t="array" ref="E413">IFERROR(INDEX('Player Raw Data'!F:F,Match($A413,'Player Raw Data'!$B:$B,0)),"")</f>
        <v/>
      </c>
      <c r="F413" t="str">
        <f t="array" ref="F413">IFERROR(INDEX('Player Raw Data'!H:H,Match($A413,'Player Raw Data'!$B:$B,0)),"")</f>
        <v/>
      </c>
      <c r="G413" t="str">
        <f t="array" ref="G413">IFERROR(INDEX('Player Raw Data'!I:I,Match($A413,'Player Raw Data'!$B:$B,0)),"")</f>
        <v/>
      </c>
      <c r="H413" t="str">
        <f t="array" ref="H413">IFERROR(INDEX('Player Raw Data'!J:J,Match($A413,'Player Raw Data'!$B:$B,0)),"")</f>
        <v/>
      </c>
      <c r="I413" t="str">
        <f t="array" ref="I413">IFERROR(INDEX('Player Raw Data'!S:S,Match($A413,'Player Raw Data'!$B:$B,0)),"")</f>
        <v/>
      </c>
      <c r="J413" t="str">
        <f t="array" ref="J413">IFERROR(INDEX('Player Raw Data'!T:T,Match($A413,'Player Raw Data'!$B:$B,0)),"")</f>
        <v/>
      </c>
      <c r="K413" t="str">
        <f t="array" ref="K413">IFERROR(INDEX('Player Raw Data'!X:X,Match($A413,'Player Raw Data'!$B:$B,0)),"")</f>
        <v/>
      </c>
      <c r="L413" t="str">
        <f t="array" ref="L413">IFERROR(INDEX('Player Raw Data'!Y:Y,Match($A413,'Player Raw Data'!$B:$B,0)),"")</f>
        <v/>
      </c>
      <c r="M413" t="str">
        <f t="array" ref="M413">IFERROR(INDEX('Player Raw Data'!Z:Z,Match($A413,'Player Raw Data'!$B:$B,0)),"")</f>
        <v/>
      </c>
      <c r="N413" t="str">
        <f t="array" ref="N413">IFERROR(INDEX('Player Raw Data'!AA:AA,Match($A413,'Player Raw Data'!$B:$B,0)),"")</f>
        <v/>
      </c>
      <c r="O413" t="str">
        <f t="array" ref="O413">IFERROR(INDEX('Player Raw Data'!AB:AB,Match($A413,'Player Raw Data'!$B:$B,0)),"")</f>
        <v/>
      </c>
      <c r="P413" t="str">
        <f t="array" ref="P413">IFERROR(INDEX('Player Raw Data'!AD:AD,Match($A413,'Player Raw Data'!$B:$B,0)),"")</f>
        <v/>
      </c>
      <c r="Q413">
        <f t="shared" si="1"/>
        <v>0</v>
      </c>
      <c r="R413" s="9">
        <f t="shared" si="2"/>
        <v>0</v>
      </c>
      <c r="S413" s="14">
        <f t="shared" si="3"/>
        <v>0</v>
      </c>
      <c r="T413" s="15">
        <f>IFERROR(__xludf.DUMMYFUNCTION("IFERROR(PERCENTRANK.INC(FILTER(Q:Q,$F:$F&lt;&gt;""""),Q413)*100,"""")"),1.5)</f>
        <v>1.5</v>
      </c>
      <c r="U413" s="15">
        <f>IFERROR(__xludf.DUMMYFUNCTION("IFERROR(PERCENTRANK.INC(FILTER(R:R,$F:$F&lt;&gt;""""),R413)*100,"""")"),1.5)</f>
        <v>1.5</v>
      </c>
      <c r="V413" s="15">
        <f>IFERROR(__xludf.DUMMYFUNCTION("IFERROR(PERCENTRANK.INC(FILTER(S:S,$F:$F&lt;&gt;""""),S413)*100,"""")"),1.5)</f>
        <v>1.5</v>
      </c>
      <c r="W413" s="15" t="str">
        <f t="shared" si="4"/>
        <v/>
      </c>
      <c r="X413" s="16"/>
      <c r="Y413" s="9"/>
      <c r="Z413" s="9"/>
    </row>
    <row r="414">
      <c r="B414" t="str">
        <f t="array" ref="B414">IFERROR(INDEX('Player Raw Data'!E:E,Match($A414,'Player Raw Data'!$B:$B,0)),"")</f>
        <v/>
      </c>
      <c r="C414" t="str">
        <f t="array" ref="C414">IFERROR(INDEX('Player Raw Data'!C:C,Match($A414,'Player Raw Data'!$B:$B,0)),"")</f>
        <v/>
      </c>
      <c r="D414" t="str">
        <f t="array" ref="D414">IFERROR(IF(A414=A413, INDEX('Player Raw Data'!D:D,Match($A414,'Player Raw Data'!$B:$B,0)+2),INDEX('Player Raw Data'!D:D,Match($A414,'Player Raw Data'!$B:$B,0))),"")</f>
        <v/>
      </c>
      <c r="E414" t="str">
        <f t="array" ref="E414">IFERROR(INDEX('Player Raw Data'!F:F,Match($A414,'Player Raw Data'!$B:$B,0)),"")</f>
        <v/>
      </c>
      <c r="F414" t="str">
        <f t="array" ref="F414">IFERROR(INDEX('Player Raw Data'!H:H,Match($A414,'Player Raw Data'!$B:$B,0)),"")</f>
        <v/>
      </c>
      <c r="G414" t="str">
        <f t="array" ref="G414">IFERROR(INDEX('Player Raw Data'!I:I,Match($A414,'Player Raw Data'!$B:$B,0)),"")</f>
        <v/>
      </c>
      <c r="H414" t="str">
        <f t="array" ref="H414">IFERROR(INDEX('Player Raw Data'!J:J,Match($A414,'Player Raw Data'!$B:$B,0)),"")</f>
        <v/>
      </c>
      <c r="I414" t="str">
        <f t="array" ref="I414">IFERROR(INDEX('Player Raw Data'!S:S,Match($A414,'Player Raw Data'!$B:$B,0)),"")</f>
        <v/>
      </c>
      <c r="J414" t="str">
        <f t="array" ref="J414">IFERROR(INDEX('Player Raw Data'!T:T,Match($A414,'Player Raw Data'!$B:$B,0)),"")</f>
        <v/>
      </c>
      <c r="K414" t="str">
        <f t="array" ref="K414">IFERROR(INDEX('Player Raw Data'!X:X,Match($A414,'Player Raw Data'!$B:$B,0)),"")</f>
        <v/>
      </c>
      <c r="L414" t="str">
        <f t="array" ref="L414">IFERROR(INDEX('Player Raw Data'!Y:Y,Match($A414,'Player Raw Data'!$B:$B,0)),"")</f>
        <v/>
      </c>
      <c r="M414" t="str">
        <f t="array" ref="M414">IFERROR(INDEX('Player Raw Data'!Z:Z,Match($A414,'Player Raw Data'!$B:$B,0)),"")</f>
        <v/>
      </c>
      <c r="N414" t="str">
        <f t="array" ref="N414">IFERROR(INDEX('Player Raw Data'!AA:AA,Match($A414,'Player Raw Data'!$B:$B,0)),"")</f>
        <v/>
      </c>
      <c r="O414" t="str">
        <f t="array" ref="O414">IFERROR(INDEX('Player Raw Data'!AB:AB,Match($A414,'Player Raw Data'!$B:$B,0)),"")</f>
        <v/>
      </c>
      <c r="P414" t="str">
        <f t="array" ref="P414">IFERROR(INDEX('Player Raw Data'!AD:AD,Match($A414,'Player Raw Data'!$B:$B,0)),"")</f>
        <v/>
      </c>
      <c r="Q414">
        <f t="shared" si="1"/>
        <v>0</v>
      </c>
      <c r="R414" s="9">
        <f t="shared" si="2"/>
        <v>0</v>
      </c>
      <c r="S414" s="14">
        <f t="shared" si="3"/>
        <v>0</v>
      </c>
      <c r="T414" s="15">
        <f>IFERROR(__xludf.DUMMYFUNCTION("IFERROR(PERCENTRANK.INC(FILTER(Q:Q,$F:$F&lt;&gt;""""),Q414)*100,"""")"),1.5)</f>
        <v>1.5</v>
      </c>
      <c r="U414" s="15">
        <f>IFERROR(__xludf.DUMMYFUNCTION("IFERROR(PERCENTRANK.INC(FILTER(R:R,$F:$F&lt;&gt;""""),R414)*100,"""")"),1.5)</f>
        <v>1.5</v>
      </c>
      <c r="V414" s="15">
        <f>IFERROR(__xludf.DUMMYFUNCTION("IFERROR(PERCENTRANK.INC(FILTER(S:S,$F:$F&lt;&gt;""""),S414)*100,"""")"),1.5)</f>
        <v>1.5</v>
      </c>
      <c r="W414" s="15" t="str">
        <f t="shared" si="4"/>
        <v/>
      </c>
      <c r="X414" s="16"/>
      <c r="Y414" s="9"/>
      <c r="Z414" s="9"/>
    </row>
    <row r="415">
      <c r="B415" t="str">
        <f t="array" ref="B415">IFERROR(INDEX('Player Raw Data'!E:E,Match($A415,'Player Raw Data'!$B:$B,0)),"")</f>
        <v/>
      </c>
      <c r="C415" t="str">
        <f t="array" ref="C415">IFERROR(INDEX('Player Raw Data'!C:C,Match($A415,'Player Raw Data'!$B:$B,0)),"")</f>
        <v/>
      </c>
      <c r="D415" t="str">
        <f t="array" ref="D415">IFERROR(IF(A415=A414, INDEX('Player Raw Data'!D:D,Match($A415,'Player Raw Data'!$B:$B,0)+2),INDEX('Player Raw Data'!D:D,Match($A415,'Player Raw Data'!$B:$B,0))),"")</f>
        <v/>
      </c>
      <c r="E415" t="str">
        <f t="array" ref="E415">IFERROR(INDEX('Player Raw Data'!F:F,Match($A415,'Player Raw Data'!$B:$B,0)),"")</f>
        <v/>
      </c>
      <c r="F415" t="str">
        <f t="array" ref="F415">IFERROR(INDEX('Player Raw Data'!H:H,Match($A415,'Player Raw Data'!$B:$B,0)),"")</f>
        <v/>
      </c>
      <c r="G415" t="str">
        <f t="array" ref="G415">IFERROR(INDEX('Player Raw Data'!I:I,Match($A415,'Player Raw Data'!$B:$B,0)),"")</f>
        <v/>
      </c>
      <c r="H415" t="str">
        <f t="array" ref="H415">IFERROR(INDEX('Player Raw Data'!J:J,Match($A415,'Player Raw Data'!$B:$B,0)),"")</f>
        <v/>
      </c>
      <c r="I415" t="str">
        <f t="array" ref="I415">IFERROR(INDEX('Player Raw Data'!S:S,Match($A415,'Player Raw Data'!$B:$B,0)),"")</f>
        <v/>
      </c>
      <c r="J415" t="str">
        <f t="array" ref="J415">IFERROR(INDEX('Player Raw Data'!T:T,Match($A415,'Player Raw Data'!$B:$B,0)),"")</f>
        <v/>
      </c>
      <c r="K415" t="str">
        <f t="array" ref="K415">IFERROR(INDEX('Player Raw Data'!X:X,Match($A415,'Player Raw Data'!$B:$B,0)),"")</f>
        <v/>
      </c>
      <c r="L415" t="str">
        <f t="array" ref="L415">IFERROR(INDEX('Player Raw Data'!Y:Y,Match($A415,'Player Raw Data'!$B:$B,0)),"")</f>
        <v/>
      </c>
      <c r="M415" t="str">
        <f t="array" ref="M415">IFERROR(INDEX('Player Raw Data'!Z:Z,Match($A415,'Player Raw Data'!$B:$B,0)),"")</f>
        <v/>
      </c>
      <c r="N415" t="str">
        <f t="array" ref="N415">IFERROR(INDEX('Player Raw Data'!AA:AA,Match($A415,'Player Raw Data'!$B:$B,0)),"")</f>
        <v/>
      </c>
      <c r="O415" t="str">
        <f t="array" ref="O415">IFERROR(INDEX('Player Raw Data'!AB:AB,Match($A415,'Player Raw Data'!$B:$B,0)),"")</f>
        <v/>
      </c>
      <c r="P415" t="str">
        <f t="array" ref="P415">IFERROR(INDEX('Player Raw Data'!AD:AD,Match($A415,'Player Raw Data'!$B:$B,0)),"")</f>
        <v/>
      </c>
      <c r="Q415">
        <f t="shared" si="1"/>
        <v>0</v>
      </c>
      <c r="R415" s="9">
        <f t="shared" si="2"/>
        <v>0</v>
      </c>
      <c r="S415" s="14">
        <f t="shared" si="3"/>
        <v>0</v>
      </c>
      <c r="T415" s="15">
        <f>IFERROR(__xludf.DUMMYFUNCTION("IFERROR(PERCENTRANK.INC(FILTER(Q:Q,$F:$F&lt;&gt;""""),Q415)*100,"""")"),1.5)</f>
        <v>1.5</v>
      </c>
      <c r="U415" s="15">
        <f>IFERROR(__xludf.DUMMYFUNCTION("IFERROR(PERCENTRANK.INC(FILTER(R:R,$F:$F&lt;&gt;""""),R415)*100,"""")"),1.5)</f>
        <v>1.5</v>
      </c>
      <c r="V415" s="15">
        <f>IFERROR(__xludf.DUMMYFUNCTION("IFERROR(PERCENTRANK.INC(FILTER(S:S,$F:$F&lt;&gt;""""),S415)*100,"""")"),1.5)</f>
        <v>1.5</v>
      </c>
      <c r="W415" s="15" t="str">
        <f t="shared" si="4"/>
        <v/>
      </c>
      <c r="X415" s="16"/>
      <c r="Y415" s="9"/>
      <c r="Z415" s="9"/>
    </row>
    <row r="416">
      <c r="B416" t="str">
        <f t="array" ref="B416">IFERROR(INDEX('Player Raw Data'!E:E,Match($A416,'Player Raw Data'!$B:$B,0)),"")</f>
        <v/>
      </c>
      <c r="C416" t="str">
        <f t="array" ref="C416">IFERROR(INDEX('Player Raw Data'!C:C,Match($A416,'Player Raw Data'!$B:$B,0)),"")</f>
        <v/>
      </c>
      <c r="D416" t="str">
        <f t="array" ref="D416">IFERROR(IF(A416=A415, INDEX('Player Raw Data'!D:D,Match($A416,'Player Raw Data'!$B:$B,0)+2),INDEX('Player Raw Data'!D:D,Match($A416,'Player Raw Data'!$B:$B,0))),"")</f>
        <v/>
      </c>
      <c r="E416" t="str">
        <f t="array" ref="E416">IFERROR(INDEX('Player Raw Data'!F:F,Match($A416,'Player Raw Data'!$B:$B,0)),"")</f>
        <v/>
      </c>
      <c r="F416" t="str">
        <f t="array" ref="F416">IFERROR(INDEX('Player Raw Data'!H:H,Match($A416,'Player Raw Data'!$B:$B,0)),"")</f>
        <v/>
      </c>
      <c r="G416" t="str">
        <f t="array" ref="G416">IFERROR(INDEX('Player Raw Data'!I:I,Match($A416,'Player Raw Data'!$B:$B,0)),"")</f>
        <v/>
      </c>
      <c r="H416" t="str">
        <f t="array" ref="H416">IFERROR(INDEX('Player Raw Data'!J:J,Match($A416,'Player Raw Data'!$B:$B,0)),"")</f>
        <v/>
      </c>
      <c r="I416" t="str">
        <f t="array" ref="I416">IFERROR(INDEX('Player Raw Data'!S:S,Match($A416,'Player Raw Data'!$B:$B,0)),"")</f>
        <v/>
      </c>
      <c r="J416" t="str">
        <f t="array" ref="J416">IFERROR(INDEX('Player Raw Data'!T:T,Match($A416,'Player Raw Data'!$B:$B,0)),"")</f>
        <v/>
      </c>
      <c r="K416" t="str">
        <f t="array" ref="K416">IFERROR(INDEX('Player Raw Data'!X:X,Match($A416,'Player Raw Data'!$B:$B,0)),"")</f>
        <v/>
      </c>
      <c r="L416" t="str">
        <f t="array" ref="L416">IFERROR(INDEX('Player Raw Data'!Y:Y,Match($A416,'Player Raw Data'!$B:$B,0)),"")</f>
        <v/>
      </c>
      <c r="M416" t="str">
        <f t="array" ref="M416">IFERROR(INDEX('Player Raw Data'!Z:Z,Match($A416,'Player Raw Data'!$B:$B,0)),"")</f>
        <v/>
      </c>
      <c r="N416" t="str">
        <f t="array" ref="N416">IFERROR(INDEX('Player Raw Data'!AA:AA,Match($A416,'Player Raw Data'!$B:$B,0)),"")</f>
        <v/>
      </c>
      <c r="O416" t="str">
        <f t="array" ref="O416">IFERROR(INDEX('Player Raw Data'!AB:AB,Match($A416,'Player Raw Data'!$B:$B,0)),"")</f>
        <v/>
      </c>
      <c r="P416" t="str">
        <f t="array" ref="P416">IFERROR(INDEX('Player Raw Data'!AD:AD,Match($A416,'Player Raw Data'!$B:$B,0)),"")</f>
        <v/>
      </c>
      <c r="Q416">
        <f t="shared" si="1"/>
        <v>0</v>
      </c>
      <c r="R416" s="9">
        <f t="shared" si="2"/>
        <v>0</v>
      </c>
      <c r="S416" s="14">
        <f t="shared" si="3"/>
        <v>0</v>
      </c>
      <c r="T416" s="15">
        <f>IFERROR(__xludf.DUMMYFUNCTION("IFERROR(PERCENTRANK.INC(FILTER(Q:Q,$F:$F&lt;&gt;""""),Q416)*100,"""")"),1.5)</f>
        <v>1.5</v>
      </c>
      <c r="U416" s="15">
        <f>IFERROR(__xludf.DUMMYFUNCTION("IFERROR(PERCENTRANK.INC(FILTER(R:R,$F:$F&lt;&gt;""""),R416)*100,"""")"),1.5)</f>
        <v>1.5</v>
      </c>
      <c r="V416" s="15">
        <f>IFERROR(__xludf.DUMMYFUNCTION("IFERROR(PERCENTRANK.INC(FILTER(S:S,$F:$F&lt;&gt;""""),S416)*100,"""")"),1.5)</f>
        <v>1.5</v>
      </c>
      <c r="W416" s="15" t="str">
        <f t="shared" si="4"/>
        <v/>
      </c>
      <c r="X416" s="16"/>
      <c r="Y416" s="9"/>
      <c r="Z416" s="9"/>
    </row>
    <row r="417">
      <c r="B417" t="str">
        <f t="array" ref="B417">IFERROR(INDEX('Player Raw Data'!E:E,Match($A417,'Player Raw Data'!$B:$B,0)),"")</f>
        <v/>
      </c>
      <c r="C417" t="str">
        <f t="array" ref="C417">IFERROR(INDEX('Player Raw Data'!C:C,Match($A417,'Player Raw Data'!$B:$B,0)),"")</f>
        <v/>
      </c>
      <c r="D417" t="str">
        <f t="array" ref="D417">IFERROR(IF(A417=A416, INDEX('Player Raw Data'!D:D,Match($A417,'Player Raw Data'!$B:$B,0)+2),INDEX('Player Raw Data'!D:D,Match($A417,'Player Raw Data'!$B:$B,0))),"")</f>
        <v/>
      </c>
      <c r="E417" t="str">
        <f t="array" ref="E417">IFERROR(INDEX('Player Raw Data'!F:F,Match($A417,'Player Raw Data'!$B:$B,0)),"")</f>
        <v/>
      </c>
      <c r="F417" t="str">
        <f t="array" ref="F417">IFERROR(INDEX('Player Raw Data'!H:H,Match($A417,'Player Raw Data'!$B:$B,0)),"")</f>
        <v/>
      </c>
      <c r="G417" t="str">
        <f t="array" ref="G417">IFERROR(INDEX('Player Raw Data'!I:I,Match($A417,'Player Raw Data'!$B:$B,0)),"")</f>
        <v/>
      </c>
      <c r="H417" t="str">
        <f t="array" ref="H417">IFERROR(INDEX('Player Raw Data'!J:J,Match($A417,'Player Raw Data'!$B:$B,0)),"")</f>
        <v/>
      </c>
      <c r="I417" t="str">
        <f t="array" ref="I417">IFERROR(INDEX('Player Raw Data'!S:S,Match($A417,'Player Raw Data'!$B:$B,0)),"")</f>
        <v/>
      </c>
      <c r="J417" t="str">
        <f t="array" ref="J417">IFERROR(INDEX('Player Raw Data'!T:T,Match($A417,'Player Raw Data'!$B:$B,0)),"")</f>
        <v/>
      </c>
      <c r="K417" t="str">
        <f t="array" ref="K417">IFERROR(INDEX('Player Raw Data'!X:X,Match($A417,'Player Raw Data'!$B:$B,0)),"")</f>
        <v/>
      </c>
      <c r="L417" t="str">
        <f t="array" ref="L417">IFERROR(INDEX('Player Raw Data'!Y:Y,Match($A417,'Player Raw Data'!$B:$B,0)),"")</f>
        <v/>
      </c>
      <c r="M417" t="str">
        <f t="array" ref="M417">IFERROR(INDEX('Player Raw Data'!Z:Z,Match($A417,'Player Raw Data'!$B:$B,0)),"")</f>
        <v/>
      </c>
      <c r="N417" t="str">
        <f t="array" ref="N417">IFERROR(INDEX('Player Raw Data'!AA:AA,Match($A417,'Player Raw Data'!$B:$B,0)),"")</f>
        <v/>
      </c>
      <c r="O417" t="str">
        <f t="array" ref="O417">IFERROR(INDEX('Player Raw Data'!AB:AB,Match($A417,'Player Raw Data'!$B:$B,0)),"")</f>
        <v/>
      </c>
      <c r="P417" t="str">
        <f t="array" ref="P417">IFERROR(INDEX('Player Raw Data'!AD:AD,Match($A417,'Player Raw Data'!$B:$B,0)),"")</f>
        <v/>
      </c>
      <c r="Q417">
        <f t="shared" si="1"/>
        <v>0</v>
      </c>
      <c r="R417" s="9">
        <f t="shared" si="2"/>
        <v>0</v>
      </c>
      <c r="S417" s="14">
        <f t="shared" si="3"/>
        <v>0</v>
      </c>
      <c r="T417" s="15">
        <f>IFERROR(__xludf.DUMMYFUNCTION("IFERROR(PERCENTRANK.INC(FILTER(Q:Q,$F:$F&lt;&gt;""""),Q417)*100,"""")"),1.5)</f>
        <v>1.5</v>
      </c>
      <c r="U417" s="15">
        <f>IFERROR(__xludf.DUMMYFUNCTION("IFERROR(PERCENTRANK.INC(FILTER(R:R,$F:$F&lt;&gt;""""),R417)*100,"""")"),1.5)</f>
        <v>1.5</v>
      </c>
      <c r="V417" s="15">
        <f>IFERROR(__xludf.DUMMYFUNCTION("IFERROR(PERCENTRANK.INC(FILTER(S:S,$F:$F&lt;&gt;""""),S417)*100,"""")"),1.5)</f>
        <v>1.5</v>
      </c>
      <c r="W417" s="15" t="str">
        <f t="shared" si="4"/>
        <v/>
      </c>
      <c r="X417" s="16"/>
      <c r="Y417" s="9"/>
      <c r="Z417" s="9"/>
    </row>
    <row r="418">
      <c r="B418" t="str">
        <f t="array" ref="B418">IFERROR(INDEX('Player Raw Data'!E:E,Match($A418,'Player Raw Data'!$B:$B,0)),"")</f>
        <v/>
      </c>
      <c r="C418" t="str">
        <f t="array" ref="C418">IFERROR(INDEX('Player Raw Data'!C:C,Match($A418,'Player Raw Data'!$B:$B,0)),"")</f>
        <v/>
      </c>
      <c r="D418" t="str">
        <f t="array" ref="D418">IFERROR(IF(A418=A417, INDEX('Player Raw Data'!D:D,Match($A418,'Player Raw Data'!$B:$B,0)+2),INDEX('Player Raw Data'!D:D,Match($A418,'Player Raw Data'!$B:$B,0))),"")</f>
        <v/>
      </c>
      <c r="E418" t="str">
        <f t="array" ref="E418">IFERROR(INDEX('Player Raw Data'!F:F,Match($A418,'Player Raw Data'!$B:$B,0)),"")</f>
        <v/>
      </c>
      <c r="F418" t="str">
        <f t="array" ref="F418">IFERROR(INDEX('Player Raw Data'!H:H,Match($A418,'Player Raw Data'!$B:$B,0)),"")</f>
        <v/>
      </c>
      <c r="G418" t="str">
        <f t="array" ref="G418">IFERROR(INDEX('Player Raw Data'!I:I,Match($A418,'Player Raw Data'!$B:$B,0)),"")</f>
        <v/>
      </c>
      <c r="H418" t="str">
        <f t="array" ref="H418">IFERROR(INDEX('Player Raw Data'!J:J,Match($A418,'Player Raw Data'!$B:$B,0)),"")</f>
        <v/>
      </c>
      <c r="I418" t="str">
        <f t="array" ref="I418">IFERROR(INDEX('Player Raw Data'!S:S,Match($A418,'Player Raw Data'!$B:$B,0)),"")</f>
        <v/>
      </c>
      <c r="J418" t="str">
        <f t="array" ref="J418">IFERROR(INDEX('Player Raw Data'!T:T,Match($A418,'Player Raw Data'!$B:$B,0)),"")</f>
        <v/>
      </c>
      <c r="K418" t="str">
        <f t="array" ref="K418">IFERROR(INDEX('Player Raw Data'!X:X,Match($A418,'Player Raw Data'!$B:$B,0)),"")</f>
        <v/>
      </c>
      <c r="L418" t="str">
        <f t="array" ref="L418">IFERROR(INDEX('Player Raw Data'!Y:Y,Match($A418,'Player Raw Data'!$B:$B,0)),"")</f>
        <v/>
      </c>
      <c r="M418" t="str">
        <f t="array" ref="M418">IFERROR(INDEX('Player Raw Data'!Z:Z,Match($A418,'Player Raw Data'!$B:$B,0)),"")</f>
        <v/>
      </c>
      <c r="N418" t="str">
        <f t="array" ref="N418">IFERROR(INDEX('Player Raw Data'!AA:AA,Match($A418,'Player Raw Data'!$B:$B,0)),"")</f>
        <v/>
      </c>
      <c r="O418" t="str">
        <f t="array" ref="O418">IFERROR(INDEX('Player Raw Data'!AB:AB,Match($A418,'Player Raw Data'!$B:$B,0)),"")</f>
        <v/>
      </c>
      <c r="P418" t="str">
        <f t="array" ref="P418">IFERROR(INDEX('Player Raw Data'!AD:AD,Match($A418,'Player Raw Data'!$B:$B,0)),"")</f>
        <v/>
      </c>
      <c r="Q418">
        <f t="shared" si="1"/>
        <v>0</v>
      </c>
      <c r="R418" s="9">
        <f t="shared" si="2"/>
        <v>0</v>
      </c>
      <c r="S418" s="14">
        <f t="shared" si="3"/>
        <v>0</v>
      </c>
      <c r="T418" s="15">
        <f>IFERROR(__xludf.DUMMYFUNCTION("IFERROR(PERCENTRANK.INC(FILTER(Q:Q,$F:$F&lt;&gt;""""),Q418)*100,"""")"),1.5)</f>
        <v>1.5</v>
      </c>
      <c r="U418" s="15">
        <f>IFERROR(__xludf.DUMMYFUNCTION("IFERROR(PERCENTRANK.INC(FILTER(R:R,$F:$F&lt;&gt;""""),R418)*100,"""")"),1.5)</f>
        <v>1.5</v>
      </c>
      <c r="V418" s="15">
        <f>IFERROR(__xludf.DUMMYFUNCTION("IFERROR(PERCENTRANK.INC(FILTER(S:S,$F:$F&lt;&gt;""""),S418)*100,"""")"),1.5)</f>
        <v>1.5</v>
      </c>
      <c r="W418" s="15" t="str">
        <f t="shared" si="4"/>
        <v/>
      </c>
      <c r="X418" s="16"/>
      <c r="Y418" s="9"/>
      <c r="Z418" s="9"/>
    </row>
    <row r="419">
      <c r="B419" t="str">
        <f t="array" ref="B419">IFERROR(INDEX('Player Raw Data'!E:E,Match($A419,'Player Raw Data'!$B:$B,0)),"")</f>
        <v/>
      </c>
      <c r="C419" t="str">
        <f t="array" ref="C419">IFERROR(INDEX('Player Raw Data'!C:C,Match($A419,'Player Raw Data'!$B:$B,0)),"")</f>
        <v/>
      </c>
      <c r="D419" t="str">
        <f t="array" ref="D419">IFERROR(IF(A419=A418, INDEX('Player Raw Data'!D:D,Match($A419,'Player Raw Data'!$B:$B,0)+2),INDEX('Player Raw Data'!D:D,Match($A419,'Player Raw Data'!$B:$B,0))),"")</f>
        <v/>
      </c>
      <c r="E419" t="str">
        <f t="array" ref="E419">IFERROR(INDEX('Player Raw Data'!F:F,Match($A419,'Player Raw Data'!$B:$B,0)),"")</f>
        <v/>
      </c>
      <c r="F419" t="str">
        <f t="array" ref="F419">IFERROR(INDEX('Player Raw Data'!H:H,Match($A419,'Player Raw Data'!$B:$B,0)),"")</f>
        <v/>
      </c>
      <c r="G419" t="str">
        <f t="array" ref="G419">IFERROR(INDEX('Player Raw Data'!I:I,Match($A419,'Player Raw Data'!$B:$B,0)),"")</f>
        <v/>
      </c>
      <c r="H419" t="str">
        <f t="array" ref="H419">IFERROR(INDEX('Player Raw Data'!J:J,Match($A419,'Player Raw Data'!$B:$B,0)),"")</f>
        <v/>
      </c>
      <c r="I419" t="str">
        <f t="array" ref="I419">IFERROR(INDEX('Player Raw Data'!S:S,Match($A419,'Player Raw Data'!$B:$B,0)),"")</f>
        <v/>
      </c>
      <c r="J419" t="str">
        <f t="array" ref="J419">IFERROR(INDEX('Player Raw Data'!T:T,Match($A419,'Player Raw Data'!$B:$B,0)),"")</f>
        <v/>
      </c>
      <c r="K419" t="str">
        <f t="array" ref="K419">IFERROR(INDEX('Player Raw Data'!X:X,Match($A419,'Player Raw Data'!$B:$B,0)),"")</f>
        <v/>
      </c>
      <c r="L419" t="str">
        <f t="array" ref="L419">IFERROR(INDEX('Player Raw Data'!Y:Y,Match($A419,'Player Raw Data'!$B:$B,0)),"")</f>
        <v/>
      </c>
      <c r="M419" t="str">
        <f t="array" ref="M419">IFERROR(INDEX('Player Raw Data'!Z:Z,Match($A419,'Player Raw Data'!$B:$B,0)),"")</f>
        <v/>
      </c>
      <c r="N419" t="str">
        <f t="array" ref="N419">IFERROR(INDEX('Player Raw Data'!AA:AA,Match($A419,'Player Raw Data'!$B:$B,0)),"")</f>
        <v/>
      </c>
      <c r="O419" t="str">
        <f t="array" ref="O419">IFERROR(INDEX('Player Raw Data'!AB:AB,Match($A419,'Player Raw Data'!$B:$B,0)),"")</f>
        <v/>
      </c>
      <c r="P419" t="str">
        <f t="array" ref="P419">IFERROR(INDEX('Player Raw Data'!AD:AD,Match($A419,'Player Raw Data'!$B:$B,0)),"")</f>
        <v/>
      </c>
      <c r="Q419">
        <f t="shared" si="1"/>
        <v>0</v>
      </c>
      <c r="R419" s="9">
        <f t="shared" si="2"/>
        <v>0</v>
      </c>
      <c r="S419" s="14">
        <f t="shared" si="3"/>
        <v>0</v>
      </c>
      <c r="T419" s="15">
        <f>IFERROR(__xludf.DUMMYFUNCTION("IFERROR(PERCENTRANK.INC(FILTER(Q:Q,$F:$F&lt;&gt;""""),Q419)*100,"""")"),1.5)</f>
        <v>1.5</v>
      </c>
      <c r="U419" s="15">
        <f>IFERROR(__xludf.DUMMYFUNCTION("IFERROR(PERCENTRANK.INC(FILTER(R:R,$F:$F&lt;&gt;""""),R419)*100,"""")"),1.5)</f>
        <v>1.5</v>
      </c>
      <c r="V419" s="15">
        <f>IFERROR(__xludf.DUMMYFUNCTION("IFERROR(PERCENTRANK.INC(FILTER(S:S,$F:$F&lt;&gt;""""),S419)*100,"""")"),1.5)</f>
        <v>1.5</v>
      </c>
      <c r="W419" s="15" t="str">
        <f t="shared" si="4"/>
        <v/>
      </c>
      <c r="X419" s="16"/>
      <c r="Y419" s="9"/>
      <c r="Z419" s="9"/>
    </row>
    <row r="420">
      <c r="B420" t="str">
        <f t="array" ref="B420">IFERROR(INDEX('Player Raw Data'!E:E,Match($A420,'Player Raw Data'!$B:$B,0)),"")</f>
        <v/>
      </c>
      <c r="C420" t="str">
        <f t="array" ref="C420">IFERROR(INDEX('Player Raw Data'!C:C,Match($A420,'Player Raw Data'!$B:$B,0)),"")</f>
        <v/>
      </c>
      <c r="D420" t="str">
        <f t="array" ref="D420">IFERROR(IF(A420=A419, INDEX('Player Raw Data'!D:D,Match($A420,'Player Raw Data'!$B:$B,0)+2),INDEX('Player Raw Data'!D:D,Match($A420,'Player Raw Data'!$B:$B,0))),"")</f>
        <v/>
      </c>
      <c r="E420" t="str">
        <f t="array" ref="E420">IFERROR(INDEX('Player Raw Data'!F:F,Match($A420,'Player Raw Data'!$B:$B,0)),"")</f>
        <v/>
      </c>
      <c r="F420" t="str">
        <f t="array" ref="F420">IFERROR(INDEX('Player Raw Data'!H:H,Match($A420,'Player Raw Data'!$B:$B,0)),"")</f>
        <v/>
      </c>
      <c r="G420" t="str">
        <f t="array" ref="G420">IFERROR(INDEX('Player Raw Data'!I:I,Match($A420,'Player Raw Data'!$B:$B,0)),"")</f>
        <v/>
      </c>
      <c r="H420" t="str">
        <f t="array" ref="H420">IFERROR(INDEX('Player Raw Data'!J:J,Match($A420,'Player Raw Data'!$B:$B,0)),"")</f>
        <v/>
      </c>
      <c r="I420" t="str">
        <f t="array" ref="I420">IFERROR(INDEX('Player Raw Data'!S:S,Match($A420,'Player Raw Data'!$B:$B,0)),"")</f>
        <v/>
      </c>
      <c r="J420" t="str">
        <f t="array" ref="J420">IFERROR(INDEX('Player Raw Data'!T:T,Match($A420,'Player Raw Data'!$B:$B,0)),"")</f>
        <v/>
      </c>
      <c r="K420" t="str">
        <f t="array" ref="K420">IFERROR(INDEX('Player Raw Data'!X:X,Match($A420,'Player Raw Data'!$B:$B,0)),"")</f>
        <v/>
      </c>
      <c r="L420" t="str">
        <f t="array" ref="L420">IFERROR(INDEX('Player Raw Data'!Y:Y,Match($A420,'Player Raw Data'!$B:$B,0)),"")</f>
        <v/>
      </c>
      <c r="M420" t="str">
        <f t="array" ref="M420">IFERROR(INDEX('Player Raw Data'!Z:Z,Match($A420,'Player Raw Data'!$B:$B,0)),"")</f>
        <v/>
      </c>
      <c r="N420" t="str">
        <f t="array" ref="N420">IFERROR(INDEX('Player Raw Data'!AA:AA,Match($A420,'Player Raw Data'!$B:$B,0)),"")</f>
        <v/>
      </c>
      <c r="O420" t="str">
        <f t="array" ref="O420">IFERROR(INDEX('Player Raw Data'!AB:AB,Match($A420,'Player Raw Data'!$B:$B,0)),"")</f>
        <v/>
      </c>
      <c r="P420" t="str">
        <f t="array" ref="P420">IFERROR(INDEX('Player Raw Data'!AD:AD,Match($A420,'Player Raw Data'!$B:$B,0)),"")</f>
        <v/>
      </c>
      <c r="Q420">
        <f t="shared" si="1"/>
        <v>0</v>
      </c>
      <c r="R420" s="9">
        <f t="shared" si="2"/>
        <v>0</v>
      </c>
      <c r="S420" s="14">
        <f t="shared" si="3"/>
        <v>0</v>
      </c>
      <c r="T420" s="15">
        <f>IFERROR(__xludf.DUMMYFUNCTION("IFERROR(PERCENTRANK.INC(FILTER(Q:Q,$F:$F&lt;&gt;""""),Q420)*100,"""")"),1.5)</f>
        <v>1.5</v>
      </c>
      <c r="U420" s="15">
        <f>IFERROR(__xludf.DUMMYFUNCTION("IFERROR(PERCENTRANK.INC(FILTER(R:R,$F:$F&lt;&gt;""""),R420)*100,"""")"),1.5)</f>
        <v>1.5</v>
      </c>
      <c r="V420" s="15">
        <f>IFERROR(__xludf.DUMMYFUNCTION("IFERROR(PERCENTRANK.INC(FILTER(S:S,$F:$F&lt;&gt;""""),S420)*100,"""")"),1.5)</f>
        <v>1.5</v>
      </c>
      <c r="W420" s="15" t="str">
        <f t="shared" si="4"/>
        <v/>
      </c>
      <c r="X420" s="16"/>
      <c r="Y420" s="9"/>
      <c r="Z420" s="9"/>
    </row>
    <row r="421">
      <c r="B421" t="str">
        <f t="array" ref="B421">IFERROR(INDEX('Player Raw Data'!E:E,Match($A421,'Player Raw Data'!$B:$B,0)),"")</f>
        <v/>
      </c>
      <c r="C421" t="str">
        <f t="array" ref="C421">IFERROR(INDEX('Player Raw Data'!C:C,Match($A421,'Player Raw Data'!$B:$B,0)),"")</f>
        <v/>
      </c>
      <c r="D421" t="str">
        <f t="array" ref="D421">IFERROR(IF(A421=A420, INDEX('Player Raw Data'!D:D,Match($A421,'Player Raw Data'!$B:$B,0)+2),INDEX('Player Raw Data'!D:D,Match($A421,'Player Raw Data'!$B:$B,0))),"")</f>
        <v/>
      </c>
      <c r="E421" t="str">
        <f t="array" ref="E421">IFERROR(INDEX('Player Raw Data'!F:F,Match($A421,'Player Raw Data'!$B:$B,0)),"")</f>
        <v/>
      </c>
      <c r="F421" t="str">
        <f t="array" ref="F421">IFERROR(INDEX('Player Raw Data'!H:H,Match($A421,'Player Raw Data'!$B:$B,0)),"")</f>
        <v/>
      </c>
      <c r="G421" t="str">
        <f t="array" ref="G421">IFERROR(INDEX('Player Raw Data'!I:I,Match($A421,'Player Raw Data'!$B:$B,0)),"")</f>
        <v/>
      </c>
      <c r="H421" t="str">
        <f t="array" ref="H421">IFERROR(INDEX('Player Raw Data'!J:J,Match($A421,'Player Raw Data'!$B:$B,0)),"")</f>
        <v/>
      </c>
      <c r="I421" t="str">
        <f t="array" ref="I421">IFERROR(INDEX('Player Raw Data'!S:S,Match($A421,'Player Raw Data'!$B:$B,0)),"")</f>
        <v/>
      </c>
      <c r="J421" t="str">
        <f t="array" ref="J421">IFERROR(INDEX('Player Raw Data'!T:T,Match($A421,'Player Raw Data'!$B:$B,0)),"")</f>
        <v/>
      </c>
      <c r="K421" t="str">
        <f t="array" ref="K421">IFERROR(INDEX('Player Raw Data'!X:X,Match($A421,'Player Raw Data'!$B:$B,0)),"")</f>
        <v/>
      </c>
      <c r="L421" t="str">
        <f t="array" ref="L421">IFERROR(INDEX('Player Raw Data'!Y:Y,Match($A421,'Player Raw Data'!$B:$B,0)),"")</f>
        <v/>
      </c>
      <c r="M421" t="str">
        <f t="array" ref="M421">IFERROR(INDEX('Player Raw Data'!Z:Z,Match($A421,'Player Raw Data'!$B:$B,0)),"")</f>
        <v/>
      </c>
      <c r="N421" t="str">
        <f t="array" ref="N421">IFERROR(INDEX('Player Raw Data'!AA:AA,Match($A421,'Player Raw Data'!$B:$B,0)),"")</f>
        <v/>
      </c>
      <c r="O421" t="str">
        <f t="array" ref="O421">IFERROR(INDEX('Player Raw Data'!AB:AB,Match($A421,'Player Raw Data'!$B:$B,0)),"")</f>
        <v/>
      </c>
      <c r="P421" t="str">
        <f t="array" ref="P421">IFERROR(INDEX('Player Raw Data'!AD:AD,Match($A421,'Player Raw Data'!$B:$B,0)),"")</f>
        <v/>
      </c>
      <c r="Q421">
        <f t="shared" si="1"/>
        <v>0</v>
      </c>
      <c r="R421" s="9">
        <f t="shared" si="2"/>
        <v>0</v>
      </c>
      <c r="S421" s="14">
        <f t="shared" si="3"/>
        <v>0</v>
      </c>
      <c r="T421" s="15">
        <f>IFERROR(__xludf.DUMMYFUNCTION("IFERROR(PERCENTRANK.INC(FILTER(Q:Q,$F:$F&lt;&gt;""""),Q421)*100,"""")"),1.5)</f>
        <v>1.5</v>
      </c>
      <c r="U421" s="15">
        <f>IFERROR(__xludf.DUMMYFUNCTION("IFERROR(PERCENTRANK.INC(FILTER(R:R,$F:$F&lt;&gt;""""),R421)*100,"""")"),1.5)</f>
        <v>1.5</v>
      </c>
      <c r="V421" s="15">
        <f>IFERROR(__xludf.DUMMYFUNCTION("IFERROR(PERCENTRANK.INC(FILTER(S:S,$F:$F&lt;&gt;""""),S421)*100,"""")"),1.5)</f>
        <v>1.5</v>
      </c>
      <c r="W421" s="15" t="str">
        <f t="shared" si="4"/>
        <v/>
      </c>
      <c r="X421" s="16"/>
      <c r="Y421" s="9"/>
      <c r="Z421" s="9"/>
    </row>
    <row r="422">
      <c r="B422" t="str">
        <f t="array" ref="B422">IFERROR(INDEX('Player Raw Data'!E:E,Match($A422,'Player Raw Data'!$B:$B,0)),"")</f>
        <v/>
      </c>
      <c r="C422" t="str">
        <f t="array" ref="C422">IFERROR(INDEX('Player Raw Data'!C:C,Match($A422,'Player Raw Data'!$B:$B,0)),"")</f>
        <v/>
      </c>
      <c r="D422" t="str">
        <f t="array" ref="D422">IFERROR(IF(A422=A421, INDEX('Player Raw Data'!D:D,Match($A422,'Player Raw Data'!$B:$B,0)+2),INDEX('Player Raw Data'!D:D,Match($A422,'Player Raw Data'!$B:$B,0))),"")</f>
        <v/>
      </c>
      <c r="E422" t="str">
        <f t="array" ref="E422">IFERROR(INDEX('Player Raw Data'!F:F,Match($A422,'Player Raw Data'!$B:$B,0)),"")</f>
        <v/>
      </c>
      <c r="F422" t="str">
        <f t="array" ref="F422">IFERROR(INDEX('Player Raw Data'!H:H,Match($A422,'Player Raw Data'!$B:$B,0)),"")</f>
        <v/>
      </c>
      <c r="G422" t="str">
        <f t="array" ref="G422">IFERROR(INDEX('Player Raw Data'!I:I,Match($A422,'Player Raw Data'!$B:$B,0)),"")</f>
        <v/>
      </c>
      <c r="H422" t="str">
        <f t="array" ref="H422">IFERROR(INDEX('Player Raw Data'!J:J,Match($A422,'Player Raw Data'!$B:$B,0)),"")</f>
        <v/>
      </c>
      <c r="I422" t="str">
        <f t="array" ref="I422">IFERROR(INDEX('Player Raw Data'!S:S,Match($A422,'Player Raw Data'!$B:$B,0)),"")</f>
        <v/>
      </c>
      <c r="J422" t="str">
        <f t="array" ref="J422">IFERROR(INDEX('Player Raw Data'!T:T,Match($A422,'Player Raw Data'!$B:$B,0)),"")</f>
        <v/>
      </c>
      <c r="K422" t="str">
        <f t="array" ref="K422">IFERROR(INDEX('Player Raw Data'!X:X,Match($A422,'Player Raw Data'!$B:$B,0)),"")</f>
        <v/>
      </c>
      <c r="L422" t="str">
        <f t="array" ref="L422">IFERROR(INDEX('Player Raw Data'!Y:Y,Match($A422,'Player Raw Data'!$B:$B,0)),"")</f>
        <v/>
      </c>
      <c r="M422" t="str">
        <f t="array" ref="M422">IFERROR(INDEX('Player Raw Data'!Z:Z,Match($A422,'Player Raw Data'!$B:$B,0)),"")</f>
        <v/>
      </c>
      <c r="N422" t="str">
        <f t="array" ref="N422">IFERROR(INDEX('Player Raw Data'!AA:AA,Match($A422,'Player Raw Data'!$B:$B,0)),"")</f>
        <v/>
      </c>
      <c r="O422" t="str">
        <f t="array" ref="O422">IFERROR(INDEX('Player Raw Data'!AB:AB,Match($A422,'Player Raw Data'!$B:$B,0)),"")</f>
        <v/>
      </c>
      <c r="P422" t="str">
        <f t="array" ref="P422">IFERROR(INDEX('Player Raw Data'!AD:AD,Match($A422,'Player Raw Data'!$B:$B,0)),"")</f>
        <v/>
      </c>
      <c r="Q422">
        <f t="shared" si="1"/>
        <v>0</v>
      </c>
      <c r="R422" s="9">
        <f t="shared" si="2"/>
        <v>0</v>
      </c>
      <c r="S422" s="14">
        <f t="shared" si="3"/>
        <v>0</v>
      </c>
      <c r="T422" s="15">
        <f>IFERROR(__xludf.DUMMYFUNCTION("IFERROR(PERCENTRANK.INC(FILTER(Q:Q,$F:$F&lt;&gt;""""),Q422)*100,"""")"),1.5)</f>
        <v>1.5</v>
      </c>
      <c r="U422" s="15">
        <f>IFERROR(__xludf.DUMMYFUNCTION("IFERROR(PERCENTRANK.INC(FILTER(R:R,$F:$F&lt;&gt;""""),R422)*100,"""")"),1.5)</f>
        <v>1.5</v>
      </c>
      <c r="V422" s="15">
        <f>IFERROR(__xludf.DUMMYFUNCTION("IFERROR(PERCENTRANK.INC(FILTER(S:S,$F:$F&lt;&gt;""""),S422)*100,"""")"),1.5)</f>
        <v>1.5</v>
      </c>
      <c r="W422" s="15" t="str">
        <f t="shared" si="4"/>
        <v/>
      </c>
      <c r="X422" s="16"/>
      <c r="Y422" s="9"/>
      <c r="Z422" s="9"/>
    </row>
    <row r="423">
      <c r="B423" t="str">
        <f t="array" ref="B423">IFERROR(INDEX('Player Raw Data'!E:E,Match($A423,'Player Raw Data'!$B:$B,0)),"")</f>
        <v/>
      </c>
      <c r="C423" t="str">
        <f t="array" ref="C423">IFERROR(INDEX('Player Raw Data'!C:C,Match($A423,'Player Raw Data'!$B:$B,0)),"")</f>
        <v/>
      </c>
      <c r="D423" t="str">
        <f t="array" ref="D423">IFERROR(IF(A423=A422, INDEX('Player Raw Data'!D:D,Match($A423,'Player Raw Data'!$B:$B,0)+2),INDEX('Player Raw Data'!D:D,Match($A423,'Player Raw Data'!$B:$B,0))),"")</f>
        <v/>
      </c>
      <c r="E423" t="str">
        <f t="array" ref="E423">IFERROR(INDEX('Player Raw Data'!F:F,Match($A423,'Player Raw Data'!$B:$B,0)),"")</f>
        <v/>
      </c>
      <c r="F423" t="str">
        <f t="array" ref="F423">IFERROR(INDEX('Player Raw Data'!H:H,Match($A423,'Player Raw Data'!$B:$B,0)),"")</f>
        <v/>
      </c>
      <c r="G423" t="str">
        <f t="array" ref="G423">IFERROR(INDEX('Player Raw Data'!I:I,Match($A423,'Player Raw Data'!$B:$B,0)),"")</f>
        <v/>
      </c>
      <c r="H423" t="str">
        <f t="array" ref="H423">IFERROR(INDEX('Player Raw Data'!J:J,Match($A423,'Player Raw Data'!$B:$B,0)),"")</f>
        <v/>
      </c>
      <c r="I423" t="str">
        <f t="array" ref="I423">IFERROR(INDEX('Player Raw Data'!S:S,Match($A423,'Player Raw Data'!$B:$B,0)),"")</f>
        <v/>
      </c>
      <c r="J423" t="str">
        <f t="array" ref="J423">IFERROR(INDEX('Player Raw Data'!T:T,Match($A423,'Player Raw Data'!$B:$B,0)),"")</f>
        <v/>
      </c>
      <c r="K423" t="str">
        <f t="array" ref="K423">IFERROR(INDEX('Player Raw Data'!X:X,Match($A423,'Player Raw Data'!$B:$B,0)),"")</f>
        <v/>
      </c>
      <c r="L423" t="str">
        <f t="array" ref="L423">IFERROR(INDEX('Player Raw Data'!Y:Y,Match($A423,'Player Raw Data'!$B:$B,0)),"")</f>
        <v/>
      </c>
      <c r="M423" t="str">
        <f t="array" ref="M423">IFERROR(INDEX('Player Raw Data'!Z:Z,Match($A423,'Player Raw Data'!$B:$B,0)),"")</f>
        <v/>
      </c>
      <c r="N423" t="str">
        <f t="array" ref="N423">IFERROR(INDEX('Player Raw Data'!AA:AA,Match($A423,'Player Raw Data'!$B:$B,0)),"")</f>
        <v/>
      </c>
      <c r="O423" t="str">
        <f t="array" ref="O423">IFERROR(INDEX('Player Raw Data'!AB:AB,Match($A423,'Player Raw Data'!$B:$B,0)),"")</f>
        <v/>
      </c>
      <c r="P423" t="str">
        <f t="array" ref="P423">IFERROR(INDEX('Player Raw Data'!AD:AD,Match($A423,'Player Raw Data'!$B:$B,0)),"")</f>
        <v/>
      </c>
      <c r="Q423">
        <f t="shared" si="1"/>
        <v>0</v>
      </c>
      <c r="R423" s="9">
        <f t="shared" si="2"/>
        <v>0</v>
      </c>
      <c r="S423" s="14">
        <f t="shared" si="3"/>
        <v>0</v>
      </c>
      <c r="T423" s="15">
        <f>IFERROR(__xludf.DUMMYFUNCTION("IFERROR(PERCENTRANK.INC(FILTER(Q:Q,$F:$F&lt;&gt;""""),Q423)*100,"""")"),1.5)</f>
        <v>1.5</v>
      </c>
      <c r="U423" s="15">
        <f>IFERROR(__xludf.DUMMYFUNCTION("IFERROR(PERCENTRANK.INC(FILTER(R:R,$F:$F&lt;&gt;""""),R423)*100,"""")"),1.5)</f>
        <v>1.5</v>
      </c>
      <c r="V423" s="15">
        <f>IFERROR(__xludf.DUMMYFUNCTION("IFERROR(PERCENTRANK.INC(FILTER(S:S,$F:$F&lt;&gt;""""),S423)*100,"""")"),1.5)</f>
        <v>1.5</v>
      </c>
      <c r="W423" s="15" t="str">
        <f t="shared" si="4"/>
        <v/>
      </c>
      <c r="X423" s="16"/>
      <c r="Y423" s="9"/>
      <c r="Z423" s="9"/>
    </row>
    <row r="424">
      <c r="B424" t="str">
        <f t="array" ref="B424">IFERROR(INDEX('Player Raw Data'!E:E,Match($A424,'Player Raw Data'!$B:$B,0)),"")</f>
        <v/>
      </c>
      <c r="C424" t="str">
        <f t="array" ref="C424">IFERROR(INDEX('Player Raw Data'!C:C,Match($A424,'Player Raw Data'!$B:$B,0)),"")</f>
        <v/>
      </c>
      <c r="D424" t="str">
        <f t="array" ref="D424">IFERROR(IF(A424=A423, INDEX('Player Raw Data'!D:D,Match($A424,'Player Raw Data'!$B:$B,0)+2),INDEX('Player Raw Data'!D:D,Match($A424,'Player Raw Data'!$B:$B,0))),"")</f>
        <v/>
      </c>
      <c r="E424" t="str">
        <f t="array" ref="E424">IFERROR(INDEX('Player Raw Data'!F:F,Match($A424,'Player Raw Data'!$B:$B,0)),"")</f>
        <v/>
      </c>
      <c r="F424" t="str">
        <f t="array" ref="F424">IFERROR(INDEX('Player Raw Data'!H:H,Match($A424,'Player Raw Data'!$B:$B,0)),"")</f>
        <v/>
      </c>
      <c r="G424" t="str">
        <f t="array" ref="G424">IFERROR(INDEX('Player Raw Data'!I:I,Match($A424,'Player Raw Data'!$B:$B,0)),"")</f>
        <v/>
      </c>
      <c r="H424" t="str">
        <f t="array" ref="H424">IFERROR(INDEX('Player Raw Data'!J:J,Match($A424,'Player Raw Data'!$B:$B,0)),"")</f>
        <v/>
      </c>
      <c r="I424" t="str">
        <f t="array" ref="I424">IFERROR(INDEX('Player Raw Data'!S:S,Match($A424,'Player Raw Data'!$B:$B,0)),"")</f>
        <v/>
      </c>
      <c r="J424" t="str">
        <f t="array" ref="J424">IFERROR(INDEX('Player Raw Data'!T:T,Match($A424,'Player Raw Data'!$B:$B,0)),"")</f>
        <v/>
      </c>
      <c r="K424" t="str">
        <f t="array" ref="K424">IFERROR(INDEX('Player Raw Data'!X:X,Match($A424,'Player Raw Data'!$B:$B,0)),"")</f>
        <v/>
      </c>
      <c r="L424" t="str">
        <f t="array" ref="L424">IFERROR(INDEX('Player Raw Data'!Y:Y,Match($A424,'Player Raw Data'!$B:$B,0)),"")</f>
        <v/>
      </c>
      <c r="M424" t="str">
        <f t="array" ref="M424">IFERROR(INDEX('Player Raw Data'!Z:Z,Match($A424,'Player Raw Data'!$B:$B,0)),"")</f>
        <v/>
      </c>
      <c r="N424" t="str">
        <f t="array" ref="N424">IFERROR(INDEX('Player Raw Data'!AA:AA,Match($A424,'Player Raw Data'!$B:$B,0)),"")</f>
        <v/>
      </c>
      <c r="O424" t="str">
        <f t="array" ref="O424">IFERROR(INDEX('Player Raw Data'!AB:AB,Match($A424,'Player Raw Data'!$B:$B,0)),"")</f>
        <v/>
      </c>
      <c r="P424" t="str">
        <f t="array" ref="P424">IFERROR(INDEX('Player Raw Data'!AD:AD,Match($A424,'Player Raw Data'!$B:$B,0)),"")</f>
        <v/>
      </c>
      <c r="Q424">
        <f t="shared" si="1"/>
        <v>0</v>
      </c>
      <c r="R424" s="9">
        <f t="shared" si="2"/>
        <v>0</v>
      </c>
      <c r="S424" s="14">
        <f t="shared" si="3"/>
        <v>0</v>
      </c>
      <c r="T424" s="15">
        <f>IFERROR(__xludf.DUMMYFUNCTION("IFERROR(PERCENTRANK.INC(FILTER(Q:Q,$F:$F&lt;&gt;""""),Q424)*100,"""")"),1.5)</f>
        <v>1.5</v>
      </c>
      <c r="U424" s="15">
        <f>IFERROR(__xludf.DUMMYFUNCTION("IFERROR(PERCENTRANK.INC(FILTER(R:R,$F:$F&lt;&gt;""""),R424)*100,"""")"),1.5)</f>
        <v>1.5</v>
      </c>
      <c r="V424" s="15">
        <f>IFERROR(__xludf.DUMMYFUNCTION("IFERROR(PERCENTRANK.INC(FILTER(S:S,$F:$F&lt;&gt;""""),S424)*100,"""")"),1.5)</f>
        <v>1.5</v>
      </c>
      <c r="W424" s="15" t="str">
        <f t="shared" si="4"/>
        <v/>
      </c>
      <c r="X424" s="16"/>
      <c r="Y424" s="9"/>
      <c r="Z424" s="9"/>
    </row>
    <row r="425">
      <c r="B425" t="str">
        <f t="array" ref="B425">IFERROR(INDEX('Player Raw Data'!E:E,Match($A425,'Player Raw Data'!$B:$B,0)),"")</f>
        <v/>
      </c>
      <c r="C425" t="str">
        <f t="array" ref="C425">IFERROR(INDEX('Player Raw Data'!C:C,Match($A425,'Player Raw Data'!$B:$B,0)),"")</f>
        <v/>
      </c>
      <c r="D425" t="str">
        <f t="array" ref="D425">IFERROR(IF(A425=A424, INDEX('Player Raw Data'!D:D,Match($A425,'Player Raw Data'!$B:$B,0)+2),INDEX('Player Raw Data'!D:D,Match($A425,'Player Raw Data'!$B:$B,0))),"")</f>
        <v/>
      </c>
      <c r="E425" t="str">
        <f t="array" ref="E425">IFERROR(INDEX('Player Raw Data'!F:F,Match($A425,'Player Raw Data'!$B:$B,0)),"")</f>
        <v/>
      </c>
      <c r="F425" t="str">
        <f t="array" ref="F425">IFERROR(INDEX('Player Raw Data'!H:H,Match($A425,'Player Raw Data'!$B:$B,0)),"")</f>
        <v/>
      </c>
      <c r="G425" t="str">
        <f t="array" ref="G425">IFERROR(INDEX('Player Raw Data'!I:I,Match($A425,'Player Raw Data'!$B:$B,0)),"")</f>
        <v/>
      </c>
      <c r="H425" t="str">
        <f t="array" ref="H425">IFERROR(INDEX('Player Raw Data'!J:J,Match($A425,'Player Raw Data'!$B:$B,0)),"")</f>
        <v/>
      </c>
      <c r="I425" t="str">
        <f t="array" ref="I425">IFERROR(INDEX('Player Raw Data'!S:S,Match($A425,'Player Raw Data'!$B:$B,0)),"")</f>
        <v/>
      </c>
      <c r="J425" t="str">
        <f t="array" ref="J425">IFERROR(INDEX('Player Raw Data'!T:T,Match($A425,'Player Raw Data'!$B:$B,0)),"")</f>
        <v/>
      </c>
      <c r="K425" t="str">
        <f t="array" ref="K425">IFERROR(INDEX('Player Raw Data'!X:X,Match($A425,'Player Raw Data'!$B:$B,0)),"")</f>
        <v/>
      </c>
      <c r="L425" t="str">
        <f t="array" ref="L425">IFERROR(INDEX('Player Raw Data'!Y:Y,Match($A425,'Player Raw Data'!$B:$B,0)),"")</f>
        <v/>
      </c>
      <c r="M425" t="str">
        <f t="array" ref="M425">IFERROR(INDEX('Player Raw Data'!Z:Z,Match($A425,'Player Raw Data'!$B:$B,0)),"")</f>
        <v/>
      </c>
      <c r="N425" t="str">
        <f t="array" ref="N425">IFERROR(INDEX('Player Raw Data'!AA:AA,Match($A425,'Player Raw Data'!$B:$B,0)),"")</f>
        <v/>
      </c>
      <c r="O425" t="str">
        <f t="array" ref="O425">IFERROR(INDEX('Player Raw Data'!AB:AB,Match($A425,'Player Raw Data'!$B:$B,0)),"")</f>
        <v/>
      </c>
      <c r="P425" t="str">
        <f t="array" ref="P425">IFERROR(INDEX('Player Raw Data'!AD:AD,Match($A425,'Player Raw Data'!$B:$B,0)),"")</f>
        <v/>
      </c>
      <c r="Q425">
        <f t="shared" si="1"/>
        <v>0</v>
      </c>
      <c r="R425" s="9">
        <f t="shared" si="2"/>
        <v>0</v>
      </c>
      <c r="S425" s="14">
        <f t="shared" si="3"/>
        <v>0</v>
      </c>
      <c r="T425" s="15">
        <f>IFERROR(__xludf.DUMMYFUNCTION("IFERROR(PERCENTRANK.INC(FILTER(Q:Q,$F:$F&lt;&gt;""""),Q425)*100,"""")"),1.5)</f>
        <v>1.5</v>
      </c>
      <c r="U425" s="15">
        <f>IFERROR(__xludf.DUMMYFUNCTION("IFERROR(PERCENTRANK.INC(FILTER(R:R,$F:$F&lt;&gt;""""),R425)*100,"""")"),1.5)</f>
        <v>1.5</v>
      </c>
      <c r="V425" s="15">
        <f>IFERROR(__xludf.DUMMYFUNCTION("IFERROR(PERCENTRANK.INC(FILTER(S:S,$F:$F&lt;&gt;""""),S425)*100,"""")"),1.5)</f>
        <v>1.5</v>
      </c>
      <c r="W425" s="15" t="str">
        <f t="shared" si="4"/>
        <v/>
      </c>
      <c r="X425" s="16"/>
      <c r="Y425" s="9"/>
      <c r="Z425" s="9"/>
    </row>
    <row r="426">
      <c r="B426" t="str">
        <f t="array" ref="B426">IFERROR(INDEX('Player Raw Data'!E:E,Match($A426,'Player Raw Data'!$B:$B,0)),"")</f>
        <v/>
      </c>
      <c r="C426" t="str">
        <f t="array" ref="C426">IFERROR(INDEX('Player Raw Data'!C:C,Match($A426,'Player Raw Data'!$B:$B,0)),"")</f>
        <v/>
      </c>
      <c r="D426" t="str">
        <f t="array" ref="D426">IFERROR(IF(A426=A425, INDEX('Player Raw Data'!D:D,Match($A426,'Player Raw Data'!$B:$B,0)+2),INDEX('Player Raw Data'!D:D,Match($A426,'Player Raw Data'!$B:$B,0))),"")</f>
        <v/>
      </c>
      <c r="E426" t="str">
        <f t="array" ref="E426">IFERROR(INDEX('Player Raw Data'!F:F,Match($A426,'Player Raw Data'!$B:$B,0)),"")</f>
        <v/>
      </c>
      <c r="F426" t="str">
        <f t="array" ref="F426">IFERROR(INDEX('Player Raw Data'!H:H,Match($A426,'Player Raw Data'!$B:$B,0)),"")</f>
        <v/>
      </c>
      <c r="G426" t="str">
        <f t="array" ref="G426">IFERROR(INDEX('Player Raw Data'!I:I,Match($A426,'Player Raw Data'!$B:$B,0)),"")</f>
        <v/>
      </c>
      <c r="H426" t="str">
        <f t="array" ref="H426">IFERROR(INDEX('Player Raw Data'!J:J,Match($A426,'Player Raw Data'!$B:$B,0)),"")</f>
        <v/>
      </c>
      <c r="I426" t="str">
        <f t="array" ref="I426">IFERROR(INDEX('Player Raw Data'!S:S,Match($A426,'Player Raw Data'!$B:$B,0)),"")</f>
        <v/>
      </c>
      <c r="J426" t="str">
        <f t="array" ref="J426">IFERROR(INDEX('Player Raw Data'!T:T,Match($A426,'Player Raw Data'!$B:$B,0)),"")</f>
        <v/>
      </c>
      <c r="K426" t="str">
        <f t="array" ref="K426">IFERROR(INDEX('Player Raw Data'!X:X,Match($A426,'Player Raw Data'!$B:$B,0)),"")</f>
        <v/>
      </c>
      <c r="L426" t="str">
        <f t="array" ref="L426">IFERROR(INDEX('Player Raw Data'!Y:Y,Match($A426,'Player Raw Data'!$B:$B,0)),"")</f>
        <v/>
      </c>
      <c r="M426" t="str">
        <f t="array" ref="M426">IFERROR(INDEX('Player Raw Data'!Z:Z,Match($A426,'Player Raw Data'!$B:$B,0)),"")</f>
        <v/>
      </c>
      <c r="N426" t="str">
        <f t="array" ref="N426">IFERROR(INDEX('Player Raw Data'!AA:AA,Match($A426,'Player Raw Data'!$B:$B,0)),"")</f>
        <v/>
      </c>
      <c r="O426" t="str">
        <f t="array" ref="O426">IFERROR(INDEX('Player Raw Data'!AB:AB,Match($A426,'Player Raw Data'!$B:$B,0)),"")</f>
        <v/>
      </c>
      <c r="P426" t="str">
        <f t="array" ref="P426">IFERROR(INDEX('Player Raw Data'!AD:AD,Match($A426,'Player Raw Data'!$B:$B,0)),"")</f>
        <v/>
      </c>
      <c r="Q426">
        <f t="shared" si="1"/>
        <v>0</v>
      </c>
      <c r="R426" s="9">
        <f t="shared" si="2"/>
        <v>0</v>
      </c>
      <c r="S426" s="14">
        <f t="shared" si="3"/>
        <v>0</v>
      </c>
      <c r="T426" s="15">
        <f>IFERROR(__xludf.DUMMYFUNCTION("IFERROR(PERCENTRANK.INC(FILTER(Q:Q,$F:$F&lt;&gt;""""),Q426)*100,"""")"),1.5)</f>
        <v>1.5</v>
      </c>
      <c r="U426" s="15">
        <f>IFERROR(__xludf.DUMMYFUNCTION("IFERROR(PERCENTRANK.INC(FILTER(R:R,$F:$F&lt;&gt;""""),R426)*100,"""")"),1.5)</f>
        <v>1.5</v>
      </c>
      <c r="V426" s="15">
        <f>IFERROR(__xludf.DUMMYFUNCTION("IFERROR(PERCENTRANK.INC(FILTER(S:S,$F:$F&lt;&gt;""""),S426)*100,"""")"),1.5)</f>
        <v>1.5</v>
      </c>
      <c r="W426" s="15" t="str">
        <f t="shared" si="4"/>
        <v/>
      </c>
      <c r="X426" s="16"/>
      <c r="Y426" s="9"/>
      <c r="Z426" s="9"/>
    </row>
    <row r="427">
      <c r="B427" t="str">
        <f t="array" ref="B427">IFERROR(INDEX('Player Raw Data'!E:E,Match($A427,'Player Raw Data'!$B:$B,0)),"")</f>
        <v/>
      </c>
      <c r="C427" t="str">
        <f t="array" ref="C427">IFERROR(INDEX('Player Raw Data'!C:C,Match($A427,'Player Raw Data'!$B:$B,0)),"")</f>
        <v/>
      </c>
      <c r="D427" t="str">
        <f t="array" ref="D427">IFERROR(IF(A427=A426, INDEX('Player Raw Data'!D:D,Match($A427,'Player Raw Data'!$B:$B,0)+2),INDEX('Player Raw Data'!D:D,Match($A427,'Player Raw Data'!$B:$B,0))),"")</f>
        <v/>
      </c>
      <c r="E427" t="str">
        <f t="array" ref="E427">IFERROR(INDEX('Player Raw Data'!F:F,Match($A427,'Player Raw Data'!$B:$B,0)),"")</f>
        <v/>
      </c>
      <c r="F427" t="str">
        <f t="array" ref="F427">IFERROR(INDEX('Player Raw Data'!H:H,Match($A427,'Player Raw Data'!$B:$B,0)),"")</f>
        <v/>
      </c>
      <c r="G427" t="str">
        <f t="array" ref="G427">IFERROR(INDEX('Player Raw Data'!I:I,Match($A427,'Player Raw Data'!$B:$B,0)),"")</f>
        <v/>
      </c>
      <c r="H427" t="str">
        <f t="array" ref="H427">IFERROR(INDEX('Player Raw Data'!J:J,Match($A427,'Player Raw Data'!$B:$B,0)),"")</f>
        <v/>
      </c>
      <c r="I427" t="str">
        <f t="array" ref="I427">IFERROR(INDEX('Player Raw Data'!S:S,Match($A427,'Player Raw Data'!$B:$B,0)),"")</f>
        <v/>
      </c>
      <c r="J427" t="str">
        <f t="array" ref="J427">IFERROR(INDEX('Player Raw Data'!T:T,Match($A427,'Player Raw Data'!$B:$B,0)),"")</f>
        <v/>
      </c>
      <c r="K427" t="str">
        <f t="array" ref="K427">IFERROR(INDEX('Player Raw Data'!X:X,Match($A427,'Player Raw Data'!$B:$B,0)),"")</f>
        <v/>
      </c>
      <c r="L427" t="str">
        <f t="array" ref="L427">IFERROR(INDEX('Player Raw Data'!Y:Y,Match($A427,'Player Raw Data'!$B:$B,0)),"")</f>
        <v/>
      </c>
      <c r="M427" t="str">
        <f t="array" ref="M427">IFERROR(INDEX('Player Raw Data'!Z:Z,Match($A427,'Player Raw Data'!$B:$B,0)),"")</f>
        <v/>
      </c>
      <c r="N427" t="str">
        <f t="array" ref="N427">IFERROR(INDEX('Player Raw Data'!AA:AA,Match($A427,'Player Raw Data'!$B:$B,0)),"")</f>
        <v/>
      </c>
      <c r="O427" t="str">
        <f t="array" ref="O427">IFERROR(INDEX('Player Raw Data'!AB:AB,Match($A427,'Player Raw Data'!$B:$B,0)),"")</f>
        <v/>
      </c>
      <c r="P427" t="str">
        <f t="array" ref="P427">IFERROR(INDEX('Player Raw Data'!AD:AD,Match($A427,'Player Raw Data'!$B:$B,0)),"")</f>
        <v/>
      </c>
      <c r="Q427">
        <f t="shared" si="1"/>
        <v>0</v>
      </c>
      <c r="R427" s="9">
        <f t="shared" si="2"/>
        <v>0</v>
      </c>
      <c r="S427" s="14">
        <f t="shared" si="3"/>
        <v>0</v>
      </c>
      <c r="T427" s="15">
        <f>IFERROR(__xludf.DUMMYFUNCTION("IFERROR(PERCENTRANK.INC(FILTER(Q:Q,$F:$F&lt;&gt;""""),Q427)*100,"""")"),1.5)</f>
        <v>1.5</v>
      </c>
      <c r="U427" s="15">
        <f>IFERROR(__xludf.DUMMYFUNCTION("IFERROR(PERCENTRANK.INC(FILTER(R:R,$F:$F&lt;&gt;""""),R427)*100,"""")"),1.5)</f>
        <v>1.5</v>
      </c>
      <c r="V427" s="15">
        <f>IFERROR(__xludf.DUMMYFUNCTION("IFERROR(PERCENTRANK.INC(FILTER(S:S,$F:$F&lt;&gt;""""),S427)*100,"""")"),1.5)</f>
        <v>1.5</v>
      </c>
      <c r="W427" s="15" t="str">
        <f t="shared" si="4"/>
        <v/>
      </c>
      <c r="X427" s="16"/>
      <c r="Y427" s="9"/>
      <c r="Z427" s="9"/>
    </row>
    <row r="428">
      <c r="B428" t="str">
        <f t="array" ref="B428">IFERROR(INDEX('Player Raw Data'!E:E,Match($A428,'Player Raw Data'!$B:$B,0)),"")</f>
        <v/>
      </c>
      <c r="C428" t="str">
        <f t="array" ref="C428">IFERROR(INDEX('Player Raw Data'!C:C,Match($A428,'Player Raw Data'!$B:$B,0)),"")</f>
        <v/>
      </c>
      <c r="D428" t="str">
        <f t="array" ref="D428">IFERROR(IF(A428=A427, INDEX('Player Raw Data'!D:D,Match($A428,'Player Raw Data'!$B:$B,0)+2),INDEX('Player Raw Data'!D:D,Match($A428,'Player Raw Data'!$B:$B,0))),"")</f>
        <v/>
      </c>
      <c r="E428" t="str">
        <f t="array" ref="E428">IFERROR(INDEX('Player Raw Data'!F:F,Match($A428,'Player Raw Data'!$B:$B,0)),"")</f>
        <v/>
      </c>
      <c r="F428" t="str">
        <f t="array" ref="F428">IFERROR(INDEX('Player Raw Data'!H:H,Match($A428,'Player Raw Data'!$B:$B,0)),"")</f>
        <v/>
      </c>
      <c r="G428" t="str">
        <f t="array" ref="G428">IFERROR(INDEX('Player Raw Data'!I:I,Match($A428,'Player Raw Data'!$B:$B,0)),"")</f>
        <v/>
      </c>
      <c r="H428" t="str">
        <f t="array" ref="H428">IFERROR(INDEX('Player Raw Data'!J:J,Match($A428,'Player Raw Data'!$B:$B,0)),"")</f>
        <v/>
      </c>
      <c r="I428" t="str">
        <f t="array" ref="I428">IFERROR(INDEX('Player Raw Data'!S:S,Match($A428,'Player Raw Data'!$B:$B,0)),"")</f>
        <v/>
      </c>
      <c r="J428" t="str">
        <f t="array" ref="J428">IFERROR(INDEX('Player Raw Data'!T:T,Match($A428,'Player Raw Data'!$B:$B,0)),"")</f>
        <v/>
      </c>
      <c r="K428" t="str">
        <f t="array" ref="K428">IFERROR(INDEX('Player Raw Data'!X:X,Match($A428,'Player Raw Data'!$B:$B,0)),"")</f>
        <v/>
      </c>
      <c r="L428" t="str">
        <f t="array" ref="L428">IFERROR(INDEX('Player Raw Data'!Y:Y,Match($A428,'Player Raw Data'!$B:$B,0)),"")</f>
        <v/>
      </c>
      <c r="M428" t="str">
        <f t="array" ref="M428">IFERROR(INDEX('Player Raw Data'!Z:Z,Match($A428,'Player Raw Data'!$B:$B,0)),"")</f>
        <v/>
      </c>
      <c r="N428" t="str">
        <f t="array" ref="N428">IFERROR(INDEX('Player Raw Data'!AA:AA,Match($A428,'Player Raw Data'!$B:$B,0)),"")</f>
        <v/>
      </c>
      <c r="O428" t="str">
        <f t="array" ref="O428">IFERROR(INDEX('Player Raw Data'!AB:AB,Match($A428,'Player Raw Data'!$B:$B,0)),"")</f>
        <v/>
      </c>
      <c r="P428" t="str">
        <f t="array" ref="P428">IFERROR(INDEX('Player Raw Data'!AD:AD,Match($A428,'Player Raw Data'!$B:$B,0)),"")</f>
        <v/>
      </c>
      <c r="Q428">
        <f t="shared" si="1"/>
        <v>0</v>
      </c>
      <c r="R428" s="9">
        <f t="shared" si="2"/>
        <v>0</v>
      </c>
      <c r="S428" s="14">
        <f t="shared" si="3"/>
        <v>0</v>
      </c>
      <c r="T428" s="15">
        <f>IFERROR(__xludf.DUMMYFUNCTION("IFERROR(PERCENTRANK.INC(FILTER(Q:Q,$F:$F&lt;&gt;""""),Q428)*100,"""")"),1.5)</f>
        <v>1.5</v>
      </c>
      <c r="U428" s="15">
        <f>IFERROR(__xludf.DUMMYFUNCTION("IFERROR(PERCENTRANK.INC(FILTER(R:R,$F:$F&lt;&gt;""""),R428)*100,"""")"),1.5)</f>
        <v>1.5</v>
      </c>
      <c r="V428" s="15">
        <f>IFERROR(__xludf.DUMMYFUNCTION("IFERROR(PERCENTRANK.INC(FILTER(S:S,$F:$F&lt;&gt;""""),S428)*100,"""")"),1.5)</f>
        <v>1.5</v>
      </c>
      <c r="W428" s="15" t="str">
        <f t="shared" si="4"/>
        <v/>
      </c>
      <c r="X428" s="16"/>
      <c r="Y428" s="9"/>
      <c r="Z428" s="9"/>
    </row>
    <row r="429">
      <c r="B429" t="str">
        <f t="array" ref="B429">IFERROR(INDEX('Player Raw Data'!E:E,Match($A429,'Player Raw Data'!$B:$B,0)),"")</f>
        <v/>
      </c>
      <c r="C429" t="str">
        <f t="array" ref="C429">IFERROR(INDEX('Player Raw Data'!C:C,Match($A429,'Player Raw Data'!$B:$B,0)),"")</f>
        <v/>
      </c>
      <c r="D429" t="str">
        <f t="array" ref="D429">IFERROR(IF(A429=A428, INDEX('Player Raw Data'!D:D,Match($A429,'Player Raw Data'!$B:$B,0)+2),INDEX('Player Raw Data'!D:D,Match($A429,'Player Raw Data'!$B:$B,0))),"")</f>
        <v/>
      </c>
      <c r="E429" t="str">
        <f t="array" ref="E429">IFERROR(INDEX('Player Raw Data'!F:F,Match($A429,'Player Raw Data'!$B:$B,0)),"")</f>
        <v/>
      </c>
      <c r="F429" t="str">
        <f t="array" ref="F429">IFERROR(INDEX('Player Raw Data'!H:H,Match($A429,'Player Raw Data'!$B:$B,0)),"")</f>
        <v/>
      </c>
      <c r="G429" t="str">
        <f t="array" ref="G429">IFERROR(INDEX('Player Raw Data'!I:I,Match($A429,'Player Raw Data'!$B:$B,0)),"")</f>
        <v/>
      </c>
      <c r="H429" t="str">
        <f t="array" ref="H429">IFERROR(INDEX('Player Raw Data'!J:J,Match($A429,'Player Raw Data'!$B:$B,0)),"")</f>
        <v/>
      </c>
      <c r="I429" t="str">
        <f t="array" ref="I429">IFERROR(INDEX('Player Raw Data'!S:S,Match($A429,'Player Raw Data'!$B:$B,0)),"")</f>
        <v/>
      </c>
      <c r="J429" t="str">
        <f t="array" ref="J429">IFERROR(INDEX('Player Raw Data'!T:T,Match($A429,'Player Raw Data'!$B:$B,0)),"")</f>
        <v/>
      </c>
      <c r="K429" t="str">
        <f t="array" ref="K429">IFERROR(INDEX('Player Raw Data'!X:X,Match($A429,'Player Raw Data'!$B:$B,0)),"")</f>
        <v/>
      </c>
      <c r="L429" t="str">
        <f t="array" ref="L429">IFERROR(INDEX('Player Raw Data'!Y:Y,Match($A429,'Player Raw Data'!$B:$B,0)),"")</f>
        <v/>
      </c>
      <c r="M429" t="str">
        <f t="array" ref="M429">IFERROR(INDEX('Player Raw Data'!Z:Z,Match($A429,'Player Raw Data'!$B:$B,0)),"")</f>
        <v/>
      </c>
      <c r="N429" t="str">
        <f t="array" ref="N429">IFERROR(INDEX('Player Raw Data'!AA:AA,Match($A429,'Player Raw Data'!$B:$B,0)),"")</f>
        <v/>
      </c>
      <c r="O429" t="str">
        <f t="array" ref="O429">IFERROR(INDEX('Player Raw Data'!AB:AB,Match($A429,'Player Raw Data'!$B:$B,0)),"")</f>
        <v/>
      </c>
      <c r="P429" t="str">
        <f t="array" ref="P429">IFERROR(INDEX('Player Raw Data'!AD:AD,Match($A429,'Player Raw Data'!$B:$B,0)),"")</f>
        <v/>
      </c>
      <c r="Q429">
        <f t="shared" si="1"/>
        <v>0</v>
      </c>
      <c r="R429" s="9">
        <f t="shared" si="2"/>
        <v>0</v>
      </c>
      <c r="S429" s="14">
        <f t="shared" si="3"/>
        <v>0</v>
      </c>
      <c r="T429" s="15">
        <f>IFERROR(__xludf.DUMMYFUNCTION("IFERROR(PERCENTRANK.INC(FILTER(Q:Q,$F:$F&lt;&gt;""""),Q429)*100,"""")"),1.5)</f>
        <v>1.5</v>
      </c>
      <c r="U429" s="15">
        <f>IFERROR(__xludf.DUMMYFUNCTION("IFERROR(PERCENTRANK.INC(FILTER(R:R,$F:$F&lt;&gt;""""),R429)*100,"""")"),1.5)</f>
        <v>1.5</v>
      </c>
      <c r="V429" s="15">
        <f>IFERROR(__xludf.DUMMYFUNCTION("IFERROR(PERCENTRANK.INC(FILTER(S:S,$F:$F&lt;&gt;""""),S429)*100,"""")"),1.5)</f>
        <v>1.5</v>
      </c>
      <c r="W429" s="15" t="str">
        <f t="shared" si="4"/>
        <v/>
      </c>
      <c r="X429" s="16"/>
      <c r="Y429" s="9"/>
      <c r="Z429" s="9"/>
    </row>
    <row r="430">
      <c r="B430" t="str">
        <f t="array" ref="B430">IFERROR(INDEX('Player Raw Data'!E:E,Match($A430,'Player Raw Data'!$B:$B,0)),"")</f>
        <v/>
      </c>
      <c r="C430" t="str">
        <f t="array" ref="C430">IFERROR(INDEX('Player Raw Data'!C:C,Match($A430,'Player Raw Data'!$B:$B,0)),"")</f>
        <v/>
      </c>
      <c r="D430" t="str">
        <f t="array" ref="D430">IFERROR(IF(A430=A429, INDEX('Player Raw Data'!D:D,Match($A430,'Player Raw Data'!$B:$B,0)+2),INDEX('Player Raw Data'!D:D,Match($A430,'Player Raw Data'!$B:$B,0))),"")</f>
        <v/>
      </c>
      <c r="E430" t="str">
        <f t="array" ref="E430">IFERROR(INDEX('Player Raw Data'!F:F,Match($A430,'Player Raw Data'!$B:$B,0)),"")</f>
        <v/>
      </c>
      <c r="F430" t="str">
        <f t="array" ref="F430">IFERROR(INDEX('Player Raw Data'!H:H,Match($A430,'Player Raw Data'!$B:$B,0)),"")</f>
        <v/>
      </c>
      <c r="G430" t="str">
        <f t="array" ref="G430">IFERROR(INDEX('Player Raw Data'!I:I,Match($A430,'Player Raw Data'!$B:$B,0)),"")</f>
        <v/>
      </c>
      <c r="H430" t="str">
        <f t="array" ref="H430">IFERROR(INDEX('Player Raw Data'!J:J,Match($A430,'Player Raw Data'!$B:$B,0)),"")</f>
        <v/>
      </c>
      <c r="I430" t="str">
        <f t="array" ref="I430">IFERROR(INDEX('Player Raw Data'!S:S,Match($A430,'Player Raw Data'!$B:$B,0)),"")</f>
        <v/>
      </c>
      <c r="J430" t="str">
        <f t="array" ref="J430">IFERROR(INDEX('Player Raw Data'!T:T,Match($A430,'Player Raw Data'!$B:$B,0)),"")</f>
        <v/>
      </c>
      <c r="K430" t="str">
        <f t="array" ref="K430">IFERROR(INDEX('Player Raw Data'!X:X,Match($A430,'Player Raw Data'!$B:$B,0)),"")</f>
        <v/>
      </c>
      <c r="L430" t="str">
        <f t="array" ref="L430">IFERROR(INDEX('Player Raw Data'!Y:Y,Match($A430,'Player Raw Data'!$B:$B,0)),"")</f>
        <v/>
      </c>
      <c r="M430" t="str">
        <f t="array" ref="M430">IFERROR(INDEX('Player Raw Data'!Z:Z,Match($A430,'Player Raw Data'!$B:$B,0)),"")</f>
        <v/>
      </c>
      <c r="N430" t="str">
        <f t="array" ref="N430">IFERROR(INDEX('Player Raw Data'!AA:AA,Match($A430,'Player Raw Data'!$B:$B,0)),"")</f>
        <v/>
      </c>
      <c r="O430" t="str">
        <f t="array" ref="O430">IFERROR(INDEX('Player Raw Data'!AB:AB,Match($A430,'Player Raw Data'!$B:$B,0)),"")</f>
        <v/>
      </c>
      <c r="P430" t="str">
        <f t="array" ref="P430">IFERROR(INDEX('Player Raw Data'!AD:AD,Match($A430,'Player Raw Data'!$B:$B,0)),"")</f>
        <v/>
      </c>
      <c r="Q430">
        <f t="shared" si="1"/>
        <v>0</v>
      </c>
      <c r="R430" s="9">
        <f t="shared" si="2"/>
        <v>0</v>
      </c>
      <c r="S430" s="14">
        <f t="shared" si="3"/>
        <v>0</v>
      </c>
      <c r="T430" s="15">
        <f>IFERROR(__xludf.DUMMYFUNCTION("IFERROR(PERCENTRANK.INC(FILTER(Q:Q,$F:$F&lt;&gt;""""),Q430)*100,"""")"),1.5)</f>
        <v>1.5</v>
      </c>
      <c r="U430" s="15">
        <f>IFERROR(__xludf.DUMMYFUNCTION("IFERROR(PERCENTRANK.INC(FILTER(R:R,$F:$F&lt;&gt;""""),R430)*100,"""")"),1.5)</f>
        <v>1.5</v>
      </c>
      <c r="V430" s="15">
        <f>IFERROR(__xludf.DUMMYFUNCTION("IFERROR(PERCENTRANK.INC(FILTER(S:S,$F:$F&lt;&gt;""""),S430)*100,"""")"),1.5)</f>
        <v>1.5</v>
      </c>
      <c r="W430" s="15" t="str">
        <f t="shared" si="4"/>
        <v/>
      </c>
      <c r="X430" s="16"/>
      <c r="Y430" s="9"/>
      <c r="Z430" s="9"/>
    </row>
    <row r="431">
      <c r="B431" t="str">
        <f t="array" ref="B431">IFERROR(INDEX('Player Raw Data'!E:E,Match($A431,'Player Raw Data'!$B:$B,0)),"")</f>
        <v/>
      </c>
      <c r="C431" t="str">
        <f t="array" ref="C431">IFERROR(INDEX('Player Raw Data'!C:C,Match($A431,'Player Raw Data'!$B:$B,0)),"")</f>
        <v/>
      </c>
      <c r="D431" t="str">
        <f t="array" ref="D431">IFERROR(IF(A431=A430, INDEX('Player Raw Data'!D:D,Match($A431,'Player Raw Data'!$B:$B,0)+2),INDEX('Player Raw Data'!D:D,Match($A431,'Player Raw Data'!$B:$B,0))),"")</f>
        <v/>
      </c>
      <c r="E431" t="str">
        <f t="array" ref="E431">IFERROR(INDEX('Player Raw Data'!F:F,Match($A431,'Player Raw Data'!$B:$B,0)),"")</f>
        <v/>
      </c>
      <c r="F431" t="str">
        <f t="array" ref="F431">IFERROR(INDEX('Player Raw Data'!H:H,Match($A431,'Player Raw Data'!$B:$B,0)),"")</f>
        <v/>
      </c>
      <c r="G431" t="str">
        <f t="array" ref="G431">IFERROR(INDEX('Player Raw Data'!I:I,Match($A431,'Player Raw Data'!$B:$B,0)),"")</f>
        <v/>
      </c>
      <c r="H431" t="str">
        <f t="array" ref="H431">IFERROR(INDEX('Player Raw Data'!J:J,Match($A431,'Player Raw Data'!$B:$B,0)),"")</f>
        <v/>
      </c>
      <c r="I431" t="str">
        <f t="array" ref="I431">IFERROR(INDEX('Player Raw Data'!S:S,Match($A431,'Player Raw Data'!$B:$B,0)),"")</f>
        <v/>
      </c>
      <c r="J431" t="str">
        <f t="array" ref="J431">IFERROR(INDEX('Player Raw Data'!T:T,Match($A431,'Player Raw Data'!$B:$B,0)),"")</f>
        <v/>
      </c>
      <c r="K431" t="str">
        <f t="array" ref="K431">IFERROR(INDEX('Player Raw Data'!X:X,Match($A431,'Player Raw Data'!$B:$B,0)),"")</f>
        <v/>
      </c>
      <c r="L431" t="str">
        <f t="array" ref="L431">IFERROR(INDEX('Player Raw Data'!Y:Y,Match($A431,'Player Raw Data'!$B:$B,0)),"")</f>
        <v/>
      </c>
      <c r="M431" t="str">
        <f t="array" ref="M431">IFERROR(INDEX('Player Raw Data'!Z:Z,Match($A431,'Player Raw Data'!$B:$B,0)),"")</f>
        <v/>
      </c>
      <c r="N431" t="str">
        <f t="array" ref="N431">IFERROR(INDEX('Player Raw Data'!AA:AA,Match($A431,'Player Raw Data'!$B:$B,0)),"")</f>
        <v/>
      </c>
      <c r="O431" t="str">
        <f t="array" ref="O431">IFERROR(INDEX('Player Raw Data'!AB:AB,Match($A431,'Player Raw Data'!$B:$B,0)),"")</f>
        <v/>
      </c>
      <c r="P431" t="str">
        <f t="array" ref="P431">IFERROR(INDEX('Player Raw Data'!AD:AD,Match($A431,'Player Raw Data'!$B:$B,0)),"")</f>
        <v/>
      </c>
      <c r="Q431">
        <f t="shared" si="1"/>
        <v>0</v>
      </c>
      <c r="R431" s="9">
        <f t="shared" si="2"/>
        <v>0</v>
      </c>
      <c r="S431" s="14">
        <f t="shared" si="3"/>
        <v>0</v>
      </c>
      <c r="T431" s="15">
        <f>IFERROR(__xludf.DUMMYFUNCTION("IFERROR(PERCENTRANK.INC(FILTER(Q:Q,$F:$F&lt;&gt;""""),Q431)*100,"""")"),1.5)</f>
        <v>1.5</v>
      </c>
      <c r="U431" s="15">
        <f>IFERROR(__xludf.DUMMYFUNCTION("IFERROR(PERCENTRANK.INC(FILTER(R:R,$F:$F&lt;&gt;""""),R431)*100,"""")"),1.5)</f>
        <v>1.5</v>
      </c>
      <c r="V431" s="15">
        <f>IFERROR(__xludf.DUMMYFUNCTION("IFERROR(PERCENTRANK.INC(FILTER(S:S,$F:$F&lt;&gt;""""),S431)*100,"""")"),1.5)</f>
        <v>1.5</v>
      </c>
      <c r="W431" s="15" t="str">
        <f t="shared" si="4"/>
        <v/>
      </c>
      <c r="X431" s="16"/>
      <c r="Y431" s="9"/>
      <c r="Z431" s="9"/>
    </row>
    <row r="432">
      <c r="B432" t="str">
        <f t="array" ref="B432">IFERROR(INDEX('Player Raw Data'!E:E,Match($A432,'Player Raw Data'!$B:$B,0)),"")</f>
        <v/>
      </c>
      <c r="C432" t="str">
        <f t="array" ref="C432">IFERROR(INDEX('Player Raw Data'!C:C,Match($A432,'Player Raw Data'!$B:$B,0)),"")</f>
        <v/>
      </c>
      <c r="D432" t="str">
        <f t="array" ref="D432">IFERROR(IF(A432=A431, INDEX('Player Raw Data'!D:D,Match($A432,'Player Raw Data'!$B:$B,0)+2),INDEX('Player Raw Data'!D:D,Match($A432,'Player Raw Data'!$B:$B,0))),"")</f>
        <v/>
      </c>
      <c r="E432" t="str">
        <f t="array" ref="E432">IFERROR(INDEX('Player Raw Data'!F:F,Match($A432,'Player Raw Data'!$B:$B,0)),"")</f>
        <v/>
      </c>
      <c r="F432" t="str">
        <f t="array" ref="F432">IFERROR(INDEX('Player Raw Data'!H:H,Match($A432,'Player Raw Data'!$B:$B,0)),"")</f>
        <v/>
      </c>
      <c r="G432" t="str">
        <f t="array" ref="G432">IFERROR(INDEX('Player Raw Data'!I:I,Match($A432,'Player Raw Data'!$B:$B,0)),"")</f>
        <v/>
      </c>
      <c r="H432" t="str">
        <f t="array" ref="H432">IFERROR(INDEX('Player Raw Data'!J:J,Match($A432,'Player Raw Data'!$B:$B,0)),"")</f>
        <v/>
      </c>
      <c r="I432" t="str">
        <f t="array" ref="I432">IFERROR(INDEX('Player Raw Data'!S:S,Match($A432,'Player Raw Data'!$B:$B,0)),"")</f>
        <v/>
      </c>
      <c r="J432" t="str">
        <f t="array" ref="J432">IFERROR(INDEX('Player Raw Data'!T:T,Match($A432,'Player Raw Data'!$B:$B,0)),"")</f>
        <v/>
      </c>
      <c r="K432" t="str">
        <f t="array" ref="K432">IFERROR(INDEX('Player Raw Data'!X:X,Match($A432,'Player Raw Data'!$B:$B,0)),"")</f>
        <v/>
      </c>
      <c r="L432" t="str">
        <f t="array" ref="L432">IFERROR(INDEX('Player Raw Data'!Y:Y,Match($A432,'Player Raw Data'!$B:$B,0)),"")</f>
        <v/>
      </c>
      <c r="M432" t="str">
        <f t="array" ref="M432">IFERROR(INDEX('Player Raw Data'!Z:Z,Match($A432,'Player Raw Data'!$B:$B,0)),"")</f>
        <v/>
      </c>
      <c r="N432" t="str">
        <f t="array" ref="N432">IFERROR(INDEX('Player Raw Data'!AA:AA,Match($A432,'Player Raw Data'!$B:$B,0)),"")</f>
        <v/>
      </c>
      <c r="O432" t="str">
        <f t="array" ref="O432">IFERROR(INDEX('Player Raw Data'!AB:AB,Match($A432,'Player Raw Data'!$B:$B,0)),"")</f>
        <v/>
      </c>
      <c r="P432" t="str">
        <f t="array" ref="P432">IFERROR(INDEX('Player Raw Data'!AD:AD,Match($A432,'Player Raw Data'!$B:$B,0)),"")</f>
        <v/>
      </c>
      <c r="Q432">
        <f t="shared" si="1"/>
        <v>0</v>
      </c>
      <c r="R432" s="9">
        <f t="shared" si="2"/>
        <v>0</v>
      </c>
      <c r="S432" s="14">
        <f t="shared" si="3"/>
        <v>0</v>
      </c>
      <c r="T432" s="15">
        <f>IFERROR(__xludf.DUMMYFUNCTION("IFERROR(PERCENTRANK.INC(FILTER(Q:Q,$F:$F&lt;&gt;""""),Q432)*100,"""")"),1.5)</f>
        <v>1.5</v>
      </c>
      <c r="U432" s="15">
        <f>IFERROR(__xludf.DUMMYFUNCTION("IFERROR(PERCENTRANK.INC(FILTER(R:R,$F:$F&lt;&gt;""""),R432)*100,"""")"),1.5)</f>
        <v>1.5</v>
      </c>
      <c r="V432" s="15">
        <f>IFERROR(__xludf.DUMMYFUNCTION("IFERROR(PERCENTRANK.INC(FILTER(S:S,$F:$F&lt;&gt;""""),S432)*100,"""")"),1.5)</f>
        <v>1.5</v>
      </c>
      <c r="W432" s="15" t="str">
        <f t="shared" si="4"/>
        <v/>
      </c>
      <c r="X432" s="16"/>
      <c r="Y432" s="9"/>
      <c r="Z432" s="9"/>
    </row>
    <row r="433">
      <c r="B433" t="str">
        <f t="array" ref="B433">IFERROR(INDEX('Player Raw Data'!E:E,Match($A433,'Player Raw Data'!$B:$B,0)),"")</f>
        <v/>
      </c>
      <c r="C433" t="str">
        <f t="array" ref="C433">IFERROR(INDEX('Player Raw Data'!C:C,Match($A433,'Player Raw Data'!$B:$B,0)),"")</f>
        <v/>
      </c>
      <c r="D433" t="str">
        <f t="array" ref="D433">IFERROR(IF(A433=A432, INDEX('Player Raw Data'!D:D,Match($A433,'Player Raw Data'!$B:$B,0)+2),INDEX('Player Raw Data'!D:D,Match($A433,'Player Raw Data'!$B:$B,0))),"")</f>
        <v/>
      </c>
      <c r="E433" t="str">
        <f t="array" ref="E433">IFERROR(INDEX('Player Raw Data'!F:F,Match($A433,'Player Raw Data'!$B:$B,0)),"")</f>
        <v/>
      </c>
      <c r="F433" t="str">
        <f t="array" ref="F433">IFERROR(INDEX('Player Raw Data'!H:H,Match($A433,'Player Raw Data'!$B:$B,0)),"")</f>
        <v/>
      </c>
      <c r="G433" t="str">
        <f t="array" ref="G433">IFERROR(INDEX('Player Raw Data'!I:I,Match($A433,'Player Raw Data'!$B:$B,0)),"")</f>
        <v/>
      </c>
      <c r="H433" t="str">
        <f t="array" ref="H433">IFERROR(INDEX('Player Raw Data'!J:J,Match($A433,'Player Raw Data'!$B:$B,0)),"")</f>
        <v/>
      </c>
      <c r="I433" t="str">
        <f t="array" ref="I433">IFERROR(INDEX('Player Raw Data'!S:S,Match($A433,'Player Raw Data'!$B:$B,0)),"")</f>
        <v/>
      </c>
      <c r="J433" t="str">
        <f t="array" ref="J433">IFERROR(INDEX('Player Raw Data'!T:T,Match($A433,'Player Raw Data'!$B:$B,0)),"")</f>
        <v/>
      </c>
      <c r="K433" t="str">
        <f t="array" ref="K433">IFERROR(INDEX('Player Raw Data'!X:X,Match($A433,'Player Raw Data'!$B:$B,0)),"")</f>
        <v/>
      </c>
      <c r="L433" t="str">
        <f t="array" ref="L433">IFERROR(INDEX('Player Raw Data'!Y:Y,Match($A433,'Player Raw Data'!$B:$B,0)),"")</f>
        <v/>
      </c>
      <c r="M433" t="str">
        <f t="array" ref="M433">IFERROR(INDEX('Player Raw Data'!Z:Z,Match($A433,'Player Raw Data'!$B:$B,0)),"")</f>
        <v/>
      </c>
      <c r="N433" t="str">
        <f t="array" ref="N433">IFERROR(INDEX('Player Raw Data'!AA:AA,Match($A433,'Player Raw Data'!$B:$B,0)),"")</f>
        <v/>
      </c>
      <c r="O433" t="str">
        <f t="array" ref="O433">IFERROR(INDEX('Player Raw Data'!AB:AB,Match($A433,'Player Raw Data'!$B:$B,0)),"")</f>
        <v/>
      </c>
      <c r="P433" t="str">
        <f t="array" ref="P433">IFERROR(INDEX('Player Raw Data'!AD:AD,Match($A433,'Player Raw Data'!$B:$B,0)),"")</f>
        <v/>
      </c>
      <c r="Q433">
        <f t="shared" si="1"/>
        <v>0</v>
      </c>
      <c r="R433" s="9">
        <f t="shared" si="2"/>
        <v>0</v>
      </c>
      <c r="S433" s="14">
        <f t="shared" si="3"/>
        <v>0</v>
      </c>
      <c r="T433" s="15">
        <f>IFERROR(__xludf.DUMMYFUNCTION("IFERROR(PERCENTRANK.INC(FILTER(Q:Q,$F:$F&lt;&gt;""""),Q433)*100,"""")"),1.5)</f>
        <v>1.5</v>
      </c>
      <c r="U433" s="15">
        <f>IFERROR(__xludf.DUMMYFUNCTION("IFERROR(PERCENTRANK.INC(FILTER(R:R,$F:$F&lt;&gt;""""),R433)*100,"""")"),1.5)</f>
        <v>1.5</v>
      </c>
      <c r="V433" s="15">
        <f>IFERROR(__xludf.DUMMYFUNCTION("IFERROR(PERCENTRANK.INC(FILTER(S:S,$F:$F&lt;&gt;""""),S433)*100,"""")"),1.5)</f>
        <v>1.5</v>
      </c>
      <c r="W433" s="15" t="str">
        <f t="shared" si="4"/>
        <v/>
      </c>
      <c r="X433" s="16"/>
      <c r="Y433" s="9"/>
      <c r="Z433" s="9"/>
    </row>
    <row r="434">
      <c r="B434" t="str">
        <f t="array" ref="B434">IFERROR(INDEX('Player Raw Data'!E:E,Match($A434,'Player Raw Data'!$B:$B,0)),"")</f>
        <v/>
      </c>
      <c r="C434" t="str">
        <f t="array" ref="C434">IFERROR(INDEX('Player Raw Data'!C:C,Match($A434,'Player Raw Data'!$B:$B,0)),"")</f>
        <v/>
      </c>
      <c r="D434" t="str">
        <f t="array" ref="D434">IFERROR(IF(A434=A433, INDEX('Player Raw Data'!D:D,Match($A434,'Player Raw Data'!$B:$B,0)+2),INDEX('Player Raw Data'!D:D,Match($A434,'Player Raw Data'!$B:$B,0))),"")</f>
        <v/>
      </c>
      <c r="E434" t="str">
        <f t="array" ref="E434">IFERROR(INDEX('Player Raw Data'!F:F,Match($A434,'Player Raw Data'!$B:$B,0)),"")</f>
        <v/>
      </c>
      <c r="F434" t="str">
        <f t="array" ref="F434">IFERROR(INDEX('Player Raw Data'!H:H,Match($A434,'Player Raw Data'!$B:$B,0)),"")</f>
        <v/>
      </c>
      <c r="G434" t="str">
        <f t="array" ref="G434">IFERROR(INDEX('Player Raw Data'!I:I,Match($A434,'Player Raw Data'!$B:$B,0)),"")</f>
        <v/>
      </c>
      <c r="H434" t="str">
        <f t="array" ref="H434">IFERROR(INDEX('Player Raw Data'!J:J,Match($A434,'Player Raw Data'!$B:$B,0)),"")</f>
        <v/>
      </c>
      <c r="I434" t="str">
        <f t="array" ref="I434">IFERROR(INDEX('Player Raw Data'!S:S,Match($A434,'Player Raw Data'!$B:$B,0)),"")</f>
        <v/>
      </c>
      <c r="J434" t="str">
        <f t="array" ref="J434">IFERROR(INDEX('Player Raw Data'!T:T,Match($A434,'Player Raw Data'!$B:$B,0)),"")</f>
        <v/>
      </c>
      <c r="K434" t="str">
        <f t="array" ref="K434">IFERROR(INDEX('Player Raw Data'!X:X,Match($A434,'Player Raw Data'!$B:$B,0)),"")</f>
        <v/>
      </c>
      <c r="L434" t="str">
        <f t="array" ref="L434">IFERROR(INDEX('Player Raw Data'!Y:Y,Match($A434,'Player Raw Data'!$B:$B,0)),"")</f>
        <v/>
      </c>
      <c r="M434" t="str">
        <f t="array" ref="M434">IFERROR(INDEX('Player Raw Data'!Z:Z,Match($A434,'Player Raw Data'!$B:$B,0)),"")</f>
        <v/>
      </c>
      <c r="N434" t="str">
        <f t="array" ref="N434">IFERROR(INDEX('Player Raw Data'!AA:AA,Match($A434,'Player Raw Data'!$B:$B,0)),"")</f>
        <v/>
      </c>
      <c r="O434" t="str">
        <f t="array" ref="O434">IFERROR(INDEX('Player Raw Data'!AB:AB,Match($A434,'Player Raw Data'!$B:$B,0)),"")</f>
        <v/>
      </c>
      <c r="P434" t="str">
        <f t="array" ref="P434">IFERROR(INDEX('Player Raw Data'!AD:AD,Match($A434,'Player Raw Data'!$B:$B,0)),"")</f>
        <v/>
      </c>
      <c r="Q434">
        <f t="shared" si="1"/>
        <v>0</v>
      </c>
      <c r="R434" s="9">
        <f t="shared" si="2"/>
        <v>0</v>
      </c>
      <c r="S434" s="14">
        <f t="shared" si="3"/>
        <v>0</v>
      </c>
      <c r="T434" s="15">
        <f>IFERROR(__xludf.DUMMYFUNCTION("IFERROR(PERCENTRANK.INC(FILTER(Q:Q,$F:$F&lt;&gt;""""),Q434)*100,"""")"),1.5)</f>
        <v>1.5</v>
      </c>
      <c r="U434" s="15">
        <f>IFERROR(__xludf.DUMMYFUNCTION("IFERROR(PERCENTRANK.INC(FILTER(R:R,$F:$F&lt;&gt;""""),R434)*100,"""")"),1.5)</f>
        <v>1.5</v>
      </c>
      <c r="V434" s="15">
        <f>IFERROR(__xludf.DUMMYFUNCTION("IFERROR(PERCENTRANK.INC(FILTER(S:S,$F:$F&lt;&gt;""""),S434)*100,"""")"),1.5)</f>
        <v>1.5</v>
      </c>
      <c r="W434" s="15" t="str">
        <f t="shared" si="4"/>
        <v/>
      </c>
      <c r="X434" s="16"/>
      <c r="Y434" s="9"/>
      <c r="Z434" s="9"/>
    </row>
    <row r="435">
      <c r="B435" t="str">
        <f t="array" ref="B435">IFERROR(INDEX('Player Raw Data'!E:E,Match($A435,'Player Raw Data'!$B:$B,0)),"")</f>
        <v/>
      </c>
      <c r="C435" t="str">
        <f t="array" ref="C435">IFERROR(INDEX('Player Raw Data'!C:C,Match($A435,'Player Raw Data'!$B:$B,0)),"")</f>
        <v/>
      </c>
      <c r="D435" t="str">
        <f t="array" ref="D435">IFERROR(IF(A435=A434, INDEX('Player Raw Data'!D:D,Match($A435,'Player Raw Data'!$B:$B,0)+2),INDEX('Player Raw Data'!D:D,Match($A435,'Player Raw Data'!$B:$B,0))),"")</f>
        <v/>
      </c>
      <c r="E435" t="str">
        <f t="array" ref="E435">IFERROR(INDEX('Player Raw Data'!F:F,Match($A435,'Player Raw Data'!$B:$B,0)),"")</f>
        <v/>
      </c>
      <c r="F435" t="str">
        <f t="array" ref="F435">IFERROR(INDEX('Player Raw Data'!H:H,Match($A435,'Player Raw Data'!$B:$B,0)),"")</f>
        <v/>
      </c>
      <c r="G435" t="str">
        <f t="array" ref="G435">IFERROR(INDEX('Player Raw Data'!I:I,Match($A435,'Player Raw Data'!$B:$B,0)),"")</f>
        <v/>
      </c>
      <c r="H435" t="str">
        <f t="array" ref="H435">IFERROR(INDEX('Player Raw Data'!J:J,Match($A435,'Player Raw Data'!$B:$B,0)),"")</f>
        <v/>
      </c>
      <c r="I435" t="str">
        <f t="array" ref="I435">IFERROR(INDEX('Player Raw Data'!S:S,Match($A435,'Player Raw Data'!$B:$B,0)),"")</f>
        <v/>
      </c>
      <c r="J435" t="str">
        <f t="array" ref="J435">IFERROR(INDEX('Player Raw Data'!T:T,Match($A435,'Player Raw Data'!$B:$B,0)),"")</f>
        <v/>
      </c>
      <c r="K435" t="str">
        <f t="array" ref="K435">IFERROR(INDEX('Player Raw Data'!X:X,Match($A435,'Player Raw Data'!$B:$B,0)),"")</f>
        <v/>
      </c>
      <c r="L435" t="str">
        <f t="array" ref="L435">IFERROR(INDEX('Player Raw Data'!Y:Y,Match($A435,'Player Raw Data'!$B:$B,0)),"")</f>
        <v/>
      </c>
      <c r="M435" t="str">
        <f t="array" ref="M435">IFERROR(INDEX('Player Raw Data'!Z:Z,Match($A435,'Player Raw Data'!$B:$B,0)),"")</f>
        <v/>
      </c>
      <c r="N435" t="str">
        <f t="array" ref="N435">IFERROR(INDEX('Player Raw Data'!AA:AA,Match($A435,'Player Raw Data'!$B:$B,0)),"")</f>
        <v/>
      </c>
      <c r="O435" t="str">
        <f t="array" ref="O435">IFERROR(INDEX('Player Raw Data'!AB:AB,Match($A435,'Player Raw Data'!$B:$B,0)),"")</f>
        <v/>
      </c>
      <c r="P435" t="str">
        <f t="array" ref="P435">IFERROR(INDEX('Player Raw Data'!AD:AD,Match($A435,'Player Raw Data'!$B:$B,0)),"")</f>
        <v/>
      </c>
      <c r="Q435">
        <f t="shared" si="1"/>
        <v>0</v>
      </c>
      <c r="R435" s="9">
        <f t="shared" si="2"/>
        <v>0</v>
      </c>
      <c r="S435" s="14">
        <f t="shared" si="3"/>
        <v>0</v>
      </c>
      <c r="T435" s="15">
        <f>IFERROR(__xludf.DUMMYFUNCTION("IFERROR(PERCENTRANK.INC(FILTER(Q:Q,$F:$F&lt;&gt;""""),Q435)*100,"""")"),1.5)</f>
        <v>1.5</v>
      </c>
      <c r="U435" s="15">
        <f>IFERROR(__xludf.DUMMYFUNCTION("IFERROR(PERCENTRANK.INC(FILTER(R:R,$F:$F&lt;&gt;""""),R435)*100,"""")"),1.5)</f>
        <v>1.5</v>
      </c>
      <c r="V435" s="15">
        <f>IFERROR(__xludf.DUMMYFUNCTION("IFERROR(PERCENTRANK.INC(FILTER(S:S,$F:$F&lt;&gt;""""),S435)*100,"""")"),1.5)</f>
        <v>1.5</v>
      </c>
      <c r="W435" s="15" t="str">
        <f t="shared" si="4"/>
        <v/>
      </c>
      <c r="X435" s="16"/>
      <c r="Y435" s="9"/>
      <c r="Z435" s="9"/>
    </row>
    <row r="436">
      <c r="B436" t="str">
        <f t="array" ref="B436">IFERROR(INDEX('Player Raw Data'!E:E,Match($A436,'Player Raw Data'!$B:$B,0)),"")</f>
        <v/>
      </c>
      <c r="C436" t="str">
        <f t="array" ref="C436">IFERROR(INDEX('Player Raw Data'!C:C,Match($A436,'Player Raw Data'!$B:$B,0)),"")</f>
        <v/>
      </c>
      <c r="D436" t="str">
        <f t="array" ref="D436">IFERROR(IF(A436=A435, INDEX('Player Raw Data'!D:D,Match($A436,'Player Raw Data'!$B:$B,0)+2),INDEX('Player Raw Data'!D:D,Match($A436,'Player Raw Data'!$B:$B,0))),"")</f>
        <v/>
      </c>
      <c r="E436" t="str">
        <f t="array" ref="E436">IFERROR(INDEX('Player Raw Data'!F:F,Match($A436,'Player Raw Data'!$B:$B,0)),"")</f>
        <v/>
      </c>
      <c r="F436" t="str">
        <f t="array" ref="F436">IFERROR(INDEX('Player Raw Data'!H:H,Match($A436,'Player Raw Data'!$B:$B,0)),"")</f>
        <v/>
      </c>
      <c r="G436" t="str">
        <f t="array" ref="G436">IFERROR(INDEX('Player Raw Data'!I:I,Match($A436,'Player Raw Data'!$B:$B,0)),"")</f>
        <v/>
      </c>
      <c r="H436" t="str">
        <f t="array" ref="H436">IFERROR(INDEX('Player Raw Data'!J:J,Match($A436,'Player Raw Data'!$B:$B,0)),"")</f>
        <v/>
      </c>
      <c r="I436" t="str">
        <f t="array" ref="I436">IFERROR(INDEX('Player Raw Data'!S:S,Match($A436,'Player Raw Data'!$B:$B,0)),"")</f>
        <v/>
      </c>
      <c r="J436" t="str">
        <f t="array" ref="J436">IFERROR(INDEX('Player Raw Data'!T:T,Match($A436,'Player Raw Data'!$B:$B,0)),"")</f>
        <v/>
      </c>
      <c r="K436" t="str">
        <f t="array" ref="K436">IFERROR(INDEX('Player Raw Data'!X:X,Match($A436,'Player Raw Data'!$B:$B,0)),"")</f>
        <v/>
      </c>
      <c r="L436" t="str">
        <f t="array" ref="L436">IFERROR(INDEX('Player Raw Data'!Y:Y,Match($A436,'Player Raw Data'!$B:$B,0)),"")</f>
        <v/>
      </c>
      <c r="M436" t="str">
        <f t="array" ref="M436">IFERROR(INDEX('Player Raw Data'!Z:Z,Match($A436,'Player Raw Data'!$B:$B,0)),"")</f>
        <v/>
      </c>
      <c r="N436" t="str">
        <f t="array" ref="N436">IFERROR(INDEX('Player Raw Data'!AA:AA,Match($A436,'Player Raw Data'!$B:$B,0)),"")</f>
        <v/>
      </c>
      <c r="O436" t="str">
        <f t="array" ref="O436">IFERROR(INDEX('Player Raw Data'!AB:AB,Match($A436,'Player Raw Data'!$B:$B,0)),"")</f>
        <v/>
      </c>
      <c r="P436" t="str">
        <f t="array" ref="P436">IFERROR(INDEX('Player Raw Data'!AD:AD,Match($A436,'Player Raw Data'!$B:$B,0)),"")</f>
        <v/>
      </c>
      <c r="Q436">
        <f t="shared" si="1"/>
        <v>0</v>
      </c>
      <c r="R436" s="9">
        <f t="shared" si="2"/>
        <v>0</v>
      </c>
      <c r="S436" s="14">
        <f t="shared" si="3"/>
        <v>0</v>
      </c>
      <c r="T436" s="15">
        <f>IFERROR(__xludf.DUMMYFUNCTION("IFERROR(PERCENTRANK.INC(FILTER(Q:Q,$F:$F&lt;&gt;""""),Q436)*100,"""")"),1.5)</f>
        <v>1.5</v>
      </c>
      <c r="U436" s="15">
        <f>IFERROR(__xludf.DUMMYFUNCTION("IFERROR(PERCENTRANK.INC(FILTER(R:R,$F:$F&lt;&gt;""""),R436)*100,"""")"),1.5)</f>
        <v>1.5</v>
      </c>
      <c r="V436" s="15">
        <f>IFERROR(__xludf.DUMMYFUNCTION("IFERROR(PERCENTRANK.INC(FILTER(S:S,$F:$F&lt;&gt;""""),S436)*100,"""")"),1.5)</f>
        <v>1.5</v>
      </c>
      <c r="W436" s="15" t="str">
        <f t="shared" si="4"/>
        <v/>
      </c>
      <c r="X436" s="16"/>
      <c r="Y436" s="9"/>
      <c r="Z436" s="9"/>
    </row>
    <row r="437">
      <c r="B437" t="str">
        <f t="array" ref="B437">IFERROR(INDEX('Player Raw Data'!E:E,Match($A437,'Player Raw Data'!$B:$B,0)),"")</f>
        <v/>
      </c>
      <c r="C437" t="str">
        <f t="array" ref="C437">IFERROR(INDEX('Player Raw Data'!C:C,Match($A437,'Player Raw Data'!$B:$B,0)),"")</f>
        <v/>
      </c>
      <c r="D437" t="str">
        <f t="array" ref="D437">IFERROR(IF(A437=A436, INDEX('Player Raw Data'!D:D,Match($A437,'Player Raw Data'!$B:$B,0)+2),INDEX('Player Raw Data'!D:D,Match($A437,'Player Raw Data'!$B:$B,0))),"")</f>
        <v/>
      </c>
      <c r="E437" t="str">
        <f t="array" ref="E437">IFERROR(INDEX('Player Raw Data'!F:F,Match($A437,'Player Raw Data'!$B:$B,0)),"")</f>
        <v/>
      </c>
      <c r="F437" t="str">
        <f t="array" ref="F437">IFERROR(INDEX('Player Raw Data'!H:H,Match($A437,'Player Raw Data'!$B:$B,0)),"")</f>
        <v/>
      </c>
      <c r="G437" t="str">
        <f t="array" ref="G437">IFERROR(INDEX('Player Raw Data'!I:I,Match($A437,'Player Raw Data'!$B:$B,0)),"")</f>
        <v/>
      </c>
      <c r="H437" t="str">
        <f t="array" ref="H437">IFERROR(INDEX('Player Raw Data'!J:J,Match($A437,'Player Raw Data'!$B:$B,0)),"")</f>
        <v/>
      </c>
      <c r="I437" t="str">
        <f t="array" ref="I437">IFERROR(INDEX('Player Raw Data'!S:S,Match($A437,'Player Raw Data'!$B:$B,0)),"")</f>
        <v/>
      </c>
      <c r="J437" t="str">
        <f t="array" ref="J437">IFERROR(INDEX('Player Raw Data'!T:T,Match($A437,'Player Raw Data'!$B:$B,0)),"")</f>
        <v/>
      </c>
      <c r="K437" t="str">
        <f t="array" ref="K437">IFERROR(INDEX('Player Raw Data'!X:X,Match($A437,'Player Raw Data'!$B:$B,0)),"")</f>
        <v/>
      </c>
      <c r="L437" t="str">
        <f t="array" ref="L437">IFERROR(INDEX('Player Raw Data'!Y:Y,Match($A437,'Player Raw Data'!$B:$B,0)),"")</f>
        <v/>
      </c>
      <c r="M437" t="str">
        <f t="array" ref="M437">IFERROR(INDEX('Player Raw Data'!Z:Z,Match($A437,'Player Raw Data'!$B:$B,0)),"")</f>
        <v/>
      </c>
      <c r="N437" t="str">
        <f t="array" ref="N437">IFERROR(INDEX('Player Raw Data'!AA:AA,Match($A437,'Player Raw Data'!$B:$B,0)),"")</f>
        <v/>
      </c>
      <c r="O437" t="str">
        <f t="array" ref="O437">IFERROR(INDEX('Player Raw Data'!AB:AB,Match($A437,'Player Raw Data'!$B:$B,0)),"")</f>
        <v/>
      </c>
      <c r="P437" t="str">
        <f t="array" ref="P437">IFERROR(INDEX('Player Raw Data'!AD:AD,Match($A437,'Player Raw Data'!$B:$B,0)),"")</f>
        <v/>
      </c>
      <c r="Q437">
        <f t="shared" si="1"/>
        <v>0</v>
      </c>
      <c r="R437" s="9">
        <f t="shared" si="2"/>
        <v>0</v>
      </c>
      <c r="S437" s="14">
        <f t="shared" si="3"/>
        <v>0</v>
      </c>
      <c r="T437" s="15">
        <f>IFERROR(__xludf.DUMMYFUNCTION("IFERROR(PERCENTRANK.INC(FILTER(Q:Q,$F:$F&lt;&gt;""""),Q437)*100,"""")"),1.5)</f>
        <v>1.5</v>
      </c>
      <c r="U437" s="15">
        <f>IFERROR(__xludf.DUMMYFUNCTION("IFERROR(PERCENTRANK.INC(FILTER(R:R,$F:$F&lt;&gt;""""),R437)*100,"""")"),1.5)</f>
        <v>1.5</v>
      </c>
      <c r="V437" s="15">
        <f>IFERROR(__xludf.DUMMYFUNCTION("IFERROR(PERCENTRANK.INC(FILTER(S:S,$F:$F&lt;&gt;""""),S437)*100,"""")"),1.5)</f>
        <v>1.5</v>
      </c>
      <c r="W437" s="15" t="str">
        <f t="shared" si="4"/>
        <v/>
      </c>
      <c r="X437" s="16"/>
      <c r="Y437" s="9"/>
      <c r="Z437" s="9"/>
    </row>
    <row r="438">
      <c r="B438" t="str">
        <f t="array" ref="B438">IFERROR(INDEX('Player Raw Data'!E:E,Match($A438,'Player Raw Data'!$B:$B,0)),"")</f>
        <v/>
      </c>
      <c r="C438" t="str">
        <f t="array" ref="C438">IFERROR(INDEX('Player Raw Data'!C:C,Match($A438,'Player Raw Data'!$B:$B,0)),"")</f>
        <v/>
      </c>
      <c r="D438" t="str">
        <f t="array" ref="D438">IFERROR(IF(A438=A437, INDEX('Player Raw Data'!D:D,Match($A438,'Player Raw Data'!$B:$B,0)+2),INDEX('Player Raw Data'!D:D,Match($A438,'Player Raw Data'!$B:$B,0))),"")</f>
        <v/>
      </c>
      <c r="E438" t="str">
        <f t="array" ref="E438">IFERROR(INDEX('Player Raw Data'!F:F,Match($A438,'Player Raw Data'!$B:$B,0)),"")</f>
        <v/>
      </c>
      <c r="F438" t="str">
        <f t="array" ref="F438">IFERROR(INDEX('Player Raw Data'!H:H,Match($A438,'Player Raw Data'!$B:$B,0)),"")</f>
        <v/>
      </c>
      <c r="G438" t="str">
        <f t="array" ref="G438">IFERROR(INDEX('Player Raw Data'!I:I,Match($A438,'Player Raw Data'!$B:$B,0)),"")</f>
        <v/>
      </c>
      <c r="H438" t="str">
        <f t="array" ref="H438">IFERROR(INDEX('Player Raw Data'!J:J,Match($A438,'Player Raw Data'!$B:$B,0)),"")</f>
        <v/>
      </c>
      <c r="I438" t="str">
        <f t="array" ref="I438">IFERROR(INDEX('Player Raw Data'!S:S,Match($A438,'Player Raw Data'!$B:$B,0)),"")</f>
        <v/>
      </c>
      <c r="J438" t="str">
        <f t="array" ref="J438">IFERROR(INDEX('Player Raw Data'!T:T,Match($A438,'Player Raw Data'!$B:$B,0)),"")</f>
        <v/>
      </c>
      <c r="K438" t="str">
        <f t="array" ref="K438">IFERROR(INDEX('Player Raw Data'!X:X,Match($A438,'Player Raw Data'!$B:$B,0)),"")</f>
        <v/>
      </c>
      <c r="L438" t="str">
        <f t="array" ref="L438">IFERROR(INDEX('Player Raw Data'!Y:Y,Match($A438,'Player Raw Data'!$B:$B,0)),"")</f>
        <v/>
      </c>
      <c r="M438" t="str">
        <f t="array" ref="M438">IFERROR(INDEX('Player Raw Data'!Z:Z,Match($A438,'Player Raw Data'!$B:$B,0)),"")</f>
        <v/>
      </c>
      <c r="N438" t="str">
        <f t="array" ref="N438">IFERROR(INDEX('Player Raw Data'!AA:AA,Match($A438,'Player Raw Data'!$B:$B,0)),"")</f>
        <v/>
      </c>
      <c r="O438" t="str">
        <f t="array" ref="O438">IFERROR(INDEX('Player Raw Data'!AB:AB,Match($A438,'Player Raw Data'!$B:$B,0)),"")</f>
        <v/>
      </c>
      <c r="P438" t="str">
        <f t="array" ref="P438">IFERROR(INDEX('Player Raw Data'!AD:AD,Match($A438,'Player Raw Data'!$B:$B,0)),"")</f>
        <v/>
      </c>
      <c r="Q438">
        <f t="shared" si="1"/>
        <v>0</v>
      </c>
      <c r="R438" s="9">
        <f t="shared" si="2"/>
        <v>0</v>
      </c>
      <c r="S438" s="14">
        <f t="shared" si="3"/>
        <v>0</v>
      </c>
      <c r="T438" s="15">
        <f>IFERROR(__xludf.DUMMYFUNCTION("IFERROR(PERCENTRANK.INC(FILTER(Q:Q,$F:$F&lt;&gt;""""),Q438)*100,"""")"),1.5)</f>
        <v>1.5</v>
      </c>
      <c r="U438" s="15">
        <f>IFERROR(__xludf.DUMMYFUNCTION("IFERROR(PERCENTRANK.INC(FILTER(R:R,$F:$F&lt;&gt;""""),R438)*100,"""")"),1.5)</f>
        <v>1.5</v>
      </c>
      <c r="V438" s="15">
        <f>IFERROR(__xludf.DUMMYFUNCTION("IFERROR(PERCENTRANK.INC(FILTER(S:S,$F:$F&lt;&gt;""""),S438)*100,"""")"),1.5)</f>
        <v>1.5</v>
      </c>
      <c r="W438" s="15" t="str">
        <f t="shared" si="4"/>
        <v/>
      </c>
      <c r="X438" s="16"/>
      <c r="Y438" s="9"/>
      <c r="Z438" s="9"/>
    </row>
    <row r="439">
      <c r="B439" t="str">
        <f t="array" ref="B439">IFERROR(INDEX('Player Raw Data'!E:E,Match($A439,'Player Raw Data'!$B:$B,0)),"")</f>
        <v/>
      </c>
      <c r="C439" t="str">
        <f t="array" ref="C439">IFERROR(INDEX('Player Raw Data'!C:C,Match($A439,'Player Raw Data'!$B:$B,0)),"")</f>
        <v/>
      </c>
      <c r="D439" t="str">
        <f t="array" ref="D439">IFERROR(IF(A439=A438, INDEX('Player Raw Data'!D:D,Match($A439,'Player Raw Data'!$B:$B,0)+2),INDEX('Player Raw Data'!D:D,Match($A439,'Player Raw Data'!$B:$B,0))),"")</f>
        <v/>
      </c>
      <c r="E439" t="str">
        <f t="array" ref="E439">IFERROR(INDEX('Player Raw Data'!F:F,Match($A439,'Player Raw Data'!$B:$B,0)),"")</f>
        <v/>
      </c>
      <c r="F439" t="str">
        <f t="array" ref="F439">IFERROR(INDEX('Player Raw Data'!H:H,Match($A439,'Player Raw Data'!$B:$B,0)),"")</f>
        <v/>
      </c>
      <c r="G439" t="str">
        <f t="array" ref="G439">IFERROR(INDEX('Player Raw Data'!I:I,Match($A439,'Player Raw Data'!$B:$B,0)),"")</f>
        <v/>
      </c>
      <c r="H439" t="str">
        <f t="array" ref="H439">IFERROR(INDEX('Player Raw Data'!J:J,Match($A439,'Player Raw Data'!$B:$B,0)),"")</f>
        <v/>
      </c>
      <c r="I439" t="str">
        <f t="array" ref="I439">IFERROR(INDEX('Player Raw Data'!S:S,Match($A439,'Player Raw Data'!$B:$B,0)),"")</f>
        <v/>
      </c>
      <c r="J439" t="str">
        <f t="array" ref="J439">IFERROR(INDEX('Player Raw Data'!T:T,Match($A439,'Player Raw Data'!$B:$B,0)),"")</f>
        <v/>
      </c>
      <c r="K439" t="str">
        <f t="array" ref="K439">IFERROR(INDEX('Player Raw Data'!X:X,Match($A439,'Player Raw Data'!$B:$B,0)),"")</f>
        <v/>
      </c>
      <c r="L439" t="str">
        <f t="array" ref="L439">IFERROR(INDEX('Player Raw Data'!Y:Y,Match($A439,'Player Raw Data'!$B:$B,0)),"")</f>
        <v/>
      </c>
      <c r="M439" t="str">
        <f t="array" ref="M439">IFERROR(INDEX('Player Raw Data'!Z:Z,Match($A439,'Player Raw Data'!$B:$B,0)),"")</f>
        <v/>
      </c>
      <c r="N439" t="str">
        <f t="array" ref="N439">IFERROR(INDEX('Player Raw Data'!AA:AA,Match($A439,'Player Raw Data'!$B:$B,0)),"")</f>
        <v/>
      </c>
      <c r="O439" t="str">
        <f t="array" ref="O439">IFERROR(INDEX('Player Raw Data'!AB:AB,Match($A439,'Player Raw Data'!$B:$B,0)),"")</f>
        <v/>
      </c>
      <c r="P439" t="str">
        <f t="array" ref="P439">IFERROR(INDEX('Player Raw Data'!AD:AD,Match($A439,'Player Raw Data'!$B:$B,0)),"")</f>
        <v/>
      </c>
      <c r="Q439">
        <f t="shared" si="1"/>
        <v>0</v>
      </c>
      <c r="R439" s="9">
        <f t="shared" si="2"/>
        <v>0</v>
      </c>
      <c r="S439" s="14">
        <f t="shared" si="3"/>
        <v>0</v>
      </c>
      <c r="T439" s="15">
        <f>IFERROR(__xludf.DUMMYFUNCTION("IFERROR(PERCENTRANK.INC(FILTER(Q:Q,$F:$F&lt;&gt;""""),Q439)*100,"""")"),1.5)</f>
        <v>1.5</v>
      </c>
      <c r="U439" s="15">
        <f>IFERROR(__xludf.DUMMYFUNCTION("IFERROR(PERCENTRANK.INC(FILTER(R:R,$F:$F&lt;&gt;""""),R439)*100,"""")"),1.5)</f>
        <v>1.5</v>
      </c>
      <c r="V439" s="15">
        <f>IFERROR(__xludf.DUMMYFUNCTION("IFERROR(PERCENTRANK.INC(FILTER(S:S,$F:$F&lt;&gt;""""),S439)*100,"""")"),1.5)</f>
        <v>1.5</v>
      </c>
      <c r="W439" s="15" t="str">
        <f t="shared" si="4"/>
        <v/>
      </c>
      <c r="X439" s="16"/>
      <c r="Y439" s="9"/>
      <c r="Z439" s="9"/>
    </row>
    <row r="440">
      <c r="B440" t="str">
        <f t="array" ref="B440">IFERROR(INDEX('Player Raw Data'!E:E,Match($A440,'Player Raw Data'!$B:$B,0)),"")</f>
        <v/>
      </c>
      <c r="C440" t="str">
        <f t="array" ref="C440">IFERROR(INDEX('Player Raw Data'!C:C,Match($A440,'Player Raw Data'!$B:$B,0)),"")</f>
        <v/>
      </c>
      <c r="D440" t="str">
        <f t="array" ref="D440">IFERROR(IF(A440=A439, INDEX('Player Raw Data'!D:D,Match($A440,'Player Raw Data'!$B:$B,0)+2),INDEX('Player Raw Data'!D:D,Match($A440,'Player Raw Data'!$B:$B,0))),"")</f>
        <v/>
      </c>
      <c r="E440" t="str">
        <f t="array" ref="E440">IFERROR(INDEX('Player Raw Data'!F:F,Match($A440,'Player Raw Data'!$B:$B,0)),"")</f>
        <v/>
      </c>
      <c r="F440" t="str">
        <f t="array" ref="F440">IFERROR(INDEX('Player Raw Data'!H:H,Match($A440,'Player Raw Data'!$B:$B,0)),"")</f>
        <v/>
      </c>
      <c r="G440" t="str">
        <f t="array" ref="G440">IFERROR(INDEX('Player Raw Data'!I:I,Match($A440,'Player Raw Data'!$B:$B,0)),"")</f>
        <v/>
      </c>
      <c r="H440" t="str">
        <f t="array" ref="H440">IFERROR(INDEX('Player Raw Data'!J:J,Match($A440,'Player Raw Data'!$B:$B,0)),"")</f>
        <v/>
      </c>
      <c r="I440" t="str">
        <f t="array" ref="I440">IFERROR(INDEX('Player Raw Data'!S:S,Match($A440,'Player Raw Data'!$B:$B,0)),"")</f>
        <v/>
      </c>
      <c r="J440" t="str">
        <f t="array" ref="J440">IFERROR(INDEX('Player Raw Data'!T:T,Match($A440,'Player Raw Data'!$B:$B,0)),"")</f>
        <v/>
      </c>
      <c r="K440" t="str">
        <f t="array" ref="K440">IFERROR(INDEX('Player Raw Data'!X:X,Match($A440,'Player Raw Data'!$B:$B,0)),"")</f>
        <v/>
      </c>
      <c r="L440" t="str">
        <f t="array" ref="L440">IFERROR(INDEX('Player Raw Data'!Y:Y,Match($A440,'Player Raw Data'!$B:$B,0)),"")</f>
        <v/>
      </c>
      <c r="M440" t="str">
        <f t="array" ref="M440">IFERROR(INDEX('Player Raw Data'!Z:Z,Match($A440,'Player Raw Data'!$B:$B,0)),"")</f>
        <v/>
      </c>
      <c r="N440" t="str">
        <f t="array" ref="N440">IFERROR(INDEX('Player Raw Data'!AA:AA,Match($A440,'Player Raw Data'!$B:$B,0)),"")</f>
        <v/>
      </c>
      <c r="O440" t="str">
        <f t="array" ref="O440">IFERROR(INDEX('Player Raw Data'!AB:AB,Match($A440,'Player Raw Data'!$B:$B,0)),"")</f>
        <v/>
      </c>
      <c r="P440" t="str">
        <f t="array" ref="P440">IFERROR(INDEX('Player Raw Data'!AD:AD,Match($A440,'Player Raw Data'!$B:$B,0)),"")</f>
        <v/>
      </c>
      <c r="Q440">
        <f t="shared" si="1"/>
        <v>0</v>
      </c>
      <c r="R440" s="9">
        <f t="shared" si="2"/>
        <v>0</v>
      </c>
      <c r="S440" s="14">
        <f t="shared" si="3"/>
        <v>0</v>
      </c>
      <c r="T440" s="15">
        <f>IFERROR(__xludf.DUMMYFUNCTION("IFERROR(PERCENTRANK.INC(FILTER(Q:Q,$F:$F&lt;&gt;""""),Q440)*100,"""")"),1.5)</f>
        <v>1.5</v>
      </c>
      <c r="U440" s="15">
        <f>IFERROR(__xludf.DUMMYFUNCTION("IFERROR(PERCENTRANK.INC(FILTER(R:R,$F:$F&lt;&gt;""""),R440)*100,"""")"),1.5)</f>
        <v>1.5</v>
      </c>
      <c r="V440" s="15">
        <f>IFERROR(__xludf.DUMMYFUNCTION("IFERROR(PERCENTRANK.INC(FILTER(S:S,$F:$F&lt;&gt;""""),S440)*100,"""")"),1.5)</f>
        <v>1.5</v>
      </c>
      <c r="W440" s="15" t="str">
        <f t="shared" si="4"/>
        <v/>
      </c>
      <c r="X440" s="16"/>
      <c r="Y440" s="9"/>
      <c r="Z440" s="9"/>
    </row>
    <row r="441">
      <c r="B441" t="str">
        <f t="array" ref="B441">IFERROR(INDEX('Player Raw Data'!E:E,Match($A441,'Player Raw Data'!$B:$B,0)),"")</f>
        <v/>
      </c>
      <c r="C441" t="str">
        <f t="array" ref="C441">IFERROR(INDEX('Player Raw Data'!C:C,Match($A441,'Player Raw Data'!$B:$B,0)),"")</f>
        <v/>
      </c>
      <c r="D441" t="str">
        <f t="array" ref="D441">IFERROR(IF(A441=A440, INDEX('Player Raw Data'!D:D,Match($A441,'Player Raw Data'!$B:$B,0)+2),INDEX('Player Raw Data'!D:D,Match($A441,'Player Raw Data'!$B:$B,0))),"")</f>
        <v/>
      </c>
      <c r="E441" t="str">
        <f t="array" ref="E441">IFERROR(INDEX('Player Raw Data'!F:F,Match($A441,'Player Raw Data'!$B:$B,0)),"")</f>
        <v/>
      </c>
      <c r="F441" t="str">
        <f t="array" ref="F441">IFERROR(INDEX('Player Raw Data'!H:H,Match($A441,'Player Raw Data'!$B:$B,0)),"")</f>
        <v/>
      </c>
      <c r="G441" t="str">
        <f t="array" ref="G441">IFERROR(INDEX('Player Raw Data'!I:I,Match($A441,'Player Raw Data'!$B:$B,0)),"")</f>
        <v/>
      </c>
      <c r="H441" t="str">
        <f t="array" ref="H441">IFERROR(INDEX('Player Raw Data'!J:J,Match($A441,'Player Raw Data'!$B:$B,0)),"")</f>
        <v/>
      </c>
      <c r="I441" t="str">
        <f t="array" ref="I441">IFERROR(INDEX('Player Raw Data'!S:S,Match($A441,'Player Raw Data'!$B:$B,0)),"")</f>
        <v/>
      </c>
      <c r="J441" t="str">
        <f t="array" ref="J441">IFERROR(INDEX('Player Raw Data'!T:T,Match($A441,'Player Raw Data'!$B:$B,0)),"")</f>
        <v/>
      </c>
      <c r="K441" t="str">
        <f t="array" ref="K441">IFERROR(INDEX('Player Raw Data'!X:X,Match($A441,'Player Raw Data'!$B:$B,0)),"")</f>
        <v/>
      </c>
      <c r="L441" t="str">
        <f t="array" ref="L441">IFERROR(INDEX('Player Raw Data'!Y:Y,Match($A441,'Player Raw Data'!$B:$B,0)),"")</f>
        <v/>
      </c>
      <c r="M441" t="str">
        <f t="array" ref="M441">IFERROR(INDEX('Player Raw Data'!Z:Z,Match($A441,'Player Raw Data'!$B:$B,0)),"")</f>
        <v/>
      </c>
      <c r="N441" t="str">
        <f t="array" ref="N441">IFERROR(INDEX('Player Raw Data'!AA:AA,Match($A441,'Player Raw Data'!$B:$B,0)),"")</f>
        <v/>
      </c>
      <c r="O441" t="str">
        <f t="array" ref="O441">IFERROR(INDEX('Player Raw Data'!AB:AB,Match($A441,'Player Raw Data'!$B:$B,0)),"")</f>
        <v/>
      </c>
      <c r="P441" t="str">
        <f t="array" ref="P441">IFERROR(INDEX('Player Raw Data'!AD:AD,Match($A441,'Player Raw Data'!$B:$B,0)),"")</f>
        <v/>
      </c>
      <c r="Q441">
        <f t="shared" si="1"/>
        <v>0</v>
      </c>
      <c r="R441" s="9">
        <f t="shared" si="2"/>
        <v>0</v>
      </c>
      <c r="S441" s="14">
        <f t="shared" si="3"/>
        <v>0</v>
      </c>
      <c r="T441" s="15">
        <f>IFERROR(__xludf.DUMMYFUNCTION("IFERROR(PERCENTRANK.INC(FILTER(Q:Q,$F:$F&lt;&gt;""""),Q441)*100,"""")"),1.5)</f>
        <v>1.5</v>
      </c>
      <c r="U441" s="15">
        <f>IFERROR(__xludf.DUMMYFUNCTION("IFERROR(PERCENTRANK.INC(FILTER(R:R,$F:$F&lt;&gt;""""),R441)*100,"""")"),1.5)</f>
        <v>1.5</v>
      </c>
      <c r="V441" s="15">
        <f>IFERROR(__xludf.DUMMYFUNCTION("IFERROR(PERCENTRANK.INC(FILTER(S:S,$F:$F&lt;&gt;""""),S441)*100,"""")"),1.5)</f>
        <v>1.5</v>
      </c>
      <c r="W441" s="15" t="str">
        <f t="shared" si="4"/>
        <v/>
      </c>
      <c r="X441" s="16"/>
      <c r="Y441" s="9"/>
      <c r="Z441" s="9"/>
    </row>
    <row r="442">
      <c r="B442" t="str">
        <f t="array" ref="B442">IFERROR(INDEX('Player Raw Data'!E:E,Match($A442,'Player Raw Data'!$B:$B,0)),"")</f>
        <v/>
      </c>
      <c r="C442" t="str">
        <f t="array" ref="C442">IFERROR(INDEX('Player Raw Data'!C:C,Match($A442,'Player Raw Data'!$B:$B,0)),"")</f>
        <v/>
      </c>
      <c r="D442" t="str">
        <f t="array" ref="D442">IFERROR(IF(A442=A441, INDEX('Player Raw Data'!D:D,Match($A442,'Player Raw Data'!$B:$B,0)+2),INDEX('Player Raw Data'!D:D,Match($A442,'Player Raw Data'!$B:$B,0))),"")</f>
        <v/>
      </c>
      <c r="E442" t="str">
        <f t="array" ref="E442">IFERROR(INDEX('Player Raw Data'!F:F,Match($A442,'Player Raw Data'!$B:$B,0)),"")</f>
        <v/>
      </c>
      <c r="F442" t="str">
        <f t="array" ref="F442">IFERROR(INDEX('Player Raw Data'!H:H,Match($A442,'Player Raw Data'!$B:$B,0)),"")</f>
        <v/>
      </c>
      <c r="G442" t="str">
        <f t="array" ref="G442">IFERROR(INDEX('Player Raw Data'!I:I,Match($A442,'Player Raw Data'!$B:$B,0)),"")</f>
        <v/>
      </c>
      <c r="H442" t="str">
        <f t="array" ref="H442">IFERROR(INDEX('Player Raw Data'!J:J,Match($A442,'Player Raw Data'!$B:$B,0)),"")</f>
        <v/>
      </c>
      <c r="I442" t="str">
        <f t="array" ref="I442">IFERROR(INDEX('Player Raw Data'!S:S,Match($A442,'Player Raw Data'!$B:$B,0)),"")</f>
        <v/>
      </c>
      <c r="J442" t="str">
        <f t="array" ref="J442">IFERROR(INDEX('Player Raw Data'!T:T,Match($A442,'Player Raw Data'!$B:$B,0)),"")</f>
        <v/>
      </c>
      <c r="K442" t="str">
        <f t="array" ref="K442">IFERROR(INDEX('Player Raw Data'!X:X,Match($A442,'Player Raw Data'!$B:$B,0)),"")</f>
        <v/>
      </c>
      <c r="L442" t="str">
        <f t="array" ref="L442">IFERROR(INDEX('Player Raw Data'!Y:Y,Match($A442,'Player Raw Data'!$B:$B,0)),"")</f>
        <v/>
      </c>
      <c r="M442" t="str">
        <f t="array" ref="M442">IFERROR(INDEX('Player Raw Data'!Z:Z,Match($A442,'Player Raw Data'!$B:$B,0)),"")</f>
        <v/>
      </c>
      <c r="N442" t="str">
        <f t="array" ref="N442">IFERROR(INDEX('Player Raw Data'!AA:AA,Match($A442,'Player Raw Data'!$B:$B,0)),"")</f>
        <v/>
      </c>
      <c r="O442" t="str">
        <f t="array" ref="O442">IFERROR(INDEX('Player Raw Data'!AB:AB,Match($A442,'Player Raw Data'!$B:$B,0)),"")</f>
        <v/>
      </c>
      <c r="P442" t="str">
        <f t="array" ref="P442">IFERROR(INDEX('Player Raw Data'!AD:AD,Match($A442,'Player Raw Data'!$B:$B,0)),"")</f>
        <v/>
      </c>
      <c r="Q442">
        <f t="shared" si="1"/>
        <v>0</v>
      </c>
      <c r="R442" s="9">
        <f t="shared" si="2"/>
        <v>0</v>
      </c>
      <c r="S442" s="14">
        <f t="shared" si="3"/>
        <v>0</v>
      </c>
      <c r="T442" s="15">
        <f>IFERROR(__xludf.DUMMYFUNCTION("IFERROR(PERCENTRANK.INC(FILTER(Q:Q,$F:$F&lt;&gt;""""),Q442)*100,"""")"),1.5)</f>
        <v>1.5</v>
      </c>
      <c r="U442" s="15">
        <f>IFERROR(__xludf.DUMMYFUNCTION("IFERROR(PERCENTRANK.INC(FILTER(R:R,$F:$F&lt;&gt;""""),R442)*100,"""")"),1.5)</f>
        <v>1.5</v>
      </c>
      <c r="V442" s="15">
        <f>IFERROR(__xludf.DUMMYFUNCTION("IFERROR(PERCENTRANK.INC(FILTER(S:S,$F:$F&lt;&gt;""""),S442)*100,"""")"),1.5)</f>
        <v>1.5</v>
      </c>
      <c r="W442" s="15" t="str">
        <f t="shared" si="4"/>
        <v/>
      </c>
      <c r="X442" s="16"/>
      <c r="Y442" s="9"/>
      <c r="Z442" s="9"/>
    </row>
    <row r="443">
      <c r="B443" t="str">
        <f t="array" ref="B443">IFERROR(INDEX('Player Raw Data'!E:E,Match($A443,'Player Raw Data'!$B:$B,0)),"")</f>
        <v/>
      </c>
      <c r="C443" t="str">
        <f t="array" ref="C443">IFERROR(INDEX('Player Raw Data'!C:C,Match($A443,'Player Raw Data'!$B:$B,0)),"")</f>
        <v/>
      </c>
      <c r="D443" t="str">
        <f t="array" ref="D443">IFERROR(IF(A443=A442, INDEX('Player Raw Data'!D:D,Match($A443,'Player Raw Data'!$B:$B,0)+2),INDEX('Player Raw Data'!D:D,Match($A443,'Player Raw Data'!$B:$B,0))),"")</f>
        <v/>
      </c>
      <c r="E443" t="str">
        <f t="array" ref="E443">IFERROR(INDEX('Player Raw Data'!F:F,Match($A443,'Player Raw Data'!$B:$B,0)),"")</f>
        <v/>
      </c>
      <c r="F443" t="str">
        <f t="array" ref="F443">IFERROR(INDEX('Player Raw Data'!H:H,Match($A443,'Player Raw Data'!$B:$B,0)),"")</f>
        <v/>
      </c>
      <c r="G443" t="str">
        <f t="array" ref="G443">IFERROR(INDEX('Player Raw Data'!I:I,Match($A443,'Player Raw Data'!$B:$B,0)),"")</f>
        <v/>
      </c>
      <c r="H443" t="str">
        <f t="array" ref="H443">IFERROR(INDEX('Player Raw Data'!J:J,Match($A443,'Player Raw Data'!$B:$B,0)),"")</f>
        <v/>
      </c>
      <c r="I443" t="str">
        <f t="array" ref="I443">IFERROR(INDEX('Player Raw Data'!S:S,Match($A443,'Player Raw Data'!$B:$B,0)),"")</f>
        <v/>
      </c>
      <c r="J443" t="str">
        <f t="array" ref="J443">IFERROR(INDEX('Player Raw Data'!T:T,Match($A443,'Player Raw Data'!$B:$B,0)),"")</f>
        <v/>
      </c>
      <c r="K443" t="str">
        <f t="array" ref="K443">IFERROR(INDEX('Player Raw Data'!X:X,Match($A443,'Player Raw Data'!$B:$B,0)),"")</f>
        <v/>
      </c>
      <c r="L443" t="str">
        <f t="array" ref="L443">IFERROR(INDEX('Player Raw Data'!Y:Y,Match($A443,'Player Raw Data'!$B:$B,0)),"")</f>
        <v/>
      </c>
      <c r="M443" t="str">
        <f t="array" ref="M443">IFERROR(INDEX('Player Raw Data'!Z:Z,Match($A443,'Player Raw Data'!$B:$B,0)),"")</f>
        <v/>
      </c>
      <c r="N443" t="str">
        <f t="array" ref="N443">IFERROR(INDEX('Player Raw Data'!AA:AA,Match($A443,'Player Raw Data'!$B:$B,0)),"")</f>
        <v/>
      </c>
      <c r="O443" t="str">
        <f t="array" ref="O443">IFERROR(INDEX('Player Raw Data'!AB:AB,Match($A443,'Player Raw Data'!$B:$B,0)),"")</f>
        <v/>
      </c>
      <c r="P443" t="str">
        <f t="array" ref="P443">IFERROR(INDEX('Player Raw Data'!AD:AD,Match($A443,'Player Raw Data'!$B:$B,0)),"")</f>
        <v/>
      </c>
      <c r="Q443">
        <f t="shared" si="1"/>
        <v>0</v>
      </c>
      <c r="R443" s="9">
        <f t="shared" si="2"/>
        <v>0</v>
      </c>
      <c r="S443" s="14">
        <f t="shared" si="3"/>
        <v>0</v>
      </c>
      <c r="T443" s="15">
        <f>IFERROR(__xludf.DUMMYFUNCTION("IFERROR(PERCENTRANK.INC(FILTER(Q:Q,$F:$F&lt;&gt;""""),Q443)*100,"""")"),1.5)</f>
        <v>1.5</v>
      </c>
      <c r="U443" s="15">
        <f>IFERROR(__xludf.DUMMYFUNCTION("IFERROR(PERCENTRANK.INC(FILTER(R:R,$F:$F&lt;&gt;""""),R443)*100,"""")"),1.5)</f>
        <v>1.5</v>
      </c>
      <c r="V443" s="15">
        <f>IFERROR(__xludf.DUMMYFUNCTION("IFERROR(PERCENTRANK.INC(FILTER(S:S,$F:$F&lt;&gt;""""),S443)*100,"""")"),1.5)</f>
        <v>1.5</v>
      </c>
      <c r="W443" s="15" t="str">
        <f t="shared" si="4"/>
        <v/>
      </c>
      <c r="X443" s="16"/>
      <c r="Y443" s="9"/>
      <c r="Z443" s="9"/>
    </row>
    <row r="444">
      <c r="B444" t="str">
        <f t="array" ref="B444">IFERROR(INDEX('Player Raw Data'!E:E,Match($A444,'Player Raw Data'!$B:$B,0)),"")</f>
        <v/>
      </c>
      <c r="C444" t="str">
        <f t="array" ref="C444">IFERROR(INDEX('Player Raw Data'!C:C,Match($A444,'Player Raw Data'!$B:$B,0)),"")</f>
        <v/>
      </c>
      <c r="D444" t="str">
        <f t="array" ref="D444">IFERROR(IF(A444=A443, INDEX('Player Raw Data'!D:D,Match($A444,'Player Raw Data'!$B:$B,0)+2),INDEX('Player Raw Data'!D:D,Match($A444,'Player Raw Data'!$B:$B,0))),"")</f>
        <v/>
      </c>
      <c r="E444" t="str">
        <f t="array" ref="E444">IFERROR(INDEX('Player Raw Data'!F:F,Match($A444,'Player Raw Data'!$B:$B,0)),"")</f>
        <v/>
      </c>
      <c r="F444" t="str">
        <f t="array" ref="F444">IFERROR(INDEX('Player Raw Data'!H:H,Match($A444,'Player Raw Data'!$B:$B,0)),"")</f>
        <v/>
      </c>
      <c r="G444" t="str">
        <f t="array" ref="G444">IFERROR(INDEX('Player Raw Data'!I:I,Match($A444,'Player Raw Data'!$B:$B,0)),"")</f>
        <v/>
      </c>
      <c r="H444" t="str">
        <f t="array" ref="H444">IFERROR(INDEX('Player Raw Data'!J:J,Match($A444,'Player Raw Data'!$B:$B,0)),"")</f>
        <v/>
      </c>
      <c r="I444" t="str">
        <f t="array" ref="I444">IFERROR(INDEX('Player Raw Data'!S:S,Match($A444,'Player Raw Data'!$B:$B,0)),"")</f>
        <v/>
      </c>
      <c r="J444" t="str">
        <f t="array" ref="J444">IFERROR(INDEX('Player Raw Data'!T:T,Match($A444,'Player Raw Data'!$B:$B,0)),"")</f>
        <v/>
      </c>
      <c r="K444" t="str">
        <f t="array" ref="K444">IFERROR(INDEX('Player Raw Data'!X:X,Match($A444,'Player Raw Data'!$B:$B,0)),"")</f>
        <v/>
      </c>
      <c r="L444" t="str">
        <f t="array" ref="L444">IFERROR(INDEX('Player Raw Data'!Y:Y,Match($A444,'Player Raw Data'!$B:$B,0)),"")</f>
        <v/>
      </c>
      <c r="M444" t="str">
        <f t="array" ref="M444">IFERROR(INDEX('Player Raw Data'!Z:Z,Match($A444,'Player Raw Data'!$B:$B,0)),"")</f>
        <v/>
      </c>
      <c r="N444" t="str">
        <f t="array" ref="N444">IFERROR(INDEX('Player Raw Data'!AA:AA,Match($A444,'Player Raw Data'!$B:$B,0)),"")</f>
        <v/>
      </c>
      <c r="O444" t="str">
        <f t="array" ref="O444">IFERROR(INDEX('Player Raw Data'!AB:AB,Match($A444,'Player Raw Data'!$B:$B,0)),"")</f>
        <v/>
      </c>
      <c r="P444" t="str">
        <f t="array" ref="P444">IFERROR(INDEX('Player Raw Data'!AD:AD,Match($A444,'Player Raw Data'!$B:$B,0)),"")</f>
        <v/>
      </c>
      <c r="Q444">
        <f t="shared" si="1"/>
        <v>0</v>
      </c>
      <c r="R444" s="9">
        <f t="shared" si="2"/>
        <v>0</v>
      </c>
      <c r="S444" s="14">
        <f t="shared" si="3"/>
        <v>0</v>
      </c>
      <c r="T444" s="15">
        <f>IFERROR(__xludf.DUMMYFUNCTION("IFERROR(PERCENTRANK.INC(FILTER(Q:Q,$F:$F&lt;&gt;""""),Q444)*100,"""")"),1.5)</f>
        <v>1.5</v>
      </c>
      <c r="U444" s="15">
        <f>IFERROR(__xludf.DUMMYFUNCTION("IFERROR(PERCENTRANK.INC(FILTER(R:R,$F:$F&lt;&gt;""""),R444)*100,"""")"),1.5)</f>
        <v>1.5</v>
      </c>
      <c r="V444" s="15">
        <f>IFERROR(__xludf.DUMMYFUNCTION("IFERROR(PERCENTRANK.INC(FILTER(S:S,$F:$F&lt;&gt;""""),S444)*100,"""")"),1.5)</f>
        <v>1.5</v>
      </c>
      <c r="W444" s="15" t="str">
        <f t="shared" si="4"/>
        <v/>
      </c>
      <c r="X444" s="16"/>
      <c r="Y444" s="9"/>
      <c r="Z444" s="9"/>
    </row>
    <row r="445">
      <c r="B445" t="str">
        <f t="array" ref="B445">IFERROR(INDEX('Player Raw Data'!E:E,Match($A445,'Player Raw Data'!$B:$B,0)),"")</f>
        <v/>
      </c>
      <c r="C445" t="str">
        <f t="array" ref="C445">IFERROR(INDEX('Player Raw Data'!C:C,Match($A445,'Player Raw Data'!$B:$B,0)),"")</f>
        <v/>
      </c>
      <c r="D445" t="str">
        <f t="array" ref="D445">IFERROR(IF(A445=A444, INDEX('Player Raw Data'!D:D,Match($A445,'Player Raw Data'!$B:$B,0)+2),INDEX('Player Raw Data'!D:D,Match($A445,'Player Raw Data'!$B:$B,0))),"")</f>
        <v/>
      </c>
      <c r="E445" t="str">
        <f t="array" ref="E445">IFERROR(INDEX('Player Raw Data'!F:F,Match($A445,'Player Raw Data'!$B:$B,0)),"")</f>
        <v/>
      </c>
      <c r="F445" t="str">
        <f t="array" ref="F445">IFERROR(INDEX('Player Raw Data'!H:H,Match($A445,'Player Raw Data'!$B:$B,0)),"")</f>
        <v/>
      </c>
      <c r="G445" t="str">
        <f t="array" ref="G445">IFERROR(INDEX('Player Raw Data'!I:I,Match($A445,'Player Raw Data'!$B:$B,0)),"")</f>
        <v/>
      </c>
      <c r="H445" t="str">
        <f t="array" ref="H445">IFERROR(INDEX('Player Raw Data'!J:J,Match($A445,'Player Raw Data'!$B:$B,0)),"")</f>
        <v/>
      </c>
      <c r="I445" t="str">
        <f t="array" ref="I445">IFERROR(INDEX('Player Raw Data'!S:S,Match($A445,'Player Raw Data'!$B:$B,0)),"")</f>
        <v/>
      </c>
      <c r="J445" t="str">
        <f t="array" ref="J445">IFERROR(INDEX('Player Raw Data'!T:T,Match($A445,'Player Raw Data'!$B:$B,0)),"")</f>
        <v/>
      </c>
      <c r="K445" t="str">
        <f t="array" ref="K445">IFERROR(INDEX('Player Raw Data'!X:X,Match($A445,'Player Raw Data'!$B:$B,0)),"")</f>
        <v/>
      </c>
      <c r="L445" t="str">
        <f t="array" ref="L445">IFERROR(INDEX('Player Raw Data'!Y:Y,Match($A445,'Player Raw Data'!$B:$B,0)),"")</f>
        <v/>
      </c>
      <c r="M445" t="str">
        <f t="array" ref="M445">IFERROR(INDEX('Player Raw Data'!Z:Z,Match($A445,'Player Raw Data'!$B:$B,0)),"")</f>
        <v/>
      </c>
      <c r="N445" t="str">
        <f t="array" ref="N445">IFERROR(INDEX('Player Raw Data'!AA:AA,Match($A445,'Player Raw Data'!$B:$B,0)),"")</f>
        <v/>
      </c>
      <c r="O445" t="str">
        <f t="array" ref="O445">IFERROR(INDEX('Player Raw Data'!AB:AB,Match($A445,'Player Raw Data'!$B:$B,0)),"")</f>
        <v/>
      </c>
      <c r="P445" t="str">
        <f t="array" ref="P445">IFERROR(INDEX('Player Raw Data'!AD:AD,Match($A445,'Player Raw Data'!$B:$B,0)),"")</f>
        <v/>
      </c>
      <c r="Q445">
        <f t="shared" si="1"/>
        <v>0</v>
      </c>
      <c r="R445" s="9">
        <f t="shared" si="2"/>
        <v>0</v>
      </c>
      <c r="S445" s="14">
        <f t="shared" si="3"/>
        <v>0</v>
      </c>
      <c r="T445" s="15">
        <f>IFERROR(__xludf.DUMMYFUNCTION("IFERROR(PERCENTRANK.INC(FILTER(Q:Q,$F:$F&lt;&gt;""""),Q445)*100,"""")"),1.5)</f>
        <v>1.5</v>
      </c>
      <c r="U445" s="15">
        <f>IFERROR(__xludf.DUMMYFUNCTION("IFERROR(PERCENTRANK.INC(FILTER(R:R,$F:$F&lt;&gt;""""),R445)*100,"""")"),1.5)</f>
        <v>1.5</v>
      </c>
      <c r="V445" s="15">
        <f>IFERROR(__xludf.DUMMYFUNCTION("IFERROR(PERCENTRANK.INC(FILTER(S:S,$F:$F&lt;&gt;""""),S445)*100,"""")"),1.5)</f>
        <v>1.5</v>
      </c>
      <c r="W445" s="15" t="str">
        <f t="shared" si="4"/>
        <v/>
      </c>
      <c r="X445" s="16"/>
      <c r="Y445" s="9"/>
      <c r="Z445" s="9"/>
    </row>
    <row r="446">
      <c r="B446" t="str">
        <f t="array" ref="B446">IFERROR(INDEX('Player Raw Data'!E:E,Match($A446,'Player Raw Data'!$B:$B,0)),"")</f>
        <v/>
      </c>
      <c r="C446" t="str">
        <f t="array" ref="C446">IFERROR(INDEX('Player Raw Data'!C:C,Match($A446,'Player Raw Data'!$B:$B,0)),"")</f>
        <v/>
      </c>
      <c r="D446" t="str">
        <f t="array" ref="D446">IFERROR(IF(A446=A445, INDEX('Player Raw Data'!D:D,Match($A446,'Player Raw Data'!$B:$B,0)+2),INDEX('Player Raw Data'!D:D,Match($A446,'Player Raw Data'!$B:$B,0))),"")</f>
        <v/>
      </c>
      <c r="E446" t="str">
        <f t="array" ref="E446">IFERROR(INDEX('Player Raw Data'!F:F,Match($A446,'Player Raw Data'!$B:$B,0)),"")</f>
        <v/>
      </c>
      <c r="F446" t="str">
        <f t="array" ref="F446">IFERROR(INDEX('Player Raw Data'!H:H,Match($A446,'Player Raw Data'!$B:$B,0)),"")</f>
        <v/>
      </c>
      <c r="G446" t="str">
        <f t="array" ref="G446">IFERROR(INDEX('Player Raw Data'!I:I,Match($A446,'Player Raw Data'!$B:$B,0)),"")</f>
        <v/>
      </c>
      <c r="H446" t="str">
        <f t="array" ref="H446">IFERROR(INDEX('Player Raw Data'!J:J,Match($A446,'Player Raw Data'!$B:$B,0)),"")</f>
        <v/>
      </c>
      <c r="I446" t="str">
        <f t="array" ref="I446">IFERROR(INDEX('Player Raw Data'!S:S,Match($A446,'Player Raw Data'!$B:$B,0)),"")</f>
        <v/>
      </c>
      <c r="J446" t="str">
        <f t="array" ref="J446">IFERROR(INDEX('Player Raw Data'!T:T,Match($A446,'Player Raw Data'!$B:$B,0)),"")</f>
        <v/>
      </c>
      <c r="K446" t="str">
        <f t="array" ref="K446">IFERROR(INDEX('Player Raw Data'!X:X,Match($A446,'Player Raw Data'!$B:$B,0)),"")</f>
        <v/>
      </c>
      <c r="L446" t="str">
        <f t="array" ref="L446">IFERROR(INDEX('Player Raw Data'!Y:Y,Match($A446,'Player Raw Data'!$B:$B,0)),"")</f>
        <v/>
      </c>
      <c r="M446" t="str">
        <f t="array" ref="M446">IFERROR(INDEX('Player Raw Data'!Z:Z,Match($A446,'Player Raw Data'!$B:$B,0)),"")</f>
        <v/>
      </c>
      <c r="N446" t="str">
        <f t="array" ref="N446">IFERROR(INDEX('Player Raw Data'!AA:AA,Match($A446,'Player Raw Data'!$B:$B,0)),"")</f>
        <v/>
      </c>
      <c r="O446" t="str">
        <f t="array" ref="O446">IFERROR(INDEX('Player Raw Data'!AB:AB,Match($A446,'Player Raw Data'!$B:$B,0)),"")</f>
        <v/>
      </c>
      <c r="P446" t="str">
        <f t="array" ref="P446">IFERROR(INDEX('Player Raw Data'!AD:AD,Match($A446,'Player Raw Data'!$B:$B,0)),"")</f>
        <v/>
      </c>
      <c r="Q446">
        <f t="shared" si="1"/>
        <v>0</v>
      </c>
      <c r="R446" s="9">
        <f t="shared" si="2"/>
        <v>0</v>
      </c>
      <c r="S446" s="14">
        <f t="shared" si="3"/>
        <v>0</v>
      </c>
      <c r="T446" s="15">
        <f>IFERROR(__xludf.DUMMYFUNCTION("IFERROR(PERCENTRANK.INC(FILTER(Q:Q,$F:$F&lt;&gt;""""),Q446)*100,"""")"),1.5)</f>
        <v>1.5</v>
      </c>
      <c r="U446" s="15">
        <f>IFERROR(__xludf.DUMMYFUNCTION("IFERROR(PERCENTRANK.INC(FILTER(R:R,$F:$F&lt;&gt;""""),R446)*100,"""")"),1.5)</f>
        <v>1.5</v>
      </c>
      <c r="V446" s="15">
        <f>IFERROR(__xludf.DUMMYFUNCTION("IFERROR(PERCENTRANK.INC(FILTER(S:S,$F:$F&lt;&gt;""""),S446)*100,"""")"),1.5)</f>
        <v>1.5</v>
      </c>
      <c r="W446" s="15" t="str">
        <f t="shared" si="4"/>
        <v/>
      </c>
      <c r="X446" s="16"/>
      <c r="Y446" s="9"/>
      <c r="Z446" s="9"/>
    </row>
    <row r="447">
      <c r="B447" t="str">
        <f t="array" ref="B447">IFERROR(INDEX('Player Raw Data'!E:E,Match($A447,'Player Raw Data'!$B:$B,0)),"")</f>
        <v/>
      </c>
      <c r="C447" t="str">
        <f t="array" ref="C447">IFERROR(INDEX('Player Raw Data'!C:C,Match($A447,'Player Raw Data'!$B:$B,0)),"")</f>
        <v/>
      </c>
      <c r="D447" t="str">
        <f t="array" ref="D447">IFERROR(IF(A447=A446, INDEX('Player Raw Data'!D:D,Match($A447,'Player Raw Data'!$B:$B,0)+2),INDEX('Player Raw Data'!D:D,Match($A447,'Player Raw Data'!$B:$B,0))),"")</f>
        <v/>
      </c>
      <c r="E447" t="str">
        <f t="array" ref="E447">IFERROR(INDEX('Player Raw Data'!F:F,Match($A447,'Player Raw Data'!$B:$B,0)),"")</f>
        <v/>
      </c>
      <c r="F447" t="str">
        <f t="array" ref="F447">IFERROR(INDEX('Player Raw Data'!H:H,Match($A447,'Player Raw Data'!$B:$B,0)),"")</f>
        <v/>
      </c>
      <c r="G447" t="str">
        <f t="array" ref="G447">IFERROR(INDEX('Player Raw Data'!I:I,Match($A447,'Player Raw Data'!$B:$B,0)),"")</f>
        <v/>
      </c>
      <c r="H447" t="str">
        <f t="array" ref="H447">IFERROR(INDEX('Player Raw Data'!J:J,Match($A447,'Player Raw Data'!$B:$B,0)),"")</f>
        <v/>
      </c>
      <c r="I447" t="str">
        <f t="array" ref="I447">IFERROR(INDEX('Player Raw Data'!S:S,Match($A447,'Player Raw Data'!$B:$B,0)),"")</f>
        <v/>
      </c>
      <c r="J447" t="str">
        <f t="array" ref="J447">IFERROR(INDEX('Player Raw Data'!T:T,Match($A447,'Player Raw Data'!$B:$B,0)),"")</f>
        <v/>
      </c>
      <c r="K447" t="str">
        <f t="array" ref="K447">IFERROR(INDEX('Player Raw Data'!X:X,Match($A447,'Player Raw Data'!$B:$B,0)),"")</f>
        <v/>
      </c>
      <c r="L447" t="str">
        <f t="array" ref="L447">IFERROR(INDEX('Player Raw Data'!Y:Y,Match($A447,'Player Raw Data'!$B:$B,0)),"")</f>
        <v/>
      </c>
      <c r="M447" t="str">
        <f t="array" ref="M447">IFERROR(INDEX('Player Raw Data'!Z:Z,Match($A447,'Player Raw Data'!$B:$B,0)),"")</f>
        <v/>
      </c>
      <c r="N447" t="str">
        <f t="array" ref="N447">IFERROR(INDEX('Player Raw Data'!AA:AA,Match($A447,'Player Raw Data'!$B:$B,0)),"")</f>
        <v/>
      </c>
      <c r="O447" t="str">
        <f t="array" ref="O447">IFERROR(INDEX('Player Raw Data'!AB:AB,Match($A447,'Player Raw Data'!$B:$B,0)),"")</f>
        <v/>
      </c>
      <c r="P447" t="str">
        <f t="array" ref="P447">IFERROR(INDEX('Player Raw Data'!AD:AD,Match($A447,'Player Raw Data'!$B:$B,0)),"")</f>
        <v/>
      </c>
      <c r="Q447">
        <f t="shared" si="1"/>
        <v>0</v>
      </c>
      <c r="R447" s="9">
        <f t="shared" si="2"/>
        <v>0</v>
      </c>
      <c r="S447" s="14">
        <f t="shared" si="3"/>
        <v>0</v>
      </c>
      <c r="T447" s="15">
        <f>IFERROR(__xludf.DUMMYFUNCTION("IFERROR(PERCENTRANK.INC(FILTER(Q:Q,$F:$F&lt;&gt;""""),Q447)*100,"""")"),1.5)</f>
        <v>1.5</v>
      </c>
      <c r="U447" s="15">
        <f>IFERROR(__xludf.DUMMYFUNCTION("IFERROR(PERCENTRANK.INC(FILTER(R:R,$F:$F&lt;&gt;""""),R447)*100,"""")"),1.5)</f>
        <v>1.5</v>
      </c>
      <c r="V447" s="15">
        <f>IFERROR(__xludf.DUMMYFUNCTION("IFERROR(PERCENTRANK.INC(FILTER(S:S,$F:$F&lt;&gt;""""),S447)*100,"""")"),1.5)</f>
        <v>1.5</v>
      </c>
      <c r="W447" s="15" t="str">
        <f t="shared" si="4"/>
        <v/>
      </c>
      <c r="X447" s="16"/>
      <c r="Y447" s="9"/>
      <c r="Z447" s="9"/>
    </row>
    <row r="448">
      <c r="B448" t="str">
        <f t="array" ref="B448">IFERROR(INDEX('Player Raw Data'!E:E,Match($A448,'Player Raw Data'!$B:$B,0)),"")</f>
        <v/>
      </c>
      <c r="C448" t="str">
        <f t="array" ref="C448">IFERROR(INDEX('Player Raw Data'!C:C,Match($A448,'Player Raw Data'!$B:$B,0)),"")</f>
        <v/>
      </c>
      <c r="D448" t="str">
        <f t="array" ref="D448">IFERROR(IF(A448=A447, INDEX('Player Raw Data'!D:D,Match($A448,'Player Raw Data'!$B:$B,0)+2),INDEX('Player Raw Data'!D:D,Match($A448,'Player Raw Data'!$B:$B,0))),"")</f>
        <v/>
      </c>
      <c r="E448" t="str">
        <f t="array" ref="E448">IFERROR(INDEX('Player Raw Data'!F:F,Match($A448,'Player Raw Data'!$B:$B,0)),"")</f>
        <v/>
      </c>
      <c r="F448" t="str">
        <f t="array" ref="F448">IFERROR(INDEX('Player Raw Data'!H:H,Match($A448,'Player Raw Data'!$B:$B,0)),"")</f>
        <v/>
      </c>
      <c r="G448" t="str">
        <f t="array" ref="G448">IFERROR(INDEX('Player Raw Data'!I:I,Match($A448,'Player Raw Data'!$B:$B,0)),"")</f>
        <v/>
      </c>
      <c r="H448" t="str">
        <f t="array" ref="H448">IFERROR(INDEX('Player Raw Data'!J:J,Match($A448,'Player Raw Data'!$B:$B,0)),"")</f>
        <v/>
      </c>
      <c r="I448" t="str">
        <f t="array" ref="I448">IFERROR(INDEX('Player Raw Data'!S:S,Match($A448,'Player Raw Data'!$B:$B,0)),"")</f>
        <v/>
      </c>
      <c r="J448" t="str">
        <f t="array" ref="J448">IFERROR(INDEX('Player Raw Data'!T:T,Match($A448,'Player Raw Data'!$B:$B,0)),"")</f>
        <v/>
      </c>
      <c r="K448" t="str">
        <f t="array" ref="K448">IFERROR(INDEX('Player Raw Data'!X:X,Match($A448,'Player Raw Data'!$B:$B,0)),"")</f>
        <v/>
      </c>
      <c r="L448" t="str">
        <f t="array" ref="L448">IFERROR(INDEX('Player Raw Data'!Y:Y,Match($A448,'Player Raw Data'!$B:$B,0)),"")</f>
        <v/>
      </c>
      <c r="M448" t="str">
        <f t="array" ref="M448">IFERROR(INDEX('Player Raw Data'!Z:Z,Match($A448,'Player Raw Data'!$B:$B,0)),"")</f>
        <v/>
      </c>
      <c r="N448" t="str">
        <f t="array" ref="N448">IFERROR(INDEX('Player Raw Data'!AA:AA,Match($A448,'Player Raw Data'!$B:$B,0)),"")</f>
        <v/>
      </c>
      <c r="O448" t="str">
        <f t="array" ref="O448">IFERROR(INDEX('Player Raw Data'!AB:AB,Match($A448,'Player Raw Data'!$B:$B,0)),"")</f>
        <v/>
      </c>
      <c r="P448" t="str">
        <f t="array" ref="P448">IFERROR(INDEX('Player Raw Data'!AD:AD,Match($A448,'Player Raw Data'!$B:$B,0)),"")</f>
        <v/>
      </c>
      <c r="Q448">
        <f t="shared" si="1"/>
        <v>0</v>
      </c>
      <c r="R448" s="9">
        <f t="shared" si="2"/>
        <v>0</v>
      </c>
      <c r="S448" s="14">
        <f t="shared" si="3"/>
        <v>0</v>
      </c>
      <c r="T448" s="15">
        <f>IFERROR(__xludf.DUMMYFUNCTION("IFERROR(PERCENTRANK.INC(FILTER(Q:Q,$F:$F&lt;&gt;""""),Q448)*100,"""")"),1.5)</f>
        <v>1.5</v>
      </c>
      <c r="U448" s="15">
        <f>IFERROR(__xludf.DUMMYFUNCTION("IFERROR(PERCENTRANK.INC(FILTER(R:R,$F:$F&lt;&gt;""""),R448)*100,"""")"),1.5)</f>
        <v>1.5</v>
      </c>
      <c r="V448" s="15">
        <f>IFERROR(__xludf.DUMMYFUNCTION("IFERROR(PERCENTRANK.INC(FILTER(S:S,$F:$F&lt;&gt;""""),S448)*100,"""")"),1.5)</f>
        <v>1.5</v>
      </c>
      <c r="W448" s="15" t="str">
        <f t="shared" si="4"/>
        <v/>
      </c>
      <c r="X448" s="16"/>
      <c r="Y448" s="9"/>
      <c r="Z448" s="9"/>
    </row>
    <row r="449">
      <c r="B449" t="str">
        <f t="array" ref="B449">IFERROR(INDEX('Player Raw Data'!E:E,Match($A449,'Player Raw Data'!$B:$B,0)),"")</f>
        <v/>
      </c>
      <c r="C449" t="str">
        <f t="array" ref="C449">IFERROR(INDEX('Player Raw Data'!C:C,Match($A449,'Player Raw Data'!$B:$B,0)),"")</f>
        <v/>
      </c>
      <c r="D449" t="str">
        <f t="array" ref="D449">IFERROR(IF(A449=A448, INDEX('Player Raw Data'!D:D,Match($A449,'Player Raw Data'!$B:$B,0)+2),INDEX('Player Raw Data'!D:D,Match($A449,'Player Raw Data'!$B:$B,0))),"")</f>
        <v/>
      </c>
      <c r="E449" t="str">
        <f t="array" ref="E449">IFERROR(INDEX('Player Raw Data'!F:F,Match($A449,'Player Raw Data'!$B:$B,0)),"")</f>
        <v/>
      </c>
      <c r="F449" t="str">
        <f t="array" ref="F449">IFERROR(INDEX('Player Raw Data'!H:H,Match($A449,'Player Raw Data'!$B:$B,0)),"")</f>
        <v/>
      </c>
      <c r="G449" t="str">
        <f t="array" ref="G449">IFERROR(INDEX('Player Raw Data'!I:I,Match($A449,'Player Raw Data'!$B:$B,0)),"")</f>
        <v/>
      </c>
      <c r="H449" t="str">
        <f t="array" ref="H449">IFERROR(INDEX('Player Raw Data'!J:J,Match($A449,'Player Raw Data'!$B:$B,0)),"")</f>
        <v/>
      </c>
      <c r="I449" t="str">
        <f t="array" ref="I449">IFERROR(INDEX('Player Raw Data'!S:S,Match($A449,'Player Raw Data'!$B:$B,0)),"")</f>
        <v/>
      </c>
      <c r="J449" t="str">
        <f t="array" ref="J449">IFERROR(INDEX('Player Raw Data'!T:T,Match($A449,'Player Raw Data'!$B:$B,0)),"")</f>
        <v/>
      </c>
      <c r="K449" t="str">
        <f t="array" ref="K449">IFERROR(INDEX('Player Raw Data'!X:X,Match($A449,'Player Raw Data'!$B:$B,0)),"")</f>
        <v/>
      </c>
      <c r="L449" t="str">
        <f t="array" ref="L449">IFERROR(INDEX('Player Raw Data'!Y:Y,Match($A449,'Player Raw Data'!$B:$B,0)),"")</f>
        <v/>
      </c>
      <c r="M449" t="str">
        <f t="array" ref="M449">IFERROR(INDEX('Player Raw Data'!Z:Z,Match($A449,'Player Raw Data'!$B:$B,0)),"")</f>
        <v/>
      </c>
      <c r="N449" t="str">
        <f t="array" ref="N449">IFERROR(INDEX('Player Raw Data'!AA:AA,Match($A449,'Player Raw Data'!$B:$B,0)),"")</f>
        <v/>
      </c>
      <c r="O449" t="str">
        <f t="array" ref="O449">IFERROR(INDEX('Player Raw Data'!AB:AB,Match($A449,'Player Raw Data'!$B:$B,0)),"")</f>
        <v/>
      </c>
      <c r="P449" t="str">
        <f t="array" ref="P449">IFERROR(INDEX('Player Raw Data'!AD:AD,Match($A449,'Player Raw Data'!$B:$B,0)),"")</f>
        <v/>
      </c>
      <c r="Q449">
        <f t="shared" si="1"/>
        <v>0</v>
      </c>
      <c r="R449" s="9">
        <f t="shared" si="2"/>
        <v>0</v>
      </c>
      <c r="S449" s="14">
        <f t="shared" si="3"/>
        <v>0</v>
      </c>
      <c r="T449" s="15">
        <f>IFERROR(__xludf.DUMMYFUNCTION("IFERROR(PERCENTRANK.INC(FILTER(Q:Q,$F:$F&lt;&gt;""""),Q449)*100,"""")"),1.5)</f>
        <v>1.5</v>
      </c>
      <c r="U449" s="15">
        <f>IFERROR(__xludf.DUMMYFUNCTION("IFERROR(PERCENTRANK.INC(FILTER(R:R,$F:$F&lt;&gt;""""),R449)*100,"""")"),1.5)</f>
        <v>1.5</v>
      </c>
      <c r="V449" s="15">
        <f>IFERROR(__xludf.DUMMYFUNCTION("IFERROR(PERCENTRANK.INC(FILTER(S:S,$F:$F&lt;&gt;""""),S449)*100,"""")"),1.5)</f>
        <v>1.5</v>
      </c>
      <c r="W449" s="15" t="str">
        <f t="shared" si="4"/>
        <v/>
      </c>
      <c r="X449" s="16"/>
      <c r="Y449" s="9"/>
      <c r="Z449" s="9"/>
    </row>
    <row r="450">
      <c r="B450" t="str">
        <f t="array" ref="B450">IFERROR(INDEX('Player Raw Data'!E:E,Match($A450,'Player Raw Data'!$B:$B,0)),"")</f>
        <v/>
      </c>
      <c r="C450" t="str">
        <f t="array" ref="C450">IFERROR(INDEX('Player Raw Data'!C:C,Match($A450,'Player Raw Data'!$B:$B,0)),"")</f>
        <v/>
      </c>
      <c r="D450" t="str">
        <f t="array" ref="D450">IFERROR(IF(A450=A449, INDEX('Player Raw Data'!D:D,Match($A450,'Player Raw Data'!$B:$B,0)+2),INDEX('Player Raw Data'!D:D,Match($A450,'Player Raw Data'!$B:$B,0))),"")</f>
        <v/>
      </c>
      <c r="E450" t="str">
        <f t="array" ref="E450">IFERROR(INDEX('Player Raw Data'!F:F,Match($A450,'Player Raw Data'!$B:$B,0)),"")</f>
        <v/>
      </c>
      <c r="F450" t="str">
        <f t="array" ref="F450">IFERROR(INDEX('Player Raw Data'!H:H,Match($A450,'Player Raw Data'!$B:$B,0)),"")</f>
        <v/>
      </c>
      <c r="G450" t="str">
        <f t="array" ref="G450">IFERROR(INDEX('Player Raw Data'!I:I,Match($A450,'Player Raw Data'!$B:$B,0)),"")</f>
        <v/>
      </c>
      <c r="H450" t="str">
        <f t="array" ref="H450">IFERROR(INDEX('Player Raw Data'!J:J,Match($A450,'Player Raw Data'!$B:$B,0)),"")</f>
        <v/>
      </c>
      <c r="I450" t="str">
        <f t="array" ref="I450">IFERROR(INDEX('Player Raw Data'!S:S,Match($A450,'Player Raw Data'!$B:$B,0)),"")</f>
        <v/>
      </c>
      <c r="J450" t="str">
        <f t="array" ref="J450">IFERROR(INDEX('Player Raw Data'!T:T,Match($A450,'Player Raw Data'!$B:$B,0)),"")</f>
        <v/>
      </c>
      <c r="K450" t="str">
        <f t="array" ref="K450">IFERROR(INDEX('Player Raw Data'!X:X,Match($A450,'Player Raw Data'!$B:$B,0)),"")</f>
        <v/>
      </c>
      <c r="L450" t="str">
        <f t="array" ref="L450">IFERROR(INDEX('Player Raw Data'!Y:Y,Match($A450,'Player Raw Data'!$B:$B,0)),"")</f>
        <v/>
      </c>
      <c r="M450" t="str">
        <f t="array" ref="M450">IFERROR(INDEX('Player Raw Data'!Z:Z,Match($A450,'Player Raw Data'!$B:$B,0)),"")</f>
        <v/>
      </c>
      <c r="N450" t="str">
        <f t="array" ref="N450">IFERROR(INDEX('Player Raw Data'!AA:AA,Match($A450,'Player Raw Data'!$B:$B,0)),"")</f>
        <v/>
      </c>
      <c r="O450" t="str">
        <f t="array" ref="O450">IFERROR(INDEX('Player Raw Data'!AB:AB,Match($A450,'Player Raw Data'!$B:$B,0)),"")</f>
        <v/>
      </c>
      <c r="P450" t="str">
        <f t="array" ref="P450">IFERROR(INDEX('Player Raw Data'!AD:AD,Match($A450,'Player Raw Data'!$B:$B,0)),"")</f>
        <v/>
      </c>
      <c r="Q450">
        <f t="shared" si="1"/>
        <v>0</v>
      </c>
      <c r="R450" s="9">
        <f t="shared" si="2"/>
        <v>0</v>
      </c>
      <c r="S450" s="14">
        <f t="shared" si="3"/>
        <v>0</v>
      </c>
      <c r="T450" s="15">
        <f>IFERROR(__xludf.DUMMYFUNCTION("IFERROR(PERCENTRANK.INC(FILTER(Q:Q,$F:$F&lt;&gt;""""),Q450)*100,"""")"),1.5)</f>
        <v>1.5</v>
      </c>
      <c r="U450" s="15">
        <f>IFERROR(__xludf.DUMMYFUNCTION("IFERROR(PERCENTRANK.INC(FILTER(R:R,$F:$F&lt;&gt;""""),R450)*100,"""")"),1.5)</f>
        <v>1.5</v>
      </c>
      <c r="V450" s="15">
        <f>IFERROR(__xludf.DUMMYFUNCTION("IFERROR(PERCENTRANK.INC(FILTER(S:S,$F:$F&lt;&gt;""""),S450)*100,"""")"),1.5)</f>
        <v>1.5</v>
      </c>
      <c r="W450" s="15" t="str">
        <f t="shared" si="4"/>
        <v/>
      </c>
      <c r="X450" s="16"/>
      <c r="Y450" s="9"/>
      <c r="Z450" s="9"/>
    </row>
    <row r="451">
      <c r="B451" t="str">
        <f t="array" ref="B451">IFERROR(INDEX('Player Raw Data'!E:E,Match($A451,'Player Raw Data'!$B:$B,0)),"")</f>
        <v/>
      </c>
      <c r="C451" t="str">
        <f t="array" ref="C451">IFERROR(INDEX('Player Raw Data'!C:C,Match($A451,'Player Raw Data'!$B:$B,0)),"")</f>
        <v/>
      </c>
      <c r="D451" t="str">
        <f t="array" ref="D451">IFERROR(IF(A451=A450, INDEX('Player Raw Data'!D:D,Match($A451,'Player Raw Data'!$B:$B,0)+2),INDEX('Player Raw Data'!D:D,Match($A451,'Player Raw Data'!$B:$B,0))),"")</f>
        <v/>
      </c>
      <c r="E451" t="str">
        <f t="array" ref="E451">IFERROR(INDEX('Player Raw Data'!F:F,Match($A451,'Player Raw Data'!$B:$B,0)),"")</f>
        <v/>
      </c>
      <c r="F451" t="str">
        <f t="array" ref="F451">IFERROR(INDEX('Player Raw Data'!H:H,Match($A451,'Player Raw Data'!$B:$B,0)),"")</f>
        <v/>
      </c>
      <c r="G451" t="str">
        <f t="array" ref="G451">IFERROR(INDEX('Player Raw Data'!I:I,Match($A451,'Player Raw Data'!$B:$B,0)),"")</f>
        <v/>
      </c>
      <c r="H451" t="str">
        <f t="array" ref="H451">IFERROR(INDEX('Player Raw Data'!J:J,Match($A451,'Player Raw Data'!$B:$B,0)),"")</f>
        <v/>
      </c>
      <c r="I451" t="str">
        <f t="array" ref="I451">IFERROR(INDEX('Player Raw Data'!S:S,Match($A451,'Player Raw Data'!$B:$B,0)),"")</f>
        <v/>
      </c>
      <c r="J451" t="str">
        <f t="array" ref="J451">IFERROR(INDEX('Player Raw Data'!T:T,Match($A451,'Player Raw Data'!$B:$B,0)),"")</f>
        <v/>
      </c>
      <c r="K451" t="str">
        <f t="array" ref="K451">IFERROR(INDEX('Player Raw Data'!X:X,Match($A451,'Player Raw Data'!$B:$B,0)),"")</f>
        <v/>
      </c>
      <c r="L451" t="str">
        <f t="array" ref="L451">IFERROR(INDEX('Player Raw Data'!Y:Y,Match($A451,'Player Raw Data'!$B:$B,0)),"")</f>
        <v/>
      </c>
      <c r="M451" t="str">
        <f t="array" ref="M451">IFERROR(INDEX('Player Raw Data'!Z:Z,Match($A451,'Player Raw Data'!$B:$B,0)),"")</f>
        <v/>
      </c>
      <c r="N451" t="str">
        <f t="array" ref="N451">IFERROR(INDEX('Player Raw Data'!AA:AA,Match($A451,'Player Raw Data'!$B:$B,0)),"")</f>
        <v/>
      </c>
      <c r="O451" t="str">
        <f t="array" ref="O451">IFERROR(INDEX('Player Raw Data'!AB:AB,Match($A451,'Player Raw Data'!$B:$B,0)),"")</f>
        <v/>
      </c>
      <c r="P451" t="str">
        <f t="array" ref="P451">IFERROR(INDEX('Player Raw Data'!AD:AD,Match($A451,'Player Raw Data'!$B:$B,0)),"")</f>
        <v/>
      </c>
      <c r="Q451">
        <f t="shared" si="1"/>
        <v>0</v>
      </c>
      <c r="R451" s="9">
        <f t="shared" si="2"/>
        <v>0</v>
      </c>
      <c r="S451" s="14">
        <f t="shared" si="3"/>
        <v>0</v>
      </c>
      <c r="T451" s="15">
        <f>IFERROR(__xludf.DUMMYFUNCTION("IFERROR(PERCENTRANK.INC(FILTER(Q:Q,$F:$F&lt;&gt;""""),Q451)*100,"""")"),1.5)</f>
        <v>1.5</v>
      </c>
      <c r="U451" s="15">
        <f>IFERROR(__xludf.DUMMYFUNCTION("IFERROR(PERCENTRANK.INC(FILTER(R:R,$F:$F&lt;&gt;""""),R451)*100,"""")"),1.5)</f>
        <v>1.5</v>
      </c>
      <c r="V451" s="15">
        <f>IFERROR(__xludf.DUMMYFUNCTION("IFERROR(PERCENTRANK.INC(FILTER(S:S,$F:$F&lt;&gt;""""),S451)*100,"""")"),1.5)</f>
        <v>1.5</v>
      </c>
      <c r="W451" s="15" t="str">
        <f t="shared" si="4"/>
        <v/>
      </c>
      <c r="X451" s="16"/>
      <c r="Y451" s="9"/>
      <c r="Z451" s="9"/>
    </row>
    <row r="452">
      <c r="B452" t="str">
        <f t="array" ref="B452">IFERROR(INDEX('Player Raw Data'!E:E,Match($A452,'Player Raw Data'!$B:$B,0)),"")</f>
        <v/>
      </c>
      <c r="C452" t="str">
        <f t="array" ref="C452">IFERROR(INDEX('Player Raw Data'!C:C,Match($A452,'Player Raw Data'!$B:$B,0)),"")</f>
        <v/>
      </c>
      <c r="D452" t="str">
        <f t="array" ref="D452">IFERROR(IF(A452=A451, INDEX('Player Raw Data'!D:D,Match($A452,'Player Raw Data'!$B:$B,0)+2),INDEX('Player Raw Data'!D:D,Match($A452,'Player Raw Data'!$B:$B,0))),"")</f>
        <v/>
      </c>
      <c r="E452" t="str">
        <f t="array" ref="E452">IFERROR(INDEX('Player Raw Data'!F:F,Match($A452,'Player Raw Data'!$B:$B,0)),"")</f>
        <v/>
      </c>
      <c r="F452" t="str">
        <f t="array" ref="F452">IFERROR(INDEX('Player Raw Data'!H:H,Match($A452,'Player Raw Data'!$B:$B,0)),"")</f>
        <v/>
      </c>
      <c r="G452" t="str">
        <f t="array" ref="G452">IFERROR(INDEX('Player Raw Data'!I:I,Match($A452,'Player Raw Data'!$B:$B,0)),"")</f>
        <v/>
      </c>
      <c r="H452" t="str">
        <f t="array" ref="H452">IFERROR(INDEX('Player Raw Data'!J:J,Match($A452,'Player Raw Data'!$B:$B,0)),"")</f>
        <v/>
      </c>
      <c r="I452" t="str">
        <f t="array" ref="I452">IFERROR(INDEX('Player Raw Data'!S:S,Match($A452,'Player Raw Data'!$B:$B,0)),"")</f>
        <v/>
      </c>
      <c r="J452" t="str">
        <f t="array" ref="J452">IFERROR(INDEX('Player Raw Data'!T:T,Match($A452,'Player Raw Data'!$B:$B,0)),"")</f>
        <v/>
      </c>
      <c r="K452" t="str">
        <f t="array" ref="K452">IFERROR(INDEX('Player Raw Data'!X:X,Match($A452,'Player Raw Data'!$B:$B,0)),"")</f>
        <v/>
      </c>
      <c r="L452" t="str">
        <f t="array" ref="L452">IFERROR(INDEX('Player Raw Data'!Y:Y,Match($A452,'Player Raw Data'!$B:$B,0)),"")</f>
        <v/>
      </c>
      <c r="M452" t="str">
        <f t="array" ref="M452">IFERROR(INDEX('Player Raw Data'!Z:Z,Match($A452,'Player Raw Data'!$B:$B,0)),"")</f>
        <v/>
      </c>
      <c r="N452" t="str">
        <f t="array" ref="N452">IFERROR(INDEX('Player Raw Data'!AA:AA,Match($A452,'Player Raw Data'!$B:$B,0)),"")</f>
        <v/>
      </c>
      <c r="O452" t="str">
        <f t="array" ref="O452">IFERROR(INDEX('Player Raw Data'!AB:AB,Match($A452,'Player Raw Data'!$B:$B,0)),"")</f>
        <v/>
      </c>
      <c r="P452" t="str">
        <f t="array" ref="P452">IFERROR(INDEX('Player Raw Data'!AD:AD,Match($A452,'Player Raw Data'!$B:$B,0)),"")</f>
        <v/>
      </c>
      <c r="Q452">
        <f t="shared" si="1"/>
        <v>0</v>
      </c>
      <c r="R452" s="9">
        <f t="shared" si="2"/>
        <v>0</v>
      </c>
      <c r="S452" s="14">
        <f t="shared" si="3"/>
        <v>0</v>
      </c>
      <c r="T452" s="15">
        <f>IFERROR(__xludf.DUMMYFUNCTION("IFERROR(PERCENTRANK.INC(FILTER(Q:Q,$F:$F&lt;&gt;""""),Q452)*100,"""")"),1.5)</f>
        <v>1.5</v>
      </c>
      <c r="U452" s="15">
        <f>IFERROR(__xludf.DUMMYFUNCTION("IFERROR(PERCENTRANK.INC(FILTER(R:R,$F:$F&lt;&gt;""""),R452)*100,"""")"),1.5)</f>
        <v>1.5</v>
      </c>
      <c r="V452" s="15">
        <f>IFERROR(__xludf.DUMMYFUNCTION("IFERROR(PERCENTRANK.INC(FILTER(S:S,$F:$F&lt;&gt;""""),S452)*100,"""")"),1.5)</f>
        <v>1.5</v>
      </c>
      <c r="W452" s="15" t="str">
        <f t="shared" si="4"/>
        <v/>
      </c>
      <c r="X452" s="16"/>
      <c r="Y452" s="9"/>
      <c r="Z452" s="9"/>
    </row>
    <row r="453">
      <c r="B453" t="str">
        <f t="array" ref="B453">IFERROR(INDEX('Player Raw Data'!E:E,Match($A453,'Player Raw Data'!$B:$B,0)),"")</f>
        <v/>
      </c>
      <c r="C453" t="str">
        <f t="array" ref="C453">IFERROR(INDEX('Player Raw Data'!C:C,Match($A453,'Player Raw Data'!$B:$B,0)),"")</f>
        <v/>
      </c>
      <c r="D453" t="str">
        <f t="array" ref="D453">IFERROR(IF(A453=A452, INDEX('Player Raw Data'!D:D,Match($A453,'Player Raw Data'!$B:$B,0)+2),INDEX('Player Raw Data'!D:D,Match($A453,'Player Raw Data'!$B:$B,0))),"")</f>
        <v/>
      </c>
      <c r="E453" t="str">
        <f t="array" ref="E453">IFERROR(INDEX('Player Raw Data'!F:F,Match($A453,'Player Raw Data'!$B:$B,0)),"")</f>
        <v/>
      </c>
      <c r="F453" t="str">
        <f t="array" ref="F453">IFERROR(INDEX('Player Raw Data'!H:H,Match($A453,'Player Raw Data'!$B:$B,0)),"")</f>
        <v/>
      </c>
      <c r="G453" t="str">
        <f t="array" ref="G453">IFERROR(INDEX('Player Raw Data'!I:I,Match($A453,'Player Raw Data'!$B:$B,0)),"")</f>
        <v/>
      </c>
      <c r="H453" t="str">
        <f t="array" ref="H453">IFERROR(INDEX('Player Raw Data'!J:J,Match($A453,'Player Raw Data'!$B:$B,0)),"")</f>
        <v/>
      </c>
      <c r="I453" t="str">
        <f t="array" ref="I453">IFERROR(INDEX('Player Raw Data'!S:S,Match($A453,'Player Raw Data'!$B:$B,0)),"")</f>
        <v/>
      </c>
      <c r="J453" t="str">
        <f t="array" ref="J453">IFERROR(INDEX('Player Raw Data'!T:T,Match($A453,'Player Raw Data'!$B:$B,0)),"")</f>
        <v/>
      </c>
      <c r="K453" t="str">
        <f t="array" ref="K453">IFERROR(INDEX('Player Raw Data'!X:X,Match($A453,'Player Raw Data'!$B:$B,0)),"")</f>
        <v/>
      </c>
      <c r="L453" t="str">
        <f t="array" ref="L453">IFERROR(INDEX('Player Raw Data'!Y:Y,Match($A453,'Player Raw Data'!$B:$B,0)),"")</f>
        <v/>
      </c>
      <c r="M453" t="str">
        <f t="array" ref="M453">IFERROR(INDEX('Player Raw Data'!Z:Z,Match($A453,'Player Raw Data'!$B:$B,0)),"")</f>
        <v/>
      </c>
      <c r="N453" t="str">
        <f t="array" ref="N453">IFERROR(INDEX('Player Raw Data'!AA:AA,Match($A453,'Player Raw Data'!$B:$B,0)),"")</f>
        <v/>
      </c>
      <c r="O453" t="str">
        <f t="array" ref="O453">IFERROR(INDEX('Player Raw Data'!AB:AB,Match($A453,'Player Raw Data'!$B:$B,0)),"")</f>
        <v/>
      </c>
      <c r="P453" t="str">
        <f t="array" ref="P453">IFERROR(INDEX('Player Raw Data'!AD:AD,Match($A453,'Player Raw Data'!$B:$B,0)),"")</f>
        <v/>
      </c>
      <c r="Q453">
        <f t="shared" si="1"/>
        <v>0</v>
      </c>
      <c r="R453" s="9">
        <f t="shared" si="2"/>
        <v>0</v>
      </c>
      <c r="S453" s="14">
        <f t="shared" si="3"/>
        <v>0</v>
      </c>
      <c r="T453" s="15">
        <f>IFERROR(__xludf.DUMMYFUNCTION("IFERROR(PERCENTRANK.INC(FILTER(Q:Q,$F:$F&lt;&gt;""""),Q453)*100,"""")"),1.5)</f>
        <v>1.5</v>
      </c>
      <c r="U453" s="15">
        <f>IFERROR(__xludf.DUMMYFUNCTION("IFERROR(PERCENTRANK.INC(FILTER(R:R,$F:$F&lt;&gt;""""),R453)*100,"""")"),1.5)</f>
        <v>1.5</v>
      </c>
      <c r="V453" s="15">
        <f>IFERROR(__xludf.DUMMYFUNCTION("IFERROR(PERCENTRANK.INC(FILTER(S:S,$F:$F&lt;&gt;""""),S453)*100,"""")"),1.5)</f>
        <v>1.5</v>
      </c>
      <c r="W453" s="15" t="str">
        <f t="shared" si="4"/>
        <v/>
      </c>
      <c r="X453" s="16"/>
      <c r="Y453" s="9"/>
      <c r="Z453" s="9"/>
    </row>
    <row r="454">
      <c r="B454" t="str">
        <f t="array" ref="B454">IFERROR(INDEX('Player Raw Data'!E:E,Match($A454,'Player Raw Data'!$B:$B,0)),"")</f>
        <v/>
      </c>
      <c r="C454" t="str">
        <f t="array" ref="C454">IFERROR(INDEX('Player Raw Data'!C:C,Match($A454,'Player Raw Data'!$B:$B,0)),"")</f>
        <v/>
      </c>
      <c r="D454" t="str">
        <f t="array" ref="D454">IFERROR(IF(A454=A453, INDEX('Player Raw Data'!D:D,Match($A454,'Player Raw Data'!$B:$B,0)+2),INDEX('Player Raw Data'!D:D,Match($A454,'Player Raw Data'!$B:$B,0))),"")</f>
        <v/>
      </c>
      <c r="E454" t="str">
        <f t="array" ref="E454">IFERROR(INDEX('Player Raw Data'!F:F,Match($A454,'Player Raw Data'!$B:$B,0)),"")</f>
        <v/>
      </c>
      <c r="F454" t="str">
        <f t="array" ref="F454">IFERROR(INDEX('Player Raw Data'!H:H,Match($A454,'Player Raw Data'!$B:$B,0)),"")</f>
        <v/>
      </c>
      <c r="G454" t="str">
        <f t="array" ref="G454">IFERROR(INDEX('Player Raw Data'!I:I,Match($A454,'Player Raw Data'!$B:$B,0)),"")</f>
        <v/>
      </c>
      <c r="H454" t="str">
        <f t="array" ref="H454">IFERROR(INDEX('Player Raw Data'!J:J,Match($A454,'Player Raw Data'!$B:$B,0)),"")</f>
        <v/>
      </c>
      <c r="I454" t="str">
        <f t="array" ref="I454">IFERROR(INDEX('Player Raw Data'!S:S,Match($A454,'Player Raw Data'!$B:$B,0)),"")</f>
        <v/>
      </c>
      <c r="J454" t="str">
        <f t="array" ref="J454">IFERROR(INDEX('Player Raw Data'!T:T,Match($A454,'Player Raw Data'!$B:$B,0)),"")</f>
        <v/>
      </c>
      <c r="K454" t="str">
        <f t="array" ref="K454">IFERROR(INDEX('Player Raw Data'!X:X,Match($A454,'Player Raw Data'!$B:$B,0)),"")</f>
        <v/>
      </c>
      <c r="L454" t="str">
        <f t="array" ref="L454">IFERROR(INDEX('Player Raw Data'!Y:Y,Match($A454,'Player Raw Data'!$B:$B,0)),"")</f>
        <v/>
      </c>
      <c r="M454" t="str">
        <f t="array" ref="M454">IFERROR(INDEX('Player Raw Data'!Z:Z,Match($A454,'Player Raw Data'!$B:$B,0)),"")</f>
        <v/>
      </c>
      <c r="N454" t="str">
        <f t="array" ref="N454">IFERROR(INDEX('Player Raw Data'!AA:AA,Match($A454,'Player Raw Data'!$B:$B,0)),"")</f>
        <v/>
      </c>
      <c r="O454" t="str">
        <f t="array" ref="O454">IFERROR(INDEX('Player Raw Data'!AB:AB,Match($A454,'Player Raw Data'!$B:$B,0)),"")</f>
        <v/>
      </c>
      <c r="P454" t="str">
        <f t="array" ref="P454">IFERROR(INDEX('Player Raw Data'!AD:AD,Match($A454,'Player Raw Data'!$B:$B,0)),"")</f>
        <v/>
      </c>
      <c r="Q454">
        <f t="shared" si="1"/>
        <v>0</v>
      </c>
      <c r="R454" s="9">
        <f t="shared" si="2"/>
        <v>0</v>
      </c>
      <c r="S454" s="14">
        <f t="shared" si="3"/>
        <v>0</v>
      </c>
      <c r="T454" s="15">
        <f>IFERROR(__xludf.DUMMYFUNCTION("IFERROR(PERCENTRANK.INC(FILTER(Q:Q,$F:$F&lt;&gt;""""),Q454)*100,"""")"),1.5)</f>
        <v>1.5</v>
      </c>
      <c r="U454" s="15">
        <f>IFERROR(__xludf.DUMMYFUNCTION("IFERROR(PERCENTRANK.INC(FILTER(R:R,$F:$F&lt;&gt;""""),R454)*100,"""")"),1.5)</f>
        <v>1.5</v>
      </c>
      <c r="V454" s="15">
        <f>IFERROR(__xludf.DUMMYFUNCTION("IFERROR(PERCENTRANK.INC(FILTER(S:S,$F:$F&lt;&gt;""""),S454)*100,"""")"),1.5)</f>
        <v>1.5</v>
      </c>
      <c r="W454" s="15" t="str">
        <f t="shared" si="4"/>
        <v/>
      </c>
      <c r="X454" s="16"/>
      <c r="Y454" s="9"/>
      <c r="Z454" s="9"/>
    </row>
    <row r="455">
      <c r="B455" t="str">
        <f t="array" ref="B455">IFERROR(INDEX('Player Raw Data'!E:E,Match($A455,'Player Raw Data'!$B:$B,0)),"")</f>
        <v/>
      </c>
      <c r="C455" t="str">
        <f t="array" ref="C455">IFERROR(INDEX('Player Raw Data'!C:C,Match($A455,'Player Raw Data'!$B:$B,0)),"")</f>
        <v/>
      </c>
      <c r="D455" t="str">
        <f t="array" ref="D455">IFERROR(IF(A455=A454, INDEX('Player Raw Data'!D:D,Match($A455,'Player Raw Data'!$B:$B,0)+2),INDEX('Player Raw Data'!D:D,Match($A455,'Player Raw Data'!$B:$B,0))),"")</f>
        <v/>
      </c>
      <c r="E455" t="str">
        <f t="array" ref="E455">IFERROR(INDEX('Player Raw Data'!F:F,Match($A455,'Player Raw Data'!$B:$B,0)),"")</f>
        <v/>
      </c>
      <c r="F455" t="str">
        <f t="array" ref="F455">IFERROR(INDEX('Player Raw Data'!H:H,Match($A455,'Player Raw Data'!$B:$B,0)),"")</f>
        <v/>
      </c>
      <c r="G455" t="str">
        <f t="array" ref="G455">IFERROR(INDEX('Player Raw Data'!I:I,Match($A455,'Player Raw Data'!$B:$B,0)),"")</f>
        <v/>
      </c>
      <c r="H455" t="str">
        <f t="array" ref="H455">IFERROR(INDEX('Player Raw Data'!J:J,Match($A455,'Player Raw Data'!$B:$B,0)),"")</f>
        <v/>
      </c>
      <c r="I455" t="str">
        <f t="array" ref="I455">IFERROR(INDEX('Player Raw Data'!S:S,Match($A455,'Player Raw Data'!$B:$B,0)),"")</f>
        <v/>
      </c>
      <c r="J455" t="str">
        <f t="array" ref="J455">IFERROR(INDEX('Player Raw Data'!T:T,Match($A455,'Player Raw Data'!$B:$B,0)),"")</f>
        <v/>
      </c>
      <c r="K455" t="str">
        <f t="array" ref="K455">IFERROR(INDEX('Player Raw Data'!X:X,Match($A455,'Player Raw Data'!$B:$B,0)),"")</f>
        <v/>
      </c>
      <c r="L455" t="str">
        <f t="array" ref="L455">IFERROR(INDEX('Player Raw Data'!Y:Y,Match($A455,'Player Raw Data'!$B:$B,0)),"")</f>
        <v/>
      </c>
      <c r="M455" t="str">
        <f t="array" ref="M455">IFERROR(INDEX('Player Raw Data'!Z:Z,Match($A455,'Player Raw Data'!$B:$B,0)),"")</f>
        <v/>
      </c>
      <c r="N455" t="str">
        <f t="array" ref="N455">IFERROR(INDEX('Player Raw Data'!AA:AA,Match($A455,'Player Raw Data'!$B:$B,0)),"")</f>
        <v/>
      </c>
      <c r="O455" t="str">
        <f t="array" ref="O455">IFERROR(INDEX('Player Raw Data'!AB:AB,Match($A455,'Player Raw Data'!$B:$B,0)),"")</f>
        <v/>
      </c>
      <c r="P455" t="str">
        <f t="array" ref="P455">IFERROR(INDEX('Player Raw Data'!AD:AD,Match($A455,'Player Raw Data'!$B:$B,0)),"")</f>
        <v/>
      </c>
      <c r="Q455">
        <f t="shared" si="1"/>
        <v>0</v>
      </c>
      <c r="R455" s="9">
        <f t="shared" si="2"/>
        <v>0</v>
      </c>
      <c r="S455" s="14">
        <f t="shared" si="3"/>
        <v>0</v>
      </c>
      <c r="T455" s="15">
        <f>IFERROR(__xludf.DUMMYFUNCTION("IFERROR(PERCENTRANK.INC(FILTER(Q:Q,$F:$F&lt;&gt;""""),Q455)*100,"""")"),1.5)</f>
        <v>1.5</v>
      </c>
      <c r="U455" s="15">
        <f>IFERROR(__xludf.DUMMYFUNCTION("IFERROR(PERCENTRANK.INC(FILTER(R:R,$F:$F&lt;&gt;""""),R455)*100,"""")"),1.5)</f>
        <v>1.5</v>
      </c>
      <c r="V455" s="15">
        <f>IFERROR(__xludf.DUMMYFUNCTION("IFERROR(PERCENTRANK.INC(FILTER(S:S,$F:$F&lt;&gt;""""),S455)*100,"""")"),1.5)</f>
        <v>1.5</v>
      </c>
      <c r="W455" s="15" t="str">
        <f t="shared" si="4"/>
        <v/>
      </c>
      <c r="X455" s="16"/>
      <c r="Y455" s="9"/>
      <c r="Z455" s="9"/>
    </row>
    <row r="456">
      <c r="B456" t="str">
        <f t="array" ref="B456">IFERROR(INDEX('Player Raw Data'!E:E,Match($A456,'Player Raw Data'!$B:$B,0)),"")</f>
        <v/>
      </c>
      <c r="C456" t="str">
        <f t="array" ref="C456">IFERROR(INDEX('Player Raw Data'!C:C,Match($A456,'Player Raw Data'!$B:$B,0)),"")</f>
        <v/>
      </c>
      <c r="D456" t="str">
        <f t="array" ref="D456">IFERROR(IF(A456=A455, INDEX('Player Raw Data'!D:D,Match($A456,'Player Raw Data'!$B:$B,0)+2),INDEX('Player Raw Data'!D:D,Match($A456,'Player Raw Data'!$B:$B,0))),"")</f>
        <v/>
      </c>
      <c r="E456" t="str">
        <f t="array" ref="E456">IFERROR(INDEX('Player Raw Data'!F:F,Match($A456,'Player Raw Data'!$B:$B,0)),"")</f>
        <v/>
      </c>
      <c r="F456" t="str">
        <f t="array" ref="F456">IFERROR(INDEX('Player Raw Data'!H:H,Match($A456,'Player Raw Data'!$B:$B,0)),"")</f>
        <v/>
      </c>
      <c r="G456" t="str">
        <f t="array" ref="G456">IFERROR(INDEX('Player Raw Data'!I:I,Match($A456,'Player Raw Data'!$B:$B,0)),"")</f>
        <v/>
      </c>
      <c r="H456" t="str">
        <f t="array" ref="H456">IFERROR(INDEX('Player Raw Data'!J:J,Match($A456,'Player Raw Data'!$B:$B,0)),"")</f>
        <v/>
      </c>
      <c r="I456" t="str">
        <f t="array" ref="I456">IFERROR(INDEX('Player Raw Data'!S:S,Match($A456,'Player Raw Data'!$B:$B,0)),"")</f>
        <v/>
      </c>
      <c r="J456" t="str">
        <f t="array" ref="J456">IFERROR(INDEX('Player Raw Data'!T:T,Match($A456,'Player Raw Data'!$B:$B,0)),"")</f>
        <v/>
      </c>
      <c r="K456" t="str">
        <f t="array" ref="K456">IFERROR(INDEX('Player Raw Data'!X:X,Match($A456,'Player Raw Data'!$B:$B,0)),"")</f>
        <v/>
      </c>
      <c r="L456" t="str">
        <f t="array" ref="L456">IFERROR(INDEX('Player Raw Data'!Y:Y,Match($A456,'Player Raw Data'!$B:$B,0)),"")</f>
        <v/>
      </c>
      <c r="M456" t="str">
        <f t="array" ref="M456">IFERROR(INDEX('Player Raw Data'!Z:Z,Match($A456,'Player Raw Data'!$B:$B,0)),"")</f>
        <v/>
      </c>
      <c r="N456" t="str">
        <f t="array" ref="N456">IFERROR(INDEX('Player Raw Data'!AA:AA,Match($A456,'Player Raw Data'!$B:$B,0)),"")</f>
        <v/>
      </c>
      <c r="O456" t="str">
        <f t="array" ref="O456">IFERROR(INDEX('Player Raw Data'!AB:AB,Match($A456,'Player Raw Data'!$B:$B,0)),"")</f>
        <v/>
      </c>
      <c r="P456" t="str">
        <f t="array" ref="P456">IFERROR(INDEX('Player Raw Data'!AD:AD,Match($A456,'Player Raw Data'!$B:$B,0)),"")</f>
        <v/>
      </c>
      <c r="Q456">
        <f t="shared" si="1"/>
        <v>0</v>
      </c>
      <c r="R456" s="9">
        <f t="shared" si="2"/>
        <v>0</v>
      </c>
      <c r="S456" s="14">
        <f t="shared" si="3"/>
        <v>0</v>
      </c>
      <c r="T456" s="15">
        <f>IFERROR(__xludf.DUMMYFUNCTION("IFERROR(PERCENTRANK.INC(FILTER(Q:Q,$F:$F&lt;&gt;""""),Q456)*100,"""")"),1.5)</f>
        <v>1.5</v>
      </c>
      <c r="U456" s="15">
        <f>IFERROR(__xludf.DUMMYFUNCTION("IFERROR(PERCENTRANK.INC(FILTER(R:R,$F:$F&lt;&gt;""""),R456)*100,"""")"),1.5)</f>
        <v>1.5</v>
      </c>
      <c r="V456" s="15">
        <f>IFERROR(__xludf.DUMMYFUNCTION("IFERROR(PERCENTRANK.INC(FILTER(S:S,$F:$F&lt;&gt;""""),S456)*100,"""")"),1.5)</f>
        <v>1.5</v>
      </c>
      <c r="W456" s="15" t="str">
        <f t="shared" si="4"/>
        <v/>
      </c>
      <c r="X456" s="16"/>
      <c r="Y456" s="9"/>
      <c r="Z456" s="9"/>
    </row>
    <row r="457">
      <c r="B457" t="str">
        <f t="array" ref="B457">IFERROR(INDEX('Player Raw Data'!E:E,Match($A457,'Player Raw Data'!$B:$B,0)),"")</f>
        <v/>
      </c>
      <c r="C457" t="str">
        <f t="array" ref="C457">IFERROR(INDEX('Player Raw Data'!C:C,Match($A457,'Player Raw Data'!$B:$B,0)),"")</f>
        <v/>
      </c>
      <c r="D457" t="str">
        <f t="array" ref="D457">IFERROR(IF(A457=A456, INDEX('Player Raw Data'!D:D,Match($A457,'Player Raw Data'!$B:$B,0)+2),INDEX('Player Raw Data'!D:D,Match($A457,'Player Raw Data'!$B:$B,0))),"")</f>
        <v/>
      </c>
      <c r="E457" t="str">
        <f t="array" ref="E457">IFERROR(INDEX('Player Raw Data'!F:F,Match($A457,'Player Raw Data'!$B:$B,0)),"")</f>
        <v/>
      </c>
      <c r="F457" t="str">
        <f t="array" ref="F457">IFERROR(INDEX('Player Raw Data'!H:H,Match($A457,'Player Raw Data'!$B:$B,0)),"")</f>
        <v/>
      </c>
      <c r="G457" t="str">
        <f t="array" ref="G457">IFERROR(INDEX('Player Raw Data'!I:I,Match($A457,'Player Raw Data'!$B:$B,0)),"")</f>
        <v/>
      </c>
      <c r="H457" t="str">
        <f t="array" ref="H457">IFERROR(INDEX('Player Raw Data'!J:J,Match($A457,'Player Raw Data'!$B:$B,0)),"")</f>
        <v/>
      </c>
      <c r="I457" t="str">
        <f t="array" ref="I457">IFERROR(INDEX('Player Raw Data'!S:S,Match($A457,'Player Raw Data'!$B:$B,0)),"")</f>
        <v/>
      </c>
      <c r="J457" t="str">
        <f t="array" ref="J457">IFERROR(INDEX('Player Raw Data'!T:T,Match($A457,'Player Raw Data'!$B:$B,0)),"")</f>
        <v/>
      </c>
      <c r="K457" t="str">
        <f t="array" ref="K457">IFERROR(INDEX('Player Raw Data'!X:X,Match($A457,'Player Raw Data'!$B:$B,0)),"")</f>
        <v/>
      </c>
      <c r="L457" t="str">
        <f t="array" ref="L457">IFERROR(INDEX('Player Raw Data'!Y:Y,Match($A457,'Player Raw Data'!$B:$B,0)),"")</f>
        <v/>
      </c>
      <c r="M457" t="str">
        <f t="array" ref="M457">IFERROR(INDEX('Player Raw Data'!Z:Z,Match($A457,'Player Raw Data'!$B:$B,0)),"")</f>
        <v/>
      </c>
      <c r="N457" t="str">
        <f t="array" ref="N457">IFERROR(INDEX('Player Raw Data'!AA:AA,Match($A457,'Player Raw Data'!$B:$B,0)),"")</f>
        <v/>
      </c>
      <c r="O457" t="str">
        <f t="array" ref="O457">IFERROR(INDEX('Player Raw Data'!AB:AB,Match($A457,'Player Raw Data'!$B:$B,0)),"")</f>
        <v/>
      </c>
      <c r="P457" t="str">
        <f t="array" ref="P457">IFERROR(INDEX('Player Raw Data'!AD:AD,Match($A457,'Player Raw Data'!$B:$B,0)),"")</f>
        <v/>
      </c>
      <c r="Q457">
        <f t="shared" si="1"/>
        <v>0</v>
      </c>
      <c r="R457" s="9">
        <f t="shared" si="2"/>
        <v>0</v>
      </c>
      <c r="S457" s="14">
        <f t="shared" si="3"/>
        <v>0</v>
      </c>
      <c r="T457" s="15">
        <f>IFERROR(__xludf.DUMMYFUNCTION("IFERROR(PERCENTRANK.INC(FILTER(Q:Q,$F:$F&lt;&gt;""""),Q457)*100,"""")"),1.5)</f>
        <v>1.5</v>
      </c>
      <c r="U457" s="15">
        <f>IFERROR(__xludf.DUMMYFUNCTION("IFERROR(PERCENTRANK.INC(FILTER(R:R,$F:$F&lt;&gt;""""),R457)*100,"""")"),1.5)</f>
        <v>1.5</v>
      </c>
      <c r="V457" s="15">
        <f>IFERROR(__xludf.DUMMYFUNCTION("IFERROR(PERCENTRANK.INC(FILTER(S:S,$F:$F&lt;&gt;""""),S457)*100,"""")"),1.5)</f>
        <v>1.5</v>
      </c>
      <c r="W457" s="15" t="str">
        <f t="shared" si="4"/>
        <v/>
      </c>
      <c r="X457" s="16"/>
      <c r="Y457" s="9"/>
      <c r="Z457" s="9"/>
    </row>
    <row r="458">
      <c r="B458" t="str">
        <f t="array" ref="B458">IFERROR(INDEX('Player Raw Data'!E:E,Match($A458,'Player Raw Data'!$B:$B,0)),"")</f>
        <v/>
      </c>
      <c r="C458" t="str">
        <f t="array" ref="C458">IFERROR(INDEX('Player Raw Data'!C:C,Match($A458,'Player Raw Data'!$B:$B,0)),"")</f>
        <v/>
      </c>
      <c r="D458" t="str">
        <f t="array" ref="D458">IFERROR(IF(A458=A457, INDEX('Player Raw Data'!D:D,Match($A458,'Player Raw Data'!$B:$B,0)+2),INDEX('Player Raw Data'!D:D,Match($A458,'Player Raw Data'!$B:$B,0))),"")</f>
        <v/>
      </c>
      <c r="E458" t="str">
        <f t="array" ref="E458">IFERROR(INDEX('Player Raw Data'!F:F,Match($A458,'Player Raw Data'!$B:$B,0)),"")</f>
        <v/>
      </c>
      <c r="F458" t="str">
        <f t="array" ref="F458">IFERROR(INDEX('Player Raw Data'!H:H,Match($A458,'Player Raw Data'!$B:$B,0)),"")</f>
        <v/>
      </c>
      <c r="G458" t="str">
        <f t="array" ref="G458">IFERROR(INDEX('Player Raw Data'!I:I,Match($A458,'Player Raw Data'!$B:$B,0)),"")</f>
        <v/>
      </c>
      <c r="H458" t="str">
        <f t="array" ref="H458">IFERROR(INDEX('Player Raw Data'!J:J,Match($A458,'Player Raw Data'!$B:$B,0)),"")</f>
        <v/>
      </c>
      <c r="I458" t="str">
        <f t="array" ref="I458">IFERROR(INDEX('Player Raw Data'!S:S,Match($A458,'Player Raw Data'!$B:$B,0)),"")</f>
        <v/>
      </c>
      <c r="J458" t="str">
        <f t="array" ref="J458">IFERROR(INDEX('Player Raw Data'!T:T,Match($A458,'Player Raw Data'!$B:$B,0)),"")</f>
        <v/>
      </c>
      <c r="K458" t="str">
        <f t="array" ref="K458">IFERROR(INDEX('Player Raw Data'!X:X,Match($A458,'Player Raw Data'!$B:$B,0)),"")</f>
        <v/>
      </c>
      <c r="L458" t="str">
        <f t="array" ref="L458">IFERROR(INDEX('Player Raw Data'!Y:Y,Match($A458,'Player Raw Data'!$B:$B,0)),"")</f>
        <v/>
      </c>
      <c r="M458" t="str">
        <f t="array" ref="M458">IFERROR(INDEX('Player Raw Data'!Z:Z,Match($A458,'Player Raw Data'!$B:$B,0)),"")</f>
        <v/>
      </c>
      <c r="N458" t="str">
        <f t="array" ref="N458">IFERROR(INDEX('Player Raw Data'!AA:AA,Match($A458,'Player Raw Data'!$B:$B,0)),"")</f>
        <v/>
      </c>
      <c r="O458" t="str">
        <f t="array" ref="O458">IFERROR(INDEX('Player Raw Data'!AB:AB,Match($A458,'Player Raw Data'!$B:$B,0)),"")</f>
        <v/>
      </c>
      <c r="P458" t="str">
        <f t="array" ref="P458">IFERROR(INDEX('Player Raw Data'!AD:AD,Match($A458,'Player Raw Data'!$B:$B,0)),"")</f>
        <v/>
      </c>
      <c r="Q458">
        <f t="shared" si="1"/>
        <v>0</v>
      </c>
      <c r="R458" s="9">
        <f t="shared" si="2"/>
        <v>0</v>
      </c>
      <c r="S458" s="14">
        <f t="shared" si="3"/>
        <v>0</v>
      </c>
      <c r="T458" s="15">
        <f>IFERROR(__xludf.DUMMYFUNCTION("IFERROR(PERCENTRANK.INC(FILTER(Q:Q,$F:$F&lt;&gt;""""),Q458)*100,"""")"),1.5)</f>
        <v>1.5</v>
      </c>
      <c r="U458" s="15">
        <f>IFERROR(__xludf.DUMMYFUNCTION("IFERROR(PERCENTRANK.INC(FILTER(R:R,$F:$F&lt;&gt;""""),R458)*100,"""")"),1.5)</f>
        <v>1.5</v>
      </c>
      <c r="V458" s="15">
        <f>IFERROR(__xludf.DUMMYFUNCTION("IFERROR(PERCENTRANK.INC(FILTER(S:S,$F:$F&lt;&gt;""""),S458)*100,"""")"),1.5)</f>
        <v>1.5</v>
      </c>
      <c r="W458" s="15" t="str">
        <f t="shared" si="4"/>
        <v/>
      </c>
      <c r="X458" s="16"/>
      <c r="Y458" s="9"/>
      <c r="Z458" s="9"/>
    </row>
    <row r="459">
      <c r="B459" t="str">
        <f t="array" ref="B459">IFERROR(INDEX('Player Raw Data'!E:E,Match($A459,'Player Raw Data'!$B:$B,0)),"")</f>
        <v/>
      </c>
      <c r="C459" t="str">
        <f t="array" ref="C459">IFERROR(INDEX('Player Raw Data'!C:C,Match($A459,'Player Raw Data'!$B:$B,0)),"")</f>
        <v/>
      </c>
      <c r="D459" t="str">
        <f t="array" ref="D459">IFERROR(IF(A459=A458, INDEX('Player Raw Data'!D:D,Match($A459,'Player Raw Data'!$B:$B,0)+2),INDEX('Player Raw Data'!D:D,Match($A459,'Player Raw Data'!$B:$B,0))),"")</f>
        <v/>
      </c>
      <c r="E459" t="str">
        <f t="array" ref="E459">IFERROR(INDEX('Player Raw Data'!F:F,Match($A459,'Player Raw Data'!$B:$B,0)),"")</f>
        <v/>
      </c>
      <c r="F459" t="str">
        <f t="array" ref="F459">IFERROR(INDEX('Player Raw Data'!H:H,Match($A459,'Player Raw Data'!$B:$B,0)),"")</f>
        <v/>
      </c>
      <c r="G459" t="str">
        <f t="array" ref="G459">IFERROR(INDEX('Player Raw Data'!I:I,Match($A459,'Player Raw Data'!$B:$B,0)),"")</f>
        <v/>
      </c>
      <c r="H459" t="str">
        <f t="array" ref="H459">IFERROR(INDEX('Player Raw Data'!J:J,Match($A459,'Player Raw Data'!$B:$B,0)),"")</f>
        <v/>
      </c>
      <c r="I459" t="str">
        <f t="array" ref="I459">IFERROR(INDEX('Player Raw Data'!S:S,Match($A459,'Player Raw Data'!$B:$B,0)),"")</f>
        <v/>
      </c>
      <c r="J459" t="str">
        <f t="array" ref="J459">IFERROR(INDEX('Player Raw Data'!T:T,Match($A459,'Player Raw Data'!$B:$B,0)),"")</f>
        <v/>
      </c>
      <c r="K459" t="str">
        <f t="array" ref="K459">IFERROR(INDEX('Player Raw Data'!X:X,Match($A459,'Player Raw Data'!$B:$B,0)),"")</f>
        <v/>
      </c>
      <c r="L459" t="str">
        <f t="array" ref="L459">IFERROR(INDEX('Player Raw Data'!Y:Y,Match($A459,'Player Raw Data'!$B:$B,0)),"")</f>
        <v/>
      </c>
      <c r="M459" t="str">
        <f t="array" ref="M459">IFERROR(INDEX('Player Raw Data'!Z:Z,Match($A459,'Player Raw Data'!$B:$B,0)),"")</f>
        <v/>
      </c>
      <c r="N459" t="str">
        <f t="array" ref="N459">IFERROR(INDEX('Player Raw Data'!AA:AA,Match($A459,'Player Raw Data'!$B:$B,0)),"")</f>
        <v/>
      </c>
      <c r="O459" t="str">
        <f t="array" ref="O459">IFERROR(INDEX('Player Raw Data'!AB:AB,Match($A459,'Player Raw Data'!$B:$B,0)),"")</f>
        <v/>
      </c>
      <c r="P459" t="str">
        <f t="array" ref="P459">IFERROR(INDEX('Player Raw Data'!AD:AD,Match($A459,'Player Raw Data'!$B:$B,0)),"")</f>
        <v/>
      </c>
      <c r="Q459">
        <f t="shared" si="1"/>
        <v>0</v>
      </c>
      <c r="R459" s="9">
        <f t="shared" si="2"/>
        <v>0</v>
      </c>
      <c r="S459" s="14">
        <f t="shared" si="3"/>
        <v>0</v>
      </c>
      <c r="T459" s="15">
        <f>IFERROR(__xludf.DUMMYFUNCTION("IFERROR(PERCENTRANK.INC(FILTER(Q:Q,$F:$F&lt;&gt;""""),Q459)*100,"""")"),1.5)</f>
        <v>1.5</v>
      </c>
      <c r="U459" s="15">
        <f>IFERROR(__xludf.DUMMYFUNCTION("IFERROR(PERCENTRANK.INC(FILTER(R:R,$F:$F&lt;&gt;""""),R459)*100,"""")"),1.5)</f>
        <v>1.5</v>
      </c>
      <c r="V459" s="15">
        <f>IFERROR(__xludf.DUMMYFUNCTION("IFERROR(PERCENTRANK.INC(FILTER(S:S,$F:$F&lt;&gt;""""),S459)*100,"""")"),1.5)</f>
        <v>1.5</v>
      </c>
      <c r="W459" s="15" t="str">
        <f t="shared" si="4"/>
        <v/>
      </c>
      <c r="X459" s="16"/>
      <c r="Y459" s="9"/>
      <c r="Z459" s="9"/>
    </row>
    <row r="460">
      <c r="B460" t="str">
        <f t="array" ref="B460">IFERROR(INDEX('Player Raw Data'!E:E,Match($A460,'Player Raw Data'!$B:$B,0)),"")</f>
        <v/>
      </c>
      <c r="C460" t="str">
        <f t="array" ref="C460">IFERROR(INDEX('Player Raw Data'!C:C,Match($A460,'Player Raw Data'!$B:$B,0)),"")</f>
        <v/>
      </c>
      <c r="D460" t="str">
        <f t="array" ref="D460">IFERROR(IF(A460=A459, INDEX('Player Raw Data'!D:D,Match($A460,'Player Raw Data'!$B:$B,0)+2),INDEX('Player Raw Data'!D:D,Match($A460,'Player Raw Data'!$B:$B,0))),"")</f>
        <v/>
      </c>
      <c r="E460" t="str">
        <f t="array" ref="E460">IFERROR(INDEX('Player Raw Data'!F:F,Match($A460,'Player Raw Data'!$B:$B,0)),"")</f>
        <v/>
      </c>
      <c r="F460" t="str">
        <f t="array" ref="F460">IFERROR(INDEX('Player Raw Data'!H:H,Match($A460,'Player Raw Data'!$B:$B,0)),"")</f>
        <v/>
      </c>
      <c r="G460" t="str">
        <f t="array" ref="G460">IFERROR(INDEX('Player Raw Data'!I:I,Match($A460,'Player Raw Data'!$B:$B,0)),"")</f>
        <v/>
      </c>
      <c r="H460" t="str">
        <f t="array" ref="H460">IFERROR(INDEX('Player Raw Data'!J:J,Match($A460,'Player Raw Data'!$B:$B,0)),"")</f>
        <v/>
      </c>
      <c r="I460" t="str">
        <f t="array" ref="I460">IFERROR(INDEX('Player Raw Data'!S:S,Match($A460,'Player Raw Data'!$B:$B,0)),"")</f>
        <v/>
      </c>
      <c r="J460" t="str">
        <f t="array" ref="J460">IFERROR(INDEX('Player Raw Data'!T:T,Match($A460,'Player Raw Data'!$B:$B,0)),"")</f>
        <v/>
      </c>
      <c r="K460" t="str">
        <f t="array" ref="K460">IFERROR(INDEX('Player Raw Data'!X:X,Match($A460,'Player Raw Data'!$B:$B,0)),"")</f>
        <v/>
      </c>
      <c r="L460" t="str">
        <f t="array" ref="L460">IFERROR(INDEX('Player Raw Data'!Y:Y,Match($A460,'Player Raw Data'!$B:$B,0)),"")</f>
        <v/>
      </c>
      <c r="M460" t="str">
        <f t="array" ref="M460">IFERROR(INDEX('Player Raw Data'!Z:Z,Match($A460,'Player Raw Data'!$B:$B,0)),"")</f>
        <v/>
      </c>
      <c r="N460" t="str">
        <f t="array" ref="N460">IFERROR(INDEX('Player Raw Data'!AA:AA,Match($A460,'Player Raw Data'!$B:$B,0)),"")</f>
        <v/>
      </c>
      <c r="O460" t="str">
        <f t="array" ref="O460">IFERROR(INDEX('Player Raw Data'!AB:AB,Match($A460,'Player Raw Data'!$B:$B,0)),"")</f>
        <v/>
      </c>
      <c r="P460" t="str">
        <f t="array" ref="P460">IFERROR(INDEX('Player Raw Data'!AD:AD,Match($A460,'Player Raw Data'!$B:$B,0)),"")</f>
        <v/>
      </c>
      <c r="Q460">
        <f t="shared" si="1"/>
        <v>0</v>
      </c>
      <c r="R460" s="9">
        <f t="shared" si="2"/>
        <v>0</v>
      </c>
      <c r="S460" s="14">
        <f t="shared" si="3"/>
        <v>0</v>
      </c>
      <c r="T460" s="15">
        <f>IFERROR(__xludf.DUMMYFUNCTION("IFERROR(PERCENTRANK.INC(FILTER(Q:Q,$F:$F&lt;&gt;""""),Q460)*100,"""")"),1.5)</f>
        <v>1.5</v>
      </c>
      <c r="U460" s="15">
        <f>IFERROR(__xludf.DUMMYFUNCTION("IFERROR(PERCENTRANK.INC(FILTER(R:R,$F:$F&lt;&gt;""""),R460)*100,"""")"),1.5)</f>
        <v>1.5</v>
      </c>
      <c r="V460" s="15">
        <f>IFERROR(__xludf.DUMMYFUNCTION("IFERROR(PERCENTRANK.INC(FILTER(S:S,$F:$F&lt;&gt;""""),S460)*100,"""")"),1.5)</f>
        <v>1.5</v>
      </c>
      <c r="W460" s="15" t="str">
        <f t="shared" si="4"/>
        <v/>
      </c>
      <c r="X460" s="16"/>
      <c r="Y460" s="9"/>
      <c r="Z460" s="9"/>
    </row>
    <row r="461">
      <c r="B461" t="str">
        <f t="array" ref="B461">IFERROR(INDEX('Player Raw Data'!E:E,Match($A461,'Player Raw Data'!$B:$B,0)),"")</f>
        <v/>
      </c>
      <c r="C461" t="str">
        <f t="array" ref="C461">IFERROR(INDEX('Player Raw Data'!C:C,Match($A461,'Player Raw Data'!$B:$B,0)),"")</f>
        <v/>
      </c>
      <c r="D461" t="str">
        <f t="array" ref="D461">IFERROR(IF(A461=A460, INDEX('Player Raw Data'!D:D,Match($A461,'Player Raw Data'!$B:$B,0)+2),INDEX('Player Raw Data'!D:D,Match($A461,'Player Raw Data'!$B:$B,0))),"")</f>
        <v/>
      </c>
      <c r="E461" t="str">
        <f t="array" ref="E461">IFERROR(INDEX('Player Raw Data'!F:F,Match($A461,'Player Raw Data'!$B:$B,0)),"")</f>
        <v/>
      </c>
      <c r="F461" t="str">
        <f t="array" ref="F461">IFERROR(INDEX('Player Raw Data'!H:H,Match($A461,'Player Raw Data'!$B:$B,0)),"")</f>
        <v/>
      </c>
      <c r="G461" t="str">
        <f t="array" ref="G461">IFERROR(INDEX('Player Raw Data'!I:I,Match($A461,'Player Raw Data'!$B:$B,0)),"")</f>
        <v/>
      </c>
      <c r="H461" t="str">
        <f t="array" ref="H461">IFERROR(INDEX('Player Raw Data'!J:J,Match($A461,'Player Raw Data'!$B:$B,0)),"")</f>
        <v/>
      </c>
      <c r="I461" t="str">
        <f t="array" ref="I461">IFERROR(INDEX('Player Raw Data'!S:S,Match($A461,'Player Raw Data'!$B:$B,0)),"")</f>
        <v/>
      </c>
      <c r="J461" t="str">
        <f t="array" ref="J461">IFERROR(INDEX('Player Raw Data'!T:T,Match($A461,'Player Raw Data'!$B:$B,0)),"")</f>
        <v/>
      </c>
      <c r="K461" t="str">
        <f t="array" ref="K461">IFERROR(INDEX('Player Raw Data'!X:X,Match($A461,'Player Raw Data'!$B:$B,0)),"")</f>
        <v/>
      </c>
      <c r="L461" t="str">
        <f t="array" ref="L461">IFERROR(INDEX('Player Raw Data'!Y:Y,Match($A461,'Player Raw Data'!$B:$B,0)),"")</f>
        <v/>
      </c>
      <c r="M461" t="str">
        <f t="array" ref="M461">IFERROR(INDEX('Player Raw Data'!Z:Z,Match($A461,'Player Raw Data'!$B:$B,0)),"")</f>
        <v/>
      </c>
      <c r="N461" t="str">
        <f t="array" ref="N461">IFERROR(INDEX('Player Raw Data'!AA:AA,Match($A461,'Player Raw Data'!$B:$B,0)),"")</f>
        <v/>
      </c>
      <c r="O461" t="str">
        <f t="array" ref="O461">IFERROR(INDEX('Player Raw Data'!AB:AB,Match($A461,'Player Raw Data'!$B:$B,0)),"")</f>
        <v/>
      </c>
      <c r="P461" t="str">
        <f t="array" ref="P461">IFERROR(INDEX('Player Raw Data'!AD:AD,Match($A461,'Player Raw Data'!$B:$B,0)),"")</f>
        <v/>
      </c>
      <c r="Q461">
        <f t="shared" si="1"/>
        <v>0</v>
      </c>
      <c r="R461" s="9">
        <f t="shared" si="2"/>
        <v>0</v>
      </c>
      <c r="S461" s="14">
        <f t="shared" si="3"/>
        <v>0</v>
      </c>
      <c r="T461" s="15">
        <f>IFERROR(__xludf.DUMMYFUNCTION("IFERROR(PERCENTRANK.INC(FILTER(Q:Q,$F:$F&lt;&gt;""""),Q461)*100,"""")"),1.5)</f>
        <v>1.5</v>
      </c>
      <c r="U461" s="15">
        <f>IFERROR(__xludf.DUMMYFUNCTION("IFERROR(PERCENTRANK.INC(FILTER(R:R,$F:$F&lt;&gt;""""),R461)*100,"""")"),1.5)</f>
        <v>1.5</v>
      </c>
      <c r="V461" s="15">
        <f>IFERROR(__xludf.DUMMYFUNCTION("IFERROR(PERCENTRANK.INC(FILTER(S:S,$F:$F&lt;&gt;""""),S461)*100,"""")"),1.5)</f>
        <v>1.5</v>
      </c>
      <c r="W461" s="15" t="str">
        <f t="shared" si="4"/>
        <v/>
      </c>
      <c r="X461" s="16"/>
      <c r="Y461" s="9"/>
      <c r="Z461" s="9"/>
    </row>
    <row r="462">
      <c r="B462" t="str">
        <f t="array" ref="B462">IFERROR(INDEX('Player Raw Data'!E:E,Match($A462,'Player Raw Data'!$B:$B,0)),"")</f>
        <v/>
      </c>
      <c r="C462" t="str">
        <f t="array" ref="C462">IFERROR(INDEX('Player Raw Data'!C:C,Match($A462,'Player Raw Data'!$B:$B,0)),"")</f>
        <v/>
      </c>
      <c r="D462" t="str">
        <f t="array" ref="D462">IFERROR(IF(A462=A461, INDEX('Player Raw Data'!D:D,Match($A462,'Player Raw Data'!$B:$B,0)+2),INDEX('Player Raw Data'!D:D,Match($A462,'Player Raw Data'!$B:$B,0))),"")</f>
        <v/>
      </c>
      <c r="E462" t="str">
        <f t="array" ref="E462">IFERROR(INDEX('Player Raw Data'!F:F,Match($A462,'Player Raw Data'!$B:$B,0)),"")</f>
        <v/>
      </c>
      <c r="F462" t="str">
        <f t="array" ref="F462">IFERROR(INDEX('Player Raw Data'!H:H,Match($A462,'Player Raw Data'!$B:$B,0)),"")</f>
        <v/>
      </c>
      <c r="G462" t="str">
        <f t="array" ref="G462">IFERROR(INDEX('Player Raw Data'!I:I,Match($A462,'Player Raw Data'!$B:$B,0)),"")</f>
        <v/>
      </c>
      <c r="H462" t="str">
        <f t="array" ref="H462">IFERROR(INDEX('Player Raw Data'!J:J,Match($A462,'Player Raw Data'!$B:$B,0)),"")</f>
        <v/>
      </c>
      <c r="I462" t="str">
        <f t="array" ref="I462">IFERROR(INDEX('Player Raw Data'!S:S,Match($A462,'Player Raw Data'!$B:$B,0)),"")</f>
        <v/>
      </c>
      <c r="J462" t="str">
        <f t="array" ref="J462">IFERROR(INDEX('Player Raw Data'!T:T,Match($A462,'Player Raw Data'!$B:$B,0)),"")</f>
        <v/>
      </c>
      <c r="K462" t="str">
        <f t="array" ref="K462">IFERROR(INDEX('Player Raw Data'!X:X,Match($A462,'Player Raw Data'!$B:$B,0)),"")</f>
        <v/>
      </c>
      <c r="L462" t="str">
        <f t="array" ref="L462">IFERROR(INDEX('Player Raw Data'!Y:Y,Match($A462,'Player Raw Data'!$B:$B,0)),"")</f>
        <v/>
      </c>
      <c r="M462" t="str">
        <f t="array" ref="M462">IFERROR(INDEX('Player Raw Data'!Z:Z,Match($A462,'Player Raw Data'!$B:$B,0)),"")</f>
        <v/>
      </c>
      <c r="N462" t="str">
        <f t="array" ref="N462">IFERROR(INDEX('Player Raw Data'!AA:AA,Match($A462,'Player Raw Data'!$B:$B,0)),"")</f>
        <v/>
      </c>
      <c r="O462" t="str">
        <f t="array" ref="O462">IFERROR(INDEX('Player Raw Data'!AB:AB,Match($A462,'Player Raw Data'!$B:$B,0)),"")</f>
        <v/>
      </c>
      <c r="P462" t="str">
        <f t="array" ref="P462">IFERROR(INDEX('Player Raw Data'!AD:AD,Match($A462,'Player Raw Data'!$B:$B,0)),"")</f>
        <v/>
      </c>
      <c r="Q462">
        <f t="shared" si="1"/>
        <v>0</v>
      </c>
      <c r="R462" s="9">
        <f t="shared" si="2"/>
        <v>0</v>
      </c>
      <c r="S462" s="14">
        <f t="shared" si="3"/>
        <v>0</v>
      </c>
      <c r="T462" s="15">
        <f>IFERROR(__xludf.DUMMYFUNCTION("IFERROR(PERCENTRANK.INC(FILTER(Q:Q,$F:$F&lt;&gt;""""),Q462)*100,"""")"),1.5)</f>
        <v>1.5</v>
      </c>
      <c r="U462" s="15">
        <f>IFERROR(__xludf.DUMMYFUNCTION("IFERROR(PERCENTRANK.INC(FILTER(R:R,$F:$F&lt;&gt;""""),R462)*100,"""")"),1.5)</f>
        <v>1.5</v>
      </c>
      <c r="V462" s="15">
        <f>IFERROR(__xludf.DUMMYFUNCTION("IFERROR(PERCENTRANK.INC(FILTER(S:S,$F:$F&lt;&gt;""""),S462)*100,"""")"),1.5)</f>
        <v>1.5</v>
      </c>
      <c r="W462" s="15" t="str">
        <f t="shared" si="4"/>
        <v/>
      </c>
      <c r="X462" s="16"/>
      <c r="Y462" s="9"/>
      <c r="Z462" s="9"/>
    </row>
    <row r="463">
      <c r="B463" t="str">
        <f t="array" ref="B463">IFERROR(INDEX('Player Raw Data'!E:E,Match($A463,'Player Raw Data'!$B:$B,0)),"")</f>
        <v/>
      </c>
      <c r="C463" t="str">
        <f t="array" ref="C463">IFERROR(INDEX('Player Raw Data'!C:C,Match($A463,'Player Raw Data'!$B:$B,0)),"")</f>
        <v/>
      </c>
      <c r="D463" t="str">
        <f t="array" ref="D463">IFERROR(IF(A463=A462, INDEX('Player Raw Data'!D:D,Match($A463,'Player Raw Data'!$B:$B,0)+2),INDEX('Player Raw Data'!D:D,Match($A463,'Player Raw Data'!$B:$B,0))),"")</f>
        <v/>
      </c>
      <c r="E463" t="str">
        <f t="array" ref="E463">IFERROR(INDEX('Player Raw Data'!F:F,Match($A463,'Player Raw Data'!$B:$B,0)),"")</f>
        <v/>
      </c>
      <c r="F463" t="str">
        <f t="array" ref="F463">IFERROR(INDEX('Player Raw Data'!H:H,Match($A463,'Player Raw Data'!$B:$B,0)),"")</f>
        <v/>
      </c>
      <c r="G463" t="str">
        <f t="array" ref="G463">IFERROR(INDEX('Player Raw Data'!I:I,Match($A463,'Player Raw Data'!$B:$B,0)),"")</f>
        <v/>
      </c>
      <c r="H463" t="str">
        <f t="array" ref="H463">IFERROR(INDEX('Player Raw Data'!J:J,Match($A463,'Player Raw Data'!$B:$B,0)),"")</f>
        <v/>
      </c>
      <c r="I463" t="str">
        <f t="array" ref="I463">IFERROR(INDEX('Player Raw Data'!S:S,Match($A463,'Player Raw Data'!$B:$B,0)),"")</f>
        <v/>
      </c>
      <c r="J463" t="str">
        <f t="array" ref="J463">IFERROR(INDEX('Player Raw Data'!T:T,Match($A463,'Player Raw Data'!$B:$B,0)),"")</f>
        <v/>
      </c>
      <c r="K463" t="str">
        <f t="array" ref="K463">IFERROR(INDEX('Player Raw Data'!X:X,Match($A463,'Player Raw Data'!$B:$B,0)),"")</f>
        <v/>
      </c>
      <c r="L463" t="str">
        <f t="array" ref="L463">IFERROR(INDEX('Player Raw Data'!Y:Y,Match($A463,'Player Raw Data'!$B:$B,0)),"")</f>
        <v/>
      </c>
      <c r="M463" t="str">
        <f t="array" ref="M463">IFERROR(INDEX('Player Raw Data'!Z:Z,Match($A463,'Player Raw Data'!$B:$B,0)),"")</f>
        <v/>
      </c>
      <c r="N463" t="str">
        <f t="array" ref="N463">IFERROR(INDEX('Player Raw Data'!AA:AA,Match($A463,'Player Raw Data'!$B:$B,0)),"")</f>
        <v/>
      </c>
      <c r="O463" t="str">
        <f t="array" ref="O463">IFERROR(INDEX('Player Raw Data'!AB:AB,Match($A463,'Player Raw Data'!$B:$B,0)),"")</f>
        <v/>
      </c>
      <c r="P463" t="str">
        <f t="array" ref="P463">IFERROR(INDEX('Player Raw Data'!AD:AD,Match($A463,'Player Raw Data'!$B:$B,0)),"")</f>
        <v/>
      </c>
      <c r="Q463">
        <f t="shared" si="1"/>
        <v>0</v>
      </c>
      <c r="R463" s="9">
        <f t="shared" si="2"/>
        <v>0</v>
      </c>
      <c r="S463" s="14">
        <f t="shared" si="3"/>
        <v>0</v>
      </c>
      <c r="T463" s="15">
        <f>IFERROR(__xludf.DUMMYFUNCTION("IFERROR(PERCENTRANK.INC(FILTER(Q:Q,$F:$F&lt;&gt;""""),Q463)*100,"""")"),1.5)</f>
        <v>1.5</v>
      </c>
      <c r="U463" s="15">
        <f>IFERROR(__xludf.DUMMYFUNCTION("IFERROR(PERCENTRANK.INC(FILTER(R:R,$F:$F&lt;&gt;""""),R463)*100,"""")"),1.5)</f>
        <v>1.5</v>
      </c>
      <c r="V463" s="15">
        <f>IFERROR(__xludf.DUMMYFUNCTION("IFERROR(PERCENTRANK.INC(FILTER(S:S,$F:$F&lt;&gt;""""),S463)*100,"""")"),1.5)</f>
        <v>1.5</v>
      </c>
      <c r="W463" s="15" t="str">
        <f t="shared" si="4"/>
        <v/>
      </c>
      <c r="X463" s="16"/>
      <c r="Y463" s="9"/>
      <c r="Z463" s="9"/>
    </row>
    <row r="464">
      <c r="B464" t="str">
        <f t="array" ref="B464">IFERROR(INDEX('Player Raw Data'!E:E,Match($A464,'Player Raw Data'!$B:$B,0)),"")</f>
        <v/>
      </c>
      <c r="C464" t="str">
        <f t="array" ref="C464">IFERROR(INDEX('Player Raw Data'!C:C,Match($A464,'Player Raw Data'!$B:$B,0)),"")</f>
        <v/>
      </c>
      <c r="D464" t="str">
        <f t="array" ref="D464">IFERROR(IF(A464=A463, INDEX('Player Raw Data'!D:D,Match($A464,'Player Raw Data'!$B:$B,0)+2),INDEX('Player Raw Data'!D:D,Match($A464,'Player Raw Data'!$B:$B,0))),"")</f>
        <v/>
      </c>
      <c r="E464" t="str">
        <f t="array" ref="E464">IFERROR(INDEX('Player Raw Data'!F:F,Match($A464,'Player Raw Data'!$B:$B,0)),"")</f>
        <v/>
      </c>
      <c r="F464" t="str">
        <f t="array" ref="F464">IFERROR(INDEX('Player Raw Data'!H:H,Match($A464,'Player Raw Data'!$B:$B,0)),"")</f>
        <v/>
      </c>
      <c r="G464" t="str">
        <f t="array" ref="G464">IFERROR(INDEX('Player Raw Data'!I:I,Match($A464,'Player Raw Data'!$B:$B,0)),"")</f>
        <v/>
      </c>
      <c r="H464" t="str">
        <f t="array" ref="H464">IFERROR(INDEX('Player Raw Data'!J:J,Match($A464,'Player Raw Data'!$B:$B,0)),"")</f>
        <v/>
      </c>
      <c r="I464" t="str">
        <f t="array" ref="I464">IFERROR(INDEX('Player Raw Data'!S:S,Match($A464,'Player Raw Data'!$B:$B,0)),"")</f>
        <v/>
      </c>
      <c r="J464" t="str">
        <f t="array" ref="J464">IFERROR(INDEX('Player Raw Data'!T:T,Match($A464,'Player Raw Data'!$B:$B,0)),"")</f>
        <v/>
      </c>
      <c r="K464" t="str">
        <f t="array" ref="K464">IFERROR(INDEX('Player Raw Data'!X:X,Match($A464,'Player Raw Data'!$B:$B,0)),"")</f>
        <v/>
      </c>
      <c r="L464" t="str">
        <f t="array" ref="L464">IFERROR(INDEX('Player Raw Data'!Y:Y,Match($A464,'Player Raw Data'!$B:$B,0)),"")</f>
        <v/>
      </c>
      <c r="M464" t="str">
        <f t="array" ref="M464">IFERROR(INDEX('Player Raw Data'!Z:Z,Match($A464,'Player Raw Data'!$B:$B,0)),"")</f>
        <v/>
      </c>
      <c r="N464" t="str">
        <f t="array" ref="N464">IFERROR(INDEX('Player Raw Data'!AA:AA,Match($A464,'Player Raw Data'!$B:$B,0)),"")</f>
        <v/>
      </c>
      <c r="O464" t="str">
        <f t="array" ref="O464">IFERROR(INDEX('Player Raw Data'!AB:AB,Match($A464,'Player Raw Data'!$B:$B,0)),"")</f>
        <v/>
      </c>
      <c r="P464" t="str">
        <f t="array" ref="P464">IFERROR(INDEX('Player Raw Data'!AD:AD,Match($A464,'Player Raw Data'!$B:$B,0)),"")</f>
        <v/>
      </c>
      <c r="Q464">
        <f t="shared" si="1"/>
        <v>0</v>
      </c>
      <c r="R464" s="9">
        <f t="shared" si="2"/>
        <v>0</v>
      </c>
      <c r="S464" s="14">
        <f t="shared" si="3"/>
        <v>0</v>
      </c>
      <c r="T464" s="15">
        <f>IFERROR(__xludf.DUMMYFUNCTION("IFERROR(PERCENTRANK.INC(FILTER(Q:Q,$F:$F&lt;&gt;""""),Q464)*100,"""")"),1.5)</f>
        <v>1.5</v>
      </c>
      <c r="U464" s="15">
        <f>IFERROR(__xludf.DUMMYFUNCTION("IFERROR(PERCENTRANK.INC(FILTER(R:R,$F:$F&lt;&gt;""""),R464)*100,"""")"),1.5)</f>
        <v>1.5</v>
      </c>
      <c r="V464" s="15">
        <f>IFERROR(__xludf.DUMMYFUNCTION("IFERROR(PERCENTRANK.INC(FILTER(S:S,$F:$F&lt;&gt;""""),S464)*100,"""")"),1.5)</f>
        <v>1.5</v>
      </c>
      <c r="W464" s="15" t="str">
        <f t="shared" si="4"/>
        <v/>
      </c>
      <c r="X464" s="16"/>
      <c r="Y464" s="9"/>
      <c r="Z464" s="9"/>
    </row>
    <row r="465">
      <c r="B465" t="str">
        <f t="array" ref="B465">IFERROR(INDEX('Player Raw Data'!E:E,Match($A465,'Player Raw Data'!$B:$B,0)),"")</f>
        <v/>
      </c>
      <c r="C465" t="str">
        <f t="array" ref="C465">IFERROR(INDEX('Player Raw Data'!C:C,Match($A465,'Player Raw Data'!$B:$B,0)),"")</f>
        <v/>
      </c>
      <c r="D465" t="str">
        <f t="array" ref="D465">IFERROR(IF(A465=A464, INDEX('Player Raw Data'!D:D,Match($A465,'Player Raw Data'!$B:$B,0)+2),INDEX('Player Raw Data'!D:D,Match($A465,'Player Raw Data'!$B:$B,0))),"")</f>
        <v/>
      </c>
      <c r="E465" t="str">
        <f t="array" ref="E465">IFERROR(INDEX('Player Raw Data'!F:F,Match($A465,'Player Raw Data'!$B:$B,0)),"")</f>
        <v/>
      </c>
      <c r="F465" t="str">
        <f t="array" ref="F465">IFERROR(INDEX('Player Raw Data'!H:H,Match($A465,'Player Raw Data'!$B:$B,0)),"")</f>
        <v/>
      </c>
      <c r="G465" t="str">
        <f t="array" ref="G465">IFERROR(INDEX('Player Raw Data'!I:I,Match($A465,'Player Raw Data'!$B:$B,0)),"")</f>
        <v/>
      </c>
      <c r="H465" t="str">
        <f t="array" ref="H465">IFERROR(INDEX('Player Raw Data'!J:J,Match($A465,'Player Raw Data'!$B:$B,0)),"")</f>
        <v/>
      </c>
      <c r="I465" t="str">
        <f t="array" ref="I465">IFERROR(INDEX('Player Raw Data'!S:S,Match($A465,'Player Raw Data'!$B:$B,0)),"")</f>
        <v/>
      </c>
      <c r="J465" t="str">
        <f t="array" ref="J465">IFERROR(INDEX('Player Raw Data'!T:T,Match($A465,'Player Raw Data'!$B:$B,0)),"")</f>
        <v/>
      </c>
      <c r="K465" t="str">
        <f t="array" ref="K465">IFERROR(INDEX('Player Raw Data'!X:X,Match($A465,'Player Raw Data'!$B:$B,0)),"")</f>
        <v/>
      </c>
      <c r="L465" t="str">
        <f t="array" ref="L465">IFERROR(INDEX('Player Raw Data'!Y:Y,Match($A465,'Player Raw Data'!$B:$B,0)),"")</f>
        <v/>
      </c>
      <c r="M465" t="str">
        <f t="array" ref="M465">IFERROR(INDEX('Player Raw Data'!Z:Z,Match($A465,'Player Raw Data'!$B:$B,0)),"")</f>
        <v/>
      </c>
      <c r="N465" t="str">
        <f t="array" ref="N465">IFERROR(INDEX('Player Raw Data'!AA:AA,Match($A465,'Player Raw Data'!$B:$B,0)),"")</f>
        <v/>
      </c>
      <c r="O465" t="str">
        <f t="array" ref="O465">IFERROR(INDEX('Player Raw Data'!AB:AB,Match($A465,'Player Raw Data'!$B:$B,0)),"")</f>
        <v/>
      </c>
      <c r="P465" t="str">
        <f t="array" ref="P465">IFERROR(INDEX('Player Raw Data'!AD:AD,Match($A465,'Player Raw Data'!$B:$B,0)),"")</f>
        <v/>
      </c>
      <c r="Q465">
        <f t="shared" si="1"/>
        <v>0</v>
      </c>
      <c r="R465" s="9">
        <f t="shared" si="2"/>
        <v>0</v>
      </c>
      <c r="S465" s="14">
        <f t="shared" si="3"/>
        <v>0</v>
      </c>
      <c r="T465" s="15">
        <f>IFERROR(__xludf.DUMMYFUNCTION("IFERROR(PERCENTRANK.INC(FILTER(Q:Q,$F:$F&lt;&gt;""""),Q465)*100,"""")"),1.5)</f>
        <v>1.5</v>
      </c>
      <c r="U465" s="15">
        <f>IFERROR(__xludf.DUMMYFUNCTION("IFERROR(PERCENTRANK.INC(FILTER(R:R,$F:$F&lt;&gt;""""),R465)*100,"""")"),1.5)</f>
        <v>1.5</v>
      </c>
      <c r="V465" s="15">
        <f>IFERROR(__xludf.DUMMYFUNCTION("IFERROR(PERCENTRANK.INC(FILTER(S:S,$F:$F&lt;&gt;""""),S465)*100,"""")"),1.5)</f>
        <v>1.5</v>
      </c>
      <c r="W465" s="15" t="str">
        <f t="shared" si="4"/>
        <v/>
      </c>
      <c r="X465" s="16"/>
      <c r="Y465" s="9"/>
      <c r="Z465" s="9"/>
    </row>
    <row r="466">
      <c r="B466" t="str">
        <f t="array" ref="B466">IFERROR(INDEX('Player Raw Data'!E:E,Match($A466,'Player Raw Data'!$B:$B,0)),"")</f>
        <v/>
      </c>
      <c r="C466" t="str">
        <f t="array" ref="C466">IFERROR(INDEX('Player Raw Data'!C:C,Match($A466,'Player Raw Data'!$B:$B,0)),"")</f>
        <v/>
      </c>
      <c r="D466" t="str">
        <f t="array" ref="D466">IFERROR(IF(A466=A465, INDEX('Player Raw Data'!D:D,Match($A466,'Player Raw Data'!$B:$B,0)+2),INDEX('Player Raw Data'!D:D,Match($A466,'Player Raw Data'!$B:$B,0))),"")</f>
        <v/>
      </c>
      <c r="E466" t="str">
        <f t="array" ref="E466">IFERROR(INDEX('Player Raw Data'!F:F,Match($A466,'Player Raw Data'!$B:$B,0)),"")</f>
        <v/>
      </c>
      <c r="F466" t="str">
        <f t="array" ref="F466">IFERROR(INDEX('Player Raw Data'!H:H,Match($A466,'Player Raw Data'!$B:$B,0)),"")</f>
        <v/>
      </c>
      <c r="G466" t="str">
        <f t="array" ref="G466">IFERROR(INDEX('Player Raw Data'!I:I,Match($A466,'Player Raw Data'!$B:$B,0)),"")</f>
        <v/>
      </c>
      <c r="H466" t="str">
        <f t="array" ref="H466">IFERROR(INDEX('Player Raw Data'!J:J,Match($A466,'Player Raw Data'!$B:$B,0)),"")</f>
        <v/>
      </c>
      <c r="I466" t="str">
        <f t="array" ref="I466">IFERROR(INDEX('Player Raw Data'!S:S,Match($A466,'Player Raw Data'!$B:$B,0)),"")</f>
        <v/>
      </c>
      <c r="J466" t="str">
        <f t="array" ref="J466">IFERROR(INDEX('Player Raw Data'!T:T,Match($A466,'Player Raw Data'!$B:$B,0)),"")</f>
        <v/>
      </c>
      <c r="K466" t="str">
        <f t="array" ref="K466">IFERROR(INDEX('Player Raw Data'!X:X,Match($A466,'Player Raw Data'!$B:$B,0)),"")</f>
        <v/>
      </c>
      <c r="L466" t="str">
        <f t="array" ref="L466">IFERROR(INDEX('Player Raw Data'!Y:Y,Match($A466,'Player Raw Data'!$B:$B,0)),"")</f>
        <v/>
      </c>
      <c r="M466" t="str">
        <f t="array" ref="M466">IFERROR(INDEX('Player Raw Data'!Z:Z,Match($A466,'Player Raw Data'!$B:$B,0)),"")</f>
        <v/>
      </c>
      <c r="N466" t="str">
        <f t="array" ref="N466">IFERROR(INDEX('Player Raw Data'!AA:AA,Match($A466,'Player Raw Data'!$B:$B,0)),"")</f>
        <v/>
      </c>
      <c r="O466" t="str">
        <f t="array" ref="O466">IFERROR(INDEX('Player Raw Data'!AB:AB,Match($A466,'Player Raw Data'!$B:$B,0)),"")</f>
        <v/>
      </c>
      <c r="P466" t="str">
        <f t="array" ref="P466">IFERROR(INDEX('Player Raw Data'!AD:AD,Match($A466,'Player Raw Data'!$B:$B,0)),"")</f>
        <v/>
      </c>
      <c r="Q466">
        <f t="shared" si="1"/>
        <v>0</v>
      </c>
      <c r="R466" s="9">
        <f t="shared" si="2"/>
        <v>0</v>
      </c>
      <c r="S466" s="14">
        <f t="shared" si="3"/>
        <v>0</v>
      </c>
      <c r="T466" s="15">
        <f>IFERROR(__xludf.DUMMYFUNCTION("IFERROR(PERCENTRANK.INC(FILTER(Q:Q,$F:$F&lt;&gt;""""),Q466)*100,"""")"),1.5)</f>
        <v>1.5</v>
      </c>
      <c r="U466" s="15">
        <f>IFERROR(__xludf.DUMMYFUNCTION("IFERROR(PERCENTRANK.INC(FILTER(R:R,$F:$F&lt;&gt;""""),R466)*100,"""")"),1.5)</f>
        <v>1.5</v>
      </c>
      <c r="V466" s="15">
        <f>IFERROR(__xludf.DUMMYFUNCTION("IFERROR(PERCENTRANK.INC(FILTER(S:S,$F:$F&lt;&gt;""""),S466)*100,"""")"),1.5)</f>
        <v>1.5</v>
      </c>
      <c r="W466" s="15" t="str">
        <f t="shared" si="4"/>
        <v/>
      </c>
      <c r="X466" s="16"/>
      <c r="Y466" s="9"/>
      <c r="Z466" s="9"/>
    </row>
    <row r="467">
      <c r="B467" t="str">
        <f t="array" ref="B467">IFERROR(INDEX('Player Raw Data'!E:E,Match($A467,'Player Raw Data'!$B:$B,0)),"")</f>
        <v/>
      </c>
      <c r="C467" t="str">
        <f t="array" ref="C467">IFERROR(INDEX('Player Raw Data'!C:C,Match($A467,'Player Raw Data'!$B:$B,0)),"")</f>
        <v/>
      </c>
      <c r="D467" t="str">
        <f t="array" ref="D467">IFERROR(IF(A467=A466, INDEX('Player Raw Data'!D:D,Match($A467,'Player Raw Data'!$B:$B,0)+2),INDEX('Player Raw Data'!D:D,Match($A467,'Player Raw Data'!$B:$B,0))),"")</f>
        <v/>
      </c>
      <c r="E467" t="str">
        <f t="array" ref="E467">IFERROR(INDEX('Player Raw Data'!F:F,Match($A467,'Player Raw Data'!$B:$B,0)),"")</f>
        <v/>
      </c>
      <c r="F467" t="str">
        <f t="array" ref="F467">IFERROR(INDEX('Player Raw Data'!H:H,Match($A467,'Player Raw Data'!$B:$B,0)),"")</f>
        <v/>
      </c>
      <c r="G467" t="str">
        <f t="array" ref="G467">IFERROR(INDEX('Player Raw Data'!I:I,Match($A467,'Player Raw Data'!$B:$B,0)),"")</f>
        <v/>
      </c>
      <c r="H467" t="str">
        <f t="array" ref="H467">IFERROR(INDEX('Player Raw Data'!J:J,Match($A467,'Player Raw Data'!$B:$B,0)),"")</f>
        <v/>
      </c>
      <c r="I467" t="str">
        <f t="array" ref="I467">IFERROR(INDEX('Player Raw Data'!S:S,Match($A467,'Player Raw Data'!$B:$B,0)),"")</f>
        <v/>
      </c>
      <c r="J467" t="str">
        <f t="array" ref="J467">IFERROR(INDEX('Player Raw Data'!T:T,Match($A467,'Player Raw Data'!$B:$B,0)),"")</f>
        <v/>
      </c>
      <c r="K467" t="str">
        <f t="array" ref="K467">IFERROR(INDEX('Player Raw Data'!X:X,Match($A467,'Player Raw Data'!$B:$B,0)),"")</f>
        <v/>
      </c>
      <c r="L467" t="str">
        <f t="array" ref="L467">IFERROR(INDEX('Player Raw Data'!Y:Y,Match($A467,'Player Raw Data'!$B:$B,0)),"")</f>
        <v/>
      </c>
      <c r="M467" t="str">
        <f t="array" ref="M467">IFERROR(INDEX('Player Raw Data'!Z:Z,Match($A467,'Player Raw Data'!$B:$B,0)),"")</f>
        <v/>
      </c>
      <c r="N467" t="str">
        <f t="array" ref="N467">IFERROR(INDEX('Player Raw Data'!AA:AA,Match($A467,'Player Raw Data'!$B:$B,0)),"")</f>
        <v/>
      </c>
      <c r="O467" t="str">
        <f t="array" ref="O467">IFERROR(INDEX('Player Raw Data'!AB:AB,Match($A467,'Player Raw Data'!$B:$B,0)),"")</f>
        <v/>
      </c>
      <c r="P467" t="str">
        <f t="array" ref="P467">IFERROR(INDEX('Player Raw Data'!AD:AD,Match($A467,'Player Raw Data'!$B:$B,0)),"")</f>
        <v/>
      </c>
      <c r="Q467">
        <f t="shared" si="1"/>
        <v>0</v>
      </c>
      <c r="R467" s="9">
        <f t="shared" si="2"/>
        <v>0</v>
      </c>
      <c r="S467" s="14">
        <f t="shared" si="3"/>
        <v>0</v>
      </c>
      <c r="T467" s="15">
        <f>IFERROR(__xludf.DUMMYFUNCTION("IFERROR(PERCENTRANK.INC(FILTER(Q:Q,$F:$F&lt;&gt;""""),Q467)*100,"""")"),1.5)</f>
        <v>1.5</v>
      </c>
      <c r="U467" s="15">
        <f>IFERROR(__xludf.DUMMYFUNCTION("IFERROR(PERCENTRANK.INC(FILTER(R:R,$F:$F&lt;&gt;""""),R467)*100,"""")"),1.5)</f>
        <v>1.5</v>
      </c>
      <c r="V467" s="15">
        <f>IFERROR(__xludf.DUMMYFUNCTION("IFERROR(PERCENTRANK.INC(FILTER(S:S,$F:$F&lt;&gt;""""),S467)*100,"""")"),1.5)</f>
        <v>1.5</v>
      </c>
      <c r="W467" s="15" t="str">
        <f t="shared" si="4"/>
        <v/>
      </c>
      <c r="X467" s="16"/>
      <c r="Y467" s="9"/>
      <c r="Z467" s="9"/>
    </row>
    <row r="468">
      <c r="B468" t="str">
        <f t="array" ref="B468">IFERROR(INDEX('Player Raw Data'!E:E,Match($A468,'Player Raw Data'!$B:$B,0)),"")</f>
        <v/>
      </c>
      <c r="C468" t="str">
        <f t="array" ref="C468">IFERROR(INDEX('Player Raw Data'!C:C,Match($A468,'Player Raw Data'!$B:$B,0)),"")</f>
        <v/>
      </c>
      <c r="D468" t="str">
        <f t="array" ref="D468">IFERROR(IF(A468=A467, INDEX('Player Raw Data'!D:D,Match($A468,'Player Raw Data'!$B:$B,0)+2),INDEX('Player Raw Data'!D:D,Match($A468,'Player Raw Data'!$B:$B,0))),"")</f>
        <v/>
      </c>
      <c r="E468" t="str">
        <f t="array" ref="E468">IFERROR(INDEX('Player Raw Data'!F:F,Match($A468,'Player Raw Data'!$B:$B,0)),"")</f>
        <v/>
      </c>
      <c r="F468" t="str">
        <f t="array" ref="F468">IFERROR(INDEX('Player Raw Data'!H:H,Match($A468,'Player Raw Data'!$B:$B,0)),"")</f>
        <v/>
      </c>
      <c r="G468" t="str">
        <f t="array" ref="G468">IFERROR(INDEX('Player Raw Data'!I:I,Match($A468,'Player Raw Data'!$B:$B,0)),"")</f>
        <v/>
      </c>
      <c r="H468" t="str">
        <f t="array" ref="H468">IFERROR(INDEX('Player Raw Data'!J:J,Match($A468,'Player Raw Data'!$B:$B,0)),"")</f>
        <v/>
      </c>
      <c r="I468" t="str">
        <f t="array" ref="I468">IFERROR(INDEX('Player Raw Data'!S:S,Match($A468,'Player Raw Data'!$B:$B,0)),"")</f>
        <v/>
      </c>
      <c r="J468" t="str">
        <f t="array" ref="J468">IFERROR(INDEX('Player Raw Data'!T:T,Match($A468,'Player Raw Data'!$B:$B,0)),"")</f>
        <v/>
      </c>
      <c r="K468" t="str">
        <f t="array" ref="K468">IFERROR(INDEX('Player Raw Data'!X:X,Match($A468,'Player Raw Data'!$B:$B,0)),"")</f>
        <v/>
      </c>
      <c r="L468" t="str">
        <f t="array" ref="L468">IFERROR(INDEX('Player Raw Data'!Y:Y,Match($A468,'Player Raw Data'!$B:$B,0)),"")</f>
        <v/>
      </c>
      <c r="M468" t="str">
        <f t="array" ref="M468">IFERROR(INDEX('Player Raw Data'!Z:Z,Match($A468,'Player Raw Data'!$B:$B,0)),"")</f>
        <v/>
      </c>
      <c r="N468" t="str">
        <f t="array" ref="N468">IFERROR(INDEX('Player Raw Data'!AA:AA,Match($A468,'Player Raw Data'!$B:$B,0)),"")</f>
        <v/>
      </c>
      <c r="O468" t="str">
        <f t="array" ref="O468">IFERROR(INDEX('Player Raw Data'!AB:AB,Match($A468,'Player Raw Data'!$B:$B,0)),"")</f>
        <v/>
      </c>
      <c r="P468" t="str">
        <f t="array" ref="P468">IFERROR(INDEX('Player Raw Data'!AD:AD,Match($A468,'Player Raw Data'!$B:$B,0)),"")</f>
        <v/>
      </c>
      <c r="Q468">
        <f t="shared" si="1"/>
        <v>0</v>
      </c>
      <c r="R468" s="9">
        <f t="shared" si="2"/>
        <v>0</v>
      </c>
      <c r="S468" s="14">
        <f t="shared" si="3"/>
        <v>0</v>
      </c>
      <c r="T468" s="15">
        <f>IFERROR(__xludf.DUMMYFUNCTION("IFERROR(PERCENTRANK.INC(FILTER(Q:Q,$F:$F&lt;&gt;""""),Q468)*100,"""")"),1.5)</f>
        <v>1.5</v>
      </c>
      <c r="U468" s="15">
        <f>IFERROR(__xludf.DUMMYFUNCTION("IFERROR(PERCENTRANK.INC(FILTER(R:R,$F:$F&lt;&gt;""""),R468)*100,"""")"),1.5)</f>
        <v>1.5</v>
      </c>
      <c r="V468" s="15">
        <f>IFERROR(__xludf.DUMMYFUNCTION("IFERROR(PERCENTRANK.INC(FILTER(S:S,$F:$F&lt;&gt;""""),S468)*100,"""")"),1.5)</f>
        <v>1.5</v>
      </c>
      <c r="W468" s="15" t="str">
        <f t="shared" si="4"/>
        <v/>
      </c>
      <c r="X468" s="16"/>
      <c r="Y468" s="9"/>
      <c r="Z468" s="9"/>
    </row>
    <row r="469">
      <c r="B469" t="str">
        <f t="array" ref="B469">IFERROR(INDEX('Player Raw Data'!E:E,Match($A469,'Player Raw Data'!$B:$B,0)),"")</f>
        <v/>
      </c>
      <c r="C469" t="str">
        <f t="array" ref="C469">IFERROR(INDEX('Player Raw Data'!C:C,Match($A469,'Player Raw Data'!$B:$B,0)),"")</f>
        <v/>
      </c>
      <c r="D469" t="str">
        <f t="array" ref="D469">IFERROR(IF(A469=A468, INDEX('Player Raw Data'!D:D,Match($A469,'Player Raw Data'!$B:$B,0)+2),INDEX('Player Raw Data'!D:D,Match($A469,'Player Raw Data'!$B:$B,0))),"")</f>
        <v/>
      </c>
      <c r="E469" t="str">
        <f t="array" ref="E469">IFERROR(INDEX('Player Raw Data'!F:F,Match($A469,'Player Raw Data'!$B:$B,0)),"")</f>
        <v/>
      </c>
      <c r="F469" t="str">
        <f t="array" ref="F469">IFERROR(INDEX('Player Raw Data'!H:H,Match($A469,'Player Raw Data'!$B:$B,0)),"")</f>
        <v/>
      </c>
      <c r="G469" t="str">
        <f t="array" ref="G469">IFERROR(INDEX('Player Raw Data'!I:I,Match($A469,'Player Raw Data'!$B:$B,0)),"")</f>
        <v/>
      </c>
      <c r="H469" t="str">
        <f t="array" ref="H469">IFERROR(INDEX('Player Raw Data'!J:J,Match($A469,'Player Raw Data'!$B:$B,0)),"")</f>
        <v/>
      </c>
      <c r="I469" t="str">
        <f t="array" ref="I469">IFERROR(INDEX('Player Raw Data'!S:S,Match($A469,'Player Raw Data'!$B:$B,0)),"")</f>
        <v/>
      </c>
      <c r="J469" t="str">
        <f t="array" ref="J469">IFERROR(INDEX('Player Raw Data'!T:T,Match($A469,'Player Raw Data'!$B:$B,0)),"")</f>
        <v/>
      </c>
      <c r="K469" t="str">
        <f t="array" ref="K469">IFERROR(INDEX('Player Raw Data'!X:X,Match($A469,'Player Raw Data'!$B:$B,0)),"")</f>
        <v/>
      </c>
      <c r="L469" t="str">
        <f t="array" ref="L469">IFERROR(INDEX('Player Raw Data'!Y:Y,Match($A469,'Player Raw Data'!$B:$B,0)),"")</f>
        <v/>
      </c>
      <c r="M469" t="str">
        <f t="array" ref="M469">IFERROR(INDEX('Player Raw Data'!Z:Z,Match($A469,'Player Raw Data'!$B:$B,0)),"")</f>
        <v/>
      </c>
      <c r="N469" t="str">
        <f t="array" ref="N469">IFERROR(INDEX('Player Raw Data'!AA:AA,Match($A469,'Player Raw Data'!$B:$B,0)),"")</f>
        <v/>
      </c>
      <c r="O469" t="str">
        <f t="array" ref="O469">IFERROR(INDEX('Player Raw Data'!AB:AB,Match($A469,'Player Raw Data'!$B:$B,0)),"")</f>
        <v/>
      </c>
      <c r="P469" t="str">
        <f t="array" ref="P469">IFERROR(INDEX('Player Raw Data'!AD:AD,Match($A469,'Player Raw Data'!$B:$B,0)),"")</f>
        <v/>
      </c>
      <c r="Q469">
        <f t="shared" si="1"/>
        <v>0</v>
      </c>
      <c r="R469" s="9">
        <f t="shared" si="2"/>
        <v>0</v>
      </c>
      <c r="S469" s="14">
        <f t="shared" si="3"/>
        <v>0</v>
      </c>
      <c r="T469" s="15">
        <f>IFERROR(__xludf.DUMMYFUNCTION("IFERROR(PERCENTRANK.INC(FILTER(Q:Q,$F:$F&lt;&gt;""""),Q469)*100,"""")"),1.5)</f>
        <v>1.5</v>
      </c>
      <c r="U469" s="15">
        <f>IFERROR(__xludf.DUMMYFUNCTION("IFERROR(PERCENTRANK.INC(FILTER(R:R,$F:$F&lt;&gt;""""),R469)*100,"""")"),1.5)</f>
        <v>1.5</v>
      </c>
      <c r="V469" s="15">
        <f>IFERROR(__xludf.DUMMYFUNCTION("IFERROR(PERCENTRANK.INC(FILTER(S:S,$F:$F&lt;&gt;""""),S469)*100,"""")"),1.5)</f>
        <v>1.5</v>
      </c>
      <c r="W469" s="15" t="str">
        <f t="shared" si="4"/>
        <v/>
      </c>
      <c r="X469" s="16"/>
      <c r="Y469" s="9"/>
      <c r="Z469" s="9"/>
    </row>
    <row r="470">
      <c r="B470" t="str">
        <f t="array" ref="B470">IFERROR(INDEX('Player Raw Data'!E:E,Match($A470,'Player Raw Data'!$B:$B,0)),"")</f>
        <v/>
      </c>
      <c r="C470" t="str">
        <f t="array" ref="C470">IFERROR(INDEX('Player Raw Data'!C:C,Match($A470,'Player Raw Data'!$B:$B,0)),"")</f>
        <v/>
      </c>
      <c r="D470" t="str">
        <f t="array" ref="D470">IFERROR(IF(A470=A469, INDEX('Player Raw Data'!D:D,Match($A470,'Player Raw Data'!$B:$B,0)+2),INDEX('Player Raw Data'!D:D,Match($A470,'Player Raw Data'!$B:$B,0))),"")</f>
        <v/>
      </c>
      <c r="E470" t="str">
        <f t="array" ref="E470">IFERROR(INDEX('Player Raw Data'!F:F,Match($A470,'Player Raw Data'!$B:$B,0)),"")</f>
        <v/>
      </c>
      <c r="F470" t="str">
        <f t="array" ref="F470">IFERROR(INDEX('Player Raw Data'!H:H,Match($A470,'Player Raw Data'!$B:$B,0)),"")</f>
        <v/>
      </c>
      <c r="G470" t="str">
        <f t="array" ref="G470">IFERROR(INDEX('Player Raw Data'!I:I,Match($A470,'Player Raw Data'!$B:$B,0)),"")</f>
        <v/>
      </c>
      <c r="H470" t="str">
        <f t="array" ref="H470">IFERROR(INDEX('Player Raw Data'!J:J,Match($A470,'Player Raw Data'!$B:$B,0)),"")</f>
        <v/>
      </c>
      <c r="I470" t="str">
        <f t="array" ref="I470">IFERROR(INDEX('Player Raw Data'!S:S,Match($A470,'Player Raw Data'!$B:$B,0)),"")</f>
        <v/>
      </c>
      <c r="J470" t="str">
        <f t="array" ref="J470">IFERROR(INDEX('Player Raw Data'!T:T,Match($A470,'Player Raw Data'!$B:$B,0)),"")</f>
        <v/>
      </c>
      <c r="K470" t="str">
        <f t="array" ref="K470">IFERROR(INDEX('Player Raw Data'!X:X,Match($A470,'Player Raw Data'!$B:$B,0)),"")</f>
        <v/>
      </c>
      <c r="L470" t="str">
        <f t="array" ref="L470">IFERROR(INDEX('Player Raw Data'!Y:Y,Match($A470,'Player Raw Data'!$B:$B,0)),"")</f>
        <v/>
      </c>
      <c r="M470" t="str">
        <f t="array" ref="M470">IFERROR(INDEX('Player Raw Data'!Z:Z,Match($A470,'Player Raw Data'!$B:$B,0)),"")</f>
        <v/>
      </c>
      <c r="N470" t="str">
        <f t="array" ref="N470">IFERROR(INDEX('Player Raw Data'!AA:AA,Match($A470,'Player Raw Data'!$B:$B,0)),"")</f>
        <v/>
      </c>
      <c r="O470" t="str">
        <f t="array" ref="O470">IFERROR(INDEX('Player Raw Data'!AB:AB,Match($A470,'Player Raw Data'!$B:$B,0)),"")</f>
        <v/>
      </c>
      <c r="P470" t="str">
        <f t="array" ref="P470">IFERROR(INDEX('Player Raw Data'!AD:AD,Match($A470,'Player Raw Data'!$B:$B,0)),"")</f>
        <v/>
      </c>
      <c r="Q470">
        <f t="shared" si="1"/>
        <v>0</v>
      </c>
      <c r="R470" s="9">
        <f t="shared" si="2"/>
        <v>0</v>
      </c>
      <c r="S470" s="14">
        <f t="shared" si="3"/>
        <v>0</v>
      </c>
      <c r="T470" s="15">
        <f>IFERROR(__xludf.DUMMYFUNCTION("IFERROR(PERCENTRANK.INC(FILTER(Q:Q,$F:$F&lt;&gt;""""),Q470)*100,"""")"),1.5)</f>
        <v>1.5</v>
      </c>
      <c r="U470" s="15">
        <f>IFERROR(__xludf.DUMMYFUNCTION("IFERROR(PERCENTRANK.INC(FILTER(R:R,$F:$F&lt;&gt;""""),R470)*100,"""")"),1.5)</f>
        <v>1.5</v>
      </c>
      <c r="V470" s="15">
        <f>IFERROR(__xludf.DUMMYFUNCTION("IFERROR(PERCENTRANK.INC(FILTER(S:S,$F:$F&lt;&gt;""""),S470)*100,"""")"),1.5)</f>
        <v>1.5</v>
      </c>
      <c r="W470" s="15" t="str">
        <f t="shared" si="4"/>
        <v/>
      </c>
      <c r="X470" s="16"/>
      <c r="Y470" s="9"/>
      <c r="Z470" s="9"/>
    </row>
    <row r="471">
      <c r="B471" t="str">
        <f t="array" ref="B471">IFERROR(INDEX('Player Raw Data'!E:E,Match($A471,'Player Raw Data'!$B:$B,0)),"")</f>
        <v/>
      </c>
      <c r="C471" t="str">
        <f t="array" ref="C471">IFERROR(INDEX('Player Raw Data'!C:C,Match($A471,'Player Raw Data'!$B:$B,0)),"")</f>
        <v/>
      </c>
      <c r="D471" t="str">
        <f t="array" ref="D471">IFERROR(IF(A471=A470, INDEX('Player Raw Data'!D:D,Match($A471,'Player Raw Data'!$B:$B,0)+2),INDEX('Player Raw Data'!D:D,Match($A471,'Player Raw Data'!$B:$B,0))),"")</f>
        <v/>
      </c>
      <c r="E471" t="str">
        <f t="array" ref="E471">IFERROR(INDEX('Player Raw Data'!F:F,Match($A471,'Player Raw Data'!$B:$B,0)),"")</f>
        <v/>
      </c>
      <c r="F471" t="str">
        <f t="array" ref="F471">IFERROR(INDEX('Player Raw Data'!H:H,Match($A471,'Player Raw Data'!$B:$B,0)),"")</f>
        <v/>
      </c>
      <c r="G471" t="str">
        <f t="array" ref="G471">IFERROR(INDEX('Player Raw Data'!I:I,Match($A471,'Player Raw Data'!$B:$B,0)),"")</f>
        <v/>
      </c>
      <c r="H471" t="str">
        <f t="array" ref="H471">IFERROR(INDEX('Player Raw Data'!J:J,Match($A471,'Player Raw Data'!$B:$B,0)),"")</f>
        <v/>
      </c>
      <c r="I471" t="str">
        <f t="array" ref="I471">IFERROR(INDEX('Player Raw Data'!S:S,Match($A471,'Player Raw Data'!$B:$B,0)),"")</f>
        <v/>
      </c>
      <c r="J471" t="str">
        <f t="array" ref="J471">IFERROR(INDEX('Player Raw Data'!T:T,Match($A471,'Player Raw Data'!$B:$B,0)),"")</f>
        <v/>
      </c>
      <c r="K471" t="str">
        <f t="array" ref="K471">IFERROR(INDEX('Player Raw Data'!X:X,Match($A471,'Player Raw Data'!$B:$B,0)),"")</f>
        <v/>
      </c>
      <c r="L471" t="str">
        <f t="array" ref="L471">IFERROR(INDEX('Player Raw Data'!Y:Y,Match($A471,'Player Raw Data'!$B:$B,0)),"")</f>
        <v/>
      </c>
      <c r="M471" t="str">
        <f t="array" ref="M471">IFERROR(INDEX('Player Raw Data'!Z:Z,Match($A471,'Player Raw Data'!$B:$B,0)),"")</f>
        <v/>
      </c>
      <c r="N471" t="str">
        <f t="array" ref="N471">IFERROR(INDEX('Player Raw Data'!AA:AA,Match($A471,'Player Raw Data'!$B:$B,0)),"")</f>
        <v/>
      </c>
      <c r="O471" t="str">
        <f t="array" ref="O471">IFERROR(INDEX('Player Raw Data'!AB:AB,Match($A471,'Player Raw Data'!$B:$B,0)),"")</f>
        <v/>
      </c>
      <c r="P471" t="str">
        <f t="array" ref="P471">IFERROR(INDEX('Player Raw Data'!AD:AD,Match($A471,'Player Raw Data'!$B:$B,0)),"")</f>
        <v/>
      </c>
      <c r="Q471">
        <f t="shared" si="1"/>
        <v>0</v>
      </c>
      <c r="R471" s="9">
        <f t="shared" si="2"/>
        <v>0</v>
      </c>
      <c r="S471" s="14">
        <f t="shared" si="3"/>
        <v>0</v>
      </c>
      <c r="T471" s="15">
        <f>IFERROR(__xludf.DUMMYFUNCTION("IFERROR(PERCENTRANK.INC(FILTER(Q:Q,$F:$F&lt;&gt;""""),Q471)*100,"""")"),1.5)</f>
        <v>1.5</v>
      </c>
      <c r="U471" s="15">
        <f>IFERROR(__xludf.DUMMYFUNCTION("IFERROR(PERCENTRANK.INC(FILTER(R:R,$F:$F&lt;&gt;""""),R471)*100,"""")"),1.5)</f>
        <v>1.5</v>
      </c>
      <c r="V471" s="15">
        <f>IFERROR(__xludf.DUMMYFUNCTION("IFERROR(PERCENTRANK.INC(FILTER(S:S,$F:$F&lt;&gt;""""),S471)*100,"""")"),1.5)</f>
        <v>1.5</v>
      </c>
      <c r="W471" s="15" t="str">
        <f t="shared" si="4"/>
        <v/>
      </c>
      <c r="X471" s="16"/>
      <c r="Y471" s="9"/>
      <c r="Z471" s="9"/>
    </row>
    <row r="472">
      <c r="B472" t="str">
        <f t="array" ref="B472">IFERROR(INDEX('Player Raw Data'!E:E,Match($A472,'Player Raw Data'!$B:$B,0)),"")</f>
        <v/>
      </c>
      <c r="C472" t="str">
        <f t="array" ref="C472">IFERROR(INDEX('Player Raw Data'!C:C,Match($A472,'Player Raw Data'!$B:$B,0)),"")</f>
        <v/>
      </c>
      <c r="D472" t="str">
        <f t="array" ref="D472">IFERROR(IF(A472=A471, INDEX('Player Raw Data'!D:D,Match($A472,'Player Raw Data'!$B:$B,0)+2),INDEX('Player Raw Data'!D:D,Match($A472,'Player Raw Data'!$B:$B,0))),"")</f>
        <v/>
      </c>
      <c r="E472" t="str">
        <f t="array" ref="E472">IFERROR(INDEX('Player Raw Data'!F:F,Match($A472,'Player Raw Data'!$B:$B,0)),"")</f>
        <v/>
      </c>
      <c r="F472" t="str">
        <f t="array" ref="F472">IFERROR(INDEX('Player Raw Data'!H:H,Match($A472,'Player Raw Data'!$B:$B,0)),"")</f>
        <v/>
      </c>
      <c r="G472" t="str">
        <f t="array" ref="G472">IFERROR(INDEX('Player Raw Data'!I:I,Match($A472,'Player Raw Data'!$B:$B,0)),"")</f>
        <v/>
      </c>
      <c r="H472" t="str">
        <f t="array" ref="H472">IFERROR(INDEX('Player Raw Data'!J:J,Match($A472,'Player Raw Data'!$B:$B,0)),"")</f>
        <v/>
      </c>
      <c r="I472" t="str">
        <f t="array" ref="I472">IFERROR(INDEX('Player Raw Data'!S:S,Match($A472,'Player Raw Data'!$B:$B,0)),"")</f>
        <v/>
      </c>
      <c r="J472" t="str">
        <f t="array" ref="J472">IFERROR(INDEX('Player Raw Data'!T:T,Match($A472,'Player Raw Data'!$B:$B,0)),"")</f>
        <v/>
      </c>
      <c r="K472" t="str">
        <f t="array" ref="K472">IFERROR(INDEX('Player Raw Data'!X:X,Match($A472,'Player Raw Data'!$B:$B,0)),"")</f>
        <v/>
      </c>
      <c r="L472" t="str">
        <f t="array" ref="L472">IFERROR(INDEX('Player Raw Data'!Y:Y,Match($A472,'Player Raw Data'!$B:$B,0)),"")</f>
        <v/>
      </c>
      <c r="M472" t="str">
        <f t="array" ref="M472">IFERROR(INDEX('Player Raw Data'!Z:Z,Match($A472,'Player Raw Data'!$B:$B,0)),"")</f>
        <v/>
      </c>
      <c r="N472" t="str">
        <f t="array" ref="N472">IFERROR(INDEX('Player Raw Data'!AA:AA,Match($A472,'Player Raw Data'!$B:$B,0)),"")</f>
        <v/>
      </c>
      <c r="O472" t="str">
        <f t="array" ref="O472">IFERROR(INDEX('Player Raw Data'!AB:AB,Match($A472,'Player Raw Data'!$B:$B,0)),"")</f>
        <v/>
      </c>
      <c r="P472" t="str">
        <f t="array" ref="P472">IFERROR(INDEX('Player Raw Data'!AD:AD,Match($A472,'Player Raw Data'!$B:$B,0)),"")</f>
        <v/>
      </c>
      <c r="Q472">
        <f t="shared" si="1"/>
        <v>0</v>
      </c>
      <c r="R472" s="9">
        <f t="shared" si="2"/>
        <v>0</v>
      </c>
      <c r="S472" s="14">
        <f t="shared" si="3"/>
        <v>0</v>
      </c>
      <c r="T472" s="15">
        <f>IFERROR(__xludf.DUMMYFUNCTION("IFERROR(PERCENTRANK.INC(FILTER(Q:Q,$F:$F&lt;&gt;""""),Q472)*100,"""")"),1.5)</f>
        <v>1.5</v>
      </c>
      <c r="U472" s="15">
        <f>IFERROR(__xludf.DUMMYFUNCTION("IFERROR(PERCENTRANK.INC(FILTER(R:R,$F:$F&lt;&gt;""""),R472)*100,"""")"),1.5)</f>
        <v>1.5</v>
      </c>
      <c r="V472" s="15">
        <f>IFERROR(__xludf.DUMMYFUNCTION("IFERROR(PERCENTRANK.INC(FILTER(S:S,$F:$F&lt;&gt;""""),S472)*100,"""")"),1.5)</f>
        <v>1.5</v>
      </c>
      <c r="W472" s="15" t="str">
        <f t="shared" si="4"/>
        <v/>
      </c>
      <c r="X472" s="16"/>
      <c r="Y472" s="9"/>
      <c r="Z472" s="9"/>
    </row>
    <row r="473">
      <c r="B473" t="str">
        <f t="array" ref="B473">IFERROR(INDEX('Player Raw Data'!E:E,Match($A473,'Player Raw Data'!$B:$B,0)),"")</f>
        <v/>
      </c>
      <c r="C473" t="str">
        <f t="array" ref="C473">IFERROR(INDEX('Player Raw Data'!C:C,Match($A473,'Player Raw Data'!$B:$B,0)),"")</f>
        <v/>
      </c>
      <c r="D473" t="str">
        <f t="array" ref="D473">IFERROR(IF(A473=A472, INDEX('Player Raw Data'!D:D,Match($A473,'Player Raw Data'!$B:$B,0)+2),INDEX('Player Raw Data'!D:D,Match($A473,'Player Raw Data'!$B:$B,0))),"")</f>
        <v/>
      </c>
      <c r="E473" t="str">
        <f t="array" ref="E473">IFERROR(INDEX('Player Raw Data'!F:F,Match($A473,'Player Raw Data'!$B:$B,0)),"")</f>
        <v/>
      </c>
      <c r="F473" t="str">
        <f t="array" ref="F473">IFERROR(INDEX('Player Raw Data'!H:H,Match($A473,'Player Raw Data'!$B:$B,0)),"")</f>
        <v/>
      </c>
      <c r="G473" t="str">
        <f t="array" ref="G473">IFERROR(INDEX('Player Raw Data'!I:I,Match($A473,'Player Raw Data'!$B:$B,0)),"")</f>
        <v/>
      </c>
      <c r="H473" t="str">
        <f t="array" ref="H473">IFERROR(INDEX('Player Raw Data'!J:J,Match($A473,'Player Raw Data'!$B:$B,0)),"")</f>
        <v/>
      </c>
      <c r="I473" t="str">
        <f t="array" ref="I473">IFERROR(INDEX('Player Raw Data'!S:S,Match($A473,'Player Raw Data'!$B:$B,0)),"")</f>
        <v/>
      </c>
      <c r="J473" t="str">
        <f t="array" ref="J473">IFERROR(INDEX('Player Raw Data'!T:T,Match($A473,'Player Raw Data'!$B:$B,0)),"")</f>
        <v/>
      </c>
      <c r="K473" t="str">
        <f t="array" ref="K473">IFERROR(INDEX('Player Raw Data'!X:X,Match($A473,'Player Raw Data'!$B:$B,0)),"")</f>
        <v/>
      </c>
      <c r="L473" t="str">
        <f t="array" ref="L473">IFERROR(INDEX('Player Raw Data'!Y:Y,Match($A473,'Player Raw Data'!$B:$B,0)),"")</f>
        <v/>
      </c>
      <c r="M473" t="str">
        <f t="array" ref="M473">IFERROR(INDEX('Player Raw Data'!Z:Z,Match($A473,'Player Raw Data'!$B:$B,0)),"")</f>
        <v/>
      </c>
      <c r="N473" t="str">
        <f t="array" ref="N473">IFERROR(INDEX('Player Raw Data'!AA:AA,Match($A473,'Player Raw Data'!$B:$B,0)),"")</f>
        <v/>
      </c>
      <c r="O473" t="str">
        <f t="array" ref="O473">IFERROR(INDEX('Player Raw Data'!AB:AB,Match($A473,'Player Raw Data'!$B:$B,0)),"")</f>
        <v/>
      </c>
      <c r="P473" t="str">
        <f t="array" ref="P473">IFERROR(INDEX('Player Raw Data'!AD:AD,Match($A473,'Player Raw Data'!$B:$B,0)),"")</f>
        <v/>
      </c>
      <c r="Q473">
        <f t="shared" si="1"/>
        <v>0</v>
      </c>
      <c r="R473" s="9">
        <f t="shared" si="2"/>
        <v>0</v>
      </c>
      <c r="S473" s="14">
        <f t="shared" si="3"/>
        <v>0</v>
      </c>
      <c r="T473" s="15">
        <f>IFERROR(__xludf.DUMMYFUNCTION("IFERROR(PERCENTRANK.INC(FILTER(Q:Q,$F:$F&lt;&gt;""""),Q473)*100,"""")"),1.5)</f>
        <v>1.5</v>
      </c>
      <c r="U473" s="15">
        <f>IFERROR(__xludf.DUMMYFUNCTION("IFERROR(PERCENTRANK.INC(FILTER(R:R,$F:$F&lt;&gt;""""),R473)*100,"""")"),1.5)</f>
        <v>1.5</v>
      </c>
      <c r="V473" s="15">
        <f>IFERROR(__xludf.DUMMYFUNCTION("IFERROR(PERCENTRANK.INC(FILTER(S:S,$F:$F&lt;&gt;""""),S473)*100,"""")"),1.5)</f>
        <v>1.5</v>
      </c>
      <c r="W473" s="15" t="str">
        <f t="shared" si="4"/>
        <v/>
      </c>
      <c r="X473" s="16"/>
      <c r="Y473" s="9"/>
      <c r="Z473" s="9"/>
    </row>
    <row r="474">
      <c r="B474" t="str">
        <f t="array" ref="B474">IFERROR(INDEX('Player Raw Data'!E:E,Match($A474,'Player Raw Data'!$B:$B,0)),"")</f>
        <v/>
      </c>
      <c r="C474" t="str">
        <f t="array" ref="C474">IFERROR(INDEX('Player Raw Data'!C:C,Match($A474,'Player Raw Data'!$B:$B,0)),"")</f>
        <v/>
      </c>
      <c r="D474" t="str">
        <f t="array" ref="D474">IFERROR(IF(A474=A473, INDEX('Player Raw Data'!D:D,Match($A474,'Player Raw Data'!$B:$B,0)+2),INDEX('Player Raw Data'!D:D,Match($A474,'Player Raw Data'!$B:$B,0))),"")</f>
        <v/>
      </c>
      <c r="E474" t="str">
        <f t="array" ref="E474">IFERROR(INDEX('Player Raw Data'!F:F,Match($A474,'Player Raw Data'!$B:$B,0)),"")</f>
        <v/>
      </c>
      <c r="F474" t="str">
        <f t="array" ref="F474">IFERROR(INDEX('Player Raw Data'!H:H,Match($A474,'Player Raw Data'!$B:$B,0)),"")</f>
        <v/>
      </c>
      <c r="G474" t="str">
        <f t="array" ref="G474">IFERROR(INDEX('Player Raw Data'!I:I,Match($A474,'Player Raw Data'!$B:$B,0)),"")</f>
        <v/>
      </c>
      <c r="H474" t="str">
        <f t="array" ref="H474">IFERROR(INDEX('Player Raw Data'!J:J,Match($A474,'Player Raw Data'!$B:$B,0)),"")</f>
        <v/>
      </c>
      <c r="I474" t="str">
        <f t="array" ref="I474">IFERROR(INDEX('Player Raw Data'!S:S,Match($A474,'Player Raw Data'!$B:$B,0)),"")</f>
        <v/>
      </c>
      <c r="J474" t="str">
        <f t="array" ref="J474">IFERROR(INDEX('Player Raw Data'!T:T,Match($A474,'Player Raw Data'!$B:$B,0)),"")</f>
        <v/>
      </c>
      <c r="K474" t="str">
        <f t="array" ref="K474">IFERROR(INDEX('Player Raw Data'!X:X,Match($A474,'Player Raw Data'!$B:$B,0)),"")</f>
        <v/>
      </c>
      <c r="L474" t="str">
        <f t="array" ref="L474">IFERROR(INDEX('Player Raw Data'!Y:Y,Match($A474,'Player Raw Data'!$B:$B,0)),"")</f>
        <v/>
      </c>
      <c r="M474" t="str">
        <f t="array" ref="M474">IFERROR(INDEX('Player Raw Data'!Z:Z,Match($A474,'Player Raw Data'!$B:$B,0)),"")</f>
        <v/>
      </c>
      <c r="N474" t="str">
        <f t="array" ref="N474">IFERROR(INDEX('Player Raw Data'!AA:AA,Match($A474,'Player Raw Data'!$B:$B,0)),"")</f>
        <v/>
      </c>
      <c r="O474" t="str">
        <f t="array" ref="O474">IFERROR(INDEX('Player Raw Data'!AB:AB,Match($A474,'Player Raw Data'!$B:$B,0)),"")</f>
        <v/>
      </c>
      <c r="P474" t="str">
        <f t="array" ref="P474">IFERROR(INDEX('Player Raw Data'!AD:AD,Match($A474,'Player Raw Data'!$B:$B,0)),"")</f>
        <v/>
      </c>
      <c r="Q474">
        <f t="shared" si="1"/>
        <v>0</v>
      </c>
      <c r="R474" s="9">
        <f t="shared" si="2"/>
        <v>0</v>
      </c>
      <c r="S474" s="14">
        <f t="shared" si="3"/>
        <v>0</v>
      </c>
      <c r="T474" s="15">
        <f>IFERROR(__xludf.DUMMYFUNCTION("IFERROR(PERCENTRANK.INC(FILTER(Q:Q,$F:$F&lt;&gt;""""),Q474)*100,"""")"),1.5)</f>
        <v>1.5</v>
      </c>
      <c r="U474" s="15">
        <f>IFERROR(__xludf.DUMMYFUNCTION("IFERROR(PERCENTRANK.INC(FILTER(R:R,$F:$F&lt;&gt;""""),R474)*100,"""")"),1.5)</f>
        <v>1.5</v>
      </c>
      <c r="V474" s="15">
        <f>IFERROR(__xludf.DUMMYFUNCTION("IFERROR(PERCENTRANK.INC(FILTER(S:S,$F:$F&lt;&gt;""""),S474)*100,"""")"),1.5)</f>
        <v>1.5</v>
      </c>
      <c r="W474" s="15" t="str">
        <f t="shared" si="4"/>
        <v/>
      </c>
      <c r="X474" s="16"/>
      <c r="Y474" s="9"/>
      <c r="Z474" s="9"/>
    </row>
    <row r="475">
      <c r="B475" t="str">
        <f t="array" ref="B475">IFERROR(INDEX('Player Raw Data'!E:E,Match($A475,'Player Raw Data'!$B:$B,0)),"")</f>
        <v/>
      </c>
      <c r="C475" t="str">
        <f t="array" ref="C475">IFERROR(INDEX('Player Raw Data'!C:C,Match($A475,'Player Raw Data'!$B:$B,0)),"")</f>
        <v/>
      </c>
      <c r="D475" t="str">
        <f t="array" ref="D475">IFERROR(IF(A475=A474, INDEX('Player Raw Data'!D:D,Match($A475,'Player Raw Data'!$B:$B,0)+2),INDEX('Player Raw Data'!D:D,Match($A475,'Player Raw Data'!$B:$B,0))),"")</f>
        <v/>
      </c>
      <c r="E475" t="str">
        <f t="array" ref="E475">IFERROR(INDEX('Player Raw Data'!F:F,Match($A475,'Player Raw Data'!$B:$B,0)),"")</f>
        <v/>
      </c>
      <c r="F475" t="str">
        <f t="array" ref="F475">IFERROR(INDEX('Player Raw Data'!H:H,Match($A475,'Player Raw Data'!$B:$B,0)),"")</f>
        <v/>
      </c>
      <c r="G475" t="str">
        <f t="array" ref="G475">IFERROR(INDEX('Player Raw Data'!I:I,Match($A475,'Player Raw Data'!$B:$B,0)),"")</f>
        <v/>
      </c>
      <c r="H475" t="str">
        <f t="array" ref="H475">IFERROR(INDEX('Player Raw Data'!J:J,Match($A475,'Player Raw Data'!$B:$B,0)),"")</f>
        <v/>
      </c>
      <c r="I475" t="str">
        <f t="array" ref="I475">IFERROR(INDEX('Player Raw Data'!S:S,Match($A475,'Player Raw Data'!$B:$B,0)),"")</f>
        <v/>
      </c>
      <c r="J475" t="str">
        <f t="array" ref="J475">IFERROR(INDEX('Player Raw Data'!T:T,Match($A475,'Player Raw Data'!$B:$B,0)),"")</f>
        <v/>
      </c>
      <c r="K475" t="str">
        <f t="array" ref="K475">IFERROR(INDEX('Player Raw Data'!X:X,Match($A475,'Player Raw Data'!$B:$B,0)),"")</f>
        <v/>
      </c>
      <c r="L475" t="str">
        <f t="array" ref="L475">IFERROR(INDEX('Player Raw Data'!Y:Y,Match($A475,'Player Raw Data'!$B:$B,0)),"")</f>
        <v/>
      </c>
      <c r="M475" t="str">
        <f t="array" ref="M475">IFERROR(INDEX('Player Raw Data'!Z:Z,Match($A475,'Player Raw Data'!$B:$B,0)),"")</f>
        <v/>
      </c>
      <c r="N475" t="str">
        <f t="array" ref="N475">IFERROR(INDEX('Player Raw Data'!AA:AA,Match($A475,'Player Raw Data'!$B:$B,0)),"")</f>
        <v/>
      </c>
      <c r="O475" t="str">
        <f t="array" ref="O475">IFERROR(INDEX('Player Raw Data'!AB:AB,Match($A475,'Player Raw Data'!$B:$B,0)),"")</f>
        <v/>
      </c>
      <c r="P475" t="str">
        <f t="array" ref="P475">IFERROR(INDEX('Player Raw Data'!AD:AD,Match($A475,'Player Raw Data'!$B:$B,0)),"")</f>
        <v/>
      </c>
      <c r="Q475">
        <f t="shared" si="1"/>
        <v>0</v>
      </c>
      <c r="R475" s="9">
        <f t="shared" si="2"/>
        <v>0</v>
      </c>
      <c r="S475" s="14">
        <f t="shared" si="3"/>
        <v>0</v>
      </c>
      <c r="T475" s="15">
        <f>IFERROR(__xludf.DUMMYFUNCTION("IFERROR(PERCENTRANK.INC(FILTER(Q:Q,$F:$F&lt;&gt;""""),Q475)*100,"""")"),1.5)</f>
        <v>1.5</v>
      </c>
      <c r="U475" s="15">
        <f>IFERROR(__xludf.DUMMYFUNCTION("IFERROR(PERCENTRANK.INC(FILTER(R:R,$F:$F&lt;&gt;""""),R475)*100,"""")"),1.5)</f>
        <v>1.5</v>
      </c>
      <c r="V475" s="15">
        <f>IFERROR(__xludf.DUMMYFUNCTION("IFERROR(PERCENTRANK.INC(FILTER(S:S,$F:$F&lt;&gt;""""),S475)*100,"""")"),1.5)</f>
        <v>1.5</v>
      </c>
      <c r="W475" s="15" t="str">
        <f t="shared" si="4"/>
        <v/>
      </c>
      <c r="X475" s="16"/>
      <c r="Y475" s="9"/>
      <c r="Z475" s="9"/>
    </row>
    <row r="476">
      <c r="B476" t="str">
        <f t="array" ref="B476">IFERROR(INDEX('Player Raw Data'!E:E,Match($A476,'Player Raw Data'!$B:$B,0)),"")</f>
        <v/>
      </c>
      <c r="C476" t="str">
        <f t="array" ref="C476">IFERROR(INDEX('Player Raw Data'!C:C,Match($A476,'Player Raw Data'!$B:$B,0)),"")</f>
        <v/>
      </c>
      <c r="D476" t="str">
        <f t="array" ref="D476">IFERROR(IF(A476=A475, INDEX('Player Raw Data'!D:D,Match($A476,'Player Raw Data'!$B:$B,0)+2),INDEX('Player Raw Data'!D:D,Match($A476,'Player Raw Data'!$B:$B,0))),"")</f>
        <v/>
      </c>
      <c r="E476" t="str">
        <f t="array" ref="E476">IFERROR(INDEX('Player Raw Data'!F:F,Match($A476,'Player Raw Data'!$B:$B,0)),"")</f>
        <v/>
      </c>
      <c r="F476" t="str">
        <f t="array" ref="F476">IFERROR(INDEX('Player Raw Data'!H:H,Match($A476,'Player Raw Data'!$B:$B,0)),"")</f>
        <v/>
      </c>
      <c r="G476" t="str">
        <f t="array" ref="G476">IFERROR(INDEX('Player Raw Data'!I:I,Match($A476,'Player Raw Data'!$B:$B,0)),"")</f>
        <v/>
      </c>
      <c r="H476" t="str">
        <f t="array" ref="H476">IFERROR(INDEX('Player Raw Data'!J:J,Match($A476,'Player Raw Data'!$B:$B,0)),"")</f>
        <v/>
      </c>
      <c r="I476" t="str">
        <f t="array" ref="I476">IFERROR(INDEX('Player Raw Data'!S:S,Match($A476,'Player Raw Data'!$B:$B,0)),"")</f>
        <v/>
      </c>
      <c r="J476" t="str">
        <f t="array" ref="J476">IFERROR(INDEX('Player Raw Data'!T:T,Match($A476,'Player Raw Data'!$B:$B,0)),"")</f>
        <v/>
      </c>
      <c r="K476" t="str">
        <f t="array" ref="K476">IFERROR(INDEX('Player Raw Data'!X:X,Match($A476,'Player Raw Data'!$B:$B,0)),"")</f>
        <v/>
      </c>
      <c r="L476" t="str">
        <f t="array" ref="L476">IFERROR(INDEX('Player Raw Data'!Y:Y,Match($A476,'Player Raw Data'!$B:$B,0)),"")</f>
        <v/>
      </c>
      <c r="M476" t="str">
        <f t="array" ref="M476">IFERROR(INDEX('Player Raw Data'!Z:Z,Match($A476,'Player Raw Data'!$B:$B,0)),"")</f>
        <v/>
      </c>
      <c r="N476" t="str">
        <f t="array" ref="N476">IFERROR(INDEX('Player Raw Data'!AA:AA,Match($A476,'Player Raw Data'!$B:$B,0)),"")</f>
        <v/>
      </c>
      <c r="O476" t="str">
        <f t="array" ref="O476">IFERROR(INDEX('Player Raw Data'!AB:AB,Match($A476,'Player Raw Data'!$B:$B,0)),"")</f>
        <v/>
      </c>
      <c r="P476" t="str">
        <f t="array" ref="P476">IFERROR(INDEX('Player Raw Data'!AD:AD,Match($A476,'Player Raw Data'!$B:$B,0)),"")</f>
        <v/>
      </c>
      <c r="Q476">
        <f t="shared" si="1"/>
        <v>0</v>
      </c>
      <c r="R476" s="9">
        <f t="shared" si="2"/>
        <v>0</v>
      </c>
      <c r="S476" s="14">
        <f t="shared" si="3"/>
        <v>0</v>
      </c>
      <c r="T476" s="15">
        <f>IFERROR(__xludf.DUMMYFUNCTION("IFERROR(PERCENTRANK.INC(FILTER(Q:Q,$F:$F&lt;&gt;""""),Q476)*100,"""")"),1.5)</f>
        <v>1.5</v>
      </c>
      <c r="U476" s="15">
        <f>IFERROR(__xludf.DUMMYFUNCTION("IFERROR(PERCENTRANK.INC(FILTER(R:R,$F:$F&lt;&gt;""""),R476)*100,"""")"),1.5)</f>
        <v>1.5</v>
      </c>
      <c r="V476" s="15">
        <f>IFERROR(__xludf.DUMMYFUNCTION("IFERROR(PERCENTRANK.INC(FILTER(S:S,$F:$F&lt;&gt;""""),S476)*100,"""")"),1.5)</f>
        <v>1.5</v>
      </c>
      <c r="W476" s="15" t="str">
        <f t="shared" si="4"/>
        <v/>
      </c>
      <c r="X476" s="16"/>
      <c r="Y476" s="9"/>
      <c r="Z476" s="9"/>
    </row>
    <row r="477">
      <c r="B477" t="str">
        <f t="array" ref="B477">IFERROR(INDEX('Player Raw Data'!E:E,Match($A477,'Player Raw Data'!$B:$B,0)),"")</f>
        <v/>
      </c>
      <c r="C477" t="str">
        <f t="array" ref="C477">IFERROR(INDEX('Player Raw Data'!C:C,Match($A477,'Player Raw Data'!$B:$B,0)),"")</f>
        <v/>
      </c>
      <c r="D477" t="str">
        <f t="array" ref="D477">IFERROR(IF(A477=A476, INDEX('Player Raw Data'!D:D,Match($A477,'Player Raw Data'!$B:$B,0)+2),INDEX('Player Raw Data'!D:D,Match($A477,'Player Raw Data'!$B:$B,0))),"")</f>
        <v/>
      </c>
      <c r="E477" t="str">
        <f t="array" ref="E477">IFERROR(INDEX('Player Raw Data'!F:F,Match($A477,'Player Raw Data'!$B:$B,0)),"")</f>
        <v/>
      </c>
      <c r="F477" t="str">
        <f t="array" ref="F477">IFERROR(INDEX('Player Raw Data'!H:H,Match($A477,'Player Raw Data'!$B:$B,0)),"")</f>
        <v/>
      </c>
      <c r="G477" t="str">
        <f t="array" ref="G477">IFERROR(INDEX('Player Raw Data'!I:I,Match($A477,'Player Raw Data'!$B:$B,0)),"")</f>
        <v/>
      </c>
      <c r="H477" t="str">
        <f t="array" ref="H477">IFERROR(INDEX('Player Raw Data'!J:J,Match($A477,'Player Raw Data'!$B:$B,0)),"")</f>
        <v/>
      </c>
      <c r="I477" t="str">
        <f t="array" ref="I477">IFERROR(INDEX('Player Raw Data'!S:S,Match($A477,'Player Raw Data'!$B:$B,0)),"")</f>
        <v/>
      </c>
      <c r="J477" t="str">
        <f t="array" ref="J477">IFERROR(INDEX('Player Raw Data'!T:T,Match($A477,'Player Raw Data'!$B:$B,0)),"")</f>
        <v/>
      </c>
      <c r="K477" t="str">
        <f t="array" ref="K477">IFERROR(INDEX('Player Raw Data'!X:X,Match($A477,'Player Raw Data'!$B:$B,0)),"")</f>
        <v/>
      </c>
      <c r="L477" t="str">
        <f t="array" ref="L477">IFERROR(INDEX('Player Raw Data'!Y:Y,Match($A477,'Player Raw Data'!$B:$B,0)),"")</f>
        <v/>
      </c>
      <c r="M477" t="str">
        <f t="array" ref="M477">IFERROR(INDEX('Player Raw Data'!Z:Z,Match($A477,'Player Raw Data'!$B:$B,0)),"")</f>
        <v/>
      </c>
      <c r="N477" t="str">
        <f t="array" ref="N477">IFERROR(INDEX('Player Raw Data'!AA:AA,Match($A477,'Player Raw Data'!$B:$B,0)),"")</f>
        <v/>
      </c>
      <c r="O477" t="str">
        <f t="array" ref="O477">IFERROR(INDEX('Player Raw Data'!AB:AB,Match($A477,'Player Raw Data'!$B:$B,0)),"")</f>
        <v/>
      </c>
      <c r="P477" t="str">
        <f t="array" ref="P477">IFERROR(INDEX('Player Raw Data'!AD:AD,Match($A477,'Player Raw Data'!$B:$B,0)),"")</f>
        <v/>
      </c>
      <c r="Q477">
        <f t="shared" si="1"/>
        <v>0</v>
      </c>
      <c r="R477" s="9">
        <f t="shared" si="2"/>
        <v>0</v>
      </c>
      <c r="S477" s="14">
        <f t="shared" si="3"/>
        <v>0</v>
      </c>
      <c r="T477" s="15">
        <f>IFERROR(__xludf.DUMMYFUNCTION("IFERROR(PERCENTRANK.INC(FILTER(Q:Q,$F:$F&lt;&gt;""""),Q477)*100,"""")"),1.5)</f>
        <v>1.5</v>
      </c>
      <c r="U477" s="15">
        <f>IFERROR(__xludf.DUMMYFUNCTION("IFERROR(PERCENTRANK.INC(FILTER(R:R,$F:$F&lt;&gt;""""),R477)*100,"""")"),1.5)</f>
        <v>1.5</v>
      </c>
      <c r="V477" s="15">
        <f>IFERROR(__xludf.DUMMYFUNCTION("IFERROR(PERCENTRANK.INC(FILTER(S:S,$F:$F&lt;&gt;""""),S477)*100,"""")"),1.5)</f>
        <v>1.5</v>
      </c>
      <c r="W477" s="15" t="str">
        <f t="shared" si="4"/>
        <v/>
      </c>
      <c r="X477" s="16"/>
      <c r="Y477" s="9"/>
      <c r="Z477" s="9"/>
    </row>
    <row r="478">
      <c r="B478" t="str">
        <f t="array" ref="B478">IFERROR(INDEX('Player Raw Data'!E:E,Match($A478,'Player Raw Data'!$B:$B,0)),"")</f>
        <v/>
      </c>
      <c r="C478" t="str">
        <f t="array" ref="C478">IFERROR(INDEX('Player Raw Data'!C:C,Match($A478,'Player Raw Data'!$B:$B,0)),"")</f>
        <v/>
      </c>
      <c r="D478" t="str">
        <f t="array" ref="D478">IFERROR(IF(A478=A477, INDEX('Player Raw Data'!D:D,Match($A478,'Player Raw Data'!$B:$B,0)+2),INDEX('Player Raw Data'!D:D,Match($A478,'Player Raw Data'!$B:$B,0))),"")</f>
        <v/>
      </c>
      <c r="E478" t="str">
        <f t="array" ref="E478">IFERROR(INDEX('Player Raw Data'!F:F,Match($A478,'Player Raw Data'!$B:$B,0)),"")</f>
        <v/>
      </c>
      <c r="F478" t="str">
        <f t="array" ref="F478">IFERROR(INDEX('Player Raw Data'!H:H,Match($A478,'Player Raw Data'!$B:$B,0)),"")</f>
        <v/>
      </c>
      <c r="G478" t="str">
        <f t="array" ref="G478">IFERROR(INDEX('Player Raw Data'!I:I,Match($A478,'Player Raw Data'!$B:$B,0)),"")</f>
        <v/>
      </c>
      <c r="H478" t="str">
        <f t="array" ref="H478">IFERROR(INDEX('Player Raw Data'!J:J,Match($A478,'Player Raw Data'!$B:$B,0)),"")</f>
        <v/>
      </c>
      <c r="I478" t="str">
        <f t="array" ref="I478">IFERROR(INDEX('Player Raw Data'!S:S,Match($A478,'Player Raw Data'!$B:$B,0)),"")</f>
        <v/>
      </c>
      <c r="J478" t="str">
        <f t="array" ref="J478">IFERROR(INDEX('Player Raw Data'!T:T,Match($A478,'Player Raw Data'!$B:$B,0)),"")</f>
        <v/>
      </c>
      <c r="K478" t="str">
        <f t="array" ref="K478">IFERROR(INDEX('Player Raw Data'!X:X,Match($A478,'Player Raw Data'!$B:$B,0)),"")</f>
        <v/>
      </c>
      <c r="L478" t="str">
        <f t="array" ref="L478">IFERROR(INDEX('Player Raw Data'!Y:Y,Match($A478,'Player Raw Data'!$B:$B,0)),"")</f>
        <v/>
      </c>
      <c r="M478" t="str">
        <f t="array" ref="M478">IFERROR(INDEX('Player Raw Data'!Z:Z,Match($A478,'Player Raw Data'!$B:$B,0)),"")</f>
        <v/>
      </c>
      <c r="N478" t="str">
        <f t="array" ref="N478">IFERROR(INDEX('Player Raw Data'!AA:AA,Match($A478,'Player Raw Data'!$B:$B,0)),"")</f>
        <v/>
      </c>
      <c r="O478" t="str">
        <f t="array" ref="O478">IFERROR(INDEX('Player Raw Data'!AB:AB,Match($A478,'Player Raw Data'!$B:$B,0)),"")</f>
        <v/>
      </c>
      <c r="P478" t="str">
        <f t="array" ref="P478">IFERROR(INDEX('Player Raw Data'!AD:AD,Match($A478,'Player Raw Data'!$B:$B,0)),"")</f>
        <v/>
      </c>
      <c r="Q478">
        <f t="shared" si="1"/>
        <v>0</v>
      </c>
      <c r="R478" s="9">
        <f t="shared" si="2"/>
        <v>0</v>
      </c>
      <c r="S478" s="14">
        <f t="shared" si="3"/>
        <v>0</v>
      </c>
      <c r="T478" s="15">
        <f>IFERROR(__xludf.DUMMYFUNCTION("IFERROR(PERCENTRANK.INC(FILTER(Q:Q,$F:$F&lt;&gt;""""),Q478)*100,"""")"),1.5)</f>
        <v>1.5</v>
      </c>
      <c r="U478" s="15">
        <f>IFERROR(__xludf.DUMMYFUNCTION("IFERROR(PERCENTRANK.INC(FILTER(R:R,$F:$F&lt;&gt;""""),R478)*100,"""")"),1.5)</f>
        <v>1.5</v>
      </c>
      <c r="V478" s="15">
        <f>IFERROR(__xludf.DUMMYFUNCTION("IFERROR(PERCENTRANK.INC(FILTER(S:S,$F:$F&lt;&gt;""""),S478)*100,"""")"),1.5)</f>
        <v>1.5</v>
      </c>
      <c r="W478" s="15" t="str">
        <f t="shared" si="4"/>
        <v/>
      </c>
      <c r="X478" s="16"/>
      <c r="Y478" s="9"/>
      <c r="Z478" s="9"/>
    </row>
    <row r="479">
      <c r="B479" t="str">
        <f t="array" ref="B479">IFERROR(INDEX('Player Raw Data'!E:E,Match($A479,'Player Raw Data'!$B:$B,0)),"")</f>
        <v/>
      </c>
      <c r="C479" t="str">
        <f t="array" ref="C479">IFERROR(INDEX('Player Raw Data'!C:C,Match($A479,'Player Raw Data'!$B:$B,0)),"")</f>
        <v/>
      </c>
      <c r="D479" t="str">
        <f t="array" ref="D479">IFERROR(IF(A479=A478, INDEX('Player Raw Data'!D:D,Match($A479,'Player Raw Data'!$B:$B,0)+2),INDEX('Player Raw Data'!D:D,Match($A479,'Player Raw Data'!$B:$B,0))),"")</f>
        <v/>
      </c>
      <c r="E479" t="str">
        <f t="array" ref="E479">IFERROR(INDEX('Player Raw Data'!F:F,Match($A479,'Player Raw Data'!$B:$B,0)),"")</f>
        <v/>
      </c>
      <c r="F479" t="str">
        <f t="array" ref="F479">IFERROR(INDEX('Player Raw Data'!H:H,Match($A479,'Player Raw Data'!$B:$B,0)),"")</f>
        <v/>
      </c>
      <c r="G479" t="str">
        <f t="array" ref="G479">IFERROR(INDEX('Player Raw Data'!I:I,Match($A479,'Player Raw Data'!$B:$B,0)),"")</f>
        <v/>
      </c>
      <c r="H479" t="str">
        <f t="array" ref="H479">IFERROR(INDEX('Player Raw Data'!J:J,Match($A479,'Player Raw Data'!$B:$B,0)),"")</f>
        <v/>
      </c>
      <c r="I479" t="str">
        <f t="array" ref="I479">IFERROR(INDEX('Player Raw Data'!S:S,Match($A479,'Player Raw Data'!$B:$B,0)),"")</f>
        <v/>
      </c>
      <c r="J479" t="str">
        <f t="array" ref="J479">IFERROR(INDEX('Player Raw Data'!T:T,Match($A479,'Player Raw Data'!$B:$B,0)),"")</f>
        <v/>
      </c>
      <c r="K479" t="str">
        <f t="array" ref="K479">IFERROR(INDEX('Player Raw Data'!X:X,Match($A479,'Player Raw Data'!$B:$B,0)),"")</f>
        <v/>
      </c>
      <c r="L479" t="str">
        <f t="array" ref="L479">IFERROR(INDEX('Player Raw Data'!Y:Y,Match($A479,'Player Raw Data'!$B:$B,0)),"")</f>
        <v/>
      </c>
      <c r="M479" t="str">
        <f t="array" ref="M479">IFERROR(INDEX('Player Raw Data'!Z:Z,Match($A479,'Player Raw Data'!$B:$B,0)),"")</f>
        <v/>
      </c>
      <c r="N479" t="str">
        <f t="array" ref="N479">IFERROR(INDEX('Player Raw Data'!AA:AA,Match($A479,'Player Raw Data'!$B:$B,0)),"")</f>
        <v/>
      </c>
      <c r="O479" t="str">
        <f t="array" ref="O479">IFERROR(INDEX('Player Raw Data'!AB:AB,Match($A479,'Player Raw Data'!$B:$B,0)),"")</f>
        <v/>
      </c>
      <c r="P479" t="str">
        <f t="array" ref="P479">IFERROR(INDEX('Player Raw Data'!AD:AD,Match($A479,'Player Raw Data'!$B:$B,0)),"")</f>
        <v/>
      </c>
      <c r="Q479">
        <f t="shared" si="1"/>
        <v>0</v>
      </c>
      <c r="R479" s="9">
        <f t="shared" si="2"/>
        <v>0</v>
      </c>
      <c r="S479" s="14">
        <f t="shared" si="3"/>
        <v>0</v>
      </c>
      <c r="T479" s="15">
        <f>IFERROR(__xludf.DUMMYFUNCTION("IFERROR(PERCENTRANK.INC(FILTER(Q:Q,$F:$F&lt;&gt;""""),Q479)*100,"""")"),1.5)</f>
        <v>1.5</v>
      </c>
      <c r="U479" s="15">
        <f>IFERROR(__xludf.DUMMYFUNCTION("IFERROR(PERCENTRANK.INC(FILTER(R:R,$F:$F&lt;&gt;""""),R479)*100,"""")"),1.5)</f>
        <v>1.5</v>
      </c>
      <c r="V479" s="15">
        <f>IFERROR(__xludf.DUMMYFUNCTION("IFERROR(PERCENTRANK.INC(FILTER(S:S,$F:$F&lt;&gt;""""),S479)*100,"""")"),1.5)</f>
        <v>1.5</v>
      </c>
      <c r="W479" s="15" t="str">
        <f t="shared" si="4"/>
        <v/>
      </c>
      <c r="X479" s="16"/>
      <c r="Y479" s="9"/>
      <c r="Z479" s="9"/>
    </row>
    <row r="480">
      <c r="B480" t="str">
        <f t="array" ref="B480">IFERROR(INDEX('Player Raw Data'!E:E,Match($A480,'Player Raw Data'!$B:$B,0)),"")</f>
        <v/>
      </c>
      <c r="C480" t="str">
        <f t="array" ref="C480">IFERROR(INDEX('Player Raw Data'!C:C,Match($A480,'Player Raw Data'!$B:$B,0)),"")</f>
        <v/>
      </c>
      <c r="D480" t="str">
        <f t="array" ref="D480">IFERROR(IF(A480=A479, INDEX('Player Raw Data'!D:D,Match($A480,'Player Raw Data'!$B:$B,0)+2),INDEX('Player Raw Data'!D:D,Match($A480,'Player Raw Data'!$B:$B,0))),"")</f>
        <v/>
      </c>
      <c r="E480" t="str">
        <f t="array" ref="E480">IFERROR(INDEX('Player Raw Data'!F:F,Match($A480,'Player Raw Data'!$B:$B,0)),"")</f>
        <v/>
      </c>
      <c r="F480" t="str">
        <f t="array" ref="F480">IFERROR(INDEX('Player Raw Data'!H:H,Match($A480,'Player Raw Data'!$B:$B,0)),"")</f>
        <v/>
      </c>
      <c r="G480" t="str">
        <f t="array" ref="G480">IFERROR(INDEX('Player Raw Data'!I:I,Match($A480,'Player Raw Data'!$B:$B,0)),"")</f>
        <v/>
      </c>
      <c r="H480" t="str">
        <f t="array" ref="H480">IFERROR(INDEX('Player Raw Data'!J:J,Match($A480,'Player Raw Data'!$B:$B,0)),"")</f>
        <v/>
      </c>
      <c r="I480" t="str">
        <f t="array" ref="I480">IFERROR(INDEX('Player Raw Data'!S:S,Match($A480,'Player Raw Data'!$B:$B,0)),"")</f>
        <v/>
      </c>
      <c r="J480" t="str">
        <f t="array" ref="J480">IFERROR(INDEX('Player Raw Data'!T:T,Match($A480,'Player Raw Data'!$B:$B,0)),"")</f>
        <v/>
      </c>
      <c r="K480" t="str">
        <f t="array" ref="K480">IFERROR(INDEX('Player Raw Data'!X:X,Match($A480,'Player Raw Data'!$B:$B,0)),"")</f>
        <v/>
      </c>
      <c r="L480" t="str">
        <f t="array" ref="L480">IFERROR(INDEX('Player Raw Data'!Y:Y,Match($A480,'Player Raw Data'!$B:$B,0)),"")</f>
        <v/>
      </c>
      <c r="M480" t="str">
        <f t="array" ref="M480">IFERROR(INDEX('Player Raw Data'!Z:Z,Match($A480,'Player Raw Data'!$B:$B,0)),"")</f>
        <v/>
      </c>
      <c r="N480" t="str">
        <f t="array" ref="N480">IFERROR(INDEX('Player Raw Data'!AA:AA,Match($A480,'Player Raw Data'!$B:$B,0)),"")</f>
        <v/>
      </c>
      <c r="O480" t="str">
        <f t="array" ref="O480">IFERROR(INDEX('Player Raw Data'!AB:AB,Match($A480,'Player Raw Data'!$B:$B,0)),"")</f>
        <v/>
      </c>
      <c r="P480" t="str">
        <f t="array" ref="P480">IFERROR(INDEX('Player Raw Data'!AD:AD,Match($A480,'Player Raw Data'!$B:$B,0)),"")</f>
        <v/>
      </c>
      <c r="Q480">
        <f t="shared" si="1"/>
        <v>0</v>
      </c>
      <c r="R480" s="9">
        <f t="shared" si="2"/>
        <v>0</v>
      </c>
      <c r="S480" s="14">
        <f t="shared" si="3"/>
        <v>0</v>
      </c>
      <c r="T480" s="15">
        <f>IFERROR(__xludf.DUMMYFUNCTION("IFERROR(PERCENTRANK.INC(FILTER(Q:Q,$F:$F&lt;&gt;""""),Q480)*100,"""")"),1.5)</f>
        <v>1.5</v>
      </c>
      <c r="U480" s="15">
        <f>IFERROR(__xludf.DUMMYFUNCTION("IFERROR(PERCENTRANK.INC(FILTER(R:R,$F:$F&lt;&gt;""""),R480)*100,"""")"),1.5)</f>
        <v>1.5</v>
      </c>
      <c r="V480" s="15">
        <f>IFERROR(__xludf.DUMMYFUNCTION("IFERROR(PERCENTRANK.INC(FILTER(S:S,$F:$F&lt;&gt;""""),S480)*100,"""")"),1.5)</f>
        <v>1.5</v>
      </c>
      <c r="W480" s="15" t="str">
        <f t="shared" si="4"/>
        <v/>
      </c>
      <c r="X480" s="16"/>
      <c r="Y480" s="9"/>
      <c r="Z480" s="9"/>
    </row>
    <row r="481">
      <c r="B481" t="str">
        <f t="array" ref="B481">IFERROR(INDEX('Player Raw Data'!E:E,Match($A481,'Player Raw Data'!$B:$B,0)),"")</f>
        <v/>
      </c>
      <c r="C481" t="str">
        <f t="array" ref="C481">IFERROR(INDEX('Player Raw Data'!C:C,Match($A481,'Player Raw Data'!$B:$B,0)),"")</f>
        <v/>
      </c>
      <c r="D481" t="str">
        <f t="array" ref="D481">IFERROR(IF(A481=A480, INDEX('Player Raw Data'!D:D,Match($A481,'Player Raw Data'!$B:$B,0)+2),INDEX('Player Raw Data'!D:D,Match($A481,'Player Raw Data'!$B:$B,0))),"")</f>
        <v/>
      </c>
      <c r="E481" t="str">
        <f t="array" ref="E481">IFERROR(INDEX('Player Raw Data'!F:F,Match($A481,'Player Raw Data'!$B:$B,0)),"")</f>
        <v/>
      </c>
      <c r="F481" t="str">
        <f t="array" ref="F481">IFERROR(INDEX('Player Raw Data'!H:H,Match($A481,'Player Raw Data'!$B:$B,0)),"")</f>
        <v/>
      </c>
      <c r="G481" t="str">
        <f t="array" ref="G481">IFERROR(INDEX('Player Raw Data'!I:I,Match($A481,'Player Raw Data'!$B:$B,0)),"")</f>
        <v/>
      </c>
      <c r="H481" t="str">
        <f t="array" ref="H481">IFERROR(INDEX('Player Raw Data'!J:J,Match($A481,'Player Raw Data'!$B:$B,0)),"")</f>
        <v/>
      </c>
      <c r="I481" t="str">
        <f t="array" ref="I481">IFERROR(INDEX('Player Raw Data'!S:S,Match($A481,'Player Raw Data'!$B:$B,0)),"")</f>
        <v/>
      </c>
      <c r="J481" t="str">
        <f t="array" ref="J481">IFERROR(INDEX('Player Raw Data'!T:T,Match($A481,'Player Raw Data'!$B:$B,0)),"")</f>
        <v/>
      </c>
      <c r="K481" t="str">
        <f t="array" ref="K481">IFERROR(INDEX('Player Raw Data'!X:X,Match($A481,'Player Raw Data'!$B:$B,0)),"")</f>
        <v/>
      </c>
      <c r="L481" t="str">
        <f t="array" ref="L481">IFERROR(INDEX('Player Raw Data'!Y:Y,Match($A481,'Player Raw Data'!$B:$B,0)),"")</f>
        <v/>
      </c>
      <c r="M481" t="str">
        <f t="array" ref="M481">IFERROR(INDEX('Player Raw Data'!Z:Z,Match($A481,'Player Raw Data'!$B:$B,0)),"")</f>
        <v/>
      </c>
      <c r="N481" t="str">
        <f t="array" ref="N481">IFERROR(INDEX('Player Raw Data'!AA:AA,Match($A481,'Player Raw Data'!$B:$B,0)),"")</f>
        <v/>
      </c>
      <c r="O481" t="str">
        <f t="array" ref="O481">IFERROR(INDEX('Player Raw Data'!AB:AB,Match($A481,'Player Raw Data'!$B:$B,0)),"")</f>
        <v/>
      </c>
      <c r="P481" t="str">
        <f t="array" ref="P481">IFERROR(INDEX('Player Raw Data'!AD:AD,Match($A481,'Player Raw Data'!$B:$B,0)),"")</f>
        <v/>
      </c>
      <c r="Q481">
        <f t="shared" si="1"/>
        <v>0</v>
      </c>
      <c r="R481" s="9">
        <f t="shared" si="2"/>
        <v>0</v>
      </c>
      <c r="S481" s="14">
        <f t="shared" si="3"/>
        <v>0</v>
      </c>
      <c r="T481" s="15">
        <f>IFERROR(__xludf.DUMMYFUNCTION("IFERROR(PERCENTRANK.INC(FILTER(Q:Q,$F:$F&lt;&gt;""""),Q481)*100,"""")"),1.5)</f>
        <v>1.5</v>
      </c>
      <c r="U481" s="15">
        <f>IFERROR(__xludf.DUMMYFUNCTION("IFERROR(PERCENTRANK.INC(FILTER(R:R,$F:$F&lt;&gt;""""),R481)*100,"""")"),1.5)</f>
        <v>1.5</v>
      </c>
      <c r="V481" s="15">
        <f>IFERROR(__xludf.DUMMYFUNCTION("IFERROR(PERCENTRANK.INC(FILTER(S:S,$F:$F&lt;&gt;""""),S481)*100,"""")"),1.5)</f>
        <v>1.5</v>
      </c>
      <c r="W481" s="15" t="str">
        <f t="shared" si="4"/>
        <v/>
      </c>
      <c r="X481" s="16"/>
      <c r="Y481" s="9"/>
      <c r="Z481" s="9"/>
    </row>
    <row r="482">
      <c r="B482" t="str">
        <f t="array" ref="B482">IFERROR(INDEX('Player Raw Data'!E:E,Match($A482,'Player Raw Data'!$B:$B,0)),"")</f>
        <v/>
      </c>
      <c r="C482" t="str">
        <f t="array" ref="C482">IFERROR(INDEX('Player Raw Data'!C:C,Match($A482,'Player Raw Data'!$B:$B,0)),"")</f>
        <v/>
      </c>
      <c r="D482" t="str">
        <f t="array" ref="D482">IFERROR(IF(A482=A481, INDEX('Player Raw Data'!D:D,Match($A482,'Player Raw Data'!$B:$B,0)+2),INDEX('Player Raw Data'!D:D,Match($A482,'Player Raw Data'!$B:$B,0))),"")</f>
        <v/>
      </c>
      <c r="E482" t="str">
        <f t="array" ref="E482">IFERROR(INDEX('Player Raw Data'!F:F,Match($A482,'Player Raw Data'!$B:$B,0)),"")</f>
        <v/>
      </c>
      <c r="F482" t="str">
        <f t="array" ref="F482">IFERROR(INDEX('Player Raw Data'!H:H,Match($A482,'Player Raw Data'!$B:$B,0)),"")</f>
        <v/>
      </c>
      <c r="G482" t="str">
        <f t="array" ref="G482">IFERROR(INDEX('Player Raw Data'!I:I,Match($A482,'Player Raw Data'!$B:$B,0)),"")</f>
        <v/>
      </c>
      <c r="H482" t="str">
        <f t="array" ref="H482">IFERROR(INDEX('Player Raw Data'!J:J,Match($A482,'Player Raw Data'!$B:$B,0)),"")</f>
        <v/>
      </c>
      <c r="I482" t="str">
        <f t="array" ref="I482">IFERROR(INDEX('Player Raw Data'!S:S,Match($A482,'Player Raw Data'!$B:$B,0)),"")</f>
        <v/>
      </c>
      <c r="J482" t="str">
        <f t="array" ref="J482">IFERROR(INDEX('Player Raw Data'!T:T,Match($A482,'Player Raw Data'!$B:$B,0)),"")</f>
        <v/>
      </c>
      <c r="K482" t="str">
        <f t="array" ref="K482">IFERROR(INDEX('Player Raw Data'!X:X,Match($A482,'Player Raw Data'!$B:$B,0)),"")</f>
        <v/>
      </c>
      <c r="L482" t="str">
        <f t="array" ref="L482">IFERROR(INDEX('Player Raw Data'!Y:Y,Match($A482,'Player Raw Data'!$B:$B,0)),"")</f>
        <v/>
      </c>
      <c r="M482" t="str">
        <f t="array" ref="M482">IFERROR(INDEX('Player Raw Data'!Z:Z,Match($A482,'Player Raw Data'!$B:$B,0)),"")</f>
        <v/>
      </c>
      <c r="N482" t="str">
        <f t="array" ref="N482">IFERROR(INDEX('Player Raw Data'!AA:AA,Match($A482,'Player Raw Data'!$B:$B,0)),"")</f>
        <v/>
      </c>
      <c r="O482" t="str">
        <f t="array" ref="O482">IFERROR(INDEX('Player Raw Data'!AB:AB,Match($A482,'Player Raw Data'!$B:$B,0)),"")</f>
        <v/>
      </c>
      <c r="P482" t="str">
        <f t="array" ref="P482">IFERROR(INDEX('Player Raw Data'!AD:AD,Match($A482,'Player Raw Data'!$B:$B,0)),"")</f>
        <v/>
      </c>
      <c r="Q482">
        <f t="shared" si="1"/>
        <v>0</v>
      </c>
      <c r="R482" s="9">
        <f t="shared" si="2"/>
        <v>0</v>
      </c>
      <c r="S482" s="14">
        <f t="shared" si="3"/>
        <v>0</v>
      </c>
      <c r="T482" s="15">
        <f>IFERROR(__xludf.DUMMYFUNCTION("IFERROR(PERCENTRANK.INC(FILTER(Q:Q,$F:$F&lt;&gt;""""),Q482)*100,"""")"),1.5)</f>
        <v>1.5</v>
      </c>
      <c r="U482" s="15">
        <f>IFERROR(__xludf.DUMMYFUNCTION("IFERROR(PERCENTRANK.INC(FILTER(R:R,$F:$F&lt;&gt;""""),R482)*100,"""")"),1.5)</f>
        <v>1.5</v>
      </c>
      <c r="V482" s="15">
        <f>IFERROR(__xludf.DUMMYFUNCTION("IFERROR(PERCENTRANK.INC(FILTER(S:S,$F:$F&lt;&gt;""""),S482)*100,"""")"),1.5)</f>
        <v>1.5</v>
      </c>
      <c r="W482" s="15" t="str">
        <f t="shared" si="4"/>
        <v/>
      </c>
      <c r="X482" s="16"/>
      <c r="Y482" s="9"/>
      <c r="Z482" s="9"/>
    </row>
    <row r="483">
      <c r="B483" t="str">
        <f t="array" ref="B483">IFERROR(INDEX('Player Raw Data'!E:E,Match($A483,'Player Raw Data'!$B:$B,0)),"")</f>
        <v/>
      </c>
      <c r="C483" t="str">
        <f t="array" ref="C483">IFERROR(INDEX('Player Raw Data'!C:C,Match($A483,'Player Raw Data'!$B:$B,0)),"")</f>
        <v/>
      </c>
      <c r="D483" t="str">
        <f t="array" ref="D483">IFERROR(IF(A483=A482, INDEX('Player Raw Data'!D:D,Match($A483,'Player Raw Data'!$B:$B,0)+2),INDEX('Player Raw Data'!D:D,Match($A483,'Player Raw Data'!$B:$B,0))),"")</f>
        <v/>
      </c>
      <c r="E483" t="str">
        <f t="array" ref="E483">IFERROR(INDEX('Player Raw Data'!F:F,Match($A483,'Player Raw Data'!$B:$B,0)),"")</f>
        <v/>
      </c>
      <c r="F483" t="str">
        <f t="array" ref="F483">IFERROR(INDEX('Player Raw Data'!H:H,Match($A483,'Player Raw Data'!$B:$B,0)),"")</f>
        <v/>
      </c>
      <c r="G483" t="str">
        <f t="array" ref="G483">IFERROR(INDEX('Player Raw Data'!I:I,Match($A483,'Player Raw Data'!$B:$B,0)),"")</f>
        <v/>
      </c>
      <c r="H483" t="str">
        <f t="array" ref="H483">IFERROR(INDEX('Player Raw Data'!J:J,Match($A483,'Player Raw Data'!$B:$B,0)),"")</f>
        <v/>
      </c>
      <c r="I483" t="str">
        <f t="array" ref="I483">IFERROR(INDEX('Player Raw Data'!S:S,Match($A483,'Player Raw Data'!$B:$B,0)),"")</f>
        <v/>
      </c>
      <c r="J483" t="str">
        <f t="array" ref="J483">IFERROR(INDEX('Player Raw Data'!T:T,Match($A483,'Player Raw Data'!$B:$B,0)),"")</f>
        <v/>
      </c>
      <c r="K483" t="str">
        <f t="array" ref="K483">IFERROR(INDEX('Player Raw Data'!X:X,Match($A483,'Player Raw Data'!$B:$B,0)),"")</f>
        <v/>
      </c>
      <c r="L483" t="str">
        <f t="array" ref="L483">IFERROR(INDEX('Player Raw Data'!Y:Y,Match($A483,'Player Raw Data'!$B:$B,0)),"")</f>
        <v/>
      </c>
      <c r="M483" t="str">
        <f t="array" ref="M483">IFERROR(INDEX('Player Raw Data'!Z:Z,Match($A483,'Player Raw Data'!$B:$B,0)),"")</f>
        <v/>
      </c>
      <c r="N483" t="str">
        <f t="array" ref="N483">IFERROR(INDEX('Player Raw Data'!AA:AA,Match($A483,'Player Raw Data'!$B:$B,0)),"")</f>
        <v/>
      </c>
      <c r="O483" t="str">
        <f t="array" ref="O483">IFERROR(INDEX('Player Raw Data'!AB:AB,Match($A483,'Player Raw Data'!$B:$B,0)),"")</f>
        <v/>
      </c>
      <c r="P483" t="str">
        <f t="array" ref="P483">IFERROR(INDEX('Player Raw Data'!AD:AD,Match($A483,'Player Raw Data'!$B:$B,0)),"")</f>
        <v/>
      </c>
      <c r="Q483">
        <f t="shared" si="1"/>
        <v>0</v>
      </c>
      <c r="R483" s="9">
        <f t="shared" si="2"/>
        <v>0</v>
      </c>
      <c r="S483" s="14">
        <f t="shared" si="3"/>
        <v>0</v>
      </c>
      <c r="T483" s="15">
        <f>IFERROR(__xludf.DUMMYFUNCTION("IFERROR(PERCENTRANK.INC(FILTER(Q:Q,$F:$F&lt;&gt;""""),Q483)*100,"""")"),1.5)</f>
        <v>1.5</v>
      </c>
      <c r="U483" s="15">
        <f>IFERROR(__xludf.DUMMYFUNCTION("IFERROR(PERCENTRANK.INC(FILTER(R:R,$F:$F&lt;&gt;""""),R483)*100,"""")"),1.5)</f>
        <v>1.5</v>
      </c>
      <c r="V483" s="15">
        <f>IFERROR(__xludf.DUMMYFUNCTION("IFERROR(PERCENTRANK.INC(FILTER(S:S,$F:$F&lt;&gt;""""),S483)*100,"""")"),1.5)</f>
        <v>1.5</v>
      </c>
      <c r="W483" s="15" t="str">
        <f t="shared" si="4"/>
        <v/>
      </c>
      <c r="X483" s="16"/>
      <c r="Y483" s="9"/>
      <c r="Z483" s="9"/>
    </row>
    <row r="484">
      <c r="B484" t="str">
        <f t="array" ref="B484">IFERROR(INDEX('Player Raw Data'!E:E,Match($A484,'Player Raw Data'!$B:$B,0)),"")</f>
        <v/>
      </c>
      <c r="C484" t="str">
        <f t="array" ref="C484">IFERROR(INDEX('Player Raw Data'!C:C,Match($A484,'Player Raw Data'!$B:$B,0)),"")</f>
        <v/>
      </c>
      <c r="D484" t="str">
        <f t="array" ref="D484">IFERROR(IF(A484=A483, INDEX('Player Raw Data'!D:D,Match($A484,'Player Raw Data'!$B:$B,0)+2),INDEX('Player Raw Data'!D:D,Match($A484,'Player Raw Data'!$B:$B,0))),"")</f>
        <v/>
      </c>
      <c r="E484" t="str">
        <f t="array" ref="E484">IFERROR(INDEX('Player Raw Data'!F:F,Match($A484,'Player Raw Data'!$B:$B,0)),"")</f>
        <v/>
      </c>
      <c r="F484" t="str">
        <f t="array" ref="F484">IFERROR(INDEX('Player Raw Data'!H:H,Match($A484,'Player Raw Data'!$B:$B,0)),"")</f>
        <v/>
      </c>
      <c r="G484" t="str">
        <f t="array" ref="G484">IFERROR(INDEX('Player Raw Data'!I:I,Match($A484,'Player Raw Data'!$B:$B,0)),"")</f>
        <v/>
      </c>
      <c r="H484" t="str">
        <f t="array" ref="H484">IFERROR(INDEX('Player Raw Data'!J:J,Match($A484,'Player Raw Data'!$B:$B,0)),"")</f>
        <v/>
      </c>
      <c r="I484" t="str">
        <f t="array" ref="I484">IFERROR(INDEX('Player Raw Data'!S:S,Match($A484,'Player Raw Data'!$B:$B,0)),"")</f>
        <v/>
      </c>
      <c r="J484" t="str">
        <f t="array" ref="J484">IFERROR(INDEX('Player Raw Data'!T:T,Match($A484,'Player Raw Data'!$B:$B,0)),"")</f>
        <v/>
      </c>
      <c r="K484" t="str">
        <f t="array" ref="K484">IFERROR(INDEX('Player Raw Data'!X:X,Match($A484,'Player Raw Data'!$B:$B,0)),"")</f>
        <v/>
      </c>
      <c r="L484" t="str">
        <f t="array" ref="L484">IFERROR(INDEX('Player Raw Data'!Y:Y,Match($A484,'Player Raw Data'!$B:$B,0)),"")</f>
        <v/>
      </c>
      <c r="M484" t="str">
        <f t="array" ref="M484">IFERROR(INDEX('Player Raw Data'!Z:Z,Match($A484,'Player Raw Data'!$B:$B,0)),"")</f>
        <v/>
      </c>
      <c r="N484" t="str">
        <f t="array" ref="N484">IFERROR(INDEX('Player Raw Data'!AA:AA,Match($A484,'Player Raw Data'!$B:$B,0)),"")</f>
        <v/>
      </c>
      <c r="O484" t="str">
        <f t="array" ref="O484">IFERROR(INDEX('Player Raw Data'!AB:AB,Match($A484,'Player Raw Data'!$B:$B,0)),"")</f>
        <v/>
      </c>
      <c r="P484" t="str">
        <f t="array" ref="P484">IFERROR(INDEX('Player Raw Data'!AD:AD,Match($A484,'Player Raw Data'!$B:$B,0)),"")</f>
        <v/>
      </c>
      <c r="Q484">
        <f t="shared" si="1"/>
        <v>0</v>
      </c>
      <c r="R484" s="9">
        <f t="shared" si="2"/>
        <v>0</v>
      </c>
      <c r="S484" s="14">
        <f t="shared" si="3"/>
        <v>0</v>
      </c>
      <c r="T484" s="15">
        <f>IFERROR(__xludf.DUMMYFUNCTION("IFERROR(PERCENTRANK.INC(FILTER(Q:Q,$F:$F&lt;&gt;""""),Q484)*100,"""")"),1.5)</f>
        <v>1.5</v>
      </c>
      <c r="U484" s="15">
        <f>IFERROR(__xludf.DUMMYFUNCTION("IFERROR(PERCENTRANK.INC(FILTER(R:R,$F:$F&lt;&gt;""""),R484)*100,"""")"),1.5)</f>
        <v>1.5</v>
      </c>
      <c r="V484" s="15">
        <f>IFERROR(__xludf.DUMMYFUNCTION("IFERROR(PERCENTRANK.INC(FILTER(S:S,$F:$F&lt;&gt;""""),S484)*100,"""")"),1.5)</f>
        <v>1.5</v>
      </c>
      <c r="W484" s="15" t="str">
        <f t="shared" si="4"/>
        <v/>
      </c>
      <c r="X484" s="16"/>
      <c r="Y484" s="9"/>
      <c r="Z484" s="9"/>
    </row>
    <row r="485">
      <c r="B485" t="str">
        <f t="array" ref="B485">IFERROR(INDEX('Player Raw Data'!E:E,Match($A485,'Player Raw Data'!$B:$B,0)),"")</f>
        <v/>
      </c>
      <c r="C485" t="str">
        <f t="array" ref="C485">IFERROR(INDEX('Player Raw Data'!C:C,Match($A485,'Player Raw Data'!$B:$B,0)),"")</f>
        <v/>
      </c>
      <c r="D485" t="str">
        <f t="array" ref="D485">IFERROR(IF(A485=A484, INDEX('Player Raw Data'!D:D,Match($A485,'Player Raw Data'!$B:$B,0)+2),INDEX('Player Raw Data'!D:D,Match($A485,'Player Raw Data'!$B:$B,0))),"")</f>
        <v/>
      </c>
      <c r="E485" t="str">
        <f t="array" ref="E485">IFERROR(INDEX('Player Raw Data'!F:F,Match($A485,'Player Raw Data'!$B:$B,0)),"")</f>
        <v/>
      </c>
      <c r="F485" t="str">
        <f t="array" ref="F485">IFERROR(INDEX('Player Raw Data'!H:H,Match($A485,'Player Raw Data'!$B:$B,0)),"")</f>
        <v/>
      </c>
      <c r="G485" t="str">
        <f t="array" ref="G485">IFERROR(INDEX('Player Raw Data'!I:I,Match($A485,'Player Raw Data'!$B:$B,0)),"")</f>
        <v/>
      </c>
      <c r="H485" t="str">
        <f t="array" ref="H485">IFERROR(INDEX('Player Raw Data'!J:J,Match($A485,'Player Raw Data'!$B:$B,0)),"")</f>
        <v/>
      </c>
      <c r="I485" t="str">
        <f t="array" ref="I485">IFERROR(INDEX('Player Raw Data'!S:S,Match($A485,'Player Raw Data'!$B:$B,0)),"")</f>
        <v/>
      </c>
      <c r="J485" t="str">
        <f t="array" ref="J485">IFERROR(INDEX('Player Raw Data'!T:T,Match($A485,'Player Raw Data'!$B:$B,0)),"")</f>
        <v/>
      </c>
      <c r="K485" t="str">
        <f t="array" ref="K485">IFERROR(INDEX('Player Raw Data'!X:X,Match($A485,'Player Raw Data'!$B:$B,0)),"")</f>
        <v/>
      </c>
      <c r="L485" t="str">
        <f t="array" ref="L485">IFERROR(INDEX('Player Raw Data'!Y:Y,Match($A485,'Player Raw Data'!$B:$B,0)),"")</f>
        <v/>
      </c>
      <c r="M485" t="str">
        <f t="array" ref="M485">IFERROR(INDEX('Player Raw Data'!Z:Z,Match($A485,'Player Raw Data'!$B:$B,0)),"")</f>
        <v/>
      </c>
      <c r="N485" t="str">
        <f t="array" ref="N485">IFERROR(INDEX('Player Raw Data'!AA:AA,Match($A485,'Player Raw Data'!$B:$B,0)),"")</f>
        <v/>
      </c>
      <c r="O485" t="str">
        <f t="array" ref="O485">IFERROR(INDEX('Player Raw Data'!AB:AB,Match($A485,'Player Raw Data'!$B:$B,0)),"")</f>
        <v/>
      </c>
      <c r="P485" t="str">
        <f t="array" ref="P485">IFERROR(INDEX('Player Raw Data'!AD:AD,Match($A485,'Player Raw Data'!$B:$B,0)),"")</f>
        <v/>
      </c>
      <c r="Q485">
        <f t="shared" si="1"/>
        <v>0</v>
      </c>
      <c r="R485" s="9">
        <f t="shared" si="2"/>
        <v>0</v>
      </c>
      <c r="S485" s="14">
        <f t="shared" si="3"/>
        <v>0</v>
      </c>
      <c r="T485" s="15">
        <f>IFERROR(__xludf.DUMMYFUNCTION("IFERROR(PERCENTRANK.INC(FILTER(Q:Q,$F:$F&lt;&gt;""""),Q485)*100,"""")"),1.5)</f>
        <v>1.5</v>
      </c>
      <c r="U485" s="15">
        <f>IFERROR(__xludf.DUMMYFUNCTION("IFERROR(PERCENTRANK.INC(FILTER(R:R,$F:$F&lt;&gt;""""),R485)*100,"""")"),1.5)</f>
        <v>1.5</v>
      </c>
      <c r="V485" s="15">
        <f>IFERROR(__xludf.DUMMYFUNCTION("IFERROR(PERCENTRANK.INC(FILTER(S:S,$F:$F&lt;&gt;""""),S485)*100,"""")"),1.5)</f>
        <v>1.5</v>
      </c>
      <c r="W485" s="15" t="str">
        <f t="shared" si="4"/>
        <v/>
      </c>
      <c r="X485" s="16"/>
      <c r="Y485" s="9"/>
      <c r="Z485" s="9"/>
    </row>
    <row r="486">
      <c r="B486" t="str">
        <f t="array" ref="B486">IFERROR(INDEX('Player Raw Data'!E:E,Match($A486,'Player Raw Data'!$B:$B,0)),"")</f>
        <v/>
      </c>
      <c r="C486" t="str">
        <f t="array" ref="C486">IFERROR(INDEX('Player Raw Data'!C:C,Match($A486,'Player Raw Data'!$B:$B,0)),"")</f>
        <v/>
      </c>
      <c r="D486" t="str">
        <f t="array" ref="D486">IFERROR(IF(A486=A485, INDEX('Player Raw Data'!D:D,Match($A486,'Player Raw Data'!$B:$B,0)+2),INDEX('Player Raw Data'!D:D,Match($A486,'Player Raw Data'!$B:$B,0))),"")</f>
        <v/>
      </c>
      <c r="E486" t="str">
        <f t="array" ref="E486">IFERROR(INDEX('Player Raw Data'!F:F,Match($A486,'Player Raw Data'!$B:$B,0)),"")</f>
        <v/>
      </c>
      <c r="F486" t="str">
        <f t="array" ref="F486">IFERROR(INDEX('Player Raw Data'!H:H,Match($A486,'Player Raw Data'!$B:$B,0)),"")</f>
        <v/>
      </c>
      <c r="G486" t="str">
        <f t="array" ref="G486">IFERROR(INDEX('Player Raw Data'!I:I,Match($A486,'Player Raw Data'!$B:$B,0)),"")</f>
        <v/>
      </c>
      <c r="H486" t="str">
        <f t="array" ref="H486">IFERROR(INDEX('Player Raw Data'!J:J,Match($A486,'Player Raw Data'!$B:$B,0)),"")</f>
        <v/>
      </c>
      <c r="I486" t="str">
        <f t="array" ref="I486">IFERROR(INDEX('Player Raw Data'!S:S,Match($A486,'Player Raw Data'!$B:$B,0)),"")</f>
        <v/>
      </c>
      <c r="J486" t="str">
        <f t="array" ref="J486">IFERROR(INDEX('Player Raw Data'!T:T,Match($A486,'Player Raw Data'!$B:$B,0)),"")</f>
        <v/>
      </c>
      <c r="K486" t="str">
        <f t="array" ref="K486">IFERROR(INDEX('Player Raw Data'!X:X,Match($A486,'Player Raw Data'!$B:$B,0)),"")</f>
        <v/>
      </c>
      <c r="L486" t="str">
        <f t="array" ref="L486">IFERROR(INDEX('Player Raw Data'!Y:Y,Match($A486,'Player Raw Data'!$B:$B,0)),"")</f>
        <v/>
      </c>
      <c r="M486" t="str">
        <f t="array" ref="M486">IFERROR(INDEX('Player Raw Data'!Z:Z,Match($A486,'Player Raw Data'!$B:$B,0)),"")</f>
        <v/>
      </c>
      <c r="N486" t="str">
        <f t="array" ref="N486">IFERROR(INDEX('Player Raw Data'!AA:AA,Match($A486,'Player Raw Data'!$B:$B,0)),"")</f>
        <v/>
      </c>
      <c r="O486" t="str">
        <f t="array" ref="O486">IFERROR(INDEX('Player Raw Data'!AB:AB,Match($A486,'Player Raw Data'!$B:$B,0)),"")</f>
        <v/>
      </c>
      <c r="P486" t="str">
        <f t="array" ref="P486">IFERROR(INDEX('Player Raw Data'!AD:AD,Match($A486,'Player Raw Data'!$B:$B,0)),"")</f>
        <v/>
      </c>
      <c r="Q486">
        <f t="shared" si="1"/>
        <v>0</v>
      </c>
      <c r="R486" s="9">
        <f t="shared" si="2"/>
        <v>0</v>
      </c>
      <c r="S486" s="14">
        <f t="shared" si="3"/>
        <v>0</v>
      </c>
      <c r="T486" s="15">
        <f>IFERROR(__xludf.DUMMYFUNCTION("IFERROR(PERCENTRANK.INC(FILTER(Q:Q,$F:$F&lt;&gt;""""),Q486)*100,"""")"),1.5)</f>
        <v>1.5</v>
      </c>
      <c r="U486" s="15">
        <f>IFERROR(__xludf.DUMMYFUNCTION("IFERROR(PERCENTRANK.INC(FILTER(R:R,$F:$F&lt;&gt;""""),R486)*100,"""")"),1.5)</f>
        <v>1.5</v>
      </c>
      <c r="V486" s="15">
        <f>IFERROR(__xludf.DUMMYFUNCTION("IFERROR(PERCENTRANK.INC(FILTER(S:S,$F:$F&lt;&gt;""""),S486)*100,"""")"),1.5)</f>
        <v>1.5</v>
      </c>
      <c r="W486" s="15" t="str">
        <f t="shared" si="4"/>
        <v/>
      </c>
      <c r="X486" s="16"/>
      <c r="Y486" s="9"/>
      <c r="Z486" s="9"/>
    </row>
    <row r="487">
      <c r="B487" t="str">
        <f t="array" ref="B487">IFERROR(INDEX('Player Raw Data'!E:E,Match($A487,'Player Raw Data'!$B:$B,0)),"")</f>
        <v/>
      </c>
      <c r="C487" t="str">
        <f t="array" ref="C487">IFERROR(INDEX('Player Raw Data'!C:C,Match($A487,'Player Raw Data'!$B:$B,0)),"")</f>
        <v/>
      </c>
      <c r="D487" t="str">
        <f t="array" ref="D487">IFERROR(IF(A487=A486, INDEX('Player Raw Data'!D:D,Match($A487,'Player Raw Data'!$B:$B,0)+2),INDEX('Player Raw Data'!D:D,Match($A487,'Player Raw Data'!$B:$B,0))),"")</f>
        <v/>
      </c>
      <c r="E487" t="str">
        <f t="array" ref="E487">IFERROR(INDEX('Player Raw Data'!F:F,Match($A487,'Player Raw Data'!$B:$B,0)),"")</f>
        <v/>
      </c>
      <c r="F487" t="str">
        <f t="array" ref="F487">IFERROR(INDEX('Player Raw Data'!H:H,Match($A487,'Player Raw Data'!$B:$B,0)),"")</f>
        <v/>
      </c>
      <c r="G487" t="str">
        <f t="array" ref="G487">IFERROR(INDEX('Player Raw Data'!I:I,Match($A487,'Player Raw Data'!$B:$B,0)),"")</f>
        <v/>
      </c>
      <c r="H487" t="str">
        <f t="array" ref="H487">IFERROR(INDEX('Player Raw Data'!J:J,Match($A487,'Player Raw Data'!$B:$B,0)),"")</f>
        <v/>
      </c>
      <c r="I487" t="str">
        <f t="array" ref="I487">IFERROR(INDEX('Player Raw Data'!S:S,Match($A487,'Player Raw Data'!$B:$B,0)),"")</f>
        <v/>
      </c>
      <c r="J487" t="str">
        <f t="array" ref="J487">IFERROR(INDEX('Player Raw Data'!T:T,Match($A487,'Player Raw Data'!$B:$B,0)),"")</f>
        <v/>
      </c>
      <c r="K487" t="str">
        <f t="array" ref="K487">IFERROR(INDEX('Player Raw Data'!X:X,Match($A487,'Player Raw Data'!$B:$B,0)),"")</f>
        <v/>
      </c>
      <c r="L487" t="str">
        <f t="array" ref="L487">IFERROR(INDEX('Player Raw Data'!Y:Y,Match($A487,'Player Raw Data'!$B:$B,0)),"")</f>
        <v/>
      </c>
      <c r="M487" t="str">
        <f t="array" ref="M487">IFERROR(INDEX('Player Raw Data'!Z:Z,Match($A487,'Player Raw Data'!$B:$B,0)),"")</f>
        <v/>
      </c>
      <c r="N487" t="str">
        <f t="array" ref="N487">IFERROR(INDEX('Player Raw Data'!AA:AA,Match($A487,'Player Raw Data'!$B:$B,0)),"")</f>
        <v/>
      </c>
      <c r="O487" t="str">
        <f t="array" ref="O487">IFERROR(INDEX('Player Raw Data'!AB:AB,Match($A487,'Player Raw Data'!$B:$B,0)),"")</f>
        <v/>
      </c>
      <c r="P487" t="str">
        <f t="array" ref="P487">IFERROR(INDEX('Player Raw Data'!AD:AD,Match($A487,'Player Raw Data'!$B:$B,0)),"")</f>
        <v/>
      </c>
      <c r="Q487">
        <f t="shared" si="1"/>
        <v>0</v>
      </c>
      <c r="R487" s="9">
        <f t="shared" si="2"/>
        <v>0</v>
      </c>
      <c r="S487" s="14">
        <f t="shared" si="3"/>
        <v>0</v>
      </c>
      <c r="T487" s="15">
        <f>IFERROR(__xludf.DUMMYFUNCTION("IFERROR(PERCENTRANK.INC(FILTER(Q:Q,$F:$F&lt;&gt;""""),Q487)*100,"""")"),1.5)</f>
        <v>1.5</v>
      </c>
      <c r="U487" s="15">
        <f>IFERROR(__xludf.DUMMYFUNCTION("IFERROR(PERCENTRANK.INC(FILTER(R:R,$F:$F&lt;&gt;""""),R487)*100,"""")"),1.5)</f>
        <v>1.5</v>
      </c>
      <c r="V487" s="15">
        <f>IFERROR(__xludf.DUMMYFUNCTION("IFERROR(PERCENTRANK.INC(FILTER(S:S,$F:$F&lt;&gt;""""),S487)*100,"""")"),1.5)</f>
        <v>1.5</v>
      </c>
      <c r="W487" s="15" t="str">
        <f t="shared" si="4"/>
        <v/>
      </c>
      <c r="X487" s="16"/>
      <c r="Y487" s="9"/>
      <c r="Z487" s="9"/>
    </row>
    <row r="488">
      <c r="B488" t="str">
        <f t="array" ref="B488">IFERROR(INDEX('Player Raw Data'!E:E,Match($A488,'Player Raw Data'!$B:$B,0)),"")</f>
        <v/>
      </c>
      <c r="C488" t="str">
        <f t="array" ref="C488">IFERROR(INDEX('Player Raw Data'!C:C,Match($A488,'Player Raw Data'!$B:$B,0)),"")</f>
        <v/>
      </c>
      <c r="D488" t="str">
        <f t="array" ref="D488">IFERROR(IF(A488=A487, INDEX('Player Raw Data'!D:D,Match($A488,'Player Raw Data'!$B:$B,0)+2),INDEX('Player Raw Data'!D:D,Match($A488,'Player Raw Data'!$B:$B,0))),"")</f>
        <v/>
      </c>
      <c r="E488" t="str">
        <f t="array" ref="E488">IFERROR(INDEX('Player Raw Data'!F:F,Match($A488,'Player Raw Data'!$B:$B,0)),"")</f>
        <v/>
      </c>
      <c r="F488" t="str">
        <f t="array" ref="F488">IFERROR(INDEX('Player Raw Data'!H:H,Match($A488,'Player Raw Data'!$B:$B,0)),"")</f>
        <v/>
      </c>
      <c r="G488" t="str">
        <f t="array" ref="G488">IFERROR(INDEX('Player Raw Data'!I:I,Match($A488,'Player Raw Data'!$B:$B,0)),"")</f>
        <v/>
      </c>
      <c r="H488" t="str">
        <f t="array" ref="H488">IFERROR(INDEX('Player Raw Data'!J:J,Match($A488,'Player Raw Data'!$B:$B,0)),"")</f>
        <v/>
      </c>
      <c r="I488" t="str">
        <f t="array" ref="I488">IFERROR(INDEX('Player Raw Data'!S:S,Match($A488,'Player Raw Data'!$B:$B,0)),"")</f>
        <v/>
      </c>
      <c r="J488" t="str">
        <f t="array" ref="J488">IFERROR(INDEX('Player Raw Data'!T:T,Match($A488,'Player Raw Data'!$B:$B,0)),"")</f>
        <v/>
      </c>
      <c r="K488" t="str">
        <f t="array" ref="K488">IFERROR(INDEX('Player Raw Data'!X:X,Match($A488,'Player Raw Data'!$B:$B,0)),"")</f>
        <v/>
      </c>
      <c r="L488" t="str">
        <f t="array" ref="L488">IFERROR(INDEX('Player Raw Data'!Y:Y,Match($A488,'Player Raw Data'!$B:$B,0)),"")</f>
        <v/>
      </c>
      <c r="M488" t="str">
        <f t="array" ref="M488">IFERROR(INDEX('Player Raw Data'!Z:Z,Match($A488,'Player Raw Data'!$B:$B,0)),"")</f>
        <v/>
      </c>
      <c r="N488" t="str">
        <f t="array" ref="N488">IFERROR(INDEX('Player Raw Data'!AA:AA,Match($A488,'Player Raw Data'!$B:$B,0)),"")</f>
        <v/>
      </c>
      <c r="O488" t="str">
        <f t="array" ref="O488">IFERROR(INDEX('Player Raw Data'!AB:AB,Match($A488,'Player Raw Data'!$B:$B,0)),"")</f>
        <v/>
      </c>
      <c r="P488" t="str">
        <f t="array" ref="P488">IFERROR(INDEX('Player Raw Data'!AD:AD,Match($A488,'Player Raw Data'!$B:$B,0)),"")</f>
        <v/>
      </c>
      <c r="Q488">
        <f t="shared" si="1"/>
        <v>0</v>
      </c>
      <c r="R488" s="9">
        <f t="shared" si="2"/>
        <v>0</v>
      </c>
      <c r="S488" s="14">
        <f t="shared" si="3"/>
        <v>0</v>
      </c>
      <c r="T488" s="15">
        <f>IFERROR(__xludf.DUMMYFUNCTION("IFERROR(PERCENTRANK.INC(FILTER(Q:Q,$F:$F&lt;&gt;""""),Q488)*100,"""")"),1.5)</f>
        <v>1.5</v>
      </c>
      <c r="U488" s="15">
        <f>IFERROR(__xludf.DUMMYFUNCTION("IFERROR(PERCENTRANK.INC(FILTER(R:R,$F:$F&lt;&gt;""""),R488)*100,"""")"),1.5)</f>
        <v>1.5</v>
      </c>
      <c r="V488" s="15">
        <f>IFERROR(__xludf.DUMMYFUNCTION("IFERROR(PERCENTRANK.INC(FILTER(S:S,$F:$F&lt;&gt;""""),S488)*100,"""")"),1.5)</f>
        <v>1.5</v>
      </c>
      <c r="W488" s="15" t="str">
        <f t="shared" si="4"/>
        <v/>
      </c>
      <c r="X488" s="16"/>
      <c r="Y488" s="9"/>
      <c r="Z488" s="9"/>
    </row>
    <row r="489">
      <c r="B489" t="str">
        <f t="array" ref="B489">IFERROR(INDEX('Player Raw Data'!E:E,Match($A489,'Player Raw Data'!$B:$B,0)),"")</f>
        <v/>
      </c>
      <c r="C489" t="str">
        <f t="array" ref="C489">IFERROR(INDEX('Player Raw Data'!C:C,Match($A489,'Player Raw Data'!$B:$B,0)),"")</f>
        <v/>
      </c>
      <c r="D489" t="str">
        <f t="array" ref="D489">IFERROR(IF(A489=A488, INDEX('Player Raw Data'!D:D,Match($A489,'Player Raw Data'!$B:$B,0)+2),INDEX('Player Raw Data'!D:D,Match($A489,'Player Raw Data'!$B:$B,0))),"")</f>
        <v/>
      </c>
      <c r="E489" t="str">
        <f t="array" ref="E489">IFERROR(INDEX('Player Raw Data'!F:F,Match($A489,'Player Raw Data'!$B:$B,0)),"")</f>
        <v/>
      </c>
      <c r="F489" t="str">
        <f t="array" ref="F489">IFERROR(INDEX('Player Raw Data'!H:H,Match($A489,'Player Raw Data'!$B:$B,0)),"")</f>
        <v/>
      </c>
      <c r="G489" t="str">
        <f t="array" ref="G489">IFERROR(INDEX('Player Raw Data'!I:I,Match($A489,'Player Raw Data'!$B:$B,0)),"")</f>
        <v/>
      </c>
      <c r="H489" t="str">
        <f t="array" ref="H489">IFERROR(INDEX('Player Raw Data'!J:J,Match($A489,'Player Raw Data'!$B:$B,0)),"")</f>
        <v/>
      </c>
      <c r="I489" t="str">
        <f t="array" ref="I489">IFERROR(INDEX('Player Raw Data'!S:S,Match($A489,'Player Raw Data'!$B:$B,0)),"")</f>
        <v/>
      </c>
      <c r="J489" t="str">
        <f t="array" ref="J489">IFERROR(INDEX('Player Raw Data'!T:T,Match($A489,'Player Raw Data'!$B:$B,0)),"")</f>
        <v/>
      </c>
      <c r="K489" t="str">
        <f t="array" ref="K489">IFERROR(INDEX('Player Raw Data'!X:X,Match($A489,'Player Raw Data'!$B:$B,0)),"")</f>
        <v/>
      </c>
      <c r="L489" t="str">
        <f t="array" ref="L489">IFERROR(INDEX('Player Raw Data'!Y:Y,Match($A489,'Player Raw Data'!$B:$B,0)),"")</f>
        <v/>
      </c>
      <c r="M489" t="str">
        <f t="array" ref="M489">IFERROR(INDEX('Player Raw Data'!Z:Z,Match($A489,'Player Raw Data'!$B:$B,0)),"")</f>
        <v/>
      </c>
      <c r="N489" t="str">
        <f t="array" ref="N489">IFERROR(INDEX('Player Raw Data'!AA:AA,Match($A489,'Player Raw Data'!$B:$B,0)),"")</f>
        <v/>
      </c>
      <c r="O489" t="str">
        <f t="array" ref="O489">IFERROR(INDEX('Player Raw Data'!AB:AB,Match($A489,'Player Raw Data'!$B:$B,0)),"")</f>
        <v/>
      </c>
      <c r="P489" t="str">
        <f t="array" ref="P489">IFERROR(INDEX('Player Raw Data'!AD:AD,Match($A489,'Player Raw Data'!$B:$B,0)),"")</f>
        <v/>
      </c>
      <c r="Q489">
        <f t="shared" si="1"/>
        <v>0</v>
      </c>
      <c r="R489" s="9">
        <f t="shared" si="2"/>
        <v>0</v>
      </c>
      <c r="S489" s="14">
        <f t="shared" si="3"/>
        <v>0</v>
      </c>
      <c r="T489" s="15">
        <f>IFERROR(__xludf.DUMMYFUNCTION("IFERROR(PERCENTRANK.INC(FILTER(Q:Q,$F:$F&lt;&gt;""""),Q489)*100,"""")"),1.5)</f>
        <v>1.5</v>
      </c>
      <c r="U489" s="15">
        <f>IFERROR(__xludf.DUMMYFUNCTION("IFERROR(PERCENTRANK.INC(FILTER(R:R,$F:$F&lt;&gt;""""),R489)*100,"""")"),1.5)</f>
        <v>1.5</v>
      </c>
      <c r="V489" s="15">
        <f>IFERROR(__xludf.DUMMYFUNCTION("IFERROR(PERCENTRANK.INC(FILTER(S:S,$F:$F&lt;&gt;""""),S489)*100,"""")"),1.5)</f>
        <v>1.5</v>
      </c>
      <c r="W489" s="15" t="str">
        <f t="shared" si="4"/>
        <v/>
      </c>
      <c r="X489" s="16"/>
      <c r="Y489" s="9"/>
      <c r="Z489" s="9"/>
    </row>
    <row r="490">
      <c r="B490" t="str">
        <f t="array" ref="B490">IFERROR(INDEX('Player Raw Data'!E:E,Match($A490,'Player Raw Data'!$B:$B,0)),"")</f>
        <v/>
      </c>
      <c r="C490" t="str">
        <f t="array" ref="C490">IFERROR(INDEX('Player Raw Data'!C:C,Match($A490,'Player Raw Data'!$B:$B,0)),"")</f>
        <v/>
      </c>
      <c r="D490" t="str">
        <f t="array" ref="D490">IFERROR(IF(A490=A489, INDEX('Player Raw Data'!D:D,Match($A490,'Player Raw Data'!$B:$B,0)+2),INDEX('Player Raw Data'!D:D,Match($A490,'Player Raw Data'!$B:$B,0))),"")</f>
        <v/>
      </c>
      <c r="E490" t="str">
        <f t="array" ref="E490">IFERROR(INDEX('Player Raw Data'!F:F,Match($A490,'Player Raw Data'!$B:$B,0)),"")</f>
        <v/>
      </c>
      <c r="F490" t="str">
        <f t="array" ref="F490">IFERROR(INDEX('Player Raw Data'!H:H,Match($A490,'Player Raw Data'!$B:$B,0)),"")</f>
        <v/>
      </c>
      <c r="G490" t="str">
        <f t="array" ref="G490">IFERROR(INDEX('Player Raw Data'!I:I,Match($A490,'Player Raw Data'!$B:$B,0)),"")</f>
        <v/>
      </c>
      <c r="H490" t="str">
        <f t="array" ref="H490">IFERROR(INDEX('Player Raw Data'!J:J,Match($A490,'Player Raw Data'!$B:$B,0)),"")</f>
        <v/>
      </c>
      <c r="I490" t="str">
        <f t="array" ref="I490">IFERROR(INDEX('Player Raw Data'!S:S,Match($A490,'Player Raw Data'!$B:$B,0)),"")</f>
        <v/>
      </c>
      <c r="J490" t="str">
        <f t="array" ref="J490">IFERROR(INDEX('Player Raw Data'!T:T,Match($A490,'Player Raw Data'!$B:$B,0)),"")</f>
        <v/>
      </c>
      <c r="K490" t="str">
        <f t="array" ref="K490">IFERROR(INDEX('Player Raw Data'!X:X,Match($A490,'Player Raw Data'!$B:$B,0)),"")</f>
        <v/>
      </c>
      <c r="L490" t="str">
        <f t="array" ref="L490">IFERROR(INDEX('Player Raw Data'!Y:Y,Match($A490,'Player Raw Data'!$B:$B,0)),"")</f>
        <v/>
      </c>
      <c r="M490" t="str">
        <f t="array" ref="M490">IFERROR(INDEX('Player Raw Data'!Z:Z,Match($A490,'Player Raw Data'!$B:$B,0)),"")</f>
        <v/>
      </c>
      <c r="N490" t="str">
        <f t="array" ref="N490">IFERROR(INDEX('Player Raw Data'!AA:AA,Match($A490,'Player Raw Data'!$B:$B,0)),"")</f>
        <v/>
      </c>
      <c r="O490" t="str">
        <f t="array" ref="O490">IFERROR(INDEX('Player Raw Data'!AB:AB,Match($A490,'Player Raw Data'!$B:$B,0)),"")</f>
        <v/>
      </c>
      <c r="P490" t="str">
        <f t="array" ref="P490">IFERROR(INDEX('Player Raw Data'!AD:AD,Match($A490,'Player Raw Data'!$B:$B,0)),"")</f>
        <v/>
      </c>
      <c r="Q490">
        <f t="shared" si="1"/>
        <v>0</v>
      </c>
      <c r="R490" s="9">
        <f t="shared" si="2"/>
        <v>0</v>
      </c>
      <c r="S490" s="14">
        <f t="shared" si="3"/>
        <v>0</v>
      </c>
      <c r="T490" s="15">
        <f>IFERROR(__xludf.DUMMYFUNCTION("IFERROR(PERCENTRANK.INC(FILTER(Q:Q,$F:$F&lt;&gt;""""),Q490)*100,"""")"),1.5)</f>
        <v>1.5</v>
      </c>
      <c r="U490" s="15">
        <f>IFERROR(__xludf.DUMMYFUNCTION("IFERROR(PERCENTRANK.INC(FILTER(R:R,$F:$F&lt;&gt;""""),R490)*100,"""")"),1.5)</f>
        <v>1.5</v>
      </c>
      <c r="V490" s="15">
        <f>IFERROR(__xludf.DUMMYFUNCTION("IFERROR(PERCENTRANK.INC(FILTER(S:S,$F:$F&lt;&gt;""""),S490)*100,"""")"),1.5)</f>
        <v>1.5</v>
      </c>
      <c r="W490" s="15" t="str">
        <f t="shared" si="4"/>
        <v/>
      </c>
      <c r="X490" s="16"/>
      <c r="Y490" s="9"/>
      <c r="Z490" s="9"/>
    </row>
    <row r="491">
      <c r="B491" t="str">
        <f t="array" ref="B491">IFERROR(INDEX('Player Raw Data'!E:E,Match($A491,'Player Raw Data'!$B:$B,0)),"")</f>
        <v/>
      </c>
      <c r="C491" t="str">
        <f t="array" ref="C491">IFERROR(INDEX('Player Raw Data'!C:C,Match($A491,'Player Raw Data'!$B:$B,0)),"")</f>
        <v/>
      </c>
      <c r="D491" t="str">
        <f t="array" ref="D491">IFERROR(IF(A491=A490, INDEX('Player Raw Data'!D:D,Match($A491,'Player Raw Data'!$B:$B,0)+2),INDEX('Player Raw Data'!D:D,Match($A491,'Player Raw Data'!$B:$B,0))),"")</f>
        <v/>
      </c>
      <c r="E491" t="str">
        <f t="array" ref="E491">IFERROR(INDEX('Player Raw Data'!F:F,Match($A491,'Player Raw Data'!$B:$B,0)),"")</f>
        <v/>
      </c>
      <c r="F491" t="str">
        <f t="array" ref="F491">IFERROR(INDEX('Player Raw Data'!H:H,Match($A491,'Player Raw Data'!$B:$B,0)),"")</f>
        <v/>
      </c>
      <c r="G491" t="str">
        <f t="array" ref="G491">IFERROR(INDEX('Player Raw Data'!I:I,Match($A491,'Player Raw Data'!$B:$B,0)),"")</f>
        <v/>
      </c>
      <c r="H491" t="str">
        <f t="array" ref="H491">IFERROR(INDEX('Player Raw Data'!J:J,Match($A491,'Player Raw Data'!$B:$B,0)),"")</f>
        <v/>
      </c>
      <c r="I491" t="str">
        <f t="array" ref="I491">IFERROR(INDEX('Player Raw Data'!S:S,Match($A491,'Player Raw Data'!$B:$B,0)),"")</f>
        <v/>
      </c>
      <c r="J491" t="str">
        <f t="array" ref="J491">IFERROR(INDEX('Player Raw Data'!T:T,Match($A491,'Player Raw Data'!$B:$B,0)),"")</f>
        <v/>
      </c>
      <c r="K491" t="str">
        <f t="array" ref="K491">IFERROR(INDEX('Player Raw Data'!X:X,Match($A491,'Player Raw Data'!$B:$B,0)),"")</f>
        <v/>
      </c>
      <c r="L491" t="str">
        <f t="array" ref="L491">IFERROR(INDEX('Player Raw Data'!Y:Y,Match($A491,'Player Raw Data'!$B:$B,0)),"")</f>
        <v/>
      </c>
      <c r="M491" t="str">
        <f t="array" ref="M491">IFERROR(INDEX('Player Raw Data'!Z:Z,Match($A491,'Player Raw Data'!$B:$B,0)),"")</f>
        <v/>
      </c>
      <c r="N491" t="str">
        <f t="array" ref="N491">IFERROR(INDEX('Player Raw Data'!AA:AA,Match($A491,'Player Raw Data'!$B:$B,0)),"")</f>
        <v/>
      </c>
      <c r="O491" t="str">
        <f t="array" ref="O491">IFERROR(INDEX('Player Raw Data'!AB:AB,Match($A491,'Player Raw Data'!$B:$B,0)),"")</f>
        <v/>
      </c>
      <c r="P491" t="str">
        <f t="array" ref="P491">IFERROR(INDEX('Player Raw Data'!AD:AD,Match($A491,'Player Raw Data'!$B:$B,0)),"")</f>
        <v/>
      </c>
      <c r="Q491">
        <f t="shared" si="1"/>
        <v>0</v>
      </c>
      <c r="R491" s="9">
        <f t="shared" si="2"/>
        <v>0</v>
      </c>
      <c r="S491" s="14">
        <f t="shared" si="3"/>
        <v>0</v>
      </c>
      <c r="T491" s="15">
        <f>IFERROR(__xludf.DUMMYFUNCTION("IFERROR(PERCENTRANK.INC(FILTER(Q:Q,$F:$F&lt;&gt;""""),Q491)*100,"""")"),1.5)</f>
        <v>1.5</v>
      </c>
      <c r="U491" s="15">
        <f>IFERROR(__xludf.DUMMYFUNCTION("IFERROR(PERCENTRANK.INC(FILTER(R:R,$F:$F&lt;&gt;""""),R491)*100,"""")"),1.5)</f>
        <v>1.5</v>
      </c>
      <c r="V491" s="15">
        <f>IFERROR(__xludf.DUMMYFUNCTION("IFERROR(PERCENTRANK.INC(FILTER(S:S,$F:$F&lt;&gt;""""),S491)*100,"""")"),1.5)</f>
        <v>1.5</v>
      </c>
      <c r="W491" s="15" t="str">
        <f t="shared" si="4"/>
        <v/>
      </c>
      <c r="X491" s="16"/>
      <c r="Y491" s="9"/>
      <c r="Z491" s="9"/>
    </row>
    <row r="492">
      <c r="B492" t="str">
        <f t="array" ref="B492">IFERROR(INDEX('Player Raw Data'!E:E,Match($A492,'Player Raw Data'!$B:$B,0)),"")</f>
        <v/>
      </c>
      <c r="C492" t="str">
        <f t="array" ref="C492">IFERROR(INDEX('Player Raw Data'!C:C,Match($A492,'Player Raw Data'!$B:$B,0)),"")</f>
        <v/>
      </c>
      <c r="D492" t="str">
        <f t="array" ref="D492">IFERROR(IF(A492=A491, INDEX('Player Raw Data'!D:D,Match($A492,'Player Raw Data'!$B:$B,0)+2),INDEX('Player Raw Data'!D:D,Match($A492,'Player Raw Data'!$B:$B,0))),"")</f>
        <v/>
      </c>
      <c r="E492" t="str">
        <f t="array" ref="E492">IFERROR(INDEX('Player Raw Data'!F:F,Match($A492,'Player Raw Data'!$B:$B,0)),"")</f>
        <v/>
      </c>
      <c r="F492" t="str">
        <f t="array" ref="F492">IFERROR(INDEX('Player Raw Data'!H:H,Match($A492,'Player Raw Data'!$B:$B,0)),"")</f>
        <v/>
      </c>
      <c r="G492" t="str">
        <f t="array" ref="G492">IFERROR(INDEX('Player Raw Data'!I:I,Match($A492,'Player Raw Data'!$B:$B,0)),"")</f>
        <v/>
      </c>
      <c r="H492" t="str">
        <f t="array" ref="H492">IFERROR(INDEX('Player Raw Data'!J:J,Match($A492,'Player Raw Data'!$B:$B,0)),"")</f>
        <v/>
      </c>
      <c r="I492" t="str">
        <f t="array" ref="I492">IFERROR(INDEX('Player Raw Data'!S:S,Match($A492,'Player Raw Data'!$B:$B,0)),"")</f>
        <v/>
      </c>
      <c r="J492" t="str">
        <f t="array" ref="J492">IFERROR(INDEX('Player Raw Data'!T:T,Match($A492,'Player Raw Data'!$B:$B,0)),"")</f>
        <v/>
      </c>
      <c r="K492" t="str">
        <f t="array" ref="K492">IFERROR(INDEX('Player Raw Data'!X:X,Match($A492,'Player Raw Data'!$B:$B,0)),"")</f>
        <v/>
      </c>
      <c r="L492" t="str">
        <f t="array" ref="L492">IFERROR(INDEX('Player Raw Data'!Y:Y,Match($A492,'Player Raw Data'!$B:$B,0)),"")</f>
        <v/>
      </c>
      <c r="M492" t="str">
        <f t="array" ref="M492">IFERROR(INDEX('Player Raw Data'!Z:Z,Match($A492,'Player Raw Data'!$B:$B,0)),"")</f>
        <v/>
      </c>
      <c r="N492" t="str">
        <f t="array" ref="N492">IFERROR(INDEX('Player Raw Data'!AA:AA,Match($A492,'Player Raw Data'!$B:$B,0)),"")</f>
        <v/>
      </c>
      <c r="O492" t="str">
        <f t="array" ref="O492">IFERROR(INDEX('Player Raw Data'!AB:AB,Match($A492,'Player Raw Data'!$B:$B,0)),"")</f>
        <v/>
      </c>
      <c r="P492" t="str">
        <f t="array" ref="P492">IFERROR(INDEX('Player Raw Data'!AD:AD,Match($A492,'Player Raw Data'!$B:$B,0)),"")</f>
        <v/>
      </c>
      <c r="Q492">
        <f t="shared" si="1"/>
        <v>0</v>
      </c>
      <c r="R492" s="9">
        <f t="shared" si="2"/>
        <v>0</v>
      </c>
      <c r="S492" s="14">
        <f t="shared" si="3"/>
        <v>0</v>
      </c>
      <c r="T492" s="15">
        <f>IFERROR(__xludf.DUMMYFUNCTION("IFERROR(PERCENTRANK.INC(FILTER(Q:Q,$F:$F&lt;&gt;""""),Q492)*100,"""")"),1.5)</f>
        <v>1.5</v>
      </c>
      <c r="U492" s="15">
        <f>IFERROR(__xludf.DUMMYFUNCTION("IFERROR(PERCENTRANK.INC(FILTER(R:R,$F:$F&lt;&gt;""""),R492)*100,"""")"),1.5)</f>
        <v>1.5</v>
      </c>
      <c r="V492" s="15">
        <f>IFERROR(__xludf.DUMMYFUNCTION("IFERROR(PERCENTRANK.INC(FILTER(S:S,$F:$F&lt;&gt;""""),S492)*100,"""")"),1.5)</f>
        <v>1.5</v>
      </c>
      <c r="W492" s="15" t="str">
        <f t="shared" si="4"/>
        <v/>
      </c>
      <c r="X492" s="16"/>
      <c r="Y492" s="9"/>
      <c r="Z492" s="9"/>
    </row>
    <row r="493">
      <c r="B493" t="str">
        <f t="array" ref="B493">IFERROR(INDEX('Player Raw Data'!E:E,Match($A493,'Player Raw Data'!$B:$B,0)),"")</f>
        <v/>
      </c>
      <c r="C493" t="str">
        <f t="array" ref="C493">IFERROR(INDEX('Player Raw Data'!C:C,Match($A493,'Player Raw Data'!$B:$B,0)),"")</f>
        <v/>
      </c>
      <c r="D493" t="str">
        <f t="array" ref="D493">IFERROR(IF(A493=A492, INDEX('Player Raw Data'!D:D,Match($A493,'Player Raw Data'!$B:$B,0)+2),INDEX('Player Raw Data'!D:D,Match($A493,'Player Raw Data'!$B:$B,0))),"")</f>
        <v/>
      </c>
      <c r="E493" t="str">
        <f t="array" ref="E493">IFERROR(INDEX('Player Raw Data'!F:F,Match($A493,'Player Raw Data'!$B:$B,0)),"")</f>
        <v/>
      </c>
      <c r="F493" t="str">
        <f t="array" ref="F493">IFERROR(INDEX('Player Raw Data'!H:H,Match($A493,'Player Raw Data'!$B:$B,0)),"")</f>
        <v/>
      </c>
      <c r="G493" t="str">
        <f t="array" ref="G493">IFERROR(INDEX('Player Raw Data'!I:I,Match($A493,'Player Raw Data'!$B:$B,0)),"")</f>
        <v/>
      </c>
      <c r="H493" t="str">
        <f t="array" ref="H493">IFERROR(INDEX('Player Raw Data'!J:J,Match($A493,'Player Raw Data'!$B:$B,0)),"")</f>
        <v/>
      </c>
      <c r="I493" t="str">
        <f t="array" ref="I493">IFERROR(INDEX('Player Raw Data'!S:S,Match($A493,'Player Raw Data'!$B:$B,0)),"")</f>
        <v/>
      </c>
      <c r="J493" t="str">
        <f t="array" ref="J493">IFERROR(INDEX('Player Raw Data'!T:T,Match($A493,'Player Raw Data'!$B:$B,0)),"")</f>
        <v/>
      </c>
      <c r="K493" t="str">
        <f t="array" ref="K493">IFERROR(INDEX('Player Raw Data'!X:X,Match($A493,'Player Raw Data'!$B:$B,0)),"")</f>
        <v/>
      </c>
      <c r="L493" t="str">
        <f t="array" ref="L493">IFERROR(INDEX('Player Raw Data'!Y:Y,Match($A493,'Player Raw Data'!$B:$B,0)),"")</f>
        <v/>
      </c>
      <c r="M493" t="str">
        <f t="array" ref="M493">IFERROR(INDEX('Player Raw Data'!Z:Z,Match($A493,'Player Raw Data'!$B:$B,0)),"")</f>
        <v/>
      </c>
      <c r="N493" t="str">
        <f t="array" ref="N493">IFERROR(INDEX('Player Raw Data'!AA:AA,Match($A493,'Player Raw Data'!$B:$B,0)),"")</f>
        <v/>
      </c>
      <c r="O493" t="str">
        <f t="array" ref="O493">IFERROR(INDEX('Player Raw Data'!AB:AB,Match($A493,'Player Raw Data'!$B:$B,0)),"")</f>
        <v/>
      </c>
      <c r="P493" t="str">
        <f t="array" ref="P493">IFERROR(INDEX('Player Raw Data'!AD:AD,Match($A493,'Player Raw Data'!$B:$B,0)),"")</f>
        <v/>
      </c>
      <c r="Q493">
        <f t="shared" si="1"/>
        <v>0</v>
      </c>
      <c r="R493" s="9">
        <f t="shared" si="2"/>
        <v>0</v>
      </c>
      <c r="S493" s="14">
        <f t="shared" si="3"/>
        <v>0</v>
      </c>
      <c r="T493" s="15">
        <f>IFERROR(__xludf.DUMMYFUNCTION("IFERROR(PERCENTRANK.INC(FILTER(Q:Q,$F:$F&lt;&gt;""""),Q493)*100,"""")"),1.5)</f>
        <v>1.5</v>
      </c>
      <c r="U493" s="15">
        <f>IFERROR(__xludf.DUMMYFUNCTION("IFERROR(PERCENTRANK.INC(FILTER(R:R,$F:$F&lt;&gt;""""),R493)*100,"""")"),1.5)</f>
        <v>1.5</v>
      </c>
      <c r="V493" s="15">
        <f>IFERROR(__xludf.DUMMYFUNCTION("IFERROR(PERCENTRANK.INC(FILTER(S:S,$F:$F&lt;&gt;""""),S493)*100,"""")"),1.5)</f>
        <v>1.5</v>
      </c>
      <c r="W493" s="15" t="str">
        <f t="shared" si="4"/>
        <v/>
      </c>
      <c r="X493" s="16"/>
      <c r="Y493" s="9"/>
      <c r="Z493" s="9"/>
    </row>
    <row r="494">
      <c r="B494" t="str">
        <f t="array" ref="B494">IFERROR(INDEX('Player Raw Data'!E:E,Match($A494,'Player Raw Data'!$B:$B,0)),"")</f>
        <v/>
      </c>
      <c r="C494" t="str">
        <f t="array" ref="C494">IFERROR(INDEX('Player Raw Data'!C:C,Match($A494,'Player Raw Data'!$B:$B,0)),"")</f>
        <v/>
      </c>
      <c r="D494" t="str">
        <f t="array" ref="D494">IFERROR(IF(A494=A493, INDEX('Player Raw Data'!D:D,Match($A494,'Player Raw Data'!$B:$B,0)+2),INDEX('Player Raw Data'!D:D,Match($A494,'Player Raw Data'!$B:$B,0))),"")</f>
        <v/>
      </c>
      <c r="E494" t="str">
        <f t="array" ref="E494">IFERROR(INDEX('Player Raw Data'!F:F,Match($A494,'Player Raw Data'!$B:$B,0)),"")</f>
        <v/>
      </c>
      <c r="F494" t="str">
        <f t="array" ref="F494">IFERROR(INDEX('Player Raw Data'!H:H,Match($A494,'Player Raw Data'!$B:$B,0)),"")</f>
        <v/>
      </c>
      <c r="G494" t="str">
        <f t="array" ref="G494">IFERROR(INDEX('Player Raw Data'!I:I,Match($A494,'Player Raw Data'!$B:$B,0)),"")</f>
        <v/>
      </c>
      <c r="H494" t="str">
        <f t="array" ref="H494">IFERROR(INDEX('Player Raw Data'!J:J,Match($A494,'Player Raw Data'!$B:$B,0)),"")</f>
        <v/>
      </c>
      <c r="I494" t="str">
        <f t="array" ref="I494">IFERROR(INDEX('Player Raw Data'!S:S,Match($A494,'Player Raw Data'!$B:$B,0)),"")</f>
        <v/>
      </c>
      <c r="J494" t="str">
        <f t="array" ref="J494">IFERROR(INDEX('Player Raw Data'!T:T,Match($A494,'Player Raw Data'!$B:$B,0)),"")</f>
        <v/>
      </c>
      <c r="K494" t="str">
        <f t="array" ref="K494">IFERROR(INDEX('Player Raw Data'!X:X,Match($A494,'Player Raw Data'!$B:$B,0)),"")</f>
        <v/>
      </c>
      <c r="L494" t="str">
        <f t="array" ref="L494">IFERROR(INDEX('Player Raw Data'!Y:Y,Match($A494,'Player Raw Data'!$B:$B,0)),"")</f>
        <v/>
      </c>
      <c r="M494" t="str">
        <f t="array" ref="M494">IFERROR(INDEX('Player Raw Data'!Z:Z,Match($A494,'Player Raw Data'!$B:$B,0)),"")</f>
        <v/>
      </c>
      <c r="N494" t="str">
        <f t="array" ref="N494">IFERROR(INDEX('Player Raw Data'!AA:AA,Match($A494,'Player Raw Data'!$B:$B,0)),"")</f>
        <v/>
      </c>
      <c r="O494" t="str">
        <f t="array" ref="O494">IFERROR(INDEX('Player Raw Data'!AB:AB,Match($A494,'Player Raw Data'!$B:$B,0)),"")</f>
        <v/>
      </c>
      <c r="P494" t="str">
        <f t="array" ref="P494">IFERROR(INDEX('Player Raw Data'!AD:AD,Match($A494,'Player Raw Data'!$B:$B,0)),"")</f>
        <v/>
      </c>
      <c r="Q494">
        <f t="shared" si="1"/>
        <v>0</v>
      </c>
      <c r="R494" s="9">
        <f t="shared" si="2"/>
        <v>0</v>
      </c>
      <c r="S494" s="14">
        <f t="shared" si="3"/>
        <v>0</v>
      </c>
      <c r="T494" s="15">
        <f>IFERROR(__xludf.DUMMYFUNCTION("IFERROR(PERCENTRANK.INC(FILTER(Q:Q,$F:$F&lt;&gt;""""),Q494)*100,"""")"),1.5)</f>
        <v>1.5</v>
      </c>
      <c r="U494" s="15">
        <f>IFERROR(__xludf.DUMMYFUNCTION("IFERROR(PERCENTRANK.INC(FILTER(R:R,$F:$F&lt;&gt;""""),R494)*100,"""")"),1.5)</f>
        <v>1.5</v>
      </c>
      <c r="V494" s="15">
        <f>IFERROR(__xludf.DUMMYFUNCTION("IFERROR(PERCENTRANK.INC(FILTER(S:S,$F:$F&lt;&gt;""""),S494)*100,"""")"),1.5)</f>
        <v>1.5</v>
      </c>
      <c r="W494" s="15" t="str">
        <f t="shared" si="4"/>
        <v/>
      </c>
      <c r="X494" s="16"/>
      <c r="Y494" s="9"/>
      <c r="Z494" s="9"/>
    </row>
    <row r="495">
      <c r="B495" t="str">
        <f t="array" ref="B495">IFERROR(INDEX('Player Raw Data'!E:E,Match($A495,'Player Raw Data'!$B:$B,0)),"")</f>
        <v/>
      </c>
      <c r="C495" t="str">
        <f t="array" ref="C495">IFERROR(INDEX('Player Raw Data'!C:C,Match($A495,'Player Raw Data'!$B:$B,0)),"")</f>
        <v/>
      </c>
      <c r="D495" t="str">
        <f t="array" ref="D495">IFERROR(IF(A495=A494, INDEX('Player Raw Data'!D:D,Match($A495,'Player Raw Data'!$B:$B,0)+2),INDEX('Player Raw Data'!D:D,Match($A495,'Player Raw Data'!$B:$B,0))),"")</f>
        <v/>
      </c>
      <c r="E495" t="str">
        <f t="array" ref="E495">IFERROR(INDEX('Player Raw Data'!F:F,Match($A495,'Player Raw Data'!$B:$B,0)),"")</f>
        <v/>
      </c>
      <c r="F495" t="str">
        <f t="array" ref="F495">IFERROR(INDEX('Player Raw Data'!H:H,Match($A495,'Player Raw Data'!$B:$B,0)),"")</f>
        <v/>
      </c>
      <c r="G495" t="str">
        <f t="array" ref="G495">IFERROR(INDEX('Player Raw Data'!I:I,Match($A495,'Player Raw Data'!$B:$B,0)),"")</f>
        <v/>
      </c>
      <c r="H495" t="str">
        <f t="array" ref="H495">IFERROR(INDEX('Player Raw Data'!J:J,Match($A495,'Player Raw Data'!$B:$B,0)),"")</f>
        <v/>
      </c>
      <c r="I495" t="str">
        <f t="array" ref="I495">IFERROR(INDEX('Player Raw Data'!S:S,Match($A495,'Player Raw Data'!$B:$B,0)),"")</f>
        <v/>
      </c>
      <c r="J495" t="str">
        <f t="array" ref="J495">IFERROR(INDEX('Player Raw Data'!T:T,Match($A495,'Player Raw Data'!$B:$B,0)),"")</f>
        <v/>
      </c>
      <c r="K495" t="str">
        <f t="array" ref="K495">IFERROR(INDEX('Player Raw Data'!X:X,Match($A495,'Player Raw Data'!$B:$B,0)),"")</f>
        <v/>
      </c>
      <c r="L495" t="str">
        <f t="array" ref="L495">IFERROR(INDEX('Player Raw Data'!Y:Y,Match($A495,'Player Raw Data'!$B:$B,0)),"")</f>
        <v/>
      </c>
      <c r="M495" t="str">
        <f t="array" ref="M495">IFERROR(INDEX('Player Raw Data'!Z:Z,Match($A495,'Player Raw Data'!$B:$B,0)),"")</f>
        <v/>
      </c>
      <c r="N495" t="str">
        <f t="array" ref="N495">IFERROR(INDEX('Player Raw Data'!AA:AA,Match($A495,'Player Raw Data'!$B:$B,0)),"")</f>
        <v/>
      </c>
      <c r="O495" t="str">
        <f t="array" ref="O495">IFERROR(INDEX('Player Raw Data'!AB:AB,Match($A495,'Player Raw Data'!$B:$B,0)),"")</f>
        <v/>
      </c>
      <c r="P495" t="str">
        <f t="array" ref="P495">IFERROR(INDEX('Player Raw Data'!AD:AD,Match($A495,'Player Raw Data'!$B:$B,0)),"")</f>
        <v/>
      </c>
      <c r="Q495">
        <f t="shared" si="1"/>
        <v>0</v>
      </c>
      <c r="R495" s="9">
        <f t="shared" si="2"/>
        <v>0</v>
      </c>
      <c r="S495" s="14">
        <f t="shared" si="3"/>
        <v>0</v>
      </c>
      <c r="T495" s="15">
        <f>IFERROR(__xludf.DUMMYFUNCTION("IFERROR(PERCENTRANK.INC(FILTER(Q:Q,$F:$F&lt;&gt;""""),Q495)*100,"""")"),1.5)</f>
        <v>1.5</v>
      </c>
      <c r="U495" s="15">
        <f>IFERROR(__xludf.DUMMYFUNCTION("IFERROR(PERCENTRANK.INC(FILTER(R:R,$F:$F&lt;&gt;""""),R495)*100,"""")"),1.5)</f>
        <v>1.5</v>
      </c>
      <c r="V495" s="15">
        <f>IFERROR(__xludf.DUMMYFUNCTION("IFERROR(PERCENTRANK.INC(FILTER(S:S,$F:$F&lt;&gt;""""),S495)*100,"""")"),1.5)</f>
        <v>1.5</v>
      </c>
      <c r="W495" s="15" t="str">
        <f t="shared" si="4"/>
        <v/>
      </c>
      <c r="X495" s="16"/>
      <c r="Y495" s="9"/>
      <c r="Z495" s="9"/>
    </row>
    <row r="496">
      <c r="B496" t="str">
        <f t="array" ref="B496">IFERROR(INDEX('Player Raw Data'!E:E,Match($A496,'Player Raw Data'!$B:$B,0)),"")</f>
        <v/>
      </c>
      <c r="C496" t="str">
        <f t="array" ref="C496">IFERROR(INDEX('Player Raw Data'!C:C,Match($A496,'Player Raw Data'!$B:$B,0)),"")</f>
        <v/>
      </c>
      <c r="D496" t="str">
        <f t="array" ref="D496">IFERROR(IF(A496=A495, INDEX('Player Raw Data'!D:D,Match($A496,'Player Raw Data'!$B:$B,0)+2),INDEX('Player Raw Data'!D:D,Match($A496,'Player Raw Data'!$B:$B,0))),"")</f>
        <v/>
      </c>
      <c r="E496" t="str">
        <f t="array" ref="E496">IFERROR(INDEX('Player Raw Data'!F:F,Match($A496,'Player Raw Data'!$B:$B,0)),"")</f>
        <v/>
      </c>
      <c r="F496" t="str">
        <f t="array" ref="F496">IFERROR(INDEX('Player Raw Data'!H:H,Match($A496,'Player Raw Data'!$B:$B,0)),"")</f>
        <v/>
      </c>
      <c r="G496" t="str">
        <f t="array" ref="G496">IFERROR(INDEX('Player Raw Data'!I:I,Match($A496,'Player Raw Data'!$B:$B,0)),"")</f>
        <v/>
      </c>
      <c r="H496" t="str">
        <f t="array" ref="H496">IFERROR(INDEX('Player Raw Data'!J:J,Match($A496,'Player Raw Data'!$B:$B,0)),"")</f>
        <v/>
      </c>
      <c r="I496" t="str">
        <f t="array" ref="I496">IFERROR(INDEX('Player Raw Data'!S:S,Match($A496,'Player Raw Data'!$B:$B,0)),"")</f>
        <v/>
      </c>
      <c r="J496" t="str">
        <f t="array" ref="J496">IFERROR(INDEX('Player Raw Data'!T:T,Match($A496,'Player Raw Data'!$B:$B,0)),"")</f>
        <v/>
      </c>
      <c r="K496" t="str">
        <f t="array" ref="K496">IFERROR(INDEX('Player Raw Data'!X:X,Match($A496,'Player Raw Data'!$B:$B,0)),"")</f>
        <v/>
      </c>
      <c r="L496" t="str">
        <f t="array" ref="L496">IFERROR(INDEX('Player Raw Data'!Y:Y,Match($A496,'Player Raw Data'!$B:$B,0)),"")</f>
        <v/>
      </c>
      <c r="M496" t="str">
        <f t="array" ref="M496">IFERROR(INDEX('Player Raw Data'!Z:Z,Match($A496,'Player Raw Data'!$B:$B,0)),"")</f>
        <v/>
      </c>
      <c r="N496" t="str">
        <f t="array" ref="N496">IFERROR(INDEX('Player Raw Data'!AA:AA,Match($A496,'Player Raw Data'!$B:$B,0)),"")</f>
        <v/>
      </c>
      <c r="O496" t="str">
        <f t="array" ref="O496">IFERROR(INDEX('Player Raw Data'!AB:AB,Match($A496,'Player Raw Data'!$B:$B,0)),"")</f>
        <v/>
      </c>
      <c r="P496" t="str">
        <f t="array" ref="P496">IFERROR(INDEX('Player Raw Data'!AD:AD,Match($A496,'Player Raw Data'!$B:$B,0)),"")</f>
        <v/>
      </c>
      <c r="Q496">
        <f t="shared" si="1"/>
        <v>0</v>
      </c>
      <c r="R496" s="9">
        <f t="shared" si="2"/>
        <v>0</v>
      </c>
      <c r="S496" s="14">
        <f t="shared" si="3"/>
        <v>0</v>
      </c>
      <c r="T496" s="15">
        <f>IFERROR(__xludf.DUMMYFUNCTION("IFERROR(PERCENTRANK.INC(FILTER(Q:Q,$F:$F&lt;&gt;""""),Q496)*100,"""")"),1.5)</f>
        <v>1.5</v>
      </c>
      <c r="U496" s="15">
        <f>IFERROR(__xludf.DUMMYFUNCTION("IFERROR(PERCENTRANK.INC(FILTER(R:R,$F:$F&lt;&gt;""""),R496)*100,"""")"),1.5)</f>
        <v>1.5</v>
      </c>
      <c r="V496" s="15">
        <f>IFERROR(__xludf.DUMMYFUNCTION("IFERROR(PERCENTRANK.INC(FILTER(S:S,$F:$F&lt;&gt;""""),S496)*100,"""")"),1.5)</f>
        <v>1.5</v>
      </c>
      <c r="W496" s="15" t="str">
        <f t="shared" si="4"/>
        <v/>
      </c>
      <c r="X496" s="16"/>
      <c r="Y496" s="9"/>
      <c r="Z496" s="9"/>
    </row>
    <row r="497">
      <c r="B497" t="str">
        <f t="array" ref="B497">IFERROR(INDEX('Player Raw Data'!E:E,Match($A497,'Player Raw Data'!$B:$B,0)),"")</f>
        <v/>
      </c>
      <c r="C497" t="str">
        <f t="array" ref="C497">IFERROR(INDEX('Player Raw Data'!C:C,Match($A497,'Player Raw Data'!$B:$B,0)),"")</f>
        <v/>
      </c>
      <c r="D497" t="str">
        <f t="array" ref="D497">IFERROR(IF(A497=A496, INDEX('Player Raw Data'!D:D,Match($A497,'Player Raw Data'!$B:$B,0)+2),INDEX('Player Raw Data'!D:D,Match($A497,'Player Raw Data'!$B:$B,0))),"")</f>
        <v/>
      </c>
      <c r="E497" t="str">
        <f t="array" ref="E497">IFERROR(INDEX('Player Raw Data'!F:F,Match($A497,'Player Raw Data'!$B:$B,0)),"")</f>
        <v/>
      </c>
      <c r="F497" t="str">
        <f t="array" ref="F497">IFERROR(INDEX('Player Raw Data'!H:H,Match($A497,'Player Raw Data'!$B:$B,0)),"")</f>
        <v/>
      </c>
      <c r="G497" t="str">
        <f t="array" ref="G497">IFERROR(INDEX('Player Raw Data'!I:I,Match($A497,'Player Raw Data'!$B:$B,0)),"")</f>
        <v/>
      </c>
      <c r="H497" t="str">
        <f t="array" ref="H497">IFERROR(INDEX('Player Raw Data'!J:J,Match($A497,'Player Raw Data'!$B:$B,0)),"")</f>
        <v/>
      </c>
      <c r="I497" t="str">
        <f t="array" ref="I497">IFERROR(INDEX('Player Raw Data'!S:S,Match($A497,'Player Raw Data'!$B:$B,0)),"")</f>
        <v/>
      </c>
      <c r="J497" t="str">
        <f t="array" ref="J497">IFERROR(INDEX('Player Raw Data'!T:T,Match($A497,'Player Raw Data'!$B:$B,0)),"")</f>
        <v/>
      </c>
      <c r="K497" t="str">
        <f t="array" ref="K497">IFERROR(INDEX('Player Raw Data'!X:X,Match($A497,'Player Raw Data'!$B:$B,0)),"")</f>
        <v/>
      </c>
      <c r="L497" t="str">
        <f t="array" ref="L497">IFERROR(INDEX('Player Raw Data'!Y:Y,Match($A497,'Player Raw Data'!$B:$B,0)),"")</f>
        <v/>
      </c>
      <c r="M497" t="str">
        <f t="array" ref="M497">IFERROR(INDEX('Player Raw Data'!Z:Z,Match($A497,'Player Raw Data'!$B:$B,0)),"")</f>
        <v/>
      </c>
      <c r="N497" t="str">
        <f t="array" ref="N497">IFERROR(INDEX('Player Raw Data'!AA:AA,Match($A497,'Player Raw Data'!$B:$B,0)),"")</f>
        <v/>
      </c>
      <c r="O497" t="str">
        <f t="array" ref="O497">IFERROR(INDEX('Player Raw Data'!AB:AB,Match($A497,'Player Raw Data'!$B:$B,0)),"")</f>
        <v/>
      </c>
      <c r="P497" t="str">
        <f t="array" ref="P497">IFERROR(INDEX('Player Raw Data'!AD:AD,Match($A497,'Player Raw Data'!$B:$B,0)),"")</f>
        <v/>
      </c>
      <c r="Q497">
        <f t="shared" si="1"/>
        <v>0</v>
      </c>
      <c r="R497" s="9">
        <f t="shared" si="2"/>
        <v>0</v>
      </c>
      <c r="S497" s="14">
        <f t="shared" si="3"/>
        <v>0</v>
      </c>
      <c r="T497" s="15">
        <f>IFERROR(__xludf.DUMMYFUNCTION("IFERROR(PERCENTRANK.INC(FILTER(Q:Q,$F:$F&lt;&gt;""""),Q497)*100,"""")"),1.5)</f>
        <v>1.5</v>
      </c>
      <c r="U497" s="15">
        <f>IFERROR(__xludf.DUMMYFUNCTION("IFERROR(PERCENTRANK.INC(FILTER(R:R,$F:$F&lt;&gt;""""),R497)*100,"""")"),1.5)</f>
        <v>1.5</v>
      </c>
      <c r="V497" s="15">
        <f>IFERROR(__xludf.DUMMYFUNCTION("IFERROR(PERCENTRANK.INC(FILTER(S:S,$F:$F&lt;&gt;""""),S497)*100,"""")"),1.5)</f>
        <v>1.5</v>
      </c>
      <c r="W497" s="15" t="str">
        <f t="shared" si="4"/>
        <v/>
      </c>
      <c r="X497" s="16"/>
      <c r="Y497" s="9"/>
      <c r="Z497" s="9"/>
    </row>
    <row r="498">
      <c r="B498" t="str">
        <f t="array" ref="B498">IFERROR(INDEX('Player Raw Data'!E:E,Match($A498,'Player Raw Data'!$B:$B,0)),"")</f>
        <v/>
      </c>
      <c r="C498" t="str">
        <f t="array" ref="C498">IFERROR(INDEX('Player Raw Data'!C:C,Match($A498,'Player Raw Data'!$B:$B,0)),"")</f>
        <v/>
      </c>
      <c r="D498" t="str">
        <f t="array" ref="D498">IFERROR(IF(A498=A497, INDEX('Player Raw Data'!D:D,Match($A498,'Player Raw Data'!$B:$B,0)+2),INDEX('Player Raw Data'!D:D,Match($A498,'Player Raw Data'!$B:$B,0))),"")</f>
        <v/>
      </c>
      <c r="E498" t="str">
        <f t="array" ref="E498">IFERROR(INDEX('Player Raw Data'!F:F,Match($A498,'Player Raw Data'!$B:$B,0)),"")</f>
        <v/>
      </c>
      <c r="F498" t="str">
        <f t="array" ref="F498">IFERROR(INDEX('Player Raw Data'!H:H,Match($A498,'Player Raw Data'!$B:$B,0)),"")</f>
        <v/>
      </c>
      <c r="G498" t="str">
        <f t="array" ref="G498">IFERROR(INDEX('Player Raw Data'!I:I,Match($A498,'Player Raw Data'!$B:$B,0)),"")</f>
        <v/>
      </c>
      <c r="H498" t="str">
        <f t="array" ref="H498">IFERROR(INDEX('Player Raw Data'!J:J,Match($A498,'Player Raw Data'!$B:$B,0)),"")</f>
        <v/>
      </c>
      <c r="I498" t="str">
        <f t="array" ref="I498">IFERROR(INDEX('Player Raw Data'!S:S,Match($A498,'Player Raw Data'!$B:$B,0)),"")</f>
        <v/>
      </c>
      <c r="J498" t="str">
        <f t="array" ref="J498">IFERROR(INDEX('Player Raw Data'!T:T,Match($A498,'Player Raw Data'!$B:$B,0)),"")</f>
        <v/>
      </c>
      <c r="K498" t="str">
        <f t="array" ref="K498">IFERROR(INDEX('Player Raw Data'!X:X,Match($A498,'Player Raw Data'!$B:$B,0)),"")</f>
        <v/>
      </c>
      <c r="L498" t="str">
        <f t="array" ref="L498">IFERROR(INDEX('Player Raw Data'!Y:Y,Match($A498,'Player Raw Data'!$B:$B,0)),"")</f>
        <v/>
      </c>
      <c r="M498" t="str">
        <f t="array" ref="M498">IFERROR(INDEX('Player Raw Data'!Z:Z,Match($A498,'Player Raw Data'!$B:$B,0)),"")</f>
        <v/>
      </c>
      <c r="N498" t="str">
        <f t="array" ref="N498">IFERROR(INDEX('Player Raw Data'!AA:AA,Match($A498,'Player Raw Data'!$B:$B,0)),"")</f>
        <v/>
      </c>
      <c r="O498" t="str">
        <f t="array" ref="O498">IFERROR(INDEX('Player Raw Data'!AB:AB,Match($A498,'Player Raw Data'!$B:$B,0)),"")</f>
        <v/>
      </c>
      <c r="P498" t="str">
        <f t="array" ref="P498">IFERROR(INDEX('Player Raw Data'!AD:AD,Match($A498,'Player Raw Data'!$B:$B,0)),"")</f>
        <v/>
      </c>
      <c r="Q498">
        <f t="shared" si="1"/>
        <v>0</v>
      </c>
      <c r="R498" s="9">
        <f t="shared" si="2"/>
        <v>0</v>
      </c>
      <c r="S498" s="14">
        <f t="shared" si="3"/>
        <v>0</v>
      </c>
      <c r="T498" s="15">
        <f>IFERROR(__xludf.DUMMYFUNCTION("IFERROR(PERCENTRANK.INC(FILTER(Q:Q,$F:$F&lt;&gt;""""),Q498)*100,"""")"),1.5)</f>
        <v>1.5</v>
      </c>
      <c r="U498" s="15">
        <f>IFERROR(__xludf.DUMMYFUNCTION("IFERROR(PERCENTRANK.INC(FILTER(R:R,$F:$F&lt;&gt;""""),R498)*100,"""")"),1.5)</f>
        <v>1.5</v>
      </c>
      <c r="V498" s="15">
        <f>IFERROR(__xludf.DUMMYFUNCTION("IFERROR(PERCENTRANK.INC(FILTER(S:S,$F:$F&lt;&gt;""""),S498)*100,"""")"),1.5)</f>
        <v>1.5</v>
      </c>
      <c r="W498" s="15" t="str">
        <f t="shared" si="4"/>
        <v/>
      </c>
      <c r="X498" s="16"/>
      <c r="Y498" s="9"/>
      <c r="Z498" s="9"/>
    </row>
    <row r="499">
      <c r="B499" t="str">
        <f t="array" ref="B499">IFERROR(INDEX('Player Raw Data'!E:E,Match($A499,'Player Raw Data'!$B:$B,0)),"")</f>
        <v/>
      </c>
      <c r="C499" t="str">
        <f t="array" ref="C499">IFERROR(INDEX('Player Raw Data'!C:C,Match($A499,'Player Raw Data'!$B:$B,0)),"")</f>
        <v/>
      </c>
      <c r="D499" t="str">
        <f t="array" ref="D499">IFERROR(IF(A499=A498, INDEX('Player Raw Data'!D:D,Match($A499,'Player Raw Data'!$B:$B,0)+2),INDEX('Player Raw Data'!D:D,Match($A499,'Player Raw Data'!$B:$B,0))),"")</f>
        <v/>
      </c>
      <c r="E499" t="str">
        <f t="array" ref="E499">IFERROR(INDEX('Player Raw Data'!F:F,Match($A499,'Player Raw Data'!$B:$B,0)),"")</f>
        <v/>
      </c>
      <c r="F499" t="str">
        <f t="array" ref="F499">IFERROR(INDEX('Player Raw Data'!H:H,Match($A499,'Player Raw Data'!$B:$B,0)),"")</f>
        <v/>
      </c>
      <c r="G499" t="str">
        <f t="array" ref="G499">IFERROR(INDEX('Player Raw Data'!I:I,Match($A499,'Player Raw Data'!$B:$B,0)),"")</f>
        <v/>
      </c>
      <c r="H499" t="str">
        <f t="array" ref="H499">IFERROR(INDEX('Player Raw Data'!J:J,Match($A499,'Player Raw Data'!$B:$B,0)),"")</f>
        <v/>
      </c>
      <c r="I499" t="str">
        <f t="array" ref="I499">IFERROR(INDEX('Player Raw Data'!S:S,Match($A499,'Player Raw Data'!$B:$B,0)),"")</f>
        <v/>
      </c>
      <c r="J499" t="str">
        <f t="array" ref="J499">IFERROR(INDEX('Player Raw Data'!T:T,Match($A499,'Player Raw Data'!$B:$B,0)),"")</f>
        <v/>
      </c>
      <c r="K499" t="str">
        <f t="array" ref="K499">IFERROR(INDEX('Player Raw Data'!X:X,Match($A499,'Player Raw Data'!$B:$B,0)),"")</f>
        <v/>
      </c>
      <c r="L499" t="str">
        <f t="array" ref="L499">IFERROR(INDEX('Player Raw Data'!Y:Y,Match($A499,'Player Raw Data'!$B:$B,0)),"")</f>
        <v/>
      </c>
      <c r="M499" t="str">
        <f t="array" ref="M499">IFERROR(INDEX('Player Raw Data'!Z:Z,Match($A499,'Player Raw Data'!$B:$B,0)),"")</f>
        <v/>
      </c>
      <c r="N499" t="str">
        <f t="array" ref="N499">IFERROR(INDEX('Player Raw Data'!AA:AA,Match($A499,'Player Raw Data'!$B:$B,0)),"")</f>
        <v/>
      </c>
      <c r="O499" t="str">
        <f t="array" ref="O499">IFERROR(INDEX('Player Raw Data'!AB:AB,Match($A499,'Player Raw Data'!$B:$B,0)),"")</f>
        <v/>
      </c>
      <c r="P499" t="str">
        <f t="array" ref="P499">IFERROR(INDEX('Player Raw Data'!AD:AD,Match($A499,'Player Raw Data'!$B:$B,0)),"")</f>
        <v/>
      </c>
      <c r="Q499">
        <f t="shared" si="1"/>
        <v>0</v>
      </c>
      <c r="R499" s="9">
        <f t="shared" si="2"/>
        <v>0</v>
      </c>
      <c r="S499" s="14">
        <f t="shared" si="3"/>
        <v>0</v>
      </c>
      <c r="T499" s="15">
        <f>IFERROR(__xludf.DUMMYFUNCTION("IFERROR(PERCENTRANK.INC(FILTER(Q:Q,$F:$F&lt;&gt;""""),Q499)*100,"""")"),1.5)</f>
        <v>1.5</v>
      </c>
      <c r="U499" s="15">
        <f>IFERROR(__xludf.DUMMYFUNCTION("IFERROR(PERCENTRANK.INC(FILTER(R:R,$F:$F&lt;&gt;""""),R499)*100,"""")"),1.5)</f>
        <v>1.5</v>
      </c>
      <c r="V499" s="15">
        <f>IFERROR(__xludf.DUMMYFUNCTION("IFERROR(PERCENTRANK.INC(FILTER(S:S,$F:$F&lt;&gt;""""),S499)*100,"""")"),1.5)</f>
        <v>1.5</v>
      </c>
      <c r="W499" s="15" t="str">
        <f t="shared" si="4"/>
        <v/>
      </c>
      <c r="X499" s="16"/>
      <c r="Y499" s="9"/>
      <c r="Z499" s="9"/>
    </row>
    <row r="500">
      <c r="B500" t="str">
        <f t="array" ref="B500">IFERROR(INDEX('Player Raw Data'!E:E,Match($A500,'Player Raw Data'!$B:$B,0)),"")</f>
        <v/>
      </c>
      <c r="C500" t="str">
        <f t="array" ref="C500">IFERROR(INDEX('Player Raw Data'!C:C,Match($A500,'Player Raw Data'!$B:$B,0)),"")</f>
        <v/>
      </c>
      <c r="D500" t="str">
        <f t="array" ref="D500">IFERROR(IF(A500=A499, INDEX('Player Raw Data'!D:D,Match($A500,'Player Raw Data'!$B:$B,0)+2),INDEX('Player Raw Data'!D:D,Match($A500,'Player Raw Data'!$B:$B,0))),"")</f>
        <v/>
      </c>
      <c r="E500" t="str">
        <f t="array" ref="E500">IFERROR(INDEX('Player Raw Data'!F:F,Match($A500,'Player Raw Data'!$B:$B,0)),"")</f>
        <v/>
      </c>
      <c r="F500" t="str">
        <f t="array" ref="F500">IFERROR(INDEX('Player Raw Data'!H:H,Match($A500,'Player Raw Data'!$B:$B,0)),"")</f>
        <v/>
      </c>
      <c r="G500" t="str">
        <f t="array" ref="G500">IFERROR(INDEX('Player Raw Data'!I:I,Match($A500,'Player Raw Data'!$B:$B,0)),"")</f>
        <v/>
      </c>
      <c r="H500" t="str">
        <f t="array" ref="H500">IFERROR(INDEX('Player Raw Data'!J:J,Match($A500,'Player Raw Data'!$B:$B,0)),"")</f>
        <v/>
      </c>
      <c r="I500" t="str">
        <f t="array" ref="I500">IFERROR(INDEX('Player Raw Data'!S:S,Match($A500,'Player Raw Data'!$B:$B,0)),"")</f>
        <v/>
      </c>
      <c r="J500" t="str">
        <f t="array" ref="J500">IFERROR(INDEX('Player Raw Data'!T:T,Match($A500,'Player Raw Data'!$B:$B,0)),"")</f>
        <v/>
      </c>
      <c r="K500" t="str">
        <f t="array" ref="K500">IFERROR(INDEX('Player Raw Data'!X:X,Match($A500,'Player Raw Data'!$B:$B,0)),"")</f>
        <v/>
      </c>
      <c r="L500" t="str">
        <f t="array" ref="L500">IFERROR(INDEX('Player Raw Data'!Y:Y,Match($A500,'Player Raw Data'!$B:$B,0)),"")</f>
        <v/>
      </c>
      <c r="M500" t="str">
        <f t="array" ref="M500">IFERROR(INDEX('Player Raw Data'!Z:Z,Match($A500,'Player Raw Data'!$B:$B,0)),"")</f>
        <v/>
      </c>
      <c r="N500" t="str">
        <f t="array" ref="N500">IFERROR(INDEX('Player Raw Data'!AA:AA,Match($A500,'Player Raw Data'!$B:$B,0)),"")</f>
        <v/>
      </c>
      <c r="O500" t="str">
        <f t="array" ref="O500">IFERROR(INDEX('Player Raw Data'!AB:AB,Match($A500,'Player Raw Data'!$B:$B,0)),"")</f>
        <v/>
      </c>
      <c r="P500" t="str">
        <f t="array" ref="P500">IFERROR(INDEX('Player Raw Data'!AD:AD,Match($A500,'Player Raw Data'!$B:$B,0)),"")</f>
        <v/>
      </c>
      <c r="Q500">
        <f t="shared" si="1"/>
        <v>0</v>
      </c>
      <c r="R500" s="9">
        <f t="shared" si="2"/>
        <v>0</v>
      </c>
      <c r="S500" s="14">
        <f t="shared" si="3"/>
        <v>0</v>
      </c>
      <c r="T500" s="15">
        <f>IFERROR(__xludf.DUMMYFUNCTION("IFERROR(PERCENTRANK.INC(FILTER(Q:Q,$F:$F&lt;&gt;""""),Q500)*100,"""")"),1.5)</f>
        <v>1.5</v>
      </c>
      <c r="U500" s="15">
        <f>IFERROR(__xludf.DUMMYFUNCTION("IFERROR(PERCENTRANK.INC(FILTER(R:R,$F:$F&lt;&gt;""""),R500)*100,"""")"),1.5)</f>
        <v>1.5</v>
      </c>
      <c r="V500" s="15">
        <f>IFERROR(__xludf.DUMMYFUNCTION("IFERROR(PERCENTRANK.INC(FILTER(S:S,$F:$F&lt;&gt;""""),S500)*100,"""")"),1.5)</f>
        <v>1.5</v>
      </c>
      <c r="W500" s="15" t="str">
        <f t="shared" si="4"/>
        <v/>
      </c>
      <c r="X500" s="16"/>
      <c r="Y500" s="9"/>
      <c r="Z500" s="9"/>
    </row>
    <row r="501">
      <c r="B501" t="str">
        <f t="array" ref="B501">IFERROR(INDEX('Player Raw Data'!E:E,Match($A501,'Player Raw Data'!$B:$B,0)),"")</f>
        <v/>
      </c>
      <c r="C501" t="str">
        <f t="array" ref="C501">IFERROR(INDEX('Player Raw Data'!C:C,Match($A501,'Player Raw Data'!$B:$B,0)),"")</f>
        <v/>
      </c>
      <c r="D501" t="str">
        <f t="array" ref="D501">IFERROR(IF(A501=A500, INDEX('Player Raw Data'!D:D,Match($A501,'Player Raw Data'!$B:$B,0)+2),INDEX('Player Raw Data'!D:D,Match($A501,'Player Raw Data'!$B:$B,0))),"")</f>
        <v/>
      </c>
      <c r="E501" t="str">
        <f t="array" ref="E501">IFERROR(INDEX('Player Raw Data'!F:F,Match($A501,'Player Raw Data'!$B:$B,0)),"")</f>
        <v/>
      </c>
      <c r="F501" t="str">
        <f t="array" ref="F501">IFERROR(INDEX('Player Raw Data'!H:H,Match($A501,'Player Raw Data'!$B:$B,0)),"")</f>
        <v/>
      </c>
      <c r="G501" t="str">
        <f t="array" ref="G501">IFERROR(INDEX('Player Raw Data'!I:I,Match($A501,'Player Raw Data'!$B:$B,0)),"")</f>
        <v/>
      </c>
      <c r="H501" t="str">
        <f t="array" ref="H501">IFERROR(INDEX('Player Raw Data'!J:J,Match($A501,'Player Raw Data'!$B:$B,0)),"")</f>
        <v/>
      </c>
      <c r="I501" t="str">
        <f t="array" ref="I501">IFERROR(INDEX('Player Raw Data'!S:S,Match($A501,'Player Raw Data'!$B:$B,0)),"")</f>
        <v/>
      </c>
      <c r="J501" t="str">
        <f t="array" ref="J501">IFERROR(INDEX('Player Raw Data'!T:T,Match($A501,'Player Raw Data'!$B:$B,0)),"")</f>
        <v/>
      </c>
      <c r="K501" t="str">
        <f t="array" ref="K501">IFERROR(INDEX('Player Raw Data'!X:X,Match($A501,'Player Raw Data'!$B:$B,0)),"")</f>
        <v/>
      </c>
      <c r="L501" t="str">
        <f t="array" ref="L501">IFERROR(INDEX('Player Raw Data'!Y:Y,Match($A501,'Player Raw Data'!$B:$B,0)),"")</f>
        <v/>
      </c>
      <c r="M501" t="str">
        <f t="array" ref="M501">IFERROR(INDEX('Player Raw Data'!Z:Z,Match($A501,'Player Raw Data'!$B:$B,0)),"")</f>
        <v/>
      </c>
      <c r="N501" t="str">
        <f t="array" ref="N501">IFERROR(INDEX('Player Raw Data'!AA:AA,Match($A501,'Player Raw Data'!$B:$B,0)),"")</f>
        <v/>
      </c>
      <c r="O501" t="str">
        <f t="array" ref="O501">IFERROR(INDEX('Player Raw Data'!AB:AB,Match($A501,'Player Raw Data'!$B:$B,0)),"")</f>
        <v/>
      </c>
      <c r="P501" t="str">
        <f t="array" ref="P501">IFERROR(INDEX('Player Raw Data'!AD:AD,Match($A501,'Player Raw Data'!$B:$B,0)),"")</f>
        <v/>
      </c>
      <c r="Q501">
        <f t="shared" si="1"/>
        <v>0</v>
      </c>
      <c r="R501" s="9">
        <f t="shared" si="2"/>
        <v>0</v>
      </c>
      <c r="S501" s="14">
        <f t="shared" si="3"/>
        <v>0</v>
      </c>
      <c r="T501" s="15">
        <f>IFERROR(__xludf.DUMMYFUNCTION("IFERROR(PERCENTRANK.INC(FILTER(Q:Q,$F:$F&lt;&gt;""""),Q501)*100,"""")"),1.5)</f>
        <v>1.5</v>
      </c>
      <c r="U501" s="15">
        <f>IFERROR(__xludf.DUMMYFUNCTION("IFERROR(PERCENTRANK.INC(FILTER(R:R,$F:$F&lt;&gt;""""),R501)*100,"""")"),1.5)</f>
        <v>1.5</v>
      </c>
      <c r="V501" s="15">
        <f>IFERROR(__xludf.DUMMYFUNCTION("IFERROR(PERCENTRANK.INC(FILTER(S:S,$F:$F&lt;&gt;""""),S501)*100,"""")"),1.5)</f>
        <v>1.5</v>
      </c>
      <c r="W501" s="15" t="str">
        <f t="shared" si="4"/>
        <v/>
      </c>
      <c r="X501" s="16"/>
      <c r="Y501" s="9"/>
      <c r="Z501" s="9"/>
    </row>
    <row r="502">
      <c r="B502" t="str">
        <f t="array" ref="B502">IFERROR(INDEX('Player Raw Data'!E:E,Match($A502,'Player Raw Data'!$B:$B,0)),"")</f>
        <v/>
      </c>
      <c r="C502" t="str">
        <f t="array" ref="C502">IFERROR(INDEX('Player Raw Data'!C:C,Match($A502,'Player Raw Data'!$B:$B,0)),"")</f>
        <v/>
      </c>
      <c r="D502" t="str">
        <f t="array" ref="D502">IFERROR(IF(A502=A501, INDEX('Player Raw Data'!D:D,Match($A502,'Player Raw Data'!$B:$B,0)+2),INDEX('Player Raw Data'!D:D,Match($A502,'Player Raw Data'!$B:$B,0))),"")</f>
        <v/>
      </c>
      <c r="E502" t="str">
        <f t="array" ref="E502">IFERROR(INDEX('Player Raw Data'!F:F,Match($A502,'Player Raw Data'!$B:$B,0)),"")</f>
        <v/>
      </c>
      <c r="F502" t="str">
        <f t="array" ref="F502">IFERROR(INDEX('Player Raw Data'!H:H,Match($A502,'Player Raw Data'!$B:$B,0)),"")</f>
        <v/>
      </c>
      <c r="G502" t="str">
        <f t="array" ref="G502">IFERROR(INDEX('Player Raw Data'!I:I,Match($A502,'Player Raw Data'!$B:$B,0)),"")</f>
        <v/>
      </c>
      <c r="H502" t="str">
        <f t="array" ref="H502">IFERROR(INDEX('Player Raw Data'!J:J,Match($A502,'Player Raw Data'!$B:$B,0)),"")</f>
        <v/>
      </c>
      <c r="I502" t="str">
        <f t="array" ref="I502">IFERROR(INDEX('Player Raw Data'!S:S,Match($A502,'Player Raw Data'!$B:$B,0)),"")</f>
        <v/>
      </c>
      <c r="J502" t="str">
        <f t="array" ref="J502">IFERROR(INDEX('Player Raw Data'!T:T,Match($A502,'Player Raw Data'!$B:$B,0)),"")</f>
        <v/>
      </c>
      <c r="K502" t="str">
        <f t="array" ref="K502">IFERROR(INDEX('Player Raw Data'!X:X,Match($A502,'Player Raw Data'!$B:$B,0)),"")</f>
        <v/>
      </c>
      <c r="L502" t="str">
        <f t="array" ref="L502">IFERROR(INDEX('Player Raw Data'!Y:Y,Match($A502,'Player Raw Data'!$B:$B,0)),"")</f>
        <v/>
      </c>
      <c r="M502" t="str">
        <f t="array" ref="M502">IFERROR(INDEX('Player Raw Data'!Z:Z,Match($A502,'Player Raw Data'!$B:$B,0)),"")</f>
        <v/>
      </c>
      <c r="N502" t="str">
        <f t="array" ref="N502">IFERROR(INDEX('Player Raw Data'!AA:AA,Match($A502,'Player Raw Data'!$B:$B,0)),"")</f>
        <v/>
      </c>
      <c r="O502" t="str">
        <f t="array" ref="O502">IFERROR(INDEX('Player Raw Data'!AB:AB,Match($A502,'Player Raw Data'!$B:$B,0)),"")</f>
        <v/>
      </c>
      <c r="P502" t="str">
        <f t="array" ref="P502">IFERROR(INDEX('Player Raw Data'!AD:AD,Match($A502,'Player Raw Data'!$B:$B,0)),"")</f>
        <v/>
      </c>
      <c r="Q502">
        <f t="shared" si="1"/>
        <v>0</v>
      </c>
      <c r="R502" s="9">
        <f t="shared" si="2"/>
        <v>0</v>
      </c>
      <c r="S502" s="14">
        <f t="shared" si="3"/>
        <v>0</v>
      </c>
      <c r="T502" s="15">
        <f>IFERROR(__xludf.DUMMYFUNCTION("IFERROR(PERCENTRANK.INC(FILTER(Q:Q,$F:$F&lt;&gt;""""),Q502)*100,"""")"),1.5)</f>
        <v>1.5</v>
      </c>
      <c r="U502" s="15">
        <f>IFERROR(__xludf.DUMMYFUNCTION("IFERROR(PERCENTRANK.INC(FILTER(R:R,$F:$F&lt;&gt;""""),R502)*100,"""")"),1.5)</f>
        <v>1.5</v>
      </c>
      <c r="V502" s="15">
        <f>IFERROR(__xludf.DUMMYFUNCTION("IFERROR(PERCENTRANK.INC(FILTER(S:S,$F:$F&lt;&gt;""""),S502)*100,"""")"),1.5)</f>
        <v>1.5</v>
      </c>
      <c r="W502" s="15" t="str">
        <f t="shared" si="4"/>
        <v/>
      </c>
      <c r="X502" s="16"/>
      <c r="Y502" s="9"/>
      <c r="Z502" s="9"/>
    </row>
    <row r="503">
      <c r="B503" t="str">
        <f t="array" ref="B503">IFERROR(INDEX('Player Raw Data'!E:E,Match($A503,'Player Raw Data'!$B:$B,0)),"")</f>
        <v/>
      </c>
      <c r="C503" t="str">
        <f t="array" ref="C503">IFERROR(INDEX('Player Raw Data'!C:C,Match($A503,'Player Raw Data'!$B:$B,0)),"")</f>
        <v/>
      </c>
      <c r="D503" t="str">
        <f t="array" ref="D503">IFERROR(IF(A503=A502, INDEX('Player Raw Data'!D:D,Match($A503,'Player Raw Data'!$B:$B,0)+2),INDEX('Player Raw Data'!D:D,Match($A503,'Player Raw Data'!$B:$B,0))),"")</f>
        <v/>
      </c>
      <c r="E503" t="str">
        <f t="array" ref="E503">IFERROR(INDEX('Player Raw Data'!F:F,Match($A503,'Player Raw Data'!$B:$B,0)),"")</f>
        <v/>
      </c>
      <c r="F503" t="str">
        <f t="array" ref="F503">IFERROR(INDEX('Player Raw Data'!H:H,Match($A503,'Player Raw Data'!$B:$B,0)),"")</f>
        <v/>
      </c>
      <c r="G503" t="str">
        <f t="array" ref="G503">IFERROR(INDEX('Player Raw Data'!I:I,Match($A503,'Player Raw Data'!$B:$B,0)),"")</f>
        <v/>
      </c>
      <c r="H503" t="str">
        <f t="array" ref="H503">IFERROR(INDEX('Player Raw Data'!J:J,Match($A503,'Player Raw Data'!$B:$B,0)),"")</f>
        <v/>
      </c>
      <c r="I503" t="str">
        <f t="array" ref="I503">IFERROR(INDEX('Player Raw Data'!S:S,Match($A503,'Player Raw Data'!$B:$B,0)),"")</f>
        <v/>
      </c>
      <c r="J503" t="str">
        <f t="array" ref="J503">IFERROR(INDEX('Player Raw Data'!T:T,Match($A503,'Player Raw Data'!$B:$B,0)),"")</f>
        <v/>
      </c>
      <c r="K503" t="str">
        <f t="array" ref="K503">IFERROR(INDEX('Player Raw Data'!X:X,Match($A503,'Player Raw Data'!$B:$B,0)),"")</f>
        <v/>
      </c>
      <c r="L503" t="str">
        <f t="array" ref="L503">IFERROR(INDEX('Player Raw Data'!Y:Y,Match($A503,'Player Raw Data'!$B:$B,0)),"")</f>
        <v/>
      </c>
      <c r="M503" t="str">
        <f t="array" ref="M503">IFERROR(INDEX('Player Raw Data'!Z:Z,Match($A503,'Player Raw Data'!$B:$B,0)),"")</f>
        <v/>
      </c>
      <c r="N503" t="str">
        <f t="array" ref="N503">IFERROR(INDEX('Player Raw Data'!AA:AA,Match($A503,'Player Raw Data'!$B:$B,0)),"")</f>
        <v/>
      </c>
      <c r="O503" t="str">
        <f t="array" ref="O503">IFERROR(INDEX('Player Raw Data'!AB:AB,Match($A503,'Player Raw Data'!$B:$B,0)),"")</f>
        <v/>
      </c>
      <c r="P503" t="str">
        <f t="array" ref="P503">IFERROR(INDEX('Player Raw Data'!AD:AD,Match($A503,'Player Raw Data'!$B:$B,0)),"")</f>
        <v/>
      </c>
      <c r="Q503">
        <f t="shared" si="1"/>
        <v>0</v>
      </c>
      <c r="R503" s="9">
        <f t="shared" si="2"/>
        <v>0</v>
      </c>
      <c r="S503" s="14">
        <f t="shared" si="3"/>
        <v>0</v>
      </c>
      <c r="T503" s="15">
        <f>IFERROR(__xludf.DUMMYFUNCTION("IFERROR(PERCENTRANK.INC(FILTER(Q:Q,$F:$F&lt;&gt;""""),Q503)*100,"""")"),1.5)</f>
        <v>1.5</v>
      </c>
      <c r="U503" s="15">
        <f>IFERROR(__xludf.DUMMYFUNCTION("IFERROR(PERCENTRANK.INC(FILTER(R:R,$F:$F&lt;&gt;""""),R503)*100,"""")"),1.5)</f>
        <v>1.5</v>
      </c>
      <c r="V503" s="15">
        <f>IFERROR(__xludf.DUMMYFUNCTION("IFERROR(PERCENTRANK.INC(FILTER(S:S,$F:$F&lt;&gt;""""),S503)*100,"""")"),1.5)</f>
        <v>1.5</v>
      </c>
      <c r="W503" s="15" t="str">
        <f t="shared" si="4"/>
        <v/>
      </c>
      <c r="X503" s="16"/>
      <c r="Y503" s="9"/>
      <c r="Z503" s="9"/>
    </row>
    <row r="504">
      <c r="B504" t="str">
        <f t="array" ref="B504">IFERROR(INDEX('Player Raw Data'!E:E,Match($A504,'Player Raw Data'!$B:$B,0)),"")</f>
        <v/>
      </c>
      <c r="C504" t="str">
        <f t="array" ref="C504">IFERROR(INDEX('Player Raw Data'!C:C,Match($A504,'Player Raw Data'!$B:$B,0)),"")</f>
        <v/>
      </c>
      <c r="D504" t="str">
        <f t="array" ref="D504">IFERROR(IF(A504=A503, INDEX('Player Raw Data'!D:D,Match($A504,'Player Raw Data'!$B:$B,0)+2),INDEX('Player Raw Data'!D:D,Match($A504,'Player Raw Data'!$B:$B,0))),"")</f>
        <v/>
      </c>
      <c r="E504" t="str">
        <f t="array" ref="E504">IFERROR(INDEX('Player Raw Data'!F:F,Match($A504,'Player Raw Data'!$B:$B,0)),"")</f>
        <v/>
      </c>
      <c r="F504" t="str">
        <f t="array" ref="F504">IFERROR(INDEX('Player Raw Data'!H:H,Match($A504,'Player Raw Data'!$B:$B,0)),"")</f>
        <v/>
      </c>
      <c r="G504" t="str">
        <f t="array" ref="G504">IFERROR(INDEX('Player Raw Data'!I:I,Match($A504,'Player Raw Data'!$B:$B,0)),"")</f>
        <v/>
      </c>
      <c r="H504" t="str">
        <f t="array" ref="H504">IFERROR(INDEX('Player Raw Data'!J:J,Match($A504,'Player Raw Data'!$B:$B,0)),"")</f>
        <v/>
      </c>
      <c r="I504" t="str">
        <f t="array" ref="I504">IFERROR(INDEX('Player Raw Data'!S:S,Match($A504,'Player Raw Data'!$B:$B,0)),"")</f>
        <v/>
      </c>
      <c r="J504" t="str">
        <f t="array" ref="J504">IFERROR(INDEX('Player Raw Data'!T:T,Match($A504,'Player Raw Data'!$B:$B,0)),"")</f>
        <v/>
      </c>
      <c r="K504" t="str">
        <f t="array" ref="K504">IFERROR(INDEX('Player Raw Data'!X:X,Match($A504,'Player Raw Data'!$B:$B,0)),"")</f>
        <v/>
      </c>
      <c r="L504" t="str">
        <f t="array" ref="L504">IFERROR(INDEX('Player Raw Data'!Y:Y,Match($A504,'Player Raw Data'!$B:$B,0)),"")</f>
        <v/>
      </c>
      <c r="M504" t="str">
        <f t="array" ref="M504">IFERROR(INDEX('Player Raw Data'!Z:Z,Match($A504,'Player Raw Data'!$B:$B,0)),"")</f>
        <v/>
      </c>
      <c r="N504" t="str">
        <f t="array" ref="N504">IFERROR(INDEX('Player Raw Data'!AA:AA,Match($A504,'Player Raw Data'!$B:$B,0)),"")</f>
        <v/>
      </c>
      <c r="O504" t="str">
        <f t="array" ref="O504">IFERROR(INDEX('Player Raw Data'!AB:AB,Match($A504,'Player Raw Data'!$B:$B,0)),"")</f>
        <v/>
      </c>
      <c r="P504" t="str">
        <f t="array" ref="P504">IFERROR(INDEX('Player Raw Data'!AD:AD,Match($A504,'Player Raw Data'!$B:$B,0)),"")</f>
        <v/>
      </c>
      <c r="Q504">
        <f t="shared" si="1"/>
        <v>0</v>
      </c>
      <c r="R504" s="9">
        <f t="shared" si="2"/>
        <v>0</v>
      </c>
      <c r="S504" s="14">
        <f t="shared" si="3"/>
        <v>0</v>
      </c>
      <c r="T504" s="15">
        <f>IFERROR(__xludf.DUMMYFUNCTION("IFERROR(PERCENTRANK.INC(FILTER(Q:Q,$F:$F&lt;&gt;""""),Q504)*100,"""")"),1.5)</f>
        <v>1.5</v>
      </c>
      <c r="U504" s="15">
        <f>IFERROR(__xludf.DUMMYFUNCTION("IFERROR(PERCENTRANK.INC(FILTER(R:R,$F:$F&lt;&gt;""""),R504)*100,"""")"),1.5)</f>
        <v>1.5</v>
      </c>
      <c r="V504" s="15">
        <f>IFERROR(__xludf.DUMMYFUNCTION("IFERROR(PERCENTRANK.INC(FILTER(S:S,$F:$F&lt;&gt;""""),S504)*100,"""")"),1.5)</f>
        <v>1.5</v>
      </c>
      <c r="W504" s="15" t="str">
        <f t="shared" si="4"/>
        <v/>
      </c>
      <c r="X504" s="16"/>
      <c r="Y504" s="9"/>
      <c r="Z504" s="9"/>
    </row>
    <row r="505">
      <c r="B505" t="str">
        <f t="array" ref="B505">IFERROR(INDEX('Player Raw Data'!E:E,Match($A505,'Player Raw Data'!$B:$B,0)),"")</f>
        <v/>
      </c>
      <c r="C505" t="str">
        <f t="array" ref="C505">IFERROR(INDEX('Player Raw Data'!C:C,Match($A505,'Player Raw Data'!$B:$B,0)),"")</f>
        <v/>
      </c>
      <c r="D505" t="str">
        <f t="array" ref="D505">IFERROR(IF(A505=A504, INDEX('Player Raw Data'!D:D,Match($A505,'Player Raw Data'!$B:$B,0)+2),INDEX('Player Raw Data'!D:D,Match($A505,'Player Raw Data'!$B:$B,0))),"")</f>
        <v/>
      </c>
      <c r="E505" t="str">
        <f t="array" ref="E505">IFERROR(INDEX('Player Raw Data'!F:F,Match($A505,'Player Raw Data'!$B:$B,0)),"")</f>
        <v/>
      </c>
      <c r="F505" t="str">
        <f t="array" ref="F505">IFERROR(INDEX('Player Raw Data'!H:H,Match($A505,'Player Raw Data'!$B:$B,0)),"")</f>
        <v/>
      </c>
      <c r="G505" t="str">
        <f t="array" ref="G505">IFERROR(INDEX('Player Raw Data'!I:I,Match($A505,'Player Raw Data'!$B:$B,0)),"")</f>
        <v/>
      </c>
      <c r="H505" t="str">
        <f t="array" ref="H505">IFERROR(INDEX('Player Raw Data'!J:J,Match($A505,'Player Raw Data'!$B:$B,0)),"")</f>
        <v/>
      </c>
      <c r="I505" t="str">
        <f t="array" ref="I505">IFERROR(INDEX('Player Raw Data'!S:S,Match($A505,'Player Raw Data'!$B:$B,0)),"")</f>
        <v/>
      </c>
      <c r="J505" t="str">
        <f t="array" ref="J505">IFERROR(INDEX('Player Raw Data'!T:T,Match($A505,'Player Raw Data'!$B:$B,0)),"")</f>
        <v/>
      </c>
      <c r="K505" t="str">
        <f t="array" ref="K505">IFERROR(INDEX('Player Raw Data'!X:X,Match($A505,'Player Raw Data'!$B:$B,0)),"")</f>
        <v/>
      </c>
      <c r="L505" t="str">
        <f t="array" ref="L505">IFERROR(INDEX('Player Raw Data'!Y:Y,Match($A505,'Player Raw Data'!$B:$B,0)),"")</f>
        <v/>
      </c>
      <c r="M505" t="str">
        <f t="array" ref="M505">IFERROR(INDEX('Player Raw Data'!Z:Z,Match($A505,'Player Raw Data'!$B:$B,0)),"")</f>
        <v/>
      </c>
      <c r="N505" t="str">
        <f t="array" ref="N505">IFERROR(INDEX('Player Raw Data'!AA:AA,Match($A505,'Player Raw Data'!$B:$B,0)),"")</f>
        <v/>
      </c>
      <c r="O505" t="str">
        <f t="array" ref="O505">IFERROR(INDEX('Player Raw Data'!AB:AB,Match($A505,'Player Raw Data'!$B:$B,0)),"")</f>
        <v/>
      </c>
      <c r="P505" t="str">
        <f t="array" ref="P505">IFERROR(INDEX('Player Raw Data'!AD:AD,Match($A505,'Player Raw Data'!$B:$B,0)),"")</f>
        <v/>
      </c>
      <c r="Q505">
        <f t="shared" si="1"/>
        <v>0</v>
      </c>
      <c r="R505" s="9">
        <f t="shared" si="2"/>
        <v>0</v>
      </c>
      <c r="S505" s="14">
        <f t="shared" si="3"/>
        <v>0</v>
      </c>
      <c r="T505" s="15">
        <f>IFERROR(__xludf.DUMMYFUNCTION("IFERROR(PERCENTRANK.INC(FILTER(Q:Q,$F:$F&lt;&gt;""""),Q505)*100,"""")"),1.5)</f>
        <v>1.5</v>
      </c>
      <c r="U505" s="15">
        <f>IFERROR(__xludf.DUMMYFUNCTION("IFERROR(PERCENTRANK.INC(FILTER(R:R,$F:$F&lt;&gt;""""),R505)*100,"""")"),1.5)</f>
        <v>1.5</v>
      </c>
      <c r="V505" s="15">
        <f>IFERROR(__xludf.DUMMYFUNCTION("IFERROR(PERCENTRANK.INC(FILTER(S:S,$F:$F&lt;&gt;""""),S505)*100,"""")"),1.5)</f>
        <v>1.5</v>
      </c>
      <c r="W505" s="15" t="str">
        <f t="shared" si="4"/>
        <v/>
      </c>
      <c r="X505" s="16"/>
      <c r="Y505" s="9"/>
      <c r="Z505" s="9"/>
    </row>
    <row r="506">
      <c r="B506" t="str">
        <f t="array" ref="B506">IFERROR(INDEX('Player Raw Data'!E:E,Match($A506,'Player Raw Data'!$B:$B,0)),"")</f>
        <v/>
      </c>
      <c r="C506" t="str">
        <f t="array" ref="C506">IFERROR(INDEX('Player Raw Data'!C:C,Match($A506,'Player Raw Data'!$B:$B,0)),"")</f>
        <v/>
      </c>
      <c r="D506" t="str">
        <f t="array" ref="D506">IFERROR(IF(A506=A505, INDEX('Player Raw Data'!D:D,Match($A506,'Player Raw Data'!$B:$B,0)+2),INDEX('Player Raw Data'!D:D,Match($A506,'Player Raw Data'!$B:$B,0))),"")</f>
        <v/>
      </c>
      <c r="E506" t="str">
        <f t="array" ref="E506">IFERROR(INDEX('Player Raw Data'!F:F,Match($A506,'Player Raw Data'!$B:$B,0)),"")</f>
        <v/>
      </c>
      <c r="F506" t="str">
        <f t="array" ref="F506">IFERROR(INDEX('Player Raw Data'!H:H,Match($A506,'Player Raw Data'!$B:$B,0)),"")</f>
        <v/>
      </c>
      <c r="G506" t="str">
        <f t="array" ref="G506">IFERROR(INDEX('Player Raw Data'!I:I,Match($A506,'Player Raw Data'!$B:$B,0)),"")</f>
        <v/>
      </c>
      <c r="H506" t="str">
        <f t="array" ref="H506">IFERROR(INDEX('Player Raw Data'!J:J,Match($A506,'Player Raw Data'!$B:$B,0)),"")</f>
        <v/>
      </c>
      <c r="I506" t="str">
        <f t="array" ref="I506">IFERROR(INDEX('Player Raw Data'!S:S,Match($A506,'Player Raw Data'!$B:$B,0)),"")</f>
        <v/>
      </c>
      <c r="J506" t="str">
        <f t="array" ref="J506">IFERROR(INDEX('Player Raw Data'!T:T,Match($A506,'Player Raw Data'!$B:$B,0)),"")</f>
        <v/>
      </c>
      <c r="K506" t="str">
        <f t="array" ref="K506">IFERROR(INDEX('Player Raw Data'!X:X,Match($A506,'Player Raw Data'!$B:$B,0)),"")</f>
        <v/>
      </c>
      <c r="L506" t="str">
        <f t="array" ref="L506">IFERROR(INDEX('Player Raw Data'!Y:Y,Match($A506,'Player Raw Data'!$B:$B,0)),"")</f>
        <v/>
      </c>
      <c r="M506" t="str">
        <f t="array" ref="M506">IFERROR(INDEX('Player Raw Data'!Z:Z,Match($A506,'Player Raw Data'!$B:$B,0)),"")</f>
        <v/>
      </c>
      <c r="N506" t="str">
        <f t="array" ref="N506">IFERROR(INDEX('Player Raw Data'!AA:AA,Match($A506,'Player Raw Data'!$B:$B,0)),"")</f>
        <v/>
      </c>
      <c r="O506" t="str">
        <f t="array" ref="O506">IFERROR(INDEX('Player Raw Data'!AB:AB,Match($A506,'Player Raw Data'!$B:$B,0)),"")</f>
        <v/>
      </c>
      <c r="P506" t="str">
        <f t="array" ref="P506">IFERROR(INDEX('Player Raw Data'!AD:AD,Match($A506,'Player Raw Data'!$B:$B,0)),"")</f>
        <v/>
      </c>
      <c r="Q506">
        <f t="shared" si="1"/>
        <v>0</v>
      </c>
      <c r="R506" s="9">
        <f t="shared" si="2"/>
        <v>0</v>
      </c>
      <c r="S506" s="14">
        <f t="shared" si="3"/>
        <v>0</v>
      </c>
      <c r="T506" s="15">
        <f>IFERROR(__xludf.DUMMYFUNCTION("IFERROR(PERCENTRANK.INC(FILTER(Q:Q,$F:$F&lt;&gt;""""),Q506)*100,"""")"),1.5)</f>
        <v>1.5</v>
      </c>
      <c r="U506" s="15">
        <f>IFERROR(__xludf.DUMMYFUNCTION("IFERROR(PERCENTRANK.INC(FILTER(R:R,$F:$F&lt;&gt;""""),R506)*100,"""")"),1.5)</f>
        <v>1.5</v>
      </c>
      <c r="V506" s="15">
        <f>IFERROR(__xludf.DUMMYFUNCTION("IFERROR(PERCENTRANK.INC(FILTER(S:S,$F:$F&lt;&gt;""""),S506)*100,"""")"),1.5)</f>
        <v>1.5</v>
      </c>
      <c r="W506" s="15" t="str">
        <f t="shared" si="4"/>
        <v/>
      </c>
      <c r="X506" s="16"/>
      <c r="Y506" s="9"/>
      <c r="Z506" s="9"/>
    </row>
    <row r="507">
      <c r="B507" t="str">
        <f t="array" ref="B507">IFERROR(INDEX('Player Raw Data'!E:E,Match($A507,'Player Raw Data'!$B:$B,0)),"")</f>
        <v/>
      </c>
      <c r="C507" t="str">
        <f t="array" ref="C507">IFERROR(INDEX('Player Raw Data'!C:C,Match($A507,'Player Raw Data'!$B:$B,0)),"")</f>
        <v/>
      </c>
      <c r="D507" t="str">
        <f t="array" ref="D507">IFERROR(IF(A507=A506, INDEX('Player Raw Data'!D:D,Match($A507,'Player Raw Data'!$B:$B,0)+2),INDEX('Player Raw Data'!D:D,Match($A507,'Player Raw Data'!$B:$B,0))),"")</f>
        <v/>
      </c>
      <c r="E507" t="str">
        <f t="array" ref="E507">IFERROR(INDEX('Player Raw Data'!F:F,Match($A507,'Player Raw Data'!$B:$B,0)),"")</f>
        <v/>
      </c>
      <c r="F507" t="str">
        <f t="array" ref="F507">IFERROR(INDEX('Player Raw Data'!H:H,Match($A507,'Player Raw Data'!$B:$B,0)),"")</f>
        <v/>
      </c>
      <c r="G507" t="str">
        <f t="array" ref="G507">IFERROR(INDEX('Player Raw Data'!I:I,Match($A507,'Player Raw Data'!$B:$B,0)),"")</f>
        <v/>
      </c>
      <c r="H507" t="str">
        <f t="array" ref="H507">IFERROR(INDEX('Player Raw Data'!J:J,Match($A507,'Player Raw Data'!$B:$B,0)),"")</f>
        <v/>
      </c>
      <c r="I507" t="str">
        <f t="array" ref="I507">IFERROR(INDEX('Player Raw Data'!S:S,Match($A507,'Player Raw Data'!$B:$B,0)),"")</f>
        <v/>
      </c>
      <c r="J507" t="str">
        <f t="array" ref="J507">IFERROR(INDEX('Player Raw Data'!T:T,Match($A507,'Player Raw Data'!$B:$B,0)),"")</f>
        <v/>
      </c>
      <c r="K507" t="str">
        <f t="array" ref="K507">IFERROR(INDEX('Player Raw Data'!X:X,Match($A507,'Player Raw Data'!$B:$B,0)),"")</f>
        <v/>
      </c>
      <c r="L507" t="str">
        <f t="array" ref="L507">IFERROR(INDEX('Player Raw Data'!Y:Y,Match($A507,'Player Raw Data'!$B:$B,0)),"")</f>
        <v/>
      </c>
      <c r="M507" t="str">
        <f t="array" ref="M507">IFERROR(INDEX('Player Raw Data'!Z:Z,Match($A507,'Player Raw Data'!$B:$B,0)),"")</f>
        <v/>
      </c>
      <c r="N507" t="str">
        <f t="array" ref="N507">IFERROR(INDEX('Player Raw Data'!AA:AA,Match($A507,'Player Raw Data'!$B:$B,0)),"")</f>
        <v/>
      </c>
      <c r="O507" t="str">
        <f t="array" ref="O507">IFERROR(INDEX('Player Raw Data'!AB:AB,Match($A507,'Player Raw Data'!$B:$B,0)),"")</f>
        <v/>
      </c>
      <c r="P507" t="str">
        <f t="array" ref="P507">IFERROR(INDEX('Player Raw Data'!AD:AD,Match($A507,'Player Raw Data'!$B:$B,0)),"")</f>
        <v/>
      </c>
      <c r="Q507">
        <f t="shared" si="1"/>
        <v>0</v>
      </c>
      <c r="R507" s="9">
        <f t="shared" si="2"/>
        <v>0</v>
      </c>
      <c r="S507" s="14">
        <f t="shared" si="3"/>
        <v>0</v>
      </c>
      <c r="T507" s="15">
        <f>IFERROR(__xludf.DUMMYFUNCTION("IFERROR(PERCENTRANK.INC(FILTER(Q:Q,$F:$F&lt;&gt;""""),Q507)*100,"""")"),1.5)</f>
        <v>1.5</v>
      </c>
      <c r="U507" s="15">
        <f>IFERROR(__xludf.DUMMYFUNCTION("IFERROR(PERCENTRANK.INC(FILTER(R:R,$F:$F&lt;&gt;""""),R507)*100,"""")"),1.5)</f>
        <v>1.5</v>
      </c>
      <c r="V507" s="15">
        <f>IFERROR(__xludf.DUMMYFUNCTION("IFERROR(PERCENTRANK.INC(FILTER(S:S,$F:$F&lt;&gt;""""),S507)*100,"""")"),1.5)</f>
        <v>1.5</v>
      </c>
      <c r="W507" s="15" t="str">
        <f t="shared" si="4"/>
        <v/>
      </c>
      <c r="X507" s="16"/>
      <c r="Y507" s="9"/>
      <c r="Z507" s="9"/>
    </row>
    <row r="508">
      <c r="B508" t="str">
        <f t="array" ref="B508">IFERROR(INDEX('Player Raw Data'!E:E,Match($A508,'Player Raw Data'!$B:$B,0)),"")</f>
        <v/>
      </c>
      <c r="C508" t="str">
        <f t="array" ref="C508">IFERROR(INDEX('Player Raw Data'!C:C,Match($A508,'Player Raw Data'!$B:$B,0)),"")</f>
        <v/>
      </c>
      <c r="D508" t="str">
        <f t="array" ref="D508">IFERROR(IF(A508=A507, INDEX('Player Raw Data'!D:D,Match($A508,'Player Raw Data'!$B:$B,0)+2),INDEX('Player Raw Data'!D:D,Match($A508,'Player Raw Data'!$B:$B,0))),"")</f>
        <v/>
      </c>
      <c r="E508" t="str">
        <f t="array" ref="E508">IFERROR(INDEX('Player Raw Data'!F:F,Match($A508,'Player Raw Data'!$B:$B,0)),"")</f>
        <v/>
      </c>
      <c r="F508" t="str">
        <f t="array" ref="F508">IFERROR(INDEX('Player Raw Data'!H:H,Match($A508,'Player Raw Data'!$B:$B,0)),"")</f>
        <v/>
      </c>
      <c r="G508" t="str">
        <f t="array" ref="G508">IFERROR(INDEX('Player Raw Data'!I:I,Match($A508,'Player Raw Data'!$B:$B,0)),"")</f>
        <v/>
      </c>
      <c r="H508" t="str">
        <f t="array" ref="H508">IFERROR(INDEX('Player Raw Data'!J:J,Match($A508,'Player Raw Data'!$B:$B,0)),"")</f>
        <v/>
      </c>
      <c r="I508" t="str">
        <f t="array" ref="I508">IFERROR(INDEX('Player Raw Data'!S:S,Match($A508,'Player Raw Data'!$B:$B,0)),"")</f>
        <v/>
      </c>
      <c r="J508" t="str">
        <f t="array" ref="J508">IFERROR(INDEX('Player Raw Data'!T:T,Match($A508,'Player Raw Data'!$B:$B,0)),"")</f>
        <v/>
      </c>
      <c r="K508" t="str">
        <f t="array" ref="K508">IFERROR(INDEX('Player Raw Data'!X:X,Match($A508,'Player Raw Data'!$B:$B,0)),"")</f>
        <v/>
      </c>
      <c r="L508" t="str">
        <f t="array" ref="L508">IFERROR(INDEX('Player Raw Data'!Y:Y,Match($A508,'Player Raw Data'!$B:$B,0)),"")</f>
        <v/>
      </c>
      <c r="M508" t="str">
        <f t="array" ref="M508">IFERROR(INDEX('Player Raw Data'!Z:Z,Match($A508,'Player Raw Data'!$B:$B,0)),"")</f>
        <v/>
      </c>
      <c r="N508" t="str">
        <f t="array" ref="N508">IFERROR(INDEX('Player Raw Data'!AA:AA,Match($A508,'Player Raw Data'!$B:$B,0)),"")</f>
        <v/>
      </c>
      <c r="O508" t="str">
        <f t="array" ref="O508">IFERROR(INDEX('Player Raw Data'!AB:AB,Match($A508,'Player Raw Data'!$B:$B,0)),"")</f>
        <v/>
      </c>
      <c r="P508" t="str">
        <f t="array" ref="P508">IFERROR(INDEX('Player Raw Data'!AD:AD,Match($A508,'Player Raw Data'!$B:$B,0)),"")</f>
        <v/>
      </c>
      <c r="Q508">
        <f t="shared" si="1"/>
        <v>0</v>
      </c>
      <c r="R508" s="9">
        <f t="shared" si="2"/>
        <v>0</v>
      </c>
      <c r="S508" s="14">
        <f t="shared" si="3"/>
        <v>0</v>
      </c>
      <c r="T508" s="15">
        <f>IFERROR(__xludf.DUMMYFUNCTION("IFERROR(PERCENTRANK.INC(FILTER(Q:Q,$F:$F&lt;&gt;""""),Q508)*100,"""")"),1.5)</f>
        <v>1.5</v>
      </c>
      <c r="U508" s="15">
        <f>IFERROR(__xludf.DUMMYFUNCTION("IFERROR(PERCENTRANK.INC(FILTER(R:R,$F:$F&lt;&gt;""""),R508)*100,"""")"),1.5)</f>
        <v>1.5</v>
      </c>
      <c r="V508" s="15">
        <f>IFERROR(__xludf.DUMMYFUNCTION("IFERROR(PERCENTRANK.INC(FILTER(S:S,$F:$F&lt;&gt;""""),S508)*100,"""")"),1.5)</f>
        <v>1.5</v>
      </c>
      <c r="W508" s="15" t="str">
        <f t="shared" si="4"/>
        <v/>
      </c>
      <c r="X508" s="16"/>
      <c r="Y508" s="9"/>
      <c r="Z508" s="9"/>
    </row>
    <row r="509">
      <c r="B509" t="str">
        <f t="array" ref="B509">IFERROR(INDEX('Player Raw Data'!E:E,Match($A509,'Player Raw Data'!$B:$B,0)),"")</f>
        <v/>
      </c>
      <c r="C509" t="str">
        <f t="array" ref="C509">IFERROR(INDEX('Player Raw Data'!C:C,Match($A509,'Player Raw Data'!$B:$B,0)),"")</f>
        <v/>
      </c>
      <c r="D509" t="str">
        <f t="array" ref="D509">IFERROR(IF(A509=A508, INDEX('Player Raw Data'!D:D,Match($A509,'Player Raw Data'!$B:$B,0)+2),INDEX('Player Raw Data'!D:D,Match($A509,'Player Raw Data'!$B:$B,0))),"")</f>
        <v/>
      </c>
      <c r="E509" t="str">
        <f t="array" ref="E509">IFERROR(INDEX('Player Raw Data'!F:F,Match($A509,'Player Raw Data'!$B:$B,0)),"")</f>
        <v/>
      </c>
      <c r="F509" t="str">
        <f t="array" ref="F509">IFERROR(INDEX('Player Raw Data'!H:H,Match($A509,'Player Raw Data'!$B:$B,0)),"")</f>
        <v/>
      </c>
      <c r="G509" t="str">
        <f t="array" ref="G509">IFERROR(INDEX('Player Raw Data'!I:I,Match($A509,'Player Raw Data'!$B:$B,0)),"")</f>
        <v/>
      </c>
      <c r="H509" t="str">
        <f t="array" ref="H509">IFERROR(INDEX('Player Raw Data'!J:J,Match($A509,'Player Raw Data'!$B:$B,0)),"")</f>
        <v/>
      </c>
      <c r="I509" t="str">
        <f t="array" ref="I509">IFERROR(INDEX('Player Raw Data'!S:S,Match($A509,'Player Raw Data'!$B:$B,0)),"")</f>
        <v/>
      </c>
      <c r="J509" t="str">
        <f t="array" ref="J509">IFERROR(INDEX('Player Raw Data'!T:T,Match($A509,'Player Raw Data'!$B:$B,0)),"")</f>
        <v/>
      </c>
      <c r="K509" t="str">
        <f t="array" ref="K509">IFERROR(INDEX('Player Raw Data'!X:X,Match($A509,'Player Raw Data'!$B:$B,0)),"")</f>
        <v/>
      </c>
      <c r="L509" t="str">
        <f t="array" ref="L509">IFERROR(INDEX('Player Raw Data'!Y:Y,Match($A509,'Player Raw Data'!$B:$B,0)),"")</f>
        <v/>
      </c>
      <c r="M509" t="str">
        <f t="array" ref="M509">IFERROR(INDEX('Player Raw Data'!Z:Z,Match($A509,'Player Raw Data'!$B:$B,0)),"")</f>
        <v/>
      </c>
      <c r="N509" t="str">
        <f t="array" ref="N509">IFERROR(INDEX('Player Raw Data'!AA:AA,Match($A509,'Player Raw Data'!$B:$B,0)),"")</f>
        <v/>
      </c>
      <c r="O509" t="str">
        <f t="array" ref="O509">IFERROR(INDEX('Player Raw Data'!AB:AB,Match($A509,'Player Raw Data'!$B:$B,0)),"")</f>
        <v/>
      </c>
      <c r="P509" t="str">
        <f t="array" ref="P509">IFERROR(INDEX('Player Raw Data'!AD:AD,Match($A509,'Player Raw Data'!$B:$B,0)),"")</f>
        <v/>
      </c>
      <c r="Q509">
        <f t="shared" si="1"/>
        <v>0</v>
      </c>
      <c r="R509" s="9">
        <f t="shared" si="2"/>
        <v>0</v>
      </c>
      <c r="S509" s="14">
        <f t="shared" si="3"/>
        <v>0</v>
      </c>
      <c r="T509" s="15">
        <f>IFERROR(__xludf.DUMMYFUNCTION("IFERROR(PERCENTRANK.INC(FILTER(Q:Q,$F:$F&lt;&gt;""""),Q509)*100,"""")"),1.5)</f>
        <v>1.5</v>
      </c>
      <c r="U509" s="15">
        <f>IFERROR(__xludf.DUMMYFUNCTION("IFERROR(PERCENTRANK.INC(FILTER(R:R,$F:$F&lt;&gt;""""),R509)*100,"""")"),1.5)</f>
        <v>1.5</v>
      </c>
      <c r="V509" s="15">
        <f>IFERROR(__xludf.DUMMYFUNCTION("IFERROR(PERCENTRANK.INC(FILTER(S:S,$F:$F&lt;&gt;""""),S509)*100,"""")"),1.5)</f>
        <v>1.5</v>
      </c>
      <c r="W509" s="15" t="str">
        <f t="shared" si="4"/>
        <v/>
      </c>
      <c r="X509" s="16"/>
      <c r="Y509" s="9"/>
      <c r="Z509" s="9"/>
    </row>
    <row r="510">
      <c r="B510" t="str">
        <f t="array" ref="B510">IFERROR(INDEX('Player Raw Data'!E:E,Match($A510,'Player Raw Data'!$B:$B,0)),"")</f>
        <v/>
      </c>
      <c r="C510" t="str">
        <f t="array" ref="C510">IFERROR(INDEX('Player Raw Data'!C:C,Match($A510,'Player Raw Data'!$B:$B,0)),"")</f>
        <v/>
      </c>
      <c r="D510" t="str">
        <f t="array" ref="D510">IFERROR(IF(A510=A509, INDEX('Player Raw Data'!D:D,Match($A510,'Player Raw Data'!$B:$B,0)+2),INDEX('Player Raw Data'!D:D,Match($A510,'Player Raw Data'!$B:$B,0))),"")</f>
        <v/>
      </c>
      <c r="E510" t="str">
        <f t="array" ref="E510">IFERROR(INDEX('Player Raw Data'!F:F,Match($A510,'Player Raw Data'!$B:$B,0)),"")</f>
        <v/>
      </c>
      <c r="F510" t="str">
        <f t="array" ref="F510">IFERROR(INDEX('Player Raw Data'!H:H,Match($A510,'Player Raw Data'!$B:$B,0)),"")</f>
        <v/>
      </c>
      <c r="G510" t="str">
        <f t="array" ref="G510">IFERROR(INDEX('Player Raw Data'!I:I,Match($A510,'Player Raw Data'!$B:$B,0)),"")</f>
        <v/>
      </c>
      <c r="H510" t="str">
        <f t="array" ref="H510">IFERROR(INDEX('Player Raw Data'!J:J,Match($A510,'Player Raw Data'!$B:$B,0)),"")</f>
        <v/>
      </c>
      <c r="I510" t="str">
        <f t="array" ref="I510">IFERROR(INDEX('Player Raw Data'!S:S,Match($A510,'Player Raw Data'!$B:$B,0)),"")</f>
        <v/>
      </c>
      <c r="J510" t="str">
        <f t="array" ref="J510">IFERROR(INDEX('Player Raw Data'!T:T,Match($A510,'Player Raw Data'!$B:$B,0)),"")</f>
        <v/>
      </c>
      <c r="K510" t="str">
        <f t="array" ref="K510">IFERROR(INDEX('Player Raw Data'!X:X,Match($A510,'Player Raw Data'!$B:$B,0)),"")</f>
        <v/>
      </c>
      <c r="L510" t="str">
        <f t="array" ref="L510">IFERROR(INDEX('Player Raw Data'!Y:Y,Match($A510,'Player Raw Data'!$B:$B,0)),"")</f>
        <v/>
      </c>
      <c r="M510" t="str">
        <f t="array" ref="M510">IFERROR(INDEX('Player Raw Data'!Z:Z,Match($A510,'Player Raw Data'!$B:$B,0)),"")</f>
        <v/>
      </c>
      <c r="N510" t="str">
        <f t="array" ref="N510">IFERROR(INDEX('Player Raw Data'!AA:AA,Match($A510,'Player Raw Data'!$B:$B,0)),"")</f>
        <v/>
      </c>
      <c r="O510" t="str">
        <f t="array" ref="O510">IFERROR(INDEX('Player Raw Data'!AB:AB,Match($A510,'Player Raw Data'!$B:$B,0)),"")</f>
        <v/>
      </c>
      <c r="P510" t="str">
        <f t="array" ref="P510">IFERROR(INDEX('Player Raw Data'!AD:AD,Match($A510,'Player Raw Data'!$B:$B,0)),"")</f>
        <v/>
      </c>
      <c r="Q510">
        <f t="shared" si="1"/>
        <v>0</v>
      </c>
      <c r="R510" s="9">
        <f t="shared" si="2"/>
        <v>0</v>
      </c>
      <c r="S510" s="14">
        <f t="shared" si="3"/>
        <v>0</v>
      </c>
      <c r="T510" s="15">
        <f>IFERROR(__xludf.DUMMYFUNCTION("IFERROR(PERCENTRANK.INC(FILTER(Q:Q,$F:$F&lt;&gt;""""),Q510)*100,"""")"),1.5)</f>
        <v>1.5</v>
      </c>
      <c r="U510" s="15">
        <f>IFERROR(__xludf.DUMMYFUNCTION("IFERROR(PERCENTRANK.INC(FILTER(R:R,$F:$F&lt;&gt;""""),R510)*100,"""")"),1.5)</f>
        <v>1.5</v>
      </c>
      <c r="V510" s="15">
        <f>IFERROR(__xludf.DUMMYFUNCTION("IFERROR(PERCENTRANK.INC(FILTER(S:S,$F:$F&lt;&gt;""""),S510)*100,"""")"),1.5)</f>
        <v>1.5</v>
      </c>
      <c r="W510" s="15" t="str">
        <f t="shared" si="4"/>
        <v/>
      </c>
      <c r="X510" s="16"/>
      <c r="Y510" s="9"/>
      <c r="Z510" s="9"/>
    </row>
    <row r="511">
      <c r="B511" t="str">
        <f t="array" ref="B511">IFERROR(INDEX('Player Raw Data'!E:E,Match($A511,'Player Raw Data'!$B:$B,0)),"")</f>
        <v/>
      </c>
      <c r="C511" t="str">
        <f t="array" ref="C511">IFERROR(INDEX('Player Raw Data'!C:C,Match($A511,'Player Raw Data'!$B:$B,0)),"")</f>
        <v/>
      </c>
      <c r="D511" t="str">
        <f t="array" ref="D511">IFERROR(IF(A511=A510, INDEX('Player Raw Data'!D:D,Match($A511,'Player Raw Data'!$B:$B,0)+2),INDEX('Player Raw Data'!D:D,Match($A511,'Player Raw Data'!$B:$B,0))),"")</f>
        <v/>
      </c>
      <c r="E511" t="str">
        <f t="array" ref="E511">IFERROR(INDEX('Player Raw Data'!F:F,Match($A511,'Player Raw Data'!$B:$B,0)),"")</f>
        <v/>
      </c>
      <c r="F511" t="str">
        <f t="array" ref="F511">IFERROR(INDEX('Player Raw Data'!H:H,Match($A511,'Player Raw Data'!$B:$B,0)),"")</f>
        <v/>
      </c>
      <c r="G511" t="str">
        <f t="array" ref="G511">IFERROR(INDEX('Player Raw Data'!I:I,Match($A511,'Player Raw Data'!$B:$B,0)),"")</f>
        <v/>
      </c>
      <c r="H511" t="str">
        <f t="array" ref="H511">IFERROR(INDEX('Player Raw Data'!J:J,Match($A511,'Player Raw Data'!$B:$B,0)),"")</f>
        <v/>
      </c>
      <c r="I511" t="str">
        <f t="array" ref="I511">IFERROR(INDEX('Player Raw Data'!S:S,Match($A511,'Player Raw Data'!$B:$B,0)),"")</f>
        <v/>
      </c>
      <c r="J511" t="str">
        <f t="array" ref="J511">IFERROR(INDEX('Player Raw Data'!T:T,Match($A511,'Player Raw Data'!$B:$B,0)),"")</f>
        <v/>
      </c>
      <c r="K511" t="str">
        <f t="array" ref="K511">IFERROR(INDEX('Player Raw Data'!X:X,Match($A511,'Player Raw Data'!$B:$B,0)),"")</f>
        <v/>
      </c>
      <c r="L511" t="str">
        <f t="array" ref="L511">IFERROR(INDEX('Player Raw Data'!Y:Y,Match($A511,'Player Raw Data'!$B:$B,0)),"")</f>
        <v/>
      </c>
      <c r="M511" t="str">
        <f t="array" ref="M511">IFERROR(INDEX('Player Raw Data'!Z:Z,Match($A511,'Player Raw Data'!$B:$B,0)),"")</f>
        <v/>
      </c>
      <c r="N511" t="str">
        <f t="array" ref="N511">IFERROR(INDEX('Player Raw Data'!AA:AA,Match($A511,'Player Raw Data'!$B:$B,0)),"")</f>
        <v/>
      </c>
      <c r="O511" t="str">
        <f t="array" ref="O511">IFERROR(INDEX('Player Raw Data'!AB:AB,Match($A511,'Player Raw Data'!$B:$B,0)),"")</f>
        <v/>
      </c>
      <c r="P511" t="str">
        <f t="array" ref="P511">IFERROR(INDEX('Player Raw Data'!AD:AD,Match($A511,'Player Raw Data'!$B:$B,0)),"")</f>
        <v/>
      </c>
      <c r="Q511">
        <f t="shared" si="1"/>
        <v>0</v>
      </c>
      <c r="R511" s="9">
        <f t="shared" si="2"/>
        <v>0</v>
      </c>
      <c r="S511" s="14">
        <f t="shared" si="3"/>
        <v>0</v>
      </c>
      <c r="T511" s="15">
        <f>IFERROR(__xludf.DUMMYFUNCTION("IFERROR(PERCENTRANK.INC(FILTER(Q:Q,$F:$F&lt;&gt;""""),Q511)*100,"""")"),1.5)</f>
        <v>1.5</v>
      </c>
      <c r="U511" s="15">
        <f>IFERROR(__xludf.DUMMYFUNCTION("IFERROR(PERCENTRANK.INC(FILTER(R:R,$F:$F&lt;&gt;""""),R511)*100,"""")"),1.5)</f>
        <v>1.5</v>
      </c>
      <c r="V511" s="15">
        <f>IFERROR(__xludf.DUMMYFUNCTION("IFERROR(PERCENTRANK.INC(FILTER(S:S,$F:$F&lt;&gt;""""),S511)*100,"""")"),1.5)</f>
        <v>1.5</v>
      </c>
      <c r="W511" s="15" t="str">
        <f t="shared" si="4"/>
        <v/>
      </c>
      <c r="X511" s="16"/>
      <c r="Y511" s="9"/>
      <c r="Z511" s="9"/>
    </row>
    <row r="512">
      <c r="B512" t="str">
        <f t="array" ref="B512">IFERROR(INDEX('Player Raw Data'!E:E,Match($A512,'Player Raw Data'!$B:$B,0)),"")</f>
        <v/>
      </c>
      <c r="C512" t="str">
        <f t="array" ref="C512">IFERROR(INDEX('Player Raw Data'!C:C,Match($A512,'Player Raw Data'!$B:$B,0)),"")</f>
        <v/>
      </c>
      <c r="D512" t="str">
        <f t="array" ref="D512">IFERROR(IF(A512=A511, INDEX('Player Raw Data'!D:D,Match($A512,'Player Raw Data'!$B:$B,0)+2),INDEX('Player Raw Data'!D:D,Match($A512,'Player Raw Data'!$B:$B,0))),"")</f>
        <v/>
      </c>
      <c r="E512" t="str">
        <f t="array" ref="E512">IFERROR(INDEX('Player Raw Data'!F:F,Match($A512,'Player Raw Data'!$B:$B,0)),"")</f>
        <v/>
      </c>
      <c r="F512" t="str">
        <f t="array" ref="F512">IFERROR(INDEX('Player Raw Data'!H:H,Match($A512,'Player Raw Data'!$B:$B,0)),"")</f>
        <v/>
      </c>
      <c r="G512" t="str">
        <f t="array" ref="G512">IFERROR(INDEX('Player Raw Data'!I:I,Match($A512,'Player Raw Data'!$B:$B,0)),"")</f>
        <v/>
      </c>
      <c r="H512" t="str">
        <f t="array" ref="H512">IFERROR(INDEX('Player Raw Data'!J:J,Match($A512,'Player Raw Data'!$B:$B,0)),"")</f>
        <v/>
      </c>
      <c r="I512" t="str">
        <f t="array" ref="I512">IFERROR(INDEX('Player Raw Data'!S:S,Match($A512,'Player Raw Data'!$B:$B,0)),"")</f>
        <v/>
      </c>
      <c r="J512" t="str">
        <f t="array" ref="J512">IFERROR(INDEX('Player Raw Data'!T:T,Match($A512,'Player Raw Data'!$B:$B,0)),"")</f>
        <v/>
      </c>
      <c r="K512" t="str">
        <f t="array" ref="K512">IFERROR(INDEX('Player Raw Data'!X:X,Match($A512,'Player Raw Data'!$B:$B,0)),"")</f>
        <v/>
      </c>
      <c r="L512" t="str">
        <f t="array" ref="L512">IFERROR(INDEX('Player Raw Data'!Y:Y,Match($A512,'Player Raw Data'!$B:$B,0)),"")</f>
        <v/>
      </c>
      <c r="M512" t="str">
        <f t="array" ref="M512">IFERROR(INDEX('Player Raw Data'!Z:Z,Match($A512,'Player Raw Data'!$B:$B,0)),"")</f>
        <v/>
      </c>
      <c r="N512" t="str">
        <f t="array" ref="N512">IFERROR(INDEX('Player Raw Data'!AA:AA,Match($A512,'Player Raw Data'!$B:$B,0)),"")</f>
        <v/>
      </c>
      <c r="O512" t="str">
        <f t="array" ref="O512">IFERROR(INDEX('Player Raw Data'!AB:AB,Match($A512,'Player Raw Data'!$B:$B,0)),"")</f>
        <v/>
      </c>
      <c r="P512" t="str">
        <f t="array" ref="P512">IFERROR(INDEX('Player Raw Data'!AD:AD,Match($A512,'Player Raw Data'!$B:$B,0)),"")</f>
        <v/>
      </c>
      <c r="Q512">
        <f t="shared" si="1"/>
        <v>0</v>
      </c>
      <c r="R512" s="9">
        <f t="shared" si="2"/>
        <v>0</v>
      </c>
      <c r="S512" s="14">
        <f t="shared" si="3"/>
        <v>0</v>
      </c>
      <c r="T512" s="15">
        <f>IFERROR(__xludf.DUMMYFUNCTION("IFERROR(PERCENTRANK.INC(FILTER(Q:Q,$F:$F&lt;&gt;""""),Q512)*100,"""")"),1.5)</f>
        <v>1.5</v>
      </c>
      <c r="U512" s="15">
        <f>IFERROR(__xludf.DUMMYFUNCTION("IFERROR(PERCENTRANK.INC(FILTER(R:R,$F:$F&lt;&gt;""""),R512)*100,"""")"),1.5)</f>
        <v>1.5</v>
      </c>
      <c r="V512" s="15">
        <f>IFERROR(__xludf.DUMMYFUNCTION("IFERROR(PERCENTRANK.INC(FILTER(S:S,$F:$F&lt;&gt;""""),S512)*100,"""")"),1.5)</f>
        <v>1.5</v>
      </c>
      <c r="W512" s="15" t="str">
        <f t="shared" si="4"/>
        <v/>
      </c>
      <c r="X512" s="16"/>
      <c r="Y512" s="9"/>
      <c r="Z512" s="9"/>
    </row>
    <row r="513">
      <c r="B513" t="str">
        <f t="array" ref="B513">IFERROR(INDEX('Player Raw Data'!E:E,Match($A513,'Player Raw Data'!$B:$B,0)),"")</f>
        <v/>
      </c>
      <c r="C513" t="str">
        <f t="array" ref="C513">IFERROR(INDEX('Player Raw Data'!C:C,Match($A513,'Player Raw Data'!$B:$B,0)),"")</f>
        <v/>
      </c>
      <c r="D513" t="str">
        <f t="array" ref="D513">IFERROR(IF(A513=A512, INDEX('Player Raw Data'!D:D,Match($A513,'Player Raw Data'!$B:$B,0)+2),INDEX('Player Raw Data'!D:D,Match($A513,'Player Raw Data'!$B:$B,0))),"")</f>
        <v/>
      </c>
      <c r="E513" t="str">
        <f t="array" ref="E513">IFERROR(INDEX('Player Raw Data'!F:F,Match($A513,'Player Raw Data'!$B:$B,0)),"")</f>
        <v/>
      </c>
      <c r="F513" t="str">
        <f t="array" ref="F513">IFERROR(INDEX('Player Raw Data'!H:H,Match($A513,'Player Raw Data'!$B:$B,0)),"")</f>
        <v/>
      </c>
      <c r="G513" t="str">
        <f t="array" ref="G513">IFERROR(INDEX('Player Raw Data'!I:I,Match($A513,'Player Raw Data'!$B:$B,0)),"")</f>
        <v/>
      </c>
      <c r="H513" t="str">
        <f t="array" ref="H513">IFERROR(INDEX('Player Raw Data'!J:J,Match($A513,'Player Raw Data'!$B:$B,0)),"")</f>
        <v/>
      </c>
      <c r="I513" t="str">
        <f t="array" ref="I513">IFERROR(INDEX('Player Raw Data'!S:S,Match($A513,'Player Raw Data'!$B:$B,0)),"")</f>
        <v/>
      </c>
      <c r="J513" t="str">
        <f t="array" ref="J513">IFERROR(INDEX('Player Raw Data'!T:T,Match($A513,'Player Raw Data'!$B:$B,0)),"")</f>
        <v/>
      </c>
      <c r="K513" t="str">
        <f t="array" ref="K513">IFERROR(INDEX('Player Raw Data'!X:X,Match($A513,'Player Raw Data'!$B:$B,0)),"")</f>
        <v/>
      </c>
      <c r="L513" t="str">
        <f t="array" ref="L513">IFERROR(INDEX('Player Raw Data'!Y:Y,Match($A513,'Player Raw Data'!$B:$B,0)),"")</f>
        <v/>
      </c>
      <c r="M513" t="str">
        <f t="array" ref="M513">IFERROR(INDEX('Player Raw Data'!Z:Z,Match($A513,'Player Raw Data'!$B:$B,0)),"")</f>
        <v/>
      </c>
      <c r="N513" t="str">
        <f t="array" ref="N513">IFERROR(INDEX('Player Raw Data'!AA:AA,Match($A513,'Player Raw Data'!$B:$B,0)),"")</f>
        <v/>
      </c>
      <c r="O513" t="str">
        <f t="array" ref="O513">IFERROR(INDEX('Player Raw Data'!AB:AB,Match($A513,'Player Raw Data'!$B:$B,0)),"")</f>
        <v/>
      </c>
      <c r="P513" t="str">
        <f t="array" ref="P513">IFERROR(INDEX('Player Raw Data'!AD:AD,Match($A513,'Player Raw Data'!$B:$B,0)),"")</f>
        <v/>
      </c>
      <c r="Q513">
        <f t="shared" si="1"/>
        <v>0</v>
      </c>
      <c r="R513" s="9">
        <f t="shared" si="2"/>
        <v>0</v>
      </c>
      <c r="S513" s="14">
        <f t="shared" si="3"/>
        <v>0</v>
      </c>
      <c r="T513" s="15">
        <f>IFERROR(__xludf.DUMMYFUNCTION("IFERROR(PERCENTRANK.INC(FILTER(Q:Q,$F:$F&lt;&gt;""""),Q513)*100,"""")"),1.5)</f>
        <v>1.5</v>
      </c>
      <c r="U513" s="15">
        <f>IFERROR(__xludf.DUMMYFUNCTION("IFERROR(PERCENTRANK.INC(FILTER(R:R,$F:$F&lt;&gt;""""),R513)*100,"""")"),1.5)</f>
        <v>1.5</v>
      </c>
      <c r="V513" s="15">
        <f>IFERROR(__xludf.DUMMYFUNCTION("IFERROR(PERCENTRANK.INC(FILTER(S:S,$F:$F&lt;&gt;""""),S513)*100,"""")"),1.5)</f>
        <v>1.5</v>
      </c>
      <c r="W513" s="15" t="str">
        <f t="shared" si="4"/>
        <v/>
      </c>
      <c r="X513" s="16"/>
      <c r="Y513" s="9"/>
      <c r="Z513" s="9"/>
    </row>
    <row r="514">
      <c r="B514" t="str">
        <f t="array" ref="B514">IFERROR(INDEX('Player Raw Data'!E:E,Match($A514,'Player Raw Data'!$B:$B,0)),"")</f>
        <v/>
      </c>
      <c r="C514" t="str">
        <f t="array" ref="C514">IFERROR(INDEX('Player Raw Data'!C:C,Match($A514,'Player Raw Data'!$B:$B,0)),"")</f>
        <v/>
      </c>
      <c r="D514" t="str">
        <f t="array" ref="D514">IFERROR(IF(A514=A513, INDEX('Player Raw Data'!D:D,Match($A514,'Player Raw Data'!$B:$B,0)+2),INDEX('Player Raw Data'!D:D,Match($A514,'Player Raw Data'!$B:$B,0))),"")</f>
        <v/>
      </c>
      <c r="E514" t="str">
        <f t="array" ref="E514">IFERROR(INDEX('Player Raw Data'!F:F,Match($A514,'Player Raw Data'!$B:$B,0)),"")</f>
        <v/>
      </c>
      <c r="F514" t="str">
        <f t="array" ref="F514">IFERROR(INDEX('Player Raw Data'!H:H,Match($A514,'Player Raw Data'!$B:$B,0)),"")</f>
        <v/>
      </c>
      <c r="G514" t="str">
        <f t="array" ref="G514">IFERROR(INDEX('Player Raw Data'!I:I,Match($A514,'Player Raw Data'!$B:$B,0)),"")</f>
        <v/>
      </c>
      <c r="H514" t="str">
        <f t="array" ref="H514">IFERROR(INDEX('Player Raw Data'!J:J,Match($A514,'Player Raw Data'!$B:$B,0)),"")</f>
        <v/>
      </c>
      <c r="I514" t="str">
        <f t="array" ref="I514">IFERROR(INDEX('Player Raw Data'!S:S,Match($A514,'Player Raw Data'!$B:$B,0)),"")</f>
        <v/>
      </c>
      <c r="J514" t="str">
        <f t="array" ref="J514">IFERROR(INDEX('Player Raw Data'!T:T,Match($A514,'Player Raw Data'!$B:$B,0)),"")</f>
        <v/>
      </c>
      <c r="K514" t="str">
        <f t="array" ref="K514">IFERROR(INDEX('Player Raw Data'!X:X,Match($A514,'Player Raw Data'!$B:$B,0)),"")</f>
        <v/>
      </c>
      <c r="L514" t="str">
        <f t="array" ref="L514">IFERROR(INDEX('Player Raw Data'!Y:Y,Match($A514,'Player Raw Data'!$B:$B,0)),"")</f>
        <v/>
      </c>
      <c r="M514" t="str">
        <f t="array" ref="M514">IFERROR(INDEX('Player Raw Data'!Z:Z,Match($A514,'Player Raw Data'!$B:$B,0)),"")</f>
        <v/>
      </c>
      <c r="N514" t="str">
        <f t="array" ref="N514">IFERROR(INDEX('Player Raw Data'!AA:AA,Match($A514,'Player Raw Data'!$B:$B,0)),"")</f>
        <v/>
      </c>
      <c r="O514" t="str">
        <f t="array" ref="O514">IFERROR(INDEX('Player Raw Data'!AB:AB,Match($A514,'Player Raw Data'!$B:$B,0)),"")</f>
        <v/>
      </c>
      <c r="P514" t="str">
        <f t="array" ref="P514">IFERROR(INDEX('Player Raw Data'!AD:AD,Match($A514,'Player Raw Data'!$B:$B,0)),"")</f>
        <v/>
      </c>
      <c r="Q514">
        <f t="shared" si="1"/>
        <v>0</v>
      </c>
      <c r="R514" s="9">
        <f t="shared" si="2"/>
        <v>0</v>
      </c>
      <c r="S514" s="14">
        <f t="shared" si="3"/>
        <v>0</v>
      </c>
      <c r="T514" s="15">
        <f>IFERROR(__xludf.DUMMYFUNCTION("IFERROR(PERCENTRANK.INC(FILTER(Q:Q,$F:$F&lt;&gt;""""),Q514)*100,"""")"),1.5)</f>
        <v>1.5</v>
      </c>
      <c r="U514" s="15">
        <f>IFERROR(__xludf.DUMMYFUNCTION("IFERROR(PERCENTRANK.INC(FILTER(R:R,$F:$F&lt;&gt;""""),R514)*100,"""")"),1.5)</f>
        <v>1.5</v>
      </c>
      <c r="V514" s="15">
        <f>IFERROR(__xludf.DUMMYFUNCTION("IFERROR(PERCENTRANK.INC(FILTER(S:S,$F:$F&lt;&gt;""""),S514)*100,"""")"),1.5)</f>
        <v>1.5</v>
      </c>
      <c r="W514" s="15" t="str">
        <f t="shared" si="4"/>
        <v/>
      </c>
      <c r="X514" s="16"/>
      <c r="Y514" s="9"/>
      <c r="Z514" s="9"/>
    </row>
    <row r="515">
      <c r="B515" t="str">
        <f t="array" ref="B515">IFERROR(INDEX('Player Raw Data'!E:E,Match($A515,'Player Raw Data'!$B:$B,0)),"")</f>
        <v/>
      </c>
      <c r="C515" t="str">
        <f t="array" ref="C515">IFERROR(INDEX('Player Raw Data'!C:C,Match($A515,'Player Raw Data'!$B:$B,0)),"")</f>
        <v/>
      </c>
      <c r="D515" t="str">
        <f t="array" ref="D515">IFERROR(IF(A515=A514, INDEX('Player Raw Data'!D:D,Match($A515,'Player Raw Data'!$B:$B,0)+2),INDEX('Player Raw Data'!D:D,Match($A515,'Player Raw Data'!$B:$B,0))),"")</f>
        <v/>
      </c>
      <c r="E515" t="str">
        <f t="array" ref="E515">IFERROR(INDEX('Player Raw Data'!F:F,Match($A515,'Player Raw Data'!$B:$B,0)),"")</f>
        <v/>
      </c>
      <c r="F515" t="str">
        <f t="array" ref="F515">IFERROR(INDEX('Player Raw Data'!H:H,Match($A515,'Player Raw Data'!$B:$B,0)),"")</f>
        <v/>
      </c>
      <c r="G515" t="str">
        <f t="array" ref="G515">IFERROR(INDEX('Player Raw Data'!I:I,Match($A515,'Player Raw Data'!$B:$B,0)),"")</f>
        <v/>
      </c>
      <c r="H515" t="str">
        <f t="array" ref="H515">IFERROR(INDEX('Player Raw Data'!J:J,Match($A515,'Player Raw Data'!$B:$B,0)),"")</f>
        <v/>
      </c>
      <c r="I515" t="str">
        <f t="array" ref="I515">IFERROR(INDEX('Player Raw Data'!S:S,Match($A515,'Player Raw Data'!$B:$B,0)),"")</f>
        <v/>
      </c>
      <c r="J515" t="str">
        <f t="array" ref="J515">IFERROR(INDEX('Player Raw Data'!T:T,Match($A515,'Player Raw Data'!$B:$B,0)),"")</f>
        <v/>
      </c>
      <c r="K515" t="str">
        <f t="array" ref="K515">IFERROR(INDEX('Player Raw Data'!X:X,Match($A515,'Player Raw Data'!$B:$B,0)),"")</f>
        <v/>
      </c>
      <c r="L515" t="str">
        <f t="array" ref="L515">IFERROR(INDEX('Player Raw Data'!Y:Y,Match($A515,'Player Raw Data'!$B:$B,0)),"")</f>
        <v/>
      </c>
      <c r="M515" t="str">
        <f t="array" ref="M515">IFERROR(INDEX('Player Raw Data'!Z:Z,Match($A515,'Player Raw Data'!$B:$B,0)),"")</f>
        <v/>
      </c>
      <c r="N515" t="str">
        <f t="array" ref="N515">IFERROR(INDEX('Player Raw Data'!AA:AA,Match($A515,'Player Raw Data'!$B:$B,0)),"")</f>
        <v/>
      </c>
      <c r="O515" t="str">
        <f t="array" ref="O515">IFERROR(INDEX('Player Raw Data'!AB:AB,Match($A515,'Player Raw Data'!$B:$B,0)),"")</f>
        <v/>
      </c>
      <c r="P515" t="str">
        <f t="array" ref="P515">IFERROR(INDEX('Player Raw Data'!AD:AD,Match($A515,'Player Raw Data'!$B:$B,0)),"")</f>
        <v/>
      </c>
      <c r="Q515">
        <f t="shared" si="1"/>
        <v>0</v>
      </c>
      <c r="R515" s="9">
        <f t="shared" si="2"/>
        <v>0</v>
      </c>
      <c r="S515" s="14">
        <f t="shared" si="3"/>
        <v>0</v>
      </c>
      <c r="T515" s="15">
        <f>IFERROR(__xludf.DUMMYFUNCTION("IFERROR(PERCENTRANK.INC(FILTER(Q:Q,$F:$F&lt;&gt;""""),Q515)*100,"""")"),1.5)</f>
        <v>1.5</v>
      </c>
      <c r="U515" s="15">
        <f>IFERROR(__xludf.DUMMYFUNCTION("IFERROR(PERCENTRANK.INC(FILTER(R:R,$F:$F&lt;&gt;""""),R515)*100,"""")"),1.5)</f>
        <v>1.5</v>
      </c>
      <c r="V515" s="15">
        <f>IFERROR(__xludf.DUMMYFUNCTION("IFERROR(PERCENTRANK.INC(FILTER(S:S,$F:$F&lt;&gt;""""),S515)*100,"""")"),1.5)</f>
        <v>1.5</v>
      </c>
      <c r="W515" s="15" t="str">
        <f t="shared" si="4"/>
        <v/>
      </c>
      <c r="X515" s="16"/>
      <c r="Y515" s="9"/>
      <c r="Z515" s="9"/>
    </row>
    <row r="516">
      <c r="B516" t="str">
        <f t="array" ref="B516">IFERROR(INDEX('Player Raw Data'!E:E,Match($A516,'Player Raw Data'!$B:$B,0)),"")</f>
        <v/>
      </c>
      <c r="C516" t="str">
        <f t="array" ref="C516">IFERROR(INDEX('Player Raw Data'!C:C,Match($A516,'Player Raw Data'!$B:$B,0)),"")</f>
        <v/>
      </c>
      <c r="D516" t="str">
        <f t="array" ref="D516">IFERROR(IF(A516=A515, INDEX('Player Raw Data'!D:D,Match($A516,'Player Raw Data'!$B:$B,0)+2),INDEX('Player Raw Data'!D:D,Match($A516,'Player Raw Data'!$B:$B,0))),"")</f>
        <v/>
      </c>
      <c r="E516" t="str">
        <f t="array" ref="E516">IFERROR(INDEX('Player Raw Data'!F:F,Match($A516,'Player Raw Data'!$B:$B,0)),"")</f>
        <v/>
      </c>
      <c r="F516" t="str">
        <f t="array" ref="F516">IFERROR(INDEX('Player Raw Data'!H:H,Match($A516,'Player Raw Data'!$B:$B,0)),"")</f>
        <v/>
      </c>
      <c r="G516" t="str">
        <f t="array" ref="G516">IFERROR(INDEX('Player Raw Data'!I:I,Match($A516,'Player Raw Data'!$B:$B,0)),"")</f>
        <v/>
      </c>
      <c r="H516" t="str">
        <f t="array" ref="H516">IFERROR(INDEX('Player Raw Data'!J:J,Match($A516,'Player Raw Data'!$B:$B,0)),"")</f>
        <v/>
      </c>
      <c r="I516" t="str">
        <f t="array" ref="I516">IFERROR(INDEX('Player Raw Data'!S:S,Match($A516,'Player Raw Data'!$B:$B,0)),"")</f>
        <v/>
      </c>
      <c r="J516" t="str">
        <f t="array" ref="J516">IFERROR(INDEX('Player Raw Data'!T:T,Match($A516,'Player Raw Data'!$B:$B,0)),"")</f>
        <v/>
      </c>
      <c r="K516" t="str">
        <f t="array" ref="K516">IFERROR(INDEX('Player Raw Data'!X:X,Match($A516,'Player Raw Data'!$B:$B,0)),"")</f>
        <v/>
      </c>
      <c r="L516" t="str">
        <f t="array" ref="L516">IFERROR(INDEX('Player Raw Data'!Y:Y,Match($A516,'Player Raw Data'!$B:$B,0)),"")</f>
        <v/>
      </c>
      <c r="M516" t="str">
        <f t="array" ref="M516">IFERROR(INDEX('Player Raw Data'!Z:Z,Match($A516,'Player Raw Data'!$B:$B,0)),"")</f>
        <v/>
      </c>
      <c r="N516" t="str">
        <f t="array" ref="N516">IFERROR(INDEX('Player Raw Data'!AA:AA,Match($A516,'Player Raw Data'!$B:$B,0)),"")</f>
        <v/>
      </c>
      <c r="O516" t="str">
        <f t="array" ref="O516">IFERROR(INDEX('Player Raw Data'!AB:AB,Match($A516,'Player Raw Data'!$B:$B,0)),"")</f>
        <v/>
      </c>
      <c r="P516" t="str">
        <f t="array" ref="P516">IFERROR(INDEX('Player Raw Data'!AD:AD,Match($A516,'Player Raw Data'!$B:$B,0)),"")</f>
        <v/>
      </c>
      <c r="Q516">
        <f t="shared" si="1"/>
        <v>0</v>
      </c>
      <c r="R516" s="9">
        <f t="shared" si="2"/>
        <v>0</v>
      </c>
      <c r="S516" s="14">
        <f t="shared" si="3"/>
        <v>0</v>
      </c>
      <c r="T516" s="15">
        <f>IFERROR(__xludf.DUMMYFUNCTION("IFERROR(PERCENTRANK.INC(FILTER(Q:Q,$F:$F&lt;&gt;""""),Q516)*100,"""")"),1.5)</f>
        <v>1.5</v>
      </c>
      <c r="U516" s="15">
        <f>IFERROR(__xludf.DUMMYFUNCTION("IFERROR(PERCENTRANK.INC(FILTER(R:R,$F:$F&lt;&gt;""""),R516)*100,"""")"),1.5)</f>
        <v>1.5</v>
      </c>
      <c r="V516" s="15">
        <f>IFERROR(__xludf.DUMMYFUNCTION("IFERROR(PERCENTRANK.INC(FILTER(S:S,$F:$F&lt;&gt;""""),S516)*100,"""")"),1.5)</f>
        <v>1.5</v>
      </c>
      <c r="W516" s="15" t="str">
        <f t="shared" si="4"/>
        <v/>
      </c>
      <c r="X516" s="16"/>
      <c r="Y516" s="9"/>
      <c r="Z516" s="9"/>
    </row>
    <row r="517">
      <c r="B517" t="str">
        <f t="array" ref="B517">IFERROR(INDEX('Player Raw Data'!E:E,Match($A517,'Player Raw Data'!$B:$B,0)),"")</f>
        <v/>
      </c>
      <c r="C517" t="str">
        <f t="array" ref="C517">IFERROR(INDEX('Player Raw Data'!C:C,Match($A517,'Player Raw Data'!$B:$B,0)),"")</f>
        <v/>
      </c>
      <c r="D517" t="str">
        <f t="array" ref="D517">IFERROR(IF(A517=A516, INDEX('Player Raw Data'!D:D,Match($A517,'Player Raw Data'!$B:$B,0)+2),INDEX('Player Raw Data'!D:D,Match($A517,'Player Raw Data'!$B:$B,0))),"")</f>
        <v/>
      </c>
      <c r="E517" t="str">
        <f t="array" ref="E517">IFERROR(INDEX('Player Raw Data'!F:F,Match($A517,'Player Raw Data'!$B:$B,0)),"")</f>
        <v/>
      </c>
      <c r="F517" t="str">
        <f t="array" ref="F517">IFERROR(INDEX('Player Raw Data'!H:H,Match($A517,'Player Raw Data'!$B:$B,0)),"")</f>
        <v/>
      </c>
      <c r="G517" t="str">
        <f t="array" ref="G517">IFERROR(INDEX('Player Raw Data'!I:I,Match($A517,'Player Raw Data'!$B:$B,0)),"")</f>
        <v/>
      </c>
      <c r="H517" t="str">
        <f t="array" ref="H517">IFERROR(INDEX('Player Raw Data'!J:J,Match($A517,'Player Raw Data'!$B:$B,0)),"")</f>
        <v/>
      </c>
      <c r="I517" t="str">
        <f t="array" ref="I517">IFERROR(INDEX('Player Raw Data'!S:S,Match($A517,'Player Raw Data'!$B:$B,0)),"")</f>
        <v/>
      </c>
      <c r="J517" t="str">
        <f t="array" ref="J517">IFERROR(INDEX('Player Raw Data'!T:T,Match($A517,'Player Raw Data'!$B:$B,0)),"")</f>
        <v/>
      </c>
      <c r="K517" t="str">
        <f t="array" ref="K517">IFERROR(INDEX('Player Raw Data'!X:X,Match($A517,'Player Raw Data'!$B:$B,0)),"")</f>
        <v/>
      </c>
      <c r="L517" t="str">
        <f t="array" ref="L517">IFERROR(INDEX('Player Raw Data'!Y:Y,Match($A517,'Player Raw Data'!$B:$B,0)),"")</f>
        <v/>
      </c>
      <c r="M517" t="str">
        <f t="array" ref="M517">IFERROR(INDEX('Player Raw Data'!Z:Z,Match($A517,'Player Raw Data'!$B:$B,0)),"")</f>
        <v/>
      </c>
      <c r="N517" t="str">
        <f t="array" ref="N517">IFERROR(INDEX('Player Raw Data'!AA:AA,Match($A517,'Player Raw Data'!$B:$B,0)),"")</f>
        <v/>
      </c>
      <c r="O517" t="str">
        <f t="array" ref="O517">IFERROR(INDEX('Player Raw Data'!AB:AB,Match($A517,'Player Raw Data'!$B:$B,0)),"")</f>
        <v/>
      </c>
      <c r="P517" t="str">
        <f t="array" ref="P517">IFERROR(INDEX('Player Raw Data'!AD:AD,Match($A517,'Player Raw Data'!$B:$B,0)),"")</f>
        <v/>
      </c>
      <c r="Q517">
        <f t="shared" si="1"/>
        <v>0</v>
      </c>
      <c r="R517" s="9">
        <f t="shared" si="2"/>
        <v>0</v>
      </c>
      <c r="S517" s="14">
        <f t="shared" si="3"/>
        <v>0</v>
      </c>
      <c r="T517" s="15">
        <f>IFERROR(__xludf.DUMMYFUNCTION("IFERROR(PERCENTRANK.INC(FILTER(Q:Q,$F:$F&lt;&gt;""""),Q517)*100,"""")"),1.5)</f>
        <v>1.5</v>
      </c>
      <c r="U517" s="15">
        <f>IFERROR(__xludf.DUMMYFUNCTION("IFERROR(PERCENTRANK.INC(FILTER(R:R,$F:$F&lt;&gt;""""),R517)*100,"""")"),1.5)</f>
        <v>1.5</v>
      </c>
      <c r="V517" s="15">
        <f>IFERROR(__xludf.DUMMYFUNCTION("IFERROR(PERCENTRANK.INC(FILTER(S:S,$F:$F&lt;&gt;""""),S517)*100,"""")"),1.5)</f>
        <v>1.5</v>
      </c>
      <c r="W517" s="15" t="str">
        <f t="shared" si="4"/>
        <v/>
      </c>
      <c r="X517" s="16"/>
      <c r="Y517" s="9"/>
      <c r="Z517" s="9"/>
    </row>
    <row r="518">
      <c r="B518" t="str">
        <f t="array" ref="B518">IFERROR(INDEX('Player Raw Data'!E:E,Match($A518,'Player Raw Data'!$B:$B,0)),"")</f>
        <v/>
      </c>
      <c r="C518" t="str">
        <f t="array" ref="C518">IFERROR(INDEX('Player Raw Data'!C:C,Match($A518,'Player Raw Data'!$B:$B,0)),"")</f>
        <v/>
      </c>
      <c r="D518" t="str">
        <f t="array" ref="D518">IFERROR(IF(A518=A517, INDEX('Player Raw Data'!D:D,Match($A518,'Player Raw Data'!$B:$B,0)+2),INDEX('Player Raw Data'!D:D,Match($A518,'Player Raw Data'!$B:$B,0))),"")</f>
        <v/>
      </c>
      <c r="E518" t="str">
        <f t="array" ref="E518">IFERROR(INDEX('Player Raw Data'!F:F,Match($A518,'Player Raw Data'!$B:$B,0)),"")</f>
        <v/>
      </c>
      <c r="F518" t="str">
        <f t="array" ref="F518">IFERROR(INDEX('Player Raw Data'!H:H,Match($A518,'Player Raw Data'!$B:$B,0)),"")</f>
        <v/>
      </c>
      <c r="G518" t="str">
        <f t="array" ref="G518">IFERROR(INDEX('Player Raw Data'!I:I,Match($A518,'Player Raw Data'!$B:$B,0)),"")</f>
        <v/>
      </c>
      <c r="H518" t="str">
        <f t="array" ref="H518">IFERROR(INDEX('Player Raw Data'!J:J,Match($A518,'Player Raw Data'!$B:$B,0)),"")</f>
        <v/>
      </c>
      <c r="I518" t="str">
        <f t="array" ref="I518">IFERROR(INDEX('Player Raw Data'!S:S,Match($A518,'Player Raw Data'!$B:$B,0)),"")</f>
        <v/>
      </c>
      <c r="J518" t="str">
        <f t="array" ref="J518">IFERROR(INDEX('Player Raw Data'!T:T,Match($A518,'Player Raw Data'!$B:$B,0)),"")</f>
        <v/>
      </c>
      <c r="K518" t="str">
        <f t="array" ref="K518">IFERROR(INDEX('Player Raw Data'!X:X,Match($A518,'Player Raw Data'!$B:$B,0)),"")</f>
        <v/>
      </c>
      <c r="L518" t="str">
        <f t="array" ref="L518">IFERROR(INDEX('Player Raw Data'!Y:Y,Match($A518,'Player Raw Data'!$B:$B,0)),"")</f>
        <v/>
      </c>
      <c r="M518" t="str">
        <f t="array" ref="M518">IFERROR(INDEX('Player Raw Data'!Z:Z,Match($A518,'Player Raw Data'!$B:$B,0)),"")</f>
        <v/>
      </c>
      <c r="N518" t="str">
        <f t="array" ref="N518">IFERROR(INDEX('Player Raw Data'!AA:AA,Match($A518,'Player Raw Data'!$B:$B,0)),"")</f>
        <v/>
      </c>
      <c r="O518" t="str">
        <f t="array" ref="O518">IFERROR(INDEX('Player Raw Data'!AB:AB,Match($A518,'Player Raw Data'!$B:$B,0)),"")</f>
        <v/>
      </c>
      <c r="P518" t="str">
        <f t="array" ref="P518">IFERROR(INDEX('Player Raw Data'!AD:AD,Match($A518,'Player Raw Data'!$B:$B,0)),"")</f>
        <v/>
      </c>
      <c r="Q518">
        <f t="shared" si="1"/>
        <v>0</v>
      </c>
      <c r="R518" s="9">
        <f t="shared" si="2"/>
        <v>0</v>
      </c>
      <c r="S518" s="14">
        <f t="shared" si="3"/>
        <v>0</v>
      </c>
      <c r="T518" s="15">
        <f>IFERROR(__xludf.DUMMYFUNCTION("IFERROR(PERCENTRANK.INC(FILTER(Q:Q,$F:$F&lt;&gt;""""),Q518)*100,"""")"),1.5)</f>
        <v>1.5</v>
      </c>
      <c r="U518" s="15">
        <f>IFERROR(__xludf.DUMMYFUNCTION("IFERROR(PERCENTRANK.INC(FILTER(R:R,$F:$F&lt;&gt;""""),R518)*100,"""")"),1.5)</f>
        <v>1.5</v>
      </c>
      <c r="V518" s="15">
        <f>IFERROR(__xludf.DUMMYFUNCTION("IFERROR(PERCENTRANK.INC(FILTER(S:S,$F:$F&lt;&gt;""""),S518)*100,"""")"),1.5)</f>
        <v>1.5</v>
      </c>
      <c r="W518" s="15" t="str">
        <f t="shared" si="4"/>
        <v/>
      </c>
      <c r="X518" s="16"/>
      <c r="Y518" s="9"/>
      <c r="Z518" s="9"/>
    </row>
    <row r="519">
      <c r="B519" t="str">
        <f t="array" ref="B519">IFERROR(INDEX('Player Raw Data'!E:E,Match($A519,'Player Raw Data'!$B:$B,0)),"")</f>
        <v/>
      </c>
      <c r="C519" t="str">
        <f t="array" ref="C519">IFERROR(INDEX('Player Raw Data'!C:C,Match($A519,'Player Raw Data'!$B:$B,0)),"")</f>
        <v/>
      </c>
      <c r="D519" t="str">
        <f t="array" ref="D519">IFERROR(IF(A519=A518, INDEX('Player Raw Data'!D:D,Match($A519,'Player Raw Data'!$B:$B,0)+2),INDEX('Player Raw Data'!D:D,Match($A519,'Player Raw Data'!$B:$B,0))),"")</f>
        <v/>
      </c>
      <c r="E519" t="str">
        <f t="array" ref="E519">IFERROR(INDEX('Player Raw Data'!F:F,Match($A519,'Player Raw Data'!$B:$B,0)),"")</f>
        <v/>
      </c>
      <c r="F519" t="str">
        <f t="array" ref="F519">IFERROR(INDEX('Player Raw Data'!H:H,Match($A519,'Player Raw Data'!$B:$B,0)),"")</f>
        <v/>
      </c>
      <c r="G519" t="str">
        <f t="array" ref="G519">IFERROR(INDEX('Player Raw Data'!I:I,Match($A519,'Player Raw Data'!$B:$B,0)),"")</f>
        <v/>
      </c>
      <c r="H519" t="str">
        <f t="array" ref="H519">IFERROR(INDEX('Player Raw Data'!J:J,Match($A519,'Player Raw Data'!$B:$B,0)),"")</f>
        <v/>
      </c>
      <c r="I519" t="str">
        <f t="array" ref="I519">IFERROR(INDEX('Player Raw Data'!S:S,Match($A519,'Player Raw Data'!$B:$B,0)),"")</f>
        <v/>
      </c>
      <c r="J519" t="str">
        <f t="array" ref="J519">IFERROR(INDEX('Player Raw Data'!T:T,Match($A519,'Player Raw Data'!$B:$B,0)),"")</f>
        <v/>
      </c>
      <c r="K519" t="str">
        <f t="array" ref="K519">IFERROR(INDEX('Player Raw Data'!X:X,Match($A519,'Player Raw Data'!$B:$B,0)),"")</f>
        <v/>
      </c>
      <c r="L519" t="str">
        <f t="array" ref="L519">IFERROR(INDEX('Player Raw Data'!Y:Y,Match($A519,'Player Raw Data'!$B:$B,0)),"")</f>
        <v/>
      </c>
      <c r="M519" t="str">
        <f t="array" ref="M519">IFERROR(INDEX('Player Raw Data'!Z:Z,Match($A519,'Player Raw Data'!$B:$B,0)),"")</f>
        <v/>
      </c>
      <c r="N519" t="str">
        <f t="array" ref="N519">IFERROR(INDEX('Player Raw Data'!AA:AA,Match($A519,'Player Raw Data'!$B:$B,0)),"")</f>
        <v/>
      </c>
      <c r="O519" t="str">
        <f t="array" ref="O519">IFERROR(INDEX('Player Raw Data'!AB:AB,Match($A519,'Player Raw Data'!$B:$B,0)),"")</f>
        <v/>
      </c>
      <c r="P519" t="str">
        <f t="array" ref="P519">IFERROR(INDEX('Player Raw Data'!AD:AD,Match($A519,'Player Raw Data'!$B:$B,0)),"")</f>
        <v/>
      </c>
      <c r="Q519">
        <f t="shared" si="1"/>
        <v>0</v>
      </c>
      <c r="R519" s="9">
        <f t="shared" si="2"/>
        <v>0</v>
      </c>
      <c r="S519" s="14">
        <f t="shared" si="3"/>
        <v>0</v>
      </c>
      <c r="T519" s="15">
        <f>IFERROR(__xludf.DUMMYFUNCTION("IFERROR(PERCENTRANK.INC(FILTER(Q:Q,$F:$F&lt;&gt;""""),Q519)*100,"""")"),1.5)</f>
        <v>1.5</v>
      </c>
      <c r="U519" s="15">
        <f>IFERROR(__xludf.DUMMYFUNCTION("IFERROR(PERCENTRANK.INC(FILTER(R:R,$F:$F&lt;&gt;""""),R519)*100,"""")"),1.5)</f>
        <v>1.5</v>
      </c>
      <c r="V519" s="15">
        <f>IFERROR(__xludf.DUMMYFUNCTION("IFERROR(PERCENTRANK.INC(FILTER(S:S,$F:$F&lt;&gt;""""),S519)*100,"""")"),1.5)</f>
        <v>1.5</v>
      </c>
      <c r="W519" s="15" t="str">
        <f t="shared" si="4"/>
        <v/>
      </c>
      <c r="X519" s="16"/>
      <c r="Y519" s="9"/>
      <c r="Z519" s="9"/>
    </row>
    <row r="520">
      <c r="B520" t="str">
        <f t="array" ref="B520">IFERROR(INDEX('Player Raw Data'!E:E,Match($A520,'Player Raw Data'!$B:$B,0)),"")</f>
        <v/>
      </c>
      <c r="C520" t="str">
        <f t="array" ref="C520">IFERROR(INDEX('Player Raw Data'!C:C,Match($A520,'Player Raw Data'!$B:$B,0)),"")</f>
        <v/>
      </c>
      <c r="D520" t="str">
        <f t="array" ref="D520">IFERROR(IF(A520=A519, INDEX('Player Raw Data'!D:D,Match($A520,'Player Raw Data'!$B:$B,0)+2),INDEX('Player Raw Data'!D:D,Match($A520,'Player Raw Data'!$B:$B,0))),"")</f>
        <v/>
      </c>
      <c r="E520" t="str">
        <f t="array" ref="E520">IFERROR(INDEX('Player Raw Data'!F:F,Match($A520,'Player Raw Data'!$B:$B,0)),"")</f>
        <v/>
      </c>
      <c r="F520" t="str">
        <f t="array" ref="F520">IFERROR(INDEX('Player Raw Data'!H:H,Match($A520,'Player Raw Data'!$B:$B,0)),"")</f>
        <v/>
      </c>
      <c r="G520" t="str">
        <f t="array" ref="G520">IFERROR(INDEX('Player Raw Data'!I:I,Match($A520,'Player Raw Data'!$B:$B,0)),"")</f>
        <v/>
      </c>
      <c r="H520" t="str">
        <f t="array" ref="H520">IFERROR(INDEX('Player Raw Data'!J:J,Match($A520,'Player Raw Data'!$B:$B,0)),"")</f>
        <v/>
      </c>
      <c r="I520" t="str">
        <f t="array" ref="I520">IFERROR(INDEX('Player Raw Data'!S:S,Match($A520,'Player Raw Data'!$B:$B,0)),"")</f>
        <v/>
      </c>
      <c r="J520" t="str">
        <f t="array" ref="J520">IFERROR(INDEX('Player Raw Data'!T:T,Match($A520,'Player Raw Data'!$B:$B,0)),"")</f>
        <v/>
      </c>
      <c r="K520" t="str">
        <f t="array" ref="K520">IFERROR(INDEX('Player Raw Data'!X:X,Match($A520,'Player Raw Data'!$B:$B,0)),"")</f>
        <v/>
      </c>
      <c r="L520" t="str">
        <f t="array" ref="L520">IFERROR(INDEX('Player Raw Data'!Y:Y,Match($A520,'Player Raw Data'!$B:$B,0)),"")</f>
        <v/>
      </c>
      <c r="M520" t="str">
        <f t="array" ref="M520">IFERROR(INDEX('Player Raw Data'!Z:Z,Match($A520,'Player Raw Data'!$B:$B,0)),"")</f>
        <v/>
      </c>
      <c r="N520" t="str">
        <f t="array" ref="N520">IFERROR(INDEX('Player Raw Data'!AA:AA,Match($A520,'Player Raw Data'!$B:$B,0)),"")</f>
        <v/>
      </c>
      <c r="O520" t="str">
        <f t="array" ref="O520">IFERROR(INDEX('Player Raw Data'!AB:AB,Match($A520,'Player Raw Data'!$B:$B,0)),"")</f>
        <v/>
      </c>
      <c r="P520" t="str">
        <f t="array" ref="P520">IFERROR(INDEX('Player Raw Data'!AD:AD,Match($A520,'Player Raw Data'!$B:$B,0)),"")</f>
        <v/>
      </c>
      <c r="Q520">
        <f t="shared" si="1"/>
        <v>0</v>
      </c>
      <c r="R520" s="9">
        <f t="shared" si="2"/>
        <v>0</v>
      </c>
      <c r="S520" s="14">
        <f t="shared" si="3"/>
        <v>0</v>
      </c>
      <c r="T520" s="15">
        <f>IFERROR(__xludf.DUMMYFUNCTION("IFERROR(PERCENTRANK.INC(FILTER(Q:Q,$F:$F&lt;&gt;""""),Q520)*100,"""")"),1.5)</f>
        <v>1.5</v>
      </c>
      <c r="U520" s="15">
        <f>IFERROR(__xludf.DUMMYFUNCTION("IFERROR(PERCENTRANK.INC(FILTER(R:R,$F:$F&lt;&gt;""""),R520)*100,"""")"),1.5)</f>
        <v>1.5</v>
      </c>
      <c r="V520" s="15">
        <f>IFERROR(__xludf.DUMMYFUNCTION("IFERROR(PERCENTRANK.INC(FILTER(S:S,$F:$F&lt;&gt;""""),S520)*100,"""")"),1.5)</f>
        <v>1.5</v>
      </c>
      <c r="W520" s="15" t="str">
        <f t="shared" si="4"/>
        <v/>
      </c>
      <c r="X520" s="16"/>
      <c r="Y520" s="9"/>
      <c r="Z520" s="9"/>
    </row>
    <row r="521">
      <c r="B521" t="str">
        <f t="array" ref="B521">IFERROR(INDEX('Player Raw Data'!E:E,Match($A521,'Player Raw Data'!$B:$B,0)),"")</f>
        <v/>
      </c>
      <c r="C521" t="str">
        <f t="array" ref="C521">IFERROR(INDEX('Player Raw Data'!C:C,Match($A521,'Player Raw Data'!$B:$B,0)),"")</f>
        <v/>
      </c>
      <c r="D521" t="str">
        <f t="array" ref="D521">IFERROR(IF(A521=A520, INDEX('Player Raw Data'!D:D,Match($A521,'Player Raw Data'!$B:$B,0)+2),INDEX('Player Raw Data'!D:D,Match($A521,'Player Raw Data'!$B:$B,0))),"")</f>
        <v/>
      </c>
      <c r="E521" t="str">
        <f t="array" ref="E521">IFERROR(INDEX('Player Raw Data'!F:F,Match($A521,'Player Raw Data'!$B:$B,0)),"")</f>
        <v/>
      </c>
      <c r="F521" t="str">
        <f t="array" ref="F521">IFERROR(INDEX('Player Raw Data'!H:H,Match($A521,'Player Raw Data'!$B:$B,0)),"")</f>
        <v/>
      </c>
      <c r="G521" t="str">
        <f t="array" ref="G521">IFERROR(INDEX('Player Raw Data'!I:I,Match($A521,'Player Raw Data'!$B:$B,0)),"")</f>
        <v/>
      </c>
      <c r="H521" t="str">
        <f t="array" ref="H521">IFERROR(INDEX('Player Raw Data'!J:J,Match($A521,'Player Raw Data'!$B:$B,0)),"")</f>
        <v/>
      </c>
      <c r="I521" t="str">
        <f t="array" ref="I521">IFERROR(INDEX('Player Raw Data'!S:S,Match($A521,'Player Raw Data'!$B:$B,0)),"")</f>
        <v/>
      </c>
      <c r="J521" t="str">
        <f t="array" ref="J521">IFERROR(INDEX('Player Raw Data'!T:T,Match($A521,'Player Raw Data'!$B:$B,0)),"")</f>
        <v/>
      </c>
      <c r="K521" t="str">
        <f t="array" ref="K521">IFERROR(INDEX('Player Raw Data'!X:X,Match($A521,'Player Raw Data'!$B:$B,0)),"")</f>
        <v/>
      </c>
      <c r="L521" t="str">
        <f t="array" ref="L521">IFERROR(INDEX('Player Raw Data'!Y:Y,Match($A521,'Player Raw Data'!$B:$B,0)),"")</f>
        <v/>
      </c>
      <c r="M521" t="str">
        <f t="array" ref="M521">IFERROR(INDEX('Player Raw Data'!Z:Z,Match($A521,'Player Raw Data'!$B:$B,0)),"")</f>
        <v/>
      </c>
      <c r="N521" t="str">
        <f t="array" ref="N521">IFERROR(INDEX('Player Raw Data'!AA:AA,Match($A521,'Player Raw Data'!$B:$B,0)),"")</f>
        <v/>
      </c>
      <c r="O521" t="str">
        <f t="array" ref="O521">IFERROR(INDEX('Player Raw Data'!AB:AB,Match($A521,'Player Raw Data'!$B:$B,0)),"")</f>
        <v/>
      </c>
      <c r="P521" t="str">
        <f t="array" ref="P521">IFERROR(INDEX('Player Raw Data'!AD:AD,Match($A521,'Player Raw Data'!$B:$B,0)),"")</f>
        <v/>
      </c>
      <c r="Q521">
        <f t="shared" si="1"/>
        <v>0</v>
      </c>
      <c r="R521" s="9">
        <f t="shared" si="2"/>
        <v>0</v>
      </c>
      <c r="S521" s="14">
        <f t="shared" si="3"/>
        <v>0</v>
      </c>
      <c r="T521" s="15">
        <f>IFERROR(__xludf.DUMMYFUNCTION("IFERROR(PERCENTRANK.INC(FILTER(Q:Q,$F:$F&lt;&gt;""""),Q521)*100,"""")"),1.5)</f>
        <v>1.5</v>
      </c>
      <c r="U521" s="15">
        <f>IFERROR(__xludf.DUMMYFUNCTION("IFERROR(PERCENTRANK.INC(FILTER(R:R,$F:$F&lt;&gt;""""),R521)*100,"""")"),1.5)</f>
        <v>1.5</v>
      </c>
      <c r="V521" s="15">
        <f>IFERROR(__xludf.DUMMYFUNCTION("IFERROR(PERCENTRANK.INC(FILTER(S:S,$F:$F&lt;&gt;""""),S521)*100,"""")"),1.5)</f>
        <v>1.5</v>
      </c>
      <c r="W521" s="15" t="str">
        <f t="shared" si="4"/>
        <v/>
      </c>
      <c r="X521" s="16"/>
      <c r="Y521" s="9"/>
      <c r="Z521" s="9"/>
    </row>
    <row r="522">
      <c r="B522" t="str">
        <f t="array" ref="B522">IFERROR(INDEX('Player Raw Data'!E:E,Match($A522,'Player Raw Data'!$B:$B,0)),"")</f>
        <v/>
      </c>
      <c r="C522" t="str">
        <f t="array" ref="C522">IFERROR(INDEX('Player Raw Data'!C:C,Match($A522,'Player Raw Data'!$B:$B,0)),"")</f>
        <v/>
      </c>
      <c r="D522" t="str">
        <f t="array" ref="D522">IFERROR(IF(A522=A521, INDEX('Player Raw Data'!D:D,Match($A522,'Player Raw Data'!$B:$B,0)+2),INDEX('Player Raw Data'!D:D,Match($A522,'Player Raw Data'!$B:$B,0))),"")</f>
        <v/>
      </c>
      <c r="E522" t="str">
        <f t="array" ref="E522">IFERROR(INDEX('Player Raw Data'!F:F,Match($A522,'Player Raw Data'!$B:$B,0)),"")</f>
        <v/>
      </c>
      <c r="F522" t="str">
        <f t="array" ref="F522">IFERROR(INDEX('Player Raw Data'!H:H,Match($A522,'Player Raw Data'!$B:$B,0)),"")</f>
        <v/>
      </c>
      <c r="G522" t="str">
        <f t="array" ref="G522">IFERROR(INDEX('Player Raw Data'!I:I,Match($A522,'Player Raw Data'!$B:$B,0)),"")</f>
        <v/>
      </c>
      <c r="H522" t="str">
        <f t="array" ref="H522">IFERROR(INDEX('Player Raw Data'!J:J,Match($A522,'Player Raw Data'!$B:$B,0)),"")</f>
        <v/>
      </c>
      <c r="I522" t="str">
        <f t="array" ref="I522">IFERROR(INDEX('Player Raw Data'!S:S,Match($A522,'Player Raw Data'!$B:$B,0)),"")</f>
        <v/>
      </c>
      <c r="J522" t="str">
        <f t="array" ref="J522">IFERROR(INDEX('Player Raw Data'!T:T,Match($A522,'Player Raw Data'!$B:$B,0)),"")</f>
        <v/>
      </c>
      <c r="K522" t="str">
        <f t="array" ref="K522">IFERROR(INDEX('Player Raw Data'!X:X,Match($A522,'Player Raw Data'!$B:$B,0)),"")</f>
        <v/>
      </c>
      <c r="L522" t="str">
        <f t="array" ref="L522">IFERROR(INDEX('Player Raw Data'!Y:Y,Match($A522,'Player Raw Data'!$B:$B,0)),"")</f>
        <v/>
      </c>
      <c r="M522" t="str">
        <f t="array" ref="M522">IFERROR(INDEX('Player Raw Data'!Z:Z,Match($A522,'Player Raw Data'!$B:$B,0)),"")</f>
        <v/>
      </c>
      <c r="N522" t="str">
        <f t="array" ref="N522">IFERROR(INDEX('Player Raw Data'!AA:AA,Match($A522,'Player Raw Data'!$B:$B,0)),"")</f>
        <v/>
      </c>
      <c r="O522" t="str">
        <f t="array" ref="O522">IFERROR(INDEX('Player Raw Data'!AB:AB,Match($A522,'Player Raw Data'!$B:$B,0)),"")</f>
        <v/>
      </c>
      <c r="P522" t="str">
        <f t="array" ref="P522">IFERROR(INDEX('Player Raw Data'!AD:AD,Match($A522,'Player Raw Data'!$B:$B,0)),"")</f>
        <v/>
      </c>
      <c r="Q522">
        <f t="shared" si="1"/>
        <v>0</v>
      </c>
      <c r="R522" s="9">
        <f t="shared" si="2"/>
        <v>0</v>
      </c>
      <c r="S522" s="14">
        <f t="shared" si="3"/>
        <v>0</v>
      </c>
      <c r="T522" s="15">
        <f>IFERROR(__xludf.DUMMYFUNCTION("IFERROR(PERCENTRANK.INC(FILTER(Q:Q,$F:$F&lt;&gt;""""),Q522)*100,"""")"),1.5)</f>
        <v>1.5</v>
      </c>
      <c r="U522" s="15">
        <f>IFERROR(__xludf.DUMMYFUNCTION("IFERROR(PERCENTRANK.INC(FILTER(R:R,$F:$F&lt;&gt;""""),R522)*100,"""")"),1.5)</f>
        <v>1.5</v>
      </c>
      <c r="V522" s="15">
        <f>IFERROR(__xludf.DUMMYFUNCTION("IFERROR(PERCENTRANK.INC(FILTER(S:S,$F:$F&lt;&gt;""""),S522)*100,"""")"),1.5)</f>
        <v>1.5</v>
      </c>
      <c r="W522" s="15" t="str">
        <f t="shared" si="4"/>
        <v/>
      </c>
      <c r="X522" s="16"/>
      <c r="Y522" s="9"/>
      <c r="Z522" s="9"/>
    </row>
    <row r="523">
      <c r="B523" t="str">
        <f t="array" ref="B523">IFERROR(INDEX('Player Raw Data'!E:E,Match($A523,'Player Raw Data'!$B:$B,0)),"")</f>
        <v/>
      </c>
      <c r="C523" t="str">
        <f t="array" ref="C523">IFERROR(INDEX('Player Raw Data'!C:C,Match($A523,'Player Raw Data'!$B:$B,0)),"")</f>
        <v/>
      </c>
      <c r="D523" t="str">
        <f t="array" ref="D523">IFERROR(IF(A523=A522, INDEX('Player Raw Data'!D:D,Match($A523,'Player Raw Data'!$B:$B,0)+2),INDEX('Player Raw Data'!D:D,Match($A523,'Player Raw Data'!$B:$B,0))),"")</f>
        <v/>
      </c>
      <c r="E523" t="str">
        <f t="array" ref="E523">IFERROR(INDEX('Player Raw Data'!F:F,Match($A523,'Player Raw Data'!$B:$B,0)),"")</f>
        <v/>
      </c>
      <c r="F523" t="str">
        <f t="array" ref="F523">IFERROR(INDEX('Player Raw Data'!H:H,Match($A523,'Player Raw Data'!$B:$B,0)),"")</f>
        <v/>
      </c>
      <c r="G523" t="str">
        <f t="array" ref="G523">IFERROR(INDEX('Player Raw Data'!I:I,Match($A523,'Player Raw Data'!$B:$B,0)),"")</f>
        <v/>
      </c>
      <c r="H523" t="str">
        <f t="array" ref="H523">IFERROR(INDEX('Player Raw Data'!J:J,Match($A523,'Player Raw Data'!$B:$B,0)),"")</f>
        <v/>
      </c>
      <c r="I523" t="str">
        <f t="array" ref="I523">IFERROR(INDEX('Player Raw Data'!S:S,Match($A523,'Player Raw Data'!$B:$B,0)),"")</f>
        <v/>
      </c>
      <c r="J523" t="str">
        <f t="array" ref="J523">IFERROR(INDEX('Player Raw Data'!T:T,Match($A523,'Player Raw Data'!$B:$B,0)),"")</f>
        <v/>
      </c>
      <c r="K523" t="str">
        <f t="array" ref="K523">IFERROR(INDEX('Player Raw Data'!X:X,Match($A523,'Player Raw Data'!$B:$B,0)),"")</f>
        <v/>
      </c>
      <c r="L523" t="str">
        <f t="array" ref="L523">IFERROR(INDEX('Player Raw Data'!Y:Y,Match($A523,'Player Raw Data'!$B:$B,0)),"")</f>
        <v/>
      </c>
      <c r="M523" t="str">
        <f t="array" ref="M523">IFERROR(INDEX('Player Raw Data'!Z:Z,Match($A523,'Player Raw Data'!$B:$B,0)),"")</f>
        <v/>
      </c>
      <c r="N523" t="str">
        <f t="array" ref="N523">IFERROR(INDEX('Player Raw Data'!AA:AA,Match($A523,'Player Raw Data'!$B:$B,0)),"")</f>
        <v/>
      </c>
      <c r="O523" t="str">
        <f t="array" ref="O523">IFERROR(INDEX('Player Raw Data'!AB:AB,Match($A523,'Player Raw Data'!$B:$B,0)),"")</f>
        <v/>
      </c>
      <c r="P523" t="str">
        <f t="array" ref="P523">IFERROR(INDEX('Player Raw Data'!AD:AD,Match($A523,'Player Raw Data'!$B:$B,0)),"")</f>
        <v/>
      </c>
      <c r="Q523">
        <f t="shared" si="1"/>
        <v>0</v>
      </c>
      <c r="R523" s="9">
        <f t="shared" si="2"/>
        <v>0</v>
      </c>
      <c r="S523" s="14">
        <f t="shared" si="3"/>
        <v>0</v>
      </c>
      <c r="T523" s="15">
        <f>IFERROR(__xludf.DUMMYFUNCTION("IFERROR(PERCENTRANK.INC(FILTER(Q:Q,$F:$F&lt;&gt;""""),Q523)*100,"""")"),1.5)</f>
        <v>1.5</v>
      </c>
      <c r="U523" s="15">
        <f>IFERROR(__xludf.DUMMYFUNCTION("IFERROR(PERCENTRANK.INC(FILTER(R:R,$F:$F&lt;&gt;""""),R523)*100,"""")"),1.5)</f>
        <v>1.5</v>
      </c>
      <c r="V523" s="15">
        <f>IFERROR(__xludf.DUMMYFUNCTION("IFERROR(PERCENTRANK.INC(FILTER(S:S,$F:$F&lt;&gt;""""),S523)*100,"""")"),1.5)</f>
        <v>1.5</v>
      </c>
      <c r="W523" s="15" t="str">
        <f t="shared" si="4"/>
        <v/>
      </c>
      <c r="X523" s="16"/>
      <c r="Y523" s="9"/>
      <c r="Z523" s="9"/>
    </row>
    <row r="524">
      <c r="B524" t="str">
        <f t="array" ref="B524">IFERROR(INDEX('Player Raw Data'!E:E,Match($A524,'Player Raw Data'!$B:$B,0)),"")</f>
        <v/>
      </c>
      <c r="C524" t="str">
        <f t="array" ref="C524">IFERROR(INDEX('Player Raw Data'!C:C,Match($A524,'Player Raw Data'!$B:$B,0)),"")</f>
        <v/>
      </c>
      <c r="D524" t="str">
        <f t="array" ref="D524">IFERROR(IF(A524=A523, INDEX('Player Raw Data'!D:D,Match($A524,'Player Raw Data'!$B:$B,0)+2),INDEX('Player Raw Data'!D:D,Match($A524,'Player Raw Data'!$B:$B,0))),"")</f>
        <v/>
      </c>
      <c r="E524" t="str">
        <f t="array" ref="E524">IFERROR(INDEX('Player Raw Data'!F:F,Match($A524,'Player Raw Data'!$B:$B,0)),"")</f>
        <v/>
      </c>
      <c r="F524" t="str">
        <f t="array" ref="F524">IFERROR(INDEX('Player Raw Data'!H:H,Match($A524,'Player Raw Data'!$B:$B,0)),"")</f>
        <v/>
      </c>
      <c r="G524" t="str">
        <f t="array" ref="G524">IFERROR(INDEX('Player Raw Data'!I:I,Match($A524,'Player Raw Data'!$B:$B,0)),"")</f>
        <v/>
      </c>
      <c r="H524" t="str">
        <f t="array" ref="H524">IFERROR(INDEX('Player Raw Data'!J:J,Match($A524,'Player Raw Data'!$B:$B,0)),"")</f>
        <v/>
      </c>
      <c r="I524" t="str">
        <f t="array" ref="I524">IFERROR(INDEX('Player Raw Data'!S:S,Match($A524,'Player Raw Data'!$B:$B,0)),"")</f>
        <v/>
      </c>
      <c r="J524" t="str">
        <f t="array" ref="J524">IFERROR(INDEX('Player Raw Data'!T:T,Match($A524,'Player Raw Data'!$B:$B,0)),"")</f>
        <v/>
      </c>
      <c r="K524" t="str">
        <f t="array" ref="K524">IFERROR(INDEX('Player Raw Data'!X:X,Match($A524,'Player Raw Data'!$B:$B,0)),"")</f>
        <v/>
      </c>
      <c r="L524" t="str">
        <f t="array" ref="L524">IFERROR(INDEX('Player Raw Data'!Y:Y,Match($A524,'Player Raw Data'!$B:$B,0)),"")</f>
        <v/>
      </c>
      <c r="M524" t="str">
        <f t="array" ref="M524">IFERROR(INDEX('Player Raw Data'!Z:Z,Match($A524,'Player Raw Data'!$B:$B,0)),"")</f>
        <v/>
      </c>
      <c r="N524" t="str">
        <f t="array" ref="N524">IFERROR(INDEX('Player Raw Data'!AA:AA,Match($A524,'Player Raw Data'!$B:$B,0)),"")</f>
        <v/>
      </c>
      <c r="O524" t="str">
        <f t="array" ref="O524">IFERROR(INDEX('Player Raw Data'!AB:AB,Match($A524,'Player Raw Data'!$B:$B,0)),"")</f>
        <v/>
      </c>
      <c r="P524" t="str">
        <f t="array" ref="P524">IFERROR(INDEX('Player Raw Data'!AD:AD,Match($A524,'Player Raw Data'!$B:$B,0)),"")</f>
        <v/>
      </c>
      <c r="Q524">
        <f t="shared" si="1"/>
        <v>0</v>
      </c>
      <c r="R524" s="9">
        <f t="shared" si="2"/>
        <v>0</v>
      </c>
      <c r="S524" s="14">
        <f t="shared" si="3"/>
        <v>0</v>
      </c>
      <c r="T524" s="15">
        <f>IFERROR(__xludf.DUMMYFUNCTION("IFERROR(PERCENTRANK.INC(FILTER(Q:Q,$F:$F&lt;&gt;""""),Q524)*100,"""")"),1.5)</f>
        <v>1.5</v>
      </c>
      <c r="U524" s="15">
        <f>IFERROR(__xludf.DUMMYFUNCTION("IFERROR(PERCENTRANK.INC(FILTER(R:R,$F:$F&lt;&gt;""""),R524)*100,"""")"),1.5)</f>
        <v>1.5</v>
      </c>
      <c r="V524" s="15">
        <f>IFERROR(__xludf.DUMMYFUNCTION("IFERROR(PERCENTRANK.INC(FILTER(S:S,$F:$F&lt;&gt;""""),S524)*100,"""")"),1.5)</f>
        <v>1.5</v>
      </c>
      <c r="W524" s="15" t="str">
        <f t="shared" si="4"/>
        <v/>
      </c>
      <c r="X524" s="16"/>
      <c r="Y524" s="9"/>
      <c r="Z524" s="9"/>
    </row>
    <row r="525">
      <c r="B525" t="str">
        <f t="array" ref="B525">IFERROR(INDEX('Player Raw Data'!E:E,Match($A525,'Player Raw Data'!$B:$B,0)),"")</f>
        <v/>
      </c>
      <c r="C525" t="str">
        <f t="array" ref="C525">IFERROR(INDEX('Player Raw Data'!C:C,Match($A525,'Player Raw Data'!$B:$B,0)),"")</f>
        <v/>
      </c>
      <c r="D525" t="str">
        <f t="array" ref="D525">IFERROR(IF(A525=A524, INDEX('Player Raw Data'!D:D,Match($A525,'Player Raw Data'!$B:$B,0)+2),INDEX('Player Raw Data'!D:D,Match($A525,'Player Raw Data'!$B:$B,0))),"")</f>
        <v/>
      </c>
      <c r="E525" t="str">
        <f t="array" ref="E525">IFERROR(INDEX('Player Raw Data'!F:F,Match($A525,'Player Raw Data'!$B:$B,0)),"")</f>
        <v/>
      </c>
      <c r="F525" t="str">
        <f t="array" ref="F525">IFERROR(INDEX('Player Raw Data'!H:H,Match($A525,'Player Raw Data'!$B:$B,0)),"")</f>
        <v/>
      </c>
      <c r="G525" t="str">
        <f t="array" ref="G525">IFERROR(INDEX('Player Raw Data'!I:I,Match($A525,'Player Raw Data'!$B:$B,0)),"")</f>
        <v/>
      </c>
      <c r="H525" t="str">
        <f t="array" ref="H525">IFERROR(INDEX('Player Raw Data'!J:J,Match($A525,'Player Raw Data'!$B:$B,0)),"")</f>
        <v/>
      </c>
      <c r="I525" t="str">
        <f t="array" ref="I525">IFERROR(INDEX('Player Raw Data'!S:S,Match($A525,'Player Raw Data'!$B:$B,0)),"")</f>
        <v/>
      </c>
      <c r="J525" t="str">
        <f t="array" ref="J525">IFERROR(INDEX('Player Raw Data'!T:T,Match($A525,'Player Raw Data'!$B:$B,0)),"")</f>
        <v/>
      </c>
      <c r="K525" t="str">
        <f t="array" ref="K525">IFERROR(INDEX('Player Raw Data'!X:X,Match($A525,'Player Raw Data'!$B:$B,0)),"")</f>
        <v/>
      </c>
      <c r="L525" t="str">
        <f t="array" ref="L525">IFERROR(INDEX('Player Raw Data'!Y:Y,Match($A525,'Player Raw Data'!$B:$B,0)),"")</f>
        <v/>
      </c>
      <c r="M525" t="str">
        <f t="array" ref="M525">IFERROR(INDEX('Player Raw Data'!Z:Z,Match($A525,'Player Raw Data'!$B:$B,0)),"")</f>
        <v/>
      </c>
      <c r="N525" t="str">
        <f t="array" ref="N525">IFERROR(INDEX('Player Raw Data'!AA:AA,Match($A525,'Player Raw Data'!$B:$B,0)),"")</f>
        <v/>
      </c>
      <c r="O525" t="str">
        <f t="array" ref="O525">IFERROR(INDEX('Player Raw Data'!AB:AB,Match($A525,'Player Raw Data'!$B:$B,0)),"")</f>
        <v/>
      </c>
      <c r="P525" t="str">
        <f t="array" ref="P525">IFERROR(INDEX('Player Raw Data'!AD:AD,Match($A525,'Player Raw Data'!$B:$B,0)),"")</f>
        <v/>
      </c>
      <c r="Q525">
        <f t="shared" si="1"/>
        <v>0</v>
      </c>
      <c r="R525" s="9">
        <f t="shared" si="2"/>
        <v>0</v>
      </c>
      <c r="S525" s="14">
        <f t="shared" si="3"/>
        <v>0</v>
      </c>
      <c r="T525" s="15">
        <f>IFERROR(__xludf.DUMMYFUNCTION("IFERROR(PERCENTRANK.INC(FILTER(Q:Q,$F:$F&lt;&gt;""""),Q525)*100,"""")"),1.5)</f>
        <v>1.5</v>
      </c>
      <c r="U525" s="15">
        <f>IFERROR(__xludf.DUMMYFUNCTION("IFERROR(PERCENTRANK.INC(FILTER(R:R,$F:$F&lt;&gt;""""),R525)*100,"""")"),1.5)</f>
        <v>1.5</v>
      </c>
      <c r="V525" s="15">
        <f>IFERROR(__xludf.DUMMYFUNCTION("IFERROR(PERCENTRANK.INC(FILTER(S:S,$F:$F&lt;&gt;""""),S525)*100,"""")"),1.5)</f>
        <v>1.5</v>
      </c>
      <c r="W525" s="15" t="str">
        <f t="shared" si="4"/>
        <v/>
      </c>
      <c r="X525" s="16"/>
      <c r="Y525" s="9"/>
      <c r="Z525" s="9"/>
    </row>
    <row r="526">
      <c r="B526" t="str">
        <f t="array" ref="B526">IFERROR(INDEX('Player Raw Data'!E:E,Match($A526,'Player Raw Data'!$B:$B,0)),"")</f>
        <v/>
      </c>
      <c r="C526" t="str">
        <f t="array" ref="C526">IFERROR(INDEX('Player Raw Data'!C:C,Match($A526,'Player Raw Data'!$B:$B,0)),"")</f>
        <v/>
      </c>
      <c r="D526" t="str">
        <f t="array" ref="D526">IFERROR(IF(A526=A525, INDEX('Player Raw Data'!D:D,Match($A526,'Player Raw Data'!$B:$B,0)+2),INDEX('Player Raw Data'!D:D,Match($A526,'Player Raw Data'!$B:$B,0))),"")</f>
        <v/>
      </c>
      <c r="E526" t="str">
        <f t="array" ref="E526">IFERROR(INDEX('Player Raw Data'!F:F,Match($A526,'Player Raw Data'!$B:$B,0)),"")</f>
        <v/>
      </c>
      <c r="F526" t="str">
        <f t="array" ref="F526">IFERROR(INDEX('Player Raw Data'!H:H,Match($A526,'Player Raw Data'!$B:$B,0)),"")</f>
        <v/>
      </c>
      <c r="G526" t="str">
        <f t="array" ref="G526">IFERROR(INDEX('Player Raw Data'!I:I,Match($A526,'Player Raw Data'!$B:$B,0)),"")</f>
        <v/>
      </c>
      <c r="H526" t="str">
        <f t="array" ref="H526">IFERROR(INDEX('Player Raw Data'!J:J,Match($A526,'Player Raw Data'!$B:$B,0)),"")</f>
        <v/>
      </c>
      <c r="I526" t="str">
        <f t="array" ref="I526">IFERROR(INDEX('Player Raw Data'!S:S,Match($A526,'Player Raw Data'!$B:$B,0)),"")</f>
        <v/>
      </c>
      <c r="J526" t="str">
        <f t="array" ref="J526">IFERROR(INDEX('Player Raw Data'!T:T,Match($A526,'Player Raw Data'!$B:$B,0)),"")</f>
        <v/>
      </c>
      <c r="K526" t="str">
        <f t="array" ref="K526">IFERROR(INDEX('Player Raw Data'!X:X,Match($A526,'Player Raw Data'!$B:$B,0)),"")</f>
        <v/>
      </c>
      <c r="L526" t="str">
        <f t="array" ref="L526">IFERROR(INDEX('Player Raw Data'!Y:Y,Match($A526,'Player Raw Data'!$B:$B,0)),"")</f>
        <v/>
      </c>
      <c r="M526" t="str">
        <f t="array" ref="M526">IFERROR(INDEX('Player Raw Data'!Z:Z,Match($A526,'Player Raw Data'!$B:$B,0)),"")</f>
        <v/>
      </c>
      <c r="N526" t="str">
        <f t="array" ref="N526">IFERROR(INDEX('Player Raw Data'!AA:AA,Match($A526,'Player Raw Data'!$B:$B,0)),"")</f>
        <v/>
      </c>
      <c r="O526" t="str">
        <f t="array" ref="O526">IFERROR(INDEX('Player Raw Data'!AB:AB,Match($A526,'Player Raw Data'!$B:$B,0)),"")</f>
        <v/>
      </c>
      <c r="P526" t="str">
        <f t="array" ref="P526">IFERROR(INDEX('Player Raw Data'!AD:AD,Match($A526,'Player Raw Data'!$B:$B,0)),"")</f>
        <v/>
      </c>
      <c r="Q526">
        <f t="shared" si="1"/>
        <v>0</v>
      </c>
      <c r="R526" s="9">
        <f t="shared" si="2"/>
        <v>0</v>
      </c>
      <c r="S526" s="14">
        <f t="shared" si="3"/>
        <v>0</v>
      </c>
      <c r="T526" s="15">
        <f>IFERROR(__xludf.DUMMYFUNCTION("IFERROR(PERCENTRANK.INC(FILTER(Q:Q,$F:$F&lt;&gt;""""),Q526)*100,"""")"),1.5)</f>
        <v>1.5</v>
      </c>
      <c r="U526" s="15">
        <f>IFERROR(__xludf.DUMMYFUNCTION("IFERROR(PERCENTRANK.INC(FILTER(R:R,$F:$F&lt;&gt;""""),R526)*100,"""")"),1.5)</f>
        <v>1.5</v>
      </c>
      <c r="V526" s="15">
        <f>IFERROR(__xludf.DUMMYFUNCTION("IFERROR(PERCENTRANK.INC(FILTER(S:S,$F:$F&lt;&gt;""""),S526)*100,"""")"),1.5)</f>
        <v>1.5</v>
      </c>
      <c r="W526" s="15" t="str">
        <f t="shared" si="4"/>
        <v/>
      </c>
      <c r="X526" s="16"/>
      <c r="Y526" s="9"/>
      <c r="Z526" s="9"/>
    </row>
    <row r="527">
      <c r="B527" t="str">
        <f t="array" ref="B527">IFERROR(INDEX('Player Raw Data'!E:E,Match($A527,'Player Raw Data'!$B:$B,0)),"")</f>
        <v/>
      </c>
      <c r="C527" t="str">
        <f t="array" ref="C527">IFERROR(INDEX('Player Raw Data'!C:C,Match($A527,'Player Raw Data'!$B:$B,0)),"")</f>
        <v/>
      </c>
      <c r="D527" t="str">
        <f t="array" ref="D527">IFERROR(IF(A527=A526, INDEX('Player Raw Data'!D:D,Match($A527,'Player Raw Data'!$B:$B,0)+2),INDEX('Player Raw Data'!D:D,Match($A527,'Player Raw Data'!$B:$B,0))),"")</f>
        <v/>
      </c>
      <c r="E527" t="str">
        <f t="array" ref="E527">IFERROR(INDEX('Player Raw Data'!F:F,Match($A527,'Player Raw Data'!$B:$B,0)),"")</f>
        <v/>
      </c>
      <c r="F527" t="str">
        <f t="array" ref="F527">IFERROR(INDEX('Player Raw Data'!H:H,Match($A527,'Player Raw Data'!$B:$B,0)),"")</f>
        <v/>
      </c>
      <c r="G527" t="str">
        <f t="array" ref="G527">IFERROR(INDEX('Player Raw Data'!I:I,Match($A527,'Player Raw Data'!$B:$B,0)),"")</f>
        <v/>
      </c>
      <c r="H527" t="str">
        <f t="array" ref="H527">IFERROR(INDEX('Player Raw Data'!J:J,Match($A527,'Player Raw Data'!$B:$B,0)),"")</f>
        <v/>
      </c>
      <c r="I527" t="str">
        <f t="array" ref="I527">IFERROR(INDEX('Player Raw Data'!S:S,Match($A527,'Player Raw Data'!$B:$B,0)),"")</f>
        <v/>
      </c>
      <c r="J527" t="str">
        <f t="array" ref="J527">IFERROR(INDEX('Player Raw Data'!T:T,Match($A527,'Player Raw Data'!$B:$B,0)),"")</f>
        <v/>
      </c>
      <c r="K527" t="str">
        <f t="array" ref="K527">IFERROR(INDEX('Player Raw Data'!X:X,Match($A527,'Player Raw Data'!$B:$B,0)),"")</f>
        <v/>
      </c>
      <c r="L527" t="str">
        <f t="array" ref="L527">IFERROR(INDEX('Player Raw Data'!Y:Y,Match($A527,'Player Raw Data'!$B:$B,0)),"")</f>
        <v/>
      </c>
      <c r="M527" t="str">
        <f t="array" ref="M527">IFERROR(INDEX('Player Raw Data'!Z:Z,Match($A527,'Player Raw Data'!$B:$B,0)),"")</f>
        <v/>
      </c>
      <c r="N527" t="str">
        <f t="array" ref="N527">IFERROR(INDEX('Player Raw Data'!AA:AA,Match($A527,'Player Raw Data'!$B:$B,0)),"")</f>
        <v/>
      </c>
      <c r="O527" t="str">
        <f t="array" ref="O527">IFERROR(INDEX('Player Raw Data'!AB:AB,Match($A527,'Player Raw Data'!$B:$B,0)),"")</f>
        <v/>
      </c>
      <c r="P527" t="str">
        <f t="array" ref="P527">IFERROR(INDEX('Player Raw Data'!AD:AD,Match($A527,'Player Raw Data'!$B:$B,0)),"")</f>
        <v/>
      </c>
      <c r="Q527">
        <f t="shared" si="1"/>
        <v>0</v>
      </c>
      <c r="R527" s="9">
        <f t="shared" si="2"/>
        <v>0</v>
      </c>
      <c r="S527" s="14">
        <f t="shared" si="3"/>
        <v>0</v>
      </c>
      <c r="T527" s="15">
        <f>IFERROR(__xludf.DUMMYFUNCTION("IFERROR(PERCENTRANK.INC(FILTER(Q:Q,$F:$F&lt;&gt;""""),Q527)*100,"""")"),1.5)</f>
        <v>1.5</v>
      </c>
      <c r="U527" s="15">
        <f>IFERROR(__xludf.DUMMYFUNCTION("IFERROR(PERCENTRANK.INC(FILTER(R:R,$F:$F&lt;&gt;""""),R527)*100,"""")"),1.5)</f>
        <v>1.5</v>
      </c>
      <c r="V527" s="15">
        <f>IFERROR(__xludf.DUMMYFUNCTION("IFERROR(PERCENTRANK.INC(FILTER(S:S,$F:$F&lt;&gt;""""),S527)*100,"""")"),1.5)</f>
        <v>1.5</v>
      </c>
      <c r="W527" s="15" t="str">
        <f t="shared" si="4"/>
        <v/>
      </c>
      <c r="X527" s="16"/>
      <c r="Y527" s="9"/>
      <c r="Z527" s="9"/>
    </row>
    <row r="528">
      <c r="B528" t="str">
        <f t="array" ref="B528">IFERROR(INDEX('Player Raw Data'!E:E,Match($A528,'Player Raw Data'!$B:$B,0)),"")</f>
        <v/>
      </c>
      <c r="C528" t="str">
        <f t="array" ref="C528">IFERROR(INDEX('Player Raw Data'!C:C,Match($A528,'Player Raw Data'!$B:$B,0)),"")</f>
        <v/>
      </c>
      <c r="D528" t="str">
        <f t="array" ref="D528">IFERROR(IF(A528=A527, INDEX('Player Raw Data'!D:D,Match($A528,'Player Raw Data'!$B:$B,0)+2),INDEX('Player Raw Data'!D:D,Match($A528,'Player Raw Data'!$B:$B,0))),"")</f>
        <v/>
      </c>
      <c r="E528" t="str">
        <f t="array" ref="E528">IFERROR(INDEX('Player Raw Data'!F:F,Match($A528,'Player Raw Data'!$B:$B,0)),"")</f>
        <v/>
      </c>
      <c r="F528" t="str">
        <f t="array" ref="F528">IFERROR(INDEX('Player Raw Data'!H:H,Match($A528,'Player Raw Data'!$B:$B,0)),"")</f>
        <v/>
      </c>
      <c r="G528" t="str">
        <f t="array" ref="G528">IFERROR(INDEX('Player Raw Data'!I:I,Match($A528,'Player Raw Data'!$B:$B,0)),"")</f>
        <v/>
      </c>
      <c r="H528" t="str">
        <f t="array" ref="H528">IFERROR(INDEX('Player Raw Data'!J:J,Match($A528,'Player Raw Data'!$B:$B,0)),"")</f>
        <v/>
      </c>
      <c r="I528" t="str">
        <f t="array" ref="I528">IFERROR(INDEX('Player Raw Data'!S:S,Match($A528,'Player Raw Data'!$B:$B,0)),"")</f>
        <v/>
      </c>
      <c r="J528" t="str">
        <f t="array" ref="J528">IFERROR(INDEX('Player Raw Data'!T:T,Match($A528,'Player Raw Data'!$B:$B,0)),"")</f>
        <v/>
      </c>
      <c r="K528" t="str">
        <f t="array" ref="K528">IFERROR(INDEX('Player Raw Data'!X:X,Match($A528,'Player Raw Data'!$B:$B,0)),"")</f>
        <v/>
      </c>
      <c r="L528" t="str">
        <f t="array" ref="L528">IFERROR(INDEX('Player Raw Data'!Y:Y,Match($A528,'Player Raw Data'!$B:$B,0)),"")</f>
        <v/>
      </c>
      <c r="M528" t="str">
        <f t="array" ref="M528">IFERROR(INDEX('Player Raw Data'!Z:Z,Match($A528,'Player Raw Data'!$B:$B,0)),"")</f>
        <v/>
      </c>
      <c r="N528" t="str">
        <f t="array" ref="N528">IFERROR(INDEX('Player Raw Data'!AA:AA,Match($A528,'Player Raw Data'!$B:$B,0)),"")</f>
        <v/>
      </c>
      <c r="O528" t="str">
        <f t="array" ref="O528">IFERROR(INDEX('Player Raw Data'!AB:AB,Match($A528,'Player Raw Data'!$B:$B,0)),"")</f>
        <v/>
      </c>
      <c r="P528" t="str">
        <f t="array" ref="P528">IFERROR(INDEX('Player Raw Data'!AD:AD,Match($A528,'Player Raw Data'!$B:$B,0)),"")</f>
        <v/>
      </c>
      <c r="Q528">
        <f t="shared" si="1"/>
        <v>0</v>
      </c>
      <c r="R528" s="9">
        <f t="shared" si="2"/>
        <v>0</v>
      </c>
      <c r="S528" s="14">
        <f t="shared" si="3"/>
        <v>0</v>
      </c>
      <c r="T528" s="15">
        <f>IFERROR(__xludf.DUMMYFUNCTION("IFERROR(PERCENTRANK.INC(FILTER(Q:Q,$F:$F&lt;&gt;""""),Q528)*100,"""")"),1.5)</f>
        <v>1.5</v>
      </c>
      <c r="U528" s="15">
        <f>IFERROR(__xludf.DUMMYFUNCTION("IFERROR(PERCENTRANK.INC(FILTER(R:R,$F:$F&lt;&gt;""""),R528)*100,"""")"),1.5)</f>
        <v>1.5</v>
      </c>
      <c r="V528" s="15">
        <f>IFERROR(__xludf.DUMMYFUNCTION("IFERROR(PERCENTRANK.INC(FILTER(S:S,$F:$F&lt;&gt;""""),S528)*100,"""")"),1.5)</f>
        <v>1.5</v>
      </c>
      <c r="W528" s="15" t="str">
        <f t="shared" si="4"/>
        <v/>
      </c>
      <c r="X528" s="16"/>
      <c r="Y528" s="9"/>
      <c r="Z528" s="9"/>
    </row>
    <row r="529">
      <c r="B529" t="str">
        <f t="array" ref="B529">IFERROR(INDEX('Player Raw Data'!E:E,Match($A529,'Player Raw Data'!$B:$B,0)),"")</f>
        <v/>
      </c>
      <c r="C529" t="str">
        <f t="array" ref="C529">IFERROR(INDEX('Player Raw Data'!C:C,Match($A529,'Player Raw Data'!$B:$B,0)),"")</f>
        <v/>
      </c>
      <c r="D529" t="str">
        <f t="array" ref="D529">IFERROR(IF(A529=A528, INDEX('Player Raw Data'!D:D,Match($A529,'Player Raw Data'!$B:$B,0)+2),INDEX('Player Raw Data'!D:D,Match($A529,'Player Raw Data'!$B:$B,0))),"")</f>
        <v/>
      </c>
      <c r="E529" t="str">
        <f t="array" ref="E529">IFERROR(INDEX('Player Raw Data'!F:F,Match($A529,'Player Raw Data'!$B:$B,0)),"")</f>
        <v/>
      </c>
      <c r="F529" t="str">
        <f t="array" ref="F529">IFERROR(INDEX('Player Raw Data'!H:H,Match($A529,'Player Raw Data'!$B:$B,0)),"")</f>
        <v/>
      </c>
      <c r="G529" t="str">
        <f t="array" ref="G529">IFERROR(INDEX('Player Raw Data'!I:I,Match($A529,'Player Raw Data'!$B:$B,0)),"")</f>
        <v/>
      </c>
      <c r="H529" t="str">
        <f t="array" ref="H529">IFERROR(INDEX('Player Raw Data'!J:J,Match($A529,'Player Raw Data'!$B:$B,0)),"")</f>
        <v/>
      </c>
      <c r="I529" t="str">
        <f t="array" ref="I529">IFERROR(INDEX('Player Raw Data'!S:S,Match($A529,'Player Raw Data'!$B:$B,0)),"")</f>
        <v/>
      </c>
      <c r="J529" t="str">
        <f t="array" ref="J529">IFERROR(INDEX('Player Raw Data'!T:T,Match($A529,'Player Raw Data'!$B:$B,0)),"")</f>
        <v/>
      </c>
      <c r="K529" t="str">
        <f t="array" ref="K529">IFERROR(INDEX('Player Raw Data'!X:X,Match($A529,'Player Raw Data'!$B:$B,0)),"")</f>
        <v/>
      </c>
      <c r="L529" t="str">
        <f t="array" ref="L529">IFERROR(INDEX('Player Raw Data'!Y:Y,Match($A529,'Player Raw Data'!$B:$B,0)),"")</f>
        <v/>
      </c>
      <c r="M529" t="str">
        <f t="array" ref="M529">IFERROR(INDEX('Player Raw Data'!Z:Z,Match($A529,'Player Raw Data'!$B:$B,0)),"")</f>
        <v/>
      </c>
      <c r="N529" t="str">
        <f t="array" ref="N529">IFERROR(INDEX('Player Raw Data'!AA:AA,Match($A529,'Player Raw Data'!$B:$B,0)),"")</f>
        <v/>
      </c>
      <c r="O529" t="str">
        <f t="array" ref="O529">IFERROR(INDEX('Player Raw Data'!AB:AB,Match($A529,'Player Raw Data'!$B:$B,0)),"")</f>
        <v/>
      </c>
      <c r="P529" t="str">
        <f t="array" ref="P529">IFERROR(INDEX('Player Raw Data'!AD:AD,Match($A529,'Player Raw Data'!$B:$B,0)),"")</f>
        <v/>
      </c>
      <c r="Q529">
        <f t="shared" si="1"/>
        <v>0</v>
      </c>
      <c r="R529" s="9">
        <f t="shared" si="2"/>
        <v>0</v>
      </c>
      <c r="S529" s="14">
        <f t="shared" si="3"/>
        <v>0</v>
      </c>
      <c r="T529" s="15">
        <f>IFERROR(__xludf.DUMMYFUNCTION("IFERROR(PERCENTRANK.INC(FILTER(Q:Q,$F:$F&lt;&gt;""""),Q529)*100,"""")"),1.5)</f>
        <v>1.5</v>
      </c>
      <c r="U529" s="15">
        <f>IFERROR(__xludf.DUMMYFUNCTION("IFERROR(PERCENTRANK.INC(FILTER(R:R,$F:$F&lt;&gt;""""),R529)*100,"""")"),1.5)</f>
        <v>1.5</v>
      </c>
      <c r="V529" s="15">
        <f>IFERROR(__xludf.DUMMYFUNCTION("IFERROR(PERCENTRANK.INC(FILTER(S:S,$F:$F&lt;&gt;""""),S529)*100,"""")"),1.5)</f>
        <v>1.5</v>
      </c>
      <c r="W529" s="15" t="str">
        <f t="shared" si="4"/>
        <v/>
      </c>
      <c r="X529" s="16"/>
      <c r="Y529" s="9"/>
      <c r="Z529" s="9"/>
    </row>
    <row r="530">
      <c r="B530" t="str">
        <f t="array" ref="B530">IFERROR(INDEX('Player Raw Data'!E:E,Match($A530,'Player Raw Data'!$B:$B,0)),"")</f>
        <v/>
      </c>
      <c r="C530" t="str">
        <f t="array" ref="C530">IFERROR(INDEX('Player Raw Data'!C:C,Match($A530,'Player Raw Data'!$B:$B,0)),"")</f>
        <v/>
      </c>
      <c r="D530" t="str">
        <f t="array" ref="D530">IFERROR(IF(A530=A529, INDEX('Player Raw Data'!D:D,Match($A530,'Player Raw Data'!$B:$B,0)+2),INDEX('Player Raw Data'!D:D,Match($A530,'Player Raw Data'!$B:$B,0))),"")</f>
        <v/>
      </c>
      <c r="E530" t="str">
        <f t="array" ref="E530">IFERROR(INDEX('Player Raw Data'!F:F,Match($A530,'Player Raw Data'!$B:$B,0)),"")</f>
        <v/>
      </c>
      <c r="F530" t="str">
        <f t="array" ref="F530">IFERROR(INDEX('Player Raw Data'!H:H,Match($A530,'Player Raw Data'!$B:$B,0)),"")</f>
        <v/>
      </c>
      <c r="G530" t="str">
        <f t="array" ref="G530">IFERROR(INDEX('Player Raw Data'!I:I,Match($A530,'Player Raw Data'!$B:$B,0)),"")</f>
        <v/>
      </c>
      <c r="H530" t="str">
        <f t="array" ref="H530">IFERROR(INDEX('Player Raw Data'!J:J,Match($A530,'Player Raw Data'!$B:$B,0)),"")</f>
        <v/>
      </c>
      <c r="I530" t="str">
        <f t="array" ref="I530">IFERROR(INDEX('Player Raw Data'!S:S,Match($A530,'Player Raw Data'!$B:$B,0)),"")</f>
        <v/>
      </c>
      <c r="J530" t="str">
        <f t="array" ref="J530">IFERROR(INDEX('Player Raw Data'!T:T,Match($A530,'Player Raw Data'!$B:$B,0)),"")</f>
        <v/>
      </c>
      <c r="K530" t="str">
        <f t="array" ref="K530">IFERROR(INDEX('Player Raw Data'!X:X,Match($A530,'Player Raw Data'!$B:$B,0)),"")</f>
        <v/>
      </c>
      <c r="L530" t="str">
        <f t="array" ref="L530">IFERROR(INDEX('Player Raw Data'!Y:Y,Match($A530,'Player Raw Data'!$B:$B,0)),"")</f>
        <v/>
      </c>
      <c r="M530" t="str">
        <f t="array" ref="M530">IFERROR(INDEX('Player Raw Data'!Z:Z,Match($A530,'Player Raw Data'!$B:$B,0)),"")</f>
        <v/>
      </c>
      <c r="N530" t="str">
        <f t="array" ref="N530">IFERROR(INDEX('Player Raw Data'!AA:AA,Match($A530,'Player Raw Data'!$B:$B,0)),"")</f>
        <v/>
      </c>
      <c r="O530" t="str">
        <f t="array" ref="O530">IFERROR(INDEX('Player Raw Data'!AB:AB,Match($A530,'Player Raw Data'!$B:$B,0)),"")</f>
        <v/>
      </c>
      <c r="P530" t="str">
        <f t="array" ref="P530">IFERROR(INDEX('Player Raw Data'!AD:AD,Match($A530,'Player Raw Data'!$B:$B,0)),"")</f>
        <v/>
      </c>
      <c r="Q530">
        <f t="shared" si="1"/>
        <v>0</v>
      </c>
      <c r="R530" s="9">
        <f t="shared" si="2"/>
        <v>0</v>
      </c>
      <c r="S530" s="14">
        <f t="shared" si="3"/>
        <v>0</v>
      </c>
      <c r="T530" s="15">
        <f>IFERROR(__xludf.DUMMYFUNCTION("IFERROR(PERCENTRANK.INC(FILTER(Q:Q,$F:$F&lt;&gt;""""),Q530)*100,"""")"),1.5)</f>
        <v>1.5</v>
      </c>
      <c r="U530" s="15">
        <f>IFERROR(__xludf.DUMMYFUNCTION("IFERROR(PERCENTRANK.INC(FILTER(R:R,$F:$F&lt;&gt;""""),R530)*100,"""")"),1.5)</f>
        <v>1.5</v>
      </c>
      <c r="V530" s="15">
        <f>IFERROR(__xludf.DUMMYFUNCTION("IFERROR(PERCENTRANK.INC(FILTER(S:S,$F:$F&lt;&gt;""""),S530)*100,"""")"),1.5)</f>
        <v>1.5</v>
      </c>
      <c r="W530" s="15" t="str">
        <f t="shared" si="4"/>
        <v/>
      </c>
      <c r="X530" s="16"/>
      <c r="Y530" s="9"/>
      <c r="Z530" s="9"/>
    </row>
    <row r="531">
      <c r="B531" t="str">
        <f t="array" ref="B531">IFERROR(INDEX('Player Raw Data'!E:E,Match($A531,'Player Raw Data'!$B:$B,0)),"")</f>
        <v/>
      </c>
      <c r="C531" t="str">
        <f t="array" ref="C531">IFERROR(INDEX('Player Raw Data'!C:C,Match($A531,'Player Raw Data'!$B:$B,0)),"")</f>
        <v/>
      </c>
      <c r="D531" t="str">
        <f t="array" ref="D531">IFERROR(IF(A531=A530, INDEX('Player Raw Data'!D:D,Match($A531,'Player Raw Data'!$B:$B,0)+2),INDEX('Player Raw Data'!D:D,Match($A531,'Player Raw Data'!$B:$B,0))),"")</f>
        <v/>
      </c>
      <c r="E531" t="str">
        <f t="array" ref="E531">IFERROR(INDEX('Player Raw Data'!F:F,Match($A531,'Player Raw Data'!$B:$B,0)),"")</f>
        <v/>
      </c>
      <c r="F531" t="str">
        <f t="array" ref="F531">IFERROR(INDEX('Player Raw Data'!H:H,Match($A531,'Player Raw Data'!$B:$B,0)),"")</f>
        <v/>
      </c>
      <c r="G531" t="str">
        <f t="array" ref="G531">IFERROR(INDEX('Player Raw Data'!I:I,Match($A531,'Player Raw Data'!$B:$B,0)),"")</f>
        <v/>
      </c>
      <c r="H531" t="str">
        <f t="array" ref="H531">IFERROR(INDEX('Player Raw Data'!J:J,Match($A531,'Player Raw Data'!$B:$B,0)),"")</f>
        <v/>
      </c>
      <c r="I531" t="str">
        <f t="array" ref="I531">IFERROR(INDEX('Player Raw Data'!S:S,Match($A531,'Player Raw Data'!$B:$B,0)),"")</f>
        <v/>
      </c>
      <c r="J531" t="str">
        <f t="array" ref="J531">IFERROR(INDEX('Player Raw Data'!T:T,Match($A531,'Player Raw Data'!$B:$B,0)),"")</f>
        <v/>
      </c>
      <c r="K531" t="str">
        <f t="array" ref="K531">IFERROR(INDEX('Player Raw Data'!X:X,Match($A531,'Player Raw Data'!$B:$B,0)),"")</f>
        <v/>
      </c>
      <c r="L531" t="str">
        <f t="array" ref="L531">IFERROR(INDEX('Player Raw Data'!Y:Y,Match($A531,'Player Raw Data'!$B:$B,0)),"")</f>
        <v/>
      </c>
      <c r="M531" t="str">
        <f t="array" ref="M531">IFERROR(INDEX('Player Raw Data'!Z:Z,Match($A531,'Player Raw Data'!$B:$B,0)),"")</f>
        <v/>
      </c>
      <c r="N531" t="str">
        <f t="array" ref="N531">IFERROR(INDEX('Player Raw Data'!AA:AA,Match($A531,'Player Raw Data'!$B:$B,0)),"")</f>
        <v/>
      </c>
      <c r="O531" t="str">
        <f t="array" ref="O531">IFERROR(INDEX('Player Raw Data'!AB:AB,Match($A531,'Player Raw Data'!$B:$B,0)),"")</f>
        <v/>
      </c>
      <c r="P531" t="str">
        <f t="array" ref="P531">IFERROR(INDEX('Player Raw Data'!AD:AD,Match($A531,'Player Raw Data'!$B:$B,0)),"")</f>
        <v/>
      </c>
      <c r="Q531">
        <f t="shared" si="1"/>
        <v>0</v>
      </c>
      <c r="R531" s="9">
        <f t="shared" si="2"/>
        <v>0</v>
      </c>
      <c r="S531" s="14">
        <f t="shared" si="3"/>
        <v>0</v>
      </c>
      <c r="T531" s="15">
        <f>IFERROR(__xludf.DUMMYFUNCTION("IFERROR(PERCENTRANK.INC(FILTER(Q:Q,$F:$F&lt;&gt;""""),Q531)*100,"""")"),1.5)</f>
        <v>1.5</v>
      </c>
      <c r="U531" s="15">
        <f>IFERROR(__xludf.DUMMYFUNCTION("IFERROR(PERCENTRANK.INC(FILTER(R:R,$F:$F&lt;&gt;""""),R531)*100,"""")"),1.5)</f>
        <v>1.5</v>
      </c>
      <c r="V531" s="15">
        <f>IFERROR(__xludf.DUMMYFUNCTION("IFERROR(PERCENTRANK.INC(FILTER(S:S,$F:$F&lt;&gt;""""),S531)*100,"""")"),1.5)</f>
        <v>1.5</v>
      </c>
      <c r="W531" s="15" t="str">
        <f t="shared" si="4"/>
        <v/>
      </c>
      <c r="X531" s="16"/>
      <c r="Y531" s="9"/>
      <c r="Z531" s="9"/>
    </row>
    <row r="532">
      <c r="B532" t="str">
        <f t="array" ref="B532">IFERROR(INDEX('Player Raw Data'!E:E,Match($A532,'Player Raw Data'!$B:$B,0)),"")</f>
        <v/>
      </c>
      <c r="C532" t="str">
        <f t="array" ref="C532">IFERROR(INDEX('Player Raw Data'!C:C,Match($A532,'Player Raw Data'!$B:$B,0)),"")</f>
        <v/>
      </c>
      <c r="D532" t="str">
        <f t="array" ref="D532">IFERROR(IF(A532=A531, INDEX('Player Raw Data'!D:D,Match($A532,'Player Raw Data'!$B:$B,0)+2),INDEX('Player Raw Data'!D:D,Match($A532,'Player Raw Data'!$B:$B,0))),"")</f>
        <v/>
      </c>
      <c r="E532" t="str">
        <f t="array" ref="E532">IFERROR(INDEX('Player Raw Data'!F:F,Match($A532,'Player Raw Data'!$B:$B,0)),"")</f>
        <v/>
      </c>
      <c r="F532" t="str">
        <f t="array" ref="F532">IFERROR(INDEX('Player Raw Data'!H:H,Match($A532,'Player Raw Data'!$B:$B,0)),"")</f>
        <v/>
      </c>
      <c r="G532" t="str">
        <f t="array" ref="G532">IFERROR(INDEX('Player Raw Data'!I:I,Match($A532,'Player Raw Data'!$B:$B,0)),"")</f>
        <v/>
      </c>
      <c r="H532" t="str">
        <f t="array" ref="H532">IFERROR(INDEX('Player Raw Data'!J:J,Match($A532,'Player Raw Data'!$B:$B,0)),"")</f>
        <v/>
      </c>
      <c r="I532" t="str">
        <f t="array" ref="I532">IFERROR(INDEX('Player Raw Data'!S:S,Match($A532,'Player Raw Data'!$B:$B,0)),"")</f>
        <v/>
      </c>
      <c r="J532" t="str">
        <f t="array" ref="J532">IFERROR(INDEX('Player Raw Data'!T:T,Match($A532,'Player Raw Data'!$B:$B,0)),"")</f>
        <v/>
      </c>
      <c r="K532" t="str">
        <f t="array" ref="K532">IFERROR(INDEX('Player Raw Data'!X:X,Match($A532,'Player Raw Data'!$B:$B,0)),"")</f>
        <v/>
      </c>
      <c r="L532" t="str">
        <f t="array" ref="L532">IFERROR(INDEX('Player Raw Data'!Y:Y,Match($A532,'Player Raw Data'!$B:$B,0)),"")</f>
        <v/>
      </c>
      <c r="M532" t="str">
        <f t="array" ref="M532">IFERROR(INDEX('Player Raw Data'!Z:Z,Match($A532,'Player Raw Data'!$B:$B,0)),"")</f>
        <v/>
      </c>
      <c r="N532" t="str">
        <f t="array" ref="N532">IFERROR(INDEX('Player Raw Data'!AA:AA,Match($A532,'Player Raw Data'!$B:$B,0)),"")</f>
        <v/>
      </c>
      <c r="O532" t="str">
        <f t="array" ref="O532">IFERROR(INDEX('Player Raw Data'!AB:AB,Match($A532,'Player Raw Data'!$B:$B,0)),"")</f>
        <v/>
      </c>
      <c r="P532" t="str">
        <f t="array" ref="P532">IFERROR(INDEX('Player Raw Data'!AD:AD,Match($A532,'Player Raw Data'!$B:$B,0)),"")</f>
        <v/>
      </c>
      <c r="Q532">
        <f t="shared" si="1"/>
        <v>0</v>
      </c>
      <c r="R532" s="9">
        <f t="shared" si="2"/>
        <v>0</v>
      </c>
      <c r="S532" s="14">
        <f t="shared" si="3"/>
        <v>0</v>
      </c>
      <c r="T532" s="15">
        <f>IFERROR(__xludf.DUMMYFUNCTION("IFERROR(PERCENTRANK.INC(FILTER(Q:Q,$F:$F&lt;&gt;""""),Q532)*100,"""")"),1.5)</f>
        <v>1.5</v>
      </c>
      <c r="U532" s="15">
        <f>IFERROR(__xludf.DUMMYFUNCTION("IFERROR(PERCENTRANK.INC(FILTER(R:R,$F:$F&lt;&gt;""""),R532)*100,"""")"),1.5)</f>
        <v>1.5</v>
      </c>
      <c r="V532" s="15">
        <f>IFERROR(__xludf.DUMMYFUNCTION("IFERROR(PERCENTRANK.INC(FILTER(S:S,$F:$F&lt;&gt;""""),S532)*100,"""")"),1.5)</f>
        <v>1.5</v>
      </c>
      <c r="W532" s="15" t="str">
        <f t="shared" si="4"/>
        <v/>
      </c>
      <c r="X532" s="16"/>
      <c r="Y532" s="9"/>
      <c r="Z532" s="9"/>
    </row>
    <row r="533">
      <c r="B533" t="str">
        <f t="array" ref="B533">IFERROR(INDEX('Player Raw Data'!E:E,Match($A533,'Player Raw Data'!$B:$B,0)),"")</f>
        <v/>
      </c>
      <c r="C533" t="str">
        <f t="array" ref="C533">IFERROR(INDEX('Player Raw Data'!C:C,Match($A533,'Player Raw Data'!$B:$B,0)),"")</f>
        <v/>
      </c>
      <c r="D533" t="str">
        <f t="array" ref="D533">IFERROR(IF(A533=A532, INDEX('Player Raw Data'!D:D,Match($A533,'Player Raw Data'!$B:$B,0)+2),INDEX('Player Raw Data'!D:D,Match($A533,'Player Raw Data'!$B:$B,0))),"")</f>
        <v/>
      </c>
      <c r="E533" t="str">
        <f t="array" ref="E533">IFERROR(INDEX('Player Raw Data'!F:F,Match($A533,'Player Raw Data'!$B:$B,0)),"")</f>
        <v/>
      </c>
      <c r="F533" t="str">
        <f t="array" ref="F533">IFERROR(INDEX('Player Raw Data'!H:H,Match($A533,'Player Raw Data'!$B:$B,0)),"")</f>
        <v/>
      </c>
      <c r="G533" t="str">
        <f t="array" ref="G533">IFERROR(INDEX('Player Raw Data'!I:I,Match($A533,'Player Raw Data'!$B:$B,0)),"")</f>
        <v/>
      </c>
      <c r="H533" t="str">
        <f t="array" ref="H533">IFERROR(INDEX('Player Raw Data'!J:J,Match($A533,'Player Raw Data'!$B:$B,0)),"")</f>
        <v/>
      </c>
      <c r="I533" t="str">
        <f t="array" ref="I533">IFERROR(INDEX('Player Raw Data'!S:S,Match($A533,'Player Raw Data'!$B:$B,0)),"")</f>
        <v/>
      </c>
      <c r="J533" t="str">
        <f t="array" ref="J533">IFERROR(INDEX('Player Raw Data'!T:T,Match($A533,'Player Raw Data'!$B:$B,0)),"")</f>
        <v/>
      </c>
      <c r="K533" t="str">
        <f t="array" ref="K533">IFERROR(INDEX('Player Raw Data'!X:X,Match($A533,'Player Raw Data'!$B:$B,0)),"")</f>
        <v/>
      </c>
      <c r="L533" t="str">
        <f t="array" ref="L533">IFERROR(INDEX('Player Raw Data'!Y:Y,Match($A533,'Player Raw Data'!$B:$B,0)),"")</f>
        <v/>
      </c>
      <c r="M533" t="str">
        <f t="array" ref="M533">IFERROR(INDEX('Player Raw Data'!Z:Z,Match($A533,'Player Raw Data'!$B:$B,0)),"")</f>
        <v/>
      </c>
      <c r="N533" t="str">
        <f t="array" ref="N533">IFERROR(INDEX('Player Raw Data'!AA:AA,Match($A533,'Player Raw Data'!$B:$B,0)),"")</f>
        <v/>
      </c>
      <c r="O533" t="str">
        <f t="array" ref="O533">IFERROR(INDEX('Player Raw Data'!AB:AB,Match($A533,'Player Raw Data'!$B:$B,0)),"")</f>
        <v/>
      </c>
      <c r="P533" t="str">
        <f t="array" ref="P533">IFERROR(INDEX('Player Raw Data'!AD:AD,Match($A533,'Player Raw Data'!$B:$B,0)),"")</f>
        <v/>
      </c>
      <c r="Q533">
        <f t="shared" si="1"/>
        <v>0</v>
      </c>
      <c r="R533" s="9">
        <f t="shared" si="2"/>
        <v>0</v>
      </c>
      <c r="S533" s="14">
        <f t="shared" si="3"/>
        <v>0</v>
      </c>
      <c r="T533" s="15">
        <f>IFERROR(__xludf.DUMMYFUNCTION("IFERROR(PERCENTRANK.INC(FILTER(Q:Q,$F:$F&lt;&gt;""""),Q533)*100,"""")"),1.5)</f>
        <v>1.5</v>
      </c>
      <c r="U533" s="15">
        <f>IFERROR(__xludf.DUMMYFUNCTION("IFERROR(PERCENTRANK.INC(FILTER(R:R,$F:$F&lt;&gt;""""),R533)*100,"""")"),1.5)</f>
        <v>1.5</v>
      </c>
      <c r="V533" s="15">
        <f>IFERROR(__xludf.DUMMYFUNCTION("IFERROR(PERCENTRANK.INC(FILTER(S:S,$F:$F&lt;&gt;""""),S533)*100,"""")"),1.5)</f>
        <v>1.5</v>
      </c>
      <c r="W533" s="15" t="str">
        <f t="shared" si="4"/>
        <v/>
      </c>
      <c r="X533" s="16"/>
      <c r="Y533" s="9"/>
      <c r="Z533" s="9"/>
    </row>
    <row r="534">
      <c r="B534" t="str">
        <f t="array" ref="B534">IFERROR(INDEX('Player Raw Data'!E:E,Match($A534,'Player Raw Data'!$B:$B,0)),"")</f>
        <v/>
      </c>
      <c r="C534" t="str">
        <f t="array" ref="C534">IFERROR(INDEX('Player Raw Data'!C:C,Match($A534,'Player Raw Data'!$B:$B,0)),"")</f>
        <v/>
      </c>
      <c r="D534" t="str">
        <f t="array" ref="D534">IFERROR(IF(A534=A533, INDEX('Player Raw Data'!D:D,Match($A534,'Player Raw Data'!$B:$B,0)+2),INDEX('Player Raw Data'!D:D,Match($A534,'Player Raw Data'!$B:$B,0))),"")</f>
        <v/>
      </c>
      <c r="E534" t="str">
        <f t="array" ref="E534">IFERROR(INDEX('Player Raw Data'!F:F,Match($A534,'Player Raw Data'!$B:$B,0)),"")</f>
        <v/>
      </c>
      <c r="F534" t="str">
        <f t="array" ref="F534">IFERROR(INDEX('Player Raw Data'!H:H,Match($A534,'Player Raw Data'!$B:$B,0)),"")</f>
        <v/>
      </c>
      <c r="G534" t="str">
        <f t="array" ref="G534">IFERROR(INDEX('Player Raw Data'!I:I,Match($A534,'Player Raw Data'!$B:$B,0)),"")</f>
        <v/>
      </c>
      <c r="H534" t="str">
        <f t="array" ref="H534">IFERROR(INDEX('Player Raw Data'!J:J,Match($A534,'Player Raw Data'!$B:$B,0)),"")</f>
        <v/>
      </c>
      <c r="I534" t="str">
        <f t="array" ref="I534">IFERROR(INDEX('Player Raw Data'!S:S,Match($A534,'Player Raw Data'!$B:$B,0)),"")</f>
        <v/>
      </c>
      <c r="J534" t="str">
        <f t="array" ref="J534">IFERROR(INDEX('Player Raw Data'!T:T,Match($A534,'Player Raw Data'!$B:$B,0)),"")</f>
        <v/>
      </c>
      <c r="K534" t="str">
        <f t="array" ref="K534">IFERROR(INDEX('Player Raw Data'!X:X,Match($A534,'Player Raw Data'!$B:$B,0)),"")</f>
        <v/>
      </c>
      <c r="L534" t="str">
        <f t="array" ref="L534">IFERROR(INDEX('Player Raw Data'!Y:Y,Match($A534,'Player Raw Data'!$B:$B,0)),"")</f>
        <v/>
      </c>
      <c r="M534" t="str">
        <f t="array" ref="M534">IFERROR(INDEX('Player Raw Data'!Z:Z,Match($A534,'Player Raw Data'!$B:$B,0)),"")</f>
        <v/>
      </c>
      <c r="N534" t="str">
        <f t="array" ref="N534">IFERROR(INDEX('Player Raw Data'!AA:AA,Match($A534,'Player Raw Data'!$B:$B,0)),"")</f>
        <v/>
      </c>
      <c r="O534" t="str">
        <f t="array" ref="O534">IFERROR(INDEX('Player Raw Data'!AB:AB,Match($A534,'Player Raw Data'!$B:$B,0)),"")</f>
        <v/>
      </c>
      <c r="P534" t="str">
        <f t="array" ref="P534">IFERROR(INDEX('Player Raw Data'!AD:AD,Match($A534,'Player Raw Data'!$B:$B,0)),"")</f>
        <v/>
      </c>
      <c r="Q534">
        <f t="shared" si="1"/>
        <v>0</v>
      </c>
      <c r="R534" s="9">
        <f t="shared" si="2"/>
        <v>0</v>
      </c>
      <c r="S534" s="14">
        <f t="shared" si="3"/>
        <v>0</v>
      </c>
      <c r="T534" s="15">
        <f>IFERROR(__xludf.DUMMYFUNCTION("IFERROR(PERCENTRANK.INC(FILTER(Q:Q,$F:$F&lt;&gt;""""),Q534)*100,"""")"),1.5)</f>
        <v>1.5</v>
      </c>
      <c r="U534" s="15">
        <f>IFERROR(__xludf.DUMMYFUNCTION("IFERROR(PERCENTRANK.INC(FILTER(R:R,$F:$F&lt;&gt;""""),R534)*100,"""")"),1.5)</f>
        <v>1.5</v>
      </c>
      <c r="V534" s="15">
        <f>IFERROR(__xludf.DUMMYFUNCTION("IFERROR(PERCENTRANK.INC(FILTER(S:S,$F:$F&lt;&gt;""""),S534)*100,"""")"),1.5)</f>
        <v>1.5</v>
      </c>
      <c r="W534" s="15" t="str">
        <f t="shared" si="4"/>
        <v/>
      </c>
      <c r="X534" s="16"/>
      <c r="Y534" s="9"/>
      <c r="Z534" s="9"/>
    </row>
    <row r="535">
      <c r="B535" t="str">
        <f t="array" ref="B535">IFERROR(INDEX('Player Raw Data'!E:E,Match($A535,'Player Raw Data'!$B:$B,0)),"")</f>
        <v/>
      </c>
      <c r="C535" t="str">
        <f t="array" ref="C535">IFERROR(INDEX('Player Raw Data'!C:C,Match($A535,'Player Raw Data'!$B:$B,0)),"")</f>
        <v/>
      </c>
      <c r="D535" t="str">
        <f t="array" ref="D535">IFERROR(IF(A535=A534, INDEX('Player Raw Data'!D:D,Match($A535,'Player Raw Data'!$B:$B,0)+2),INDEX('Player Raw Data'!D:D,Match($A535,'Player Raw Data'!$B:$B,0))),"")</f>
        <v/>
      </c>
      <c r="E535" t="str">
        <f t="array" ref="E535">IFERROR(INDEX('Player Raw Data'!F:F,Match($A535,'Player Raw Data'!$B:$B,0)),"")</f>
        <v/>
      </c>
      <c r="F535" t="str">
        <f t="array" ref="F535">IFERROR(INDEX('Player Raw Data'!H:H,Match($A535,'Player Raw Data'!$B:$B,0)),"")</f>
        <v/>
      </c>
      <c r="G535" t="str">
        <f t="array" ref="G535">IFERROR(INDEX('Player Raw Data'!I:I,Match($A535,'Player Raw Data'!$B:$B,0)),"")</f>
        <v/>
      </c>
      <c r="H535" t="str">
        <f t="array" ref="H535">IFERROR(INDEX('Player Raw Data'!J:J,Match($A535,'Player Raw Data'!$B:$B,0)),"")</f>
        <v/>
      </c>
      <c r="I535" t="str">
        <f t="array" ref="I535">IFERROR(INDEX('Player Raw Data'!S:S,Match($A535,'Player Raw Data'!$B:$B,0)),"")</f>
        <v/>
      </c>
      <c r="J535" t="str">
        <f t="array" ref="J535">IFERROR(INDEX('Player Raw Data'!T:T,Match($A535,'Player Raw Data'!$B:$B,0)),"")</f>
        <v/>
      </c>
      <c r="K535" t="str">
        <f t="array" ref="K535">IFERROR(INDEX('Player Raw Data'!X:X,Match($A535,'Player Raw Data'!$B:$B,0)),"")</f>
        <v/>
      </c>
      <c r="L535" t="str">
        <f t="array" ref="L535">IFERROR(INDEX('Player Raw Data'!Y:Y,Match($A535,'Player Raw Data'!$B:$B,0)),"")</f>
        <v/>
      </c>
      <c r="M535" t="str">
        <f t="array" ref="M535">IFERROR(INDEX('Player Raw Data'!Z:Z,Match($A535,'Player Raw Data'!$B:$B,0)),"")</f>
        <v/>
      </c>
      <c r="N535" t="str">
        <f t="array" ref="N535">IFERROR(INDEX('Player Raw Data'!AA:AA,Match($A535,'Player Raw Data'!$B:$B,0)),"")</f>
        <v/>
      </c>
      <c r="O535" t="str">
        <f t="array" ref="O535">IFERROR(INDEX('Player Raw Data'!AB:AB,Match($A535,'Player Raw Data'!$B:$B,0)),"")</f>
        <v/>
      </c>
      <c r="P535" t="str">
        <f t="array" ref="P535">IFERROR(INDEX('Player Raw Data'!AD:AD,Match($A535,'Player Raw Data'!$B:$B,0)),"")</f>
        <v/>
      </c>
      <c r="Q535">
        <f t="shared" si="1"/>
        <v>0</v>
      </c>
      <c r="R535" s="9">
        <f t="shared" si="2"/>
        <v>0</v>
      </c>
      <c r="S535" s="14">
        <f t="shared" si="3"/>
        <v>0</v>
      </c>
      <c r="T535" s="15">
        <f>IFERROR(__xludf.DUMMYFUNCTION("IFERROR(PERCENTRANK.INC(FILTER(Q:Q,$F:$F&lt;&gt;""""),Q535)*100,"""")"),1.5)</f>
        <v>1.5</v>
      </c>
      <c r="U535" s="15">
        <f>IFERROR(__xludf.DUMMYFUNCTION("IFERROR(PERCENTRANK.INC(FILTER(R:R,$F:$F&lt;&gt;""""),R535)*100,"""")"),1.5)</f>
        <v>1.5</v>
      </c>
      <c r="V535" s="15">
        <f>IFERROR(__xludf.DUMMYFUNCTION("IFERROR(PERCENTRANK.INC(FILTER(S:S,$F:$F&lt;&gt;""""),S535)*100,"""")"),1.5)</f>
        <v>1.5</v>
      </c>
      <c r="W535" s="15" t="str">
        <f t="shared" si="4"/>
        <v/>
      </c>
      <c r="X535" s="16"/>
      <c r="Y535" s="9"/>
      <c r="Z535" s="9"/>
    </row>
    <row r="536">
      <c r="B536" t="str">
        <f t="array" ref="B536">IFERROR(INDEX('Player Raw Data'!E:E,Match($A536,'Player Raw Data'!$B:$B,0)),"")</f>
        <v/>
      </c>
      <c r="C536" t="str">
        <f t="array" ref="C536">IFERROR(INDEX('Player Raw Data'!C:C,Match($A536,'Player Raw Data'!$B:$B,0)),"")</f>
        <v/>
      </c>
      <c r="D536" t="str">
        <f t="array" ref="D536">IFERROR(IF(A536=A535, INDEX('Player Raw Data'!D:D,Match($A536,'Player Raw Data'!$B:$B,0)+2),INDEX('Player Raw Data'!D:D,Match($A536,'Player Raw Data'!$B:$B,0))),"")</f>
        <v/>
      </c>
      <c r="E536" t="str">
        <f t="array" ref="E536">IFERROR(INDEX('Player Raw Data'!F:F,Match($A536,'Player Raw Data'!$B:$B,0)),"")</f>
        <v/>
      </c>
      <c r="F536" t="str">
        <f t="array" ref="F536">IFERROR(INDEX('Player Raw Data'!H:H,Match($A536,'Player Raw Data'!$B:$B,0)),"")</f>
        <v/>
      </c>
      <c r="G536" t="str">
        <f t="array" ref="G536">IFERROR(INDEX('Player Raw Data'!I:I,Match($A536,'Player Raw Data'!$B:$B,0)),"")</f>
        <v/>
      </c>
      <c r="H536" t="str">
        <f t="array" ref="H536">IFERROR(INDEX('Player Raw Data'!J:J,Match($A536,'Player Raw Data'!$B:$B,0)),"")</f>
        <v/>
      </c>
      <c r="I536" t="str">
        <f t="array" ref="I536">IFERROR(INDEX('Player Raw Data'!S:S,Match($A536,'Player Raw Data'!$B:$B,0)),"")</f>
        <v/>
      </c>
      <c r="J536" t="str">
        <f t="array" ref="J536">IFERROR(INDEX('Player Raw Data'!T:T,Match($A536,'Player Raw Data'!$B:$B,0)),"")</f>
        <v/>
      </c>
      <c r="K536" t="str">
        <f t="array" ref="K536">IFERROR(INDEX('Player Raw Data'!X:X,Match($A536,'Player Raw Data'!$B:$B,0)),"")</f>
        <v/>
      </c>
      <c r="L536" t="str">
        <f t="array" ref="L536">IFERROR(INDEX('Player Raw Data'!Y:Y,Match($A536,'Player Raw Data'!$B:$B,0)),"")</f>
        <v/>
      </c>
      <c r="M536" t="str">
        <f t="array" ref="M536">IFERROR(INDEX('Player Raw Data'!Z:Z,Match($A536,'Player Raw Data'!$B:$B,0)),"")</f>
        <v/>
      </c>
      <c r="N536" t="str">
        <f t="array" ref="N536">IFERROR(INDEX('Player Raw Data'!AA:AA,Match($A536,'Player Raw Data'!$B:$B,0)),"")</f>
        <v/>
      </c>
      <c r="O536" t="str">
        <f t="array" ref="O536">IFERROR(INDEX('Player Raw Data'!AB:AB,Match($A536,'Player Raw Data'!$B:$B,0)),"")</f>
        <v/>
      </c>
      <c r="P536" t="str">
        <f t="array" ref="P536">IFERROR(INDEX('Player Raw Data'!AD:AD,Match($A536,'Player Raw Data'!$B:$B,0)),"")</f>
        <v/>
      </c>
      <c r="Q536">
        <f t="shared" si="1"/>
        <v>0</v>
      </c>
      <c r="R536" s="9">
        <f t="shared" si="2"/>
        <v>0</v>
      </c>
      <c r="S536" s="14">
        <f t="shared" si="3"/>
        <v>0</v>
      </c>
      <c r="T536" s="15">
        <f>IFERROR(__xludf.DUMMYFUNCTION("IFERROR(PERCENTRANK.INC(FILTER(Q:Q,$F:$F&lt;&gt;""""),Q536)*100,"""")"),1.5)</f>
        <v>1.5</v>
      </c>
      <c r="U536" s="15">
        <f>IFERROR(__xludf.DUMMYFUNCTION("IFERROR(PERCENTRANK.INC(FILTER(R:R,$F:$F&lt;&gt;""""),R536)*100,"""")"),1.5)</f>
        <v>1.5</v>
      </c>
      <c r="V536" s="15">
        <f>IFERROR(__xludf.DUMMYFUNCTION("IFERROR(PERCENTRANK.INC(FILTER(S:S,$F:$F&lt;&gt;""""),S536)*100,"""")"),1.5)</f>
        <v>1.5</v>
      </c>
      <c r="W536" s="15" t="str">
        <f t="shared" si="4"/>
        <v/>
      </c>
      <c r="X536" s="16"/>
      <c r="Y536" s="9"/>
      <c r="Z536" s="9"/>
    </row>
    <row r="537">
      <c r="B537" t="str">
        <f t="array" ref="B537">IFERROR(INDEX('Player Raw Data'!E:E,Match($A537,'Player Raw Data'!$B:$B,0)),"")</f>
        <v/>
      </c>
      <c r="C537" t="str">
        <f t="array" ref="C537">IFERROR(INDEX('Player Raw Data'!C:C,Match($A537,'Player Raw Data'!$B:$B,0)),"")</f>
        <v/>
      </c>
      <c r="D537" t="str">
        <f t="array" ref="D537">IFERROR(IF(A537=A536, INDEX('Player Raw Data'!D:D,Match($A537,'Player Raw Data'!$B:$B,0)+2),INDEX('Player Raw Data'!D:D,Match($A537,'Player Raw Data'!$B:$B,0))),"")</f>
        <v/>
      </c>
      <c r="E537" t="str">
        <f t="array" ref="E537">IFERROR(INDEX('Player Raw Data'!F:F,Match($A537,'Player Raw Data'!$B:$B,0)),"")</f>
        <v/>
      </c>
      <c r="F537" t="str">
        <f t="array" ref="F537">IFERROR(INDEX('Player Raw Data'!H:H,Match($A537,'Player Raw Data'!$B:$B,0)),"")</f>
        <v/>
      </c>
      <c r="G537" t="str">
        <f t="array" ref="G537">IFERROR(INDEX('Player Raw Data'!I:I,Match($A537,'Player Raw Data'!$B:$B,0)),"")</f>
        <v/>
      </c>
      <c r="H537" t="str">
        <f t="array" ref="H537">IFERROR(INDEX('Player Raw Data'!J:J,Match($A537,'Player Raw Data'!$B:$B,0)),"")</f>
        <v/>
      </c>
      <c r="I537" t="str">
        <f t="array" ref="I537">IFERROR(INDEX('Player Raw Data'!S:S,Match($A537,'Player Raw Data'!$B:$B,0)),"")</f>
        <v/>
      </c>
      <c r="J537" t="str">
        <f t="array" ref="J537">IFERROR(INDEX('Player Raw Data'!T:T,Match($A537,'Player Raw Data'!$B:$B,0)),"")</f>
        <v/>
      </c>
      <c r="K537" t="str">
        <f t="array" ref="K537">IFERROR(INDEX('Player Raw Data'!X:X,Match($A537,'Player Raw Data'!$B:$B,0)),"")</f>
        <v/>
      </c>
      <c r="L537" t="str">
        <f t="array" ref="L537">IFERROR(INDEX('Player Raw Data'!Y:Y,Match($A537,'Player Raw Data'!$B:$B,0)),"")</f>
        <v/>
      </c>
      <c r="M537" t="str">
        <f t="array" ref="M537">IFERROR(INDEX('Player Raw Data'!Z:Z,Match($A537,'Player Raw Data'!$B:$B,0)),"")</f>
        <v/>
      </c>
      <c r="N537" t="str">
        <f t="array" ref="N537">IFERROR(INDEX('Player Raw Data'!AA:AA,Match($A537,'Player Raw Data'!$B:$B,0)),"")</f>
        <v/>
      </c>
      <c r="O537" t="str">
        <f t="array" ref="O537">IFERROR(INDEX('Player Raw Data'!AB:AB,Match($A537,'Player Raw Data'!$B:$B,0)),"")</f>
        <v/>
      </c>
      <c r="P537" t="str">
        <f t="array" ref="P537">IFERROR(INDEX('Player Raw Data'!AD:AD,Match($A537,'Player Raw Data'!$B:$B,0)),"")</f>
        <v/>
      </c>
      <c r="Q537">
        <f t="shared" si="1"/>
        <v>0</v>
      </c>
      <c r="R537" s="9">
        <f t="shared" si="2"/>
        <v>0</v>
      </c>
      <c r="S537" s="14">
        <f t="shared" si="3"/>
        <v>0</v>
      </c>
      <c r="T537" s="15">
        <f>IFERROR(__xludf.DUMMYFUNCTION("IFERROR(PERCENTRANK.INC(FILTER(Q:Q,$F:$F&lt;&gt;""""),Q537)*100,"""")"),1.5)</f>
        <v>1.5</v>
      </c>
      <c r="U537" s="15">
        <f>IFERROR(__xludf.DUMMYFUNCTION("IFERROR(PERCENTRANK.INC(FILTER(R:R,$F:$F&lt;&gt;""""),R537)*100,"""")"),1.5)</f>
        <v>1.5</v>
      </c>
      <c r="V537" s="15">
        <f>IFERROR(__xludf.DUMMYFUNCTION("IFERROR(PERCENTRANK.INC(FILTER(S:S,$F:$F&lt;&gt;""""),S537)*100,"""")"),1.5)</f>
        <v>1.5</v>
      </c>
      <c r="W537" s="15" t="str">
        <f t="shared" si="4"/>
        <v/>
      </c>
      <c r="X537" s="16"/>
      <c r="Y537" s="9"/>
      <c r="Z537" s="9"/>
    </row>
    <row r="538">
      <c r="B538" t="str">
        <f t="array" ref="B538">IFERROR(INDEX('Player Raw Data'!E:E,Match($A538,'Player Raw Data'!$B:$B,0)),"")</f>
        <v/>
      </c>
      <c r="C538" t="str">
        <f t="array" ref="C538">IFERROR(INDEX('Player Raw Data'!C:C,Match($A538,'Player Raw Data'!$B:$B,0)),"")</f>
        <v/>
      </c>
      <c r="D538" t="str">
        <f t="array" ref="D538">IFERROR(IF(A538=A537, INDEX('Player Raw Data'!D:D,Match($A538,'Player Raw Data'!$B:$B,0)+2),INDEX('Player Raw Data'!D:D,Match($A538,'Player Raw Data'!$B:$B,0))),"")</f>
        <v/>
      </c>
      <c r="E538" t="str">
        <f t="array" ref="E538">IFERROR(INDEX('Player Raw Data'!F:F,Match($A538,'Player Raw Data'!$B:$B,0)),"")</f>
        <v/>
      </c>
      <c r="F538" t="str">
        <f t="array" ref="F538">IFERROR(INDEX('Player Raw Data'!H:H,Match($A538,'Player Raw Data'!$B:$B,0)),"")</f>
        <v/>
      </c>
      <c r="G538" t="str">
        <f t="array" ref="G538">IFERROR(INDEX('Player Raw Data'!I:I,Match($A538,'Player Raw Data'!$B:$B,0)),"")</f>
        <v/>
      </c>
      <c r="H538" t="str">
        <f t="array" ref="H538">IFERROR(INDEX('Player Raw Data'!J:J,Match($A538,'Player Raw Data'!$B:$B,0)),"")</f>
        <v/>
      </c>
      <c r="I538" t="str">
        <f t="array" ref="I538">IFERROR(INDEX('Player Raw Data'!S:S,Match($A538,'Player Raw Data'!$B:$B,0)),"")</f>
        <v/>
      </c>
      <c r="J538" t="str">
        <f t="array" ref="J538">IFERROR(INDEX('Player Raw Data'!T:T,Match($A538,'Player Raw Data'!$B:$B,0)),"")</f>
        <v/>
      </c>
      <c r="K538" t="str">
        <f t="array" ref="K538">IFERROR(INDEX('Player Raw Data'!X:X,Match($A538,'Player Raw Data'!$B:$B,0)),"")</f>
        <v/>
      </c>
      <c r="L538" t="str">
        <f t="array" ref="L538">IFERROR(INDEX('Player Raw Data'!Y:Y,Match($A538,'Player Raw Data'!$B:$B,0)),"")</f>
        <v/>
      </c>
      <c r="M538" t="str">
        <f t="array" ref="M538">IFERROR(INDEX('Player Raw Data'!Z:Z,Match($A538,'Player Raw Data'!$B:$B,0)),"")</f>
        <v/>
      </c>
      <c r="N538" t="str">
        <f t="array" ref="N538">IFERROR(INDEX('Player Raw Data'!AA:AA,Match($A538,'Player Raw Data'!$B:$B,0)),"")</f>
        <v/>
      </c>
      <c r="O538" t="str">
        <f t="array" ref="O538">IFERROR(INDEX('Player Raw Data'!AB:AB,Match($A538,'Player Raw Data'!$B:$B,0)),"")</f>
        <v/>
      </c>
      <c r="P538" t="str">
        <f t="array" ref="P538">IFERROR(INDEX('Player Raw Data'!AD:AD,Match($A538,'Player Raw Data'!$B:$B,0)),"")</f>
        <v/>
      </c>
      <c r="Q538">
        <f t="shared" si="1"/>
        <v>0</v>
      </c>
      <c r="R538" s="9">
        <f t="shared" si="2"/>
        <v>0</v>
      </c>
      <c r="S538" s="14">
        <f t="shared" si="3"/>
        <v>0</v>
      </c>
      <c r="T538" s="15">
        <f>IFERROR(__xludf.DUMMYFUNCTION("IFERROR(PERCENTRANK.INC(FILTER(Q:Q,$F:$F&lt;&gt;""""),Q538)*100,"""")"),1.5)</f>
        <v>1.5</v>
      </c>
      <c r="U538" s="15">
        <f>IFERROR(__xludf.DUMMYFUNCTION("IFERROR(PERCENTRANK.INC(FILTER(R:R,$F:$F&lt;&gt;""""),R538)*100,"""")"),1.5)</f>
        <v>1.5</v>
      </c>
      <c r="V538" s="15">
        <f>IFERROR(__xludf.DUMMYFUNCTION("IFERROR(PERCENTRANK.INC(FILTER(S:S,$F:$F&lt;&gt;""""),S538)*100,"""")"),1.5)</f>
        <v>1.5</v>
      </c>
      <c r="W538" s="15" t="str">
        <f t="shared" si="4"/>
        <v/>
      </c>
      <c r="X538" s="16"/>
      <c r="Y538" s="9"/>
      <c r="Z538" s="9"/>
    </row>
    <row r="539">
      <c r="B539" t="str">
        <f t="array" ref="B539">IFERROR(INDEX('Player Raw Data'!E:E,Match($A539,'Player Raw Data'!$B:$B,0)),"")</f>
        <v/>
      </c>
      <c r="C539" t="str">
        <f t="array" ref="C539">IFERROR(INDEX('Player Raw Data'!C:C,Match($A539,'Player Raw Data'!$B:$B,0)),"")</f>
        <v/>
      </c>
      <c r="D539" t="str">
        <f t="array" ref="D539">IFERROR(IF(A539=A538, INDEX('Player Raw Data'!D:D,Match($A539,'Player Raw Data'!$B:$B,0)+2),INDEX('Player Raw Data'!D:D,Match($A539,'Player Raw Data'!$B:$B,0))),"")</f>
        <v/>
      </c>
      <c r="E539" t="str">
        <f t="array" ref="E539">IFERROR(INDEX('Player Raw Data'!F:F,Match($A539,'Player Raw Data'!$B:$B,0)),"")</f>
        <v/>
      </c>
      <c r="F539" t="str">
        <f t="array" ref="F539">IFERROR(INDEX('Player Raw Data'!H:H,Match($A539,'Player Raw Data'!$B:$B,0)),"")</f>
        <v/>
      </c>
      <c r="G539" t="str">
        <f t="array" ref="G539">IFERROR(INDEX('Player Raw Data'!I:I,Match($A539,'Player Raw Data'!$B:$B,0)),"")</f>
        <v/>
      </c>
      <c r="H539" t="str">
        <f t="array" ref="H539">IFERROR(INDEX('Player Raw Data'!J:J,Match($A539,'Player Raw Data'!$B:$B,0)),"")</f>
        <v/>
      </c>
      <c r="I539" t="str">
        <f t="array" ref="I539">IFERROR(INDEX('Player Raw Data'!S:S,Match($A539,'Player Raw Data'!$B:$B,0)),"")</f>
        <v/>
      </c>
      <c r="J539" t="str">
        <f t="array" ref="J539">IFERROR(INDEX('Player Raw Data'!T:T,Match($A539,'Player Raw Data'!$B:$B,0)),"")</f>
        <v/>
      </c>
      <c r="K539" t="str">
        <f t="array" ref="K539">IFERROR(INDEX('Player Raw Data'!X:X,Match($A539,'Player Raw Data'!$B:$B,0)),"")</f>
        <v/>
      </c>
      <c r="L539" t="str">
        <f t="array" ref="L539">IFERROR(INDEX('Player Raw Data'!Y:Y,Match($A539,'Player Raw Data'!$B:$B,0)),"")</f>
        <v/>
      </c>
      <c r="M539" t="str">
        <f t="array" ref="M539">IFERROR(INDEX('Player Raw Data'!Z:Z,Match($A539,'Player Raw Data'!$B:$B,0)),"")</f>
        <v/>
      </c>
      <c r="N539" t="str">
        <f t="array" ref="N539">IFERROR(INDEX('Player Raw Data'!AA:AA,Match($A539,'Player Raw Data'!$B:$B,0)),"")</f>
        <v/>
      </c>
      <c r="O539" t="str">
        <f t="array" ref="O539">IFERROR(INDEX('Player Raw Data'!AB:AB,Match($A539,'Player Raw Data'!$B:$B,0)),"")</f>
        <v/>
      </c>
      <c r="P539" t="str">
        <f t="array" ref="P539">IFERROR(INDEX('Player Raw Data'!AD:AD,Match($A539,'Player Raw Data'!$B:$B,0)),"")</f>
        <v/>
      </c>
      <c r="Q539">
        <f t="shared" si="1"/>
        <v>0</v>
      </c>
      <c r="R539" s="9">
        <f t="shared" si="2"/>
        <v>0</v>
      </c>
      <c r="S539" s="14">
        <f t="shared" si="3"/>
        <v>0</v>
      </c>
      <c r="T539" s="15">
        <f>IFERROR(__xludf.DUMMYFUNCTION("IFERROR(PERCENTRANK.INC(FILTER(Q:Q,$F:$F&lt;&gt;""""),Q539)*100,"""")"),1.5)</f>
        <v>1.5</v>
      </c>
      <c r="U539" s="15">
        <f>IFERROR(__xludf.DUMMYFUNCTION("IFERROR(PERCENTRANK.INC(FILTER(R:R,$F:$F&lt;&gt;""""),R539)*100,"""")"),1.5)</f>
        <v>1.5</v>
      </c>
      <c r="V539" s="15">
        <f>IFERROR(__xludf.DUMMYFUNCTION("IFERROR(PERCENTRANK.INC(FILTER(S:S,$F:$F&lt;&gt;""""),S539)*100,"""")"),1.5)</f>
        <v>1.5</v>
      </c>
      <c r="W539" s="15" t="str">
        <f t="shared" si="4"/>
        <v/>
      </c>
      <c r="X539" s="16"/>
      <c r="Y539" s="9"/>
      <c r="Z539" s="9"/>
    </row>
    <row r="540">
      <c r="B540" t="str">
        <f t="array" ref="B540">IFERROR(INDEX('Player Raw Data'!E:E,Match($A540,'Player Raw Data'!$B:$B,0)),"")</f>
        <v/>
      </c>
      <c r="C540" t="str">
        <f t="array" ref="C540">IFERROR(INDEX('Player Raw Data'!C:C,Match($A540,'Player Raw Data'!$B:$B,0)),"")</f>
        <v/>
      </c>
      <c r="D540" t="str">
        <f t="array" ref="D540">IFERROR(IF(A540=A539, INDEX('Player Raw Data'!D:D,Match($A540,'Player Raw Data'!$B:$B,0)+2),INDEX('Player Raw Data'!D:D,Match($A540,'Player Raw Data'!$B:$B,0))),"")</f>
        <v/>
      </c>
      <c r="E540" t="str">
        <f t="array" ref="E540">IFERROR(INDEX('Player Raw Data'!F:F,Match($A540,'Player Raw Data'!$B:$B,0)),"")</f>
        <v/>
      </c>
      <c r="F540" t="str">
        <f t="array" ref="F540">IFERROR(INDEX('Player Raw Data'!H:H,Match($A540,'Player Raw Data'!$B:$B,0)),"")</f>
        <v/>
      </c>
      <c r="G540" t="str">
        <f t="array" ref="G540">IFERROR(INDEX('Player Raw Data'!I:I,Match($A540,'Player Raw Data'!$B:$B,0)),"")</f>
        <v/>
      </c>
      <c r="H540" t="str">
        <f t="array" ref="H540">IFERROR(INDEX('Player Raw Data'!J:J,Match($A540,'Player Raw Data'!$B:$B,0)),"")</f>
        <v/>
      </c>
      <c r="I540" t="str">
        <f t="array" ref="I540">IFERROR(INDEX('Player Raw Data'!S:S,Match($A540,'Player Raw Data'!$B:$B,0)),"")</f>
        <v/>
      </c>
      <c r="J540" t="str">
        <f t="array" ref="J540">IFERROR(INDEX('Player Raw Data'!T:T,Match($A540,'Player Raw Data'!$B:$B,0)),"")</f>
        <v/>
      </c>
      <c r="K540" t="str">
        <f t="array" ref="K540">IFERROR(INDEX('Player Raw Data'!X:X,Match($A540,'Player Raw Data'!$B:$B,0)),"")</f>
        <v/>
      </c>
      <c r="L540" t="str">
        <f t="array" ref="L540">IFERROR(INDEX('Player Raw Data'!Y:Y,Match($A540,'Player Raw Data'!$B:$B,0)),"")</f>
        <v/>
      </c>
      <c r="M540" t="str">
        <f t="array" ref="M540">IFERROR(INDEX('Player Raw Data'!Z:Z,Match($A540,'Player Raw Data'!$B:$B,0)),"")</f>
        <v/>
      </c>
      <c r="N540" t="str">
        <f t="array" ref="N540">IFERROR(INDEX('Player Raw Data'!AA:AA,Match($A540,'Player Raw Data'!$B:$B,0)),"")</f>
        <v/>
      </c>
      <c r="O540" t="str">
        <f t="array" ref="O540">IFERROR(INDEX('Player Raw Data'!AB:AB,Match($A540,'Player Raw Data'!$B:$B,0)),"")</f>
        <v/>
      </c>
      <c r="P540" t="str">
        <f t="array" ref="P540">IFERROR(INDEX('Player Raw Data'!AD:AD,Match($A540,'Player Raw Data'!$B:$B,0)),"")</f>
        <v/>
      </c>
      <c r="Q540">
        <f t="shared" si="1"/>
        <v>0</v>
      </c>
      <c r="R540" s="9">
        <f t="shared" si="2"/>
        <v>0</v>
      </c>
      <c r="S540" s="14">
        <f t="shared" si="3"/>
        <v>0</v>
      </c>
      <c r="T540" s="15">
        <f>IFERROR(__xludf.DUMMYFUNCTION("IFERROR(PERCENTRANK.INC(FILTER(Q:Q,$F:$F&lt;&gt;""""),Q540)*100,"""")"),1.5)</f>
        <v>1.5</v>
      </c>
      <c r="U540" s="15">
        <f>IFERROR(__xludf.DUMMYFUNCTION("IFERROR(PERCENTRANK.INC(FILTER(R:R,$F:$F&lt;&gt;""""),R540)*100,"""")"),1.5)</f>
        <v>1.5</v>
      </c>
      <c r="V540" s="15">
        <f>IFERROR(__xludf.DUMMYFUNCTION("IFERROR(PERCENTRANK.INC(FILTER(S:S,$F:$F&lt;&gt;""""),S540)*100,"""")"),1.5)</f>
        <v>1.5</v>
      </c>
      <c r="W540" s="15" t="str">
        <f t="shared" si="4"/>
        <v/>
      </c>
      <c r="X540" s="16"/>
      <c r="Y540" s="9"/>
      <c r="Z540" s="9"/>
    </row>
    <row r="541">
      <c r="B541" t="str">
        <f t="array" ref="B541">IFERROR(INDEX('Player Raw Data'!E:E,Match($A541,'Player Raw Data'!$B:$B,0)),"")</f>
        <v/>
      </c>
      <c r="C541" t="str">
        <f t="array" ref="C541">IFERROR(INDEX('Player Raw Data'!C:C,Match($A541,'Player Raw Data'!$B:$B,0)),"")</f>
        <v/>
      </c>
      <c r="D541" t="str">
        <f t="array" ref="D541">IFERROR(IF(A541=A540, INDEX('Player Raw Data'!D:D,Match($A541,'Player Raw Data'!$B:$B,0)+2),INDEX('Player Raw Data'!D:D,Match($A541,'Player Raw Data'!$B:$B,0))),"")</f>
        <v/>
      </c>
      <c r="E541" t="str">
        <f t="array" ref="E541">IFERROR(INDEX('Player Raw Data'!F:F,Match($A541,'Player Raw Data'!$B:$B,0)),"")</f>
        <v/>
      </c>
      <c r="F541" t="str">
        <f t="array" ref="F541">IFERROR(INDEX('Player Raw Data'!H:H,Match($A541,'Player Raw Data'!$B:$B,0)),"")</f>
        <v/>
      </c>
      <c r="G541" t="str">
        <f t="array" ref="G541">IFERROR(INDEX('Player Raw Data'!I:I,Match($A541,'Player Raw Data'!$B:$B,0)),"")</f>
        <v/>
      </c>
      <c r="H541" t="str">
        <f t="array" ref="H541">IFERROR(INDEX('Player Raw Data'!J:J,Match($A541,'Player Raw Data'!$B:$B,0)),"")</f>
        <v/>
      </c>
      <c r="I541" t="str">
        <f t="array" ref="I541">IFERROR(INDEX('Player Raw Data'!S:S,Match($A541,'Player Raw Data'!$B:$B,0)),"")</f>
        <v/>
      </c>
      <c r="J541" t="str">
        <f t="array" ref="J541">IFERROR(INDEX('Player Raw Data'!T:T,Match($A541,'Player Raw Data'!$B:$B,0)),"")</f>
        <v/>
      </c>
      <c r="K541" t="str">
        <f t="array" ref="K541">IFERROR(INDEX('Player Raw Data'!X:X,Match($A541,'Player Raw Data'!$B:$B,0)),"")</f>
        <v/>
      </c>
      <c r="L541" t="str">
        <f t="array" ref="L541">IFERROR(INDEX('Player Raw Data'!Y:Y,Match($A541,'Player Raw Data'!$B:$B,0)),"")</f>
        <v/>
      </c>
      <c r="M541" t="str">
        <f t="array" ref="M541">IFERROR(INDEX('Player Raw Data'!Z:Z,Match($A541,'Player Raw Data'!$B:$B,0)),"")</f>
        <v/>
      </c>
      <c r="N541" t="str">
        <f t="array" ref="N541">IFERROR(INDEX('Player Raw Data'!AA:AA,Match($A541,'Player Raw Data'!$B:$B,0)),"")</f>
        <v/>
      </c>
      <c r="O541" t="str">
        <f t="array" ref="O541">IFERROR(INDEX('Player Raw Data'!AB:AB,Match($A541,'Player Raw Data'!$B:$B,0)),"")</f>
        <v/>
      </c>
      <c r="P541" t="str">
        <f t="array" ref="P541">IFERROR(INDEX('Player Raw Data'!AD:AD,Match($A541,'Player Raw Data'!$B:$B,0)),"")</f>
        <v/>
      </c>
      <c r="Q541">
        <f t="shared" si="1"/>
        <v>0</v>
      </c>
      <c r="R541" s="9">
        <f t="shared" si="2"/>
        <v>0</v>
      </c>
      <c r="S541" s="14">
        <f t="shared" si="3"/>
        <v>0</v>
      </c>
      <c r="T541" s="15">
        <f>IFERROR(__xludf.DUMMYFUNCTION("IFERROR(PERCENTRANK.INC(FILTER(Q:Q,$F:$F&lt;&gt;""""),Q541)*100,"""")"),1.5)</f>
        <v>1.5</v>
      </c>
      <c r="U541" s="15">
        <f>IFERROR(__xludf.DUMMYFUNCTION("IFERROR(PERCENTRANK.INC(FILTER(R:R,$F:$F&lt;&gt;""""),R541)*100,"""")"),1.5)</f>
        <v>1.5</v>
      </c>
      <c r="V541" s="15">
        <f>IFERROR(__xludf.DUMMYFUNCTION("IFERROR(PERCENTRANK.INC(FILTER(S:S,$F:$F&lt;&gt;""""),S541)*100,"""")"),1.5)</f>
        <v>1.5</v>
      </c>
      <c r="W541" s="15" t="str">
        <f t="shared" si="4"/>
        <v/>
      </c>
      <c r="X541" s="16"/>
      <c r="Y541" s="9"/>
      <c r="Z541" s="9"/>
    </row>
    <row r="542">
      <c r="B542" t="str">
        <f t="array" ref="B542">IFERROR(INDEX('Player Raw Data'!E:E,Match($A542,'Player Raw Data'!$B:$B,0)),"")</f>
        <v/>
      </c>
      <c r="C542" t="str">
        <f t="array" ref="C542">IFERROR(INDEX('Player Raw Data'!C:C,Match($A542,'Player Raw Data'!$B:$B,0)),"")</f>
        <v/>
      </c>
      <c r="D542" t="str">
        <f t="array" ref="D542">IFERROR(IF(A542=A541, INDEX('Player Raw Data'!D:D,Match($A542,'Player Raw Data'!$B:$B,0)+2),INDEX('Player Raw Data'!D:D,Match($A542,'Player Raw Data'!$B:$B,0))),"")</f>
        <v/>
      </c>
      <c r="E542" t="str">
        <f t="array" ref="E542">IFERROR(INDEX('Player Raw Data'!F:F,Match($A542,'Player Raw Data'!$B:$B,0)),"")</f>
        <v/>
      </c>
      <c r="F542" t="str">
        <f t="array" ref="F542">IFERROR(INDEX('Player Raw Data'!H:H,Match($A542,'Player Raw Data'!$B:$B,0)),"")</f>
        <v/>
      </c>
      <c r="G542" t="str">
        <f t="array" ref="G542">IFERROR(INDEX('Player Raw Data'!I:I,Match($A542,'Player Raw Data'!$B:$B,0)),"")</f>
        <v/>
      </c>
      <c r="H542" t="str">
        <f t="array" ref="H542">IFERROR(INDEX('Player Raw Data'!J:J,Match($A542,'Player Raw Data'!$B:$B,0)),"")</f>
        <v/>
      </c>
      <c r="I542" t="str">
        <f t="array" ref="I542">IFERROR(INDEX('Player Raw Data'!S:S,Match($A542,'Player Raw Data'!$B:$B,0)),"")</f>
        <v/>
      </c>
      <c r="J542" t="str">
        <f t="array" ref="J542">IFERROR(INDEX('Player Raw Data'!T:T,Match($A542,'Player Raw Data'!$B:$B,0)),"")</f>
        <v/>
      </c>
      <c r="K542" t="str">
        <f t="array" ref="K542">IFERROR(INDEX('Player Raw Data'!X:X,Match($A542,'Player Raw Data'!$B:$B,0)),"")</f>
        <v/>
      </c>
      <c r="L542" t="str">
        <f t="array" ref="L542">IFERROR(INDEX('Player Raw Data'!Y:Y,Match($A542,'Player Raw Data'!$B:$B,0)),"")</f>
        <v/>
      </c>
      <c r="M542" t="str">
        <f t="array" ref="M542">IFERROR(INDEX('Player Raw Data'!Z:Z,Match($A542,'Player Raw Data'!$B:$B,0)),"")</f>
        <v/>
      </c>
      <c r="N542" t="str">
        <f t="array" ref="N542">IFERROR(INDEX('Player Raw Data'!AA:AA,Match($A542,'Player Raw Data'!$B:$B,0)),"")</f>
        <v/>
      </c>
      <c r="O542" t="str">
        <f t="array" ref="O542">IFERROR(INDEX('Player Raw Data'!AB:AB,Match($A542,'Player Raw Data'!$B:$B,0)),"")</f>
        <v/>
      </c>
      <c r="P542" t="str">
        <f t="array" ref="P542">IFERROR(INDEX('Player Raw Data'!AD:AD,Match($A542,'Player Raw Data'!$B:$B,0)),"")</f>
        <v/>
      </c>
      <c r="Q542">
        <f t="shared" si="1"/>
        <v>0</v>
      </c>
      <c r="R542" s="9">
        <f t="shared" si="2"/>
        <v>0</v>
      </c>
      <c r="S542" s="14">
        <f t="shared" si="3"/>
        <v>0</v>
      </c>
      <c r="T542" s="15">
        <f>IFERROR(__xludf.DUMMYFUNCTION("IFERROR(PERCENTRANK.INC(FILTER(Q:Q,$F:$F&lt;&gt;""""),Q542)*100,"""")"),1.5)</f>
        <v>1.5</v>
      </c>
      <c r="U542" s="15">
        <f>IFERROR(__xludf.DUMMYFUNCTION("IFERROR(PERCENTRANK.INC(FILTER(R:R,$F:$F&lt;&gt;""""),R542)*100,"""")"),1.5)</f>
        <v>1.5</v>
      </c>
      <c r="V542" s="15">
        <f>IFERROR(__xludf.DUMMYFUNCTION("IFERROR(PERCENTRANK.INC(FILTER(S:S,$F:$F&lt;&gt;""""),S542)*100,"""")"),1.5)</f>
        <v>1.5</v>
      </c>
      <c r="W542" s="15" t="str">
        <f t="shared" si="4"/>
        <v/>
      </c>
      <c r="X542" s="16"/>
      <c r="Y542" s="9"/>
      <c r="Z542" s="9"/>
    </row>
    <row r="543">
      <c r="B543" t="str">
        <f t="array" ref="B543">IFERROR(INDEX('Player Raw Data'!E:E,Match($A543,'Player Raw Data'!$B:$B,0)),"")</f>
        <v/>
      </c>
      <c r="C543" t="str">
        <f t="array" ref="C543">IFERROR(INDEX('Player Raw Data'!C:C,Match($A543,'Player Raw Data'!$B:$B,0)),"")</f>
        <v/>
      </c>
      <c r="D543" t="str">
        <f t="array" ref="D543">IFERROR(IF(A543=A542, INDEX('Player Raw Data'!D:D,Match($A543,'Player Raw Data'!$B:$B,0)+2),INDEX('Player Raw Data'!D:D,Match($A543,'Player Raw Data'!$B:$B,0))),"")</f>
        <v/>
      </c>
      <c r="E543" t="str">
        <f t="array" ref="E543">IFERROR(INDEX('Player Raw Data'!F:F,Match($A543,'Player Raw Data'!$B:$B,0)),"")</f>
        <v/>
      </c>
      <c r="F543" t="str">
        <f t="array" ref="F543">IFERROR(INDEX('Player Raw Data'!H:H,Match($A543,'Player Raw Data'!$B:$B,0)),"")</f>
        <v/>
      </c>
      <c r="G543" t="str">
        <f t="array" ref="G543">IFERROR(INDEX('Player Raw Data'!I:I,Match($A543,'Player Raw Data'!$B:$B,0)),"")</f>
        <v/>
      </c>
      <c r="H543" t="str">
        <f t="array" ref="H543">IFERROR(INDEX('Player Raw Data'!J:J,Match($A543,'Player Raw Data'!$B:$B,0)),"")</f>
        <v/>
      </c>
      <c r="I543" t="str">
        <f t="array" ref="I543">IFERROR(INDEX('Player Raw Data'!S:S,Match($A543,'Player Raw Data'!$B:$B,0)),"")</f>
        <v/>
      </c>
      <c r="J543" t="str">
        <f t="array" ref="J543">IFERROR(INDEX('Player Raw Data'!T:T,Match($A543,'Player Raw Data'!$B:$B,0)),"")</f>
        <v/>
      </c>
      <c r="K543" t="str">
        <f t="array" ref="K543">IFERROR(INDEX('Player Raw Data'!X:X,Match($A543,'Player Raw Data'!$B:$B,0)),"")</f>
        <v/>
      </c>
      <c r="L543" t="str">
        <f t="array" ref="L543">IFERROR(INDEX('Player Raw Data'!Y:Y,Match($A543,'Player Raw Data'!$B:$B,0)),"")</f>
        <v/>
      </c>
      <c r="M543" t="str">
        <f t="array" ref="M543">IFERROR(INDEX('Player Raw Data'!Z:Z,Match($A543,'Player Raw Data'!$B:$B,0)),"")</f>
        <v/>
      </c>
      <c r="N543" t="str">
        <f t="array" ref="N543">IFERROR(INDEX('Player Raw Data'!AA:AA,Match($A543,'Player Raw Data'!$B:$B,0)),"")</f>
        <v/>
      </c>
      <c r="O543" t="str">
        <f t="array" ref="O543">IFERROR(INDEX('Player Raw Data'!AB:AB,Match($A543,'Player Raw Data'!$B:$B,0)),"")</f>
        <v/>
      </c>
      <c r="P543" t="str">
        <f t="array" ref="P543">IFERROR(INDEX('Player Raw Data'!AD:AD,Match($A543,'Player Raw Data'!$B:$B,0)),"")</f>
        <v/>
      </c>
      <c r="Q543">
        <f t="shared" si="1"/>
        <v>0</v>
      </c>
      <c r="R543" s="9">
        <f t="shared" si="2"/>
        <v>0</v>
      </c>
      <c r="S543" s="14">
        <f t="shared" si="3"/>
        <v>0</v>
      </c>
      <c r="T543" s="15">
        <f>IFERROR(__xludf.DUMMYFUNCTION("IFERROR(PERCENTRANK.INC(FILTER(Q:Q,$F:$F&lt;&gt;""""),Q543)*100,"""")"),1.5)</f>
        <v>1.5</v>
      </c>
      <c r="U543" s="15">
        <f>IFERROR(__xludf.DUMMYFUNCTION("IFERROR(PERCENTRANK.INC(FILTER(R:R,$F:$F&lt;&gt;""""),R543)*100,"""")"),1.5)</f>
        <v>1.5</v>
      </c>
      <c r="V543" s="15">
        <f>IFERROR(__xludf.DUMMYFUNCTION("IFERROR(PERCENTRANK.INC(FILTER(S:S,$F:$F&lt;&gt;""""),S543)*100,"""")"),1.5)</f>
        <v>1.5</v>
      </c>
      <c r="W543" s="15" t="str">
        <f t="shared" si="4"/>
        <v/>
      </c>
      <c r="X543" s="16"/>
      <c r="Y543" s="9"/>
      <c r="Z543" s="9"/>
    </row>
    <row r="544">
      <c r="B544" t="str">
        <f t="array" ref="B544">IFERROR(INDEX('Player Raw Data'!E:E,Match($A544,'Player Raw Data'!$B:$B,0)),"")</f>
        <v/>
      </c>
      <c r="C544" t="str">
        <f t="array" ref="C544">IFERROR(INDEX('Player Raw Data'!C:C,Match($A544,'Player Raw Data'!$B:$B,0)),"")</f>
        <v/>
      </c>
      <c r="D544" t="str">
        <f t="array" ref="D544">IFERROR(IF(A544=A543, INDEX('Player Raw Data'!D:D,Match($A544,'Player Raw Data'!$B:$B,0)+2),INDEX('Player Raw Data'!D:D,Match($A544,'Player Raw Data'!$B:$B,0))),"")</f>
        <v/>
      </c>
      <c r="E544" t="str">
        <f t="array" ref="E544">IFERROR(INDEX('Player Raw Data'!F:F,Match($A544,'Player Raw Data'!$B:$B,0)),"")</f>
        <v/>
      </c>
      <c r="F544" t="str">
        <f t="array" ref="F544">IFERROR(INDEX('Player Raw Data'!H:H,Match($A544,'Player Raw Data'!$B:$B,0)),"")</f>
        <v/>
      </c>
      <c r="G544" t="str">
        <f t="array" ref="G544">IFERROR(INDEX('Player Raw Data'!I:I,Match($A544,'Player Raw Data'!$B:$B,0)),"")</f>
        <v/>
      </c>
      <c r="H544" t="str">
        <f t="array" ref="H544">IFERROR(INDEX('Player Raw Data'!J:J,Match($A544,'Player Raw Data'!$B:$B,0)),"")</f>
        <v/>
      </c>
      <c r="I544" t="str">
        <f t="array" ref="I544">IFERROR(INDEX('Player Raw Data'!S:S,Match($A544,'Player Raw Data'!$B:$B,0)),"")</f>
        <v/>
      </c>
      <c r="J544" t="str">
        <f t="array" ref="J544">IFERROR(INDEX('Player Raw Data'!T:T,Match($A544,'Player Raw Data'!$B:$B,0)),"")</f>
        <v/>
      </c>
      <c r="K544" t="str">
        <f t="array" ref="K544">IFERROR(INDEX('Player Raw Data'!X:X,Match($A544,'Player Raw Data'!$B:$B,0)),"")</f>
        <v/>
      </c>
      <c r="L544" t="str">
        <f t="array" ref="L544">IFERROR(INDEX('Player Raw Data'!Y:Y,Match($A544,'Player Raw Data'!$B:$B,0)),"")</f>
        <v/>
      </c>
      <c r="M544" t="str">
        <f t="array" ref="M544">IFERROR(INDEX('Player Raw Data'!Z:Z,Match($A544,'Player Raw Data'!$B:$B,0)),"")</f>
        <v/>
      </c>
      <c r="N544" t="str">
        <f t="array" ref="N544">IFERROR(INDEX('Player Raw Data'!AA:AA,Match($A544,'Player Raw Data'!$B:$B,0)),"")</f>
        <v/>
      </c>
      <c r="O544" t="str">
        <f t="array" ref="O544">IFERROR(INDEX('Player Raw Data'!AB:AB,Match($A544,'Player Raw Data'!$B:$B,0)),"")</f>
        <v/>
      </c>
      <c r="P544" t="str">
        <f t="array" ref="P544">IFERROR(INDEX('Player Raw Data'!AD:AD,Match($A544,'Player Raw Data'!$B:$B,0)),"")</f>
        <v/>
      </c>
      <c r="Q544">
        <f t="shared" si="1"/>
        <v>0</v>
      </c>
      <c r="R544" s="9">
        <f t="shared" si="2"/>
        <v>0</v>
      </c>
      <c r="S544" s="14">
        <f t="shared" si="3"/>
        <v>0</v>
      </c>
      <c r="T544" s="15">
        <f>IFERROR(__xludf.DUMMYFUNCTION("IFERROR(PERCENTRANK.INC(FILTER(Q:Q,$F:$F&lt;&gt;""""),Q544)*100,"""")"),1.5)</f>
        <v>1.5</v>
      </c>
      <c r="U544" s="15">
        <f>IFERROR(__xludf.DUMMYFUNCTION("IFERROR(PERCENTRANK.INC(FILTER(R:R,$F:$F&lt;&gt;""""),R544)*100,"""")"),1.5)</f>
        <v>1.5</v>
      </c>
      <c r="V544" s="15">
        <f>IFERROR(__xludf.DUMMYFUNCTION("IFERROR(PERCENTRANK.INC(FILTER(S:S,$F:$F&lt;&gt;""""),S544)*100,"""")"),1.5)</f>
        <v>1.5</v>
      </c>
      <c r="W544" s="15" t="str">
        <f t="shared" si="4"/>
        <v/>
      </c>
      <c r="X544" s="16"/>
      <c r="Y544" s="9"/>
      <c r="Z544" s="9"/>
    </row>
    <row r="545">
      <c r="B545" t="str">
        <f t="array" ref="B545">IFERROR(INDEX('Player Raw Data'!E:E,Match($A545,'Player Raw Data'!$B:$B,0)),"")</f>
        <v/>
      </c>
      <c r="C545" t="str">
        <f t="array" ref="C545">IFERROR(INDEX('Player Raw Data'!C:C,Match($A545,'Player Raw Data'!$B:$B,0)),"")</f>
        <v/>
      </c>
      <c r="D545" t="str">
        <f t="array" ref="D545">IFERROR(IF(A545=A544, INDEX('Player Raw Data'!D:D,Match($A545,'Player Raw Data'!$B:$B,0)+2),INDEX('Player Raw Data'!D:D,Match($A545,'Player Raw Data'!$B:$B,0))),"")</f>
        <v/>
      </c>
      <c r="E545" t="str">
        <f t="array" ref="E545">IFERROR(INDEX('Player Raw Data'!F:F,Match($A545,'Player Raw Data'!$B:$B,0)),"")</f>
        <v/>
      </c>
      <c r="F545" t="str">
        <f t="array" ref="F545">IFERROR(INDEX('Player Raw Data'!H:H,Match($A545,'Player Raw Data'!$B:$B,0)),"")</f>
        <v/>
      </c>
      <c r="G545" t="str">
        <f t="array" ref="G545">IFERROR(INDEX('Player Raw Data'!I:I,Match($A545,'Player Raw Data'!$B:$B,0)),"")</f>
        <v/>
      </c>
      <c r="H545" t="str">
        <f t="array" ref="H545">IFERROR(INDEX('Player Raw Data'!J:J,Match($A545,'Player Raw Data'!$B:$B,0)),"")</f>
        <v/>
      </c>
      <c r="I545" t="str">
        <f t="array" ref="I545">IFERROR(INDEX('Player Raw Data'!S:S,Match($A545,'Player Raw Data'!$B:$B,0)),"")</f>
        <v/>
      </c>
      <c r="J545" t="str">
        <f t="array" ref="J545">IFERROR(INDEX('Player Raw Data'!T:T,Match($A545,'Player Raw Data'!$B:$B,0)),"")</f>
        <v/>
      </c>
      <c r="K545" t="str">
        <f t="array" ref="K545">IFERROR(INDEX('Player Raw Data'!X:X,Match($A545,'Player Raw Data'!$B:$B,0)),"")</f>
        <v/>
      </c>
      <c r="L545" t="str">
        <f t="array" ref="L545">IFERROR(INDEX('Player Raw Data'!Y:Y,Match($A545,'Player Raw Data'!$B:$B,0)),"")</f>
        <v/>
      </c>
      <c r="M545" t="str">
        <f t="array" ref="M545">IFERROR(INDEX('Player Raw Data'!Z:Z,Match($A545,'Player Raw Data'!$B:$B,0)),"")</f>
        <v/>
      </c>
      <c r="N545" t="str">
        <f t="array" ref="N545">IFERROR(INDEX('Player Raw Data'!AA:AA,Match($A545,'Player Raw Data'!$B:$B,0)),"")</f>
        <v/>
      </c>
      <c r="O545" t="str">
        <f t="array" ref="O545">IFERROR(INDEX('Player Raw Data'!AB:AB,Match($A545,'Player Raw Data'!$B:$B,0)),"")</f>
        <v/>
      </c>
      <c r="P545" t="str">
        <f t="array" ref="P545">IFERROR(INDEX('Player Raw Data'!AD:AD,Match($A545,'Player Raw Data'!$B:$B,0)),"")</f>
        <v/>
      </c>
      <c r="Q545">
        <f t="shared" si="1"/>
        <v>0</v>
      </c>
      <c r="R545" s="9">
        <f t="shared" si="2"/>
        <v>0</v>
      </c>
      <c r="S545" s="14">
        <f t="shared" si="3"/>
        <v>0</v>
      </c>
      <c r="T545" s="15">
        <f>IFERROR(__xludf.DUMMYFUNCTION("IFERROR(PERCENTRANK.INC(FILTER(Q:Q,$F:$F&lt;&gt;""""),Q545)*100,"""")"),1.5)</f>
        <v>1.5</v>
      </c>
      <c r="U545" s="15">
        <f>IFERROR(__xludf.DUMMYFUNCTION("IFERROR(PERCENTRANK.INC(FILTER(R:R,$F:$F&lt;&gt;""""),R545)*100,"""")"),1.5)</f>
        <v>1.5</v>
      </c>
      <c r="V545" s="15">
        <f>IFERROR(__xludf.DUMMYFUNCTION("IFERROR(PERCENTRANK.INC(FILTER(S:S,$F:$F&lt;&gt;""""),S545)*100,"""")"),1.5)</f>
        <v>1.5</v>
      </c>
      <c r="W545" s="15" t="str">
        <f t="shared" si="4"/>
        <v/>
      </c>
      <c r="X545" s="16"/>
      <c r="Y545" s="9"/>
      <c r="Z545" s="9"/>
    </row>
    <row r="546">
      <c r="B546" t="str">
        <f t="array" ref="B546">IFERROR(INDEX('Player Raw Data'!E:E,Match($A546,'Player Raw Data'!$B:$B,0)),"")</f>
        <v/>
      </c>
      <c r="C546" t="str">
        <f t="array" ref="C546">IFERROR(INDEX('Player Raw Data'!C:C,Match($A546,'Player Raw Data'!$B:$B,0)),"")</f>
        <v/>
      </c>
      <c r="D546" t="str">
        <f t="array" ref="D546">IFERROR(IF(A546=A545, INDEX('Player Raw Data'!D:D,Match($A546,'Player Raw Data'!$B:$B,0)+2),INDEX('Player Raw Data'!D:D,Match($A546,'Player Raw Data'!$B:$B,0))),"")</f>
        <v/>
      </c>
      <c r="E546" t="str">
        <f t="array" ref="E546">IFERROR(INDEX('Player Raw Data'!F:F,Match($A546,'Player Raw Data'!$B:$B,0)),"")</f>
        <v/>
      </c>
      <c r="F546" t="str">
        <f t="array" ref="F546">IFERROR(INDEX('Player Raw Data'!H:H,Match($A546,'Player Raw Data'!$B:$B,0)),"")</f>
        <v/>
      </c>
      <c r="G546" t="str">
        <f t="array" ref="G546">IFERROR(INDEX('Player Raw Data'!I:I,Match($A546,'Player Raw Data'!$B:$B,0)),"")</f>
        <v/>
      </c>
      <c r="H546" t="str">
        <f t="array" ref="H546">IFERROR(INDEX('Player Raw Data'!J:J,Match($A546,'Player Raw Data'!$B:$B,0)),"")</f>
        <v/>
      </c>
      <c r="I546" t="str">
        <f t="array" ref="I546">IFERROR(INDEX('Player Raw Data'!S:S,Match($A546,'Player Raw Data'!$B:$B,0)),"")</f>
        <v/>
      </c>
      <c r="J546" t="str">
        <f t="array" ref="J546">IFERROR(INDEX('Player Raw Data'!T:T,Match($A546,'Player Raw Data'!$B:$B,0)),"")</f>
        <v/>
      </c>
      <c r="K546" t="str">
        <f t="array" ref="K546">IFERROR(INDEX('Player Raw Data'!X:X,Match($A546,'Player Raw Data'!$B:$B,0)),"")</f>
        <v/>
      </c>
      <c r="L546" t="str">
        <f t="array" ref="L546">IFERROR(INDEX('Player Raw Data'!Y:Y,Match($A546,'Player Raw Data'!$B:$B,0)),"")</f>
        <v/>
      </c>
      <c r="M546" t="str">
        <f t="array" ref="M546">IFERROR(INDEX('Player Raw Data'!Z:Z,Match($A546,'Player Raw Data'!$B:$B,0)),"")</f>
        <v/>
      </c>
      <c r="N546" t="str">
        <f t="array" ref="N546">IFERROR(INDEX('Player Raw Data'!AA:AA,Match($A546,'Player Raw Data'!$B:$B,0)),"")</f>
        <v/>
      </c>
      <c r="O546" t="str">
        <f t="array" ref="O546">IFERROR(INDEX('Player Raw Data'!AB:AB,Match($A546,'Player Raw Data'!$B:$B,0)),"")</f>
        <v/>
      </c>
      <c r="P546" t="str">
        <f t="array" ref="P546">IFERROR(INDEX('Player Raw Data'!AD:AD,Match($A546,'Player Raw Data'!$B:$B,0)),"")</f>
        <v/>
      </c>
      <c r="Q546">
        <f t="shared" si="1"/>
        <v>0</v>
      </c>
      <c r="R546" s="9">
        <f t="shared" si="2"/>
        <v>0</v>
      </c>
      <c r="S546" s="14">
        <f t="shared" si="3"/>
        <v>0</v>
      </c>
      <c r="T546" s="15">
        <f>IFERROR(__xludf.DUMMYFUNCTION("IFERROR(PERCENTRANK.INC(FILTER(Q:Q,$F:$F&lt;&gt;""""),Q546)*100,"""")"),1.5)</f>
        <v>1.5</v>
      </c>
      <c r="U546" s="15">
        <f>IFERROR(__xludf.DUMMYFUNCTION("IFERROR(PERCENTRANK.INC(FILTER(R:R,$F:$F&lt;&gt;""""),R546)*100,"""")"),1.5)</f>
        <v>1.5</v>
      </c>
      <c r="V546" s="15">
        <f>IFERROR(__xludf.DUMMYFUNCTION("IFERROR(PERCENTRANK.INC(FILTER(S:S,$F:$F&lt;&gt;""""),S546)*100,"""")"),1.5)</f>
        <v>1.5</v>
      </c>
      <c r="W546" s="15" t="str">
        <f t="shared" si="4"/>
        <v/>
      </c>
      <c r="X546" s="16"/>
      <c r="Y546" s="9"/>
      <c r="Z546" s="9"/>
    </row>
    <row r="547">
      <c r="B547" t="str">
        <f t="array" ref="B547">IFERROR(INDEX('Player Raw Data'!E:E,Match($A547,'Player Raw Data'!$B:$B,0)),"")</f>
        <v/>
      </c>
      <c r="C547" t="str">
        <f t="array" ref="C547">IFERROR(INDEX('Player Raw Data'!C:C,Match($A547,'Player Raw Data'!$B:$B,0)),"")</f>
        <v/>
      </c>
      <c r="D547" t="str">
        <f t="array" ref="D547">IFERROR(IF(A547=A546, INDEX('Player Raw Data'!D:D,Match($A547,'Player Raw Data'!$B:$B,0)+2),INDEX('Player Raw Data'!D:D,Match($A547,'Player Raw Data'!$B:$B,0))),"")</f>
        <v/>
      </c>
      <c r="E547" t="str">
        <f t="array" ref="E547">IFERROR(INDEX('Player Raw Data'!F:F,Match($A547,'Player Raw Data'!$B:$B,0)),"")</f>
        <v/>
      </c>
      <c r="F547" t="str">
        <f t="array" ref="F547">IFERROR(INDEX('Player Raw Data'!H:H,Match($A547,'Player Raw Data'!$B:$B,0)),"")</f>
        <v/>
      </c>
      <c r="G547" t="str">
        <f t="array" ref="G547">IFERROR(INDEX('Player Raw Data'!I:I,Match($A547,'Player Raw Data'!$B:$B,0)),"")</f>
        <v/>
      </c>
      <c r="H547" t="str">
        <f t="array" ref="H547">IFERROR(INDEX('Player Raw Data'!J:J,Match($A547,'Player Raw Data'!$B:$B,0)),"")</f>
        <v/>
      </c>
      <c r="I547" t="str">
        <f t="array" ref="I547">IFERROR(INDEX('Player Raw Data'!S:S,Match($A547,'Player Raw Data'!$B:$B,0)),"")</f>
        <v/>
      </c>
      <c r="J547" t="str">
        <f t="array" ref="J547">IFERROR(INDEX('Player Raw Data'!T:T,Match($A547,'Player Raw Data'!$B:$B,0)),"")</f>
        <v/>
      </c>
      <c r="K547" t="str">
        <f t="array" ref="K547">IFERROR(INDEX('Player Raw Data'!X:X,Match($A547,'Player Raw Data'!$B:$B,0)),"")</f>
        <v/>
      </c>
      <c r="L547" t="str">
        <f t="array" ref="L547">IFERROR(INDEX('Player Raw Data'!Y:Y,Match($A547,'Player Raw Data'!$B:$B,0)),"")</f>
        <v/>
      </c>
      <c r="M547" t="str">
        <f t="array" ref="M547">IFERROR(INDEX('Player Raw Data'!Z:Z,Match($A547,'Player Raw Data'!$B:$B,0)),"")</f>
        <v/>
      </c>
      <c r="N547" t="str">
        <f t="array" ref="N547">IFERROR(INDEX('Player Raw Data'!AA:AA,Match($A547,'Player Raw Data'!$B:$B,0)),"")</f>
        <v/>
      </c>
      <c r="O547" t="str">
        <f t="array" ref="O547">IFERROR(INDEX('Player Raw Data'!AB:AB,Match($A547,'Player Raw Data'!$B:$B,0)),"")</f>
        <v/>
      </c>
      <c r="P547" t="str">
        <f t="array" ref="P547">IFERROR(INDEX('Player Raw Data'!AD:AD,Match($A547,'Player Raw Data'!$B:$B,0)),"")</f>
        <v/>
      </c>
      <c r="Q547">
        <f t="shared" si="1"/>
        <v>0</v>
      </c>
      <c r="R547" s="9">
        <f t="shared" si="2"/>
        <v>0</v>
      </c>
      <c r="S547" s="14">
        <f t="shared" si="3"/>
        <v>0</v>
      </c>
      <c r="T547" s="15">
        <f>IFERROR(__xludf.DUMMYFUNCTION("IFERROR(PERCENTRANK.INC(FILTER(Q:Q,$F:$F&lt;&gt;""""),Q547)*100,"""")"),1.5)</f>
        <v>1.5</v>
      </c>
      <c r="U547" s="15">
        <f>IFERROR(__xludf.DUMMYFUNCTION("IFERROR(PERCENTRANK.INC(FILTER(R:R,$F:$F&lt;&gt;""""),R547)*100,"""")"),1.5)</f>
        <v>1.5</v>
      </c>
      <c r="V547" s="15">
        <f>IFERROR(__xludf.DUMMYFUNCTION("IFERROR(PERCENTRANK.INC(FILTER(S:S,$F:$F&lt;&gt;""""),S547)*100,"""")"),1.5)</f>
        <v>1.5</v>
      </c>
      <c r="W547" s="15" t="str">
        <f t="shared" si="4"/>
        <v/>
      </c>
      <c r="X547" s="16"/>
      <c r="Y547" s="9"/>
      <c r="Z547" s="9"/>
    </row>
    <row r="548">
      <c r="B548" t="str">
        <f t="array" ref="B548">IFERROR(INDEX('Player Raw Data'!E:E,Match($A548,'Player Raw Data'!$B:$B,0)),"")</f>
        <v/>
      </c>
      <c r="C548" t="str">
        <f t="array" ref="C548">IFERROR(INDEX('Player Raw Data'!C:C,Match($A548,'Player Raw Data'!$B:$B,0)),"")</f>
        <v/>
      </c>
      <c r="D548" t="str">
        <f t="array" ref="D548">IFERROR(IF(A548=A547, INDEX('Player Raw Data'!D:D,Match($A548,'Player Raw Data'!$B:$B,0)+2),INDEX('Player Raw Data'!D:D,Match($A548,'Player Raw Data'!$B:$B,0))),"")</f>
        <v/>
      </c>
      <c r="E548" t="str">
        <f t="array" ref="E548">IFERROR(INDEX('Player Raw Data'!F:F,Match($A548,'Player Raw Data'!$B:$B,0)),"")</f>
        <v/>
      </c>
      <c r="F548" t="str">
        <f t="array" ref="F548">IFERROR(INDEX('Player Raw Data'!H:H,Match($A548,'Player Raw Data'!$B:$B,0)),"")</f>
        <v/>
      </c>
      <c r="G548" t="str">
        <f t="array" ref="G548">IFERROR(INDEX('Player Raw Data'!I:I,Match($A548,'Player Raw Data'!$B:$B,0)),"")</f>
        <v/>
      </c>
      <c r="H548" t="str">
        <f t="array" ref="H548">IFERROR(INDEX('Player Raw Data'!J:J,Match($A548,'Player Raw Data'!$B:$B,0)),"")</f>
        <v/>
      </c>
      <c r="I548" t="str">
        <f t="array" ref="I548">IFERROR(INDEX('Player Raw Data'!S:S,Match($A548,'Player Raw Data'!$B:$B,0)),"")</f>
        <v/>
      </c>
      <c r="J548" t="str">
        <f t="array" ref="J548">IFERROR(INDEX('Player Raw Data'!T:T,Match($A548,'Player Raw Data'!$B:$B,0)),"")</f>
        <v/>
      </c>
      <c r="K548" t="str">
        <f t="array" ref="K548">IFERROR(INDEX('Player Raw Data'!X:X,Match($A548,'Player Raw Data'!$B:$B,0)),"")</f>
        <v/>
      </c>
      <c r="L548" t="str">
        <f t="array" ref="L548">IFERROR(INDEX('Player Raw Data'!Y:Y,Match($A548,'Player Raw Data'!$B:$B,0)),"")</f>
        <v/>
      </c>
      <c r="M548" t="str">
        <f t="array" ref="M548">IFERROR(INDEX('Player Raw Data'!Z:Z,Match($A548,'Player Raw Data'!$B:$B,0)),"")</f>
        <v/>
      </c>
      <c r="N548" t="str">
        <f t="array" ref="N548">IFERROR(INDEX('Player Raw Data'!AA:AA,Match($A548,'Player Raw Data'!$B:$B,0)),"")</f>
        <v/>
      </c>
      <c r="O548" t="str">
        <f t="array" ref="O548">IFERROR(INDEX('Player Raw Data'!AB:AB,Match($A548,'Player Raw Data'!$B:$B,0)),"")</f>
        <v/>
      </c>
      <c r="P548" t="str">
        <f t="array" ref="P548">IFERROR(INDEX('Player Raw Data'!AD:AD,Match($A548,'Player Raw Data'!$B:$B,0)),"")</f>
        <v/>
      </c>
      <c r="Q548">
        <f t="shared" si="1"/>
        <v>0</v>
      </c>
      <c r="R548" s="9">
        <f t="shared" si="2"/>
        <v>0</v>
      </c>
      <c r="S548" s="14">
        <f t="shared" si="3"/>
        <v>0</v>
      </c>
      <c r="T548" s="15">
        <f>IFERROR(__xludf.DUMMYFUNCTION("IFERROR(PERCENTRANK.INC(FILTER(Q:Q,$F:$F&lt;&gt;""""),Q548)*100,"""")"),1.5)</f>
        <v>1.5</v>
      </c>
      <c r="U548" s="15">
        <f>IFERROR(__xludf.DUMMYFUNCTION("IFERROR(PERCENTRANK.INC(FILTER(R:R,$F:$F&lt;&gt;""""),R548)*100,"""")"),1.5)</f>
        <v>1.5</v>
      </c>
      <c r="V548" s="15">
        <f>IFERROR(__xludf.DUMMYFUNCTION("IFERROR(PERCENTRANK.INC(FILTER(S:S,$F:$F&lt;&gt;""""),S548)*100,"""")"),1.5)</f>
        <v>1.5</v>
      </c>
      <c r="W548" s="15" t="str">
        <f t="shared" si="4"/>
        <v/>
      </c>
      <c r="X548" s="16"/>
      <c r="Y548" s="9"/>
      <c r="Z548" s="9"/>
    </row>
    <row r="549">
      <c r="B549" t="str">
        <f t="array" ref="B549">IFERROR(INDEX('Player Raw Data'!E:E,Match($A549,'Player Raw Data'!$B:$B,0)),"")</f>
        <v/>
      </c>
      <c r="C549" t="str">
        <f t="array" ref="C549">IFERROR(INDEX('Player Raw Data'!C:C,Match($A549,'Player Raw Data'!$B:$B,0)),"")</f>
        <v/>
      </c>
      <c r="D549" t="str">
        <f t="array" ref="D549">IFERROR(IF(A549=A548, INDEX('Player Raw Data'!D:D,Match($A549,'Player Raw Data'!$B:$B,0)+2),INDEX('Player Raw Data'!D:D,Match($A549,'Player Raw Data'!$B:$B,0))),"")</f>
        <v/>
      </c>
      <c r="E549" t="str">
        <f t="array" ref="E549">IFERROR(INDEX('Player Raw Data'!F:F,Match($A549,'Player Raw Data'!$B:$B,0)),"")</f>
        <v/>
      </c>
      <c r="F549" t="str">
        <f t="array" ref="F549">IFERROR(INDEX('Player Raw Data'!H:H,Match($A549,'Player Raw Data'!$B:$B,0)),"")</f>
        <v/>
      </c>
      <c r="G549" t="str">
        <f t="array" ref="G549">IFERROR(INDEX('Player Raw Data'!I:I,Match($A549,'Player Raw Data'!$B:$B,0)),"")</f>
        <v/>
      </c>
      <c r="H549" t="str">
        <f t="array" ref="H549">IFERROR(INDEX('Player Raw Data'!J:J,Match($A549,'Player Raw Data'!$B:$B,0)),"")</f>
        <v/>
      </c>
      <c r="I549" t="str">
        <f t="array" ref="I549">IFERROR(INDEX('Player Raw Data'!S:S,Match($A549,'Player Raw Data'!$B:$B,0)),"")</f>
        <v/>
      </c>
      <c r="J549" t="str">
        <f t="array" ref="J549">IFERROR(INDEX('Player Raw Data'!T:T,Match($A549,'Player Raw Data'!$B:$B,0)),"")</f>
        <v/>
      </c>
      <c r="K549" t="str">
        <f t="array" ref="K549">IFERROR(INDEX('Player Raw Data'!X:X,Match($A549,'Player Raw Data'!$B:$B,0)),"")</f>
        <v/>
      </c>
      <c r="L549" t="str">
        <f t="array" ref="L549">IFERROR(INDEX('Player Raw Data'!Y:Y,Match($A549,'Player Raw Data'!$B:$B,0)),"")</f>
        <v/>
      </c>
      <c r="M549" t="str">
        <f t="array" ref="M549">IFERROR(INDEX('Player Raw Data'!Z:Z,Match($A549,'Player Raw Data'!$B:$B,0)),"")</f>
        <v/>
      </c>
      <c r="N549" t="str">
        <f t="array" ref="N549">IFERROR(INDEX('Player Raw Data'!AA:AA,Match($A549,'Player Raw Data'!$B:$B,0)),"")</f>
        <v/>
      </c>
      <c r="O549" t="str">
        <f t="array" ref="O549">IFERROR(INDEX('Player Raw Data'!AB:AB,Match($A549,'Player Raw Data'!$B:$B,0)),"")</f>
        <v/>
      </c>
      <c r="P549" t="str">
        <f t="array" ref="P549">IFERROR(INDEX('Player Raw Data'!AD:AD,Match($A549,'Player Raw Data'!$B:$B,0)),"")</f>
        <v/>
      </c>
      <c r="Q549">
        <f t="shared" si="1"/>
        <v>0</v>
      </c>
      <c r="R549" s="9">
        <f t="shared" si="2"/>
        <v>0</v>
      </c>
      <c r="S549" s="14">
        <f t="shared" si="3"/>
        <v>0</v>
      </c>
      <c r="T549" s="15">
        <f>IFERROR(__xludf.DUMMYFUNCTION("IFERROR(PERCENTRANK.INC(FILTER(Q:Q,$F:$F&lt;&gt;""""),Q549)*100,"""")"),1.5)</f>
        <v>1.5</v>
      </c>
      <c r="U549" s="15">
        <f>IFERROR(__xludf.DUMMYFUNCTION("IFERROR(PERCENTRANK.INC(FILTER(R:R,$F:$F&lt;&gt;""""),R549)*100,"""")"),1.5)</f>
        <v>1.5</v>
      </c>
      <c r="V549" s="15">
        <f>IFERROR(__xludf.DUMMYFUNCTION("IFERROR(PERCENTRANK.INC(FILTER(S:S,$F:$F&lt;&gt;""""),S549)*100,"""")"),1.5)</f>
        <v>1.5</v>
      </c>
      <c r="W549" s="15" t="str">
        <f t="shared" si="4"/>
        <v/>
      </c>
      <c r="X549" s="16"/>
      <c r="Y549" s="9"/>
      <c r="Z549" s="9"/>
    </row>
    <row r="550">
      <c r="B550" t="str">
        <f t="array" ref="B550">IFERROR(INDEX('Player Raw Data'!E:E,Match($A550,'Player Raw Data'!$B:$B,0)),"")</f>
        <v/>
      </c>
      <c r="C550" t="str">
        <f t="array" ref="C550">IFERROR(INDEX('Player Raw Data'!C:C,Match($A550,'Player Raw Data'!$B:$B,0)),"")</f>
        <v/>
      </c>
      <c r="D550" t="str">
        <f t="array" ref="D550">IFERROR(IF(A550=A549, INDEX('Player Raw Data'!D:D,Match($A550,'Player Raw Data'!$B:$B,0)+2),INDEX('Player Raw Data'!D:D,Match($A550,'Player Raw Data'!$B:$B,0))),"")</f>
        <v/>
      </c>
      <c r="E550" t="str">
        <f t="array" ref="E550">IFERROR(INDEX('Player Raw Data'!F:F,Match($A550,'Player Raw Data'!$B:$B,0)),"")</f>
        <v/>
      </c>
      <c r="F550" t="str">
        <f t="array" ref="F550">IFERROR(INDEX('Player Raw Data'!H:H,Match($A550,'Player Raw Data'!$B:$B,0)),"")</f>
        <v/>
      </c>
      <c r="G550" t="str">
        <f t="array" ref="G550">IFERROR(INDEX('Player Raw Data'!I:I,Match($A550,'Player Raw Data'!$B:$B,0)),"")</f>
        <v/>
      </c>
      <c r="H550" t="str">
        <f t="array" ref="H550">IFERROR(INDEX('Player Raw Data'!J:J,Match($A550,'Player Raw Data'!$B:$B,0)),"")</f>
        <v/>
      </c>
      <c r="I550" t="str">
        <f t="array" ref="I550">IFERROR(INDEX('Player Raw Data'!S:S,Match($A550,'Player Raw Data'!$B:$B,0)),"")</f>
        <v/>
      </c>
      <c r="J550" t="str">
        <f t="array" ref="J550">IFERROR(INDEX('Player Raw Data'!T:T,Match($A550,'Player Raw Data'!$B:$B,0)),"")</f>
        <v/>
      </c>
      <c r="K550" t="str">
        <f t="array" ref="K550">IFERROR(INDEX('Player Raw Data'!X:X,Match($A550,'Player Raw Data'!$B:$B,0)),"")</f>
        <v/>
      </c>
      <c r="L550" t="str">
        <f t="array" ref="L550">IFERROR(INDEX('Player Raw Data'!Y:Y,Match($A550,'Player Raw Data'!$B:$B,0)),"")</f>
        <v/>
      </c>
      <c r="M550" t="str">
        <f t="array" ref="M550">IFERROR(INDEX('Player Raw Data'!Z:Z,Match($A550,'Player Raw Data'!$B:$B,0)),"")</f>
        <v/>
      </c>
      <c r="N550" t="str">
        <f t="array" ref="N550">IFERROR(INDEX('Player Raw Data'!AA:AA,Match($A550,'Player Raw Data'!$B:$B,0)),"")</f>
        <v/>
      </c>
      <c r="O550" t="str">
        <f t="array" ref="O550">IFERROR(INDEX('Player Raw Data'!AB:AB,Match($A550,'Player Raw Data'!$B:$B,0)),"")</f>
        <v/>
      </c>
      <c r="P550" t="str">
        <f t="array" ref="P550">IFERROR(INDEX('Player Raw Data'!AD:AD,Match($A550,'Player Raw Data'!$B:$B,0)),"")</f>
        <v/>
      </c>
      <c r="Q550">
        <f t="shared" si="1"/>
        <v>0</v>
      </c>
      <c r="R550" s="9">
        <f t="shared" si="2"/>
        <v>0</v>
      </c>
      <c r="S550" s="14">
        <f t="shared" si="3"/>
        <v>0</v>
      </c>
      <c r="T550" s="15">
        <f>IFERROR(__xludf.DUMMYFUNCTION("IFERROR(PERCENTRANK.INC(FILTER(Q:Q,$F:$F&lt;&gt;""""),Q550)*100,"""")"),1.5)</f>
        <v>1.5</v>
      </c>
      <c r="U550" s="15">
        <f>IFERROR(__xludf.DUMMYFUNCTION("IFERROR(PERCENTRANK.INC(FILTER(R:R,$F:$F&lt;&gt;""""),R550)*100,"""")"),1.5)</f>
        <v>1.5</v>
      </c>
      <c r="V550" s="15">
        <f>IFERROR(__xludf.DUMMYFUNCTION("IFERROR(PERCENTRANK.INC(FILTER(S:S,$F:$F&lt;&gt;""""),S550)*100,"""")"),1.5)</f>
        <v>1.5</v>
      </c>
      <c r="W550" s="15" t="str">
        <f t="shared" si="4"/>
        <v/>
      </c>
      <c r="X550" s="16"/>
      <c r="Y550" s="9"/>
      <c r="Z550" s="9"/>
    </row>
    <row r="551">
      <c r="B551" t="str">
        <f t="array" ref="B551">IFERROR(INDEX('Player Raw Data'!E:E,Match($A551,'Player Raw Data'!$B:$B,0)),"")</f>
        <v/>
      </c>
      <c r="C551" t="str">
        <f t="array" ref="C551">IFERROR(INDEX('Player Raw Data'!C:C,Match($A551,'Player Raw Data'!$B:$B,0)),"")</f>
        <v/>
      </c>
      <c r="D551" t="str">
        <f t="array" ref="D551">IFERROR(IF(A551=A550, INDEX('Player Raw Data'!D:D,Match($A551,'Player Raw Data'!$B:$B,0)+2),INDEX('Player Raw Data'!D:D,Match($A551,'Player Raw Data'!$B:$B,0))),"")</f>
        <v/>
      </c>
      <c r="E551" t="str">
        <f t="array" ref="E551">IFERROR(INDEX('Player Raw Data'!F:F,Match($A551,'Player Raw Data'!$B:$B,0)),"")</f>
        <v/>
      </c>
      <c r="F551" t="str">
        <f t="array" ref="F551">IFERROR(INDEX('Player Raw Data'!H:H,Match($A551,'Player Raw Data'!$B:$B,0)),"")</f>
        <v/>
      </c>
      <c r="G551" t="str">
        <f t="array" ref="G551">IFERROR(INDEX('Player Raw Data'!I:I,Match($A551,'Player Raw Data'!$B:$B,0)),"")</f>
        <v/>
      </c>
      <c r="H551" t="str">
        <f t="array" ref="H551">IFERROR(INDEX('Player Raw Data'!J:J,Match($A551,'Player Raw Data'!$B:$B,0)),"")</f>
        <v/>
      </c>
      <c r="I551" t="str">
        <f t="array" ref="I551">IFERROR(INDEX('Player Raw Data'!S:S,Match($A551,'Player Raw Data'!$B:$B,0)),"")</f>
        <v/>
      </c>
      <c r="J551" t="str">
        <f t="array" ref="J551">IFERROR(INDEX('Player Raw Data'!T:T,Match($A551,'Player Raw Data'!$B:$B,0)),"")</f>
        <v/>
      </c>
      <c r="K551" t="str">
        <f t="array" ref="K551">IFERROR(INDEX('Player Raw Data'!X:X,Match($A551,'Player Raw Data'!$B:$B,0)),"")</f>
        <v/>
      </c>
      <c r="L551" t="str">
        <f t="array" ref="L551">IFERROR(INDEX('Player Raw Data'!Y:Y,Match($A551,'Player Raw Data'!$B:$B,0)),"")</f>
        <v/>
      </c>
      <c r="M551" t="str">
        <f t="array" ref="M551">IFERROR(INDEX('Player Raw Data'!Z:Z,Match($A551,'Player Raw Data'!$B:$B,0)),"")</f>
        <v/>
      </c>
      <c r="N551" t="str">
        <f t="array" ref="N551">IFERROR(INDEX('Player Raw Data'!AA:AA,Match($A551,'Player Raw Data'!$B:$B,0)),"")</f>
        <v/>
      </c>
      <c r="O551" t="str">
        <f t="array" ref="O551">IFERROR(INDEX('Player Raw Data'!AB:AB,Match($A551,'Player Raw Data'!$B:$B,0)),"")</f>
        <v/>
      </c>
      <c r="P551" t="str">
        <f t="array" ref="P551">IFERROR(INDEX('Player Raw Data'!AD:AD,Match($A551,'Player Raw Data'!$B:$B,0)),"")</f>
        <v/>
      </c>
      <c r="Q551">
        <f t="shared" si="1"/>
        <v>0</v>
      </c>
      <c r="R551" s="9">
        <f t="shared" si="2"/>
        <v>0</v>
      </c>
      <c r="S551" s="14">
        <f t="shared" si="3"/>
        <v>0</v>
      </c>
      <c r="T551" s="15">
        <f>IFERROR(__xludf.DUMMYFUNCTION("IFERROR(PERCENTRANK.INC(FILTER(Q:Q,$F:$F&lt;&gt;""""),Q551)*100,"""")"),1.5)</f>
        <v>1.5</v>
      </c>
      <c r="U551" s="15">
        <f>IFERROR(__xludf.DUMMYFUNCTION("IFERROR(PERCENTRANK.INC(FILTER(R:R,$F:$F&lt;&gt;""""),R551)*100,"""")"),1.5)</f>
        <v>1.5</v>
      </c>
      <c r="V551" s="15">
        <f>IFERROR(__xludf.DUMMYFUNCTION("IFERROR(PERCENTRANK.INC(FILTER(S:S,$F:$F&lt;&gt;""""),S551)*100,"""")"),1.5)</f>
        <v>1.5</v>
      </c>
      <c r="W551" s="15" t="str">
        <f t="shared" si="4"/>
        <v/>
      </c>
      <c r="X551" s="16"/>
      <c r="Y551" s="9"/>
      <c r="Z551" s="9"/>
    </row>
    <row r="552">
      <c r="B552" t="str">
        <f t="array" ref="B552">IFERROR(INDEX('Player Raw Data'!E:E,Match($A552,'Player Raw Data'!$B:$B,0)),"")</f>
        <v/>
      </c>
      <c r="C552" t="str">
        <f t="array" ref="C552">IFERROR(INDEX('Player Raw Data'!C:C,Match($A552,'Player Raw Data'!$B:$B,0)),"")</f>
        <v/>
      </c>
      <c r="D552" t="str">
        <f t="array" ref="D552">IFERROR(IF(A552=A551, INDEX('Player Raw Data'!D:D,Match($A552,'Player Raw Data'!$B:$B,0)+2),INDEX('Player Raw Data'!D:D,Match($A552,'Player Raw Data'!$B:$B,0))),"")</f>
        <v/>
      </c>
      <c r="E552" t="str">
        <f t="array" ref="E552">IFERROR(INDEX('Player Raw Data'!F:F,Match($A552,'Player Raw Data'!$B:$B,0)),"")</f>
        <v/>
      </c>
      <c r="F552" t="str">
        <f t="array" ref="F552">IFERROR(INDEX('Player Raw Data'!H:H,Match($A552,'Player Raw Data'!$B:$B,0)),"")</f>
        <v/>
      </c>
      <c r="G552" t="str">
        <f t="array" ref="G552">IFERROR(INDEX('Player Raw Data'!I:I,Match($A552,'Player Raw Data'!$B:$B,0)),"")</f>
        <v/>
      </c>
      <c r="H552" t="str">
        <f t="array" ref="H552">IFERROR(INDEX('Player Raw Data'!J:J,Match($A552,'Player Raw Data'!$B:$B,0)),"")</f>
        <v/>
      </c>
      <c r="I552" t="str">
        <f t="array" ref="I552">IFERROR(INDEX('Player Raw Data'!S:S,Match($A552,'Player Raw Data'!$B:$B,0)),"")</f>
        <v/>
      </c>
      <c r="J552" t="str">
        <f t="array" ref="J552">IFERROR(INDEX('Player Raw Data'!T:T,Match($A552,'Player Raw Data'!$B:$B,0)),"")</f>
        <v/>
      </c>
      <c r="K552" t="str">
        <f t="array" ref="K552">IFERROR(INDEX('Player Raw Data'!X:X,Match($A552,'Player Raw Data'!$B:$B,0)),"")</f>
        <v/>
      </c>
      <c r="L552" t="str">
        <f t="array" ref="L552">IFERROR(INDEX('Player Raw Data'!Y:Y,Match($A552,'Player Raw Data'!$B:$B,0)),"")</f>
        <v/>
      </c>
      <c r="M552" t="str">
        <f t="array" ref="M552">IFERROR(INDEX('Player Raw Data'!Z:Z,Match($A552,'Player Raw Data'!$B:$B,0)),"")</f>
        <v/>
      </c>
      <c r="N552" t="str">
        <f t="array" ref="N552">IFERROR(INDEX('Player Raw Data'!AA:AA,Match($A552,'Player Raw Data'!$B:$B,0)),"")</f>
        <v/>
      </c>
      <c r="O552" t="str">
        <f t="array" ref="O552">IFERROR(INDEX('Player Raw Data'!AB:AB,Match($A552,'Player Raw Data'!$B:$B,0)),"")</f>
        <v/>
      </c>
      <c r="P552" t="str">
        <f t="array" ref="P552">IFERROR(INDEX('Player Raw Data'!AD:AD,Match($A552,'Player Raw Data'!$B:$B,0)),"")</f>
        <v/>
      </c>
      <c r="Q552">
        <f t="shared" si="1"/>
        <v>0</v>
      </c>
      <c r="R552" s="9">
        <f t="shared" si="2"/>
        <v>0</v>
      </c>
      <c r="S552" s="14">
        <f t="shared" si="3"/>
        <v>0</v>
      </c>
      <c r="T552" s="15">
        <f>IFERROR(__xludf.DUMMYFUNCTION("IFERROR(PERCENTRANK.INC(FILTER(Q:Q,$F:$F&lt;&gt;""""),Q552)*100,"""")"),1.5)</f>
        <v>1.5</v>
      </c>
      <c r="U552" s="15">
        <f>IFERROR(__xludf.DUMMYFUNCTION("IFERROR(PERCENTRANK.INC(FILTER(R:R,$F:$F&lt;&gt;""""),R552)*100,"""")"),1.5)</f>
        <v>1.5</v>
      </c>
      <c r="V552" s="15">
        <f>IFERROR(__xludf.DUMMYFUNCTION("IFERROR(PERCENTRANK.INC(FILTER(S:S,$F:$F&lt;&gt;""""),S552)*100,"""")"),1.5)</f>
        <v>1.5</v>
      </c>
      <c r="W552" s="15" t="str">
        <f t="shared" si="4"/>
        <v/>
      </c>
      <c r="X552" s="16"/>
      <c r="Y552" s="9"/>
      <c r="Z552" s="9"/>
    </row>
    <row r="553">
      <c r="B553" t="str">
        <f t="array" ref="B553">IFERROR(INDEX('Player Raw Data'!E:E,Match($A553,'Player Raw Data'!$B:$B,0)),"")</f>
        <v/>
      </c>
      <c r="C553" t="str">
        <f t="array" ref="C553">IFERROR(INDEX('Player Raw Data'!C:C,Match($A553,'Player Raw Data'!$B:$B,0)),"")</f>
        <v/>
      </c>
      <c r="D553" t="str">
        <f t="array" ref="D553">IFERROR(IF(A553=A552, INDEX('Player Raw Data'!D:D,Match($A553,'Player Raw Data'!$B:$B,0)+2),INDEX('Player Raw Data'!D:D,Match($A553,'Player Raw Data'!$B:$B,0))),"")</f>
        <v/>
      </c>
      <c r="E553" t="str">
        <f t="array" ref="E553">IFERROR(INDEX('Player Raw Data'!F:F,Match($A553,'Player Raw Data'!$B:$B,0)),"")</f>
        <v/>
      </c>
      <c r="F553" t="str">
        <f t="array" ref="F553">IFERROR(INDEX('Player Raw Data'!H:H,Match($A553,'Player Raw Data'!$B:$B,0)),"")</f>
        <v/>
      </c>
      <c r="G553" t="str">
        <f t="array" ref="G553">IFERROR(INDEX('Player Raw Data'!I:I,Match($A553,'Player Raw Data'!$B:$B,0)),"")</f>
        <v/>
      </c>
      <c r="H553" t="str">
        <f t="array" ref="H553">IFERROR(INDEX('Player Raw Data'!J:J,Match($A553,'Player Raw Data'!$B:$B,0)),"")</f>
        <v/>
      </c>
      <c r="I553" t="str">
        <f t="array" ref="I553">IFERROR(INDEX('Player Raw Data'!S:S,Match($A553,'Player Raw Data'!$B:$B,0)),"")</f>
        <v/>
      </c>
      <c r="J553" t="str">
        <f t="array" ref="J553">IFERROR(INDEX('Player Raw Data'!T:T,Match($A553,'Player Raw Data'!$B:$B,0)),"")</f>
        <v/>
      </c>
      <c r="K553" t="str">
        <f t="array" ref="K553">IFERROR(INDEX('Player Raw Data'!X:X,Match($A553,'Player Raw Data'!$B:$B,0)),"")</f>
        <v/>
      </c>
      <c r="L553" t="str">
        <f t="array" ref="L553">IFERROR(INDEX('Player Raw Data'!Y:Y,Match($A553,'Player Raw Data'!$B:$B,0)),"")</f>
        <v/>
      </c>
      <c r="M553" t="str">
        <f t="array" ref="M553">IFERROR(INDEX('Player Raw Data'!Z:Z,Match($A553,'Player Raw Data'!$B:$B,0)),"")</f>
        <v/>
      </c>
      <c r="N553" t="str">
        <f t="array" ref="N553">IFERROR(INDEX('Player Raw Data'!AA:AA,Match($A553,'Player Raw Data'!$B:$B,0)),"")</f>
        <v/>
      </c>
      <c r="O553" t="str">
        <f t="array" ref="O553">IFERROR(INDEX('Player Raw Data'!AB:AB,Match($A553,'Player Raw Data'!$B:$B,0)),"")</f>
        <v/>
      </c>
      <c r="P553" t="str">
        <f t="array" ref="P553">IFERROR(INDEX('Player Raw Data'!AD:AD,Match($A553,'Player Raw Data'!$B:$B,0)),"")</f>
        <v/>
      </c>
      <c r="Q553">
        <f t="shared" si="1"/>
        <v>0</v>
      </c>
      <c r="R553" s="9">
        <f t="shared" si="2"/>
        <v>0</v>
      </c>
      <c r="S553" s="14">
        <f t="shared" si="3"/>
        <v>0</v>
      </c>
      <c r="T553" s="15">
        <f>IFERROR(__xludf.DUMMYFUNCTION("IFERROR(PERCENTRANK.INC(FILTER(Q:Q,$F:$F&lt;&gt;""""),Q553)*100,"""")"),1.5)</f>
        <v>1.5</v>
      </c>
      <c r="U553" s="15">
        <f>IFERROR(__xludf.DUMMYFUNCTION("IFERROR(PERCENTRANK.INC(FILTER(R:R,$F:$F&lt;&gt;""""),R553)*100,"""")"),1.5)</f>
        <v>1.5</v>
      </c>
      <c r="V553" s="15">
        <f>IFERROR(__xludf.DUMMYFUNCTION("IFERROR(PERCENTRANK.INC(FILTER(S:S,$F:$F&lt;&gt;""""),S553)*100,"""")"),1.5)</f>
        <v>1.5</v>
      </c>
      <c r="W553" s="15" t="str">
        <f t="shared" si="4"/>
        <v/>
      </c>
      <c r="X553" s="16"/>
      <c r="Y553" s="9"/>
      <c r="Z553" s="9"/>
    </row>
    <row r="554">
      <c r="B554" t="str">
        <f t="array" ref="B554">IFERROR(INDEX('Player Raw Data'!E:E,Match($A554,'Player Raw Data'!$B:$B,0)),"")</f>
        <v/>
      </c>
      <c r="C554" t="str">
        <f t="array" ref="C554">IFERROR(INDEX('Player Raw Data'!C:C,Match($A554,'Player Raw Data'!$B:$B,0)),"")</f>
        <v/>
      </c>
      <c r="D554" t="str">
        <f t="array" ref="D554">IFERROR(IF(A554=A553, INDEX('Player Raw Data'!D:D,Match($A554,'Player Raw Data'!$B:$B,0)+2),INDEX('Player Raw Data'!D:D,Match($A554,'Player Raw Data'!$B:$B,0))),"")</f>
        <v/>
      </c>
      <c r="E554" t="str">
        <f t="array" ref="E554">IFERROR(INDEX('Player Raw Data'!F:F,Match($A554,'Player Raw Data'!$B:$B,0)),"")</f>
        <v/>
      </c>
      <c r="F554" t="str">
        <f t="array" ref="F554">IFERROR(INDEX('Player Raw Data'!H:H,Match($A554,'Player Raw Data'!$B:$B,0)),"")</f>
        <v/>
      </c>
      <c r="G554" t="str">
        <f t="array" ref="G554">IFERROR(INDEX('Player Raw Data'!I:I,Match($A554,'Player Raw Data'!$B:$B,0)),"")</f>
        <v/>
      </c>
      <c r="H554" t="str">
        <f t="array" ref="H554">IFERROR(INDEX('Player Raw Data'!J:J,Match($A554,'Player Raw Data'!$B:$B,0)),"")</f>
        <v/>
      </c>
      <c r="I554" t="str">
        <f t="array" ref="I554">IFERROR(INDEX('Player Raw Data'!S:S,Match($A554,'Player Raw Data'!$B:$B,0)),"")</f>
        <v/>
      </c>
      <c r="J554" t="str">
        <f t="array" ref="J554">IFERROR(INDEX('Player Raw Data'!T:T,Match($A554,'Player Raw Data'!$B:$B,0)),"")</f>
        <v/>
      </c>
      <c r="K554" t="str">
        <f t="array" ref="K554">IFERROR(INDEX('Player Raw Data'!X:X,Match($A554,'Player Raw Data'!$B:$B,0)),"")</f>
        <v/>
      </c>
      <c r="L554" t="str">
        <f t="array" ref="L554">IFERROR(INDEX('Player Raw Data'!Y:Y,Match($A554,'Player Raw Data'!$B:$B,0)),"")</f>
        <v/>
      </c>
      <c r="M554" t="str">
        <f t="array" ref="M554">IFERROR(INDEX('Player Raw Data'!Z:Z,Match($A554,'Player Raw Data'!$B:$B,0)),"")</f>
        <v/>
      </c>
      <c r="N554" t="str">
        <f t="array" ref="N554">IFERROR(INDEX('Player Raw Data'!AA:AA,Match($A554,'Player Raw Data'!$B:$B,0)),"")</f>
        <v/>
      </c>
      <c r="O554" t="str">
        <f t="array" ref="O554">IFERROR(INDEX('Player Raw Data'!AB:AB,Match($A554,'Player Raw Data'!$B:$B,0)),"")</f>
        <v/>
      </c>
      <c r="P554" t="str">
        <f t="array" ref="P554">IFERROR(INDEX('Player Raw Data'!AD:AD,Match($A554,'Player Raw Data'!$B:$B,0)),"")</f>
        <v/>
      </c>
      <c r="Q554">
        <f t="shared" si="1"/>
        <v>0</v>
      </c>
      <c r="R554" s="9">
        <f t="shared" si="2"/>
        <v>0</v>
      </c>
      <c r="S554" s="14">
        <f t="shared" si="3"/>
        <v>0</v>
      </c>
      <c r="T554" s="15">
        <f>IFERROR(__xludf.DUMMYFUNCTION("IFERROR(PERCENTRANK.INC(FILTER(Q:Q,$F:$F&lt;&gt;""""),Q554)*100,"""")"),1.5)</f>
        <v>1.5</v>
      </c>
      <c r="U554" s="15">
        <f>IFERROR(__xludf.DUMMYFUNCTION("IFERROR(PERCENTRANK.INC(FILTER(R:R,$F:$F&lt;&gt;""""),R554)*100,"""")"),1.5)</f>
        <v>1.5</v>
      </c>
      <c r="V554" s="15">
        <f>IFERROR(__xludf.DUMMYFUNCTION("IFERROR(PERCENTRANK.INC(FILTER(S:S,$F:$F&lt;&gt;""""),S554)*100,"""")"),1.5)</f>
        <v>1.5</v>
      </c>
      <c r="W554" s="15" t="str">
        <f t="shared" si="4"/>
        <v/>
      </c>
      <c r="X554" s="16"/>
      <c r="Y554" s="9"/>
      <c r="Z554" s="9"/>
    </row>
    <row r="555">
      <c r="B555" t="str">
        <f t="array" ref="B555">IFERROR(INDEX('Player Raw Data'!E:E,Match($A555,'Player Raw Data'!$B:$B,0)),"")</f>
        <v/>
      </c>
      <c r="C555" t="str">
        <f t="array" ref="C555">IFERROR(INDEX('Player Raw Data'!C:C,Match($A555,'Player Raw Data'!$B:$B,0)),"")</f>
        <v/>
      </c>
      <c r="D555" t="str">
        <f t="array" ref="D555">IFERROR(IF(A555=A554, INDEX('Player Raw Data'!D:D,Match($A555,'Player Raw Data'!$B:$B,0)+2),INDEX('Player Raw Data'!D:D,Match($A555,'Player Raw Data'!$B:$B,0))),"")</f>
        <v/>
      </c>
      <c r="E555" t="str">
        <f t="array" ref="E555">IFERROR(INDEX('Player Raw Data'!F:F,Match($A555,'Player Raw Data'!$B:$B,0)),"")</f>
        <v/>
      </c>
      <c r="F555" t="str">
        <f t="array" ref="F555">IFERROR(INDEX('Player Raw Data'!H:H,Match($A555,'Player Raw Data'!$B:$B,0)),"")</f>
        <v/>
      </c>
      <c r="G555" t="str">
        <f t="array" ref="G555">IFERROR(INDEX('Player Raw Data'!I:I,Match($A555,'Player Raw Data'!$B:$B,0)),"")</f>
        <v/>
      </c>
      <c r="H555" t="str">
        <f t="array" ref="H555">IFERROR(INDEX('Player Raw Data'!J:J,Match($A555,'Player Raw Data'!$B:$B,0)),"")</f>
        <v/>
      </c>
      <c r="I555" t="str">
        <f t="array" ref="I555">IFERROR(INDEX('Player Raw Data'!S:S,Match($A555,'Player Raw Data'!$B:$B,0)),"")</f>
        <v/>
      </c>
      <c r="J555" t="str">
        <f t="array" ref="J555">IFERROR(INDEX('Player Raw Data'!T:T,Match($A555,'Player Raw Data'!$B:$B,0)),"")</f>
        <v/>
      </c>
      <c r="K555" t="str">
        <f t="array" ref="K555">IFERROR(INDEX('Player Raw Data'!X:X,Match($A555,'Player Raw Data'!$B:$B,0)),"")</f>
        <v/>
      </c>
      <c r="L555" t="str">
        <f t="array" ref="L555">IFERROR(INDEX('Player Raw Data'!Y:Y,Match($A555,'Player Raw Data'!$B:$B,0)),"")</f>
        <v/>
      </c>
      <c r="M555" t="str">
        <f t="array" ref="M555">IFERROR(INDEX('Player Raw Data'!Z:Z,Match($A555,'Player Raw Data'!$B:$B,0)),"")</f>
        <v/>
      </c>
      <c r="N555" t="str">
        <f t="array" ref="N555">IFERROR(INDEX('Player Raw Data'!AA:AA,Match($A555,'Player Raw Data'!$B:$B,0)),"")</f>
        <v/>
      </c>
      <c r="O555" t="str">
        <f t="array" ref="O555">IFERROR(INDEX('Player Raw Data'!AB:AB,Match($A555,'Player Raw Data'!$B:$B,0)),"")</f>
        <v/>
      </c>
      <c r="P555" t="str">
        <f t="array" ref="P555">IFERROR(INDEX('Player Raw Data'!AD:AD,Match($A555,'Player Raw Data'!$B:$B,0)),"")</f>
        <v/>
      </c>
      <c r="Q555">
        <f t="shared" si="1"/>
        <v>0</v>
      </c>
      <c r="R555" s="9">
        <f t="shared" si="2"/>
        <v>0</v>
      </c>
      <c r="S555" s="14">
        <f t="shared" si="3"/>
        <v>0</v>
      </c>
      <c r="T555" s="15">
        <f>IFERROR(__xludf.DUMMYFUNCTION("IFERROR(PERCENTRANK.INC(FILTER(Q:Q,$F:$F&lt;&gt;""""),Q555)*100,"""")"),1.5)</f>
        <v>1.5</v>
      </c>
      <c r="U555" s="15">
        <f>IFERROR(__xludf.DUMMYFUNCTION("IFERROR(PERCENTRANK.INC(FILTER(R:R,$F:$F&lt;&gt;""""),R555)*100,"""")"),1.5)</f>
        <v>1.5</v>
      </c>
      <c r="V555" s="15">
        <f>IFERROR(__xludf.DUMMYFUNCTION("IFERROR(PERCENTRANK.INC(FILTER(S:S,$F:$F&lt;&gt;""""),S555)*100,"""")"),1.5)</f>
        <v>1.5</v>
      </c>
      <c r="W555" s="15" t="str">
        <f t="shared" si="4"/>
        <v/>
      </c>
      <c r="X555" s="16"/>
      <c r="Y555" s="9"/>
      <c r="Z555" s="9"/>
    </row>
    <row r="556">
      <c r="B556" t="str">
        <f t="array" ref="B556">IFERROR(INDEX('Player Raw Data'!E:E,Match($A556,'Player Raw Data'!$B:$B,0)),"")</f>
        <v/>
      </c>
      <c r="C556" t="str">
        <f t="array" ref="C556">IFERROR(INDEX('Player Raw Data'!C:C,Match($A556,'Player Raw Data'!$B:$B,0)),"")</f>
        <v/>
      </c>
      <c r="D556" t="str">
        <f t="array" ref="D556">IFERROR(IF(A556=A555, INDEX('Player Raw Data'!D:D,Match($A556,'Player Raw Data'!$B:$B,0)+2),INDEX('Player Raw Data'!D:D,Match($A556,'Player Raw Data'!$B:$B,0))),"")</f>
        <v/>
      </c>
      <c r="E556" t="str">
        <f t="array" ref="E556">IFERROR(INDEX('Player Raw Data'!F:F,Match($A556,'Player Raw Data'!$B:$B,0)),"")</f>
        <v/>
      </c>
      <c r="F556" t="str">
        <f t="array" ref="F556">IFERROR(INDEX('Player Raw Data'!H:H,Match($A556,'Player Raw Data'!$B:$B,0)),"")</f>
        <v/>
      </c>
      <c r="G556" t="str">
        <f t="array" ref="G556">IFERROR(INDEX('Player Raw Data'!I:I,Match($A556,'Player Raw Data'!$B:$B,0)),"")</f>
        <v/>
      </c>
      <c r="H556" t="str">
        <f t="array" ref="H556">IFERROR(INDEX('Player Raw Data'!J:J,Match($A556,'Player Raw Data'!$B:$B,0)),"")</f>
        <v/>
      </c>
      <c r="I556" t="str">
        <f t="array" ref="I556">IFERROR(INDEX('Player Raw Data'!S:S,Match($A556,'Player Raw Data'!$B:$B,0)),"")</f>
        <v/>
      </c>
      <c r="J556" t="str">
        <f t="array" ref="J556">IFERROR(INDEX('Player Raw Data'!T:T,Match($A556,'Player Raw Data'!$B:$B,0)),"")</f>
        <v/>
      </c>
      <c r="K556" t="str">
        <f t="array" ref="K556">IFERROR(INDEX('Player Raw Data'!X:X,Match($A556,'Player Raw Data'!$B:$B,0)),"")</f>
        <v/>
      </c>
      <c r="L556" t="str">
        <f t="array" ref="L556">IFERROR(INDEX('Player Raw Data'!Y:Y,Match($A556,'Player Raw Data'!$B:$B,0)),"")</f>
        <v/>
      </c>
      <c r="M556" t="str">
        <f t="array" ref="M556">IFERROR(INDEX('Player Raw Data'!Z:Z,Match($A556,'Player Raw Data'!$B:$B,0)),"")</f>
        <v/>
      </c>
      <c r="N556" t="str">
        <f t="array" ref="N556">IFERROR(INDEX('Player Raw Data'!AA:AA,Match($A556,'Player Raw Data'!$B:$B,0)),"")</f>
        <v/>
      </c>
      <c r="O556" t="str">
        <f t="array" ref="O556">IFERROR(INDEX('Player Raw Data'!AB:AB,Match($A556,'Player Raw Data'!$B:$B,0)),"")</f>
        <v/>
      </c>
      <c r="P556" t="str">
        <f t="array" ref="P556">IFERROR(INDEX('Player Raw Data'!AD:AD,Match($A556,'Player Raw Data'!$B:$B,0)),"")</f>
        <v/>
      </c>
      <c r="Q556">
        <f t="shared" si="1"/>
        <v>0</v>
      </c>
      <c r="R556" s="9">
        <f t="shared" si="2"/>
        <v>0</v>
      </c>
      <c r="S556" s="14">
        <f t="shared" si="3"/>
        <v>0</v>
      </c>
      <c r="T556" s="15">
        <f>IFERROR(__xludf.DUMMYFUNCTION("IFERROR(PERCENTRANK.INC(FILTER(Q:Q,$F:$F&lt;&gt;""""),Q556)*100,"""")"),1.5)</f>
        <v>1.5</v>
      </c>
      <c r="U556" s="15">
        <f>IFERROR(__xludf.DUMMYFUNCTION("IFERROR(PERCENTRANK.INC(FILTER(R:R,$F:$F&lt;&gt;""""),R556)*100,"""")"),1.5)</f>
        <v>1.5</v>
      </c>
      <c r="V556" s="15">
        <f>IFERROR(__xludf.DUMMYFUNCTION("IFERROR(PERCENTRANK.INC(FILTER(S:S,$F:$F&lt;&gt;""""),S556)*100,"""")"),1.5)</f>
        <v>1.5</v>
      </c>
      <c r="W556" s="15" t="str">
        <f t="shared" si="4"/>
        <v/>
      </c>
      <c r="X556" s="16"/>
      <c r="Y556" s="9"/>
      <c r="Z556" s="9"/>
    </row>
    <row r="557">
      <c r="B557" t="str">
        <f t="array" ref="B557">IFERROR(INDEX('Player Raw Data'!E:E,Match($A557,'Player Raw Data'!$B:$B,0)),"")</f>
        <v/>
      </c>
      <c r="C557" t="str">
        <f t="array" ref="C557">IFERROR(INDEX('Player Raw Data'!C:C,Match($A557,'Player Raw Data'!$B:$B,0)),"")</f>
        <v/>
      </c>
      <c r="D557" t="str">
        <f t="array" ref="D557">IFERROR(IF(A557=A556, INDEX('Player Raw Data'!D:D,Match($A557,'Player Raw Data'!$B:$B,0)+2),INDEX('Player Raw Data'!D:D,Match($A557,'Player Raw Data'!$B:$B,0))),"")</f>
        <v/>
      </c>
      <c r="E557" t="str">
        <f t="array" ref="E557">IFERROR(INDEX('Player Raw Data'!F:F,Match($A557,'Player Raw Data'!$B:$B,0)),"")</f>
        <v/>
      </c>
      <c r="F557" t="str">
        <f t="array" ref="F557">IFERROR(INDEX('Player Raw Data'!H:H,Match($A557,'Player Raw Data'!$B:$B,0)),"")</f>
        <v/>
      </c>
      <c r="G557" t="str">
        <f t="array" ref="G557">IFERROR(INDEX('Player Raw Data'!I:I,Match($A557,'Player Raw Data'!$B:$B,0)),"")</f>
        <v/>
      </c>
      <c r="H557" t="str">
        <f t="array" ref="H557">IFERROR(INDEX('Player Raw Data'!J:J,Match($A557,'Player Raw Data'!$B:$B,0)),"")</f>
        <v/>
      </c>
      <c r="I557" t="str">
        <f t="array" ref="I557">IFERROR(INDEX('Player Raw Data'!S:S,Match($A557,'Player Raw Data'!$B:$B,0)),"")</f>
        <v/>
      </c>
      <c r="J557" t="str">
        <f t="array" ref="J557">IFERROR(INDEX('Player Raw Data'!T:T,Match($A557,'Player Raw Data'!$B:$B,0)),"")</f>
        <v/>
      </c>
      <c r="K557" t="str">
        <f t="array" ref="K557">IFERROR(INDEX('Player Raw Data'!X:X,Match($A557,'Player Raw Data'!$B:$B,0)),"")</f>
        <v/>
      </c>
      <c r="L557" t="str">
        <f t="array" ref="L557">IFERROR(INDEX('Player Raw Data'!Y:Y,Match($A557,'Player Raw Data'!$B:$B,0)),"")</f>
        <v/>
      </c>
      <c r="M557" t="str">
        <f t="array" ref="M557">IFERROR(INDEX('Player Raw Data'!Z:Z,Match($A557,'Player Raw Data'!$B:$B,0)),"")</f>
        <v/>
      </c>
      <c r="N557" t="str">
        <f t="array" ref="N557">IFERROR(INDEX('Player Raw Data'!AA:AA,Match($A557,'Player Raw Data'!$B:$B,0)),"")</f>
        <v/>
      </c>
      <c r="O557" t="str">
        <f t="array" ref="O557">IFERROR(INDEX('Player Raw Data'!AB:AB,Match($A557,'Player Raw Data'!$B:$B,0)),"")</f>
        <v/>
      </c>
      <c r="P557" t="str">
        <f t="array" ref="P557">IFERROR(INDEX('Player Raw Data'!AD:AD,Match($A557,'Player Raw Data'!$B:$B,0)),"")</f>
        <v/>
      </c>
      <c r="Q557">
        <f t="shared" si="1"/>
        <v>0</v>
      </c>
      <c r="R557" s="9">
        <f t="shared" si="2"/>
        <v>0</v>
      </c>
      <c r="S557" s="14">
        <f t="shared" si="3"/>
        <v>0</v>
      </c>
      <c r="T557" s="15">
        <f>IFERROR(__xludf.DUMMYFUNCTION("IFERROR(PERCENTRANK.INC(FILTER(Q:Q,$F:$F&lt;&gt;""""),Q557)*100,"""")"),1.5)</f>
        <v>1.5</v>
      </c>
      <c r="U557" s="15">
        <f>IFERROR(__xludf.DUMMYFUNCTION("IFERROR(PERCENTRANK.INC(FILTER(R:R,$F:$F&lt;&gt;""""),R557)*100,"""")"),1.5)</f>
        <v>1.5</v>
      </c>
      <c r="V557" s="15">
        <f>IFERROR(__xludf.DUMMYFUNCTION("IFERROR(PERCENTRANK.INC(FILTER(S:S,$F:$F&lt;&gt;""""),S557)*100,"""")"),1.5)</f>
        <v>1.5</v>
      </c>
      <c r="W557" s="15" t="str">
        <f t="shared" si="4"/>
        <v/>
      </c>
      <c r="X557" s="16"/>
      <c r="Y557" s="9"/>
      <c r="Z557" s="9"/>
    </row>
    <row r="558">
      <c r="B558" t="str">
        <f t="array" ref="B558">IFERROR(INDEX('Player Raw Data'!E:E,Match($A558,'Player Raw Data'!$B:$B,0)),"")</f>
        <v/>
      </c>
      <c r="C558" t="str">
        <f t="array" ref="C558">IFERROR(INDEX('Player Raw Data'!C:C,Match($A558,'Player Raw Data'!$B:$B,0)),"")</f>
        <v/>
      </c>
      <c r="D558" t="str">
        <f t="array" ref="D558">IFERROR(IF(A558=A557, INDEX('Player Raw Data'!D:D,Match($A558,'Player Raw Data'!$B:$B,0)+2),INDEX('Player Raw Data'!D:D,Match($A558,'Player Raw Data'!$B:$B,0))),"")</f>
        <v/>
      </c>
      <c r="E558" t="str">
        <f t="array" ref="E558">IFERROR(INDEX('Player Raw Data'!F:F,Match($A558,'Player Raw Data'!$B:$B,0)),"")</f>
        <v/>
      </c>
      <c r="F558" t="str">
        <f t="array" ref="F558">IFERROR(INDEX('Player Raw Data'!H:H,Match($A558,'Player Raw Data'!$B:$B,0)),"")</f>
        <v/>
      </c>
      <c r="G558" t="str">
        <f t="array" ref="G558">IFERROR(INDEX('Player Raw Data'!I:I,Match($A558,'Player Raw Data'!$B:$B,0)),"")</f>
        <v/>
      </c>
      <c r="H558" t="str">
        <f t="array" ref="H558">IFERROR(INDEX('Player Raw Data'!J:J,Match($A558,'Player Raw Data'!$B:$B,0)),"")</f>
        <v/>
      </c>
      <c r="I558" t="str">
        <f t="array" ref="I558">IFERROR(INDEX('Player Raw Data'!S:S,Match($A558,'Player Raw Data'!$B:$B,0)),"")</f>
        <v/>
      </c>
      <c r="J558" t="str">
        <f t="array" ref="J558">IFERROR(INDEX('Player Raw Data'!T:T,Match($A558,'Player Raw Data'!$B:$B,0)),"")</f>
        <v/>
      </c>
      <c r="K558" t="str">
        <f t="array" ref="K558">IFERROR(INDEX('Player Raw Data'!X:X,Match($A558,'Player Raw Data'!$B:$B,0)),"")</f>
        <v/>
      </c>
      <c r="L558" t="str">
        <f t="array" ref="L558">IFERROR(INDEX('Player Raw Data'!Y:Y,Match($A558,'Player Raw Data'!$B:$B,0)),"")</f>
        <v/>
      </c>
      <c r="M558" t="str">
        <f t="array" ref="M558">IFERROR(INDEX('Player Raw Data'!Z:Z,Match($A558,'Player Raw Data'!$B:$B,0)),"")</f>
        <v/>
      </c>
      <c r="N558" t="str">
        <f t="array" ref="N558">IFERROR(INDEX('Player Raw Data'!AA:AA,Match($A558,'Player Raw Data'!$B:$B,0)),"")</f>
        <v/>
      </c>
      <c r="O558" t="str">
        <f t="array" ref="O558">IFERROR(INDEX('Player Raw Data'!AB:AB,Match($A558,'Player Raw Data'!$B:$B,0)),"")</f>
        <v/>
      </c>
      <c r="P558" t="str">
        <f t="array" ref="P558">IFERROR(INDEX('Player Raw Data'!AD:AD,Match($A558,'Player Raw Data'!$B:$B,0)),"")</f>
        <v/>
      </c>
      <c r="Q558">
        <f t="shared" si="1"/>
        <v>0</v>
      </c>
      <c r="R558" s="9">
        <f t="shared" si="2"/>
        <v>0</v>
      </c>
      <c r="S558" s="14">
        <f t="shared" si="3"/>
        <v>0</v>
      </c>
      <c r="T558" s="15">
        <f>IFERROR(__xludf.DUMMYFUNCTION("IFERROR(PERCENTRANK.INC(FILTER(Q:Q,$F:$F&lt;&gt;""""),Q558)*100,"""")"),1.5)</f>
        <v>1.5</v>
      </c>
      <c r="U558" s="15">
        <f>IFERROR(__xludf.DUMMYFUNCTION("IFERROR(PERCENTRANK.INC(FILTER(R:R,$F:$F&lt;&gt;""""),R558)*100,"""")"),1.5)</f>
        <v>1.5</v>
      </c>
      <c r="V558" s="15">
        <f>IFERROR(__xludf.DUMMYFUNCTION("IFERROR(PERCENTRANK.INC(FILTER(S:S,$F:$F&lt;&gt;""""),S558)*100,"""")"),1.5)</f>
        <v>1.5</v>
      </c>
      <c r="W558" s="15" t="str">
        <f t="shared" si="4"/>
        <v/>
      </c>
      <c r="X558" s="16"/>
      <c r="Y558" s="9"/>
      <c r="Z558" s="9"/>
    </row>
    <row r="559">
      <c r="B559" t="str">
        <f t="array" ref="B559">IFERROR(INDEX('Player Raw Data'!E:E,Match($A559,'Player Raw Data'!$B:$B,0)),"")</f>
        <v/>
      </c>
      <c r="C559" t="str">
        <f t="array" ref="C559">IFERROR(INDEX('Player Raw Data'!C:C,Match($A559,'Player Raw Data'!$B:$B,0)),"")</f>
        <v/>
      </c>
      <c r="D559" t="str">
        <f t="array" ref="D559">IFERROR(IF(A559=A558, INDEX('Player Raw Data'!D:D,Match($A559,'Player Raw Data'!$B:$B,0)+2),INDEX('Player Raw Data'!D:D,Match($A559,'Player Raw Data'!$B:$B,0))),"")</f>
        <v/>
      </c>
      <c r="E559" t="str">
        <f t="array" ref="E559">IFERROR(INDEX('Player Raw Data'!F:F,Match($A559,'Player Raw Data'!$B:$B,0)),"")</f>
        <v/>
      </c>
      <c r="F559" t="str">
        <f t="array" ref="F559">IFERROR(INDEX('Player Raw Data'!H:H,Match($A559,'Player Raw Data'!$B:$B,0)),"")</f>
        <v/>
      </c>
      <c r="G559" t="str">
        <f t="array" ref="G559">IFERROR(INDEX('Player Raw Data'!I:I,Match($A559,'Player Raw Data'!$B:$B,0)),"")</f>
        <v/>
      </c>
      <c r="H559" t="str">
        <f t="array" ref="H559">IFERROR(INDEX('Player Raw Data'!J:J,Match($A559,'Player Raw Data'!$B:$B,0)),"")</f>
        <v/>
      </c>
      <c r="I559" t="str">
        <f t="array" ref="I559">IFERROR(INDEX('Player Raw Data'!S:S,Match($A559,'Player Raw Data'!$B:$B,0)),"")</f>
        <v/>
      </c>
      <c r="J559" t="str">
        <f t="array" ref="J559">IFERROR(INDEX('Player Raw Data'!T:T,Match($A559,'Player Raw Data'!$B:$B,0)),"")</f>
        <v/>
      </c>
      <c r="K559" t="str">
        <f t="array" ref="K559">IFERROR(INDEX('Player Raw Data'!X:X,Match($A559,'Player Raw Data'!$B:$B,0)),"")</f>
        <v/>
      </c>
      <c r="L559" t="str">
        <f t="array" ref="L559">IFERROR(INDEX('Player Raw Data'!Y:Y,Match($A559,'Player Raw Data'!$B:$B,0)),"")</f>
        <v/>
      </c>
      <c r="M559" t="str">
        <f t="array" ref="M559">IFERROR(INDEX('Player Raw Data'!Z:Z,Match($A559,'Player Raw Data'!$B:$B,0)),"")</f>
        <v/>
      </c>
      <c r="N559" t="str">
        <f t="array" ref="N559">IFERROR(INDEX('Player Raw Data'!AA:AA,Match($A559,'Player Raw Data'!$B:$B,0)),"")</f>
        <v/>
      </c>
      <c r="O559" t="str">
        <f t="array" ref="O559">IFERROR(INDEX('Player Raw Data'!AB:AB,Match($A559,'Player Raw Data'!$B:$B,0)),"")</f>
        <v/>
      </c>
      <c r="P559" t="str">
        <f t="array" ref="P559">IFERROR(INDEX('Player Raw Data'!AD:AD,Match($A559,'Player Raw Data'!$B:$B,0)),"")</f>
        <v/>
      </c>
      <c r="Q559">
        <f t="shared" si="1"/>
        <v>0</v>
      </c>
      <c r="R559" s="9">
        <f t="shared" si="2"/>
        <v>0</v>
      </c>
      <c r="S559" s="14">
        <f t="shared" si="3"/>
        <v>0</v>
      </c>
      <c r="T559" s="15">
        <f>IFERROR(__xludf.DUMMYFUNCTION("IFERROR(PERCENTRANK.INC(FILTER(Q:Q,$F:$F&lt;&gt;""""),Q559)*100,"""")"),1.5)</f>
        <v>1.5</v>
      </c>
      <c r="U559" s="15">
        <f>IFERROR(__xludf.DUMMYFUNCTION("IFERROR(PERCENTRANK.INC(FILTER(R:R,$F:$F&lt;&gt;""""),R559)*100,"""")"),1.5)</f>
        <v>1.5</v>
      </c>
      <c r="V559" s="15">
        <f>IFERROR(__xludf.DUMMYFUNCTION("IFERROR(PERCENTRANK.INC(FILTER(S:S,$F:$F&lt;&gt;""""),S559)*100,"""")"),1.5)</f>
        <v>1.5</v>
      </c>
      <c r="W559" s="15" t="str">
        <f t="shared" si="4"/>
        <v/>
      </c>
      <c r="X559" s="16"/>
      <c r="Y559" s="9"/>
      <c r="Z559" s="9"/>
    </row>
    <row r="560">
      <c r="B560" t="str">
        <f t="array" ref="B560">IFERROR(INDEX('Player Raw Data'!E:E,Match($A560,'Player Raw Data'!$B:$B,0)),"")</f>
        <v/>
      </c>
      <c r="C560" t="str">
        <f t="array" ref="C560">IFERROR(INDEX('Player Raw Data'!C:C,Match($A560,'Player Raw Data'!$B:$B,0)),"")</f>
        <v/>
      </c>
      <c r="D560" t="str">
        <f t="array" ref="D560">IFERROR(IF(A560=A559, INDEX('Player Raw Data'!D:D,Match($A560,'Player Raw Data'!$B:$B,0)+2),INDEX('Player Raw Data'!D:D,Match($A560,'Player Raw Data'!$B:$B,0))),"")</f>
        <v/>
      </c>
      <c r="E560" t="str">
        <f t="array" ref="E560">IFERROR(INDEX('Player Raw Data'!F:F,Match($A560,'Player Raw Data'!$B:$B,0)),"")</f>
        <v/>
      </c>
      <c r="F560" t="str">
        <f t="array" ref="F560">IFERROR(INDEX('Player Raw Data'!H:H,Match($A560,'Player Raw Data'!$B:$B,0)),"")</f>
        <v/>
      </c>
      <c r="G560" t="str">
        <f t="array" ref="G560">IFERROR(INDEX('Player Raw Data'!I:I,Match($A560,'Player Raw Data'!$B:$B,0)),"")</f>
        <v/>
      </c>
      <c r="H560" t="str">
        <f t="array" ref="H560">IFERROR(INDEX('Player Raw Data'!J:J,Match($A560,'Player Raw Data'!$B:$B,0)),"")</f>
        <v/>
      </c>
      <c r="I560" t="str">
        <f t="array" ref="I560">IFERROR(INDEX('Player Raw Data'!S:S,Match($A560,'Player Raw Data'!$B:$B,0)),"")</f>
        <v/>
      </c>
      <c r="J560" t="str">
        <f t="array" ref="J560">IFERROR(INDEX('Player Raw Data'!T:T,Match($A560,'Player Raw Data'!$B:$B,0)),"")</f>
        <v/>
      </c>
      <c r="K560" t="str">
        <f t="array" ref="K560">IFERROR(INDEX('Player Raw Data'!X:X,Match($A560,'Player Raw Data'!$B:$B,0)),"")</f>
        <v/>
      </c>
      <c r="L560" t="str">
        <f t="array" ref="L560">IFERROR(INDEX('Player Raw Data'!Y:Y,Match($A560,'Player Raw Data'!$B:$B,0)),"")</f>
        <v/>
      </c>
      <c r="M560" t="str">
        <f t="array" ref="M560">IFERROR(INDEX('Player Raw Data'!Z:Z,Match($A560,'Player Raw Data'!$B:$B,0)),"")</f>
        <v/>
      </c>
      <c r="N560" t="str">
        <f t="array" ref="N560">IFERROR(INDEX('Player Raw Data'!AA:AA,Match($A560,'Player Raw Data'!$B:$B,0)),"")</f>
        <v/>
      </c>
      <c r="O560" t="str">
        <f t="array" ref="O560">IFERROR(INDEX('Player Raw Data'!AB:AB,Match($A560,'Player Raw Data'!$B:$B,0)),"")</f>
        <v/>
      </c>
      <c r="P560" t="str">
        <f t="array" ref="P560">IFERROR(INDEX('Player Raw Data'!AD:AD,Match($A560,'Player Raw Data'!$B:$B,0)),"")</f>
        <v/>
      </c>
      <c r="Q560">
        <f t="shared" si="1"/>
        <v>0</v>
      </c>
      <c r="R560" s="9">
        <f t="shared" si="2"/>
        <v>0</v>
      </c>
      <c r="S560" s="14">
        <f t="shared" si="3"/>
        <v>0</v>
      </c>
      <c r="T560" s="15">
        <f>IFERROR(__xludf.DUMMYFUNCTION("IFERROR(PERCENTRANK.INC(FILTER(Q:Q,$F:$F&lt;&gt;""""),Q560)*100,"""")"),1.5)</f>
        <v>1.5</v>
      </c>
      <c r="U560" s="15">
        <f>IFERROR(__xludf.DUMMYFUNCTION("IFERROR(PERCENTRANK.INC(FILTER(R:R,$F:$F&lt;&gt;""""),R560)*100,"""")"),1.5)</f>
        <v>1.5</v>
      </c>
      <c r="V560" s="15">
        <f>IFERROR(__xludf.DUMMYFUNCTION("IFERROR(PERCENTRANK.INC(FILTER(S:S,$F:$F&lt;&gt;""""),S560)*100,"""")"),1.5)</f>
        <v>1.5</v>
      </c>
      <c r="W560" s="15" t="str">
        <f t="shared" si="4"/>
        <v/>
      </c>
      <c r="X560" s="16"/>
      <c r="Y560" s="9"/>
      <c r="Z560" s="9"/>
    </row>
    <row r="561">
      <c r="B561" t="str">
        <f t="array" ref="B561">IFERROR(INDEX('Player Raw Data'!E:E,Match($A561,'Player Raw Data'!$B:$B,0)),"")</f>
        <v/>
      </c>
      <c r="C561" t="str">
        <f t="array" ref="C561">IFERROR(INDEX('Player Raw Data'!C:C,Match($A561,'Player Raw Data'!$B:$B,0)),"")</f>
        <v/>
      </c>
      <c r="D561" t="str">
        <f t="array" ref="D561">IFERROR(IF(A561=A560, INDEX('Player Raw Data'!D:D,Match($A561,'Player Raw Data'!$B:$B,0)+2),INDEX('Player Raw Data'!D:D,Match($A561,'Player Raw Data'!$B:$B,0))),"")</f>
        <v/>
      </c>
      <c r="E561" t="str">
        <f t="array" ref="E561">IFERROR(INDEX('Player Raw Data'!F:F,Match($A561,'Player Raw Data'!$B:$B,0)),"")</f>
        <v/>
      </c>
      <c r="F561" t="str">
        <f t="array" ref="F561">IFERROR(INDEX('Player Raw Data'!H:H,Match($A561,'Player Raw Data'!$B:$B,0)),"")</f>
        <v/>
      </c>
      <c r="G561" t="str">
        <f t="array" ref="G561">IFERROR(INDEX('Player Raw Data'!I:I,Match($A561,'Player Raw Data'!$B:$B,0)),"")</f>
        <v/>
      </c>
      <c r="H561" t="str">
        <f t="array" ref="H561">IFERROR(INDEX('Player Raw Data'!J:J,Match($A561,'Player Raw Data'!$B:$B,0)),"")</f>
        <v/>
      </c>
      <c r="I561" t="str">
        <f t="array" ref="I561">IFERROR(INDEX('Player Raw Data'!S:S,Match($A561,'Player Raw Data'!$B:$B,0)),"")</f>
        <v/>
      </c>
      <c r="J561" t="str">
        <f t="array" ref="J561">IFERROR(INDEX('Player Raw Data'!T:T,Match($A561,'Player Raw Data'!$B:$B,0)),"")</f>
        <v/>
      </c>
      <c r="K561" t="str">
        <f t="array" ref="K561">IFERROR(INDEX('Player Raw Data'!X:X,Match($A561,'Player Raw Data'!$B:$B,0)),"")</f>
        <v/>
      </c>
      <c r="L561" t="str">
        <f t="array" ref="L561">IFERROR(INDEX('Player Raw Data'!Y:Y,Match($A561,'Player Raw Data'!$B:$B,0)),"")</f>
        <v/>
      </c>
      <c r="M561" t="str">
        <f t="array" ref="M561">IFERROR(INDEX('Player Raw Data'!Z:Z,Match($A561,'Player Raw Data'!$B:$B,0)),"")</f>
        <v/>
      </c>
      <c r="N561" t="str">
        <f t="array" ref="N561">IFERROR(INDEX('Player Raw Data'!AA:AA,Match($A561,'Player Raw Data'!$B:$B,0)),"")</f>
        <v/>
      </c>
      <c r="O561" t="str">
        <f t="array" ref="O561">IFERROR(INDEX('Player Raw Data'!AB:AB,Match($A561,'Player Raw Data'!$B:$B,0)),"")</f>
        <v/>
      </c>
      <c r="P561" t="str">
        <f t="array" ref="P561">IFERROR(INDEX('Player Raw Data'!AD:AD,Match($A561,'Player Raw Data'!$B:$B,0)),"")</f>
        <v/>
      </c>
      <c r="Q561">
        <f t="shared" si="1"/>
        <v>0</v>
      </c>
      <c r="R561" s="9">
        <f t="shared" si="2"/>
        <v>0</v>
      </c>
      <c r="S561" s="14">
        <f t="shared" si="3"/>
        <v>0</v>
      </c>
      <c r="T561" s="15">
        <f>IFERROR(__xludf.DUMMYFUNCTION("IFERROR(PERCENTRANK.INC(FILTER(Q:Q,$F:$F&lt;&gt;""""),Q561)*100,"""")"),1.5)</f>
        <v>1.5</v>
      </c>
      <c r="U561" s="15">
        <f>IFERROR(__xludf.DUMMYFUNCTION("IFERROR(PERCENTRANK.INC(FILTER(R:R,$F:$F&lt;&gt;""""),R561)*100,"""")"),1.5)</f>
        <v>1.5</v>
      </c>
      <c r="V561" s="15">
        <f>IFERROR(__xludf.DUMMYFUNCTION("IFERROR(PERCENTRANK.INC(FILTER(S:S,$F:$F&lt;&gt;""""),S561)*100,"""")"),1.5)</f>
        <v>1.5</v>
      </c>
      <c r="W561" s="15" t="str">
        <f t="shared" si="4"/>
        <v/>
      </c>
      <c r="X561" s="16"/>
      <c r="Y561" s="9"/>
      <c r="Z561" s="9"/>
    </row>
    <row r="562">
      <c r="B562" t="str">
        <f t="array" ref="B562">IFERROR(INDEX('Player Raw Data'!E:E,Match($A562,'Player Raw Data'!$B:$B,0)),"")</f>
        <v/>
      </c>
      <c r="C562" t="str">
        <f t="array" ref="C562">IFERROR(INDEX('Player Raw Data'!C:C,Match($A562,'Player Raw Data'!$B:$B,0)),"")</f>
        <v/>
      </c>
      <c r="D562" t="str">
        <f t="array" ref="D562">IFERROR(IF(A562=A561, INDEX('Player Raw Data'!D:D,Match($A562,'Player Raw Data'!$B:$B,0)+2),INDEX('Player Raw Data'!D:D,Match($A562,'Player Raw Data'!$B:$B,0))),"")</f>
        <v/>
      </c>
      <c r="E562" t="str">
        <f t="array" ref="E562">IFERROR(INDEX('Player Raw Data'!F:F,Match($A562,'Player Raw Data'!$B:$B,0)),"")</f>
        <v/>
      </c>
      <c r="F562" t="str">
        <f t="array" ref="F562">IFERROR(INDEX('Player Raw Data'!H:H,Match($A562,'Player Raw Data'!$B:$B,0)),"")</f>
        <v/>
      </c>
      <c r="G562" t="str">
        <f t="array" ref="G562">IFERROR(INDEX('Player Raw Data'!I:I,Match($A562,'Player Raw Data'!$B:$B,0)),"")</f>
        <v/>
      </c>
      <c r="H562" t="str">
        <f t="array" ref="H562">IFERROR(INDEX('Player Raw Data'!J:J,Match($A562,'Player Raw Data'!$B:$B,0)),"")</f>
        <v/>
      </c>
      <c r="I562" t="str">
        <f t="array" ref="I562">IFERROR(INDEX('Player Raw Data'!S:S,Match($A562,'Player Raw Data'!$B:$B,0)),"")</f>
        <v/>
      </c>
      <c r="J562" t="str">
        <f t="array" ref="J562">IFERROR(INDEX('Player Raw Data'!T:T,Match($A562,'Player Raw Data'!$B:$B,0)),"")</f>
        <v/>
      </c>
      <c r="K562" t="str">
        <f t="array" ref="K562">IFERROR(INDEX('Player Raw Data'!X:X,Match($A562,'Player Raw Data'!$B:$B,0)),"")</f>
        <v/>
      </c>
      <c r="L562" t="str">
        <f t="array" ref="L562">IFERROR(INDEX('Player Raw Data'!Y:Y,Match($A562,'Player Raw Data'!$B:$B,0)),"")</f>
        <v/>
      </c>
      <c r="M562" t="str">
        <f t="array" ref="M562">IFERROR(INDEX('Player Raw Data'!Z:Z,Match($A562,'Player Raw Data'!$B:$B,0)),"")</f>
        <v/>
      </c>
      <c r="N562" t="str">
        <f t="array" ref="N562">IFERROR(INDEX('Player Raw Data'!AA:AA,Match($A562,'Player Raw Data'!$B:$B,0)),"")</f>
        <v/>
      </c>
      <c r="O562" t="str">
        <f t="array" ref="O562">IFERROR(INDEX('Player Raw Data'!AB:AB,Match($A562,'Player Raw Data'!$B:$B,0)),"")</f>
        <v/>
      </c>
      <c r="P562" t="str">
        <f t="array" ref="P562">IFERROR(INDEX('Player Raw Data'!AD:AD,Match($A562,'Player Raw Data'!$B:$B,0)),"")</f>
        <v/>
      </c>
      <c r="Q562">
        <f t="shared" si="1"/>
        <v>0</v>
      </c>
      <c r="R562" s="9">
        <f t="shared" si="2"/>
        <v>0</v>
      </c>
      <c r="S562" s="14">
        <f t="shared" si="3"/>
        <v>0</v>
      </c>
      <c r="T562" s="15">
        <f>IFERROR(__xludf.DUMMYFUNCTION("IFERROR(PERCENTRANK.INC(FILTER(Q:Q,$F:$F&lt;&gt;""""),Q562)*100,"""")"),1.5)</f>
        <v>1.5</v>
      </c>
      <c r="U562" s="15">
        <f>IFERROR(__xludf.DUMMYFUNCTION("IFERROR(PERCENTRANK.INC(FILTER(R:R,$F:$F&lt;&gt;""""),R562)*100,"""")"),1.5)</f>
        <v>1.5</v>
      </c>
      <c r="V562" s="15">
        <f>IFERROR(__xludf.DUMMYFUNCTION("IFERROR(PERCENTRANK.INC(FILTER(S:S,$F:$F&lt;&gt;""""),S562)*100,"""")"),1.5)</f>
        <v>1.5</v>
      </c>
      <c r="W562" s="15" t="str">
        <f t="shared" si="4"/>
        <v/>
      </c>
      <c r="X562" s="16"/>
      <c r="Y562" s="9"/>
      <c r="Z562" s="9"/>
    </row>
    <row r="563">
      <c r="B563" t="str">
        <f t="array" ref="B563">IFERROR(INDEX('Player Raw Data'!E:E,Match($A563,'Player Raw Data'!$B:$B,0)),"")</f>
        <v/>
      </c>
      <c r="C563" t="str">
        <f t="array" ref="C563">IFERROR(INDEX('Player Raw Data'!C:C,Match($A563,'Player Raw Data'!$B:$B,0)),"")</f>
        <v/>
      </c>
      <c r="D563" t="str">
        <f t="array" ref="D563">IFERROR(IF(A563=A562, INDEX('Player Raw Data'!D:D,Match($A563,'Player Raw Data'!$B:$B,0)+2),INDEX('Player Raw Data'!D:D,Match($A563,'Player Raw Data'!$B:$B,0))),"")</f>
        <v/>
      </c>
      <c r="E563" t="str">
        <f t="array" ref="E563">IFERROR(INDEX('Player Raw Data'!F:F,Match($A563,'Player Raw Data'!$B:$B,0)),"")</f>
        <v/>
      </c>
      <c r="F563" t="str">
        <f t="array" ref="F563">IFERROR(INDEX('Player Raw Data'!H:H,Match($A563,'Player Raw Data'!$B:$B,0)),"")</f>
        <v/>
      </c>
      <c r="G563" t="str">
        <f t="array" ref="G563">IFERROR(INDEX('Player Raw Data'!I:I,Match($A563,'Player Raw Data'!$B:$B,0)),"")</f>
        <v/>
      </c>
      <c r="H563" t="str">
        <f t="array" ref="H563">IFERROR(INDEX('Player Raw Data'!J:J,Match($A563,'Player Raw Data'!$B:$B,0)),"")</f>
        <v/>
      </c>
      <c r="I563" t="str">
        <f t="array" ref="I563">IFERROR(INDEX('Player Raw Data'!S:S,Match($A563,'Player Raw Data'!$B:$B,0)),"")</f>
        <v/>
      </c>
      <c r="J563" t="str">
        <f t="array" ref="J563">IFERROR(INDEX('Player Raw Data'!T:T,Match($A563,'Player Raw Data'!$B:$B,0)),"")</f>
        <v/>
      </c>
      <c r="K563" t="str">
        <f t="array" ref="K563">IFERROR(INDEX('Player Raw Data'!X:X,Match($A563,'Player Raw Data'!$B:$B,0)),"")</f>
        <v/>
      </c>
      <c r="L563" t="str">
        <f t="array" ref="L563">IFERROR(INDEX('Player Raw Data'!Y:Y,Match($A563,'Player Raw Data'!$B:$B,0)),"")</f>
        <v/>
      </c>
      <c r="M563" t="str">
        <f t="array" ref="M563">IFERROR(INDEX('Player Raw Data'!Z:Z,Match($A563,'Player Raw Data'!$B:$B,0)),"")</f>
        <v/>
      </c>
      <c r="N563" t="str">
        <f t="array" ref="N563">IFERROR(INDEX('Player Raw Data'!AA:AA,Match($A563,'Player Raw Data'!$B:$B,0)),"")</f>
        <v/>
      </c>
      <c r="O563" t="str">
        <f t="array" ref="O563">IFERROR(INDEX('Player Raw Data'!AB:AB,Match($A563,'Player Raw Data'!$B:$B,0)),"")</f>
        <v/>
      </c>
      <c r="P563" t="str">
        <f t="array" ref="P563">IFERROR(INDEX('Player Raw Data'!AD:AD,Match($A563,'Player Raw Data'!$B:$B,0)),"")</f>
        <v/>
      </c>
      <c r="Q563">
        <f t="shared" si="1"/>
        <v>0</v>
      </c>
      <c r="R563" s="9">
        <f t="shared" si="2"/>
        <v>0</v>
      </c>
      <c r="S563" s="14">
        <f t="shared" si="3"/>
        <v>0</v>
      </c>
      <c r="T563" s="15">
        <f>IFERROR(__xludf.DUMMYFUNCTION("IFERROR(PERCENTRANK.INC(FILTER(Q:Q,$F:$F&lt;&gt;""""),Q563)*100,"""")"),1.5)</f>
        <v>1.5</v>
      </c>
      <c r="U563" s="15">
        <f>IFERROR(__xludf.DUMMYFUNCTION("IFERROR(PERCENTRANK.INC(FILTER(R:R,$F:$F&lt;&gt;""""),R563)*100,"""")"),1.5)</f>
        <v>1.5</v>
      </c>
      <c r="V563" s="15">
        <f>IFERROR(__xludf.DUMMYFUNCTION("IFERROR(PERCENTRANK.INC(FILTER(S:S,$F:$F&lt;&gt;""""),S563)*100,"""")"),1.5)</f>
        <v>1.5</v>
      </c>
      <c r="W563" s="15" t="str">
        <f t="shared" si="4"/>
        <v/>
      </c>
      <c r="X563" s="16"/>
      <c r="Y563" s="9"/>
      <c r="Z563" s="9"/>
    </row>
    <row r="564">
      <c r="B564" t="str">
        <f t="array" ref="B564">IFERROR(INDEX('Player Raw Data'!E:E,Match($A564,'Player Raw Data'!$B:$B,0)),"")</f>
        <v/>
      </c>
      <c r="C564" t="str">
        <f t="array" ref="C564">IFERROR(INDEX('Player Raw Data'!C:C,Match($A564,'Player Raw Data'!$B:$B,0)),"")</f>
        <v/>
      </c>
      <c r="D564" t="str">
        <f t="array" ref="D564">IFERROR(IF(A564=A563, INDEX('Player Raw Data'!D:D,Match($A564,'Player Raw Data'!$B:$B,0)+2),INDEX('Player Raw Data'!D:D,Match($A564,'Player Raw Data'!$B:$B,0))),"")</f>
        <v/>
      </c>
      <c r="E564" t="str">
        <f t="array" ref="E564">IFERROR(INDEX('Player Raw Data'!F:F,Match($A564,'Player Raw Data'!$B:$B,0)),"")</f>
        <v/>
      </c>
      <c r="F564" t="str">
        <f t="array" ref="F564">IFERROR(INDEX('Player Raw Data'!H:H,Match($A564,'Player Raw Data'!$B:$B,0)),"")</f>
        <v/>
      </c>
      <c r="G564" t="str">
        <f t="array" ref="G564">IFERROR(INDEX('Player Raw Data'!I:I,Match($A564,'Player Raw Data'!$B:$B,0)),"")</f>
        <v/>
      </c>
      <c r="H564" t="str">
        <f t="array" ref="H564">IFERROR(INDEX('Player Raw Data'!J:J,Match($A564,'Player Raw Data'!$B:$B,0)),"")</f>
        <v/>
      </c>
      <c r="I564" t="str">
        <f t="array" ref="I564">IFERROR(INDEX('Player Raw Data'!S:S,Match($A564,'Player Raw Data'!$B:$B,0)),"")</f>
        <v/>
      </c>
      <c r="J564" t="str">
        <f t="array" ref="J564">IFERROR(INDEX('Player Raw Data'!T:T,Match($A564,'Player Raw Data'!$B:$B,0)),"")</f>
        <v/>
      </c>
      <c r="K564" t="str">
        <f t="array" ref="K564">IFERROR(INDEX('Player Raw Data'!X:X,Match($A564,'Player Raw Data'!$B:$B,0)),"")</f>
        <v/>
      </c>
      <c r="L564" t="str">
        <f t="array" ref="L564">IFERROR(INDEX('Player Raw Data'!Y:Y,Match($A564,'Player Raw Data'!$B:$B,0)),"")</f>
        <v/>
      </c>
      <c r="M564" t="str">
        <f t="array" ref="M564">IFERROR(INDEX('Player Raw Data'!Z:Z,Match($A564,'Player Raw Data'!$B:$B,0)),"")</f>
        <v/>
      </c>
      <c r="N564" t="str">
        <f t="array" ref="N564">IFERROR(INDEX('Player Raw Data'!AA:AA,Match($A564,'Player Raw Data'!$B:$B,0)),"")</f>
        <v/>
      </c>
      <c r="O564" t="str">
        <f t="array" ref="O564">IFERROR(INDEX('Player Raw Data'!AB:AB,Match($A564,'Player Raw Data'!$B:$B,0)),"")</f>
        <v/>
      </c>
      <c r="P564" t="str">
        <f t="array" ref="P564">IFERROR(INDEX('Player Raw Data'!AD:AD,Match($A564,'Player Raw Data'!$B:$B,0)),"")</f>
        <v/>
      </c>
      <c r="Q564">
        <f t="shared" si="1"/>
        <v>0</v>
      </c>
      <c r="R564" s="9">
        <f t="shared" si="2"/>
        <v>0</v>
      </c>
      <c r="S564" s="14">
        <f t="shared" si="3"/>
        <v>0</v>
      </c>
      <c r="T564" s="15">
        <f>IFERROR(__xludf.DUMMYFUNCTION("IFERROR(PERCENTRANK.INC(FILTER(Q:Q,$F:$F&lt;&gt;""""),Q564)*100,"""")"),1.5)</f>
        <v>1.5</v>
      </c>
      <c r="U564" s="15">
        <f>IFERROR(__xludf.DUMMYFUNCTION("IFERROR(PERCENTRANK.INC(FILTER(R:R,$F:$F&lt;&gt;""""),R564)*100,"""")"),1.5)</f>
        <v>1.5</v>
      </c>
      <c r="V564" s="15">
        <f>IFERROR(__xludf.DUMMYFUNCTION("IFERROR(PERCENTRANK.INC(FILTER(S:S,$F:$F&lt;&gt;""""),S564)*100,"""")"),1.5)</f>
        <v>1.5</v>
      </c>
      <c r="W564" s="15" t="str">
        <f t="shared" si="4"/>
        <v/>
      </c>
      <c r="X564" s="16"/>
      <c r="Y564" s="9"/>
      <c r="Z564" s="9"/>
    </row>
    <row r="565">
      <c r="B565" t="str">
        <f t="array" ref="B565">IFERROR(INDEX('Player Raw Data'!E:E,Match($A565,'Player Raw Data'!$B:$B,0)),"")</f>
        <v/>
      </c>
      <c r="C565" t="str">
        <f t="array" ref="C565">IFERROR(INDEX('Player Raw Data'!C:C,Match($A565,'Player Raw Data'!$B:$B,0)),"")</f>
        <v/>
      </c>
      <c r="D565" t="str">
        <f t="array" ref="D565">IFERROR(IF(A565=A564, INDEX('Player Raw Data'!D:D,Match($A565,'Player Raw Data'!$B:$B,0)+2),INDEX('Player Raw Data'!D:D,Match($A565,'Player Raw Data'!$B:$B,0))),"")</f>
        <v/>
      </c>
      <c r="E565" t="str">
        <f t="array" ref="E565">IFERROR(INDEX('Player Raw Data'!F:F,Match($A565,'Player Raw Data'!$B:$B,0)),"")</f>
        <v/>
      </c>
      <c r="F565" t="str">
        <f t="array" ref="F565">IFERROR(INDEX('Player Raw Data'!H:H,Match($A565,'Player Raw Data'!$B:$B,0)),"")</f>
        <v/>
      </c>
      <c r="G565" t="str">
        <f t="array" ref="G565">IFERROR(INDEX('Player Raw Data'!I:I,Match($A565,'Player Raw Data'!$B:$B,0)),"")</f>
        <v/>
      </c>
      <c r="H565" t="str">
        <f t="array" ref="H565">IFERROR(INDEX('Player Raw Data'!J:J,Match($A565,'Player Raw Data'!$B:$B,0)),"")</f>
        <v/>
      </c>
      <c r="I565" t="str">
        <f t="array" ref="I565">IFERROR(INDEX('Player Raw Data'!S:S,Match($A565,'Player Raw Data'!$B:$B,0)),"")</f>
        <v/>
      </c>
      <c r="J565" t="str">
        <f t="array" ref="J565">IFERROR(INDEX('Player Raw Data'!T:T,Match($A565,'Player Raw Data'!$B:$B,0)),"")</f>
        <v/>
      </c>
      <c r="K565" t="str">
        <f t="array" ref="K565">IFERROR(INDEX('Player Raw Data'!X:X,Match($A565,'Player Raw Data'!$B:$B,0)),"")</f>
        <v/>
      </c>
      <c r="L565" t="str">
        <f t="array" ref="L565">IFERROR(INDEX('Player Raw Data'!Y:Y,Match($A565,'Player Raw Data'!$B:$B,0)),"")</f>
        <v/>
      </c>
      <c r="M565" t="str">
        <f t="array" ref="M565">IFERROR(INDEX('Player Raw Data'!Z:Z,Match($A565,'Player Raw Data'!$B:$B,0)),"")</f>
        <v/>
      </c>
      <c r="N565" t="str">
        <f t="array" ref="N565">IFERROR(INDEX('Player Raw Data'!AA:AA,Match($A565,'Player Raw Data'!$B:$B,0)),"")</f>
        <v/>
      </c>
      <c r="O565" t="str">
        <f t="array" ref="O565">IFERROR(INDEX('Player Raw Data'!AB:AB,Match($A565,'Player Raw Data'!$B:$B,0)),"")</f>
        <v/>
      </c>
      <c r="P565" t="str">
        <f t="array" ref="P565">IFERROR(INDEX('Player Raw Data'!AD:AD,Match($A565,'Player Raw Data'!$B:$B,0)),"")</f>
        <v/>
      </c>
      <c r="Q565">
        <f t="shared" si="1"/>
        <v>0</v>
      </c>
      <c r="R565" s="9">
        <f t="shared" si="2"/>
        <v>0</v>
      </c>
      <c r="S565" s="14">
        <f t="shared" si="3"/>
        <v>0</v>
      </c>
      <c r="T565" s="15">
        <f>IFERROR(__xludf.DUMMYFUNCTION("IFERROR(PERCENTRANK.INC(FILTER(Q:Q,$F:$F&lt;&gt;""""),Q565)*100,"""")"),1.5)</f>
        <v>1.5</v>
      </c>
      <c r="U565" s="15">
        <f>IFERROR(__xludf.DUMMYFUNCTION("IFERROR(PERCENTRANK.INC(FILTER(R:R,$F:$F&lt;&gt;""""),R565)*100,"""")"),1.5)</f>
        <v>1.5</v>
      </c>
      <c r="V565" s="15">
        <f>IFERROR(__xludf.DUMMYFUNCTION("IFERROR(PERCENTRANK.INC(FILTER(S:S,$F:$F&lt;&gt;""""),S565)*100,"""")"),1.5)</f>
        <v>1.5</v>
      </c>
      <c r="W565" s="15" t="str">
        <f t="shared" si="4"/>
        <v/>
      </c>
      <c r="X565" s="16"/>
      <c r="Y565" s="9"/>
      <c r="Z565" s="9"/>
    </row>
    <row r="566">
      <c r="B566" t="str">
        <f t="array" ref="B566">IFERROR(INDEX('Player Raw Data'!E:E,Match($A566,'Player Raw Data'!$B:$B,0)),"")</f>
        <v/>
      </c>
      <c r="C566" t="str">
        <f t="array" ref="C566">IFERROR(INDEX('Player Raw Data'!C:C,Match($A566,'Player Raw Data'!$B:$B,0)),"")</f>
        <v/>
      </c>
      <c r="D566" t="str">
        <f t="array" ref="D566">IFERROR(IF(A566=A565, INDEX('Player Raw Data'!D:D,Match($A566,'Player Raw Data'!$B:$B,0)+2),INDEX('Player Raw Data'!D:D,Match($A566,'Player Raw Data'!$B:$B,0))),"")</f>
        <v/>
      </c>
      <c r="E566" t="str">
        <f t="array" ref="E566">IFERROR(INDEX('Player Raw Data'!F:F,Match($A566,'Player Raw Data'!$B:$B,0)),"")</f>
        <v/>
      </c>
      <c r="F566" t="str">
        <f t="array" ref="F566">IFERROR(INDEX('Player Raw Data'!H:H,Match($A566,'Player Raw Data'!$B:$B,0)),"")</f>
        <v/>
      </c>
      <c r="G566" t="str">
        <f t="array" ref="G566">IFERROR(INDEX('Player Raw Data'!I:I,Match($A566,'Player Raw Data'!$B:$B,0)),"")</f>
        <v/>
      </c>
      <c r="H566" t="str">
        <f t="array" ref="H566">IFERROR(INDEX('Player Raw Data'!J:J,Match($A566,'Player Raw Data'!$B:$B,0)),"")</f>
        <v/>
      </c>
      <c r="I566" t="str">
        <f t="array" ref="I566">IFERROR(INDEX('Player Raw Data'!S:S,Match($A566,'Player Raw Data'!$B:$B,0)),"")</f>
        <v/>
      </c>
      <c r="J566" t="str">
        <f t="array" ref="J566">IFERROR(INDEX('Player Raw Data'!T:T,Match($A566,'Player Raw Data'!$B:$B,0)),"")</f>
        <v/>
      </c>
      <c r="K566" t="str">
        <f t="array" ref="K566">IFERROR(INDEX('Player Raw Data'!X:X,Match($A566,'Player Raw Data'!$B:$B,0)),"")</f>
        <v/>
      </c>
      <c r="L566" t="str">
        <f t="array" ref="L566">IFERROR(INDEX('Player Raw Data'!Y:Y,Match($A566,'Player Raw Data'!$B:$B,0)),"")</f>
        <v/>
      </c>
      <c r="M566" t="str">
        <f t="array" ref="M566">IFERROR(INDEX('Player Raw Data'!Z:Z,Match($A566,'Player Raw Data'!$B:$B,0)),"")</f>
        <v/>
      </c>
      <c r="N566" t="str">
        <f t="array" ref="N566">IFERROR(INDEX('Player Raw Data'!AA:AA,Match($A566,'Player Raw Data'!$B:$B,0)),"")</f>
        <v/>
      </c>
      <c r="O566" t="str">
        <f t="array" ref="O566">IFERROR(INDEX('Player Raw Data'!AB:AB,Match($A566,'Player Raw Data'!$B:$B,0)),"")</f>
        <v/>
      </c>
      <c r="P566" t="str">
        <f t="array" ref="P566">IFERROR(INDEX('Player Raw Data'!AD:AD,Match($A566,'Player Raw Data'!$B:$B,0)),"")</f>
        <v/>
      </c>
      <c r="Q566">
        <f t="shared" si="1"/>
        <v>0</v>
      </c>
      <c r="R566" s="9">
        <f t="shared" si="2"/>
        <v>0</v>
      </c>
      <c r="S566" s="14">
        <f t="shared" si="3"/>
        <v>0</v>
      </c>
      <c r="T566" s="15">
        <f>IFERROR(__xludf.DUMMYFUNCTION("IFERROR(PERCENTRANK.INC(FILTER(Q:Q,$F:$F&lt;&gt;""""),Q566)*100,"""")"),1.5)</f>
        <v>1.5</v>
      </c>
      <c r="U566" s="15">
        <f>IFERROR(__xludf.DUMMYFUNCTION("IFERROR(PERCENTRANK.INC(FILTER(R:R,$F:$F&lt;&gt;""""),R566)*100,"""")"),1.5)</f>
        <v>1.5</v>
      </c>
      <c r="V566" s="15">
        <f>IFERROR(__xludf.DUMMYFUNCTION("IFERROR(PERCENTRANK.INC(FILTER(S:S,$F:$F&lt;&gt;""""),S566)*100,"""")"),1.5)</f>
        <v>1.5</v>
      </c>
      <c r="W566" s="15" t="str">
        <f t="shared" si="4"/>
        <v/>
      </c>
      <c r="X566" s="16"/>
      <c r="Y566" s="9"/>
      <c r="Z566" s="9"/>
    </row>
    <row r="567">
      <c r="B567" t="str">
        <f t="array" ref="B567">IFERROR(INDEX('Player Raw Data'!E:E,Match($A567,'Player Raw Data'!$B:$B,0)),"")</f>
        <v/>
      </c>
      <c r="C567" t="str">
        <f t="array" ref="C567">IFERROR(INDEX('Player Raw Data'!C:C,Match($A567,'Player Raw Data'!$B:$B,0)),"")</f>
        <v/>
      </c>
      <c r="D567" t="str">
        <f t="array" ref="D567">IFERROR(IF(A567=A566, INDEX('Player Raw Data'!D:D,Match($A567,'Player Raw Data'!$B:$B,0)+2),INDEX('Player Raw Data'!D:D,Match($A567,'Player Raw Data'!$B:$B,0))),"")</f>
        <v/>
      </c>
      <c r="E567" t="str">
        <f t="array" ref="E567">IFERROR(INDEX('Player Raw Data'!F:F,Match($A567,'Player Raw Data'!$B:$B,0)),"")</f>
        <v/>
      </c>
      <c r="F567" t="str">
        <f t="array" ref="F567">IFERROR(INDEX('Player Raw Data'!H:H,Match($A567,'Player Raw Data'!$B:$B,0)),"")</f>
        <v/>
      </c>
      <c r="G567" t="str">
        <f t="array" ref="G567">IFERROR(INDEX('Player Raw Data'!I:I,Match($A567,'Player Raw Data'!$B:$B,0)),"")</f>
        <v/>
      </c>
      <c r="H567" t="str">
        <f t="array" ref="H567">IFERROR(INDEX('Player Raw Data'!J:J,Match($A567,'Player Raw Data'!$B:$B,0)),"")</f>
        <v/>
      </c>
      <c r="I567" t="str">
        <f t="array" ref="I567">IFERROR(INDEX('Player Raw Data'!S:S,Match($A567,'Player Raw Data'!$B:$B,0)),"")</f>
        <v/>
      </c>
      <c r="J567" t="str">
        <f t="array" ref="J567">IFERROR(INDEX('Player Raw Data'!T:T,Match($A567,'Player Raw Data'!$B:$B,0)),"")</f>
        <v/>
      </c>
      <c r="K567" t="str">
        <f t="array" ref="K567">IFERROR(INDEX('Player Raw Data'!X:X,Match($A567,'Player Raw Data'!$B:$B,0)),"")</f>
        <v/>
      </c>
      <c r="L567" t="str">
        <f t="array" ref="L567">IFERROR(INDEX('Player Raw Data'!Y:Y,Match($A567,'Player Raw Data'!$B:$B,0)),"")</f>
        <v/>
      </c>
      <c r="M567" t="str">
        <f t="array" ref="M567">IFERROR(INDEX('Player Raw Data'!Z:Z,Match($A567,'Player Raw Data'!$B:$B,0)),"")</f>
        <v/>
      </c>
      <c r="N567" t="str">
        <f t="array" ref="N567">IFERROR(INDEX('Player Raw Data'!AA:AA,Match($A567,'Player Raw Data'!$B:$B,0)),"")</f>
        <v/>
      </c>
      <c r="O567" t="str">
        <f t="array" ref="O567">IFERROR(INDEX('Player Raw Data'!AB:AB,Match($A567,'Player Raw Data'!$B:$B,0)),"")</f>
        <v/>
      </c>
      <c r="P567" t="str">
        <f t="array" ref="P567">IFERROR(INDEX('Player Raw Data'!AD:AD,Match($A567,'Player Raw Data'!$B:$B,0)),"")</f>
        <v/>
      </c>
      <c r="Q567">
        <f t="shared" si="1"/>
        <v>0</v>
      </c>
      <c r="R567" s="9">
        <f t="shared" si="2"/>
        <v>0</v>
      </c>
      <c r="S567" s="14">
        <f t="shared" si="3"/>
        <v>0</v>
      </c>
      <c r="T567" s="15">
        <f>IFERROR(__xludf.DUMMYFUNCTION("IFERROR(PERCENTRANK.INC(FILTER(Q:Q,$F:$F&lt;&gt;""""),Q567)*100,"""")"),1.5)</f>
        <v>1.5</v>
      </c>
      <c r="U567" s="15">
        <f>IFERROR(__xludf.DUMMYFUNCTION("IFERROR(PERCENTRANK.INC(FILTER(R:R,$F:$F&lt;&gt;""""),R567)*100,"""")"),1.5)</f>
        <v>1.5</v>
      </c>
      <c r="V567" s="15">
        <f>IFERROR(__xludf.DUMMYFUNCTION("IFERROR(PERCENTRANK.INC(FILTER(S:S,$F:$F&lt;&gt;""""),S567)*100,"""")"),1.5)</f>
        <v>1.5</v>
      </c>
      <c r="W567" s="15" t="str">
        <f t="shared" si="4"/>
        <v/>
      </c>
      <c r="X567" s="16"/>
      <c r="Y567" s="9"/>
      <c r="Z567" s="9"/>
    </row>
    <row r="568">
      <c r="B568" t="str">
        <f t="array" ref="B568">IFERROR(INDEX('Player Raw Data'!E:E,Match($A568,'Player Raw Data'!$B:$B,0)),"")</f>
        <v/>
      </c>
      <c r="C568" t="str">
        <f t="array" ref="C568">IFERROR(INDEX('Player Raw Data'!C:C,Match($A568,'Player Raw Data'!$B:$B,0)),"")</f>
        <v/>
      </c>
      <c r="D568" t="str">
        <f t="array" ref="D568">IFERROR(IF(A568=A567, INDEX('Player Raw Data'!D:D,Match($A568,'Player Raw Data'!$B:$B,0)+2),INDEX('Player Raw Data'!D:D,Match($A568,'Player Raw Data'!$B:$B,0))),"")</f>
        <v/>
      </c>
      <c r="E568" t="str">
        <f t="array" ref="E568">IFERROR(INDEX('Player Raw Data'!F:F,Match($A568,'Player Raw Data'!$B:$B,0)),"")</f>
        <v/>
      </c>
      <c r="F568" t="str">
        <f t="array" ref="F568">IFERROR(INDEX('Player Raw Data'!H:H,Match($A568,'Player Raw Data'!$B:$B,0)),"")</f>
        <v/>
      </c>
      <c r="G568" t="str">
        <f t="array" ref="G568">IFERROR(INDEX('Player Raw Data'!I:I,Match($A568,'Player Raw Data'!$B:$B,0)),"")</f>
        <v/>
      </c>
      <c r="H568" t="str">
        <f t="array" ref="H568">IFERROR(INDEX('Player Raw Data'!J:J,Match($A568,'Player Raw Data'!$B:$B,0)),"")</f>
        <v/>
      </c>
      <c r="I568" t="str">
        <f t="array" ref="I568">IFERROR(INDEX('Player Raw Data'!S:S,Match($A568,'Player Raw Data'!$B:$B,0)),"")</f>
        <v/>
      </c>
      <c r="J568" t="str">
        <f t="array" ref="J568">IFERROR(INDEX('Player Raw Data'!T:T,Match($A568,'Player Raw Data'!$B:$B,0)),"")</f>
        <v/>
      </c>
      <c r="K568" t="str">
        <f t="array" ref="K568">IFERROR(INDEX('Player Raw Data'!X:X,Match($A568,'Player Raw Data'!$B:$B,0)),"")</f>
        <v/>
      </c>
      <c r="L568" t="str">
        <f t="array" ref="L568">IFERROR(INDEX('Player Raw Data'!Y:Y,Match($A568,'Player Raw Data'!$B:$B,0)),"")</f>
        <v/>
      </c>
      <c r="M568" t="str">
        <f t="array" ref="M568">IFERROR(INDEX('Player Raw Data'!Z:Z,Match($A568,'Player Raw Data'!$B:$B,0)),"")</f>
        <v/>
      </c>
      <c r="N568" t="str">
        <f t="array" ref="N568">IFERROR(INDEX('Player Raw Data'!AA:AA,Match($A568,'Player Raw Data'!$B:$B,0)),"")</f>
        <v/>
      </c>
      <c r="O568" t="str">
        <f t="array" ref="O568">IFERROR(INDEX('Player Raw Data'!AB:AB,Match($A568,'Player Raw Data'!$B:$B,0)),"")</f>
        <v/>
      </c>
      <c r="P568" t="str">
        <f t="array" ref="P568">IFERROR(INDEX('Player Raw Data'!AD:AD,Match($A568,'Player Raw Data'!$B:$B,0)),"")</f>
        <v/>
      </c>
      <c r="Q568">
        <f t="shared" si="1"/>
        <v>0</v>
      </c>
      <c r="R568" s="9">
        <f t="shared" si="2"/>
        <v>0</v>
      </c>
      <c r="S568" s="14">
        <f t="shared" si="3"/>
        <v>0</v>
      </c>
      <c r="T568" s="15">
        <f>IFERROR(__xludf.DUMMYFUNCTION("IFERROR(PERCENTRANK.INC(FILTER(Q:Q,$F:$F&lt;&gt;""""),Q568)*100,"""")"),1.5)</f>
        <v>1.5</v>
      </c>
      <c r="U568" s="15">
        <f>IFERROR(__xludf.DUMMYFUNCTION("IFERROR(PERCENTRANK.INC(FILTER(R:R,$F:$F&lt;&gt;""""),R568)*100,"""")"),1.5)</f>
        <v>1.5</v>
      </c>
      <c r="V568" s="15">
        <f>IFERROR(__xludf.DUMMYFUNCTION("IFERROR(PERCENTRANK.INC(FILTER(S:S,$F:$F&lt;&gt;""""),S568)*100,"""")"),1.5)</f>
        <v>1.5</v>
      </c>
      <c r="W568" s="15" t="str">
        <f t="shared" si="4"/>
        <v/>
      </c>
      <c r="X568" s="16"/>
      <c r="Y568" s="9"/>
      <c r="Z568" s="9"/>
    </row>
    <row r="569">
      <c r="B569" t="str">
        <f t="array" ref="B569">IFERROR(INDEX('Player Raw Data'!E:E,Match($A569,'Player Raw Data'!$B:$B,0)),"")</f>
        <v/>
      </c>
      <c r="C569" t="str">
        <f t="array" ref="C569">IFERROR(INDEX('Player Raw Data'!C:C,Match($A569,'Player Raw Data'!$B:$B,0)),"")</f>
        <v/>
      </c>
      <c r="D569" t="str">
        <f t="array" ref="D569">IFERROR(IF(A569=A568, INDEX('Player Raw Data'!D:D,Match($A569,'Player Raw Data'!$B:$B,0)+2),INDEX('Player Raw Data'!D:D,Match($A569,'Player Raw Data'!$B:$B,0))),"")</f>
        <v/>
      </c>
      <c r="E569" t="str">
        <f t="array" ref="E569">IFERROR(INDEX('Player Raw Data'!F:F,Match($A569,'Player Raw Data'!$B:$B,0)),"")</f>
        <v/>
      </c>
      <c r="F569" t="str">
        <f t="array" ref="F569">IFERROR(INDEX('Player Raw Data'!H:H,Match($A569,'Player Raw Data'!$B:$B,0)),"")</f>
        <v/>
      </c>
      <c r="G569" t="str">
        <f t="array" ref="G569">IFERROR(INDEX('Player Raw Data'!I:I,Match($A569,'Player Raw Data'!$B:$B,0)),"")</f>
        <v/>
      </c>
      <c r="H569" t="str">
        <f t="array" ref="H569">IFERROR(INDEX('Player Raw Data'!J:J,Match($A569,'Player Raw Data'!$B:$B,0)),"")</f>
        <v/>
      </c>
      <c r="I569" t="str">
        <f t="array" ref="I569">IFERROR(INDEX('Player Raw Data'!S:S,Match($A569,'Player Raw Data'!$B:$B,0)),"")</f>
        <v/>
      </c>
      <c r="J569" t="str">
        <f t="array" ref="J569">IFERROR(INDEX('Player Raw Data'!T:T,Match($A569,'Player Raw Data'!$B:$B,0)),"")</f>
        <v/>
      </c>
      <c r="K569" t="str">
        <f t="array" ref="K569">IFERROR(INDEX('Player Raw Data'!X:X,Match($A569,'Player Raw Data'!$B:$B,0)),"")</f>
        <v/>
      </c>
      <c r="L569" t="str">
        <f t="array" ref="L569">IFERROR(INDEX('Player Raw Data'!Y:Y,Match($A569,'Player Raw Data'!$B:$B,0)),"")</f>
        <v/>
      </c>
      <c r="M569" t="str">
        <f t="array" ref="M569">IFERROR(INDEX('Player Raw Data'!Z:Z,Match($A569,'Player Raw Data'!$B:$B,0)),"")</f>
        <v/>
      </c>
      <c r="N569" t="str">
        <f t="array" ref="N569">IFERROR(INDEX('Player Raw Data'!AA:AA,Match($A569,'Player Raw Data'!$B:$B,0)),"")</f>
        <v/>
      </c>
      <c r="O569" t="str">
        <f t="array" ref="O569">IFERROR(INDEX('Player Raw Data'!AB:AB,Match($A569,'Player Raw Data'!$B:$B,0)),"")</f>
        <v/>
      </c>
      <c r="P569" t="str">
        <f t="array" ref="P569">IFERROR(INDEX('Player Raw Data'!AD:AD,Match($A569,'Player Raw Data'!$B:$B,0)),"")</f>
        <v/>
      </c>
      <c r="Q569">
        <f t="shared" si="1"/>
        <v>0</v>
      </c>
      <c r="R569" s="9">
        <f t="shared" si="2"/>
        <v>0</v>
      </c>
      <c r="S569" s="14">
        <f t="shared" si="3"/>
        <v>0</v>
      </c>
      <c r="T569" s="15">
        <f>IFERROR(__xludf.DUMMYFUNCTION("IFERROR(PERCENTRANK.INC(FILTER(Q:Q,$F:$F&lt;&gt;""""),Q569)*100,"""")"),1.5)</f>
        <v>1.5</v>
      </c>
      <c r="U569" s="15">
        <f>IFERROR(__xludf.DUMMYFUNCTION("IFERROR(PERCENTRANK.INC(FILTER(R:R,$F:$F&lt;&gt;""""),R569)*100,"""")"),1.5)</f>
        <v>1.5</v>
      </c>
      <c r="V569" s="15">
        <f>IFERROR(__xludf.DUMMYFUNCTION("IFERROR(PERCENTRANK.INC(FILTER(S:S,$F:$F&lt;&gt;""""),S569)*100,"""")"),1.5)</f>
        <v>1.5</v>
      </c>
      <c r="W569" s="15" t="str">
        <f t="shared" si="4"/>
        <v/>
      </c>
      <c r="X569" s="16"/>
      <c r="Y569" s="9"/>
      <c r="Z569" s="9"/>
    </row>
    <row r="570">
      <c r="B570" t="str">
        <f t="array" ref="B570">IFERROR(INDEX('Player Raw Data'!E:E,Match($A570,'Player Raw Data'!$B:$B,0)),"")</f>
        <v/>
      </c>
      <c r="C570" t="str">
        <f t="array" ref="C570">IFERROR(INDEX('Player Raw Data'!C:C,Match($A570,'Player Raw Data'!$B:$B,0)),"")</f>
        <v/>
      </c>
      <c r="D570" t="str">
        <f t="array" ref="D570">IFERROR(IF(A570=A569, INDEX('Player Raw Data'!D:D,Match($A570,'Player Raw Data'!$B:$B,0)+2),INDEX('Player Raw Data'!D:D,Match($A570,'Player Raw Data'!$B:$B,0))),"")</f>
        <v/>
      </c>
      <c r="E570" t="str">
        <f t="array" ref="E570">IFERROR(INDEX('Player Raw Data'!F:F,Match($A570,'Player Raw Data'!$B:$B,0)),"")</f>
        <v/>
      </c>
      <c r="F570" t="str">
        <f t="array" ref="F570">IFERROR(INDEX('Player Raw Data'!H:H,Match($A570,'Player Raw Data'!$B:$B,0)),"")</f>
        <v/>
      </c>
      <c r="G570" t="str">
        <f t="array" ref="G570">IFERROR(INDEX('Player Raw Data'!I:I,Match($A570,'Player Raw Data'!$B:$B,0)),"")</f>
        <v/>
      </c>
      <c r="H570" t="str">
        <f t="array" ref="H570">IFERROR(INDEX('Player Raw Data'!J:J,Match($A570,'Player Raw Data'!$B:$B,0)),"")</f>
        <v/>
      </c>
      <c r="I570" t="str">
        <f t="array" ref="I570">IFERROR(INDEX('Player Raw Data'!S:S,Match($A570,'Player Raw Data'!$B:$B,0)),"")</f>
        <v/>
      </c>
      <c r="J570" t="str">
        <f t="array" ref="J570">IFERROR(INDEX('Player Raw Data'!T:T,Match($A570,'Player Raw Data'!$B:$B,0)),"")</f>
        <v/>
      </c>
      <c r="K570" t="str">
        <f t="array" ref="K570">IFERROR(INDEX('Player Raw Data'!X:X,Match($A570,'Player Raw Data'!$B:$B,0)),"")</f>
        <v/>
      </c>
      <c r="L570" t="str">
        <f t="array" ref="L570">IFERROR(INDEX('Player Raw Data'!Y:Y,Match($A570,'Player Raw Data'!$B:$B,0)),"")</f>
        <v/>
      </c>
      <c r="M570" t="str">
        <f t="array" ref="M570">IFERROR(INDEX('Player Raw Data'!Z:Z,Match($A570,'Player Raw Data'!$B:$B,0)),"")</f>
        <v/>
      </c>
      <c r="N570" t="str">
        <f t="array" ref="N570">IFERROR(INDEX('Player Raw Data'!AA:AA,Match($A570,'Player Raw Data'!$B:$B,0)),"")</f>
        <v/>
      </c>
      <c r="O570" t="str">
        <f t="array" ref="O570">IFERROR(INDEX('Player Raw Data'!AB:AB,Match($A570,'Player Raw Data'!$B:$B,0)),"")</f>
        <v/>
      </c>
      <c r="P570" t="str">
        <f t="array" ref="P570">IFERROR(INDEX('Player Raw Data'!AD:AD,Match($A570,'Player Raw Data'!$B:$B,0)),"")</f>
        <v/>
      </c>
      <c r="Q570">
        <f t="shared" si="1"/>
        <v>0</v>
      </c>
      <c r="R570" s="9">
        <f t="shared" si="2"/>
        <v>0</v>
      </c>
      <c r="S570" s="14">
        <f t="shared" si="3"/>
        <v>0</v>
      </c>
      <c r="T570" s="15">
        <f>IFERROR(__xludf.DUMMYFUNCTION("IFERROR(PERCENTRANK.INC(FILTER(Q:Q,$F:$F&lt;&gt;""""),Q570)*100,"""")"),1.5)</f>
        <v>1.5</v>
      </c>
      <c r="U570" s="15">
        <f>IFERROR(__xludf.DUMMYFUNCTION("IFERROR(PERCENTRANK.INC(FILTER(R:R,$F:$F&lt;&gt;""""),R570)*100,"""")"),1.5)</f>
        <v>1.5</v>
      </c>
      <c r="V570" s="15">
        <f>IFERROR(__xludf.DUMMYFUNCTION("IFERROR(PERCENTRANK.INC(FILTER(S:S,$F:$F&lt;&gt;""""),S570)*100,"""")"),1.5)</f>
        <v>1.5</v>
      </c>
      <c r="W570" s="15" t="str">
        <f t="shared" si="4"/>
        <v/>
      </c>
      <c r="X570" s="16"/>
      <c r="Y570" s="9"/>
      <c r="Z570" s="9"/>
    </row>
    <row r="571">
      <c r="B571" t="str">
        <f t="array" ref="B571">IFERROR(INDEX('Player Raw Data'!E:E,Match($A571,'Player Raw Data'!$B:$B,0)),"")</f>
        <v/>
      </c>
      <c r="C571" t="str">
        <f t="array" ref="C571">IFERROR(INDEX('Player Raw Data'!C:C,Match($A571,'Player Raw Data'!$B:$B,0)),"")</f>
        <v/>
      </c>
      <c r="D571" t="str">
        <f t="array" ref="D571">IFERROR(IF(A571=A570, INDEX('Player Raw Data'!D:D,Match($A571,'Player Raw Data'!$B:$B,0)+2),INDEX('Player Raw Data'!D:D,Match($A571,'Player Raw Data'!$B:$B,0))),"")</f>
        <v/>
      </c>
      <c r="E571" t="str">
        <f t="array" ref="E571">IFERROR(INDEX('Player Raw Data'!F:F,Match($A571,'Player Raw Data'!$B:$B,0)),"")</f>
        <v/>
      </c>
      <c r="F571" t="str">
        <f t="array" ref="F571">IFERROR(INDEX('Player Raw Data'!H:H,Match($A571,'Player Raw Data'!$B:$B,0)),"")</f>
        <v/>
      </c>
      <c r="G571" t="str">
        <f t="array" ref="G571">IFERROR(INDEX('Player Raw Data'!I:I,Match($A571,'Player Raw Data'!$B:$B,0)),"")</f>
        <v/>
      </c>
      <c r="H571" t="str">
        <f t="array" ref="H571">IFERROR(INDEX('Player Raw Data'!J:J,Match($A571,'Player Raw Data'!$B:$B,0)),"")</f>
        <v/>
      </c>
      <c r="I571" t="str">
        <f t="array" ref="I571">IFERROR(INDEX('Player Raw Data'!S:S,Match($A571,'Player Raw Data'!$B:$B,0)),"")</f>
        <v/>
      </c>
      <c r="J571" t="str">
        <f t="array" ref="J571">IFERROR(INDEX('Player Raw Data'!T:T,Match($A571,'Player Raw Data'!$B:$B,0)),"")</f>
        <v/>
      </c>
      <c r="K571" t="str">
        <f t="array" ref="K571">IFERROR(INDEX('Player Raw Data'!X:X,Match($A571,'Player Raw Data'!$B:$B,0)),"")</f>
        <v/>
      </c>
      <c r="L571" t="str">
        <f t="array" ref="L571">IFERROR(INDEX('Player Raw Data'!Y:Y,Match($A571,'Player Raw Data'!$B:$B,0)),"")</f>
        <v/>
      </c>
      <c r="M571" t="str">
        <f t="array" ref="M571">IFERROR(INDEX('Player Raw Data'!Z:Z,Match($A571,'Player Raw Data'!$B:$B,0)),"")</f>
        <v/>
      </c>
      <c r="N571" t="str">
        <f t="array" ref="N571">IFERROR(INDEX('Player Raw Data'!AA:AA,Match($A571,'Player Raw Data'!$B:$B,0)),"")</f>
        <v/>
      </c>
      <c r="O571" t="str">
        <f t="array" ref="O571">IFERROR(INDEX('Player Raw Data'!AB:AB,Match($A571,'Player Raw Data'!$B:$B,0)),"")</f>
        <v/>
      </c>
      <c r="P571" t="str">
        <f t="array" ref="P571">IFERROR(INDEX('Player Raw Data'!AD:AD,Match($A571,'Player Raw Data'!$B:$B,0)),"")</f>
        <v/>
      </c>
      <c r="Q571">
        <f t="shared" si="1"/>
        <v>0</v>
      </c>
      <c r="R571" s="9">
        <f t="shared" si="2"/>
        <v>0</v>
      </c>
      <c r="S571" s="14">
        <f t="shared" si="3"/>
        <v>0</v>
      </c>
      <c r="T571" s="15">
        <f>IFERROR(__xludf.DUMMYFUNCTION("IFERROR(PERCENTRANK.INC(FILTER(Q:Q,$F:$F&lt;&gt;""""),Q571)*100,"""")"),1.5)</f>
        <v>1.5</v>
      </c>
      <c r="U571" s="15">
        <f>IFERROR(__xludf.DUMMYFUNCTION("IFERROR(PERCENTRANK.INC(FILTER(R:R,$F:$F&lt;&gt;""""),R571)*100,"""")"),1.5)</f>
        <v>1.5</v>
      </c>
      <c r="V571" s="15">
        <f>IFERROR(__xludf.DUMMYFUNCTION("IFERROR(PERCENTRANK.INC(FILTER(S:S,$F:$F&lt;&gt;""""),S571)*100,"""")"),1.5)</f>
        <v>1.5</v>
      </c>
      <c r="W571" s="15" t="str">
        <f t="shared" si="4"/>
        <v/>
      </c>
      <c r="X571" s="16"/>
      <c r="Y571" s="9"/>
      <c r="Z571" s="9"/>
    </row>
    <row r="572">
      <c r="B572" t="str">
        <f t="array" ref="B572">IFERROR(INDEX('Player Raw Data'!E:E,Match($A572,'Player Raw Data'!$B:$B,0)),"")</f>
        <v/>
      </c>
      <c r="C572" t="str">
        <f t="array" ref="C572">IFERROR(INDEX('Player Raw Data'!C:C,Match($A572,'Player Raw Data'!$B:$B,0)),"")</f>
        <v/>
      </c>
      <c r="D572" t="str">
        <f t="array" ref="D572">IFERROR(IF(A572=A571, INDEX('Player Raw Data'!D:D,Match($A572,'Player Raw Data'!$B:$B,0)+2),INDEX('Player Raw Data'!D:D,Match($A572,'Player Raw Data'!$B:$B,0))),"")</f>
        <v/>
      </c>
      <c r="E572" t="str">
        <f t="array" ref="E572">IFERROR(INDEX('Player Raw Data'!F:F,Match($A572,'Player Raw Data'!$B:$B,0)),"")</f>
        <v/>
      </c>
      <c r="F572" t="str">
        <f t="array" ref="F572">IFERROR(INDEX('Player Raw Data'!H:H,Match($A572,'Player Raw Data'!$B:$B,0)),"")</f>
        <v/>
      </c>
      <c r="G572" t="str">
        <f t="array" ref="G572">IFERROR(INDEX('Player Raw Data'!I:I,Match($A572,'Player Raw Data'!$B:$B,0)),"")</f>
        <v/>
      </c>
      <c r="H572" t="str">
        <f t="array" ref="H572">IFERROR(INDEX('Player Raw Data'!J:J,Match($A572,'Player Raw Data'!$B:$B,0)),"")</f>
        <v/>
      </c>
      <c r="I572" t="str">
        <f t="array" ref="I572">IFERROR(INDEX('Player Raw Data'!S:S,Match($A572,'Player Raw Data'!$B:$B,0)),"")</f>
        <v/>
      </c>
      <c r="J572" t="str">
        <f t="array" ref="J572">IFERROR(INDEX('Player Raw Data'!T:T,Match($A572,'Player Raw Data'!$B:$B,0)),"")</f>
        <v/>
      </c>
      <c r="K572" t="str">
        <f t="array" ref="K572">IFERROR(INDEX('Player Raw Data'!X:X,Match($A572,'Player Raw Data'!$B:$B,0)),"")</f>
        <v/>
      </c>
      <c r="L572" t="str">
        <f t="array" ref="L572">IFERROR(INDEX('Player Raw Data'!Y:Y,Match($A572,'Player Raw Data'!$B:$B,0)),"")</f>
        <v/>
      </c>
      <c r="M572" t="str">
        <f t="array" ref="M572">IFERROR(INDEX('Player Raw Data'!Z:Z,Match($A572,'Player Raw Data'!$B:$B,0)),"")</f>
        <v/>
      </c>
      <c r="N572" t="str">
        <f t="array" ref="N572">IFERROR(INDEX('Player Raw Data'!AA:AA,Match($A572,'Player Raw Data'!$B:$B,0)),"")</f>
        <v/>
      </c>
      <c r="O572" t="str">
        <f t="array" ref="O572">IFERROR(INDEX('Player Raw Data'!AB:AB,Match($A572,'Player Raw Data'!$B:$B,0)),"")</f>
        <v/>
      </c>
      <c r="P572" t="str">
        <f t="array" ref="P572">IFERROR(INDEX('Player Raw Data'!AD:AD,Match($A572,'Player Raw Data'!$B:$B,0)),"")</f>
        <v/>
      </c>
      <c r="Q572">
        <f t="shared" si="1"/>
        <v>0</v>
      </c>
      <c r="R572" s="9">
        <f t="shared" si="2"/>
        <v>0</v>
      </c>
      <c r="S572" s="14">
        <f t="shared" si="3"/>
        <v>0</v>
      </c>
      <c r="T572" s="15">
        <f>IFERROR(__xludf.DUMMYFUNCTION("IFERROR(PERCENTRANK.INC(FILTER(Q:Q,$F:$F&lt;&gt;""""),Q572)*100,"""")"),1.5)</f>
        <v>1.5</v>
      </c>
      <c r="U572" s="15">
        <f>IFERROR(__xludf.DUMMYFUNCTION("IFERROR(PERCENTRANK.INC(FILTER(R:R,$F:$F&lt;&gt;""""),R572)*100,"""")"),1.5)</f>
        <v>1.5</v>
      </c>
      <c r="V572" s="15">
        <f>IFERROR(__xludf.DUMMYFUNCTION("IFERROR(PERCENTRANK.INC(FILTER(S:S,$F:$F&lt;&gt;""""),S572)*100,"""")"),1.5)</f>
        <v>1.5</v>
      </c>
      <c r="W572" s="15" t="str">
        <f t="shared" si="4"/>
        <v/>
      </c>
      <c r="X572" s="16"/>
      <c r="Y572" s="9"/>
      <c r="Z572" s="9"/>
    </row>
    <row r="573">
      <c r="B573" t="str">
        <f t="array" ref="B573">IFERROR(INDEX('Player Raw Data'!E:E,Match($A573,'Player Raw Data'!$B:$B,0)),"")</f>
        <v/>
      </c>
      <c r="C573" t="str">
        <f t="array" ref="C573">IFERROR(INDEX('Player Raw Data'!C:C,Match($A573,'Player Raw Data'!$B:$B,0)),"")</f>
        <v/>
      </c>
      <c r="D573" t="str">
        <f t="array" ref="D573">IFERROR(IF(A573=A572, INDEX('Player Raw Data'!D:D,Match($A573,'Player Raw Data'!$B:$B,0)+2),INDEX('Player Raw Data'!D:D,Match($A573,'Player Raw Data'!$B:$B,0))),"")</f>
        <v/>
      </c>
      <c r="E573" t="str">
        <f t="array" ref="E573">IFERROR(INDEX('Player Raw Data'!F:F,Match($A573,'Player Raw Data'!$B:$B,0)),"")</f>
        <v/>
      </c>
      <c r="F573" t="str">
        <f t="array" ref="F573">IFERROR(INDEX('Player Raw Data'!H:H,Match($A573,'Player Raw Data'!$B:$B,0)),"")</f>
        <v/>
      </c>
      <c r="G573" t="str">
        <f t="array" ref="G573">IFERROR(INDEX('Player Raw Data'!I:I,Match($A573,'Player Raw Data'!$B:$B,0)),"")</f>
        <v/>
      </c>
      <c r="H573" t="str">
        <f t="array" ref="H573">IFERROR(INDEX('Player Raw Data'!J:J,Match($A573,'Player Raw Data'!$B:$B,0)),"")</f>
        <v/>
      </c>
      <c r="I573" t="str">
        <f t="array" ref="I573">IFERROR(INDEX('Player Raw Data'!S:S,Match($A573,'Player Raw Data'!$B:$B,0)),"")</f>
        <v/>
      </c>
      <c r="J573" t="str">
        <f t="array" ref="J573">IFERROR(INDEX('Player Raw Data'!T:T,Match($A573,'Player Raw Data'!$B:$B,0)),"")</f>
        <v/>
      </c>
      <c r="K573" t="str">
        <f t="array" ref="K573">IFERROR(INDEX('Player Raw Data'!X:X,Match($A573,'Player Raw Data'!$B:$B,0)),"")</f>
        <v/>
      </c>
      <c r="L573" t="str">
        <f t="array" ref="L573">IFERROR(INDEX('Player Raw Data'!Y:Y,Match($A573,'Player Raw Data'!$B:$B,0)),"")</f>
        <v/>
      </c>
      <c r="M573" t="str">
        <f t="array" ref="M573">IFERROR(INDEX('Player Raw Data'!Z:Z,Match($A573,'Player Raw Data'!$B:$B,0)),"")</f>
        <v/>
      </c>
      <c r="N573" t="str">
        <f t="array" ref="N573">IFERROR(INDEX('Player Raw Data'!AA:AA,Match($A573,'Player Raw Data'!$B:$B,0)),"")</f>
        <v/>
      </c>
      <c r="O573" t="str">
        <f t="array" ref="O573">IFERROR(INDEX('Player Raw Data'!AB:AB,Match($A573,'Player Raw Data'!$B:$B,0)),"")</f>
        <v/>
      </c>
      <c r="P573" t="str">
        <f t="array" ref="P573">IFERROR(INDEX('Player Raw Data'!AD:AD,Match($A573,'Player Raw Data'!$B:$B,0)),"")</f>
        <v/>
      </c>
      <c r="Q573">
        <f t="shared" si="1"/>
        <v>0</v>
      </c>
      <c r="R573" s="9">
        <f t="shared" si="2"/>
        <v>0</v>
      </c>
      <c r="S573" s="14">
        <f t="shared" si="3"/>
        <v>0</v>
      </c>
      <c r="T573" s="15">
        <f>IFERROR(__xludf.DUMMYFUNCTION("IFERROR(PERCENTRANK.INC(FILTER(Q:Q,$F:$F&lt;&gt;""""),Q573)*100,"""")"),1.5)</f>
        <v>1.5</v>
      </c>
      <c r="U573" s="15">
        <f>IFERROR(__xludf.DUMMYFUNCTION("IFERROR(PERCENTRANK.INC(FILTER(R:R,$F:$F&lt;&gt;""""),R573)*100,"""")"),1.5)</f>
        <v>1.5</v>
      </c>
      <c r="V573" s="15">
        <f>IFERROR(__xludf.DUMMYFUNCTION("IFERROR(PERCENTRANK.INC(FILTER(S:S,$F:$F&lt;&gt;""""),S573)*100,"""")"),1.5)</f>
        <v>1.5</v>
      </c>
      <c r="W573" s="15" t="str">
        <f t="shared" si="4"/>
        <v/>
      </c>
      <c r="X573" s="16"/>
      <c r="Y573" s="9"/>
      <c r="Z573" s="9"/>
    </row>
    <row r="574">
      <c r="B574" t="str">
        <f t="array" ref="B574">IFERROR(INDEX('Player Raw Data'!E:E,Match($A574,'Player Raw Data'!$B:$B,0)),"")</f>
        <v/>
      </c>
      <c r="C574" t="str">
        <f t="array" ref="C574">IFERROR(INDEX('Player Raw Data'!C:C,Match($A574,'Player Raw Data'!$B:$B,0)),"")</f>
        <v/>
      </c>
      <c r="D574" t="str">
        <f t="array" ref="D574">IFERROR(IF(A574=A573, INDEX('Player Raw Data'!D:D,Match($A574,'Player Raw Data'!$B:$B,0)+2),INDEX('Player Raw Data'!D:D,Match($A574,'Player Raw Data'!$B:$B,0))),"")</f>
        <v/>
      </c>
      <c r="E574" t="str">
        <f t="array" ref="E574">IFERROR(INDEX('Player Raw Data'!F:F,Match($A574,'Player Raw Data'!$B:$B,0)),"")</f>
        <v/>
      </c>
      <c r="F574" t="str">
        <f t="array" ref="F574">IFERROR(INDEX('Player Raw Data'!H:H,Match($A574,'Player Raw Data'!$B:$B,0)),"")</f>
        <v/>
      </c>
      <c r="G574" t="str">
        <f t="array" ref="G574">IFERROR(INDEX('Player Raw Data'!I:I,Match($A574,'Player Raw Data'!$B:$B,0)),"")</f>
        <v/>
      </c>
      <c r="H574" t="str">
        <f t="array" ref="H574">IFERROR(INDEX('Player Raw Data'!J:J,Match($A574,'Player Raw Data'!$B:$B,0)),"")</f>
        <v/>
      </c>
      <c r="I574" t="str">
        <f t="array" ref="I574">IFERROR(INDEX('Player Raw Data'!S:S,Match($A574,'Player Raw Data'!$B:$B,0)),"")</f>
        <v/>
      </c>
      <c r="J574" t="str">
        <f t="array" ref="J574">IFERROR(INDEX('Player Raw Data'!T:T,Match($A574,'Player Raw Data'!$B:$B,0)),"")</f>
        <v/>
      </c>
      <c r="K574" t="str">
        <f t="array" ref="K574">IFERROR(INDEX('Player Raw Data'!X:X,Match($A574,'Player Raw Data'!$B:$B,0)),"")</f>
        <v/>
      </c>
      <c r="L574" t="str">
        <f t="array" ref="L574">IFERROR(INDEX('Player Raw Data'!Y:Y,Match($A574,'Player Raw Data'!$B:$B,0)),"")</f>
        <v/>
      </c>
      <c r="M574" t="str">
        <f t="array" ref="M574">IFERROR(INDEX('Player Raw Data'!Z:Z,Match($A574,'Player Raw Data'!$B:$B,0)),"")</f>
        <v/>
      </c>
      <c r="N574" t="str">
        <f t="array" ref="N574">IFERROR(INDEX('Player Raw Data'!AA:AA,Match($A574,'Player Raw Data'!$B:$B,0)),"")</f>
        <v/>
      </c>
      <c r="O574" t="str">
        <f t="array" ref="O574">IFERROR(INDEX('Player Raw Data'!AB:AB,Match($A574,'Player Raw Data'!$B:$B,0)),"")</f>
        <v/>
      </c>
      <c r="P574" t="str">
        <f t="array" ref="P574">IFERROR(INDEX('Player Raw Data'!AD:AD,Match($A574,'Player Raw Data'!$B:$B,0)),"")</f>
        <v/>
      </c>
      <c r="Q574">
        <f t="shared" si="1"/>
        <v>0</v>
      </c>
      <c r="R574" s="9">
        <f t="shared" si="2"/>
        <v>0</v>
      </c>
      <c r="S574" s="14">
        <f t="shared" si="3"/>
        <v>0</v>
      </c>
      <c r="T574" s="15">
        <f>IFERROR(__xludf.DUMMYFUNCTION("IFERROR(PERCENTRANK.INC(FILTER(Q:Q,$F:$F&lt;&gt;""""),Q574)*100,"""")"),1.5)</f>
        <v>1.5</v>
      </c>
      <c r="U574" s="15">
        <f>IFERROR(__xludf.DUMMYFUNCTION("IFERROR(PERCENTRANK.INC(FILTER(R:R,$F:$F&lt;&gt;""""),R574)*100,"""")"),1.5)</f>
        <v>1.5</v>
      </c>
      <c r="V574" s="15">
        <f>IFERROR(__xludf.DUMMYFUNCTION("IFERROR(PERCENTRANK.INC(FILTER(S:S,$F:$F&lt;&gt;""""),S574)*100,"""")"),1.5)</f>
        <v>1.5</v>
      </c>
      <c r="W574" s="15" t="str">
        <f t="shared" si="4"/>
        <v/>
      </c>
      <c r="X574" s="16"/>
      <c r="Y574" s="9"/>
      <c r="Z574" s="9"/>
    </row>
    <row r="575">
      <c r="B575" t="str">
        <f t="array" ref="B575">IFERROR(INDEX('Player Raw Data'!E:E,Match($A575,'Player Raw Data'!$B:$B,0)),"")</f>
        <v/>
      </c>
      <c r="C575" t="str">
        <f t="array" ref="C575">IFERROR(INDEX('Player Raw Data'!C:C,Match($A575,'Player Raw Data'!$B:$B,0)),"")</f>
        <v/>
      </c>
      <c r="D575" t="str">
        <f t="array" ref="D575">IFERROR(IF(A575=A574, INDEX('Player Raw Data'!D:D,Match($A575,'Player Raw Data'!$B:$B,0)+2),INDEX('Player Raw Data'!D:D,Match($A575,'Player Raw Data'!$B:$B,0))),"")</f>
        <v/>
      </c>
      <c r="E575" t="str">
        <f t="array" ref="E575">IFERROR(INDEX('Player Raw Data'!F:F,Match($A575,'Player Raw Data'!$B:$B,0)),"")</f>
        <v/>
      </c>
      <c r="F575" t="str">
        <f t="array" ref="F575">IFERROR(INDEX('Player Raw Data'!H:H,Match($A575,'Player Raw Data'!$B:$B,0)),"")</f>
        <v/>
      </c>
      <c r="G575" t="str">
        <f t="array" ref="G575">IFERROR(INDEX('Player Raw Data'!I:I,Match($A575,'Player Raw Data'!$B:$B,0)),"")</f>
        <v/>
      </c>
      <c r="H575" t="str">
        <f t="array" ref="H575">IFERROR(INDEX('Player Raw Data'!J:J,Match($A575,'Player Raw Data'!$B:$B,0)),"")</f>
        <v/>
      </c>
      <c r="I575" t="str">
        <f t="array" ref="I575">IFERROR(INDEX('Player Raw Data'!S:S,Match($A575,'Player Raw Data'!$B:$B,0)),"")</f>
        <v/>
      </c>
      <c r="J575" t="str">
        <f t="array" ref="J575">IFERROR(INDEX('Player Raw Data'!T:T,Match($A575,'Player Raw Data'!$B:$B,0)),"")</f>
        <v/>
      </c>
      <c r="K575" t="str">
        <f t="array" ref="K575">IFERROR(INDEX('Player Raw Data'!X:X,Match($A575,'Player Raw Data'!$B:$B,0)),"")</f>
        <v/>
      </c>
      <c r="L575" t="str">
        <f t="array" ref="L575">IFERROR(INDEX('Player Raw Data'!Y:Y,Match($A575,'Player Raw Data'!$B:$B,0)),"")</f>
        <v/>
      </c>
      <c r="M575" t="str">
        <f t="array" ref="M575">IFERROR(INDEX('Player Raw Data'!Z:Z,Match($A575,'Player Raw Data'!$B:$B,0)),"")</f>
        <v/>
      </c>
      <c r="N575" t="str">
        <f t="array" ref="N575">IFERROR(INDEX('Player Raw Data'!AA:AA,Match($A575,'Player Raw Data'!$B:$B,0)),"")</f>
        <v/>
      </c>
      <c r="O575" t="str">
        <f t="array" ref="O575">IFERROR(INDEX('Player Raw Data'!AB:AB,Match($A575,'Player Raw Data'!$B:$B,0)),"")</f>
        <v/>
      </c>
      <c r="P575" t="str">
        <f t="array" ref="P575">IFERROR(INDEX('Player Raw Data'!AD:AD,Match($A575,'Player Raw Data'!$B:$B,0)),"")</f>
        <v/>
      </c>
      <c r="Q575">
        <f t="shared" si="1"/>
        <v>0</v>
      </c>
      <c r="R575" s="9">
        <f t="shared" si="2"/>
        <v>0</v>
      </c>
      <c r="S575" s="14">
        <f t="shared" si="3"/>
        <v>0</v>
      </c>
      <c r="T575" s="15">
        <f>IFERROR(__xludf.DUMMYFUNCTION("IFERROR(PERCENTRANK.INC(FILTER(Q:Q,$F:$F&lt;&gt;""""),Q575)*100,"""")"),1.5)</f>
        <v>1.5</v>
      </c>
      <c r="U575" s="15">
        <f>IFERROR(__xludf.DUMMYFUNCTION("IFERROR(PERCENTRANK.INC(FILTER(R:R,$F:$F&lt;&gt;""""),R575)*100,"""")"),1.5)</f>
        <v>1.5</v>
      </c>
      <c r="V575" s="15">
        <f>IFERROR(__xludf.DUMMYFUNCTION("IFERROR(PERCENTRANK.INC(FILTER(S:S,$F:$F&lt;&gt;""""),S575)*100,"""")"),1.5)</f>
        <v>1.5</v>
      </c>
      <c r="W575" s="15" t="str">
        <f t="shared" si="4"/>
        <v/>
      </c>
      <c r="X575" s="16"/>
      <c r="Y575" s="9"/>
      <c r="Z575" s="9"/>
    </row>
    <row r="576">
      <c r="B576" t="str">
        <f t="array" ref="B576">IFERROR(INDEX('Player Raw Data'!E:E,Match($A576,'Player Raw Data'!$B:$B,0)),"")</f>
        <v/>
      </c>
      <c r="C576" t="str">
        <f t="array" ref="C576">IFERROR(INDEX('Player Raw Data'!C:C,Match($A576,'Player Raw Data'!$B:$B,0)),"")</f>
        <v/>
      </c>
      <c r="D576" t="str">
        <f t="array" ref="D576">IFERROR(IF(A576=A575, INDEX('Player Raw Data'!D:D,Match($A576,'Player Raw Data'!$B:$B,0)+2),INDEX('Player Raw Data'!D:D,Match($A576,'Player Raw Data'!$B:$B,0))),"")</f>
        <v/>
      </c>
      <c r="E576" t="str">
        <f t="array" ref="E576">IFERROR(INDEX('Player Raw Data'!F:F,Match($A576,'Player Raw Data'!$B:$B,0)),"")</f>
        <v/>
      </c>
      <c r="F576" t="str">
        <f t="array" ref="F576">IFERROR(INDEX('Player Raw Data'!H:H,Match($A576,'Player Raw Data'!$B:$B,0)),"")</f>
        <v/>
      </c>
      <c r="G576" t="str">
        <f t="array" ref="G576">IFERROR(INDEX('Player Raw Data'!I:I,Match($A576,'Player Raw Data'!$B:$B,0)),"")</f>
        <v/>
      </c>
      <c r="H576" t="str">
        <f t="array" ref="H576">IFERROR(INDEX('Player Raw Data'!J:J,Match($A576,'Player Raw Data'!$B:$B,0)),"")</f>
        <v/>
      </c>
      <c r="I576" t="str">
        <f t="array" ref="I576">IFERROR(INDEX('Player Raw Data'!S:S,Match($A576,'Player Raw Data'!$B:$B,0)),"")</f>
        <v/>
      </c>
      <c r="J576" t="str">
        <f t="array" ref="J576">IFERROR(INDEX('Player Raw Data'!T:T,Match($A576,'Player Raw Data'!$B:$B,0)),"")</f>
        <v/>
      </c>
      <c r="K576" t="str">
        <f t="array" ref="K576">IFERROR(INDEX('Player Raw Data'!X:X,Match($A576,'Player Raw Data'!$B:$B,0)),"")</f>
        <v/>
      </c>
      <c r="L576" t="str">
        <f t="array" ref="L576">IFERROR(INDEX('Player Raw Data'!Y:Y,Match($A576,'Player Raw Data'!$B:$B,0)),"")</f>
        <v/>
      </c>
      <c r="M576" t="str">
        <f t="array" ref="M576">IFERROR(INDEX('Player Raw Data'!Z:Z,Match($A576,'Player Raw Data'!$B:$B,0)),"")</f>
        <v/>
      </c>
      <c r="N576" t="str">
        <f t="array" ref="N576">IFERROR(INDEX('Player Raw Data'!AA:AA,Match($A576,'Player Raw Data'!$B:$B,0)),"")</f>
        <v/>
      </c>
      <c r="O576" t="str">
        <f t="array" ref="O576">IFERROR(INDEX('Player Raw Data'!AB:AB,Match($A576,'Player Raw Data'!$B:$B,0)),"")</f>
        <v/>
      </c>
      <c r="P576" t="str">
        <f t="array" ref="P576">IFERROR(INDEX('Player Raw Data'!AD:AD,Match($A576,'Player Raw Data'!$B:$B,0)),"")</f>
        <v/>
      </c>
      <c r="Q576">
        <f t="shared" si="1"/>
        <v>0</v>
      </c>
      <c r="R576" s="9">
        <f t="shared" si="2"/>
        <v>0</v>
      </c>
      <c r="S576" s="14">
        <f t="shared" si="3"/>
        <v>0</v>
      </c>
      <c r="T576" s="15">
        <f>IFERROR(__xludf.DUMMYFUNCTION("IFERROR(PERCENTRANK.INC(FILTER(Q:Q,$F:$F&lt;&gt;""""),Q576)*100,"""")"),1.5)</f>
        <v>1.5</v>
      </c>
      <c r="U576" s="15">
        <f>IFERROR(__xludf.DUMMYFUNCTION("IFERROR(PERCENTRANK.INC(FILTER(R:R,$F:$F&lt;&gt;""""),R576)*100,"""")"),1.5)</f>
        <v>1.5</v>
      </c>
      <c r="V576" s="15">
        <f>IFERROR(__xludf.DUMMYFUNCTION("IFERROR(PERCENTRANK.INC(FILTER(S:S,$F:$F&lt;&gt;""""),S576)*100,"""")"),1.5)</f>
        <v>1.5</v>
      </c>
      <c r="W576" s="15" t="str">
        <f t="shared" si="4"/>
        <v/>
      </c>
      <c r="X576" s="16"/>
      <c r="Y576" s="9"/>
      <c r="Z576" s="9"/>
    </row>
    <row r="577">
      <c r="B577" t="str">
        <f t="array" ref="B577">IFERROR(INDEX('Player Raw Data'!E:E,Match($A577,'Player Raw Data'!$B:$B,0)),"")</f>
        <v/>
      </c>
      <c r="C577" t="str">
        <f t="array" ref="C577">IFERROR(INDEX('Player Raw Data'!C:C,Match($A577,'Player Raw Data'!$B:$B,0)),"")</f>
        <v/>
      </c>
      <c r="D577" t="str">
        <f t="array" ref="D577">IFERROR(IF(A577=A576, INDEX('Player Raw Data'!D:D,Match($A577,'Player Raw Data'!$B:$B,0)+2),INDEX('Player Raw Data'!D:D,Match($A577,'Player Raw Data'!$B:$B,0))),"")</f>
        <v/>
      </c>
      <c r="E577" t="str">
        <f t="array" ref="E577">IFERROR(INDEX('Player Raw Data'!F:F,Match($A577,'Player Raw Data'!$B:$B,0)),"")</f>
        <v/>
      </c>
      <c r="F577" t="str">
        <f t="array" ref="F577">IFERROR(INDEX('Player Raw Data'!H:H,Match($A577,'Player Raw Data'!$B:$B,0)),"")</f>
        <v/>
      </c>
      <c r="G577" t="str">
        <f t="array" ref="G577">IFERROR(INDEX('Player Raw Data'!I:I,Match($A577,'Player Raw Data'!$B:$B,0)),"")</f>
        <v/>
      </c>
      <c r="H577" t="str">
        <f t="array" ref="H577">IFERROR(INDEX('Player Raw Data'!J:J,Match($A577,'Player Raw Data'!$B:$B,0)),"")</f>
        <v/>
      </c>
      <c r="I577" t="str">
        <f t="array" ref="I577">IFERROR(INDEX('Player Raw Data'!S:S,Match($A577,'Player Raw Data'!$B:$B,0)),"")</f>
        <v/>
      </c>
      <c r="J577" t="str">
        <f t="array" ref="J577">IFERROR(INDEX('Player Raw Data'!T:T,Match($A577,'Player Raw Data'!$B:$B,0)),"")</f>
        <v/>
      </c>
      <c r="K577" t="str">
        <f t="array" ref="K577">IFERROR(INDEX('Player Raw Data'!X:X,Match($A577,'Player Raw Data'!$B:$B,0)),"")</f>
        <v/>
      </c>
      <c r="L577" t="str">
        <f t="array" ref="L577">IFERROR(INDEX('Player Raw Data'!Y:Y,Match($A577,'Player Raw Data'!$B:$B,0)),"")</f>
        <v/>
      </c>
      <c r="M577" t="str">
        <f t="array" ref="M577">IFERROR(INDEX('Player Raw Data'!Z:Z,Match($A577,'Player Raw Data'!$B:$B,0)),"")</f>
        <v/>
      </c>
      <c r="N577" t="str">
        <f t="array" ref="N577">IFERROR(INDEX('Player Raw Data'!AA:AA,Match($A577,'Player Raw Data'!$B:$B,0)),"")</f>
        <v/>
      </c>
      <c r="O577" t="str">
        <f t="array" ref="O577">IFERROR(INDEX('Player Raw Data'!AB:AB,Match($A577,'Player Raw Data'!$B:$B,0)),"")</f>
        <v/>
      </c>
      <c r="P577" t="str">
        <f t="array" ref="P577">IFERROR(INDEX('Player Raw Data'!AD:AD,Match($A577,'Player Raw Data'!$B:$B,0)),"")</f>
        <v/>
      </c>
      <c r="Q577">
        <f t="shared" si="1"/>
        <v>0</v>
      </c>
      <c r="R577" s="9">
        <f t="shared" si="2"/>
        <v>0</v>
      </c>
      <c r="S577" s="14">
        <f t="shared" si="3"/>
        <v>0</v>
      </c>
      <c r="T577" s="15">
        <f>IFERROR(__xludf.DUMMYFUNCTION("IFERROR(PERCENTRANK.INC(FILTER(Q:Q,$F:$F&lt;&gt;""""),Q577)*100,"""")"),1.5)</f>
        <v>1.5</v>
      </c>
      <c r="U577" s="15">
        <f>IFERROR(__xludf.DUMMYFUNCTION("IFERROR(PERCENTRANK.INC(FILTER(R:R,$F:$F&lt;&gt;""""),R577)*100,"""")"),1.5)</f>
        <v>1.5</v>
      </c>
      <c r="V577" s="15">
        <f>IFERROR(__xludf.DUMMYFUNCTION("IFERROR(PERCENTRANK.INC(FILTER(S:S,$F:$F&lt;&gt;""""),S577)*100,"""")"),1.5)</f>
        <v>1.5</v>
      </c>
      <c r="W577" s="15" t="str">
        <f t="shared" si="4"/>
        <v/>
      </c>
      <c r="X577" s="16"/>
      <c r="Y577" s="9"/>
      <c r="Z577" s="9"/>
    </row>
    <row r="578">
      <c r="B578" t="str">
        <f t="array" ref="B578">IFERROR(INDEX('Player Raw Data'!E:E,Match($A578,'Player Raw Data'!$B:$B,0)),"")</f>
        <v/>
      </c>
      <c r="C578" t="str">
        <f t="array" ref="C578">IFERROR(INDEX('Player Raw Data'!C:C,Match($A578,'Player Raw Data'!$B:$B,0)),"")</f>
        <v/>
      </c>
      <c r="D578" t="str">
        <f t="array" ref="D578">IFERROR(IF(A578=A577, INDEX('Player Raw Data'!D:D,Match($A578,'Player Raw Data'!$B:$B,0)+2),INDEX('Player Raw Data'!D:D,Match($A578,'Player Raw Data'!$B:$B,0))),"")</f>
        <v/>
      </c>
      <c r="E578" t="str">
        <f t="array" ref="E578">IFERROR(INDEX('Player Raw Data'!F:F,Match($A578,'Player Raw Data'!$B:$B,0)),"")</f>
        <v/>
      </c>
      <c r="F578" t="str">
        <f t="array" ref="F578">IFERROR(INDEX('Player Raw Data'!H:H,Match($A578,'Player Raw Data'!$B:$B,0)),"")</f>
        <v/>
      </c>
      <c r="G578" t="str">
        <f t="array" ref="G578">IFERROR(INDEX('Player Raw Data'!I:I,Match($A578,'Player Raw Data'!$B:$B,0)),"")</f>
        <v/>
      </c>
      <c r="H578" t="str">
        <f t="array" ref="H578">IFERROR(INDEX('Player Raw Data'!J:J,Match($A578,'Player Raw Data'!$B:$B,0)),"")</f>
        <v/>
      </c>
      <c r="I578" t="str">
        <f t="array" ref="I578">IFERROR(INDEX('Player Raw Data'!S:S,Match($A578,'Player Raw Data'!$B:$B,0)),"")</f>
        <v/>
      </c>
      <c r="J578" t="str">
        <f t="array" ref="J578">IFERROR(INDEX('Player Raw Data'!T:T,Match($A578,'Player Raw Data'!$B:$B,0)),"")</f>
        <v/>
      </c>
      <c r="K578" t="str">
        <f t="array" ref="K578">IFERROR(INDEX('Player Raw Data'!X:X,Match($A578,'Player Raw Data'!$B:$B,0)),"")</f>
        <v/>
      </c>
      <c r="L578" t="str">
        <f t="array" ref="L578">IFERROR(INDEX('Player Raw Data'!Y:Y,Match($A578,'Player Raw Data'!$B:$B,0)),"")</f>
        <v/>
      </c>
      <c r="M578" t="str">
        <f t="array" ref="M578">IFERROR(INDEX('Player Raw Data'!Z:Z,Match($A578,'Player Raw Data'!$B:$B,0)),"")</f>
        <v/>
      </c>
      <c r="N578" t="str">
        <f t="array" ref="N578">IFERROR(INDEX('Player Raw Data'!AA:AA,Match($A578,'Player Raw Data'!$B:$B,0)),"")</f>
        <v/>
      </c>
      <c r="O578" t="str">
        <f t="array" ref="O578">IFERROR(INDEX('Player Raw Data'!AB:AB,Match($A578,'Player Raw Data'!$B:$B,0)),"")</f>
        <v/>
      </c>
      <c r="P578" t="str">
        <f t="array" ref="P578">IFERROR(INDEX('Player Raw Data'!AD:AD,Match($A578,'Player Raw Data'!$B:$B,0)),"")</f>
        <v/>
      </c>
      <c r="Q578">
        <f t="shared" si="1"/>
        <v>0</v>
      </c>
      <c r="R578" s="9">
        <f t="shared" si="2"/>
        <v>0</v>
      </c>
      <c r="S578" s="14">
        <f t="shared" si="3"/>
        <v>0</v>
      </c>
      <c r="T578" s="15">
        <f>IFERROR(__xludf.DUMMYFUNCTION("IFERROR(PERCENTRANK.INC(FILTER(Q:Q,$F:$F&lt;&gt;""""),Q578)*100,"""")"),1.5)</f>
        <v>1.5</v>
      </c>
      <c r="U578" s="15">
        <f>IFERROR(__xludf.DUMMYFUNCTION("IFERROR(PERCENTRANK.INC(FILTER(R:R,$F:$F&lt;&gt;""""),R578)*100,"""")"),1.5)</f>
        <v>1.5</v>
      </c>
      <c r="V578" s="15">
        <f>IFERROR(__xludf.DUMMYFUNCTION("IFERROR(PERCENTRANK.INC(FILTER(S:S,$F:$F&lt;&gt;""""),S578)*100,"""")"),1.5)</f>
        <v>1.5</v>
      </c>
      <c r="W578" s="15" t="str">
        <f t="shared" si="4"/>
        <v/>
      </c>
      <c r="X578" s="16"/>
      <c r="Y578" s="9"/>
      <c r="Z578" s="9"/>
    </row>
    <row r="579">
      <c r="B579" t="str">
        <f t="array" ref="B579">IFERROR(INDEX('Player Raw Data'!E:E,Match($A579,'Player Raw Data'!$B:$B,0)),"")</f>
        <v/>
      </c>
      <c r="C579" t="str">
        <f t="array" ref="C579">IFERROR(INDEX('Player Raw Data'!C:C,Match($A579,'Player Raw Data'!$B:$B,0)),"")</f>
        <v/>
      </c>
      <c r="D579" t="str">
        <f t="array" ref="D579">IFERROR(IF(A579=A578, INDEX('Player Raw Data'!D:D,Match($A579,'Player Raw Data'!$B:$B,0)+2),INDEX('Player Raw Data'!D:D,Match($A579,'Player Raw Data'!$B:$B,0))),"")</f>
        <v/>
      </c>
      <c r="E579" t="str">
        <f t="array" ref="E579">IFERROR(INDEX('Player Raw Data'!F:F,Match($A579,'Player Raw Data'!$B:$B,0)),"")</f>
        <v/>
      </c>
      <c r="F579" t="str">
        <f t="array" ref="F579">IFERROR(INDEX('Player Raw Data'!H:H,Match($A579,'Player Raw Data'!$B:$B,0)),"")</f>
        <v/>
      </c>
      <c r="G579" t="str">
        <f t="array" ref="G579">IFERROR(INDEX('Player Raw Data'!I:I,Match($A579,'Player Raw Data'!$B:$B,0)),"")</f>
        <v/>
      </c>
      <c r="H579" t="str">
        <f t="array" ref="H579">IFERROR(INDEX('Player Raw Data'!J:J,Match($A579,'Player Raw Data'!$B:$B,0)),"")</f>
        <v/>
      </c>
      <c r="I579" t="str">
        <f t="array" ref="I579">IFERROR(INDEX('Player Raw Data'!S:S,Match($A579,'Player Raw Data'!$B:$B,0)),"")</f>
        <v/>
      </c>
      <c r="J579" t="str">
        <f t="array" ref="J579">IFERROR(INDEX('Player Raw Data'!T:T,Match($A579,'Player Raw Data'!$B:$B,0)),"")</f>
        <v/>
      </c>
      <c r="K579" t="str">
        <f t="array" ref="K579">IFERROR(INDEX('Player Raw Data'!X:X,Match($A579,'Player Raw Data'!$B:$B,0)),"")</f>
        <v/>
      </c>
      <c r="L579" t="str">
        <f t="array" ref="L579">IFERROR(INDEX('Player Raw Data'!Y:Y,Match($A579,'Player Raw Data'!$B:$B,0)),"")</f>
        <v/>
      </c>
      <c r="M579" t="str">
        <f t="array" ref="M579">IFERROR(INDEX('Player Raw Data'!Z:Z,Match($A579,'Player Raw Data'!$B:$B,0)),"")</f>
        <v/>
      </c>
      <c r="N579" t="str">
        <f t="array" ref="N579">IFERROR(INDEX('Player Raw Data'!AA:AA,Match($A579,'Player Raw Data'!$B:$B,0)),"")</f>
        <v/>
      </c>
      <c r="O579" t="str">
        <f t="array" ref="O579">IFERROR(INDEX('Player Raw Data'!AB:AB,Match($A579,'Player Raw Data'!$B:$B,0)),"")</f>
        <v/>
      </c>
      <c r="P579" t="str">
        <f t="array" ref="P579">IFERROR(INDEX('Player Raw Data'!AD:AD,Match($A579,'Player Raw Data'!$B:$B,0)),"")</f>
        <v/>
      </c>
      <c r="Q579">
        <f t="shared" si="1"/>
        <v>0</v>
      </c>
      <c r="R579" s="9">
        <f t="shared" si="2"/>
        <v>0</v>
      </c>
      <c r="S579" s="14">
        <f t="shared" si="3"/>
        <v>0</v>
      </c>
      <c r="T579" s="15">
        <f>IFERROR(__xludf.DUMMYFUNCTION("IFERROR(PERCENTRANK.INC(FILTER(Q:Q,$F:$F&lt;&gt;""""),Q579)*100,"""")"),1.5)</f>
        <v>1.5</v>
      </c>
      <c r="U579" s="15">
        <f>IFERROR(__xludf.DUMMYFUNCTION("IFERROR(PERCENTRANK.INC(FILTER(R:R,$F:$F&lt;&gt;""""),R579)*100,"""")"),1.5)</f>
        <v>1.5</v>
      </c>
      <c r="V579" s="15">
        <f>IFERROR(__xludf.DUMMYFUNCTION("IFERROR(PERCENTRANK.INC(FILTER(S:S,$F:$F&lt;&gt;""""),S579)*100,"""")"),1.5)</f>
        <v>1.5</v>
      </c>
      <c r="W579" s="15" t="str">
        <f t="shared" si="4"/>
        <v/>
      </c>
      <c r="X579" s="16"/>
      <c r="Y579" s="9"/>
      <c r="Z579" s="9"/>
    </row>
    <row r="580">
      <c r="B580" t="str">
        <f t="array" ref="B580">IFERROR(INDEX('Player Raw Data'!E:E,Match($A580,'Player Raw Data'!$B:$B,0)),"")</f>
        <v/>
      </c>
      <c r="C580" t="str">
        <f t="array" ref="C580">IFERROR(INDEX('Player Raw Data'!C:C,Match($A580,'Player Raw Data'!$B:$B,0)),"")</f>
        <v/>
      </c>
      <c r="D580" t="str">
        <f t="array" ref="D580">IFERROR(IF(A580=A579, INDEX('Player Raw Data'!D:D,Match($A580,'Player Raw Data'!$B:$B,0)+2),INDEX('Player Raw Data'!D:D,Match($A580,'Player Raw Data'!$B:$B,0))),"")</f>
        <v/>
      </c>
      <c r="E580" t="str">
        <f t="array" ref="E580">IFERROR(INDEX('Player Raw Data'!F:F,Match($A580,'Player Raw Data'!$B:$B,0)),"")</f>
        <v/>
      </c>
      <c r="F580" t="str">
        <f t="array" ref="F580">IFERROR(INDEX('Player Raw Data'!H:H,Match($A580,'Player Raw Data'!$B:$B,0)),"")</f>
        <v/>
      </c>
      <c r="G580" t="str">
        <f t="array" ref="G580">IFERROR(INDEX('Player Raw Data'!I:I,Match($A580,'Player Raw Data'!$B:$B,0)),"")</f>
        <v/>
      </c>
      <c r="H580" t="str">
        <f t="array" ref="H580">IFERROR(INDEX('Player Raw Data'!J:J,Match($A580,'Player Raw Data'!$B:$B,0)),"")</f>
        <v/>
      </c>
      <c r="I580" t="str">
        <f t="array" ref="I580">IFERROR(INDEX('Player Raw Data'!S:S,Match($A580,'Player Raw Data'!$B:$B,0)),"")</f>
        <v/>
      </c>
      <c r="J580" t="str">
        <f t="array" ref="J580">IFERROR(INDEX('Player Raw Data'!T:T,Match($A580,'Player Raw Data'!$B:$B,0)),"")</f>
        <v/>
      </c>
      <c r="K580" t="str">
        <f t="array" ref="K580">IFERROR(INDEX('Player Raw Data'!X:X,Match($A580,'Player Raw Data'!$B:$B,0)),"")</f>
        <v/>
      </c>
      <c r="L580" t="str">
        <f t="array" ref="L580">IFERROR(INDEX('Player Raw Data'!Y:Y,Match($A580,'Player Raw Data'!$B:$B,0)),"")</f>
        <v/>
      </c>
      <c r="M580" t="str">
        <f t="array" ref="M580">IFERROR(INDEX('Player Raw Data'!Z:Z,Match($A580,'Player Raw Data'!$B:$B,0)),"")</f>
        <v/>
      </c>
      <c r="N580" t="str">
        <f t="array" ref="N580">IFERROR(INDEX('Player Raw Data'!AA:AA,Match($A580,'Player Raw Data'!$B:$B,0)),"")</f>
        <v/>
      </c>
      <c r="O580" t="str">
        <f t="array" ref="O580">IFERROR(INDEX('Player Raw Data'!AB:AB,Match($A580,'Player Raw Data'!$B:$B,0)),"")</f>
        <v/>
      </c>
      <c r="P580" t="str">
        <f t="array" ref="P580">IFERROR(INDEX('Player Raw Data'!AD:AD,Match($A580,'Player Raw Data'!$B:$B,0)),"")</f>
        <v/>
      </c>
      <c r="Q580">
        <f t="shared" si="1"/>
        <v>0</v>
      </c>
      <c r="R580" s="9">
        <f t="shared" si="2"/>
        <v>0</v>
      </c>
      <c r="S580" s="14">
        <f t="shared" si="3"/>
        <v>0</v>
      </c>
      <c r="T580" s="15">
        <f>IFERROR(__xludf.DUMMYFUNCTION("IFERROR(PERCENTRANK.INC(FILTER(Q:Q,$F:$F&lt;&gt;""""),Q580)*100,"""")"),1.5)</f>
        <v>1.5</v>
      </c>
      <c r="U580" s="15">
        <f>IFERROR(__xludf.DUMMYFUNCTION("IFERROR(PERCENTRANK.INC(FILTER(R:R,$F:$F&lt;&gt;""""),R580)*100,"""")"),1.5)</f>
        <v>1.5</v>
      </c>
      <c r="V580" s="15">
        <f>IFERROR(__xludf.DUMMYFUNCTION("IFERROR(PERCENTRANK.INC(FILTER(S:S,$F:$F&lt;&gt;""""),S580)*100,"""")"),1.5)</f>
        <v>1.5</v>
      </c>
      <c r="W580" s="15" t="str">
        <f t="shared" si="4"/>
        <v/>
      </c>
      <c r="X580" s="16"/>
      <c r="Y580" s="9"/>
      <c r="Z580" s="9"/>
    </row>
    <row r="581">
      <c r="B581" t="str">
        <f t="array" ref="B581">IFERROR(INDEX('Player Raw Data'!E:E,Match($A581,'Player Raw Data'!$B:$B,0)),"")</f>
        <v/>
      </c>
      <c r="C581" t="str">
        <f t="array" ref="C581">IFERROR(INDEX('Player Raw Data'!C:C,Match($A581,'Player Raw Data'!$B:$B,0)),"")</f>
        <v/>
      </c>
      <c r="D581" t="str">
        <f t="array" ref="D581">IFERROR(IF(A581=A580, INDEX('Player Raw Data'!D:D,Match($A581,'Player Raw Data'!$B:$B,0)+2),INDEX('Player Raw Data'!D:D,Match($A581,'Player Raw Data'!$B:$B,0))),"")</f>
        <v/>
      </c>
      <c r="E581" t="str">
        <f t="array" ref="E581">IFERROR(INDEX('Player Raw Data'!F:F,Match($A581,'Player Raw Data'!$B:$B,0)),"")</f>
        <v/>
      </c>
      <c r="F581" t="str">
        <f t="array" ref="F581">IFERROR(INDEX('Player Raw Data'!H:H,Match($A581,'Player Raw Data'!$B:$B,0)),"")</f>
        <v/>
      </c>
      <c r="G581" t="str">
        <f t="array" ref="G581">IFERROR(INDEX('Player Raw Data'!I:I,Match($A581,'Player Raw Data'!$B:$B,0)),"")</f>
        <v/>
      </c>
      <c r="H581" t="str">
        <f t="array" ref="H581">IFERROR(INDEX('Player Raw Data'!J:J,Match($A581,'Player Raw Data'!$B:$B,0)),"")</f>
        <v/>
      </c>
      <c r="I581" t="str">
        <f t="array" ref="I581">IFERROR(INDEX('Player Raw Data'!S:S,Match($A581,'Player Raw Data'!$B:$B,0)),"")</f>
        <v/>
      </c>
      <c r="J581" t="str">
        <f t="array" ref="J581">IFERROR(INDEX('Player Raw Data'!T:T,Match($A581,'Player Raw Data'!$B:$B,0)),"")</f>
        <v/>
      </c>
      <c r="K581" t="str">
        <f t="array" ref="K581">IFERROR(INDEX('Player Raw Data'!X:X,Match($A581,'Player Raw Data'!$B:$B,0)),"")</f>
        <v/>
      </c>
      <c r="L581" t="str">
        <f t="array" ref="L581">IFERROR(INDEX('Player Raw Data'!Y:Y,Match($A581,'Player Raw Data'!$B:$B,0)),"")</f>
        <v/>
      </c>
      <c r="M581" t="str">
        <f t="array" ref="M581">IFERROR(INDEX('Player Raw Data'!Z:Z,Match($A581,'Player Raw Data'!$B:$B,0)),"")</f>
        <v/>
      </c>
      <c r="N581" t="str">
        <f t="array" ref="N581">IFERROR(INDEX('Player Raw Data'!AA:AA,Match($A581,'Player Raw Data'!$B:$B,0)),"")</f>
        <v/>
      </c>
      <c r="O581" t="str">
        <f t="array" ref="O581">IFERROR(INDEX('Player Raw Data'!AB:AB,Match($A581,'Player Raw Data'!$B:$B,0)),"")</f>
        <v/>
      </c>
      <c r="P581" t="str">
        <f t="array" ref="P581">IFERROR(INDEX('Player Raw Data'!AD:AD,Match($A581,'Player Raw Data'!$B:$B,0)),"")</f>
        <v/>
      </c>
      <c r="Q581">
        <f t="shared" si="1"/>
        <v>0</v>
      </c>
      <c r="R581" s="9">
        <f t="shared" si="2"/>
        <v>0</v>
      </c>
      <c r="S581" s="14">
        <f t="shared" si="3"/>
        <v>0</v>
      </c>
      <c r="T581" s="15">
        <f>IFERROR(__xludf.DUMMYFUNCTION("IFERROR(PERCENTRANK.INC(FILTER(Q:Q,$F:$F&lt;&gt;""""),Q581)*100,"""")"),1.5)</f>
        <v>1.5</v>
      </c>
      <c r="U581" s="15">
        <f>IFERROR(__xludf.DUMMYFUNCTION("IFERROR(PERCENTRANK.INC(FILTER(R:R,$F:$F&lt;&gt;""""),R581)*100,"""")"),1.5)</f>
        <v>1.5</v>
      </c>
      <c r="V581" s="15">
        <f>IFERROR(__xludf.DUMMYFUNCTION("IFERROR(PERCENTRANK.INC(FILTER(S:S,$F:$F&lt;&gt;""""),S581)*100,"""")"),1.5)</f>
        <v>1.5</v>
      </c>
      <c r="W581" s="15" t="str">
        <f t="shared" si="4"/>
        <v/>
      </c>
      <c r="X581" s="16"/>
      <c r="Y581" s="9"/>
      <c r="Z581" s="9"/>
    </row>
    <row r="582">
      <c r="B582" t="str">
        <f t="array" ref="B582">IFERROR(INDEX('Player Raw Data'!E:E,Match($A582,'Player Raw Data'!$B:$B,0)),"")</f>
        <v/>
      </c>
      <c r="C582" t="str">
        <f t="array" ref="C582">IFERROR(INDEX('Player Raw Data'!C:C,Match($A582,'Player Raw Data'!$B:$B,0)),"")</f>
        <v/>
      </c>
      <c r="D582" t="str">
        <f t="array" ref="D582">IFERROR(IF(A582=A581, INDEX('Player Raw Data'!D:D,Match($A582,'Player Raw Data'!$B:$B,0)+2),INDEX('Player Raw Data'!D:D,Match($A582,'Player Raw Data'!$B:$B,0))),"")</f>
        <v/>
      </c>
      <c r="E582" t="str">
        <f t="array" ref="E582">IFERROR(INDEX('Player Raw Data'!F:F,Match($A582,'Player Raw Data'!$B:$B,0)),"")</f>
        <v/>
      </c>
      <c r="F582" t="str">
        <f t="array" ref="F582">IFERROR(INDEX('Player Raw Data'!H:H,Match($A582,'Player Raw Data'!$B:$B,0)),"")</f>
        <v/>
      </c>
      <c r="G582" t="str">
        <f t="array" ref="G582">IFERROR(INDEX('Player Raw Data'!I:I,Match($A582,'Player Raw Data'!$B:$B,0)),"")</f>
        <v/>
      </c>
      <c r="H582" t="str">
        <f t="array" ref="H582">IFERROR(INDEX('Player Raw Data'!J:J,Match($A582,'Player Raw Data'!$B:$B,0)),"")</f>
        <v/>
      </c>
      <c r="I582" t="str">
        <f t="array" ref="I582">IFERROR(INDEX('Player Raw Data'!S:S,Match($A582,'Player Raw Data'!$B:$B,0)),"")</f>
        <v/>
      </c>
      <c r="J582" t="str">
        <f t="array" ref="J582">IFERROR(INDEX('Player Raw Data'!T:T,Match($A582,'Player Raw Data'!$B:$B,0)),"")</f>
        <v/>
      </c>
      <c r="K582" t="str">
        <f t="array" ref="K582">IFERROR(INDEX('Player Raw Data'!X:X,Match($A582,'Player Raw Data'!$B:$B,0)),"")</f>
        <v/>
      </c>
      <c r="L582" t="str">
        <f t="array" ref="L582">IFERROR(INDEX('Player Raw Data'!Y:Y,Match($A582,'Player Raw Data'!$B:$B,0)),"")</f>
        <v/>
      </c>
      <c r="M582" t="str">
        <f t="array" ref="M582">IFERROR(INDEX('Player Raw Data'!Z:Z,Match($A582,'Player Raw Data'!$B:$B,0)),"")</f>
        <v/>
      </c>
      <c r="N582" t="str">
        <f t="array" ref="N582">IFERROR(INDEX('Player Raw Data'!AA:AA,Match($A582,'Player Raw Data'!$B:$B,0)),"")</f>
        <v/>
      </c>
      <c r="O582" t="str">
        <f t="array" ref="O582">IFERROR(INDEX('Player Raw Data'!AB:AB,Match($A582,'Player Raw Data'!$B:$B,0)),"")</f>
        <v/>
      </c>
      <c r="P582" t="str">
        <f t="array" ref="P582">IFERROR(INDEX('Player Raw Data'!AD:AD,Match($A582,'Player Raw Data'!$B:$B,0)),"")</f>
        <v/>
      </c>
      <c r="Q582">
        <f t="shared" si="1"/>
        <v>0</v>
      </c>
      <c r="R582" s="9">
        <f t="shared" si="2"/>
        <v>0</v>
      </c>
      <c r="S582" s="14">
        <f t="shared" si="3"/>
        <v>0</v>
      </c>
      <c r="T582" s="15">
        <f>IFERROR(__xludf.DUMMYFUNCTION("IFERROR(PERCENTRANK.INC(FILTER(Q:Q,$F:$F&lt;&gt;""""),Q582)*100,"""")"),1.5)</f>
        <v>1.5</v>
      </c>
      <c r="U582" s="15">
        <f>IFERROR(__xludf.DUMMYFUNCTION("IFERROR(PERCENTRANK.INC(FILTER(R:R,$F:$F&lt;&gt;""""),R582)*100,"""")"),1.5)</f>
        <v>1.5</v>
      </c>
      <c r="V582" s="15">
        <f>IFERROR(__xludf.DUMMYFUNCTION("IFERROR(PERCENTRANK.INC(FILTER(S:S,$F:$F&lt;&gt;""""),S582)*100,"""")"),1.5)</f>
        <v>1.5</v>
      </c>
      <c r="W582" s="15" t="str">
        <f t="shared" si="4"/>
        <v/>
      </c>
      <c r="X582" s="16"/>
      <c r="Y582" s="9"/>
      <c r="Z582" s="9"/>
    </row>
    <row r="583">
      <c r="B583" t="str">
        <f t="array" ref="B583">IFERROR(INDEX('Player Raw Data'!E:E,Match($A583,'Player Raw Data'!$B:$B,0)),"")</f>
        <v/>
      </c>
      <c r="C583" t="str">
        <f t="array" ref="C583">IFERROR(INDEX('Player Raw Data'!C:C,Match($A583,'Player Raw Data'!$B:$B,0)),"")</f>
        <v/>
      </c>
      <c r="D583" t="str">
        <f t="array" ref="D583">IFERROR(IF(A583=A582, INDEX('Player Raw Data'!D:D,Match($A583,'Player Raw Data'!$B:$B,0)+2),INDEX('Player Raw Data'!D:D,Match($A583,'Player Raw Data'!$B:$B,0))),"")</f>
        <v/>
      </c>
      <c r="E583" t="str">
        <f t="array" ref="E583">IFERROR(INDEX('Player Raw Data'!F:F,Match($A583,'Player Raw Data'!$B:$B,0)),"")</f>
        <v/>
      </c>
      <c r="F583" t="str">
        <f t="array" ref="F583">IFERROR(INDEX('Player Raw Data'!H:H,Match($A583,'Player Raw Data'!$B:$B,0)),"")</f>
        <v/>
      </c>
      <c r="G583" t="str">
        <f t="array" ref="G583">IFERROR(INDEX('Player Raw Data'!I:I,Match($A583,'Player Raw Data'!$B:$B,0)),"")</f>
        <v/>
      </c>
      <c r="H583" t="str">
        <f t="array" ref="H583">IFERROR(INDEX('Player Raw Data'!J:J,Match($A583,'Player Raw Data'!$B:$B,0)),"")</f>
        <v/>
      </c>
      <c r="I583" t="str">
        <f t="array" ref="I583">IFERROR(INDEX('Player Raw Data'!S:S,Match($A583,'Player Raw Data'!$B:$B,0)),"")</f>
        <v/>
      </c>
      <c r="J583" t="str">
        <f t="array" ref="J583">IFERROR(INDEX('Player Raw Data'!T:T,Match($A583,'Player Raw Data'!$B:$B,0)),"")</f>
        <v/>
      </c>
      <c r="K583" t="str">
        <f t="array" ref="K583">IFERROR(INDEX('Player Raw Data'!X:X,Match($A583,'Player Raw Data'!$B:$B,0)),"")</f>
        <v/>
      </c>
      <c r="L583" t="str">
        <f t="array" ref="L583">IFERROR(INDEX('Player Raw Data'!Y:Y,Match($A583,'Player Raw Data'!$B:$B,0)),"")</f>
        <v/>
      </c>
      <c r="M583" t="str">
        <f t="array" ref="M583">IFERROR(INDEX('Player Raw Data'!Z:Z,Match($A583,'Player Raw Data'!$B:$B,0)),"")</f>
        <v/>
      </c>
      <c r="N583" t="str">
        <f t="array" ref="N583">IFERROR(INDEX('Player Raw Data'!AA:AA,Match($A583,'Player Raw Data'!$B:$B,0)),"")</f>
        <v/>
      </c>
      <c r="O583" t="str">
        <f t="array" ref="O583">IFERROR(INDEX('Player Raw Data'!AB:AB,Match($A583,'Player Raw Data'!$B:$B,0)),"")</f>
        <v/>
      </c>
      <c r="P583" t="str">
        <f t="array" ref="P583">IFERROR(INDEX('Player Raw Data'!AD:AD,Match($A583,'Player Raw Data'!$B:$B,0)),"")</f>
        <v/>
      </c>
      <c r="Q583">
        <f t="shared" si="1"/>
        <v>0</v>
      </c>
      <c r="R583" s="9">
        <f t="shared" si="2"/>
        <v>0</v>
      </c>
      <c r="S583" s="14">
        <f t="shared" si="3"/>
        <v>0</v>
      </c>
      <c r="T583" s="15">
        <f>IFERROR(__xludf.DUMMYFUNCTION("IFERROR(PERCENTRANK.INC(FILTER(Q:Q,$F:$F&lt;&gt;""""),Q583)*100,"""")"),1.5)</f>
        <v>1.5</v>
      </c>
      <c r="U583" s="15">
        <f>IFERROR(__xludf.DUMMYFUNCTION("IFERROR(PERCENTRANK.INC(FILTER(R:R,$F:$F&lt;&gt;""""),R583)*100,"""")"),1.5)</f>
        <v>1.5</v>
      </c>
      <c r="V583" s="15">
        <f>IFERROR(__xludf.DUMMYFUNCTION("IFERROR(PERCENTRANK.INC(FILTER(S:S,$F:$F&lt;&gt;""""),S583)*100,"""")"),1.5)</f>
        <v>1.5</v>
      </c>
      <c r="W583" s="15" t="str">
        <f t="shared" si="4"/>
        <v/>
      </c>
      <c r="X583" s="16"/>
      <c r="Y583" s="9"/>
      <c r="Z583" s="9"/>
    </row>
    <row r="584">
      <c r="B584" t="str">
        <f t="array" ref="B584">IFERROR(INDEX('Player Raw Data'!E:E,Match($A584,'Player Raw Data'!$B:$B,0)),"")</f>
        <v/>
      </c>
      <c r="C584" t="str">
        <f t="array" ref="C584">IFERROR(INDEX('Player Raw Data'!C:C,Match($A584,'Player Raw Data'!$B:$B,0)),"")</f>
        <v/>
      </c>
      <c r="D584" t="str">
        <f t="array" ref="D584">IFERROR(IF(A584=A583, INDEX('Player Raw Data'!D:D,Match($A584,'Player Raw Data'!$B:$B,0)+2),INDEX('Player Raw Data'!D:D,Match($A584,'Player Raw Data'!$B:$B,0))),"")</f>
        <v/>
      </c>
      <c r="E584" t="str">
        <f t="array" ref="E584">IFERROR(INDEX('Player Raw Data'!F:F,Match($A584,'Player Raw Data'!$B:$B,0)),"")</f>
        <v/>
      </c>
      <c r="F584" t="str">
        <f t="array" ref="F584">IFERROR(INDEX('Player Raw Data'!H:H,Match($A584,'Player Raw Data'!$B:$B,0)),"")</f>
        <v/>
      </c>
      <c r="G584" t="str">
        <f t="array" ref="G584">IFERROR(INDEX('Player Raw Data'!I:I,Match($A584,'Player Raw Data'!$B:$B,0)),"")</f>
        <v/>
      </c>
      <c r="H584" t="str">
        <f t="array" ref="H584">IFERROR(INDEX('Player Raw Data'!J:J,Match($A584,'Player Raw Data'!$B:$B,0)),"")</f>
        <v/>
      </c>
      <c r="I584" t="str">
        <f t="array" ref="I584">IFERROR(INDEX('Player Raw Data'!S:S,Match($A584,'Player Raw Data'!$B:$B,0)),"")</f>
        <v/>
      </c>
      <c r="J584" t="str">
        <f t="array" ref="J584">IFERROR(INDEX('Player Raw Data'!T:T,Match($A584,'Player Raw Data'!$B:$B,0)),"")</f>
        <v/>
      </c>
      <c r="K584" t="str">
        <f t="array" ref="K584">IFERROR(INDEX('Player Raw Data'!X:X,Match($A584,'Player Raw Data'!$B:$B,0)),"")</f>
        <v/>
      </c>
      <c r="L584" t="str">
        <f t="array" ref="L584">IFERROR(INDEX('Player Raw Data'!Y:Y,Match($A584,'Player Raw Data'!$B:$B,0)),"")</f>
        <v/>
      </c>
      <c r="M584" t="str">
        <f t="array" ref="M584">IFERROR(INDEX('Player Raw Data'!Z:Z,Match($A584,'Player Raw Data'!$B:$B,0)),"")</f>
        <v/>
      </c>
      <c r="N584" t="str">
        <f t="array" ref="N584">IFERROR(INDEX('Player Raw Data'!AA:AA,Match($A584,'Player Raw Data'!$B:$B,0)),"")</f>
        <v/>
      </c>
      <c r="O584" t="str">
        <f t="array" ref="O584">IFERROR(INDEX('Player Raw Data'!AB:AB,Match($A584,'Player Raw Data'!$B:$B,0)),"")</f>
        <v/>
      </c>
      <c r="P584" t="str">
        <f t="array" ref="P584">IFERROR(INDEX('Player Raw Data'!AD:AD,Match($A584,'Player Raw Data'!$B:$B,0)),"")</f>
        <v/>
      </c>
      <c r="Q584">
        <f t="shared" si="1"/>
        <v>0</v>
      </c>
      <c r="R584" s="9">
        <f t="shared" si="2"/>
        <v>0</v>
      </c>
      <c r="S584" s="14">
        <f t="shared" si="3"/>
        <v>0</v>
      </c>
      <c r="T584" s="15">
        <f>IFERROR(__xludf.DUMMYFUNCTION("IFERROR(PERCENTRANK.INC(FILTER(Q:Q,$F:$F&lt;&gt;""""),Q584)*100,"""")"),1.5)</f>
        <v>1.5</v>
      </c>
      <c r="U584" s="15">
        <f>IFERROR(__xludf.DUMMYFUNCTION("IFERROR(PERCENTRANK.INC(FILTER(R:R,$F:$F&lt;&gt;""""),R584)*100,"""")"),1.5)</f>
        <v>1.5</v>
      </c>
      <c r="V584" s="15">
        <f>IFERROR(__xludf.DUMMYFUNCTION("IFERROR(PERCENTRANK.INC(FILTER(S:S,$F:$F&lt;&gt;""""),S584)*100,"""")"),1.5)</f>
        <v>1.5</v>
      </c>
      <c r="W584" s="15" t="str">
        <f t="shared" si="4"/>
        <v/>
      </c>
      <c r="X584" s="16"/>
      <c r="Y584" s="9"/>
      <c r="Z584" s="9"/>
    </row>
    <row r="585">
      <c r="B585" t="str">
        <f t="array" ref="B585">IFERROR(INDEX('Player Raw Data'!E:E,Match($A585,'Player Raw Data'!$B:$B,0)),"")</f>
        <v/>
      </c>
      <c r="C585" t="str">
        <f t="array" ref="C585">IFERROR(INDEX('Player Raw Data'!C:C,Match($A585,'Player Raw Data'!$B:$B,0)),"")</f>
        <v/>
      </c>
      <c r="D585" t="str">
        <f t="array" ref="D585">IFERROR(IF(A585=A584, INDEX('Player Raw Data'!D:D,Match($A585,'Player Raw Data'!$B:$B,0)+2),INDEX('Player Raw Data'!D:D,Match($A585,'Player Raw Data'!$B:$B,0))),"")</f>
        <v/>
      </c>
      <c r="E585" t="str">
        <f t="array" ref="E585">IFERROR(INDEX('Player Raw Data'!F:F,Match($A585,'Player Raw Data'!$B:$B,0)),"")</f>
        <v/>
      </c>
      <c r="F585" t="str">
        <f t="array" ref="F585">IFERROR(INDEX('Player Raw Data'!H:H,Match($A585,'Player Raw Data'!$B:$B,0)),"")</f>
        <v/>
      </c>
      <c r="G585" t="str">
        <f t="array" ref="G585">IFERROR(INDEX('Player Raw Data'!I:I,Match($A585,'Player Raw Data'!$B:$B,0)),"")</f>
        <v/>
      </c>
      <c r="H585" t="str">
        <f t="array" ref="H585">IFERROR(INDEX('Player Raw Data'!J:J,Match($A585,'Player Raw Data'!$B:$B,0)),"")</f>
        <v/>
      </c>
      <c r="I585" t="str">
        <f t="array" ref="I585">IFERROR(INDEX('Player Raw Data'!S:S,Match($A585,'Player Raw Data'!$B:$B,0)),"")</f>
        <v/>
      </c>
      <c r="J585" t="str">
        <f t="array" ref="J585">IFERROR(INDEX('Player Raw Data'!T:T,Match($A585,'Player Raw Data'!$B:$B,0)),"")</f>
        <v/>
      </c>
      <c r="K585" t="str">
        <f t="array" ref="K585">IFERROR(INDEX('Player Raw Data'!X:X,Match($A585,'Player Raw Data'!$B:$B,0)),"")</f>
        <v/>
      </c>
      <c r="L585" t="str">
        <f t="array" ref="L585">IFERROR(INDEX('Player Raw Data'!Y:Y,Match($A585,'Player Raw Data'!$B:$B,0)),"")</f>
        <v/>
      </c>
      <c r="M585" t="str">
        <f t="array" ref="M585">IFERROR(INDEX('Player Raw Data'!Z:Z,Match($A585,'Player Raw Data'!$B:$B,0)),"")</f>
        <v/>
      </c>
      <c r="N585" t="str">
        <f t="array" ref="N585">IFERROR(INDEX('Player Raw Data'!AA:AA,Match($A585,'Player Raw Data'!$B:$B,0)),"")</f>
        <v/>
      </c>
      <c r="O585" t="str">
        <f t="array" ref="O585">IFERROR(INDEX('Player Raw Data'!AB:AB,Match($A585,'Player Raw Data'!$B:$B,0)),"")</f>
        <v/>
      </c>
      <c r="P585" t="str">
        <f t="array" ref="P585">IFERROR(INDEX('Player Raw Data'!AD:AD,Match($A585,'Player Raw Data'!$B:$B,0)),"")</f>
        <v/>
      </c>
      <c r="Q585">
        <f t="shared" si="1"/>
        <v>0</v>
      </c>
      <c r="R585" s="9">
        <f t="shared" si="2"/>
        <v>0</v>
      </c>
      <c r="S585" s="14">
        <f t="shared" si="3"/>
        <v>0</v>
      </c>
      <c r="T585" s="15">
        <f>IFERROR(__xludf.DUMMYFUNCTION("IFERROR(PERCENTRANK.INC(FILTER(Q:Q,$F:$F&lt;&gt;""""),Q585)*100,"""")"),1.5)</f>
        <v>1.5</v>
      </c>
      <c r="U585" s="15">
        <f>IFERROR(__xludf.DUMMYFUNCTION("IFERROR(PERCENTRANK.INC(FILTER(R:R,$F:$F&lt;&gt;""""),R585)*100,"""")"),1.5)</f>
        <v>1.5</v>
      </c>
      <c r="V585" s="15">
        <f>IFERROR(__xludf.DUMMYFUNCTION("IFERROR(PERCENTRANK.INC(FILTER(S:S,$F:$F&lt;&gt;""""),S585)*100,"""")"),1.5)</f>
        <v>1.5</v>
      </c>
      <c r="W585" s="15" t="str">
        <f t="shared" si="4"/>
        <v/>
      </c>
      <c r="X585" s="16"/>
      <c r="Y585" s="9"/>
      <c r="Z585" s="9"/>
    </row>
    <row r="586">
      <c r="B586" t="str">
        <f t="array" ref="B586">IFERROR(INDEX('Player Raw Data'!E:E,Match($A586,'Player Raw Data'!$B:$B,0)),"")</f>
        <v/>
      </c>
      <c r="C586" t="str">
        <f t="array" ref="C586">IFERROR(INDEX('Player Raw Data'!C:C,Match($A586,'Player Raw Data'!$B:$B,0)),"")</f>
        <v/>
      </c>
      <c r="D586" t="str">
        <f t="array" ref="D586">IFERROR(IF(A586=A585, INDEX('Player Raw Data'!D:D,Match($A586,'Player Raw Data'!$B:$B,0)+2),INDEX('Player Raw Data'!D:D,Match($A586,'Player Raw Data'!$B:$B,0))),"")</f>
        <v/>
      </c>
      <c r="E586" t="str">
        <f t="array" ref="E586">IFERROR(INDEX('Player Raw Data'!F:F,Match($A586,'Player Raw Data'!$B:$B,0)),"")</f>
        <v/>
      </c>
      <c r="F586" t="str">
        <f t="array" ref="F586">IFERROR(INDEX('Player Raw Data'!H:H,Match($A586,'Player Raw Data'!$B:$B,0)),"")</f>
        <v/>
      </c>
      <c r="G586" t="str">
        <f t="array" ref="G586">IFERROR(INDEX('Player Raw Data'!I:I,Match($A586,'Player Raw Data'!$B:$B,0)),"")</f>
        <v/>
      </c>
      <c r="H586" t="str">
        <f t="array" ref="H586">IFERROR(INDEX('Player Raw Data'!J:J,Match($A586,'Player Raw Data'!$B:$B,0)),"")</f>
        <v/>
      </c>
      <c r="I586" t="str">
        <f t="array" ref="I586">IFERROR(INDEX('Player Raw Data'!S:S,Match($A586,'Player Raw Data'!$B:$B,0)),"")</f>
        <v/>
      </c>
      <c r="J586" t="str">
        <f t="array" ref="J586">IFERROR(INDEX('Player Raw Data'!T:T,Match($A586,'Player Raw Data'!$B:$B,0)),"")</f>
        <v/>
      </c>
      <c r="K586" t="str">
        <f t="array" ref="K586">IFERROR(INDEX('Player Raw Data'!X:X,Match($A586,'Player Raw Data'!$B:$B,0)),"")</f>
        <v/>
      </c>
      <c r="L586" t="str">
        <f t="array" ref="L586">IFERROR(INDEX('Player Raw Data'!Y:Y,Match($A586,'Player Raw Data'!$B:$B,0)),"")</f>
        <v/>
      </c>
      <c r="M586" t="str">
        <f t="array" ref="M586">IFERROR(INDEX('Player Raw Data'!Z:Z,Match($A586,'Player Raw Data'!$B:$B,0)),"")</f>
        <v/>
      </c>
      <c r="N586" t="str">
        <f t="array" ref="N586">IFERROR(INDEX('Player Raw Data'!AA:AA,Match($A586,'Player Raw Data'!$B:$B,0)),"")</f>
        <v/>
      </c>
      <c r="O586" t="str">
        <f t="array" ref="O586">IFERROR(INDEX('Player Raw Data'!AB:AB,Match($A586,'Player Raw Data'!$B:$B,0)),"")</f>
        <v/>
      </c>
      <c r="P586" t="str">
        <f t="array" ref="P586">IFERROR(INDEX('Player Raw Data'!AD:AD,Match($A586,'Player Raw Data'!$B:$B,0)),"")</f>
        <v/>
      </c>
      <c r="Q586">
        <f t="shared" si="1"/>
        <v>0</v>
      </c>
      <c r="R586" s="9">
        <f t="shared" si="2"/>
        <v>0</v>
      </c>
      <c r="S586" s="14">
        <f t="shared" si="3"/>
        <v>0</v>
      </c>
      <c r="T586" s="15">
        <f>IFERROR(__xludf.DUMMYFUNCTION("IFERROR(PERCENTRANK.INC(FILTER(Q:Q,$F:$F&lt;&gt;""""),Q586)*100,"""")"),1.5)</f>
        <v>1.5</v>
      </c>
      <c r="U586" s="15">
        <f>IFERROR(__xludf.DUMMYFUNCTION("IFERROR(PERCENTRANK.INC(FILTER(R:R,$F:$F&lt;&gt;""""),R586)*100,"""")"),1.5)</f>
        <v>1.5</v>
      </c>
      <c r="V586" s="15">
        <f>IFERROR(__xludf.DUMMYFUNCTION("IFERROR(PERCENTRANK.INC(FILTER(S:S,$F:$F&lt;&gt;""""),S586)*100,"""")"),1.5)</f>
        <v>1.5</v>
      </c>
      <c r="W586" s="15" t="str">
        <f t="shared" si="4"/>
        <v/>
      </c>
      <c r="X586" s="16"/>
      <c r="Y586" s="9"/>
      <c r="Z586" s="9"/>
    </row>
    <row r="587">
      <c r="B587" t="str">
        <f t="array" ref="B587">IFERROR(INDEX('Player Raw Data'!E:E,Match($A587,'Player Raw Data'!$B:$B,0)),"")</f>
        <v/>
      </c>
      <c r="C587" t="str">
        <f t="array" ref="C587">IFERROR(INDEX('Player Raw Data'!C:C,Match($A587,'Player Raw Data'!$B:$B,0)),"")</f>
        <v/>
      </c>
      <c r="D587" t="str">
        <f t="array" ref="D587">IFERROR(IF(A587=A586, INDEX('Player Raw Data'!D:D,Match($A587,'Player Raw Data'!$B:$B,0)+2),INDEX('Player Raw Data'!D:D,Match($A587,'Player Raw Data'!$B:$B,0))),"")</f>
        <v/>
      </c>
      <c r="E587" t="str">
        <f t="array" ref="E587">IFERROR(INDEX('Player Raw Data'!F:F,Match($A587,'Player Raw Data'!$B:$B,0)),"")</f>
        <v/>
      </c>
      <c r="F587" t="str">
        <f t="array" ref="F587">IFERROR(INDEX('Player Raw Data'!H:H,Match($A587,'Player Raw Data'!$B:$B,0)),"")</f>
        <v/>
      </c>
      <c r="G587" t="str">
        <f t="array" ref="G587">IFERROR(INDEX('Player Raw Data'!I:I,Match($A587,'Player Raw Data'!$B:$B,0)),"")</f>
        <v/>
      </c>
      <c r="H587" t="str">
        <f t="array" ref="H587">IFERROR(INDEX('Player Raw Data'!J:J,Match($A587,'Player Raw Data'!$B:$B,0)),"")</f>
        <v/>
      </c>
      <c r="I587" t="str">
        <f t="array" ref="I587">IFERROR(INDEX('Player Raw Data'!S:S,Match($A587,'Player Raw Data'!$B:$B,0)),"")</f>
        <v/>
      </c>
      <c r="J587" t="str">
        <f t="array" ref="J587">IFERROR(INDEX('Player Raw Data'!T:T,Match($A587,'Player Raw Data'!$B:$B,0)),"")</f>
        <v/>
      </c>
      <c r="K587" t="str">
        <f t="array" ref="K587">IFERROR(INDEX('Player Raw Data'!X:X,Match($A587,'Player Raw Data'!$B:$B,0)),"")</f>
        <v/>
      </c>
      <c r="L587" t="str">
        <f t="array" ref="L587">IFERROR(INDEX('Player Raw Data'!Y:Y,Match($A587,'Player Raw Data'!$B:$B,0)),"")</f>
        <v/>
      </c>
      <c r="M587" t="str">
        <f t="array" ref="M587">IFERROR(INDEX('Player Raw Data'!Z:Z,Match($A587,'Player Raw Data'!$B:$B,0)),"")</f>
        <v/>
      </c>
      <c r="N587" t="str">
        <f t="array" ref="N587">IFERROR(INDEX('Player Raw Data'!AA:AA,Match($A587,'Player Raw Data'!$B:$B,0)),"")</f>
        <v/>
      </c>
      <c r="O587" t="str">
        <f t="array" ref="O587">IFERROR(INDEX('Player Raw Data'!AB:AB,Match($A587,'Player Raw Data'!$B:$B,0)),"")</f>
        <v/>
      </c>
      <c r="P587" t="str">
        <f t="array" ref="P587">IFERROR(INDEX('Player Raw Data'!AD:AD,Match($A587,'Player Raw Data'!$B:$B,0)),"")</f>
        <v/>
      </c>
      <c r="Q587">
        <f t="shared" si="1"/>
        <v>0</v>
      </c>
      <c r="R587" s="9">
        <f t="shared" si="2"/>
        <v>0</v>
      </c>
      <c r="S587" s="14">
        <f t="shared" si="3"/>
        <v>0</v>
      </c>
      <c r="T587" s="15">
        <f>IFERROR(__xludf.DUMMYFUNCTION("IFERROR(PERCENTRANK.INC(FILTER(Q:Q,$F:$F&lt;&gt;""""),Q587)*100,"""")"),1.5)</f>
        <v>1.5</v>
      </c>
      <c r="U587" s="15">
        <f>IFERROR(__xludf.DUMMYFUNCTION("IFERROR(PERCENTRANK.INC(FILTER(R:R,$F:$F&lt;&gt;""""),R587)*100,"""")"),1.5)</f>
        <v>1.5</v>
      </c>
      <c r="V587" s="15">
        <f>IFERROR(__xludf.DUMMYFUNCTION("IFERROR(PERCENTRANK.INC(FILTER(S:S,$F:$F&lt;&gt;""""),S587)*100,"""")"),1.5)</f>
        <v>1.5</v>
      </c>
      <c r="W587" s="15" t="str">
        <f t="shared" si="4"/>
        <v/>
      </c>
      <c r="X587" s="16"/>
      <c r="Y587" s="9"/>
      <c r="Z587" s="9"/>
    </row>
    <row r="588">
      <c r="B588" t="str">
        <f t="array" ref="B588">IFERROR(INDEX('Player Raw Data'!E:E,Match($A588,'Player Raw Data'!$B:$B,0)),"")</f>
        <v/>
      </c>
      <c r="C588" t="str">
        <f t="array" ref="C588">IFERROR(INDEX('Player Raw Data'!C:C,Match($A588,'Player Raw Data'!$B:$B,0)),"")</f>
        <v/>
      </c>
      <c r="D588" t="str">
        <f t="array" ref="D588">IFERROR(IF(A588=A587, INDEX('Player Raw Data'!D:D,Match($A588,'Player Raw Data'!$B:$B,0)+2),INDEX('Player Raw Data'!D:D,Match($A588,'Player Raw Data'!$B:$B,0))),"")</f>
        <v/>
      </c>
      <c r="E588" t="str">
        <f t="array" ref="E588">IFERROR(INDEX('Player Raw Data'!F:F,Match($A588,'Player Raw Data'!$B:$B,0)),"")</f>
        <v/>
      </c>
      <c r="F588" t="str">
        <f t="array" ref="F588">IFERROR(INDEX('Player Raw Data'!H:H,Match($A588,'Player Raw Data'!$B:$B,0)),"")</f>
        <v/>
      </c>
      <c r="G588" t="str">
        <f t="array" ref="G588">IFERROR(INDEX('Player Raw Data'!I:I,Match($A588,'Player Raw Data'!$B:$B,0)),"")</f>
        <v/>
      </c>
      <c r="H588" t="str">
        <f t="array" ref="H588">IFERROR(INDEX('Player Raw Data'!J:J,Match($A588,'Player Raw Data'!$B:$B,0)),"")</f>
        <v/>
      </c>
      <c r="I588" t="str">
        <f t="array" ref="I588">IFERROR(INDEX('Player Raw Data'!S:S,Match($A588,'Player Raw Data'!$B:$B,0)),"")</f>
        <v/>
      </c>
      <c r="J588" t="str">
        <f t="array" ref="J588">IFERROR(INDEX('Player Raw Data'!T:T,Match($A588,'Player Raw Data'!$B:$B,0)),"")</f>
        <v/>
      </c>
      <c r="K588" t="str">
        <f t="array" ref="K588">IFERROR(INDEX('Player Raw Data'!X:X,Match($A588,'Player Raw Data'!$B:$B,0)),"")</f>
        <v/>
      </c>
      <c r="L588" t="str">
        <f t="array" ref="L588">IFERROR(INDEX('Player Raw Data'!Y:Y,Match($A588,'Player Raw Data'!$B:$B,0)),"")</f>
        <v/>
      </c>
      <c r="M588" t="str">
        <f t="array" ref="M588">IFERROR(INDEX('Player Raw Data'!Z:Z,Match($A588,'Player Raw Data'!$B:$B,0)),"")</f>
        <v/>
      </c>
      <c r="N588" t="str">
        <f t="array" ref="N588">IFERROR(INDEX('Player Raw Data'!AA:AA,Match($A588,'Player Raw Data'!$B:$B,0)),"")</f>
        <v/>
      </c>
      <c r="O588" t="str">
        <f t="array" ref="O588">IFERROR(INDEX('Player Raw Data'!AB:AB,Match($A588,'Player Raw Data'!$B:$B,0)),"")</f>
        <v/>
      </c>
      <c r="P588" t="str">
        <f t="array" ref="P588">IFERROR(INDEX('Player Raw Data'!AD:AD,Match($A588,'Player Raw Data'!$B:$B,0)),"")</f>
        <v/>
      </c>
      <c r="Q588">
        <f t="shared" si="1"/>
        <v>0</v>
      </c>
      <c r="R588" s="9">
        <f t="shared" si="2"/>
        <v>0</v>
      </c>
      <c r="S588" s="14">
        <f t="shared" si="3"/>
        <v>0</v>
      </c>
      <c r="T588" s="15">
        <f>IFERROR(__xludf.DUMMYFUNCTION("IFERROR(PERCENTRANK.INC(FILTER(Q:Q,$F:$F&lt;&gt;""""),Q588)*100,"""")"),1.5)</f>
        <v>1.5</v>
      </c>
      <c r="U588" s="15">
        <f>IFERROR(__xludf.DUMMYFUNCTION("IFERROR(PERCENTRANK.INC(FILTER(R:R,$F:$F&lt;&gt;""""),R588)*100,"""")"),1.5)</f>
        <v>1.5</v>
      </c>
      <c r="V588" s="15">
        <f>IFERROR(__xludf.DUMMYFUNCTION("IFERROR(PERCENTRANK.INC(FILTER(S:S,$F:$F&lt;&gt;""""),S588)*100,"""")"),1.5)</f>
        <v>1.5</v>
      </c>
      <c r="W588" s="15" t="str">
        <f t="shared" si="4"/>
        <v/>
      </c>
      <c r="X588" s="16"/>
      <c r="Y588" s="9"/>
      <c r="Z588" s="9"/>
    </row>
    <row r="589">
      <c r="B589" t="str">
        <f t="array" ref="B589">IFERROR(INDEX('Player Raw Data'!E:E,Match($A589,'Player Raw Data'!$B:$B,0)),"")</f>
        <v/>
      </c>
      <c r="C589" t="str">
        <f t="array" ref="C589">IFERROR(INDEX('Player Raw Data'!C:C,Match($A589,'Player Raw Data'!$B:$B,0)),"")</f>
        <v/>
      </c>
      <c r="D589" t="str">
        <f t="array" ref="D589">IFERROR(IF(A589=A588, INDEX('Player Raw Data'!D:D,Match($A589,'Player Raw Data'!$B:$B,0)+2),INDEX('Player Raw Data'!D:D,Match($A589,'Player Raw Data'!$B:$B,0))),"")</f>
        <v/>
      </c>
      <c r="E589" t="str">
        <f t="array" ref="E589">IFERROR(INDEX('Player Raw Data'!F:F,Match($A589,'Player Raw Data'!$B:$B,0)),"")</f>
        <v/>
      </c>
      <c r="F589" t="str">
        <f t="array" ref="F589">IFERROR(INDEX('Player Raw Data'!H:H,Match($A589,'Player Raw Data'!$B:$B,0)),"")</f>
        <v/>
      </c>
      <c r="G589" t="str">
        <f t="array" ref="G589">IFERROR(INDEX('Player Raw Data'!I:I,Match($A589,'Player Raw Data'!$B:$B,0)),"")</f>
        <v/>
      </c>
      <c r="H589" t="str">
        <f t="array" ref="H589">IFERROR(INDEX('Player Raw Data'!J:J,Match($A589,'Player Raw Data'!$B:$B,0)),"")</f>
        <v/>
      </c>
      <c r="I589" t="str">
        <f t="array" ref="I589">IFERROR(INDEX('Player Raw Data'!S:S,Match($A589,'Player Raw Data'!$B:$B,0)),"")</f>
        <v/>
      </c>
      <c r="J589" t="str">
        <f t="array" ref="J589">IFERROR(INDEX('Player Raw Data'!T:T,Match($A589,'Player Raw Data'!$B:$B,0)),"")</f>
        <v/>
      </c>
      <c r="K589" t="str">
        <f t="array" ref="K589">IFERROR(INDEX('Player Raw Data'!X:X,Match($A589,'Player Raw Data'!$B:$B,0)),"")</f>
        <v/>
      </c>
      <c r="L589" t="str">
        <f t="array" ref="L589">IFERROR(INDEX('Player Raw Data'!Y:Y,Match($A589,'Player Raw Data'!$B:$B,0)),"")</f>
        <v/>
      </c>
      <c r="M589" t="str">
        <f t="array" ref="M589">IFERROR(INDEX('Player Raw Data'!Z:Z,Match($A589,'Player Raw Data'!$B:$B,0)),"")</f>
        <v/>
      </c>
      <c r="N589" t="str">
        <f t="array" ref="N589">IFERROR(INDEX('Player Raw Data'!AA:AA,Match($A589,'Player Raw Data'!$B:$B,0)),"")</f>
        <v/>
      </c>
      <c r="O589" t="str">
        <f t="array" ref="O589">IFERROR(INDEX('Player Raw Data'!AB:AB,Match($A589,'Player Raw Data'!$B:$B,0)),"")</f>
        <v/>
      </c>
      <c r="P589" t="str">
        <f t="array" ref="P589">IFERROR(INDEX('Player Raw Data'!AD:AD,Match($A589,'Player Raw Data'!$B:$B,0)),"")</f>
        <v/>
      </c>
      <c r="Q589">
        <f t="shared" si="1"/>
        <v>0</v>
      </c>
      <c r="R589" s="9">
        <f t="shared" si="2"/>
        <v>0</v>
      </c>
      <c r="S589" s="14">
        <f t="shared" si="3"/>
        <v>0</v>
      </c>
      <c r="T589" s="15">
        <f>IFERROR(__xludf.DUMMYFUNCTION("IFERROR(PERCENTRANK.INC(FILTER(Q:Q,$F:$F&lt;&gt;""""),Q589)*100,"""")"),1.5)</f>
        <v>1.5</v>
      </c>
      <c r="U589" s="15">
        <f>IFERROR(__xludf.DUMMYFUNCTION("IFERROR(PERCENTRANK.INC(FILTER(R:R,$F:$F&lt;&gt;""""),R589)*100,"""")"),1.5)</f>
        <v>1.5</v>
      </c>
      <c r="V589" s="15">
        <f>IFERROR(__xludf.DUMMYFUNCTION("IFERROR(PERCENTRANK.INC(FILTER(S:S,$F:$F&lt;&gt;""""),S589)*100,"""")"),1.5)</f>
        <v>1.5</v>
      </c>
      <c r="W589" s="15" t="str">
        <f t="shared" si="4"/>
        <v/>
      </c>
      <c r="X589" s="16"/>
      <c r="Y589" s="9"/>
      <c r="Z589" s="9"/>
    </row>
    <row r="590">
      <c r="B590" t="str">
        <f t="array" ref="B590">IFERROR(INDEX('Player Raw Data'!E:E,Match($A590,'Player Raw Data'!$B:$B,0)),"")</f>
        <v/>
      </c>
      <c r="C590" t="str">
        <f t="array" ref="C590">IFERROR(INDEX('Player Raw Data'!C:C,Match($A590,'Player Raw Data'!$B:$B,0)),"")</f>
        <v/>
      </c>
      <c r="D590" t="str">
        <f t="array" ref="D590">IFERROR(IF(A590=A589, INDEX('Player Raw Data'!D:D,Match($A590,'Player Raw Data'!$B:$B,0)+2),INDEX('Player Raw Data'!D:D,Match($A590,'Player Raw Data'!$B:$B,0))),"")</f>
        <v/>
      </c>
      <c r="E590" t="str">
        <f t="array" ref="E590">IFERROR(INDEX('Player Raw Data'!F:F,Match($A590,'Player Raw Data'!$B:$B,0)),"")</f>
        <v/>
      </c>
      <c r="F590" t="str">
        <f t="array" ref="F590">IFERROR(INDEX('Player Raw Data'!H:H,Match($A590,'Player Raw Data'!$B:$B,0)),"")</f>
        <v/>
      </c>
      <c r="G590" t="str">
        <f t="array" ref="G590">IFERROR(INDEX('Player Raw Data'!I:I,Match($A590,'Player Raw Data'!$B:$B,0)),"")</f>
        <v/>
      </c>
      <c r="H590" t="str">
        <f t="array" ref="H590">IFERROR(INDEX('Player Raw Data'!J:J,Match($A590,'Player Raw Data'!$B:$B,0)),"")</f>
        <v/>
      </c>
      <c r="I590" t="str">
        <f t="array" ref="I590">IFERROR(INDEX('Player Raw Data'!S:S,Match($A590,'Player Raw Data'!$B:$B,0)),"")</f>
        <v/>
      </c>
      <c r="J590" t="str">
        <f t="array" ref="J590">IFERROR(INDEX('Player Raw Data'!T:T,Match($A590,'Player Raw Data'!$B:$B,0)),"")</f>
        <v/>
      </c>
      <c r="K590" t="str">
        <f t="array" ref="K590">IFERROR(INDEX('Player Raw Data'!X:X,Match($A590,'Player Raw Data'!$B:$B,0)),"")</f>
        <v/>
      </c>
      <c r="L590" t="str">
        <f t="array" ref="L590">IFERROR(INDEX('Player Raw Data'!Y:Y,Match($A590,'Player Raw Data'!$B:$B,0)),"")</f>
        <v/>
      </c>
      <c r="M590" t="str">
        <f t="array" ref="M590">IFERROR(INDEX('Player Raw Data'!Z:Z,Match($A590,'Player Raw Data'!$B:$B,0)),"")</f>
        <v/>
      </c>
      <c r="N590" t="str">
        <f t="array" ref="N590">IFERROR(INDEX('Player Raw Data'!AA:AA,Match($A590,'Player Raw Data'!$B:$B,0)),"")</f>
        <v/>
      </c>
      <c r="O590" t="str">
        <f t="array" ref="O590">IFERROR(INDEX('Player Raw Data'!AB:AB,Match($A590,'Player Raw Data'!$B:$B,0)),"")</f>
        <v/>
      </c>
      <c r="P590" t="str">
        <f t="array" ref="P590">IFERROR(INDEX('Player Raw Data'!AD:AD,Match($A590,'Player Raw Data'!$B:$B,0)),"")</f>
        <v/>
      </c>
      <c r="Q590">
        <f t="shared" si="1"/>
        <v>0</v>
      </c>
      <c r="R590" s="9">
        <f t="shared" si="2"/>
        <v>0</v>
      </c>
      <c r="S590" s="14">
        <f t="shared" si="3"/>
        <v>0</v>
      </c>
      <c r="T590" s="15">
        <f>IFERROR(__xludf.DUMMYFUNCTION("IFERROR(PERCENTRANK.INC(FILTER(Q:Q,$F:$F&lt;&gt;""""),Q590)*100,"""")"),1.5)</f>
        <v>1.5</v>
      </c>
      <c r="U590" s="15">
        <f>IFERROR(__xludf.DUMMYFUNCTION("IFERROR(PERCENTRANK.INC(FILTER(R:R,$F:$F&lt;&gt;""""),R590)*100,"""")"),1.5)</f>
        <v>1.5</v>
      </c>
      <c r="V590" s="15">
        <f>IFERROR(__xludf.DUMMYFUNCTION("IFERROR(PERCENTRANK.INC(FILTER(S:S,$F:$F&lt;&gt;""""),S590)*100,"""")"),1.5)</f>
        <v>1.5</v>
      </c>
      <c r="W590" s="15" t="str">
        <f t="shared" si="4"/>
        <v/>
      </c>
      <c r="X590" s="16"/>
      <c r="Y590" s="9"/>
      <c r="Z590" s="9"/>
    </row>
    <row r="591">
      <c r="B591" t="str">
        <f t="array" ref="B591">IFERROR(INDEX('Player Raw Data'!E:E,Match($A591,'Player Raw Data'!$B:$B,0)),"")</f>
        <v/>
      </c>
      <c r="C591" t="str">
        <f t="array" ref="C591">IFERROR(INDEX('Player Raw Data'!C:C,Match($A591,'Player Raw Data'!$B:$B,0)),"")</f>
        <v/>
      </c>
      <c r="D591" t="str">
        <f t="array" ref="D591">IFERROR(IF(A591=A590, INDEX('Player Raw Data'!D:D,Match($A591,'Player Raw Data'!$B:$B,0)+2),INDEX('Player Raw Data'!D:D,Match($A591,'Player Raw Data'!$B:$B,0))),"")</f>
        <v/>
      </c>
      <c r="E591" t="str">
        <f t="array" ref="E591">IFERROR(INDEX('Player Raw Data'!F:F,Match($A591,'Player Raw Data'!$B:$B,0)),"")</f>
        <v/>
      </c>
      <c r="F591" t="str">
        <f t="array" ref="F591">IFERROR(INDEX('Player Raw Data'!H:H,Match($A591,'Player Raw Data'!$B:$B,0)),"")</f>
        <v/>
      </c>
      <c r="G591" t="str">
        <f t="array" ref="G591">IFERROR(INDEX('Player Raw Data'!I:I,Match($A591,'Player Raw Data'!$B:$B,0)),"")</f>
        <v/>
      </c>
      <c r="H591" t="str">
        <f t="array" ref="H591">IFERROR(INDEX('Player Raw Data'!J:J,Match($A591,'Player Raw Data'!$B:$B,0)),"")</f>
        <v/>
      </c>
      <c r="I591" t="str">
        <f t="array" ref="I591">IFERROR(INDEX('Player Raw Data'!S:S,Match($A591,'Player Raw Data'!$B:$B,0)),"")</f>
        <v/>
      </c>
      <c r="J591" t="str">
        <f t="array" ref="J591">IFERROR(INDEX('Player Raw Data'!T:T,Match($A591,'Player Raw Data'!$B:$B,0)),"")</f>
        <v/>
      </c>
      <c r="K591" t="str">
        <f t="array" ref="K591">IFERROR(INDEX('Player Raw Data'!X:X,Match($A591,'Player Raw Data'!$B:$B,0)),"")</f>
        <v/>
      </c>
      <c r="L591" t="str">
        <f t="array" ref="L591">IFERROR(INDEX('Player Raw Data'!Y:Y,Match($A591,'Player Raw Data'!$B:$B,0)),"")</f>
        <v/>
      </c>
      <c r="M591" t="str">
        <f t="array" ref="M591">IFERROR(INDEX('Player Raw Data'!Z:Z,Match($A591,'Player Raw Data'!$B:$B,0)),"")</f>
        <v/>
      </c>
      <c r="N591" t="str">
        <f t="array" ref="N591">IFERROR(INDEX('Player Raw Data'!AA:AA,Match($A591,'Player Raw Data'!$B:$B,0)),"")</f>
        <v/>
      </c>
      <c r="O591" t="str">
        <f t="array" ref="O591">IFERROR(INDEX('Player Raw Data'!AB:AB,Match($A591,'Player Raw Data'!$B:$B,0)),"")</f>
        <v/>
      </c>
      <c r="P591" t="str">
        <f t="array" ref="P591">IFERROR(INDEX('Player Raw Data'!AD:AD,Match($A591,'Player Raw Data'!$B:$B,0)),"")</f>
        <v/>
      </c>
      <c r="Q591">
        <f t="shared" si="1"/>
        <v>0</v>
      </c>
      <c r="R591" s="9">
        <f t="shared" si="2"/>
        <v>0</v>
      </c>
      <c r="S591" s="14">
        <f t="shared" si="3"/>
        <v>0</v>
      </c>
      <c r="T591" s="15">
        <f>IFERROR(__xludf.DUMMYFUNCTION("IFERROR(PERCENTRANK.INC(FILTER(Q:Q,$F:$F&lt;&gt;""""),Q591)*100,"""")"),1.5)</f>
        <v>1.5</v>
      </c>
      <c r="U591" s="15">
        <f>IFERROR(__xludf.DUMMYFUNCTION("IFERROR(PERCENTRANK.INC(FILTER(R:R,$F:$F&lt;&gt;""""),R591)*100,"""")"),1.5)</f>
        <v>1.5</v>
      </c>
      <c r="V591" s="15">
        <f>IFERROR(__xludf.DUMMYFUNCTION("IFERROR(PERCENTRANK.INC(FILTER(S:S,$F:$F&lt;&gt;""""),S591)*100,"""")"),1.5)</f>
        <v>1.5</v>
      </c>
      <c r="W591" s="15" t="str">
        <f t="shared" si="4"/>
        <v/>
      </c>
      <c r="X591" s="16"/>
      <c r="Y591" s="9"/>
      <c r="Z591" s="9"/>
    </row>
    <row r="592">
      <c r="B592" t="str">
        <f t="array" ref="B592">IFERROR(INDEX('Player Raw Data'!E:E,Match($A592,'Player Raw Data'!$B:$B,0)),"")</f>
        <v/>
      </c>
      <c r="C592" t="str">
        <f t="array" ref="C592">IFERROR(INDEX('Player Raw Data'!C:C,Match($A592,'Player Raw Data'!$B:$B,0)),"")</f>
        <v/>
      </c>
      <c r="D592" t="str">
        <f t="array" ref="D592">IFERROR(IF(A592=A591, INDEX('Player Raw Data'!D:D,Match($A592,'Player Raw Data'!$B:$B,0)+2),INDEX('Player Raw Data'!D:D,Match($A592,'Player Raw Data'!$B:$B,0))),"")</f>
        <v/>
      </c>
      <c r="E592" t="str">
        <f t="array" ref="E592">IFERROR(INDEX('Player Raw Data'!F:F,Match($A592,'Player Raw Data'!$B:$B,0)),"")</f>
        <v/>
      </c>
      <c r="F592" t="str">
        <f t="array" ref="F592">IFERROR(INDEX('Player Raw Data'!H:H,Match($A592,'Player Raw Data'!$B:$B,0)),"")</f>
        <v/>
      </c>
      <c r="G592" t="str">
        <f t="array" ref="G592">IFERROR(INDEX('Player Raw Data'!I:I,Match($A592,'Player Raw Data'!$B:$B,0)),"")</f>
        <v/>
      </c>
      <c r="H592" t="str">
        <f t="array" ref="H592">IFERROR(INDEX('Player Raw Data'!J:J,Match($A592,'Player Raw Data'!$B:$B,0)),"")</f>
        <v/>
      </c>
      <c r="I592" t="str">
        <f t="array" ref="I592">IFERROR(INDEX('Player Raw Data'!S:S,Match($A592,'Player Raw Data'!$B:$B,0)),"")</f>
        <v/>
      </c>
      <c r="J592" t="str">
        <f t="array" ref="J592">IFERROR(INDEX('Player Raw Data'!T:T,Match($A592,'Player Raw Data'!$B:$B,0)),"")</f>
        <v/>
      </c>
      <c r="K592" t="str">
        <f t="array" ref="K592">IFERROR(INDEX('Player Raw Data'!X:X,Match($A592,'Player Raw Data'!$B:$B,0)),"")</f>
        <v/>
      </c>
      <c r="L592" t="str">
        <f t="array" ref="L592">IFERROR(INDEX('Player Raw Data'!Y:Y,Match($A592,'Player Raw Data'!$B:$B,0)),"")</f>
        <v/>
      </c>
      <c r="M592" t="str">
        <f t="array" ref="M592">IFERROR(INDEX('Player Raw Data'!Z:Z,Match($A592,'Player Raw Data'!$B:$B,0)),"")</f>
        <v/>
      </c>
      <c r="N592" t="str">
        <f t="array" ref="N592">IFERROR(INDEX('Player Raw Data'!AA:AA,Match($A592,'Player Raw Data'!$B:$B,0)),"")</f>
        <v/>
      </c>
      <c r="O592" t="str">
        <f t="array" ref="O592">IFERROR(INDEX('Player Raw Data'!AB:AB,Match($A592,'Player Raw Data'!$B:$B,0)),"")</f>
        <v/>
      </c>
      <c r="P592" t="str">
        <f t="array" ref="P592">IFERROR(INDEX('Player Raw Data'!AD:AD,Match($A592,'Player Raw Data'!$B:$B,0)),"")</f>
        <v/>
      </c>
      <c r="Q592">
        <f t="shared" si="1"/>
        <v>0</v>
      </c>
      <c r="R592" s="9">
        <f t="shared" si="2"/>
        <v>0</v>
      </c>
      <c r="S592" s="14">
        <f t="shared" si="3"/>
        <v>0</v>
      </c>
      <c r="T592" s="15">
        <f>IFERROR(__xludf.DUMMYFUNCTION("IFERROR(PERCENTRANK.INC(FILTER(Q:Q,$F:$F&lt;&gt;""""),Q592)*100,"""")"),1.5)</f>
        <v>1.5</v>
      </c>
      <c r="U592" s="15">
        <f>IFERROR(__xludf.DUMMYFUNCTION("IFERROR(PERCENTRANK.INC(FILTER(R:R,$F:$F&lt;&gt;""""),R592)*100,"""")"),1.5)</f>
        <v>1.5</v>
      </c>
      <c r="V592" s="15">
        <f>IFERROR(__xludf.DUMMYFUNCTION("IFERROR(PERCENTRANK.INC(FILTER(S:S,$F:$F&lt;&gt;""""),S592)*100,"""")"),1.5)</f>
        <v>1.5</v>
      </c>
      <c r="W592" s="15" t="str">
        <f t="shared" si="4"/>
        <v/>
      </c>
      <c r="X592" s="16"/>
      <c r="Y592" s="9"/>
      <c r="Z592" s="9"/>
    </row>
    <row r="593">
      <c r="B593" t="str">
        <f t="array" ref="B593">IFERROR(INDEX('Player Raw Data'!E:E,Match($A593,'Player Raw Data'!$B:$B,0)),"")</f>
        <v/>
      </c>
      <c r="C593" t="str">
        <f t="array" ref="C593">IFERROR(INDEX('Player Raw Data'!C:C,Match($A593,'Player Raw Data'!$B:$B,0)),"")</f>
        <v/>
      </c>
      <c r="D593" t="str">
        <f t="array" ref="D593">IFERROR(IF(A593=A592, INDEX('Player Raw Data'!D:D,Match($A593,'Player Raw Data'!$B:$B,0)+2),INDEX('Player Raw Data'!D:D,Match($A593,'Player Raw Data'!$B:$B,0))),"")</f>
        <v/>
      </c>
      <c r="E593" t="str">
        <f t="array" ref="E593">IFERROR(INDEX('Player Raw Data'!F:F,Match($A593,'Player Raw Data'!$B:$B,0)),"")</f>
        <v/>
      </c>
      <c r="F593" t="str">
        <f t="array" ref="F593">IFERROR(INDEX('Player Raw Data'!H:H,Match($A593,'Player Raw Data'!$B:$B,0)),"")</f>
        <v/>
      </c>
      <c r="G593" t="str">
        <f t="array" ref="G593">IFERROR(INDEX('Player Raw Data'!I:I,Match($A593,'Player Raw Data'!$B:$B,0)),"")</f>
        <v/>
      </c>
      <c r="H593" t="str">
        <f t="array" ref="H593">IFERROR(INDEX('Player Raw Data'!J:J,Match($A593,'Player Raw Data'!$B:$B,0)),"")</f>
        <v/>
      </c>
      <c r="I593" t="str">
        <f t="array" ref="I593">IFERROR(INDEX('Player Raw Data'!S:S,Match($A593,'Player Raw Data'!$B:$B,0)),"")</f>
        <v/>
      </c>
      <c r="J593" t="str">
        <f t="array" ref="J593">IFERROR(INDEX('Player Raw Data'!T:T,Match($A593,'Player Raw Data'!$B:$B,0)),"")</f>
        <v/>
      </c>
      <c r="K593" t="str">
        <f t="array" ref="K593">IFERROR(INDEX('Player Raw Data'!X:X,Match($A593,'Player Raw Data'!$B:$B,0)),"")</f>
        <v/>
      </c>
      <c r="L593" t="str">
        <f t="array" ref="L593">IFERROR(INDEX('Player Raw Data'!Y:Y,Match($A593,'Player Raw Data'!$B:$B,0)),"")</f>
        <v/>
      </c>
      <c r="M593" t="str">
        <f t="array" ref="M593">IFERROR(INDEX('Player Raw Data'!Z:Z,Match($A593,'Player Raw Data'!$B:$B,0)),"")</f>
        <v/>
      </c>
      <c r="N593" t="str">
        <f t="array" ref="N593">IFERROR(INDEX('Player Raw Data'!AA:AA,Match($A593,'Player Raw Data'!$B:$B,0)),"")</f>
        <v/>
      </c>
      <c r="O593" t="str">
        <f t="array" ref="O593">IFERROR(INDEX('Player Raw Data'!AB:AB,Match($A593,'Player Raw Data'!$B:$B,0)),"")</f>
        <v/>
      </c>
      <c r="P593" t="str">
        <f t="array" ref="P593">IFERROR(INDEX('Player Raw Data'!AD:AD,Match($A593,'Player Raw Data'!$B:$B,0)),"")</f>
        <v/>
      </c>
      <c r="Q593">
        <f t="shared" si="1"/>
        <v>0</v>
      </c>
      <c r="R593" s="9">
        <f t="shared" si="2"/>
        <v>0</v>
      </c>
      <c r="S593" s="14">
        <f t="shared" si="3"/>
        <v>0</v>
      </c>
      <c r="T593" s="15">
        <f>IFERROR(__xludf.DUMMYFUNCTION("IFERROR(PERCENTRANK.INC(FILTER(Q:Q,$F:$F&lt;&gt;""""),Q593)*100,"""")"),1.5)</f>
        <v>1.5</v>
      </c>
      <c r="U593" s="15">
        <f>IFERROR(__xludf.DUMMYFUNCTION("IFERROR(PERCENTRANK.INC(FILTER(R:R,$F:$F&lt;&gt;""""),R593)*100,"""")"),1.5)</f>
        <v>1.5</v>
      </c>
      <c r="V593" s="15">
        <f>IFERROR(__xludf.DUMMYFUNCTION("IFERROR(PERCENTRANK.INC(FILTER(S:S,$F:$F&lt;&gt;""""),S593)*100,"""")"),1.5)</f>
        <v>1.5</v>
      </c>
      <c r="W593" s="15" t="str">
        <f t="shared" si="4"/>
        <v/>
      </c>
      <c r="X593" s="16"/>
      <c r="Y593" s="9"/>
      <c r="Z593" s="9"/>
    </row>
    <row r="594">
      <c r="B594" t="str">
        <f t="array" ref="B594">IFERROR(INDEX('Player Raw Data'!E:E,Match($A594,'Player Raw Data'!$B:$B,0)),"")</f>
        <v/>
      </c>
      <c r="C594" t="str">
        <f t="array" ref="C594">IFERROR(INDEX('Player Raw Data'!C:C,Match($A594,'Player Raw Data'!$B:$B,0)),"")</f>
        <v/>
      </c>
      <c r="D594" t="str">
        <f t="array" ref="D594">IFERROR(IF(A594=A593, INDEX('Player Raw Data'!D:D,Match($A594,'Player Raw Data'!$B:$B,0)+2),INDEX('Player Raw Data'!D:D,Match($A594,'Player Raw Data'!$B:$B,0))),"")</f>
        <v/>
      </c>
      <c r="E594" t="str">
        <f t="array" ref="E594">IFERROR(INDEX('Player Raw Data'!F:F,Match($A594,'Player Raw Data'!$B:$B,0)),"")</f>
        <v/>
      </c>
      <c r="F594" t="str">
        <f t="array" ref="F594">IFERROR(INDEX('Player Raw Data'!H:H,Match($A594,'Player Raw Data'!$B:$B,0)),"")</f>
        <v/>
      </c>
      <c r="G594" t="str">
        <f t="array" ref="G594">IFERROR(INDEX('Player Raw Data'!I:I,Match($A594,'Player Raw Data'!$B:$B,0)),"")</f>
        <v/>
      </c>
      <c r="H594" t="str">
        <f t="array" ref="H594">IFERROR(INDEX('Player Raw Data'!J:J,Match($A594,'Player Raw Data'!$B:$B,0)),"")</f>
        <v/>
      </c>
      <c r="I594" t="str">
        <f t="array" ref="I594">IFERROR(INDEX('Player Raw Data'!S:S,Match($A594,'Player Raw Data'!$B:$B,0)),"")</f>
        <v/>
      </c>
      <c r="J594" t="str">
        <f t="array" ref="J594">IFERROR(INDEX('Player Raw Data'!T:T,Match($A594,'Player Raw Data'!$B:$B,0)),"")</f>
        <v/>
      </c>
      <c r="K594" t="str">
        <f t="array" ref="K594">IFERROR(INDEX('Player Raw Data'!X:X,Match($A594,'Player Raw Data'!$B:$B,0)),"")</f>
        <v/>
      </c>
      <c r="L594" t="str">
        <f t="array" ref="L594">IFERROR(INDEX('Player Raw Data'!Y:Y,Match($A594,'Player Raw Data'!$B:$B,0)),"")</f>
        <v/>
      </c>
      <c r="M594" t="str">
        <f t="array" ref="M594">IFERROR(INDEX('Player Raw Data'!Z:Z,Match($A594,'Player Raw Data'!$B:$B,0)),"")</f>
        <v/>
      </c>
      <c r="N594" t="str">
        <f t="array" ref="N594">IFERROR(INDEX('Player Raw Data'!AA:AA,Match($A594,'Player Raw Data'!$B:$B,0)),"")</f>
        <v/>
      </c>
      <c r="O594" t="str">
        <f t="array" ref="O594">IFERROR(INDEX('Player Raw Data'!AB:AB,Match($A594,'Player Raw Data'!$B:$B,0)),"")</f>
        <v/>
      </c>
      <c r="P594" t="str">
        <f t="array" ref="P594">IFERROR(INDEX('Player Raw Data'!AD:AD,Match($A594,'Player Raw Data'!$B:$B,0)),"")</f>
        <v/>
      </c>
      <c r="Q594">
        <f t="shared" si="1"/>
        <v>0</v>
      </c>
      <c r="R594" s="9">
        <f t="shared" si="2"/>
        <v>0</v>
      </c>
      <c r="S594" s="14">
        <f t="shared" si="3"/>
        <v>0</v>
      </c>
      <c r="T594" s="15">
        <f>IFERROR(__xludf.DUMMYFUNCTION("IFERROR(PERCENTRANK.INC(FILTER(Q:Q,$F:$F&lt;&gt;""""),Q594)*100,"""")"),1.5)</f>
        <v>1.5</v>
      </c>
      <c r="U594" s="15">
        <f>IFERROR(__xludf.DUMMYFUNCTION("IFERROR(PERCENTRANK.INC(FILTER(R:R,$F:$F&lt;&gt;""""),R594)*100,"""")"),1.5)</f>
        <v>1.5</v>
      </c>
      <c r="V594" s="15">
        <f>IFERROR(__xludf.DUMMYFUNCTION("IFERROR(PERCENTRANK.INC(FILTER(S:S,$F:$F&lt;&gt;""""),S594)*100,"""")"),1.5)</f>
        <v>1.5</v>
      </c>
      <c r="W594" s="15" t="str">
        <f t="shared" si="4"/>
        <v/>
      </c>
      <c r="X594" s="16"/>
      <c r="Y594" s="9"/>
      <c r="Z594" s="9"/>
    </row>
    <row r="595">
      <c r="B595" t="str">
        <f t="array" ref="B595">IFERROR(INDEX('Player Raw Data'!E:E,Match($A595,'Player Raw Data'!$B:$B,0)),"")</f>
        <v/>
      </c>
      <c r="C595" t="str">
        <f t="array" ref="C595">IFERROR(INDEX('Player Raw Data'!C:C,Match($A595,'Player Raw Data'!$B:$B,0)),"")</f>
        <v/>
      </c>
      <c r="D595" t="str">
        <f t="array" ref="D595">IFERROR(IF(A595=A594, INDEX('Player Raw Data'!D:D,Match($A595,'Player Raw Data'!$B:$B,0)+2),INDEX('Player Raw Data'!D:D,Match($A595,'Player Raw Data'!$B:$B,0))),"")</f>
        <v/>
      </c>
      <c r="E595" t="str">
        <f t="array" ref="E595">IFERROR(INDEX('Player Raw Data'!F:F,Match($A595,'Player Raw Data'!$B:$B,0)),"")</f>
        <v/>
      </c>
      <c r="F595" t="str">
        <f t="array" ref="F595">IFERROR(INDEX('Player Raw Data'!H:H,Match($A595,'Player Raw Data'!$B:$B,0)),"")</f>
        <v/>
      </c>
      <c r="G595" t="str">
        <f t="array" ref="G595">IFERROR(INDEX('Player Raw Data'!I:I,Match($A595,'Player Raw Data'!$B:$B,0)),"")</f>
        <v/>
      </c>
      <c r="H595" t="str">
        <f t="array" ref="H595">IFERROR(INDEX('Player Raw Data'!J:J,Match($A595,'Player Raw Data'!$B:$B,0)),"")</f>
        <v/>
      </c>
      <c r="I595" t="str">
        <f t="array" ref="I595">IFERROR(INDEX('Player Raw Data'!S:S,Match($A595,'Player Raw Data'!$B:$B,0)),"")</f>
        <v/>
      </c>
      <c r="J595" t="str">
        <f t="array" ref="J595">IFERROR(INDEX('Player Raw Data'!T:T,Match($A595,'Player Raw Data'!$B:$B,0)),"")</f>
        <v/>
      </c>
      <c r="K595" t="str">
        <f t="array" ref="K595">IFERROR(INDEX('Player Raw Data'!X:X,Match($A595,'Player Raw Data'!$B:$B,0)),"")</f>
        <v/>
      </c>
      <c r="L595" t="str">
        <f t="array" ref="L595">IFERROR(INDEX('Player Raw Data'!Y:Y,Match($A595,'Player Raw Data'!$B:$B,0)),"")</f>
        <v/>
      </c>
      <c r="M595" t="str">
        <f t="array" ref="M595">IFERROR(INDEX('Player Raw Data'!Z:Z,Match($A595,'Player Raw Data'!$B:$B,0)),"")</f>
        <v/>
      </c>
      <c r="N595" t="str">
        <f t="array" ref="N595">IFERROR(INDEX('Player Raw Data'!AA:AA,Match($A595,'Player Raw Data'!$B:$B,0)),"")</f>
        <v/>
      </c>
      <c r="O595" t="str">
        <f t="array" ref="O595">IFERROR(INDEX('Player Raw Data'!AB:AB,Match($A595,'Player Raw Data'!$B:$B,0)),"")</f>
        <v/>
      </c>
      <c r="P595" t="str">
        <f t="array" ref="P595">IFERROR(INDEX('Player Raw Data'!AD:AD,Match($A595,'Player Raw Data'!$B:$B,0)),"")</f>
        <v/>
      </c>
      <c r="Q595">
        <f t="shared" si="1"/>
        <v>0</v>
      </c>
      <c r="R595" s="9">
        <f t="shared" si="2"/>
        <v>0</v>
      </c>
      <c r="S595" s="14">
        <f t="shared" si="3"/>
        <v>0</v>
      </c>
      <c r="T595" s="15">
        <f>IFERROR(__xludf.DUMMYFUNCTION("IFERROR(PERCENTRANK.INC(FILTER(Q:Q,$F:$F&lt;&gt;""""),Q595)*100,"""")"),1.5)</f>
        <v>1.5</v>
      </c>
      <c r="U595" s="15">
        <f>IFERROR(__xludf.DUMMYFUNCTION("IFERROR(PERCENTRANK.INC(FILTER(R:R,$F:$F&lt;&gt;""""),R595)*100,"""")"),1.5)</f>
        <v>1.5</v>
      </c>
      <c r="V595" s="15">
        <f>IFERROR(__xludf.DUMMYFUNCTION("IFERROR(PERCENTRANK.INC(FILTER(S:S,$F:$F&lt;&gt;""""),S595)*100,"""")"),1.5)</f>
        <v>1.5</v>
      </c>
      <c r="W595" s="15" t="str">
        <f t="shared" si="4"/>
        <v/>
      </c>
      <c r="X595" s="16"/>
      <c r="Y595" s="9"/>
      <c r="Z595" s="9"/>
    </row>
    <row r="596">
      <c r="B596" t="str">
        <f t="array" ref="B596">IFERROR(INDEX('Player Raw Data'!E:E,Match($A596,'Player Raw Data'!$B:$B,0)),"")</f>
        <v/>
      </c>
      <c r="C596" t="str">
        <f t="array" ref="C596">IFERROR(INDEX('Player Raw Data'!C:C,Match($A596,'Player Raw Data'!$B:$B,0)),"")</f>
        <v/>
      </c>
      <c r="D596" t="str">
        <f t="array" ref="D596">IFERROR(IF(A596=A595, INDEX('Player Raw Data'!D:D,Match($A596,'Player Raw Data'!$B:$B,0)+2),INDEX('Player Raw Data'!D:D,Match($A596,'Player Raw Data'!$B:$B,0))),"")</f>
        <v/>
      </c>
      <c r="E596" t="str">
        <f t="array" ref="E596">IFERROR(INDEX('Player Raw Data'!F:F,Match($A596,'Player Raw Data'!$B:$B,0)),"")</f>
        <v/>
      </c>
      <c r="F596" t="str">
        <f t="array" ref="F596">IFERROR(INDEX('Player Raw Data'!H:H,Match($A596,'Player Raw Data'!$B:$B,0)),"")</f>
        <v/>
      </c>
      <c r="G596" t="str">
        <f t="array" ref="G596">IFERROR(INDEX('Player Raw Data'!I:I,Match($A596,'Player Raw Data'!$B:$B,0)),"")</f>
        <v/>
      </c>
      <c r="H596" t="str">
        <f t="array" ref="H596">IFERROR(INDEX('Player Raw Data'!J:J,Match($A596,'Player Raw Data'!$B:$B,0)),"")</f>
        <v/>
      </c>
      <c r="I596" t="str">
        <f t="array" ref="I596">IFERROR(INDEX('Player Raw Data'!S:S,Match($A596,'Player Raw Data'!$B:$B,0)),"")</f>
        <v/>
      </c>
      <c r="J596" t="str">
        <f t="array" ref="J596">IFERROR(INDEX('Player Raw Data'!T:T,Match($A596,'Player Raw Data'!$B:$B,0)),"")</f>
        <v/>
      </c>
      <c r="K596" t="str">
        <f t="array" ref="K596">IFERROR(INDEX('Player Raw Data'!X:X,Match($A596,'Player Raw Data'!$B:$B,0)),"")</f>
        <v/>
      </c>
      <c r="L596" t="str">
        <f t="array" ref="L596">IFERROR(INDEX('Player Raw Data'!Y:Y,Match($A596,'Player Raw Data'!$B:$B,0)),"")</f>
        <v/>
      </c>
      <c r="M596" t="str">
        <f t="array" ref="M596">IFERROR(INDEX('Player Raw Data'!Z:Z,Match($A596,'Player Raw Data'!$B:$B,0)),"")</f>
        <v/>
      </c>
      <c r="N596" t="str">
        <f t="array" ref="N596">IFERROR(INDEX('Player Raw Data'!AA:AA,Match($A596,'Player Raw Data'!$B:$B,0)),"")</f>
        <v/>
      </c>
      <c r="O596" t="str">
        <f t="array" ref="O596">IFERROR(INDEX('Player Raw Data'!AB:AB,Match($A596,'Player Raw Data'!$B:$B,0)),"")</f>
        <v/>
      </c>
      <c r="P596" t="str">
        <f t="array" ref="P596">IFERROR(INDEX('Player Raw Data'!AD:AD,Match($A596,'Player Raw Data'!$B:$B,0)),"")</f>
        <v/>
      </c>
      <c r="Q596">
        <f t="shared" si="1"/>
        <v>0</v>
      </c>
      <c r="R596" s="9">
        <f t="shared" si="2"/>
        <v>0</v>
      </c>
      <c r="S596" s="14">
        <f t="shared" si="3"/>
        <v>0</v>
      </c>
      <c r="T596" s="15">
        <f>IFERROR(__xludf.DUMMYFUNCTION("IFERROR(PERCENTRANK.INC(FILTER(Q:Q,$F:$F&lt;&gt;""""),Q596)*100,"""")"),1.5)</f>
        <v>1.5</v>
      </c>
      <c r="U596" s="15">
        <f>IFERROR(__xludf.DUMMYFUNCTION("IFERROR(PERCENTRANK.INC(FILTER(R:R,$F:$F&lt;&gt;""""),R596)*100,"""")"),1.5)</f>
        <v>1.5</v>
      </c>
      <c r="V596" s="15">
        <f>IFERROR(__xludf.DUMMYFUNCTION("IFERROR(PERCENTRANK.INC(FILTER(S:S,$F:$F&lt;&gt;""""),S596)*100,"""")"),1.5)</f>
        <v>1.5</v>
      </c>
      <c r="W596" s="15" t="str">
        <f t="shared" si="4"/>
        <v/>
      </c>
      <c r="X596" s="16"/>
      <c r="Y596" s="9"/>
      <c r="Z596" s="9"/>
    </row>
    <row r="597">
      <c r="B597" t="str">
        <f t="array" ref="B597">IFERROR(INDEX('Player Raw Data'!E:E,Match($A597,'Player Raw Data'!$B:$B,0)),"")</f>
        <v/>
      </c>
      <c r="C597" t="str">
        <f t="array" ref="C597">IFERROR(INDEX('Player Raw Data'!C:C,Match($A597,'Player Raw Data'!$B:$B,0)),"")</f>
        <v/>
      </c>
      <c r="D597" t="str">
        <f t="array" ref="D597">IFERROR(IF(A597=A596, INDEX('Player Raw Data'!D:D,Match($A597,'Player Raw Data'!$B:$B,0)+2),INDEX('Player Raw Data'!D:D,Match($A597,'Player Raw Data'!$B:$B,0))),"")</f>
        <v/>
      </c>
      <c r="E597" t="str">
        <f t="array" ref="E597">IFERROR(INDEX('Player Raw Data'!F:F,Match($A597,'Player Raw Data'!$B:$B,0)),"")</f>
        <v/>
      </c>
      <c r="F597" t="str">
        <f t="array" ref="F597">IFERROR(INDEX('Player Raw Data'!H:H,Match($A597,'Player Raw Data'!$B:$B,0)),"")</f>
        <v/>
      </c>
      <c r="G597" t="str">
        <f t="array" ref="G597">IFERROR(INDEX('Player Raw Data'!I:I,Match($A597,'Player Raw Data'!$B:$B,0)),"")</f>
        <v/>
      </c>
      <c r="H597" t="str">
        <f t="array" ref="H597">IFERROR(INDEX('Player Raw Data'!J:J,Match($A597,'Player Raw Data'!$B:$B,0)),"")</f>
        <v/>
      </c>
      <c r="I597" t="str">
        <f t="array" ref="I597">IFERROR(INDEX('Player Raw Data'!S:S,Match($A597,'Player Raw Data'!$B:$B,0)),"")</f>
        <v/>
      </c>
      <c r="J597" t="str">
        <f t="array" ref="J597">IFERROR(INDEX('Player Raw Data'!T:T,Match($A597,'Player Raw Data'!$B:$B,0)),"")</f>
        <v/>
      </c>
      <c r="K597" t="str">
        <f t="array" ref="K597">IFERROR(INDEX('Player Raw Data'!X:X,Match($A597,'Player Raw Data'!$B:$B,0)),"")</f>
        <v/>
      </c>
      <c r="L597" t="str">
        <f t="array" ref="L597">IFERROR(INDEX('Player Raw Data'!Y:Y,Match($A597,'Player Raw Data'!$B:$B,0)),"")</f>
        <v/>
      </c>
      <c r="M597" t="str">
        <f t="array" ref="M597">IFERROR(INDEX('Player Raw Data'!Z:Z,Match($A597,'Player Raw Data'!$B:$B,0)),"")</f>
        <v/>
      </c>
      <c r="N597" t="str">
        <f t="array" ref="N597">IFERROR(INDEX('Player Raw Data'!AA:AA,Match($A597,'Player Raw Data'!$B:$B,0)),"")</f>
        <v/>
      </c>
      <c r="O597" t="str">
        <f t="array" ref="O597">IFERROR(INDEX('Player Raw Data'!AB:AB,Match($A597,'Player Raw Data'!$B:$B,0)),"")</f>
        <v/>
      </c>
      <c r="P597" t="str">
        <f t="array" ref="P597">IFERROR(INDEX('Player Raw Data'!AD:AD,Match($A597,'Player Raw Data'!$B:$B,0)),"")</f>
        <v/>
      </c>
      <c r="Q597">
        <f t="shared" si="1"/>
        <v>0</v>
      </c>
      <c r="R597" s="9">
        <f t="shared" si="2"/>
        <v>0</v>
      </c>
      <c r="S597" s="14">
        <f t="shared" si="3"/>
        <v>0</v>
      </c>
      <c r="T597" s="15">
        <f>IFERROR(__xludf.DUMMYFUNCTION("IFERROR(PERCENTRANK.INC(FILTER(Q:Q,$F:$F&lt;&gt;""""),Q597)*100,"""")"),1.5)</f>
        <v>1.5</v>
      </c>
      <c r="U597" s="15">
        <f>IFERROR(__xludf.DUMMYFUNCTION("IFERROR(PERCENTRANK.INC(FILTER(R:R,$F:$F&lt;&gt;""""),R597)*100,"""")"),1.5)</f>
        <v>1.5</v>
      </c>
      <c r="V597" s="15">
        <f>IFERROR(__xludf.DUMMYFUNCTION("IFERROR(PERCENTRANK.INC(FILTER(S:S,$F:$F&lt;&gt;""""),S597)*100,"""")"),1.5)</f>
        <v>1.5</v>
      </c>
      <c r="W597" s="15" t="str">
        <f t="shared" si="4"/>
        <v/>
      </c>
      <c r="X597" s="16"/>
      <c r="Y597" s="9"/>
      <c r="Z597" s="9"/>
    </row>
    <row r="598">
      <c r="B598" t="str">
        <f t="array" ref="B598">IFERROR(INDEX('Player Raw Data'!E:E,Match($A598,'Player Raw Data'!$B:$B,0)),"")</f>
        <v/>
      </c>
      <c r="C598" t="str">
        <f t="array" ref="C598">IFERROR(INDEX('Player Raw Data'!C:C,Match($A598,'Player Raw Data'!$B:$B,0)),"")</f>
        <v/>
      </c>
      <c r="D598" t="str">
        <f t="array" ref="D598">IFERROR(IF(A598=A597, INDEX('Player Raw Data'!D:D,Match($A598,'Player Raw Data'!$B:$B,0)+2),INDEX('Player Raw Data'!D:D,Match($A598,'Player Raw Data'!$B:$B,0))),"")</f>
        <v/>
      </c>
      <c r="E598" t="str">
        <f t="array" ref="E598">IFERROR(INDEX('Player Raw Data'!F:F,Match($A598,'Player Raw Data'!$B:$B,0)),"")</f>
        <v/>
      </c>
      <c r="F598" t="str">
        <f t="array" ref="F598">IFERROR(INDEX('Player Raw Data'!H:H,Match($A598,'Player Raw Data'!$B:$B,0)),"")</f>
        <v/>
      </c>
      <c r="G598" t="str">
        <f t="array" ref="G598">IFERROR(INDEX('Player Raw Data'!I:I,Match($A598,'Player Raw Data'!$B:$B,0)),"")</f>
        <v/>
      </c>
      <c r="H598" t="str">
        <f t="array" ref="H598">IFERROR(INDEX('Player Raw Data'!J:J,Match($A598,'Player Raw Data'!$B:$B,0)),"")</f>
        <v/>
      </c>
      <c r="I598" t="str">
        <f t="array" ref="I598">IFERROR(INDEX('Player Raw Data'!S:S,Match($A598,'Player Raw Data'!$B:$B,0)),"")</f>
        <v/>
      </c>
      <c r="J598" t="str">
        <f t="array" ref="J598">IFERROR(INDEX('Player Raw Data'!T:T,Match($A598,'Player Raw Data'!$B:$B,0)),"")</f>
        <v/>
      </c>
      <c r="K598" t="str">
        <f t="array" ref="K598">IFERROR(INDEX('Player Raw Data'!X:X,Match($A598,'Player Raw Data'!$B:$B,0)),"")</f>
        <v/>
      </c>
      <c r="L598" t="str">
        <f t="array" ref="L598">IFERROR(INDEX('Player Raw Data'!Y:Y,Match($A598,'Player Raw Data'!$B:$B,0)),"")</f>
        <v/>
      </c>
      <c r="M598" t="str">
        <f t="array" ref="M598">IFERROR(INDEX('Player Raw Data'!Z:Z,Match($A598,'Player Raw Data'!$B:$B,0)),"")</f>
        <v/>
      </c>
      <c r="N598" t="str">
        <f t="array" ref="N598">IFERROR(INDEX('Player Raw Data'!AA:AA,Match($A598,'Player Raw Data'!$B:$B,0)),"")</f>
        <v/>
      </c>
      <c r="O598" t="str">
        <f t="array" ref="O598">IFERROR(INDEX('Player Raw Data'!AB:AB,Match($A598,'Player Raw Data'!$B:$B,0)),"")</f>
        <v/>
      </c>
      <c r="P598" t="str">
        <f t="array" ref="P598">IFERROR(INDEX('Player Raw Data'!AD:AD,Match($A598,'Player Raw Data'!$B:$B,0)),"")</f>
        <v/>
      </c>
      <c r="Q598">
        <f t="shared" si="1"/>
        <v>0</v>
      </c>
      <c r="R598" s="9">
        <f t="shared" si="2"/>
        <v>0</v>
      </c>
      <c r="S598" s="14">
        <f t="shared" si="3"/>
        <v>0</v>
      </c>
      <c r="T598" s="15">
        <f>IFERROR(__xludf.DUMMYFUNCTION("IFERROR(PERCENTRANK.INC(FILTER(Q:Q,$F:$F&lt;&gt;""""),Q598)*100,"""")"),1.5)</f>
        <v>1.5</v>
      </c>
      <c r="U598" s="15">
        <f>IFERROR(__xludf.DUMMYFUNCTION("IFERROR(PERCENTRANK.INC(FILTER(R:R,$F:$F&lt;&gt;""""),R598)*100,"""")"),1.5)</f>
        <v>1.5</v>
      </c>
      <c r="V598" s="15">
        <f>IFERROR(__xludf.DUMMYFUNCTION("IFERROR(PERCENTRANK.INC(FILTER(S:S,$F:$F&lt;&gt;""""),S598)*100,"""")"),1.5)</f>
        <v>1.5</v>
      </c>
      <c r="W598" s="15" t="str">
        <f t="shared" si="4"/>
        <v/>
      </c>
      <c r="X598" s="16"/>
      <c r="Y598" s="9"/>
      <c r="Z598" s="9"/>
    </row>
    <row r="599">
      <c r="B599" t="str">
        <f t="array" ref="B599">IFERROR(INDEX('Player Raw Data'!E:E,Match($A599,'Player Raw Data'!$B:$B,0)),"")</f>
        <v/>
      </c>
      <c r="C599" t="str">
        <f t="array" ref="C599">IFERROR(INDEX('Player Raw Data'!C:C,Match($A599,'Player Raw Data'!$B:$B,0)),"")</f>
        <v/>
      </c>
      <c r="D599" t="str">
        <f t="array" ref="D599">IFERROR(IF(A599=A598, INDEX('Player Raw Data'!D:D,Match($A599,'Player Raw Data'!$B:$B,0)+2),INDEX('Player Raw Data'!D:D,Match($A599,'Player Raw Data'!$B:$B,0))),"")</f>
        <v/>
      </c>
      <c r="E599" t="str">
        <f t="array" ref="E599">IFERROR(INDEX('Player Raw Data'!F:F,Match($A599,'Player Raw Data'!$B:$B,0)),"")</f>
        <v/>
      </c>
      <c r="F599" t="str">
        <f t="array" ref="F599">IFERROR(INDEX('Player Raw Data'!H:H,Match($A599,'Player Raw Data'!$B:$B,0)),"")</f>
        <v/>
      </c>
      <c r="G599" t="str">
        <f t="array" ref="G599">IFERROR(INDEX('Player Raw Data'!I:I,Match($A599,'Player Raw Data'!$B:$B,0)),"")</f>
        <v/>
      </c>
      <c r="H599" t="str">
        <f t="array" ref="H599">IFERROR(INDEX('Player Raw Data'!J:J,Match($A599,'Player Raw Data'!$B:$B,0)),"")</f>
        <v/>
      </c>
      <c r="I599" t="str">
        <f t="array" ref="I599">IFERROR(INDEX('Player Raw Data'!S:S,Match($A599,'Player Raw Data'!$B:$B,0)),"")</f>
        <v/>
      </c>
      <c r="J599" t="str">
        <f t="array" ref="J599">IFERROR(INDEX('Player Raw Data'!T:T,Match($A599,'Player Raw Data'!$B:$B,0)),"")</f>
        <v/>
      </c>
      <c r="K599" t="str">
        <f t="array" ref="K599">IFERROR(INDEX('Player Raw Data'!X:X,Match($A599,'Player Raw Data'!$B:$B,0)),"")</f>
        <v/>
      </c>
      <c r="L599" t="str">
        <f t="array" ref="L599">IFERROR(INDEX('Player Raw Data'!Y:Y,Match($A599,'Player Raw Data'!$B:$B,0)),"")</f>
        <v/>
      </c>
      <c r="M599" t="str">
        <f t="array" ref="M599">IFERROR(INDEX('Player Raw Data'!Z:Z,Match($A599,'Player Raw Data'!$B:$B,0)),"")</f>
        <v/>
      </c>
      <c r="N599" t="str">
        <f t="array" ref="N599">IFERROR(INDEX('Player Raw Data'!AA:AA,Match($A599,'Player Raw Data'!$B:$B,0)),"")</f>
        <v/>
      </c>
      <c r="O599" t="str">
        <f t="array" ref="O599">IFERROR(INDEX('Player Raw Data'!AB:AB,Match($A599,'Player Raw Data'!$B:$B,0)),"")</f>
        <v/>
      </c>
      <c r="P599" t="str">
        <f t="array" ref="P599">IFERROR(INDEX('Player Raw Data'!AD:AD,Match($A599,'Player Raw Data'!$B:$B,0)),"")</f>
        <v/>
      </c>
      <c r="Q599">
        <f t="shared" si="1"/>
        <v>0</v>
      </c>
      <c r="R599" s="9">
        <f t="shared" si="2"/>
        <v>0</v>
      </c>
      <c r="S599" s="14">
        <f t="shared" si="3"/>
        <v>0</v>
      </c>
      <c r="T599" s="15">
        <f>IFERROR(__xludf.DUMMYFUNCTION("IFERROR(PERCENTRANK.INC(FILTER(Q:Q,$F:$F&lt;&gt;""""),Q599)*100,"""")"),1.5)</f>
        <v>1.5</v>
      </c>
      <c r="U599" s="15">
        <f>IFERROR(__xludf.DUMMYFUNCTION("IFERROR(PERCENTRANK.INC(FILTER(R:R,$F:$F&lt;&gt;""""),R599)*100,"""")"),1.5)</f>
        <v>1.5</v>
      </c>
      <c r="V599" s="15">
        <f>IFERROR(__xludf.DUMMYFUNCTION("IFERROR(PERCENTRANK.INC(FILTER(S:S,$F:$F&lt;&gt;""""),S599)*100,"""")"),1.5)</f>
        <v>1.5</v>
      </c>
      <c r="W599" s="15" t="str">
        <f t="shared" si="4"/>
        <v/>
      </c>
      <c r="X599" s="16"/>
      <c r="Y599" s="9"/>
      <c r="Z599" s="9"/>
    </row>
    <row r="600">
      <c r="B600" t="str">
        <f t="array" ref="B600">IFERROR(INDEX('Player Raw Data'!E:E,Match($A600,'Player Raw Data'!$B:$B,0)),"")</f>
        <v/>
      </c>
      <c r="C600" t="str">
        <f t="array" ref="C600">IFERROR(INDEX('Player Raw Data'!C:C,Match($A600,'Player Raw Data'!$B:$B,0)),"")</f>
        <v/>
      </c>
      <c r="D600" t="str">
        <f t="array" ref="D600">IFERROR(IF(A600=A599, INDEX('Player Raw Data'!D:D,Match($A600,'Player Raw Data'!$B:$B,0)+2),INDEX('Player Raw Data'!D:D,Match($A600,'Player Raw Data'!$B:$B,0))),"")</f>
        <v/>
      </c>
      <c r="E600" t="str">
        <f t="array" ref="E600">IFERROR(INDEX('Player Raw Data'!F:F,Match($A600,'Player Raw Data'!$B:$B,0)),"")</f>
        <v/>
      </c>
      <c r="F600" t="str">
        <f t="array" ref="F600">IFERROR(INDEX('Player Raw Data'!H:H,Match($A600,'Player Raw Data'!$B:$B,0)),"")</f>
        <v/>
      </c>
      <c r="G600" t="str">
        <f t="array" ref="G600">IFERROR(INDEX('Player Raw Data'!I:I,Match($A600,'Player Raw Data'!$B:$B,0)),"")</f>
        <v/>
      </c>
      <c r="H600" t="str">
        <f t="array" ref="H600">IFERROR(INDEX('Player Raw Data'!J:J,Match($A600,'Player Raw Data'!$B:$B,0)),"")</f>
        <v/>
      </c>
      <c r="I600" t="str">
        <f t="array" ref="I600">IFERROR(INDEX('Player Raw Data'!S:S,Match($A600,'Player Raw Data'!$B:$B,0)),"")</f>
        <v/>
      </c>
      <c r="J600" t="str">
        <f t="array" ref="J600">IFERROR(INDEX('Player Raw Data'!T:T,Match($A600,'Player Raw Data'!$B:$B,0)),"")</f>
        <v/>
      </c>
      <c r="K600" t="str">
        <f t="array" ref="K600">IFERROR(INDEX('Player Raw Data'!X:X,Match($A600,'Player Raw Data'!$B:$B,0)),"")</f>
        <v/>
      </c>
      <c r="L600" t="str">
        <f t="array" ref="L600">IFERROR(INDEX('Player Raw Data'!Y:Y,Match($A600,'Player Raw Data'!$B:$B,0)),"")</f>
        <v/>
      </c>
      <c r="M600" t="str">
        <f t="array" ref="M600">IFERROR(INDEX('Player Raw Data'!Z:Z,Match($A600,'Player Raw Data'!$B:$B,0)),"")</f>
        <v/>
      </c>
      <c r="N600" t="str">
        <f t="array" ref="N600">IFERROR(INDEX('Player Raw Data'!AA:AA,Match($A600,'Player Raw Data'!$B:$B,0)),"")</f>
        <v/>
      </c>
      <c r="O600" t="str">
        <f t="array" ref="O600">IFERROR(INDEX('Player Raw Data'!AB:AB,Match($A600,'Player Raw Data'!$B:$B,0)),"")</f>
        <v/>
      </c>
      <c r="P600" t="str">
        <f t="array" ref="P600">IFERROR(INDEX('Player Raw Data'!AD:AD,Match($A600,'Player Raw Data'!$B:$B,0)),"")</f>
        <v/>
      </c>
      <c r="Q600">
        <f t="shared" si="1"/>
        <v>0</v>
      </c>
      <c r="R600" s="9">
        <f t="shared" si="2"/>
        <v>0</v>
      </c>
      <c r="S600" s="14">
        <f t="shared" si="3"/>
        <v>0</v>
      </c>
      <c r="T600" s="15">
        <f>IFERROR(__xludf.DUMMYFUNCTION("IFERROR(PERCENTRANK.INC(FILTER(Q:Q,$F:$F&lt;&gt;""""),Q600)*100,"""")"),1.5)</f>
        <v>1.5</v>
      </c>
      <c r="U600" s="15">
        <f>IFERROR(__xludf.DUMMYFUNCTION("IFERROR(PERCENTRANK.INC(FILTER(R:R,$F:$F&lt;&gt;""""),R600)*100,"""")"),1.5)</f>
        <v>1.5</v>
      </c>
      <c r="V600" s="15">
        <f>IFERROR(__xludf.DUMMYFUNCTION("IFERROR(PERCENTRANK.INC(FILTER(S:S,$F:$F&lt;&gt;""""),S600)*100,"""")"),1.5)</f>
        <v>1.5</v>
      </c>
      <c r="W600" s="15" t="str">
        <f t="shared" si="4"/>
        <v/>
      </c>
      <c r="X600" s="16"/>
      <c r="Y600" s="9"/>
      <c r="Z600" s="9"/>
    </row>
    <row r="601">
      <c r="B601" t="str">
        <f t="array" ref="B601">IFERROR(INDEX('Player Raw Data'!E:E,Match($A601,'Player Raw Data'!$B:$B,0)),"")</f>
        <v/>
      </c>
      <c r="C601" t="str">
        <f t="array" ref="C601">IFERROR(INDEX('Player Raw Data'!C:C,Match($A601,'Player Raw Data'!$B:$B,0)),"")</f>
        <v/>
      </c>
      <c r="D601" t="str">
        <f t="array" ref="D601">IFERROR(IF(A601=A600, INDEX('Player Raw Data'!D:D,Match($A601,'Player Raw Data'!$B:$B,0)+2),INDEX('Player Raw Data'!D:D,Match($A601,'Player Raw Data'!$B:$B,0))),"")</f>
        <v/>
      </c>
      <c r="E601" t="str">
        <f t="array" ref="E601">IFERROR(INDEX('Player Raw Data'!F:F,Match($A601,'Player Raw Data'!$B:$B,0)),"")</f>
        <v/>
      </c>
      <c r="F601" t="str">
        <f t="array" ref="F601">IFERROR(INDEX('Player Raw Data'!H:H,Match($A601,'Player Raw Data'!$B:$B,0)),"")</f>
        <v/>
      </c>
      <c r="G601" t="str">
        <f t="array" ref="G601">IFERROR(INDEX('Player Raw Data'!I:I,Match($A601,'Player Raw Data'!$B:$B,0)),"")</f>
        <v/>
      </c>
      <c r="H601" t="str">
        <f t="array" ref="H601">IFERROR(INDEX('Player Raw Data'!J:J,Match($A601,'Player Raw Data'!$B:$B,0)),"")</f>
        <v/>
      </c>
      <c r="I601" t="str">
        <f t="array" ref="I601">IFERROR(INDEX('Player Raw Data'!S:S,Match($A601,'Player Raw Data'!$B:$B,0)),"")</f>
        <v/>
      </c>
      <c r="J601" t="str">
        <f t="array" ref="J601">IFERROR(INDEX('Player Raw Data'!T:T,Match($A601,'Player Raw Data'!$B:$B,0)),"")</f>
        <v/>
      </c>
      <c r="K601" t="str">
        <f t="array" ref="K601">IFERROR(INDEX('Player Raw Data'!X:X,Match($A601,'Player Raw Data'!$B:$B,0)),"")</f>
        <v/>
      </c>
      <c r="L601" t="str">
        <f t="array" ref="L601">IFERROR(INDEX('Player Raw Data'!Y:Y,Match($A601,'Player Raw Data'!$B:$B,0)),"")</f>
        <v/>
      </c>
      <c r="M601" t="str">
        <f t="array" ref="M601">IFERROR(INDEX('Player Raw Data'!Z:Z,Match($A601,'Player Raw Data'!$B:$B,0)),"")</f>
        <v/>
      </c>
      <c r="N601" t="str">
        <f t="array" ref="N601">IFERROR(INDEX('Player Raw Data'!AA:AA,Match($A601,'Player Raw Data'!$B:$B,0)),"")</f>
        <v/>
      </c>
      <c r="O601" t="str">
        <f t="array" ref="O601">IFERROR(INDEX('Player Raw Data'!AB:AB,Match($A601,'Player Raw Data'!$B:$B,0)),"")</f>
        <v/>
      </c>
      <c r="P601" t="str">
        <f t="array" ref="P601">IFERROR(INDEX('Player Raw Data'!AD:AD,Match($A601,'Player Raw Data'!$B:$B,0)),"")</f>
        <v/>
      </c>
      <c r="Q601">
        <f t="shared" si="1"/>
        <v>0</v>
      </c>
      <c r="R601" s="9">
        <f t="shared" si="2"/>
        <v>0</v>
      </c>
      <c r="S601" s="14">
        <f t="shared" si="3"/>
        <v>0</v>
      </c>
      <c r="T601" s="15">
        <f>IFERROR(__xludf.DUMMYFUNCTION("IFERROR(PERCENTRANK.INC(FILTER(Q:Q,$F:$F&lt;&gt;""""),Q601)*100,"""")"),1.5)</f>
        <v>1.5</v>
      </c>
      <c r="U601" s="15">
        <f>IFERROR(__xludf.DUMMYFUNCTION("IFERROR(PERCENTRANK.INC(FILTER(R:R,$F:$F&lt;&gt;""""),R601)*100,"""")"),1.5)</f>
        <v>1.5</v>
      </c>
      <c r="V601" s="15">
        <f>IFERROR(__xludf.DUMMYFUNCTION("IFERROR(PERCENTRANK.INC(FILTER(S:S,$F:$F&lt;&gt;""""),S601)*100,"""")"),1.5)</f>
        <v>1.5</v>
      </c>
      <c r="W601" s="15" t="str">
        <f t="shared" si="4"/>
        <v/>
      </c>
      <c r="X601" s="16"/>
      <c r="Y601" s="9"/>
      <c r="Z601" s="9"/>
    </row>
    <row r="602">
      <c r="B602" t="str">
        <f t="array" ref="B602">IFERROR(INDEX('Player Raw Data'!E:E,Match($A602,'Player Raw Data'!$B:$B,0)),"")</f>
        <v/>
      </c>
      <c r="C602" t="str">
        <f t="array" ref="C602">IFERROR(INDEX('Player Raw Data'!C:C,Match($A602,'Player Raw Data'!$B:$B,0)),"")</f>
        <v/>
      </c>
      <c r="D602" t="str">
        <f t="array" ref="D602">IFERROR(IF(A602=A601, INDEX('Player Raw Data'!D:D,Match($A602,'Player Raw Data'!$B:$B,0)+2),INDEX('Player Raw Data'!D:D,Match($A602,'Player Raw Data'!$B:$B,0))),"")</f>
        <v/>
      </c>
      <c r="E602" t="str">
        <f t="array" ref="E602">IFERROR(INDEX('Player Raw Data'!F:F,Match($A602,'Player Raw Data'!$B:$B,0)),"")</f>
        <v/>
      </c>
      <c r="F602" t="str">
        <f t="array" ref="F602">IFERROR(INDEX('Player Raw Data'!H:H,Match($A602,'Player Raw Data'!$B:$B,0)),"")</f>
        <v/>
      </c>
      <c r="G602" t="str">
        <f t="array" ref="G602">IFERROR(INDEX('Player Raw Data'!I:I,Match($A602,'Player Raw Data'!$B:$B,0)),"")</f>
        <v/>
      </c>
      <c r="H602" t="str">
        <f t="array" ref="H602">IFERROR(INDEX('Player Raw Data'!J:J,Match($A602,'Player Raw Data'!$B:$B,0)),"")</f>
        <v/>
      </c>
      <c r="I602" t="str">
        <f t="array" ref="I602">IFERROR(INDEX('Player Raw Data'!S:S,Match($A602,'Player Raw Data'!$B:$B,0)),"")</f>
        <v/>
      </c>
      <c r="J602" t="str">
        <f t="array" ref="J602">IFERROR(INDEX('Player Raw Data'!T:T,Match($A602,'Player Raw Data'!$B:$B,0)),"")</f>
        <v/>
      </c>
      <c r="K602" t="str">
        <f t="array" ref="K602">IFERROR(INDEX('Player Raw Data'!X:X,Match($A602,'Player Raw Data'!$B:$B,0)),"")</f>
        <v/>
      </c>
      <c r="L602" t="str">
        <f t="array" ref="L602">IFERROR(INDEX('Player Raw Data'!Y:Y,Match($A602,'Player Raw Data'!$B:$B,0)),"")</f>
        <v/>
      </c>
      <c r="M602" t="str">
        <f t="array" ref="M602">IFERROR(INDEX('Player Raw Data'!Z:Z,Match($A602,'Player Raw Data'!$B:$B,0)),"")</f>
        <v/>
      </c>
      <c r="N602" t="str">
        <f t="array" ref="N602">IFERROR(INDEX('Player Raw Data'!AA:AA,Match($A602,'Player Raw Data'!$B:$B,0)),"")</f>
        <v/>
      </c>
      <c r="O602" t="str">
        <f t="array" ref="O602">IFERROR(INDEX('Player Raw Data'!AB:AB,Match($A602,'Player Raw Data'!$B:$B,0)),"")</f>
        <v/>
      </c>
      <c r="P602" t="str">
        <f t="array" ref="P602">IFERROR(INDEX('Player Raw Data'!AD:AD,Match($A602,'Player Raw Data'!$B:$B,0)),"")</f>
        <v/>
      </c>
      <c r="Q602">
        <f t="shared" si="1"/>
        <v>0</v>
      </c>
      <c r="R602" s="9">
        <f t="shared" si="2"/>
        <v>0</v>
      </c>
      <c r="S602" s="14">
        <f t="shared" si="3"/>
        <v>0</v>
      </c>
      <c r="T602" s="15">
        <f>IFERROR(__xludf.DUMMYFUNCTION("IFERROR(PERCENTRANK.INC(FILTER(Q:Q,$F:$F&lt;&gt;""""),Q602)*100,"""")"),1.5)</f>
        <v>1.5</v>
      </c>
      <c r="U602" s="15">
        <f>IFERROR(__xludf.DUMMYFUNCTION("IFERROR(PERCENTRANK.INC(FILTER(R:R,$F:$F&lt;&gt;""""),R602)*100,"""")"),1.5)</f>
        <v>1.5</v>
      </c>
      <c r="V602" s="15">
        <f>IFERROR(__xludf.DUMMYFUNCTION("IFERROR(PERCENTRANK.INC(FILTER(S:S,$F:$F&lt;&gt;""""),S602)*100,"""")"),1.5)</f>
        <v>1.5</v>
      </c>
      <c r="W602" s="15" t="str">
        <f t="shared" si="4"/>
        <v/>
      </c>
      <c r="X602" s="16"/>
      <c r="Y602" s="9"/>
      <c r="Z602" s="9"/>
    </row>
    <row r="603">
      <c r="B603" t="str">
        <f t="array" ref="B603">IFERROR(INDEX('Player Raw Data'!E:E,Match($A603,'Player Raw Data'!$B:$B,0)),"")</f>
        <v/>
      </c>
      <c r="C603" t="str">
        <f t="array" ref="C603">IFERROR(INDEX('Player Raw Data'!C:C,Match($A603,'Player Raw Data'!$B:$B,0)),"")</f>
        <v/>
      </c>
      <c r="D603" t="str">
        <f t="array" ref="D603">IFERROR(IF(A603=A602, INDEX('Player Raw Data'!D:D,Match($A603,'Player Raw Data'!$B:$B,0)+2),INDEX('Player Raw Data'!D:D,Match($A603,'Player Raw Data'!$B:$B,0))),"")</f>
        <v/>
      </c>
      <c r="E603" t="str">
        <f t="array" ref="E603">IFERROR(INDEX('Player Raw Data'!F:F,Match($A603,'Player Raw Data'!$B:$B,0)),"")</f>
        <v/>
      </c>
      <c r="F603" t="str">
        <f t="array" ref="F603">IFERROR(INDEX('Player Raw Data'!H:H,Match($A603,'Player Raw Data'!$B:$B,0)),"")</f>
        <v/>
      </c>
      <c r="G603" t="str">
        <f t="array" ref="G603">IFERROR(INDEX('Player Raw Data'!I:I,Match($A603,'Player Raw Data'!$B:$B,0)),"")</f>
        <v/>
      </c>
      <c r="H603" t="str">
        <f t="array" ref="H603">IFERROR(INDEX('Player Raw Data'!J:J,Match($A603,'Player Raw Data'!$B:$B,0)),"")</f>
        <v/>
      </c>
      <c r="I603" t="str">
        <f t="array" ref="I603">IFERROR(INDEX('Player Raw Data'!S:S,Match($A603,'Player Raw Data'!$B:$B,0)),"")</f>
        <v/>
      </c>
      <c r="J603" t="str">
        <f t="array" ref="J603">IFERROR(INDEX('Player Raw Data'!T:T,Match($A603,'Player Raw Data'!$B:$B,0)),"")</f>
        <v/>
      </c>
      <c r="K603" t="str">
        <f t="array" ref="K603">IFERROR(INDEX('Player Raw Data'!X:X,Match($A603,'Player Raw Data'!$B:$B,0)),"")</f>
        <v/>
      </c>
      <c r="L603" t="str">
        <f t="array" ref="L603">IFERROR(INDEX('Player Raw Data'!Y:Y,Match($A603,'Player Raw Data'!$B:$B,0)),"")</f>
        <v/>
      </c>
      <c r="M603" t="str">
        <f t="array" ref="M603">IFERROR(INDEX('Player Raw Data'!Z:Z,Match($A603,'Player Raw Data'!$B:$B,0)),"")</f>
        <v/>
      </c>
      <c r="N603" t="str">
        <f t="array" ref="N603">IFERROR(INDEX('Player Raw Data'!AA:AA,Match($A603,'Player Raw Data'!$B:$B,0)),"")</f>
        <v/>
      </c>
      <c r="O603" t="str">
        <f t="array" ref="O603">IFERROR(INDEX('Player Raw Data'!AB:AB,Match($A603,'Player Raw Data'!$B:$B,0)),"")</f>
        <v/>
      </c>
      <c r="P603" t="str">
        <f t="array" ref="P603">IFERROR(INDEX('Player Raw Data'!AD:AD,Match($A603,'Player Raw Data'!$B:$B,0)),"")</f>
        <v/>
      </c>
      <c r="Q603">
        <f t="shared" si="1"/>
        <v>0</v>
      </c>
      <c r="R603" s="9">
        <f t="shared" si="2"/>
        <v>0</v>
      </c>
      <c r="S603" s="14">
        <f t="shared" si="3"/>
        <v>0</v>
      </c>
      <c r="T603" s="15">
        <f>IFERROR(__xludf.DUMMYFUNCTION("IFERROR(PERCENTRANK.INC(FILTER(Q:Q,$F:$F&lt;&gt;""""),Q603)*100,"""")"),1.5)</f>
        <v>1.5</v>
      </c>
      <c r="U603" s="15">
        <f>IFERROR(__xludf.DUMMYFUNCTION("IFERROR(PERCENTRANK.INC(FILTER(R:R,$F:$F&lt;&gt;""""),R603)*100,"""")"),1.5)</f>
        <v>1.5</v>
      </c>
      <c r="V603" s="15">
        <f>IFERROR(__xludf.DUMMYFUNCTION("IFERROR(PERCENTRANK.INC(FILTER(S:S,$F:$F&lt;&gt;""""),S603)*100,"""")"),1.5)</f>
        <v>1.5</v>
      </c>
      <c r="W603" s="15" t="str">
        <f t="shared" si="4"/>
        <v/>
      </c>
      <c r="X603" s="16"/>
      <c r="Y603" s="9"/>
      <c r="Z603" s="9"/>
    </row>
    <row r="604">
      <c r="B604" t="str">
        <f t="array" ref="B604">IFERROR(INDEX('Player Raw Data'!E:E,Match($A604,'Player Raw Data'!$B:$B,0)),"")</f>
        <v/>
      </c>
      <c r="C604" t="str">
        <f t="array" ref="C604">IFERROR(INDEX('Player Raw Data'!C:C,Match($A604,'Player Raw Data'!$B:$B,0)),"")</f>
        <v/>
      </c>
      <c r="D604" t="str">
        <f t="array" ref="D604">IFERROR(IF(A604=A603, INDEX('Player Raw Data'!D:D,Match($A604,'Player Raw Data'!$B:$B,0)+2),INDEX('Player Raw Data'!D:D,Match($A604,'Player Raw Data'!$B:$B,0))),"")</f>
        <v/>
      </c>
      <c r="E604" t="str">
        <f t="array" ref="E604">IFERROR(INDEX('Player Raw Data'!F:F,Match($A604,'Player Raw Data'!$B:$B,0)),"")</f>
        <v/>
      </c>
      <c r="F604" t="str">
        <f t="array" ref="F604">IFERROR(INDEX('Player Raw Data'!H:H,Match($A604,'Player Raw Data'!$B:$B,0)),"")</f>
        <v/>
      </c>
      <c r="G604" t="str">
        <f t="array" ref="G604">IFERROR(INDEX('Player Raw Data'!I:I,Match($A604,'Player Raw Data'!$B:$B,0)),"")</f>
        <v/>
      </c>
      <c r="H604" t="str">
        <f t="array" ref="H604">IFERROR(INDEX('Player Raw Data'!J:J,Match($A604,'Player Raw Data'!$B:$B,0)),"")</f>
        <v/>
      </c>
      <c r="I604" t="str">
        <f t="array" ref="I604">IFERROR(INDEX('Player Raw Data'!S:S,Match($A604,'Player Raw Data'!$B:$B,0)),"")</f>
        <v/>
      </c>
      <c r="J604" t="str">
        <f t="array" ref="J604">IFERROR(INDEX('Player Raw Data'!T:T,Match($A604,'Player Raw Data'!$B:$B,0)),"")</f>
        <v/>
      </c>
      <c r="K604" t="str">
        <f t="array" ref="K604">IFERROR(INDEX('Player Raw Data'!X:X,Match($A604,'Player Raw Data'!$B:$B,0)),"")</f>
        <v/>
      </c>
      <c r="L604" t="str">
        <f t="array" ref="L604">IFERROR(INDEX('Player Raw Data'!Y:Y,Match($A604,'Player Raw Data'!$B:$B,0)),"")</f>
        <v/>
      </c>
      <c r="M604" t="str">
        <f t="array" ref="M604">IFERROR(INDEX('Player Raw Data'!Z:Z,Match($A604,'Player Raw Data'!$B:$B,0)),"")</f>
        <v/>
      </c>
      <c r="N604" t="str">
        <f t="array" ref="N604">IFERROR(INDEX('Player Raw Data'!AA:AA,Match($A604,'Player Raw Data'!$B:$B,0)),"")</f>
        <v/>
      </c>
      <c r="O604" t="str">
        <f t="array" ref="O604">IFERROR(INDEX('Player Raw Data'!AB:AB,Match($A604,'Player Raw Data'!$B:$B,0)),"")</f>
        <v/>
      </c>
      <c r="P604" t="str">
        <f t="array" ref="P604">IFERROR(INDEX('Player Raw Data'!AD:AD,Match($A604,'Player Raw Data'!$B:$B,0)),"")</f>
        <v/>
      </c>
      <c r="Q604">
        <f t="shared" si="1"/>
        <v>0</v>
      </c>
      <c r="R604" s="9">
        <f t="shared" si="2"/>
        <v>0</v>
      </c>
      <c r="S604" s="14">
        <f t="shared" si="3"/>
        <v>0</v>
      </c>
      <c r="T604" s="15">
        <f>IFERROR(__xludf.DUMMYFUNCTION("IFERROR(PERCENTRANK.INC(FILTER(Q:Q,$F:$F&lt;&gt;""""),Q604)*100,"""")"),1.5)</f>
        <v>1.5</v>
      </c>
      <c r="U604" s="15">
        <f>IFERROR(__xludf.DUMMYFUNCTION("IFERROR(PERCENTRANK.INC(FILTER(R:R,$F:$F&lt;&gt;""""),R604)*100,"""")"),1.5)</f>
        <v>1.5</v>
      </c>
      <c r="V604" s="15">
        <f>IFERROR(__xludf.DUMMYFUNCTION("IFERROR(PERCENTRANK.INC(FILTER(S:S,$F:$F&lt;&gt;""""),S604)*100,"""")"),1.5)</f>
        <v>1.5</v>
      </c>
      <c r="W604" s="15" t="str">
        <f t="shared" si="4"/>
        <v/>
      </c>
      <c r="X604" s="16"/>
      <c r="Y604" s="9"/>
      <c r="Z604" s="9"/>
    </row>
    <row r="605">
      <c r="B605" t="str">
        <f t="array" ref="B605">IFERROR(INDEX('Player Raw Data'!E:E,Match($A605,'Player Raw Data'!$B:$B,0)),"")</f>
        <v/>
      </c>
      <c r="C605" t="str">
        <f t="array" ref="C605">IFERROR(INDEX('Player Raw Data'!C:C,Match($A605,'Player Raw Data'!$B:$B,0)),"")</f>
        <v/>
      </c>
      <c r="D605" t="str">
        <f t="array" ref="D605">IFERROR(IF(A605=A604, INDEX('Player Raw Data'!D:D,Match($A605,'Player Raw Data'!$B:$B,0)+2),INDEX('Player Raw Data'!D:D,Match($A605,'Player Raw Data'!$B:$B,0))),"")</f>
        <v/>
      </c>
      <c r="E605" t="str">
        <f t="array" ref="E605">IFERROR(INDEX('Player Raw Data'!F:F,Match($A605,'Player Raw Data'!$B:$B,0)),"")</f>
        <v/>
      </c>
      <c r="F605" t="str">
        <f t="array" ref="F605">IFERROR(INDEX('Player Raw Data'!H:H,Match($A605,'Player Raw Data'!$B:$B,0)),"")</f>
        <v/>
      </c>
      <c r="G605" t="str">
        <f t="array" ref="G605">IFERROR(INDEX('Player Raw Data'!I:I,Match($A605,'Player Raw Data'!$B:$B,0)),"")</f>
        <v/>
      </c>
      <c r="H605" t="str">
        <f t="array" ref="H605">IFERROR(INDEX('Player Raw Data'!J:J,Match($A605,'Player Raw Data'!$B:$B,0)),"")</f>
        <v/>
      </c>
      <c r="I605" t="str">
        <f t="array" ref="I605">IFERROR(INDEX('Player Raw Data'!S:S,Match($A605,'Player Raw Data'!$B:$B,0)),"")</f>
        <v/>
      </c>
      <c r="J605" t="str">
        <f t="array" ref="J605">IFERROR(INDEX('Player Raw Data'!T:T,Match($A605,'Player Raw Data'!$B:$B,0)),"")</f>
        <v/>
      </c>
      <c r="K605" t="str">
        <f t="array" ref="K605">IFERROR(INDEX('Player Raw Data'!X:X,Match($A605,'Player Raw Data'!$B:$B,0)),"")</f>
        <v/>
      </c>
      <c r="L605" t="str">
        <f t="array" ref="L605">IFERROR(INDEX('Player Raw Data'!Y:Y,Match($A605,'Player Raw Data'!$B:$B,0)),"")</f>
        <v/>
      </c>
      <c r="M605" t="str">
        <f t="array" ref="M605">IFERROR(INDEX('Player Raw Data'!Z:Z,Match($A605,'Player Raw Data'!$B:$B,0)),"")</f>
        <v/>
      </c>
      <c r="N605" t="str">
        <f t="array" ref="N605">IFERROR(INDEX('Player Raw Data'!AA:AA,Match($A605,'Player Raw Data'!$B:$B,0)),"")</f>
        <v/>
      </c>
      <c r="O605" t="str">
        <f t="array" ref="O605">IFERROR(INDEX('Player Raw Data'!AB:AB,Match($A605,'Player Raw Data'!$B:$B,0)),"")</f>
        <v/>
      </c>
      <c r="P605" t="str">
        <f t="array" ref="P605">IFERROR(INDEX('Player Raw Data'!AD:AD,Match($A605,'Player Raw Data'!$B:$B,0)),"")</f>
        <v/>
      </c>
      <c r="Q605">
        <f t="shared" si="1"/>
        <v>0</v>
      </c>
      <c r="R605" s="9">
        <f t="shared" si="2"/>
        <v>0</v>
      </c>
      <c r="S605" s="14">
        <f t="shared" si="3"/>
        <v>0</v>
      </c>
      <c r="T605" s="15">
        <f>IFERROR(__xludf.DUMMYFUNCTION("IFERROR(PERCENTRANK.INC(FILTER(Q:Q,$F:$F&lt;&gt;""""),Q605)*100,"""")"),1.5)</f>
        <v>1.5</v>
      </c>
      <c r="U605" s="15">
        <f>IFERROR(__xludf.DUMMYFUNCTION("IFERROR(PERCENTRANK.INC(FILTER(R:R,$F:$F&lt;&gt;""""),R605)*100,"""")"),1.5)</f>
        <v>1.5</v>
      </c>
      <c r="V605" s="15">
        <f>IFERROR(__xludf.DUMMYFUNCTION("IFERROR(PERCENTRANK.INC(FILTER(S:S,$F:$F&lt;&gt;""""),S605)*100,"""")"),1.5)</f>
        <v>1.5</v>
      </c>
      <c r="W605" s="15" t="str">
        <f t="shared" si="4"/>
        <v/>
      </c>
      <c r="X605" s="16"/>
      <c r="Y605" s="9"/>
      <c r="Z605" s="9"/>
    </row>
    <row r="606">
      <c r="B606" t="str">
        <f t="array" ref="B606">IFERROR(INDEX('Player Raw Data'!E:E,Match($A606,'Player Raw Data'!$B:$B,0)),"")</f>
        <v/>
      </c>
      <c r="C606" t="str">
        <f t="array" ref="C606">IFERROR(INDEX('Player Raw Data'!C:C,Match($A606,'Player Raw Data'!$B:$B,0)),"")</f>
        <v/>
      </c>
      <c r="D606" t="str">
        <f t="array" ref="D606">IFERROR(IF(A606=A605, INDEX('Player Raw Data'!D:D,Match($A606,'Player Raw Data'!$B:$B,0)+2),INDEX('Player Raw Data'!D:D,Match($A606,'Player Raw Data'!$B:$B,0))),"")</f>
        <v/>
      </c>
      <c r="E606" t="str">
        <f t="array" ref="E606">IFERROR(INDEX('Player Raw Data'!F:F,Match($A606,'Player Raw Data'!$B:$B,0)),"")</f>
        <v/>
      </c>
      <c r="F606" t="str">
        <f t="array" ref="F606">IFERROR(INDEX('Player Raw Data'!H:H,Match($A606,'Player Raw Data'!$B:$B,0)),"")</f>
        <v/>
      </c>
      <c r="G606" t="str">
        <f t="array" ref="G606">IFERROR(INDEX('Player Raw Data'!I:I,Match($A606,'Player Raw Data'!$B:$B,0)),"")</f>
        <v/>
      </c>
      <c r="H606" t="str">
        <f t="array" ref="H606">IFERROR(INDEX('Player Raw Data'!J:J,Match($A606,'Player Raw Data'!$B:$B,0)),"")</f>
        <v/>
      </c>
      <c r="I606" t="str">
        <f t="array" ref="I606">IFERROR(INDEX('Player Raw Data'!S:S,Match($A606,'Player Raw Data'!$B:$B,0)),"")</f>
        <v/>
      </c>
      <c r="J606" t="str">
        <f t="array" ref="J606">IFERROR(INDEX('Player Raw Data'!T:T,Match($A606,'Player Raw Data'!$B:$B,0)),"")</f>
        <v/>
      </c>
      <c r="K606" t="str">
        <f t="array" ref="K606">IFERROR(INDEX('Player Raw Data'!X:X,Match($A606,'Player Raw Data'!$B:$B,0)),"")</f>
        <v/>
      </c>
      <c r="L606" t="str">
        <f t="array" ref="L606">IFERROR(INDEX('Player Raw Data'!Y:Y,Match($A606,'Player Raw Data'!$B:$B,0)),"")</f>
        <v/>
      </c>
      <c r="M606" t="str">
        <f t="array" ref="M606">IFERROR(INDEX('Player Raw Data'!Z:Z,Match($A606,'Player Raw Data'!$B:$B,0)),"")</f>
        <v/>
      </c>
      <c r="N606" t="str">
        <f t="array" ref="N606">IFERROR(INDEX('Player Raw Data'!AA:AA,Match($A606,'Player Raw Data'!$B:$B,0)),"")</f>
        <v/>
      </c>
      <c r="O606" t="str">
        <f t="array" ref="O606">IFERROR(INDEX('Player Raw Data'!AB:AB,Match($A606,'Player Raw Data'!$B:$B,0)),"")</f>
        <v/>
      </c>
      <c r="P606" t="str">
        <f t="array" ref="P606">IFERROR(INDEX('Player Raw Data'!AD:AD,Match($A606,'Player Raw Data'!$B:$B,0)),"")</f>
        <v/>
      </c>
      <c r="Q606">
        <f t="shared" si="1"/>
        <v>0</v>
      </c>
      <c r="R606" s="9">
        <f t="shared" si="2"/>
        <v>0</v>
      </c>
      <c r="S606" s="14">
        <f t="shared" si="3"/>
        <v>0</v>
      </c>
      <c r="T606" s="15">
        <f>IFERROR(__xludf.DUMMYFUNCTION("IFERROR(PERCENTRANK.INC(FILTER(Q:Q,$F:$F&lt;&gt;""""),Q606)*100,"""")"),1.5)</f>
        <v>1.5</v>
      </c>
      <c r="U606" s="15">
        <f>IFERROR(__xludf.DUMMYFUNCTION("IFERROR(PERCENTRANK.INC(FILTER(R:R,$F:$F&lt;&gt;""""),R606)*100,"""")"),1.5)</f>
        <v>1.5</v>
      </c>
      <c r="V606" s="15">
        <f>IFERROR(__xludf.DUMMYFUNCTION("IFERROR(PERCENTRANK.INC(FILTER(S:S,$F:$F&lt;&gt;""""),S606)*100,"""")"),1.5)</f>
        <v>1.5</v>
      </c>
      <c r="W606" s="15" t="str">
        <f t="shared" si="4"/>
        <v/>
      </c>
      <c r="X606" s="16"/>
      <c r="Y606" s="9"/>
      <c r="Z606" s="9"/>
    </row>
    <row r="607">
      <c r="B607" t="str">
        <f t="array" ref="B607">IFERROR(INDEX('Player Raw Data'!E:E,Match($A607,'Player Raw Data'!$B:$B,0)),"")</f>
        <v/>
      </c>
      <c r="C607" t="str">
        <f t="array" ref="C607">IFERROR(INDEX('Player Raw Data'!C:C,Match($A607,'Player Raw Data'!$B:$B,0)),"")</f>
        <v/>
      </c>
      <c r="D607" t="str">
        <f t="array" ref="D607">IFERROR(IF(A607=A606, INDEX('Player Raw Data'!D:D,Match($A607,'Player Raw Data'!$B:$B,0)+2),INDEX('Player Raw Data'!D:D,Match($A607,'Player Raw Data'!$B:$B,0))),"")</f>
        <v/>
      </c>
      <c r="E607" t="str">
        <f t="array" ref="E607">IFERROR(INDEX('Player Raw Data'!F:F,Match($A607,'Player Raw Data'!$B:$B,0)),"")</f>
        <v/>
      </c>
      <c r="F607" t="str">
        <f t="array" ref="F607">IFERROR(INDEX('Player Raw Data'!H:H,Match($A607,'Player Raw Data'!$B:$B,0)),"")</f>
        <v/>
      </c>
      <c r="G607" t="str">
        <f t="array" ref="G607">IFERROR(INDEX('Player Raw Data'!I:I,Match($A607,'Player Raw Data'!$B:$B,0)),"")</f>
        <v/>
      </c>
      <c r="H607" t="str">
        <f t="array" ref="H607">IFERROR(INDEX('Player Raw Data'!J:J,Match($A607,'Player Raw Data'!$B:$B,0)),"")</f>
        <v/>
      </c>
      <c r="I607" t="str">
        <f t="array" ref="I607">IFERROR(INDEX('Player Raw Data'!S:S,Match($A607,'Player Raw Data'!$B:$B,0)),"")</f>
        <v/>
      </c>
      <c r="J607" t="str">
        <f t="array" ref="J607">IFERROR(INDEX('Player Raw Data'!T:T,Match($A607,'Player Raw Data'!$B:$B,0)),"")</f>
        <v/>
      </c>
      <c r="K607" t="str">
        <f t="array" ref="K607">IFERROR(INDEX('Player Raw Data'!X:X,Match($A607,'Player Raw Data'!$B:$B,0)),"")</f>
        <v/>
      </c>
      <c r="L607" t="str">
        <f t="array" ref="L607">IFERROR(INDEX('Player Raw Data'!Y:Y,Match($A607,'Player Raw Data'!$B:$B,0)),"")</f>
        <v/>
      </c>
      <c r="M607" t="str">
        <f t="array" ref="M607">IFERROR(INDEX('Player Raw Data'!Z:Z,Match($A607,'Player Raw Data'!$B:$B,0)),"")</f>
        <v/>
      </c>
      <c r="N607" t="str">
        <f t="array" ref="N607">IFERROR(INDEX('Player Raw Data'!AA:AA,Match($A607,'Player Raw Data'!$B:$B,0)),"")</f>
        <v/>
      </c>
      <c r="O607" t="str">
        <f t="array" ref="O607">IFERROR(INDEX('Player Raw Data'!AB:AB,Match($A607,'Player Raw Data'!$B:$B,0)),"")</f>
        <v/>
      </c>
      <c r="P607" t="str">
        <f t="array" ref="P607">IFERROR(INDEX('Player Raw Data'!AD:AD,Match($A607,'Player Raw Data'!$B:$B,0)),"")</f>
        <v/>
      </c>
      <c r="Q607">
        <f t="shared" si="1"/>
        <v>0</v>
      </c>
      <c r="R607" s="9">
        <f t="shared" si="2"/>
        <v>0</v>
      </c>
      <c r="S607" s="14">
        <f t="shared" si="3"/>
        <v>0</v>
      </c>
      <c r="T607" s="15">
        <f>IFERROR(__xludf.DUMMYFUNCTION("IFERROR(PERCENTRANK.INC(FILTER(Q:Q,$F:$F&lt;&gt;""""),Q607)*100,"""")"),1.5)</f>
        <v>1.5</v>
      </c>
      <c r="U607" s="15">
        <f>IFERROR(__xludf.DUMMYFUNCTION("IFERROR(PERCENTRANK.INC(FILTER(R:R,$F:$F&lt;&gt;""""),R607)*100,"""")"),1.5)</f>
        <v>1.5</v>
      </c>
      <c r="V607" s="15">
        <f>IFERROR(__xludf.DUMMYFUNCTION("IFERROR(PERCENTRANK.INC(FILTER(S:S,$F:$F&lt;&gt;""""),S607)*100,"""")"),1.5)</f>
        <v>1.5</v>
      </c>
      <c r="W607" s="15" t="str">
        <f t="shared" si="4"/>
        <v/>
      </c>
      <c r="X607" s="16"/>
      <c r="Y607" s="9"/>
      <c r="Z607" s="9"/>
    </row>
    <row r="608">
      <c r="B608" t="str">
        <f t="array" ref="B608">IFERROR(INDEX('Player Raw Data'!E:E,Match($A608,'Player Raw Data'!$B:$B,0)),"")</f>
        <v/>
      </c>
      <c r="C608" t="str">
        <f t="array" ref="C608">IFERROR(INDEX('Player Raw Data'!C:C,Match($A608,'Player Raw Data'!$B:$B,0)),"")</f>
        <v/>
      </c>
      <c r="D608" t="str">
        <f t="array" ref="D608">IFERROR(IF(A608=A607, INDEX('Player Raw Data'!D:D,Match($A608,'Player Raw Data'!$B:$B,0)+2),INDEX('Player Raw Data'!D:D,Match($A608,'Player Raw Data'!$B:$B,0))),"")</f>
        <v/>
      </c>
      <c r="E608" t="str">
        <f t="array" ref="E608">IFERROR(INDEX('Player Raw Data'!F:F,Match($A608,'Player Raw Data'!$B:$B,0)),"")</f>
        <v/>
      </c>
      <c r="F608" t="str">
        <f t="array" ref="F608">IFERROR(INDEX('Player Raw Data'!H:H,Match($A608,'Player Raw Data'!$B:$B,0)),"")</f>
        <v/>
      </c>
      <c r="G608" t="str">
        <f t="array" ref="G608">IFERROR(INDEX('Player Raw Data'!I:I,Match($A608,'Player Raw Data'!$B:$B,0)),"")</f>
        <v/>
      </c>
      <c r="H608" t="str">
        <f t="array" ref="H608">IFERROR(INDEX('Player Raw Data'!J:J,Match($A608,'Player Raw Data'!$B:$B,0)),"")</f>
        <v/>
      </c>
      <c r="I608" t="str">
        <f t="array" ref="I608">IFERROR(INDEX('Player Raw Data'!S:S,Match($A608,'Player Raw Data'!$B:$B,0)),"")</f>
        <v/>
      </c>
      <c r="J608" t="str">
        <f t="array" ref="J608">IFERROR(INDEX('Player Raw Data'!T:T,Match($A608,'Player Raw Data'!$B:$B,0)),"")</f>
        <v/>
      </c>
      <c r="K608" t="str">
        <f t="array" ref="K608">IFERROR(INDEX('Player Raw Data'!X:X,Match($A608,'Player Raw Data'!$B:$B,0)),"")</f>
        <v/>
      </c>
      <c r="L608" t="str">
        <f t="array" ref="L608">IFERROR(INDEX('Player Raw Data'!Y:Y,Match($A608,'Player Raw Data'!$B:$B,0)),"")</f>
        <v/>
      </c>
      <c r="M608" t="str">
        <f t="array" ref="M608">IFERROR(INDEX('Player Raw Data'!Z:Z,Match($A608,'Player Raw Data'!$B:$B,0)),"")</f>
        <v/>
      </c>
      <c r="N608" t="str">
        <f t="array" ref="N608">IFERROR(INDEX('Player Raw Data'!AA:AA,Match($A608,'Player Raw Data'!$B:$B,0)),"")</f>
        <v/>
      </c>
      <c r="O608" t="str">
        <f t="array" ref="O608">IFERROR(INDEX('Player Raw Data'!AB:AB,Match($A608,'Player Raw Data'!$B:$B,0)),"")</f>
        <v/>
      </c>
      <c r="P608" t="str">
        <f t="array" ref="P608">IFERROR(INDEX('Player Raw Data'!AD:AD,Match($A608,'Player Raw Data'!$B:$B,0)),"")</f>
        <v/>
      </c>
      <c r="Q608">
        <f t="shared" si="1"/>
        <v>0</v>
      </c>
      <c r="R608" s="9">
        <f t="shared" si="2"/>
        <v>0</v>
      </c>
      <c r="S608" s="14">
        <f t="shared" si="3"/>
        <v>0</v>
      </c>
      <c r="T608" s="15">
        <f>IFERROR(__xludf.DUMMYFUNCTION("IFERROR(PERCENTRANK.INC(FILTER(Q:Q,$F:$F&lt;&gt;""""),Q608)*100,"""")"),1.5)</f>
        <v>1.5</v>
      </c>
      <c r="U608" s="15">
        <f>IFERROR(__xludf.DUMMYFUNCTION("IFERROR(PERCENTRANK.INC(FILTER(R:R,$F:$F&lt;&gt;""""),R608)*100,"""")"),1.5)</f>
        <v>1.5</v>
      </c>
      <c r="V608" s="15">
        <f>IFERROR(__xludf.DUMMYFUNCTION("IFERROR(PERCENTRANK.INC(FILTER(S:S,$F:$F&lt;&gt;""""),S608)*100,"""")"),1.5)</f>
        <v>1.5</v>
      </c>
      <c r="W608" s="15" t="str">
        <f t="shared" si="4"/>
        <v/>
      </c>
      <c r="X608" s="16"/>
      <c r="Y608" s="9"/>
      <c r="Z608" s="9"/>
    </row>
    <row r="609">
      <c r="B609" t="str">
        <f t="array" ref="B609">IFERROR(INDEX('Player Raw Data'!E:E,Match($A609,'Player Raw Data'!$B:$B,0)),"")</f>
        <v/>
      </c>
      <c r="C609" t="str">
        <f t="array" ref="C609">IFERROR(INDEX('Player Raw Data'!C:C,Match($A609,'Player Raw Data'!$B:$B,0)),"")</f>
        <v/>
      </c>
      <c r="D609" t="str">
        <f t="array" ref="D609">IFERROR(IF(A609=A608, INDEX('Player Raw Data'!D:D,Match($A609,'Player Raw Data'!$B:$B,0)+2),INDEX('Player Raw Data'!D:D,Match($A609,'Player Raw Data'!$B:$B,0))),"")</f>
        <v/>
      </c>
      <c r="E609" t="str">
        <f t="array" ref="E609">IFERROR(INDEX('Player Raw Data'!F:F,Match($A609,'Player Raw Data'!$B:$B,0)),"")</f>
        <v/>
      </c>
      <c r="F609" t="str">
        <f t="array" ref="F609">IFERROR(INDEX('Player Raw Data'!H:H,Match($A609,'Player Raw Data'!$B:$B,0)),"")</f>
        <v/>
      </c>
      <c r="G609" t="str">
        <f t="array" ref="G609">IFERROR(INDEX('Player Raw Data'!I:I,Match($A609,'Player Raw Data'!$B:$B,0)),"")</f>
        <v/>
      </c>
      <c r="H609" t="str">
        <f t="array" ref="H609">IFERROR(INDEX('Player Raw Data'!J:J,Match($A609,'Player Raw Data'!$B:$B,0)),"")</f>
        <v/>
      </c>
      <c r="I609" t="str">
        <f t="array" ref="I609">IFERROR(INDEX('Player Raw Data'!S:S,Match($A609,'Player Raw Data'!$B:$B,0)),"")</f>
        <v/>
      </c>
      <c r="J609" t="str">
        <f t="array" ref="J609">IFERROR(INDEX('Player Raw Data'!T:T,Match($A609,'Player Raw Data'!$B:$B,0)),"")</f>
        <v/>
      </c>
      <c r="K609" t="str">
        <f t="array" ref="K609">IFERROR(INDEX('Player Raw Data'!X:X,Match($A609,'Player Raw Data'!$B:$B,0)),"")</f>
        <v/>
      </c>
      <c r="L609" t="str">
        <f t="array" ref="L609">IFERROR(INDEX('Player Raw Data'!Y:Y,Match($A609,'Player Raw Data'!$B:$B,0)),"")</f>
        <v/>
      </c>
      <c r="M609" t="str">
        <f t="array" ref="M609">IFERROR(INDEX('Player Raw Data'!Z:Z,Match($A609,'Player Raw Data'!$B:$B,0)),"")</f>
        <v/>
      </c>
      <c r="N609" t="str">
        <f t="array" ref="N609">IFERROR(INDEX('Player Raw Data'!AA:AA,Match($A609,'Player Raw Data'!$B:$B,0)),"")</f>
        <v/>
      </c>
      <c r="O609" t="str">
        <f t="array" ref="O609">IFERROR(INDEX('Player Raw Data'!AB:AB,Match($A609,'Player Raw Data'!$B:$B,0)),"")</f>
        <v/>
      </c>
      <c r="P609" t="str">
        <f t="array" ref="P609">IFERROR(INDEX('Player Raw Data'!AD:AD,Match($A609,'Player Raw Data'!$B:$B,0)),"")</f>
        <v/>
      </c>
      <c r="Q609">
        <f t="shared" si="1"/>
        <v>0</v>
      </c>
      <c r="R609" s="9">
        <f t="shared" si="2"/>
        <v>0</v>
      </c>
      <c r="S609" s="14">
        <f t="shared" si="3"/>
        <v>0</v>
      </c>
      <c r="T609" s="15">
        <f>IFERROR(__xludf.DUMMYFUNCTION("IFERROR(PERCENTRANK.INC(FILTER(Q:Q,$F:$F&lt;&gt;""""),Q609)*100,"""")"),1.5)</f>
        <v>1.5</v>
      </c>
      <c r="U609" s="15">
        <f>IFERROR(__xludf.DUMMYFUNCTION("IFERROR(PERCENTRANK.INC(FILTER(R:R,$F:$F&lt;&gt;""""),R609)*100,"""")"),1.5)</f>
        <v>1.5</v>
      </c>
      <c r="V609" s="15">
        <f>IFERROR(__xludf.DUMMYFUNCTION("IFERROR(PERCENTRANK.INC(FILTER(S:S,$F:$F&lt;&gt;""""),S609)*100,"""")"),1.5)</f>
        <v>1.5</v>
      </c>
      <c r="W609" s="15" t="str">
        <f t="shared" si="4"/>
        <v/>
      </c>
      <c r="X609" s="16"/>
      <c r="Y609" s="9"/>
      <c r="Z609" s="9"/>
    </row>
    <row r="610">
      <c r="B610" t="str">
        <f t="array" ref="B610">IFERROR(INDEX('Player Raw Data'!E:E,Match($A610,'Player Raw Data'!$B:$B,0)),"")</f>
        <v/>
      </c>
      <c r="C610" t="str">
        <f t="array" ref="C610">IFERROR(INDEX('Player Raw Data'!C:C,Match($A610,'Player Raw Data'!$B:$B,0)),"")</f>
        <v/>
      </c>
      <c r="D610" t="str">
        <f t="array" ref="D610">IFERROR(IF(A610=A609, INDEX('Player Raw Data'!D:D,Match($A610,'Player Raw Data'!$B:$B,0)+2),INDEX('Player Raw Data'!D:D,Match($A610,'Player Raw Data'!$B:$B,0))),"")</f>
        <v/>
      </c>
      <c r="E610" t="str">
        <f t="array" ref="E610">IFERROR(INDEX('Player Raw Data'!F:F,Match($A610,'Player Raw Data'!$B:$B,0)),"")</f>
        <v/>
      </c>
      <c r="F610" t="str">
        <f t="array" ref="F610">IFERROR(INDEX('Player Raw Data'!H:H,Match($A610,'Player Raw Data'!$B:$B,0)),"")</f>
        <v/>
      </c>
      <c r="G610" t="str">
        <f t="array" ref="G610">IFERROR(INDEX('Player Raw Data'!I:I,Match($A610,'Player Raw Data'!$B:$B,0)),"")</f>
        <v/>
      </c>
      <c r="H610" t="str">
        <f t="array" ref="H610">IFERROR(INDEX('Player Raw Data'!J:J,Match($A610,'Player Raw Data'!$B:$B,0)),"")</f>
        <v/>
      </c>
      <c r="I610" t="str">
        <f t="array" ref="I610">IFERROR(INDEX('Player Raw Data'!S:S,Match($A610,'Player Raw Data'!$B:$B,0)),"")</f>
        <v/>
      </c>
      <c r="J610" t="str">
        <f t="array" ref="J610">IFERROR(INDEX('Player Raw Data'!T:T,Match($A610,'Player Raw Data'!$B:$B,0)),"")</f>
        <v/>
      </c>
      <c r="K610" t="str">
        <f t="array" ref="K610">IFERROR(INDEX('Player Raw Data'!X:X,Match($A610,'Player Raw Data'!$B:$B,0)),"")</f>
        <v/>
      </c>
      <c r="L610" t="str">
        <f t="array" ref="L610">IFERROR(INDEX('Player Raw Data'!Y:Y,Match($A610,'Player Raw Data'!$B:$B,0)),"")</f>
        <v/>
      </c>
      <c r="M610" t="str">
        <f t="array" ref="M610">IFERROR(INDEX('Player Raw Data'!Z:Z,Match($A610,'Player Raw Data'!$B:$B,0)),"")</f>
        <v/>
      </c>
      <c r="N610" t="str">
        <f t="array" ref="N610">IFERROR(INDEX('Player Raw Data'!AA:AA,Match($A610,'Player Raw Data'!$B:$B,0)),"")</f>
        <v/>
      </c>
      <c r="O610" t="str">
        <f t="array" ref="O610">IFERROR(INDEX('Player Raw Data'!AB:AB,Match($A610,'Player Raw Data'!$B:$B,0)),"")</f>
        <v/>
      </c>
      <c r="P610" t="str">
        <f t="array" ref="P610">IFERROR(INDEX('Player Raw Data'!AD:AD,Match($A610,'Player Raw Data'!$B:$B,0)),"")</f>
        <v/>
      </c>
      <c r="Q610">
        <f t="shared" si="1"/>
        <v>0</v>
      </c>
      <c r="R610" s="9">
        <f t="shared" si="2"/>
        <v>0</v>
      </c>
      <c r="S610" s="14">
        <f t="shared" si="3"/>
        <v>0</v>
      </c>
      <c r="T610" s="15">
        <f>IFERROR(__xludf.DUMMYFUNCTION("IFERROR(PERCENTRANK.INC(FILTER(Q:Q,$F:$F&lt;&gt;""""),Q610)*100,"""")"),1.5)</f>
        <v>1.5</v>
      </c>
      <c r="U610" s="15">
        <f>IFERROR(__xludf.DUMMYFUNCTION("IFERROR(PERCENTRANK.INC(FILTER(R:R,$F:$F&lt;&gt;""""),R610)*100,"""")"),1.5)</f>
        <v>1.5</v>
      </c>
      <c r="V610" s="15">
        <f>IFERROR(__xludf.DUMMYFUNCTION("IFERROR(PERCENTRANK.INC(FILTER(S:S,$F:$F&lt;&gt;""""),S610)*100,"""")"),1.5)</f>
        <v>1.5</v>
      </c>
      <c r="W610" s="15" t="str">
        <f t="shared" si="4"/>
        <v/>
      </c>
      <c r="X610" s="16"/>
      <c r="Y610" s="9"/>
      <c r="Z610" s="9"/>
    </row>
    <row r="611">
      <c r="B611" t="str">
        <f t="array" ref="B611">IFERROR(INDEX('Player Raw Data'!E:E,Match($A611,'Player Raw Data'!$B:$B,0)),"")</f>
        <v/>
      </c>
      <c r="C611" t="str">
        <f t="array" ref="C611">IFERROR(INDEX('Player Raw Data'!C:C,Match($A611,'Player Raw Data'!$B:$B,0)),"")</f>
        <v/>
      </c>
      <c r="D611" t="str">
        <f t="array" ref="D611">IFERROR(IF(A611=A610, INDEX('Player Raw Data'!D:D,Match($A611,'Player Raw Data'!$B:$B,0)+2),INDEX('Player Raw Data'!D:D,Match($A611,'Player Raw Data'!$B:$B,0))),"")</f>
        <v/>
      </c>
      <c r="E611" t="str">
        <f t="array" ref="E611">IFERROR(INDEX('Player Raw Data'!F:F,Match($A611,'Player Raw Data'!$B:$B,0)),"")</f>
        <v/>
      </c>
      <c r="F611" t="str">
        <f t="array" ref="F611">IFERROR(INDEX('Player Raw Data'!H:H,Match($A611,'Player Raw Data'!$B:$B,0)),"")</f>
        <v/>
      </c>
      <c r="G611" t="str">
        <f t="array" ref="G611">IFERROR(INDEX('Player Raw Data'!I:I,Match($A611,'Player Raw Data'!$B:$B,0)),"")</f>
        <v/>
      </c>
      <c r="H611" t="str">
        <f t="array" ref="H611">IFERROR(INDEX('Player Raw Data'!J:J,Match($A611,'Player Raw Data'!$B:$B,0)),"")</f>
        <v/>
      </c>
      <c r="I611" t="str">
        <f t="array" ref="I611">IFERROR(INDEX('Player Raw Data'!S:S,Match($A611,'Player Raw Data'!$B:$B,0)),"")</f>
        <v/>
      </c>
      <c r="J611" t="str">
        <f t="array" ref="J611">IFERROR(INDEX('Player Raw Data'!T:T,Match($A611,'Player Raw Data'!$B:$B,0)),"")</f>
        <v/>
      </c>
      <c r="K611" t="str">
        <f t="array" ref="K611">IFERROR(INDEX('Player Raw Data'!X:X,Match($A611,'Player Raw Data'!$B:$B,0)),"")</f>
        <v/>
      </c>
      <c r="L611" t="str">
        <f t="array" ref="L611">IFERROR(INDEX('Player Raw Data'!Y:Y,Match($A611,'Player Raw Data'!$B:$B,0)),"")</f>
        <v/>
      </c>
      <c r="M611" t="str">
        <f t="array" ref="M611">IFERROR(INDEX('Player Raw Data'!Z:Z,Match($A611,'Player Raw Data'!$B:$B,0)),"")</f>
        <v/>
      </c>
      <c r="N611" t="str">
        <f t="array" ref="N611">IFERROR(INDEX('Player Raw Data'!AA:AA,Match($A611,'Player Raw Data'!$B:$B,0)),"")</f>
        <v/>
      </c>
      <c r="O611" t="str">
        <f t="array" ref="O611">IFERROR(INDEX('Player Raw Data'!AB:AB,Match($A611,'Player Raw Data'!$B:$B,0)),"")</f>
        <v/>
      </c>
      <c r="P611" t="str">
        <f t="array" ref="P611">IFERROR(INDEX('Player Raw Data'!AD:AD,Match($A611,'Player Raw Data'!$B:$B,0)),"")</f>
        <v/>
      </c>
      <c r="Q611">
        <f t="shared" si="1"/>
        <v>0</v>
      </c>
      <c r="R611" s="9">
        <f t="shared" si="2"/>
        <v>0</v>
      </c>
      <c r="S611" s="14">
        <f t="shared" si="3"/>
        <v>0</v>
      </c>
      <c r="T611" s="15">
        <f>IFERROR(__xludf.DUMMYFUNCTION("IFERROR(PERCENTRANK.INC(FILTER(Q:Q,$F:$F&lt;&gt;""""),Q611)*100,"""")"),1.5)</f>
        <v>1.5</v>
      </c>
      <c r="U611" s="15">
        <f>IFERROR(__xludf.DUMMYFUNCTION("IFERROR(PERCENTRANK.INC(FILTER(R:R,$F:$F&lt;&gt;""""),R611)*100,"""")"),1.5)</f>
        <v>1.5</v>
      </c>
      <c r="V611" s="15">
        <f>IFERROR(__xludf.DUMMYFUNCTION("IFERROR(PERCENTRANK.INC(FILTER(S:S,$F:$F&lt;&gt;""""),S611)*100,"""")"),1.5)</f>
        <v>1.5</v>
      </c>
      <c r="W611" s="15" t="str">
        <f t="shared" si="4"/>
        <v/>
      </c>
      <c r="X611" s="16"/>
      <c r="Y611" s="9"/>
      <c r="Z611" s="9"/>
    </row>
    <row r="612">
      <c r="B612" t="str">
        <f t="array" ref="B612">IFERROR(INDEX('Player Raw Data'!E:E,Match($A612,'Player Raw Data'!$B:$B,0)),"")</f>
        <v/>
      </c>
      <c r="C612" t="str">
        <f t="array" ref="C612">IFERROR(INDEX('Player Raw Data'!C:C,Match($A612,'Player Raw Data'!$B:$B,0)),"")</f>
        <v/>
      </c>
      <c r="D612" t="str">
        <f t="array" ref="D612">IFERROR(IF(A612=A611, INDEX('Player Raw Data'!D:D,Match($A612,'Player Raw Data'!$B:$B,0)+2),INDEX('Player Raw Data'!D:D,Match($A612,'Player Raw Data'!$B:$B,0))),"")</f>
        <v/>
      </c>
      <c r="E612" t="str">
        <f t="array" ref="E612">IFERROR(INDEX('Player Raw Data'!F:F,Match($A612,'Player Raw Data'!$B:$B,0)),"")</f>
        <v/>
      </c>
      <c r="F612" t="str">
        <f t="array" ref="F612">IFERROR(INDEX('Player Raw Data'!H:H,Match($A612,'Player Raw Data'!$B:$B,0)),"")</f>
        <v/>
      </c>
      <c r="G612" t="str">
        <f t="array" ref="G612">IFERROR(INDEX('Player Raw Data'!I:I,Match($A612,'Player Raw Data'!$B:$B,0)),"")</f>
        <v/>
      </c>
      <c r="H612" t="str">
        <f t="array" ref="H612">IFERROR(INDEX('Player Raw Data'!J:J,Match($A612,'Player Raw Data'!$B:$B,0)),"")</f>
        <v/>
      </c>
      <c r="I612" t="str">
        <f t="array" ref="I612">IFERROR(INDEX('Player Raw Data'!S:S,Match($A612,'Player Raw Data'!$B:$B,0)),"")</f>
        <v/>
      </c>
      <c r="J612" t="str">
        <f t="array" ref="J612">IFERROR(INDEX('Player Raw Data'!T:T,Match($A612,'Player Raw Data'!$B:$B,0)),"")</f>
        <v/>
      </c>
      <c r="K612" t="str">
        <f t="array" ref="K612">IFERROR(INDEX('Player Raw Data'!X:X,Match($A612,'Player Raw Data'!$B:$B,0)),"")</f>
        <v/>
      </c>
      <c r="L612" t="str">
        <f t="array" ref="L612">IFERROR(INDEX('Player Raw Data'!Y:Y,Match($A612,'Player Raw Data'!$B:$B,0)),"")</f>
        <v/>
      </c>
      <c r="M612" t="str">
        <f t="array" ref="M612">IFERROR(INDEX('Player Raw Data'!Z:Z,Match($A612,'Player Raw Data'!$B:$B,0)),"")</f>
        <v/>
      </c>
      <c r="N612" t="str">
        <f t="array" ref="N612">IFERROR(INDEX('Player Raw Data'!AA:AA,Match($A612,'Player Raw Data'!$B:$B,0)),"")</f>
        <v/>
      </c>
      <c r="O612" t="str">
        <f t="array" ref="O612">IFERROR(INDEX('Player Raw Data'!AB:AB,Match($A612,'Player Raw Data'!$B:$B,0)),"")</f>
        <v/>
      </c>
      <c r="P612" t="str">
        <f t="array" ref="P612">IFERROR(INDEX('Player Raw Data'!AD:AD,Match($A612,'Player Raw Data'!$B:$B,0)),"")</f>
        <v/>
      </c>
      <c r="Q612">
        <f t="shared" si="1"/>
        <v>0</v>
      </c>
      <c r="R612" s="9">
        <f t="shared" si="2"/>
        <v>0</v>
      </c>
      <c r="S612" s="14">
        <f t="shared" si="3"/>
        <v>0</v>
      </c>
      <c r="T612" s="15">
        <f>IFERROR(__xludf.DUMMYFUNCTION("IFERROR(PERCENTRANK.INC(FILTER(Q:Q,$F:$F&lt;&gt;""""),Q612)*100,"""")"),1.5)</f>
        <v>1.5</v>
      </c>
      <c r="U612" s="15">
        <f>IFERROR(__xludf.DUMMYFUNCTION("IFERROR(PERCENTRANK.INC(FILTER(R:R,$F:$F&lt;&gt;""""),R612)*100,"""")"),1.5)</f>
        <v>1.5</v>
      </c>
      <c r="V612" s="15">
        <f>IFERROR(__xludf.DUMMYFUNCTION("IFERROR(PERCENTRANK.INC(FILTER(S:S,$F:$F&lt;&gt;""""),S612)*100,"""")"),1.5)</f>
        <v>1.5</v>
      </c>
      <c r="W612" s="15" t="str">
        <f t="shared" si="4"/>
        <v/>
      </c>
      <c r="X612" s="16"/>
      <c r="Y612" s="9"/>
      <c r="Z612" s="9"/>
    </row>
    <row r="613">
      <c r="B613" t="str">
        <f t="array" ref="B613">IFERROR(INDEX('Player Raw Data'!E:E,Match($A613,'Player Raw Data'!$B:$B,0)),"")</f>
        <v/>
      </c>
      <c r="C613" t="str">
        <f t="array" ref="C613">IFERROR(INDEX('Player Raw Data'!C:C,Match($A613,'Player Raw Data'!$B:$B,0)),"")</f>
        <v/>
      </c>
      <c r="D613" t="str">
        <f t="array" ref="D613">IFERROR(IF(A613=A612, INDEX('Player Raw Data'!D:D,Match($A613,'Player Raw Data'!$B:$B,0)+2),INDEX('Player Raw Data'!D:D,Match($A613,'Player Raw Data'!$B:$B,0))),"")</f>
        <v/>
      </c>
      <c r="E613" t="str">
        <f t="array" ref="E613">IFERROR(INDEX('Player Raw Data'!F:F,Match($A613,'Player Raw Data'!$B:$B,0)),"")</f>
        <v/>
      </c>
      <c r="F613" t="str">
        <f t="array" ref="F613">IFERROR(INDEX('Player Raw Data'!H:H,Match($A613,'Player Raw Data'!$B:$B,0)),"")</f>
        <v/>
      </c>
      <c r="G613" t="str">
        <f t="array" ref="G613">IFERROR(INDEX('Player Raw Data'!I:I,Match($A613,'Player Raw Data'!$B:$B,0)),"")</f>
        <v/>
      </c>
      <c r="H613" t="str">
        <f t="array" ref="H613">IFERROR(INDEX('Player Raw Data'!J:J,Match($A613,'Player Raw Data'!$B:$B,0)),"")</f>
        <v/>
      </c>
      <c r="I613" t="str">
        <f t="array" ref="I613">IFERROR(INDEX('Player Raw Data'!S:S,Match($A613,'Player Raw Data'!$B:$B,0)),"")</f>
        <v/>
      </c>
      <c r="J613" t="str">
        <f t="array" ref="J613">IFERROR(INDEX('Player Raw Data'!T:T,Match($A613,'Player Raw Data'!$B:$B,0)),"")</f>
        <v/>
      </c>
      <c r="K613" t="str">
        <f t="array" ref="K613">IFERROR(INDEX('Player Raw Data'!X:X,Match($A613,'Player Raw Data'!$B:$B,0)),"")</f>
        <v/>
      </c>
      <c r="L613" t="str">
        <f t="array" ref="L613">IFERROR(INDEX('Player Raw Data'!Y:Y,Match($A613,'Player Raw Data'!$B:$B,0)),"")</f>
        <v/>
      </c>
      <c r="M613" t="str">
        <f t="array" ref="M613">IFERROR(INDEX('Player Raw Data'!Z:Z,Match($A613,'Player Raw Data'!$B:$B,0)),"")</f>
        <v/>
      </c>
      <c r="N613" t="str">
        <f t="array" ref="N613">IFERROR(INDEX('Player Raw Data'!AA:AA,Match($A613,'Player Raw Data'!$B:$B,0)),"")</f>
        <v/>
      </c>
      <c r="O613" t="str">
        <f t="array" ref="O613">IFERROR(INDEX('Player Raw Data'!AB:AB,Match($A613,'Player Raw Data'!$B:$B,0)),"")</f>
        <v/>
      </c>
      <c r="P613" t="str">
        <f t="array" ref="P613">IFERROR(INDEX('Player Raw Data'!AD:AD,Match($A613,'Player Raw Data'!$B:$B,0)),"")</f>
        <v/>
      </c>
      <c r="Q613">
        <f t="shared" si="1"/>
        <v>0</v>
      </c>
      <c r="R613" s="9">
        <f t="shared" si="2"/>
        <v>0</v>
      </c>
      <c r="S613" s="14">
        <f t="shared" si="3"/>
        <v>0</v>
      </c>
      <c r="T613" s="15">
        <f>IFERROR(__xludf.DUMMYFUNCTION("IFERROR(PERCENTRANK.INC(FILTER(Q:Q,$F:$F&lt;&gt;""""),Q613)*100,"""")"),1.5)</f>
        <v>1.5</v>
      </c>
      <c r="U613" s="15">
        <f>IFERROR(__xludf.DUMMYFUNCTION("IFERROR(PERCENTRANK.INC(FILTER(R:R,$F:$F&lt;&gt;""""),R613)*100,"""")"),1.5)</f>
        <v>1.5</v>
      </c>
      <c r="V613" s="15">
        <f>IFERROR(__xludf.DUMMYFUNCTION("IFERROR(PERCENTRANK.INC(FILTER(S:S,$F:$F&lt;&gt;""""),S613)*100,"""")"),1.5)</f>
        <v>1.5</v>
      </c>
      <c r="W613" s="15" t="str">
        <f t="shared" si="4"/>
        <v/>
      </c>
      <c r="X613" s="16"/>
      <c r="Y613" s="9"/>
      <c r="Z613" s="9"/>
    </row>
    <row r="614">
      <c r="B614" t="str">
        <f t="array" ref="B614">IFERROR(INDEX('Player Raw Data'!E:E,Match($A614,'Player Raw Data'!$B:$B,0)),"")</f>
        <v/>
      </c>
      <c r="C614" t="str">
        <f t="array" ref="C614">IFERROR(INDEX('Player Raw Data'!C:C,Match($A614,'Player Raw Data'!$B:$B,0)),"")</f>
        <v/>
      </c>
      <c r="D614" t="str">
        <f t="array" ref="D614">IFERROR(IF(A614=A613, INDEX('Player Raw Data'!D:D,Match($A614,'Player Raw Data'!$B:$B,0)+2),INDEX('Player Raw Data'!D:D,Match($A614,'Player Raw Data'!$B:$B,0))),"")</f>
        <v/>
      </c>
      <c r="E614" t="str">
        <f t="array" ref="E614">IFERROR(INDEX('Player Raw Data'!F:F,Match($A614,'Player Raw Data'!$B:$B,0)),"")</f>
        <v/>
      </c>
      <c r="F614" t="str">
        <f t="array" ref="F614">IFERROR(INDEX('Player Raw Data'!H:H,Match($A614,'Player Raw Data'!$B:$B,0)),"")</f>
        <v/>
      </c>
      <c r="G614" t="str">
        <f t="array" ref="G614">IFERROR(INDEX('Player Raw Data'!I:I,Match($A614,'Player Raw Data'!$B:$B,0)),"")</f>
        <v/>
      </c>
      <c r="H614" t="str">
        <f t="array" ref="H614">IFERROR(INDEX('Player Raw Data'!J:J,Match($A614,'Player Raw Data'!$B:$B,0)),"")</f>
        <v/>
      </c>
      <c r="I614" t="str">
        <f t="array" ref="I614">IFERROR(INDEX('Player Raw Data'!S:S,Match($A614,'Player Raw Data'!$B:$B,0)),"")</f>
        <v/>
      </c>
      <c r="J614" t="str">
        <f t="array" ref="J614">IFERROR(INDEX('Player Raw Data'!T:T,Match($A614,'Player Raw Data'!$B:$B,0)),"")</f>
        <v/>
      </c>
      <c r="K614" t="str">
        <f t="array" ref="K614">IFERROR(INDEX('Player Raw Data'!X:X,Match($A614,'Player Raw Data'!$B:$B,0)),"")</f>
        <v/>
      </c>
      <c r="L614" t="str">
        <f t="array" ref="L614">IFERROR(INDEX('Player Raw Data'!Y:Y,Match($A614,'Player Raw Data'!$B:$B,0)),"")</f>
        <v/>
      </c>
      <c r="M614" t="str">
        <f t="array" ref="M614">IFERROR(INDEX('Player Raw Data'!Z:Z,Match($A614,'Player Raw Data'!$B:$B,0)),"")</f>
        <v/>
      </c>
      <c r="N614" t="str">
        <f t="array" ref="N614">IFERROR(INDEX('Player Raw Data'!AA:AA,Match($A614,'Player Raw Data'!$B:$B,0)),"")</f>
        <v/>
      </c>
      <c r="O614" t="str">
        <f t="array" ref="O614">IFERROR(INDEX('Player Raw Data'!AB:AB,Match($A614,'Player Raw Data'!$B:$B,0)),"")</f>
        <v/>
      </c>
      <c r="P614" t="str">
        <f t="array" ref="P614">IFERROR(INDEX('Player Raw Data'!AD:AD,Match($A614,'Player Raw Data'!$B:$B,0)),"")</f>
        <v/>
      </c>
      <c r="Q614">
        <f t="shared" si="1"/>
        <v>0</v>
      </c>
      <c r="R614" s="9">
        <f t="shared" si="2"/>
        <v>0</v>
      </c>
      <c r="S614" s="14">
        <f t="shared" si="3"/>
        <v>0</v>
      </c>
      <c r="T614" s="15">
        <f>IFERROR(__xludf.DUMMYFUNCTION("IFERROR(PERCENTRANK.INC(FILTER(Q:Q,$F:$F&lt;&gt;""""),Q614)*100,"""")"),1.5)</f>
        <v>1.5</v>
      </c>
      <c r="U614" s="15">
        <f>IFERROR(__xludf.DUMMYFUNCTION("IFERROR(PERCENTRANK.INC(FILTER(R:R,$F:$F&lt;&gt;""""),R614)*100,"""")"),1.5)</f>
        <v>1.5</v>
      </c>
      <c r="V614" s="15">
        <f>IFERROR(__xludf.DUMMYFUNCTION("IFERROR(PERCENTRANK.INC(FILTER(S:S,$F:$F&lt;&gt;""""),S614)*100,"""")"),1.5)</f>
        <v>1.5</v>
      </c>
      <c r="W614" s="15" t="str">
        <f t="shared" si="4"/>
        <v/>
      </c>
      <c r="X614" s="16"/>
      <c r="Y614" s="9"/>
      <c r="Z614" s="9"/>
    </row>
    <row r="615">
      <c r="B615" t="str">
        <f t="array" ref="B615">IFERROR(INDEX('Player Raw Data'!E:E,Match($A615,'Player Raw Data'!$B:$B,0)),"")</f>
        <v/>
      </c>
      <c r="C615" t="str">
        <f t="array" ref="C615">IFERROR(INDEX('Player Raw Data'!C:C,Match($A615,'Player Raw Data'!$B:$B,0)),"")</f>
        <v/>
      </c>
      <c r="D615" t="str">
        <f t="array" ref="D615">IFERROR(IF(A615=A614, INDEX('Player Raw Data'!D:D,Match($A615,'Player Raw Data'!$B:$B,0)+2),INDEX('Player Raw Data'!D:D,Match($A615,'Player Raw Data'!$B:$B,0))),"")</f>
        <v/>
      </c>
      <c r="E615" t="str">
        <f t="array" ref="E615">IFERROR(INDEX('Player Raw Data'!F:F,Match($A615,'Player Raw Data'!$B:$B,0)),"")</f>
        <v/>
      </c>
      <c r="F615" t="str">
        <f t="array" ref="F615">IFERROR(INDEX('Player Raw Data'!H:H,Match($A615,'Player Raw Data'!$B:$B,0)),"")</f>
        <v/>
      </c>
      <c r="G615" t="str">
        <f t="array" ref="G615">IFERROR(INDEX('Player Raw Data'!I:I,Match($A615,'Player Raw Data'!$B:$B,0)),"")</f>
        <v/>
      </c>
      <c r="H615" t="str">
        <f t="array" ref="H615">IFERROR(INDEX('Player Raw Data'!J:J,Match($A615,'Player Raw Data'!$B:$B,0)),"")</f>
        <v/>
      </c>
      <c r="I615" t="str">
        <f t="array" ref="I615">IFERROR(INDEX('Player Raw Data'!S:S,Match($A615,'Player Raw Data'!$B:$B,0)),"")</f>
        <v/>
      </c>
      <c r="J615" t="str">
        <f t="array" ref="J615">IFERROR(INDEX('Player Raw Data'!T:T,Match($A615,'Player Raw Data'!$B:$B,0)),"")</f>
        <v/>
      </c>
      <c r="K615" t="str">
        <f t="array" ref="K615">IFERROR(INDEX('Player Raw Data'!X:X,Match($A615,'Player Raw Data'!$B:$B,0)),"")</f>
        <v/>
      </c>
      <c r="L615" t="str">
        <f t="array" ref="L615">IFERROR(INDEX('Player Raw Data'!Y:Y,Match($A615,'Player Raw Data'!$B:$B,0)),"")</f>
        <v/>
      </c>
      <c r="M615" t="str">
        <f t="array" ref="M615">IFERROR(INDEX('Player Raw Data'!Z:Z,Match($A615,'Player Raw Data'!$B:$B,0)),"")</f>
        <v/>
      </c>
      <c r="N615" t="str">
        <f t="array" ref="N615">IFERROR(INDEX('Player Raw Data'!AA:AA,Match($A615,'Player Raw Data'!$B:$B,0)),"")</f>
        <v/>
      </c>
      <c r="O615" t="str">
        <f t="array" ref="O615">IFERROR(INDEX('Player Raw Data'!AB:AB,Match($A615,'Player Raw Data'!$B:$B,0)),"")</f>
        <v/>
      </c>
      <c r="P615" t="str">
        <f t="array" ref="P615">IFERROR(INDEX('Player Raw Data'!AD:AD,Match($A615,'Player Raw Data'!$B:$B,0)),"")</f>
        <v/>
      </c>
      <c r="Q615">
        <f t="shared" si="1"/>
        <v>0</v>
      </c>
      <c r="R615" s="9">
        <f t="shared" si="2"/>
        <v>0</v>
      </c>
      <c r="S615" s="14">
        <f t="shared" si="3"/>
        <v>0</v>
      </c>
      <c r="T615" s="15">
        <f>IFERROR(__xludf.DUMMYFUNCTION("IFERROR(PERCENTRANK.INC(FILTER(Q:Q,$F:$F&lt;&gt;""""),Q615)*100,"""")"),1.5)</f>
        <v>1.5</v>
      </c>
      <c r="U615" s="15">
        <f>IFERROR(__xludf.DUMMYFUNCTION("IFERROR(PERCENTRANK.INC(FILTER(R:R,$F:$F&lt;&gt;""""),R615)*100,"""")"),1.5)</f>
        <v>1.5</v>
      </c>
      <c r="V615" s="15">
        <f>IFERROR(__xludf.DUMMYFUNCTION("IFERROR(PERCENTRANK.INC(FILTER(S:S,$F:$F&lt;&gt;""""),S615)*100,"""")"),1.5)</f>
        <v>1.5</v>
      </c>
      <c r="W615" s="15" t="str">
        <f t="shared" si="4"/>
        <v/>
      </c>
      <c r="X615" s="16"/>
      <c r="Y615" s="9"/>
      <c r="Z615" s="9"/>
    </row>
    <row r="616">
      <c r="B616" t="str">
        <f t="array" ref="B616">IFERROR(INDEX('Player Raw Data'!E:E,Match($A616,'Player Raw Data'!$B:$B,0)),"")</f>
        <v/>
      </c>
      <c r="C616" t="str">
        <f t="array" ref="C616">IFERROR(INDEX('Player Raw Data'!C:C,Match($A616,'Player Raw Data'!$B:$B,0)),"")</f>
        <v/>
      </c>
      <c r="D616" t="str">
        <f t="array" ref="D616">IFERROR(IF(A616=A615, INDEX('Player Raw Data'!D:D,Match($A616,'Player Raw Data'!$B:$B,0)+2),INDEX('Player Raw Data'!D:D,Match($A616,'Player Raw Data'!$B:$B,0))),"")</f>
        <v/>
      </c>
      <c r="E616" t="str">
        <f t="array" ref="E616">IFERROR(INDEX('Player Raw Data'!F:F,Match($A616,'Player Raw Data'!$B:$B,0)),"")</f>
        <v/>
      </c>
      <c r="F616" t="str">
        <f t="array" ref="F616">IFERROR(INDEX('Player Raw Data'!H:H,Match($A616,'Player Raw Data'!$B:$B,0)),"")</f>
        <v/>
      </c>
      <c r="G616" t="str">
        <f t="array" ref="G616">IFERROR(INDEX('Player Raw Data'!I:I,Match($A616,'Player Raw Data'!$B:$B,0)),"")</f>
        <v/>
      </c>
      <c r="H616" t="str">
        <f t="array" ref="H616">IFERROR(INDEX('Player Raw Data'!J:J,Match($A616,'Player Raw Data'!$B:$B,0)),"")</f>
        <v/>
      </c>
      <c r="I616" t="str">
        <f t="array" ref="I616">IFERROR(INDEX('Player Raw Data'!S:S,Match($A616,'Player Raw Data'!$B:$B,0)),"")</f>
        <v/>
      </c>
      <c r="J616" t="str">
        <f t="array" ref="J616">IFERROR(INDEX('Player Raw Data'!T:T,Match($A616,'Player Raw Data'!$B:$B,0)),"")</f>
        <v/>
      </c>
      <c r="K616" t="str">
        <f t="array" ref="K616">IFERROR(INDEX('Player Raw Data'!X:X,Match($A616,'Player Raw Data'!$B:$B,0)),"")</f>
        <v/>
      </c>
      <c r="L616" t="str">
        <f t="array" ref="L616">IFERROR(INDEX('Player Raw Data'!Y:Y,Match($A616,'Player Raw Data'!$B:$B,0)),"")</f>
        <v/>
      </c>
      <c r="M616" t="str">
        <f t="array" ref="M616">IFERROR(INDEX('Player Raw Data'!Z:Z,Match($A616,'Player Raw Data'!$B:$B,0)),"")</f>
        <v/>
      </c>
      <c r="N616" t="str">
        <f t="array" ref="N616">IFERROR(INDEX('Player Raw Data'!AA:AA,Match($A616,'Player Raw Data'!$B:$B,0)),"")</f>
        <v/>
      </c>
      <c r="O616" t="str">
        <f t="array" ref="O616">IFERROR(INDEX('Player Raw Data'!AB:AB,Match($A616,'Player Raw Data'!$B:$B,0)),"")</f>
        <v/>
      </c>
      <c r="P616" t="str">
        <f t="array" ref="P616">IFERROR(INDEX('Player Raw Data'!AD:AD,Match($A616,'Player Raw Data'!$B:$B,0)),"")</f>
        <v/>
      </c>
      <c r="Q616">
        <f t="shared" si="1"/>
        <v>0</v>
      </c>
      <c r="R616" s="9">
        <f t="shared" si="2"/>
        <v>0</v>
      </c>
      <c r="S616" s="14">
        <f t="shared" si="3"/>
        <v>0</v>
      </c>
      <c r="T616" s="15">
        <f>IFERROR(__xludf.DUMMYFUNCTION("IFERROR(PERCENTRANK.INC(FILTER(Q:Q,$F:$F&lt;&gt;""""),Q616)*100,"""")"),1.5)</f>
        <v>1.5</v>
      </c>
      <c r="U616" s="15">
        <f>IFERROR(__xludf.DUMMYFUNCTION("IFERROR(PERCENTRANK.INC(FILTER(R:R,$F:$F&lt;&gt;""""),R616)*100,"""")"),1.5)</f>
        <v>1.5</v>
      </c>
      <c r="V616" s="15">
        <f>IFERROR(__xludf.DUMMYFUNCTION("IFERROR(PERCENTRANK.INC(FILTER(S:S,$F:$F&lt;&gt;""""),S616)*100,"""")"),1.5)</f>
        <v>1.5</v>
      </c>
      <c r="W616" s="15" t="str">
        <f t="shared" si="4"/>
        <v/>
      </c>
      <c r="X616" s="16"/>
      <c r="Y616" s="9"/>
      <c r="Z616" s="9"/>
    </row>
    <row r="617">
      <c r="B617" t="str">
        <f t="array" ref="B617">IFERROR(INDEX('Player Raw Data'!E:E,Match($A617,'Player Raw Data'!$B:$B,0)),"")</f>
        <v/>
      </c>
      <c r="C617" t="str">
        <f t="array" ref="C617">IFERROR(INDEX('Player Raw Data'!C:C,Match($A617,'Player Raw Data'!$B:$B,0)),"")</f>
        <v/>
      </c>
      <c r="D617" t="str">
        <f t="array" ref="D617">IFERROR(IF(A617=A616, INDEX('Player Raw Data'!D:D,Match($A617,'Player Raw Data'!$B:$B,0)+2),INDEX('Player Raw Data'!D:D,Match($A617,'Player Raw Data'!$B:$B,0))),"")</f>
        <v/>
      </c>
      <c r="E617" t="str">
        <f t="array" ref="E617">IFERROR(INDEX('Player Raw Data'!F:F,Match($A617,'Player Raw Data'!$B:$B,0)),"")</f>
        <v/>
      </c>
      <c r="F617" t="str">
        <f t="array" ref="F617">IFERROR(INDEX('Player Raw Data'!H:H,Match($A617,'Player Raw Data'!$B:$B,0)),"")</f>
        <v/>
      </c>
      <c r="G617" t="str">
        <f t="array" ref="G617">IFERROR(INDEX('Player Raw Data'!I:I,Match($A617,'Player Raw Data'!$B:$B,0)),"")</f>
        <v/>
      </c>
      <c r="H617" t="str">
        <f t="array" ref="H617">IFERROR(INDEX('Player Raw Data'!J:J,Match($A617,'Player Raw Data'!$B:$B,0)),"")</f>
        <v/>
      </c>
      <c r="I617" t="str">
        <f t="array" ref="I617">IFERROR(INDEX('Player Raw Data'!S:S,Match($A617,'Player Raw Data'!$B:$B,0)),"")</f>
        <v/>
      </c>
      <c r="J617" t="str">
        <f t="array" ref="J617">IFERROR(INDEX('Player Raw Data'!T:T,Match($A617,'Player Raw Data'!$B:$B,0)),"")</f>
        <v/>
      </c>
      <c r="K617" t="str">
        <f t="array" ref="K617">IFERROR(INDEX('Player Raw Data'!X:X,Match($A617,'Player Raw Data'!$B:$B,0)),"")</f>
        <v/>
      </c>
      <c r="L617" t="str">
        <f t="array" ref="L617">IFERROR(INDEX('Player Raw Data'!Y:Y,Match($A617,'Player Raw Data'!$B:$B,0)),"")</f>
        <v/>
      </c>
      <c r="M617" t="str">
        <f t="array" ref="M617">IFERROR(INDEX('Player Raw Data'!Z:Z,Match($A617,'Player Raw Data'!$B:$B,0)),"")</f>
        <v/>
      </c>
      <c r="N617" t="str">
        <f t="array" ref="N617">IFERROR(INDEX('Player Raw Data'!AA:AA,Match($A617,'Player Raw Data'!$B:$B,0)),"")</f>
        <v/>
      </c>
      <c r="O617" t="str">
        <f t="array" ref="O617">IFERROR(INDEX('Player Raw Data'!AB:AB,Match($A617,'Player Raw Data'!$B:$B,0)),"")</f>
        <v/>
      </c>
      <c r="P617" t="str">
        <f t="array" ref="P617">IFERROR(INDEX('Player Raw Data'!AD:AD,Match($A617,'Player Raw Data'!$B:$B,0)),"")</f>
        <v/>
      </c>
      <c r="Q617">
        <f t="shared" si="1"/>
        <v>0</v>
      </c>
      <c r="R617" s="9">
        <f t="shared" si="2"/>
        <v>0</v>
      </c>
      <c r="S617" s="14">
        <f t="shared" si="3"/>
        <v>0</v>
      </c>
      <c r="T617" s="15">
        <f>IFERROR(__xludf.DUMMYFUNCTION("IFERROR(PERCENTRANK.INC(FILTER(Q:Q,$F:$F&lt;&gt;""""),Q617)*100,"""")"),1.5)</f>
        <v>1.5</v>
      </c>
      <c r="U617" s="15">
        <f>IFERROR(__xludf.DUMMYFUNCTION("IFERROR(PERCENTRANK.INC(FILTER(R:R,$F:$F&lt;&gt;""""),R617)*100,"""")"),1.5)</f>
        <v>1.5</v>
      </c>
      <c r="V617" s="15">
        <f>IFERROR(__xludf.DUMMYFUNCTION("IFERROR(PERCENTRANK.INC(FILTER(S:S,$F:$F&lt;&gt;""""),S617)*100,"""")"),1.5)</f>
        <v>1.5</v>
      </c>
      <c r="W617" s="15" t="str">
        <f t="shared" si="4"/>
        <v/>
      </c>
      <c r="X617" s="16"/>
      <c r="Y617" s="9"/>
      <c r="Z617" s="9"/>
    </row>
    <row r="618">
      <c r="B618" t="str">
        <f t="array" ref="B618">IFERROR(INDEX('Player Raw Data'!E:E,Match($A618,'Player Raw Data'!$B:$B,0)),"")</f>
        <v/>
      </c>
      <c r="C618" t="str">
        <f t="array" ref="C618">IFERROR(INDEX('Player Raw Data'!C:C,Match($A618,'Player Raw Data'!$B:$B,0)),"")</f>
        <v/>
      </c>
      <c r="D618" t="str">
        <f t="array" ref="D618">IFERROR(IF(A618=A617, INDEX('Player Raw Data'!D:D,Match($A618,'Player Raw Data'!$B:$B,0)+2),INDEX('Player Raw Data'!D:D,Match($A618,'Player Raw Data'!$B:$B,0))),"")</f>
        <v/>
      </c>
      <c r="E618" t="str">
        <f t="array" ref="E618">IFERROR(INDEX('Player Raw Data'!F:F,Match($A618,'Player Raw Data'!$B:$B,0)),"")</f>
        <v/>
      </c>
      <c r="F618" t="str">
        <f t="array" ref="F618">IFERROR(INDEX('Player Raw Data'!H:H,Match($A618,'Player Raw Data'!$B:$B,0)),"")</f>
        <v/>
      </c>
      <c r="G618" t="str">
        <f t="array" ref="G618">IFERROR(INDEX('Player Raw Data'!I:I,Match($A618,'Player Raw Data'!$B:$B,0)),"")</f>
        <v/>
      </c>
      <c r="H618" t="str">
        <f t="array" ref="H618">IFERROR(INDEX('Player Raw Data'!J:J,Match($A618,'Player Raw Data'!$B:$B,0)),"")</f>
        <v/>
      </c>
      <c r="I618" t="str">
        <f t="array" ref="I618">IFERROR(INDEX('Player Raw Data'!S:S,Match($A618,'Player Raw Data'!$B:$B,0)),"")</f>
        <v/>
      </c>
      <c r="J618" t="str">
        <f t="array" ref="J618">IFERROR(INDEX('Player Raw Data'!T:T,Match($A618,'Player Raw Data'!$B:$B,0)),"")</f>
        <v/>
      </c>
      <c r="K618" t="str">
        <f t="array" ref="K618">IFERROR(INDEX('Player Raw Data'!X:X,Match($A618,'Player Raw Data'!$B:$B,0)),"")</f>
        <v/>
      </c>
      <c r="L618" t="str">
        <f t="array" ref="L618">IFERROR(INDEX('Player Raw Data'!Y:Y,Match($A618,'Player Raw Data'!$B:$B,0)),"")</f>
        <v/>
      </c>
      <c r="M618" t="str">
        <f t="array" ref="M618">IFERROR(INDEX('Player Raw Data'!Z:Z,Match($A618,'Player Raw Data'!$B:$B,0)),"")</f>
        <v/>
      </c>
      <c r="N618" t="str">
        <f t="array" ref="N618">IFERROR(INDEX('Player Raw Data'!AA:AA,Match($A618,'Player Raw Data'!$B:$B,0)),"")</f>
        <v/>
      </c>
      <c r="O618" t="str">
        <f t="array" ref="O618">IFERROR(INDEX('Player Raw Data'!AB:AB,Match($A618,'Player Raw Data'!$B:$B,0)),"")</f>
        <v/>
      </c>
      <c r="P618" t="str">
        <f t="array" ref="P618">IFERROR(INDEX('Player Raw Data'!AD:AD,Match($A618,'Player Raw Data'!$B:$B,0)),"")</f>
        <v/>
      </c>
      <c r="Q618">
        <f t="shared" si="1"/>
        <v>0</v>
      </c>
      <c r="R618" s="9">
        <f t="shared" si="2"/>
        <v>0</v>
      </c>
      <c r="S618" s="14">
        <f t="shared" si="3"/>
        <v>0</v>
      </c>
      <c r="T618" s="15">
        <f>IFERROR(__xludf.DUMMYFUNCTION("IFERROR(PERCENTRANK.INC(FILTER(Q:Q,$F:$F&lt;&gt;""""),Q618)*100,"""")"),1.5)</f>
        <v>1.5</v>
      </c>
      <c r="U618" s="15">
        <f>IFERROR(__xludf.DUMMYFUNCTION("IFERROR(PERCENTRANK.INC(FILTER(R:R,$F:$F&lt;&gt;""""),R618)*100,"""")"),1.5)</f>
        <v>1.5</v>
      </c>
      <c r="V618" s="15">
        <f>IFERROR(__xludf.DUMMYFUNCTION("IFERROR(PERCENTRANK.INC(FILTER(S:S,$F:$F&lt;&gt;""""),S618)*100,"""")"),1.5)</f>
        <v>1.5</v>
      </c>
      <c r="W618" s="15" t="str">
        <f t="shared" si="4"/>
        <v/>
      </c>
      <c r="X618" s="16"/>
      <c r="Y618" s="9"/>
      <c r="Z618" s="9"/>
    </row>
    <row r="619">
      <c r="B619" t="str">
        <f t="array" ref="B619">IFERROR(INDEX('Player Raw Data'!E:E,Match($A619,'Player Raw Data'!$B:$B,0)),"")</f>
        <v/>
      </c>
      <c r="C619" t="str">
        <f t="array" ref="C619">IFERROR(INDEX('Player Raw Data'!C:C,Match($A619,'Player Raw Data'!$B:$B,0)),"")</f>
        <v/>
      </c>
      <c r="D619" t="str">
        <f t="array" ref="D619">IFERROR(IF(A619=A618, INDEX('Player Raw Data'!D:D,Match($A619,'Player Raw Data'!$B:$B,0)+2),INDEX('Player Raw Data'!D:D,Match($A619,'Player Raw Data'!$B:$B,0))),"")</f>
        <v/>
      </c>
      <c r="E619" t="str">
        <f t="array" ref="E619">IFERROR(INDEX('Player Raw Data'!F:F,Match($A619,'Player Raw Data'!$B:$B,0)),"")</f>
        <v/>
      </c>
      <c r="F619" t="str">
        <f t="array" ref="F619">IFERROR(INDEX('Player Raw Data'!H:H,Match($A619,'Player Raw Data'!$B:$B,0)),"")</f>
        <v/>
      </c>
      <c r="G619" t="str">
        <f t="array" ref="G619">IFERROR(INDEX('Player Raw Data'!I:I,Match($A619,'Player Raw Data'!$B:$B,0)),"")</f>
        <v/>
      </c>
      <c r="H619" t="str">
        <f t="array" ref="H619">IFERROR(INDEX('Player Raw Data'!J:J,Match($A619,'Player Raw Data'!$B:$B,0)),"")</f>
        <v/>
      </c>
      <c r="I619" t="str">
        <f t="array" ref="I619">IFERROR(INDEX('Player Raw Data'!S:S,Match($A619,'Player Raw Data'!$B:$B,0)),"")</f>
        <v/>
      </c>
      <c r="J619" t="str">
        <f t="array" ref="J619">IFERROR(INDEX('Player Raw Data'!T:T,Match($A619,'Player Raw Data'!$B:$B,0)),"")</f>
        <v/>
      </c>
      <c r="K619" t="str">
        <f t="array" ref="K619">IFERROR(INDEX('Player Raw Data'!X:X,Match($A619,'Player Raw Data'!$B:$B,0)),"")</f>
        <v/>
      </c>
      <c r="L619" t="str">
        <f t="array" ref="L619">IFERROR(INDEX('Player Raw Data'!Y:Y,Match($A619,'Player Raw Data'!$B:$B,0)),"")</f>
        <v/>
      </c>
      <c r="M619" t="str">
        <f t="array" ref="M619">IFERROR(INDEX('Player Raw Data'!Z:Z,Match($A619,'Player Raw Data'!$B:$B,0)),"")</f>
        <v/>
      </c>
      <c r="N619" t="str">
        <f t="array" ref="N619">IFERROR(INDEX('Player Raw Data'!AA:AA,Match($A619,'Player Raw Data'!$B:$B,0)),"")</f>
        <v/>
      </c>
      <c r="O619" t="str">
        <f t="array" ref="O619">IFERROR(INDEX('Player Raw Data'!AB:AB,Match($A619,'Player Raw Data'!$B:$B,0)),"")</f>
        <v/>
      </c>
      <c r="P619" t="str">
        <f t="array" ref="P619">IFERROR(INDEX('Player Raw Data'!AD:AD,Match($A619,'Player Raw Data'!$B:$B,0)),"")</f>
        <v/>
      </c>
      <c r="Q619">
        <f t="shared" si="1"/>
        <v>0</v>
      </c>
      <c r="R619" s="9">
        <f t="shared" si="2"/>
        <v>0</v>
      </c>
      <c r="S619" s="14">
        <f t="shared" si="3"/>
        <v>0</v>
      </c>
      <c r="T619" s="15">
        <f>IFERROR(__xludf.DUMMYFUNCTION("IFERROR(PERCENTRANK.INC(FILTER(Q:Q,$F:$F&lt;&gt;""""),Q619)*100,"""")"),1.5)</f>
        <v>1.5</v>
      </c>
      <c r="U619" s="15">
        <f>IFERROR(__xludf.DUMMYFUNCTION("IFERROR(PERCENTRANK.INC(FILTER(R:R,$F:$F&lt;&gt;""""),R619)*100,"""")"),1.5)</f>
        <v>1.5</v>
      </c>
      <c r="V619" s="15">
        <f>IFERROR(__xludf.DUMMYFUNCTION("IFERROR(PERCENTRANK.INC(FILTER(S:S,$F:$F&lt;&gt;""""),S619)*100,"""")"),1.5)</f>
        <v>1.5</v>
      </c>
      <c r="W619" s="15" t="str">
        <f t="shared" si="4"/>
        <v/>
      </c>
      <c r="X619" s="16"/>
      <c r="Y619" s="9"/>
      <c r="Z619" s="9"/>
    </row>
    <row r="620">
      <c r="B620" t="str">
        <f t="array" ref="B620">IFERROR(INDEX('Player Raw Data'!E:E,Match($A620,'Player Raw Data'!$B:$B,0)),"")</f>
        <v/>
      </c>
      <c r="C620" t="str">
        <f t="array" ref="C620">IFERROR(INDEX('Player Raw Data'!C:C,Match($A620,'Player Raw Data'!$B:$B,0)),"")</f>
        <v/>
      </c>
      <c r="D620" t="str">
        <f t="array" ref="D620">IFERROR(IF(A620=A619, INDEX('Player Raw Data'!D:D,Match($A620,'Player Raw Data'!$B:$B,0)+2),INDEX('Player Raw Data'!D:D,Match($A620,'Player Raw Data'!$B:$B,0))),"")</f>
        <v/>
      </c>
      <c r="E620" t="str">
        <f t="array" ref="E620">IFERROR(INDEX('Player Raw Data'!F:F,Match($A620,'Player Raw Data'!$B:$B,0)),"")</f>
        <v/>
      </c>
      <c r="F620" t="str">
        <f t="array" ref="F620">IFERROR(INDEX('Player Raw Data'!H:H,Match($A620,'Player Raw Data'!$B:$B,0)),"")</f>
        <v/>
      </c>
      <c r="G620" t="str">
        <f t="array" ref="G620">IFERROR(INDEX('Player Raw Data'!I:I,Match($A620,'Player Raw Data'!$B:$B,0)),"")</f>
        <v/>
      </c>
      <c r="H620" t="str">
        <f t="array" ref="H620">IFERROR(INDEX('Player Raw Data'!J:J,Match($A620,'Player Raw Data'!$B:$B,0)),"")</f>
        <v/>
      </c>
      <c r="I620" t="str">
        <f t="array" ref="I620">IFERROR(INDEX('Player Raw Data'!S:S,Match($A620,'Player Raw Data'!$B:$B,0)),"")</f>
        <v/>
      </c>
      <c r="J620" t="str">
        <f t="array" ref="J620">IFERROR(INDEX('Player Raw Data'!T:T,Match($A620,'Player Raw Data'!$B:$B,0)),"")</f>
        <v/>
      </c>
      <c r="K620" t="str">
        <f t="array" ref="K620">IFERROR(INDEX('Player Raw Data'!X:X,Match($A620,'Player Raw Data'!$B:$B,0)),"")</f>
        <v/>
      </c>
      <c r="L620" t="str">
        <f t="array" ref="L620">IFERROR(INDEX('Player Raw Data'!Y:Y,Match($A620,'Player Raw Data'!$B:$B,0)),"")</f>
        <v/>
      </c>
      <c r="M620" t="str">
        <f t="array" ref="M620">IFERROR(INDEX('Player Raw Data'!Z:Z,Match($A620,'Player Raw Data'!$B:$B,0)),"")</f>
        <v/>
      </c>
      <c r="N620" t="str">
        <f t="array" ref="N620">IFERROR(INDEX('Player Raw Data'!AA:AA,Match($A620,'Player Raw Data'!$B:$B,0)),"")</f>
        <v/>
      </c>
      <c r="O620" t="str">
        <f t="array" ref="O620">IFERROR(INDEX('Player Raw Data'!AB:AB,Match($A620,'Player Raw Data'!$B:$B,0)),"")</f>
        <v/>
      </c>
      <c r="P620" t="str">
        <f t="array" ref="P620">IFERROR(INDEX('Player Raw Data'!AD:AD,Match($A620,'Player Raw Data'!$B:$B,0)),"")</f>
        <v/>
      </c>
      <c r="Q620">
        <f t="shared" si="1"/>
        <v>0</v>
      </c>
      <c r="R620" s="9">
        <f t="shared" si="2"/>
        <v>0</v>
      </c>
      <c r="S620" s="14">
        <f t="shared" si="3"/>
        <v>0</v>
      </c>
      <c r="T620" s="15">
        <f>IFERROR(__xludf.DUMMYFUNCTION("IFERROR(PERCENTRANK.INC(FILTER(Q:Q,$F:$F&lt;&gt;""""),Q620)*100,"""")"),1.5)</f>
        <v>1.5</v>
      </c>
      <c r="U620" s="15">
        <f>IFERROR(__xludf.DUMMYFUNCTION("IFERROR(PERCENTRANK.INC(FILTER(R:R,$F:$F&lt;&gt;""""),R620)*100,"""")"),1.5)</f>
        <v>1.5</v>
      </c>
      <c r="V620" s="15">
        <f>IFERROR(__xludf.DUMMYFUNCTION("IFERROR(PERCENTRANK.INC(FILTER(S:S,$F:$F&lt;&gt;""""),S620)*100,"""")"),1.5)</f>
        <v>1.5</v>
      </c>
      <c r="W620" s="15" t="str">
        <f t="shared" si="4"/>
        <v/>
      </c>
      <c r="X620" s="16"/>
      <c r="Y620" s="9"/>
      <c r="Z620" s="9"/>
    </row>
    <row r="621">
      <c r="B621" t="str">
        <f t="array" ref="B621">IFERROR(INDEX('Player Raw Data'!E:E,Match($A621,'Player Raw Data'!$B:$B,0)),"")</f>
        <v/>
      </c>
      <c r="C621" t="str">
        <f t="array" ref="C621">IFERROR(INDEX('Player Raw Data'!C:C,Match($A621,'Player Raw Data'!$B:$B,0)),"")</f>
        <v/>
      </c>
      <c r="D621" t="str">
        <f t="array" ref="D621">IFERROR(IF(A621=A620, INDEX('Player Raw Data'!D:D,Match($A621,'Player Raw Data'!$B:$B,0)+2),INDEX('Player Raw Data'!D:D,Match($A621,'Player Raw Data'!$B:$B,0))),"")</f>
        <v/>
      </c>
      <c r="E621" t="str">
        <f t="array" ref="E621">IFERROR(INDEX('Player Raw Data'!F:F,Match($A621,'Player Raw Data'!$B:$B,0)),"")</f>
        <v/>
      </c>
      <c r="F621" t="str">
        <f t="array" ref="F621">IFERROR(INDEX('Player Raw Data'!H:H,Match($A621,'Player Raw Data'!$B:$B,0)),"")</f>
        <v/>
      </c>
      <c r="G621" t="str">
        <f t="array" ref="G621">IFERROR(INDEX('Player Raw Data'!I:I,Match($A621,'Player Raw Data'!$B:$B,0)),"")</f>
        <v/>
      </c>
      <c r="H621" t="str">
        <f t="array" ref="H621">IFERROR(INDEX('Player Raw Data'!J:J,Match($A621,'Player Raw Data'!$B:$B,0)),"")</f>
        <v/>
      </c>
      <c r="I621" t="str">
        <f t="array" ref="I621">IFERROR(INDEX('Player Raw Data'!S:S,Match($A621,'Player Raw Data'!$B:$B,0)),"")</f>
        <v/>
      </c>
      <c r="J621" t="str">
        <f t="array" ref="J621">IFERROR(INDEX('Player Raw Data'!T:T,Match($A621,'Player Raw Data'!$B:$B,0)),"")</f>
        <v/>
      </c>
      <c r="K621" t="str">
        <f t="array" ref="K621">IFERROR(INDEX('Player Raw Data'!X:X,Match($A621,'Player Raw Data'!$B:$B,0)),"")</f>
        <v/>
      </c>
      <c r="L621" t="str">
        <f t="array" ref="L621">IFERROR(INDEX('Player Raw Data'!Y:Y,Match($A621,'Player Raw Data'!$B:$B,0)),"")</f>
        <v/>
      </c>
      <c r="M621" t="str">
        <f t="array" ref="M621">IFERROR(INDEX('Player Raw Data'!Z:Z,Match($A621,'Player Raw Data'!$B:$B,0)),"")</f>
        <v/>
      </c>
      <c r="N621" t="str">
        <f t="array" ref="N621">IFERROR(INDEX('Player Raw Data'!AA:AA,Match($A621,'Player Raw Data'!$B:$B,0)),"")</f>
        <v/>
      </c>
      <c r="O621" t="str">
        <f t="array" ref="O621">IFERROR(INDEX('Player Raw Data'!AB:AB,Match($A621,'Player Raw Data'!$B:$B,0)),"")</f>
        <v/>
      </c>
      <c r="P621" t="str">
        <f t="array" ref="P621">IFERROR(INDEX('Player Raw Data'!AD:AD,Match($A621,'Player Raw Data'!$B:$B,0)),"")</f>
        <v/>
      </c>
      <c r="Q621">
        <f t="shared" si="1"/>
        <v>0</v>
      </c>
      <c r="R621" s="9">
        <f t="shared" si="2"/>
        <v>0</v>
      </c>
      <c r="S621" s="14">
        <f t="shared" si="3"/>
        <v>0</v>
      </c>
      <c r="T621" s="15">
        <f>IFERROR(__xludf.DUMMYFUNCTION("IFERROR(PERCENTRANK.INC(FILTER(Q:Q,$F:$F&lt;&gt;""""),Q621)*100,"""")"),1.5)</f>
        <v>1.5</v>
      </c>
      <c r="U621" s="15">
        <f>IFERROR(__xludf.DUMMYFUNCTION("IFERROR(PERCENTRANK.INC(FILTER(R:R,$F:$F&lt;&gt;""""),R621)*100,"""")"),1.5)</f>
        <v>1.5</v>
      </c>
      <c r="V621" s="15">
        <f>IFERROR(__xludf.DUMMYFUNCTION("IFERROR(PERCENTRANK.INC(FILTER(S:S,$F:$F&lt;&gt;""""),S621)*100,"""")"),1.5)</f>
        <v>1.5</v>
      </c>
      <c r="W621" s="15" t="str">
        <f t="shared" si="4"/>
        <v/>
      </c>
      <c r="X621" s="16"/>
      <c r="Y621" s="9"/>
      <c r="Z621" s="9"/>
    </row>
    <row r="622">
      <c r="B622" t="str">
        <f t="array" ref="B622">IFERROR(INDEX('Player Raw Data'!E:E,Match($A622,'Player Raw Data'!$B:$B,0)),"")</f>
        <v/>
      </c>
      <c r="C622" t="str">
        <f t="array" ref="C622">IFERROR(INDEX('Player Raw Data'!C:C,Match($A622,'Player Raw Data'!$B:$B,0)),"")</f>
        <v/>
      </c>
      <c r="D622" t="str">
        <f t="array" ref="D622">IFERROR(IF(A622=A621, INDEX('Player Raw Data'!D:D,Match($A622,'Player Raw Data'!$B:$B,0)+2),INDEX('Player Raw Data'!D:D,Match($A622,'Player Raw Data'!$B:$B,0))),"")</f>
        <v/>
      </c>
      <c r="E622" t="str">
        <f t="array" ref="E622">IFERROR(INDEX('Player Raw Data'!F:F,Match($A622,'Player Raw Data'!$B:$B,0)),"")</f>
        <v/>
      </c>
      <c r="F622" t="str">
        <f t="array" ref="F622">IFERROR(INDEX('Player Raw Data'!H:H,Match($A622,'Player Raw Data'!$B:$B,0)),"")</f>
        <v/>
      </c>
      <c r="G622" t="str">
        <f t="array" ref="G622">IFERROR(INDEX('Player Raw Data'!I:I,Match($A622,'Player Raw Data'!$B:$B,0)),"")</f>
        <v/>
      </c>
      <c r="H622" t="str">
        <f t="array" ref="H622">IFERROR(INDEX('Player Raw Data'!J:J,Match($A622,'Player Raw Data'!$B:$B,0)),"")</f>
        <v/>
      </c>
      <c r="I622" t="str">
        <f t="array" ref="I622">IFERROR(INDEX('Player Raw Data'!S:S,Match($A622,'Player Raw Data'!$B:$B,0)),"")</f>
        <v/>
      </c>
      <c r="J622" t="str">
        <f t="array" ref="J622">IFERROR(INDEX('Player Raw Data'!T:T,Match($A622,'Player Raw Data'!$B:$B,0)),"")</f>
        <v/>
      </c>
      <c r="K622" t="str">
        <f t="array" ref="K622">IFERROR(INDEX('Player Raw Data'!X:X,Match($A622,'Player Raw Data'!$B:$B,0)),"")</f>
        <v/>
      </c>
      <c r="L622" t="str">
        <f t="array" ref="L622">IFERROR(INDEX('Player Raw Data'!Y:Y,Match($A622,'Player Raw Data'!$B:$B,0)),"")</f>
        <v/>
      </c>
      <c r="M622" t="str">
        <f t="array" ref="M622">IFERROR(INDEX('Player Raw Data'!Z:Z,Match($A622,'Player Raw Data'!$B:$B,0)),"")</f>
        <v/>
      </c>
      <c r="N622" t="str">
        <f t="array" ref="N622">IFERROR(INDEX('Player Raw Data'!AA:AA,Match($A622,'Player Raw Data'!$B:$B,0)),"")</f>
        <v/>
      </c>
      <c r="O622" t="str">
        <f t="array" ref="O622">IFERROR(INDEX('Player Raw Data'!AB:AB,Match($A622,'Player Raw Data'!$B:$B,0)),"")</f>
        <v/>
      </c>
      <c r="P622" t="str">
        <f t="array" ref="P622">IFERROR(INDEX('Player Raw Data'!AD:AD,Match($A622,'Player Raw Data'!$B:$B,0)),"")</f>
        <v/>
      </c>
      <c r="Q622">
        <f t="shared" si="1"/>
        <v>0</v>
      </c>
      <c r="R622" s="9">
        <f t="shared" si="2"/>
        <v>0</v>
      </c>
      <c r="S622" s="14">
        <f t="shared" si="3"/>
        <v>0</v>
      </c>
      <c r="T622" s="15">
        <f>IFERROR(__xludf.DUMMYFUNCTION("IFERROR(PERCENTRANK.INC(FILTER(Q:Q,$F:$F&lt;&gt;""""),Q622)*100,"""")"),1.5)</f>
        <v>1.5</v>
      </c>
      <c r="U622" s="15">
        <f>IFERROR(__xludf.DUMMYFUNCTION("IFERROR(PERCENTRANK.INC(FILTER(R:R,$F:$F&lt;&gt;""""),R622)*100,"""")"),1.5)</f>
        <v>1.5</v>
      </c>
      <c r="V622" s="15">
        <f>IFERROR(__xludf.DUMMYFUNCTION("IFERROR(PERCENTRANK.INC(FILTER(S:S,$F:$F&lt;&gt;""""),S622)*100,"""")"),1.5)</f>
        <v>1.5</v>
      </c>
      <c r="W622" s="15" t="str">
        <f t="shared" si="4"/>
        <v/>
      </c>
      <c r="X622" s="16"/>
      <c r="Y622" s="9"/>
      <c r="Z622" s="9"/>
    </row>
    <row r="623">
      <c r="B623" t="str">
        <f t="array" ref="B623">IFERROR(INDEX('Player Raw Data'!E:E,Match($A623,'Player Raw Data'!$B:$B,0)),"")</f>
        <v/>
      </c>
      <c r="C623" t="str">
        <f t="array" ref="C623">IFERROR(INDEX('Player Raw Data'!C:C,Match($A623,'Player Raw Data'!$B:$B,0)),"")</f>
        <v/>
      </c>
      <c r="D623" t="str">
        <f t="array" ref="D623">IFERROR(IF(A623=A622, INDEX('Player Raw Data'!D:D,Match($A623,'Player Raw Data'!$B:$B,0)+2),INDEX('Player Raw Data'!D:D,Match($A623,'Player Raw Data'!$B:$B,0))),"")</f>
        <v/>
      </c>
      <c r="E623" t="str">
        <f t="array" ref="E623">IFERROR(INDEX('Player Raw Data'!F:F,Match($A623,'Player Raw Data'!$B:$B,0)),"")</f>
        <v/>
      </c>
      <c r="F623" t="str">
        <f t="array" ref="F623">IFERROR(INDEX('Player Raw Data'!H:H,Match($A623,'Player Raw Data'!$B:$B,0)),"")</f>
        <v/>
      </c>
      <c r="G623" t="str">
        <f t="array" ref="G623">IFERROR(INDEX('Player Raw Data'!I:I,Match($A623,'Player Raw Data'!$B:$B,0)),"")</f>
        <v/>
      </c>
      <c r="H623" t="str">
        <f t="array" ref="H623">IFERROR(INDEX('Player Raw Data'!J:J,Match($A623,'Player Raw Data'!$B:$B,0)),"")</f>
        <v/>
      </c>
      <c r="I623" t="str">
        <f t="array" ref="I623">IFERROR(INDEX('Player Raw Data'!S:S,Match($A623,'Player Raw Data'!$B:$B,0)),"")</f>
        <v/>
      </c>
      <c r="J623" t="str">
        <f t="array" ref="J623">IFERROR(INDEX('Player Raw Data'!T:T,Match($A623,'Player Raw Data'!$B:$B,0)),"")</f>
        <v/>
      </c>
      <c r="K623" t="str">
        <f t="array" ref="K623">IFERROR(INDEX('Player Raw Data'!X:X,Match($A623,'Player Raw Data'!$B:$B,0)),"")</f>
        <v/>
      </c>
      <c r="L623" t="str">
        <f t="array" ref="L623">IFERROR(INDEX('Player Raw Data'!Y:Y,Match($A623,'Player Raw Data'!$B:$B,0)),"")</f>
        <v/>
      </c>
      <c r="M623" t="str">
        <f t="array" ref="M623">IFERROR(INDEX('Player Raw Data'!Z:Z,Match($A623,'Player Raw Data'!$B:$B,0)),"")</f>
        <v/>
      </c>
      <c r="N623" t="str">
        <f t="array" ref="N623">IFERROR(INDEX('Player Raw Data'!AA:AA,Match($A623,'Player Raw Data'!$B:$B,0)),"")</f>
        <v/>
      </c>
      <c r="O623" t="str">
        <f t="array" ref="O623">IFERROR(INDEX('Player Raw Data'!AB:AB,Match($A623,'Player Raw Data'!$B:$B,0)),"")</f>
        <v/>
      </c>
      <c r="P623" t="str">
        <f t="array" ref="P623">IFERROR(INDEX('Player Raw Data'!AD:AD,Match($A623,'Player Raw Data'!$B:$B,0)),"")</f>
        <v/>
      </c>
      <c r="Q623">
        <f t="shared" si="1"/>
        <v>0</v>
      </c>
      <c r="R623" s="9">
        <f t="shared" si="2"/>
        <v>0</v>
      </c>
      <c r="S623" s="14">
        <f t="shared" si="3"/>
        <v>0</v>
      </c>
      <c r="T623" s="15">
        <f>IFERROR(__xludf.DUMMYFUNCTION("IFERROR(PERCENTRANK.INC(FILTER(Q:Q,$F:$F&lt;&gt;""""),Q623)*100,"""")"),1.5)</f>
        <v>1.5</v>
      </c>
      <c r="U623" s="15">
        <f>IFERROR(__xludf.DUMMYFUNCTION("IFERROR(PERCENTRANK.INC(FILTER(R:R,$F:$F&lt;&gt;""""),R623)*100,"""")"),1.5)</f>
        <v>1.5</v>
      </c>
      <c r="V623" s="15">
        <f>IFERROR(__xludf.DUMMYFUNCTION("IFERROR(PERCENTRANK.INC(FILTER(S:S,$F:$F&lt;&gt;""""),S623)*100,"""")"),1.5)</f>
        <v>1.5</v>
      </c>
      <c r="W623" s="15" t="str">
        <f t="shared" si="4"/>
        <v/>
      </c>
      <c r="X623" s="16"/>
      <c r="Y623" s="9"/>
      <c r="Z623" s="9"/>
    </row>
    <row r="624">
      <c r="B624" t="str">
        <f t="array" ref="B624">IFERROR(INDEX('Player Raw Data'!E:E,Match($A624,'Player Raw Data'!$B:$B,0)),"")</f>
        <v/>
      </c>
      <c r="C624" t="str">
        <f t="array" ref="C624">IFERROR(INDEX('Player Raw Data'!C:C,Match($A624,'Player Raw Data'!$B:$B,0)),"")</f>
        <v/>
      </c>
      <c r="D624" t="str">
        <f t="array" ref="D624">IFERROR(IF(A624=A623, INDEX('Player Raw Data'!D:D,Match($A624,'Player Raw Data'!$B:$B,0)+2),INDEX('Player Raw Data'!D:D,Match($A624,'Player Raw Data'!$B:$B,0))),"")</f>
        <v/>
      </c>
      <c r="E624" t="str">
        <f t="array" ref="E624">IFERROR(INDEX('Player Raw Data'!F:F,Match($A624,'Player Raw Data'!$B:$B,0)),"")</f>
        <v/>
      </c>
      <c r="F624" t="str">
        <f t="array" ref="F624">IFERROR(INDEX('Player Raw Data'!H:H,Match($A624,'Player Raw Data'!$B:$B,0)),"")</f>
        <v/>
      </c>
      <c r="G624" t="str">
        <f t="array" ref="G624">IFERROR(INDEX('Player Raw Data'!I:I,Match($A624,'Player Raw Data'!$B:$B,0)),"")</f>
        <v/>
      </c>
      <c r="H624" t="str">
        <f t="array" ref="H624">IFERROR(INDEX('Player Raw Data'!J:J,Match($A624,'Player Raw Data'!$B:$B,0)),"")</f>
        <v/>
      </c>
      <c r="I624" t="str">
        <f t="array" ref="I624">IFERROR(INDEX('Player Raw Data'!S:S,Match($A624,'Player Raw Data'!$B:$B,0)),"")</f>
        <v/>
      </c>
      <c r="J624" t="str">
        <f t="array" ref="J624">IFERROR(INDEX('Player Raw Data'!T:T,Match($A624,'Player Raw Data'!$B:$B,0)),"")</f>
        <v/>
      </c>
      <c r="K624" t="str">
        <f t="array" ref="K624">IFERROR(INDEX('Player Raw Data'!X:X,Match($A624,'Player Raw Data'!$B:$B,0)),"")</f>
        <v/>
      </c>
      <c r="L624" t="str">
        <f t="array" ref="L624">IFERROR(INDEX('Player Raw Data'!Y:Y,Match($A624,'Player Raw Data'!$B:$B,0)),"")</f>
        <v/>
      </c>
      <c r="M624" t="str">
        <f t="array" ref="M624">IFERROR(INDEX('Player Raw Data'!Z:Z,Match($A624,'Player Raw Data'!$B:$B,0)),"")</f>
        <v/>
      </c>
      <c r="N624" t="str">
        <f t="array" ref="N624">IFERROR(INDEX('Player Raw Data'!AA:AA,Match($A624,'Player Raw Data'!$B:$B,0)),"")</f>
        <v/>
      </c>
      <c r="O624" t="str">
        <f t="array" ref="O624">IFERROR(INDEX('Player Raw Data'!AB:AB,Match($A624,'Player Raw Data'!$B:$B,0)),"")</f>
        <v/>
      </c>
      <c r="P624" t="str">
        <f t="array" ref="P624">IFERROR(INDEX('Player Raw Data'!AD:AD,Match($A624,'Player Raw Data'!$B:$B,0)),"")</f>
        <v/>
      </c>
      <c r="Q624">
        <f t="shared" si="1"/>
        <v>0</v>
      </c>
      <c r="R624" s="9">
        <f t="shared" si="2"/>
        <v>0</v>
      </c>
      <c r="S624" s="14">
        <f t="shared" si="3"/>
        <v>0</v>
      </c>
      <c r="T624" s="15">
        <f>IFERROR(__xludf.DUMMYFUNCTION("IFERROR(PERCENTRANK.INC(FILTER(Q:Q,$F:$F&lt;&gt;""""),Q624)*100,"""")"),1.5)</f>
        <v>1.5</v>
      </c>
      <c r="U624" s="15">
        <f>IFERROR(__xludf.DUMMYFUNCTION("IFERROR(PERCENTRANK.INC(FILTER(R:R,$F:$F&lt;&gt;""""),R624)*100,"""")"),1.5)</f>
        <v>1.5</v>
      </c>
      <c r="V624" s="15">
        <f>IFERROR(__xludf.DUMMYFUNCTION("IFERROR(PERCENTRANK.INC(FILTER(S:S,$F:$F&lt;&gt;""""),S624)*100,"""")"),1.5)</f>
        <v>1.5</v>
      </c>
      <c r="W624" s="15" t="str">
        <f t="shared" si="4"/>
        <v/>
      </c>
      <c r="X624" s="16"/>
      <c r="Y624" s="9"/>
      <c r="Z624" s="9"/>
    </row>
    <row r="625">
      <c r="B625" t="str">
        <f t="array" ref="B625">IFERROR(INDEX('Player Raw Data'!E:E,Match($A625,'Player Raw Data'!$B:$B,0)),"")</f>
        <v/>
      </c>
      <c r="C625" t="str">
        <f t="array" ref="C625">IFERROR(INDEX('Player Raw Data'!C:C,Match($A625,'Player Raw Data'!$B:$B,0)),"")</f>
        <v/>
      </c>
      <c r="D625" t="str">
        <f t="array" ref="D625">IFERROR(IF(A625=A624, INDEX('Player Raw Data'!D:D,Match($A625,'Player Raw Data'!$B:$B,0)+2),INDEX('Player Raw Data'!D:D,Match($A625,'Player Raw Data'!$B:$B,0))),"")</f>
        <v/>
      </c>
      <c r="E625" t="str">
        <f t="array" ref="E625">IFERROR(INDEX('Player Raw Data'!F:F,Match($A625,'Player Raw Data'!$B:$B,0)),"")</f>
        <v/>
      </c>
      <c r="F625" t="str">
        <f t="array" ref="F625">IFERROR(INDEX('Player Raw Data'!H:H,Match($A625,'Player Raw Data'!$B:$B,0)),"")</f>
        <v/>
      </c>
      <c r="G625" t="str">
        <f t="array" ref="G625">IFERROR(INDEX('Player Raw Data'!I:I,Match($A625,'Player Raw Data'!$B:$B,0)),"")</f>
        <v/>
      </c>
      <c r="H625" t="str">
        <f t="array" ref="H625">IFERROR(INDEX('Player Raw Data'!J:J,Match($A625,'Player Raw Data'!$B:$B,0)),"")</f>
        <v/>
      </c>
      <c r="I625" t="str">
        <f t="array" ref="I625">IFERROR(INDEX('Player Raw Data'!S:S,Match($A625,'Player Raw Data'!$B:$B,0)),"")</f>
        <v/>
      </c>
      <c r="J625" t="str">
        <f t="array" ref="J625">IFERROR(INDEX('Player Raw Data'!T:T,Match($A625,'Player Raw Data'!$B:$B,0)),"")</f>
        <v/>
      </c>
      <c r="K625" t="str">
        <f t="array" ref="K625">IFERROR(INDEX('Player Raw Data'!X:X,Match($A625,'Player Raw Data'!$B:$B,0)),"")</f>
        <v/>
      </c>
      <c r="L625" t="str">
        <f t="array" ref="L625">IFERROR(INDEX('Player Raw Data'!Y:Y,Match($A625,'Player Raw Data'!$B:$B,0)),"")</f>
        <v/>
      </c>
      <c r="M625" t="str">
        <f t="array" ref="M625">IFERROR(INDEX('Player Raw Data'!Z:Z,Match($A625,'Player Raw Data'!$B:$B,0)),"")</f>
        <v/>
      </c>
      <c r="N625" t="str">
        <f t="array" ref="N625">IFERROR(INDEX('Player Raw Data'!AA:AA,Match($A625,'Player Raw Data'!$B:$B,0)),"")</f>
        <v/>
      </c>
      <c r="O625" t="str">
        <f t="array" ref="O625">IFERROR(INDEX('Player Raw Data'!AB:AB,Match($A625,'Player Raw Data'!$B:$B,0)),"")</f>
        <v/>
      </c>
      <c r="P625" t="str">
        <f t="array" ref="P625">IFERROR(INDEX('Player Raw Data'!AD:AD,Match($A625,'Player Raw Data'!$B:$B,0)),"")</f>
        <v/>
      </c>
      <c r="Q625">
        <f t="shared" si="1"/>
        <v>0</v>
      </c>
      <c r="R625" s="9">
        <f t="shared" si="2"/>
        <v>0</v>
      </c>
      <c r="S625" s="14">
        <f t="shared" si="3"/>
        <v>0</v>
      </c>
      <c r="T625" s="15">
        <f>IFERROR(__xludf.DUMMYFUNCTION("IFERROR(PERCENTRANK.INC(FILTER(Q:Q,$F:$F&lt;&gt;""""),Q625)*100,"""")"),1.5)</f>
        <v>1.5</v>
      </c>
      <c r="U625" s="15">
        <f>IFERROR(__xludf.DUMMYFUNCTION("IFERROR(PERCENTRANK.INC(FILTER(R:R,$F:$F&lt;&gt;""""),R625)*100,"""")"),1.5)</f>
        <v>1.5</v>
      </c>
      <c r="V625" s="15">
        <f>IFERROR(__xludf.DUMMYFUNCTION("IFERROR(PERCENTRANK.INC(FILTER(S:S,$F:$F&lt;&gt;""""),S625)*100,"""")"),1.5)</f>
        <v>1.5</v>
      </c>
      <c r="W625" s="15" t="str">
        <f t="shared" si="4"/>
        <v/>
      </c>
      <c r="X625" s="16"/>
      <c r="Y625" s="9"/>
      <c r="Z625" s="9"/>
    </row>
    <row r="626">
      <c r="B626" t="str">
        <f t="array" ref="B626">IFERROR(INDEX('Player Raw Data'!E:E,Match($A626,'Player Raw Data'!$B:$B,0)),"")</f>
        <v/>
      </c>
      <c r="C626" t="str">
        <f t="array" ref="C626">IFERROR(INDEX('Player Raw Data'!C:C,Match($A626,'Player Raw Data'!$B:$B,0)),"")</f>
        <v/>
      </c>
      <c r="D626" t="str">
        <f t="array" ref="D626">IFERROR(IF(A626=A625, INDEX('Player Raw Data'!D:D,Match($A626,'Player Raw Data'!$B:$B,0)+2),INDEX('Player Raw Data'!D:D,Match($A626,'Player Raw Data'!$B:$B,0))),"")</f>
        <v/>
      </c>
      <c r="E626" t="str">
        <f t="array" ref="E626">IFERROR(INDEX('Player Raw Data'!F:F,Match($A626,'Player Raw Data'!$B:$B,0)),"")</f>
        <v/>
      </c>
      <c r="F626" t="str">
        <f t="array" ref="F626">IFERROR(INDEX('Player Raw Data'!H:H,Match($A626,'Player Raw Data'!$B:$B,0)),"")</f>
        <v/>
      </c>
      <c r="G626" t="str">
        <f t="array" ref="G626">IFERROR(INDEX('Player Raw Data'!I:I,Match($A626,'Player Raw Data'!$B:$B,0)),"")</f>
        <v/>
      </c>
      <c r="H626" t="str">
        <f t="array" ref="H626">IFERROR(INDEX('Player Raw Data'!J:J,Match($A626,'Player Raw Data'!$B:$B,0)),"")</f>
        <v/>
      </c>
      <c r="I626" t="str">
        <f t="array" ref="I626">IFERROR(INDEX('Player Raw Data'!S:S,Match($A626,'Player Raw Data'!$B:$B,0)),"")</f>
        <v/>
      </c>
      <c r="J626" t="str">
        <f t="array" ref="J626">IFERROR(INDEX('Player Raw Data'!T:T,Match($A626,'Player Raw Data'!$B:$B,0)),"")</f>
        <v/>
      </c>
      <c r="K626" t="str">
        <f t="array" ref="K626">IFERROR(INDEX('Player Raw Data'!X:X,Match($A626,'Player Raw Data'!$B:$B,0)),"")</f>
        <v/>
      </c>
      <c r="L626" t="str">
        <f t="array" ref="L626">IFERROR(INDEX('Player Raw Data'!Y:Y,Match($A626,'Player Raw Data'!$B:$B,0)),"")</f>
        <v/>
      </c>
      <c r="M626" t="str">
        <f t="array" ref="M626">IFERROR(INDEX('Player Raw Data'!Z:Z,Match($A626,'Player Raw Data'!$B:$B,0)),"")</f>
        <v/>
      </c>
      <c r="N626" t="str">
        <f t="array" ref="N626">IFERROR(INDEX('Player Raw Data'!AA:AA,Match($A626,'Player Raw Data'!$B:$B,0)),"")</f>
        <v/>
      </c>
      <c r="O626" t="str">
        <f t="array" ref="O626">IFERROR(INDEX('Player Raw Data'!AB:AB,Match($A626,'Player Raw Data'!$B:$B,0)),"")</f>
        <v/>
      </c>
      <c r="P626" t="str">
        <f t="array" ref="P626">IFERROR(INDEX('Player Raw Data'!AD:AD,Match($A626,'Player Raw Data'!$B:$B,0)),"")</f>
        <v/>
      </c>
      <c r="Q626">
        <f t="shared" si="1"/>
        <v>0</v>
      </c>
      <c r="R626" s="9">
        <f t="shared" si="2"/>
        <v>0</v>
      </c>
      <c r="S626" s="14">
        <f t="shared" si="3"/>
        <v>0</v>
      </c>
      <c r="T626" s="15">
        <f>IFERROR(__xludf.DUMMYFUNCTION("IFERROR(PERCENTRANK.INC(FILTER(Q:Q,$F:$F&lt;&gt;""""),Q626)*100,"""")"),1.5)</f>
        <v>1.5</v>
      </c>
      <c r="U626" s="15">
        <f>IFERROR(__xludf.DUMMYFUNCTION("IFERROR(PERCENTRANK.INC(FILTER(R:R,$F:$F&lt;&gt;""""),R626)*100,"""")"),1.5)</f>
        <v>1.5</v>
      </c>
      <c r="V626" s="15">
        <f>IFERROR(__xludf.DUMMYFUNCTION("IFERROR(PERCENTRANK.INC(FILTER(S:S,$F:$F&lt;&gt;""""),S626)*100,"""")"),1.5)</f>
        <v>1.5</v>
      </c>
      <c r="W626" s="15" t="str">
        <f t="shared" si="4"/>
        <v/>
      </c>
      <c r="X626" s="16"/>
      <c r="Y626" s="9"/>
      <c r="Z626" s="9"/>
    </row>
    <row r="627">
      <c r="B627" t="str">
        <f t="array" ref="B627">IFERROR(INDEX('Player Raw Data'!E:E,Match($A627,'Player Raw Data'!$B:$B,0)),"")</f>
        <v/>
      </c>
      <c r="C627" t="str">
        <f t="array" ref="C627">IFERROR(INDEX('Player Raw Data'!C:C,Match($A627,'Player Raw Data'!$B:$B,0)),"")</f>
        <v/>
      </c>
      <c r="D627" t="str">
        <f t="array" ref="D627">IFERROR(IF(A627=A626, INDEX('Player Raw Data'!D:D,Match($A627,'Player Raw Data'!$B:$B,0)+2),INDEX('Player Raw Data'!D:D,Match($A627,'Player Raw Data'!$B:$B,0))),"")</f>
        <v/>
      </c>
      <c r="E627" t="str">
        <f t="array" ref="E627">IFERROR(INDEX('Player Raw Data'!F:F,Match($A627,'Player Raw Data'!$B:$B,0)),"")</f>
        <v/>
      </c>
      <c r="F627" t="str">
        <f t="array" ref="F627">IFERROR(INDEX('Player Raw Data'!H:H,Match($A627,'Player Raw Data'!$B:$B,0)),"")</f>
        <v/>
      </c>
      <c r="G627" t="str">
        <f t="array" ref="G627">IFERROR(INDEX('Player Raw Data'!I:I,Match($A627,'Player Raw Data'!$B:$B,0)),"")</f>
        <v/>
      </c>
      <c r="H627" t="str">
        <f t="array" ref="H627">IFERROR(INDEX('Player Raw Data'!J:J,Match($A627,'Player Raw Data'!$B:$B,0)),"")</f>
        <v/>
      </c>
      <c r="I627" t="str">
        <f t="array" ref="I627">IFERROR(INDEX('Player Raw Data'!S:S,Match($A627,'Player Raw Data'!$B:$B,0)),"")</f>
        <v/>
      </c>
      <c r="J627" t="str">
        <f t="array" ref="J627">IFERROR(INDEX('Player Raw Data'!T:T,Match($A627,'Player Raw Data'!$B:$B,0)),"")</f>
        <v/>
      </c>
      <c r="K627" t="str">
        <f t="array" ref="K627">IFERROR(INDEX('Player Raw Data'!X:X,Match($A627,'Player Raw Data'!$B:$B,0)),"")</f>
        <v/>
      </c>
      <c r="L627" t="str">
        <f t="array" ref="L627">IFERROR(INDEX('Player Raw Data'!Y:Y,Match($A627,'Player Raw Data'!$B:$B,0)),"")</f>
        <v/>
      </c>
      <c r="M627" t="str">
        <f t="array" ref="M627">IFERROR(INDEX('Player Raw Data'!Z:Z,Match($A627,'Player Raw Data'!$B:$B,0)),"")</f>
        <v/>
      </c>
      <c r="N627" t="str">
        <f t="array" ref="N627">IFERROR(INDEX('Player Raw Data'!AA:AA,Match($A627,'Player Raw Data'!$B:$B,0)),"")</f>
        <v/>
      </c>
      <c r="O627" t="str">
        <f t="array" ref="O627">IFERROR(INDEX('Player Raw Data'!AB:AB,Match($A627,'Player Raw Data'!$B:$B,0)),"")</f>
        <v/>
      </c>
      <c r="P627" t="str">
        <f t="array" ref="P627">IFERROR(INDEX('Player Raw Data'!AD:AD,Match($A627,'Player Raw Data'!$B:$B,0)),"")</f>
        <v/>
      </c>
      <c r="Q627">
        <f t="shared" si="1"/>
        <v>0</v>
      </c>
      <c r="R627" s="9">
        <f t="shared" si="2"/>
        <v>0</v>
      </c>
      <c r="S627" s="14">
        <f t="shared" si="3"/>
        <v>0</v>
      </c>
      <c r="T627" s="15">
        <f>IFERROR(__xludf.DUMMYFUNCTION("IFERROR(PERCENTRANK.INC(FILTER(Q:Q,$F:$F&lt;&gt;""""),Q627)*100,"""")"),1.5)</f>
        <v>1.5</v>
      </c>
      <c r="U627" s="15">
        <f>IFERROR(__xludf.DUMMYFUNCTION("IFERROR(PERCENTRANK.INC(FILTER(R:R,$F:$F&lt;&gt;""""),R627)*100,"""")"),1.5)</f>
        <v>1.5</v>
      </c>
      <c r="V627" s="15">
        <f>IFERROR(__xludf.DUMMYFUNCTION("IFERROR(PERCENTRANK.INC(FILTER(S:S,$F:$F&lt;&gt;""""),S627)*100,"""")"),1.5)</f>
        <v>1.5</v>
      </c>
      <c r="W627" s="15" t="str">
        <f t="shared" si="4"/>
        <v/>
      </c>
      <c r="X627" s="16"/>
      <c r="Y627" s="9"/>
      <c r="Z627" s="9"/>
    </row>
    <row r="628">
      <c r="B628" t="str">
        <f t="array" ref="B628">IFERROR(INDEX('Player Raw Data'!E:E,Match($A628,'Player Raw Data'!$B:$B,0)),"")</f>
        <v/>
      </c>
      <c r="C628" t="str">
        <f t="array" ref="C628">IFERROR(INDEX('Player Raw Data'!C:C,Match($A628,'Player Raw Data'!$B:$B,0)),"")</f>
        <v/>
      </c>
      <c r="D628" t="str">
        <f t="array" ref="D628">IFERROR(IF(A628=A627, INDEX('Player Raw Data'!D:D,Match($A628,'Player Raw Data'!$B:$B,0)+2),INDEX('Player Raw Data'!D:D,Match($A628,'Player Raw Data'!$B:$B,0))),"")</f>
        <v/>
      </c>
      <c r="E628" t="str">
        <f t="array" ref="E628">IFERROR(INDEX('Player Raw Data'!F:F,Match($A628,'Player Raw Data'!$B:$B,0)),"")</f>
        <v/>
      </c>
      <c r="F628" t="str">
        <f t="array" ref="F628">IFERROR(INDEX('Player Raw Data'!H:H,Match($A628,'Player Raw Data'!$B:$B,0)),"")</f>
        <v/>
      </c>
      <c r="G628" t="str">
        <f t="array" ref="G628">IFERROR(INDEX('Player Raw Data'!I:I,Match($A628,'Player Raw Data'!$B:$B,0)),"")</f>
        <v/>
      </c>
      <c r="H628" t="str">
        <f t="array" ref="H628">IFERROR(INDEX('Player Raw Data'!J:J,Match($A628,'Player Raw Data'!$B:$B,0)),"")</f>
        <v/>
      </c>
      <c r="I628" t="str">
        <f t="array" ref="I628">IFERROR(INDEX('Player Raw Data'!S:S,Match($A628,'Player Raw Data'!$B:$B,0)),"")</f>
        <v/>
      </c>
      <c r="J628" t="str">
        <f t="array" ref="J628">IFERROR(INDEX('Player Raw Data'!T:T,Match($A628,'Player Raw Data'!$B:$B,0)),"")</f>
        <v/>
      </c>
      <c r="K628" t="str">
        <f t="array" ref="K628">IFERROR(INDEX('Player Raw Data'!X:X,Match($A628,'Player Raw Data'!$B:$B,0)),"")</f>
        <v/>
      </c>
      <c r="L628" t="str">
        <f t="array" ref="L628">IFERROR(INDEX('Player Raw Data'!Y:Y,Match($A628,'Player Raw Data'!$B:$B,0)),"")</f>
        <v/>
      </c>
      <c r="M628" t="str">
        <f t="array" ref="M628">IFERROR(INDEX('Player Raw Data'!Z:Z,Match($A628,'Player Raw Data'!$B:$B,0)),"")</f>
        <v/>
      </c>
      <c r="N628" t="str">
        <f t="array" ref="N628">IFERROR(INDEX('Player Raw Data'!AA:AA,Match($A628,'Player Raw Data'!$B:$B,0)),"")</f>
        <v/>
      </c>
      <c r="O628" t="str">
        <f t="array" ref="O628">IFERROR(INDEX('Player Raw Data'!AB:AB,Match($A628,'Player Raw Data'!$B:$B,0)),"")</f>
        <v/>
      </c>
      <c r="P628" t="str">
        <f t="array" ref="P628">IFERROR(INDEX('Player Raw Data'!AD:AD,Match($A628,'Player Raw Data'!$B:$B,0)),"")</f>
        <v/>
      </c>
      <c r="Q628">
        <f t="shared" si="1"/>
        <v>0</v>
      </c>
      <c r="R628" s="9">
        <f t="shared" si="2"/>
        <v>0</v>
      </c>
      <c r="S628" s="14">
        <f t="shared" si="3"/>
        <v>0</v>
      </c>
      <c r="T628" s="15">
        <f>IFERROR(__xludf.DUMMYFUNCTION("IFERROR(PERCENTRANK.INC(FILTER(Q:Q,$F:$F&lt;&gt;""""),Q628)*100,"""")"),1.5)</f>
        <v>1.5</v>
      </c>
      <c r="U628" s="15">
        <f>IFERROR(__xludf.DUMMYFUNCTION("IFERROR(PERCENTRANK.INC(FILTER(R:R,$F:$F&lt;&gt;""""),R628)*100,"""")"),1.5)</f>
        <v>1.5</v>
      </c>
      <c r="V628" s="15">
        <f>IFERROR(__xludf.DUMMYFUNCTION("IFERROR(PERCENTRANK.INC(FILTER(S:S,$F:$F&lt;&gt;""""),S628)*100,"""")"),1.5)</f>
        <v>1.5</v>
      </c>
      <c r="W628" s="15" t="str">
        <f t="shared" si="4"/>
        <v/>
      </c>
      <c r="X628" s="16"/>
      <c r="Y628" s="9"/>
      <c r="Z628" s="9"/>
    </row>
    <row r="629">
      <c r="B629" t="str">
        <f t="array" ref="B629">IFERROR(INDEX('Player Raw Data'!E:E,Match($A629,'Player Raw Data'!$B:$B,0)),"")</f>
        <v/>
      </c>
      <c r="C629" t="str">
        <f t="array" ref="C629">IFERROR(INDEX('Player Raw Data'!C:C,Match($A629,'Player Raw Data'!$B:$B,0)),"")</f>
        <v/>
      </c>
      <c r="D629" t="str">
        <f t="array" ref="D629">IFERROR(IF(A629=A628, INDEX('Player Raw Data'!D:D,Match($A629,'Player Raw Data'!$B:$B,0)+2),INDEX('Player Raw Data'!D:D,Match($A629,'Player Raw Data'!$B:$B,0))),"")</f>
        <v/>
      </c>
      <c r="E629" t="str">
        <f t="array" ref="E629">IFERROR(INDEX('Player Raw Data'!F:F,Match($A629,'Player Raw Data'!$B:$B,0)),"")</f>
        <v/>
      </c>
      <c r="F629" t="str">
        <f t="array" ref="F629">IFERROR(INDEX('Player Raw Data'!H:H,Match($A629,'Player Raw Data'!$B:$B,0)),"")</f>
        <v/>
      </c>
      <c r="G629" t="str">
        <f t="array" ref="G629">IFERROR(INDEX('Player Raw Data'!I:I,Match($A629,'Player Raw Data'!$B:$B,0)),"")</f>
        <v/>
      </c>
      <c r="H629" t="str">
        <f t="array" ref="H629">IFERROR(INDEX('Player Raw Data'!J:J,Match($A629,'Player Raw Data'!$B:$B,0)),"")</f>
        <v/>
      </c>
      <c r="I629" t="str">
        <f t="array" ref="I629">IFERROR(INDEX('Player Raw Data'!S:S,Match($A629,'Player Raw Data'!$B:$B,0)),"")</f>
        <v/>
      </c>
      <c r="J629" t="str">
        <f t="array" ref="J629">IFERROR(INDEX('Player Raw Data'!T:T,Match($A629,'Player Raw Data'!$B:$B,0)),"")</f>
        <v/>
      </c>
      <c r="K629" t="str">
        <f t="array" ref="K629">IFERROR(INDEX('Player Raw Data'!X:X,Match($A629,'Player Raw Data'!$B:$B,0)),"")</f>
        <v/>
      </c>
      <c r="L629" t="str">
        <f t="array" ref="L629">IFERROR(INDEX('Player Raw Data'!Y:Y,Match($A629,'Player Raw Data'!$B:$B,0)),"")</f>
        <v/>
      </c>
      <c r="M629" t="str">
        <f t="array" ref="M629">IFERROR(INDEX('Player Raw Data'!Z:Z,Match($A629,'Player Raw Data'!$B:$B,0)),"")</f>
        <v/>
      </c>
      <c r="N629" t="str">
        <f t="array" ref="N629">IFERROR(INDEX('Player Raw Data'!AA:AA,Match($A629,'Player Raw Data'!$B:$B,0)),"")</f>
        <v/>
      </c>
      <c r="O629" t="str">
        <f t="array" ref="O629">IFERROR(INDEX('Player Raw Data'!AB:AB,Match($A629,'Player Raw Data'!$B:$B,0)),"")</f>
        <v/>
      </c>
      <c r="P629" t="str">
        <f t="array" ref="P629">IFERROR(INDEX('Player Raw Data'!AD:AD,Match($A629,'Player Raw Data'!$B:$B,0)),"")</f>
        <v/>
      </c>
      <c r="Q629">
        <f t="shared" si="1"/>
        <v>0</v>
      </c>
      <c r="R629" s="9">
        <f t="shared" si="2"/>
        <v>0</v>
      </c>
      <c r="S629" s="14">
        <f t="shared" si="3"/>
        <v>0</v>
      </c>
      <c r="T629" s="15">
        <f>IFERROR(__xludf.DUMMYFUNCTION("IFERROR(PERCENTRANK.INC(FILTER(Q:Q,$F:$F&lt;&gt;""""),Q629)*100,"""")"),1.5)</f>
        <v>1.5</v>
      </c>
      <c r="U629" s="15">
        <f>IFERROR(__xludf.DUMMYFUNCTION("IFERROR(PERCENTRANK.INC(FILTER(R:R,$F:$F&lt;&gt;""""),R629)*100,"""")"),1.5)</f>
        <v>1.5</v>
      </c>
      <c r="V629" s="15">
        <f>IFERROR(__xludf.DUMMYFUNCTION("IFERROR(PERCENTRANK.INC(FILTER(S:S,$F:$F&lt;&gt;""""),S629)*100,"""")"),1.5)</f>
        <v>1.5</v>
      </c>
      <c r="W629" s="15" t="str">
        <f t="shared" si="4"/>
        <v/>
      </c>
      <c r="X629" s="16"/>
      <c r="Y629" s="9"/>
      <c r="Z629" s="9"/>
    </row>
    <row r="630">
      <c r="B630" t="str">
        <f t="array" ref="B630">IFERROR(INDEX('Player Raw Data'!E:E,Match($A630,'Player Raw Data'!$B:$B,0)),"")</f>
        <v/>
      </c>
      <c r="C630" t="str">
        <f t="array" ref="C630">IFERROR(INDEX('Player Raw Data'!C:C,Match($A630,'Player Raw Data'!$B:$B,0)),"")</f>
        <v/>
      </c>
      <c r="D630" t="str">
        <f t="array" ref="D630">IFERROR(IF(A630=A629, INDEX('Player Raw Data'!D:D,Match($A630,'Player Raw Data'!$B:$B,0)+2),INDEX('Player Raw Data'!D:D,Match($A630,'Player Raw Data'!$B:$B,0))),"")</f>
        <v/>
      </c>
      <c r="E630" t="str">
        <f t="array" ref="E630">IFERROR(INDEX('Player Raw Data'!F:F,Match($A630,'Player Raw Data'!$B:$B,0)),"")</f>
        <v/>
      </c>
      <c r="F630" t="str">
        <f t="array" ref="F630">IFERROR(INDEX('Player Raw Data'!H:H,Match($A630,'Player Raw Data'!$B:$B,0)),"")</f>
        <v/>
      </c>
      <c r="G630" t="str">
        <f t="array" ref="G630">IFERROR(INDEX('Player Raw Data'!I:I,Match($A630,'Player Raw Data'!$B:$B,0)),"")</f>
        <v/>
      </c>
      <c r="H630" t="str">
        <f t="array" ref="H630">IFERROR(INDEX('Player Raw Data'!J:J,Match($A630,'Player Raw Data'!$B:$B,0)),"")</f>
        <v/>
      </c>
      <c r="I630" t="str">
        <f t="array" ref="I630">IFERROR(INDEX('Player Raw Data'!S:S,Match($A630,'Player Raw Data'!$B:$B,0)),"")</f>
        <v/>
      </c>
      <c r="J630" t="str">
        <f t="array" ref="J630">IFERROR(INDEX('Player Raw Data'!T:T,Match($A630,'Player Raw Data'!$B:$B,0)),"")</f>
        <v/>
      </c>
      <c r="K630" t="str">
        <f t="array" ref="K630">IFERROR(INDEX('Player Raw Data'!X:X,Match($A630,'Player Raw Data'!$B:$B,0)),"")</f>
        <v/>
      </c>
      <c r="L630" t="str">
        <f t="array" ref="L630">IFERROR(INDEX('Player Raw Data'!Y:Y,Match($A630,'Player Raw Data'!$B:$B,0)),"")</f>
        <v/>
      </c>
      <c r="M630" t="str">
        <f t="array" ref="M630">IFERROR(INDEX('Player Raw Data'!Z:Z,Match($A630,'Player Raw Data'!$B:$B,0)),"")</f>
        <v/>
      </c>
      <c r="N630" t="str">
        <f t="array" ref="N630">IFERROR(INDEX('Player Raw Data'!AA:AA,Match($A630,'Player Raw Data'!$B:$B,0)),"")</f>
        <v/>
      </c>
      <c r="O630" t="str">
        <f t="array" ref="O630">IFERROR(INDEX('Player Raw Data'!AB:AB,Match($A630,'Player Raw Data'!$B:$B,0)),"")</f>
        <v/>
      </c>
      <c r="P630" t="str">
        <f t="array" ref="P630">IFERROR(INDEX('Player Raw Data'!AD:AD,Match($A630,'Player Raw Data'!$B:$B,0)),"")</f>
        <v/>
      </c>
      <c r="Q630">
        <f t="shared" si="1"/>
        <v>0</v>
      </c>
      <c r="R630" s="9">
        <f t="shared" si="2"/>
        <v>0</v>
      </c>
      <c r="S630" s="14">
        <f t="shared" si="3"/>
        <v>0</v>
      </c>
      <c r="T630" s="15">
        <f>IFERROR(__xludf.DUMMYFUNCTION("IFERROR(PERCENTRANK.INC(FILTER(Q:Q,$F:$F&lt;&gt;""""),Q630)*100,"""")"),1.5)</f>
        <v>1.5</v>
      </c>
      <c r="U630" s="15">
        <f>IFERROR(__xludf.DUMMYFUNCTION("IFERROR(PERCENTRANK.INC(FILTER(R:R,$F:$F&lt;&gt;""""),R630)*100,"""")"),1.5)</f>
        <v>1.5</v>
      </c>
      <c r="V630" s="15">
        <f>IFERROR(__xludf.DUMMYFUNCTION("IFERROR(PERCENTRANK.INC(FILTER(S:S,$F:$F&lt;&gt;""""),S630)*100,"""")"),1.5)</f>
        <v>1.5</v>
      </c>
      <c r="W630" s="15" t="str">
        <f t="shared" si="4"/>
        <v/>
      </c>
      <c r="X630" s="16"/>
      <c r="Y630" s="9"/>
      <c r="Z630" s="9"/>
    </row>
    <row r="631">
      <c r="B631" t="str">
        <f t="array" ref="B631">IFERROR(INDEX('Player Raw Data'!E:E,Match($A631,'Player Raw Data'!$B:$B,0)),"")</f>
        <v/>
      </c>
      <c r="C631" t="str">
        <f t="array" ref="C631">IFERROR(INDEX('Player Raw Data'!C:C,Match($A631,'Player Raw Data'!$B:$B,0)),"")</f>
        <v/>
      </c>
      <c r="D631" t="str">
        <f t="array" ref="D631">IFERROR(IF(A631=A630, INDEX('Player Raw Data'!D:D,Match($A631,'Player Raw Data'!$B:$B,0)+2),INDEX('Player Raw Data'!D:D,Match($A631,'Player Raw Data'!$B:$B,0))),"")</f>
        <v/>
      </c>
      <c r="E631" t="str">
        <f t="array" ref="E631">IFERROR(INDEX('Player Raw Data'!F:F,Match($A631,'Player Raw Data'!$B:$B,0)),"")</f>
        <v/>
      </c>
      <c r="F631" t="str">
        <f t="array" ref="F631">IFERROR(INDEX('Player Raw Data'!H:H,Match($A631,'Player Raw Data'!$B:$B,0)),"")</f>
        <v/>
      </c>
      <c r="G631" t="str">
        <f t="array" ref="G631">IFERROR(INDEX('Player Raw Data'!I:I,Match($A631,'Player Raw Data'!$B:$B,0)),"")</f>
        <v/>
      </c>
      <c r="H631" t="str">
        <f t="array" ref="H631">IFERROR(INDEX('Player Raw Data'!J:J,Match($A631,'Player Raw Data'!$B:$B,0)),"")</f>
        <v/>
      </c>
      <c r="I631" t="str">
        <f t="array" ref="I631">IFERROR(INDEX('Player Raw Data'!S:S,Match($A631,'Player Raw Data'!$B:$B,0)),"")</f>
        <v/>
      </c>
      <c r="J631" t="str">
        <f t="array" ref="J631">IFERROR(INDEX('Player Raw Data'!T:T,Match($A631,'Player Raw Data'!$B:$B,0)),"")</f>
        <v/>
      </c>
      <c r="K631" t="str">
        <f t="array" ref="K631">IFERROR(INDEX('Player Raw Data'!X:X,Match($A631,'Player Raw Data'!$B:$B,0)),"")</f>
        <v/>
      </c>
      <c r="L631" t="str">
        <f t="array" ref="L631">IFERROR(INDEX('Player Raw Data'!Y:Y,Match($A631,'Player Raw Data'!$B:$B,0)),"")</f>
        <v/>
      </c>
      <c r="M631" t="str">
        <f t="array" ref="M631">IFERROR(INDEX('Player Raw Data'!Z:Z,Match($A631,'Player Raw Data'!$B:$B,0)),"")</f>
        <v/>
      </c>
      <c r="N631" t="str">
        <f t="array" ref="N631">IFERROR(INDEX('Player Raw Data'!AA:AA,Match($A631,'Player Raw Data'!$B:$B,0)),"")</f>
        <v/>
      </c>
      <c r="O631" t="str">
        <f t="array" ref="O631">IFERROR(INDEX('Player Raw Data'!AB:AB,Match($A631,'Player Raw Data'!$B:$B,0)),"")</f>
        <v/>
      </c>
      <c r="P631" t="str">
        <f t="array" ref="P631">IFERROR(INDEX('Player Raw Data'!AD:AD,Match($A631,'Player Raw Data'!$B:$B,0)),"")</f>
        <v/>
      </c>
      <c r="Q631">
        <f t="shared" si="1"/>
        <v>0</v>
      </c>
      <c r="R631" s="9">
        <f t="shared" si="2"/>
        <v>0</v>
      </c>
      <c r="S631" s="14">
        <f t="shared" si="3"/>
        <v>0</v>
      </c>
      <c r="T631" s="15">
        <f>IFERROR(__xludf.DUMMYFUNCTION("IFERROR(PERCENTRANK.INC(FILTER(Q:Q,$F:$F&lt;&gt;""""),Q631)*100,"""")"),1.5)</f>
        <v>1.5</v>
      </c>
      <c r="U631" s="15">
        <f>IFERROR(__xludf.DUMMYFUNCTION("IFERROR(PERCENTRANK.INC(FILTER(R:R,$F:$F&lt;&gt;""""),R631)*100,"""")"),1.5)</f>
        <v>1.5</v>
      </c>
      <c r="V631" s="15">
        <f>IFERROR(__xludf.DUMMYFUNCTION("IFERROR(PERCENTRANK.INC(FILTER(S:S,$F:$F&lt;&gt;""""),S631)*100,"""")"),1.5)</f>
        <v>1.5</v>
      </c>
      <c r="W631" s="15" t="str">
        <f t="shared" si="4"/>
        <v/>
      </c>
      <c r="X631" s="16"/>
      <c r="Y631" s="9"/>
      <c r="Z631" s="9"/>
    </row>
    <row r="632">
      <c r="B632" t="str">
        <f t="array" ref="B632">IFERROR(INDEX('Player Raw Data'!E:E,Match($A632,'Player Raw Data'!$B:$B,0)),"")</f>
        <v/>
      </c>
      <c r="C632" t="str">
        <f t="array" ref="C632">IFERROR(INDEX('Player Raw Data'!C:C,Match($A632,'Player Raw Data'!$B:$B,0)),"")</f>
        <v/>
      </c>
      <c r="D632" t="str">
        <f t="array" ref="D632">IFERROR(IF(A632=A631, INDEX('Player Raw Data'!D:D,Match($A632,'Player Raw Data'!$B:$B,0)+2),INDEX('Player Raw Data'!D:D,Match($A632,'Player Raw Data'!$B:$B,0))),"")</f>
        <v/>
      </c>
      <c r="E632" t="str">
        <f t="array" ref="E632">IFERROR(INDEX('Player Raw Data'!F:F,Match($A632,'Player Raw Data'!$B:$B,0)),"")</f>
        <v/>
      </c>
      <c r="F632" t="str">
        <f t="array" ref="F632">IFERROR(INDEX('Player Raw Data'!H:H,Match($A632,'Player Raw Data'!$B:$B,0)),"")</f>
        <v/>
      </c>
      <c r="G632" t="str">
        <f t="array" ref="G632">IFERROR(INDEX('Player Raw Data'!I:I,Match($A632,'Player Raw Data'!$B:$B,0)),"")</f>
        <v/>
      </c>
      <c r="H632" t="str">
        <f t="array" ref="H632">IFERROR(INDEX('Player Raw Data'!J:J,Match($A632,'Player Raw Data'!$B:$B,0)),"")</f>
        <v/>
      </c>
      <c r="I632" t="str">
        <f t="array" ref="I632">IFERROR(INDEX('Player Raw Data'!S:S,Match($A632,'Player Raw Data'!$B:$B,0)),"")</f>
        <v/>
      </c>
      <c r="J632" t="str">
        <f t="array" ref="J632">IFERROR(INDEX('Player Raw Data'!T:T,Match($A632,'Player Raw Data'!$B:$B,0)),"")</f>
        <v/>
      </c>
      <c r="K632" t="str">
        <f t="array" ref="K632">IFERROR(INDEX('Player Raw Data'!X:X,Match($A632,'Player Raw Data'!$B:$B,0)),"")</f>
        <v/>
      </c>
      <c r="L632" t="str">
        <f t="array" ref="L632">IFERROR(INDEX('Player Raw Data'!Y:Y,Match($A632,'Player Raw Data'!$B:$B,0)),"")</f>
        <v/>
      </c>
      <c r="M632" t="str">
        <f t="array" ref="M632">IFERROR(INDEX('Player Raw Data'!Z:Z,Match($A632,'Player Raw Data'!$B:$B,0)),"")</f>
        <v/>
      </c>
      <c r="N632" t="str">
        <f t="array" ref="N632">IFERROR(INDEX('Player Raw Data'!AA:AA,Match($A632,'Player Raw Data'!$B:$B,0)),"")</f>
        <v/>
      </c>
      <c r="O632" t="str">
        <f t="array" ref="O632">IFERROR(INDEX('Player Raw Data'!AB:AB,Match($A632,'Player Raw Data'!$B:$B,0)),"")</f>
        <v/>
      </c>
      <c r="P632" t="str">
        <f t="array" ref="P632">IFERROR(INDEX('Player Raw Data'!AD:AD,Match($A632,'Player Raw Data'!$B:$B,0)),"")</f>
        <v/>
      </c>
      <c r="Q632">
        <f t="shared" si="1"/>
        <v>0</v>
      </c>
      <c r="R632" s="9">
        <f t="shared" si="2"/>
        <v>0</v>
      </c>
      <c r="S632" s="14">
        <f t="shared" si="3"/>
        <v>0</v>
      </c>
      <c r="T632" s="15">
        <f>IFERROR(__xludf.DUMMYFUNCTION("IFERROR(PERCENTRANK.INC(FILTER(Q:Q,$F:$F&lt;&gt;""""),Q632)*100,"""")"),1.5)</f>
        <v>1.5</v>
      </c>
      <c r="U632" s="15">
        <f>IFERROR(__xludf.DUMMYFUNCTION("IFERROR(PERCENTRANK.INC(FILTER(R:R,$F:$F&lt;&gt;""""),R632)*100,"""")"),1.5)</f>
        <v>1.5</v>
      </c>
      <c r="V632" s="15">
        <f>IFERROR(__xludf.DUMMYFUNCTION("IFERROR(PERCENTRANK.INC(FILTER(S:S,$F:$F&lt;&gt;""""),S632)*100,"""")"),1.5)</f>
        <v>1.5</v>
      </c>
      <c r="W632" s="15" t="str">
        <f t="shared" si="4"/>
        <v/>
      </c>
      <c r="X632" s="16"/>
      <c r="Y632" s="9"/>
      <c r="Z632" s="9"/>
    </row>
    <row r="633">
      <c r="B633" t="str">
        <f t="array" ref="B633">IFERROR(INDEX('Player Raw Data'!E:E,Match($A633,'Player Raw Data'!$B:$B,0)),"")</f>
        <v/>
      </c>
      <c r="C633" t="str">
        <f t="array" ref="C633">IFERROR(INDEX('Player Raw Data'!C:C,Match($A633,'Player Raw Data'!$B:$B,0)),"")</f>
        <v/>
      </c>
      <c r="D633" t="str">
        <f t="array" ref="D633">IFERROR(IF(A633=A632, INDEX('Player Raw Data'!D:D,Match($A633,'Player Raw Data'!$B:$B,0)+2),INDEX('Player Raw Data'!D:D,Match($A633,'Player Raw Data'!$B:$B,0))),"")</f>
        <v/>
      </c>
      <c r="E633" t="str">
        <f t="array" ref="E633">IFERROR(INDEX('Player Raw Data'!F:F,Match($A633,'Player Raw Data'!$B:$B,0)),"")</f>
        <v/>
      </c>
      <c r="F633" t="str">
        <f t="array" ref="F633">IFERROR(INDEX('Player Raw Data'!H:H,Match($A633,'Player Raw Data'!$B:$B,0)),"")</f>
        <v/>
      </c>
      <c r="G633" t="str">
        <f t="array" ref="G633">IFERROR(INDEX('Player Raw Data'!I:I,Match($A633,'Player Raw Data'!$B:$B,0)),"")</f>
        <v/>
      </c>
      <c r="H633" t="str">
        <f t="array" ref="H633">IFERROR(INDEX('Player Raw Data'!J:J,Match($A633,'Player Raw Data'!$B:$B,0)),"")</f>
        <v/>
      </c>
      <c r="I633" t="str">
        <f t="array" ref="I633">IFERROR(INDEX('Player Raw Data'!S:S,Match($A633,'Player Raw Data'!$B:$B,0)),"")</f>
        <v/>
      </c>
      <c r="J633" t="str">
        <f t="array" ref="J633">IFERROR(INDEX('Player Raw Data'!T:T,Match($A633,'Player Raw Data'!$B:$B,0)),"")</f>
        <v/>
      </c>
      <c r="K633" t="str">
        <f t="array" ref="K633">IFERROR(INDEX('Player Raw Data'!X:X,Match($A633,'Player Raw Data'!$B:$B,0)),"")</f>
        <v/>
      </c>
      <c r="L633" t="str">
        <f t="array" ref="L633">IFERROR(INDEX('Player Raw Data'!Y:Y,Match($A633,'Player Raw Data'!$B:$B,0)),"")</f>
        <v/>
      </c>
      <c r="M633" t="str">
        <f t="array" ref="M633">IFERROR(INDEX('Player Raw Data'!Z:Z,Match($A633,'Player Raw Data'!$B:$B,0)),"")</f>
        <v/>
      </c>
      <c r="N633" t="str">
        <f t="array" ref="N633">IFERROR(INDEX('Player Raw Data'!AA:AA,Match($A633,'Player Raw Data'!$B:$B,0)),"")</f>
        <v/>
      </c>
      <c r="O633" t="str">
        <f t="array" ref="O633">IFERROR(INDEX('Player Raw Data'!AB:AB,Match($A633,'Player Raw Data'!$B:$B,0)),"")</f>
        <v/>
      </c>
      <c r="P633" t="str">
        <f t="array" ref="P633">IFERROR(INDEX('Player Raw Data'!AD:AD,Match($A633,'Player Raw Data'!$B:$B,0)),"")</f>
        <v/>
      </c>
      <c r="Q633">
        <f t="shared" si="1"/>
        <v>0</v>
      </c>
      <c r="R633" s="9">
        <f t="shared" si="2"/>
        <v>0</v>
      </c>
      <c r="S633" s="14">
        <f t="shared" si="3"/>
        <v>0</v>
      </c>
      <c r="T633" s="15">
        <f>IFERROR(__xludf.DUMMYFUNCTION("IFERROR(PERCENTRANK.INC(FILTER(Q:Q,$F:$F&lt;&gt;""""),Q633)*100,"""")"),1.5)</f>
        <v>1.5</v>
      </c>
      <c r="U633" s="15">
        <f>IFERROR(__xludf.DUMMYFUNCTION("IFERROR(PERCENTRANK.INC(FILTER(R:R,$F:$F&lt;&gt;""""),R633)*100,"""")"),1.5)</f>
        <v>1.5</v>
      </c>
      <c r="V633" s="15">
        <f>IFERROR(__xludf.DUMMYFUNCTION("IFERROR(PERCENTRANK.INC(FILTER(S:S,$F:$F&lt;&gt;""""),S633)*100,"""")"),1.5)</f>
        <v>1.5</v>
      </c>
      <c r="W633" s="15" t="str">
        <f t="shared" si="4"/>
        <v/>
      </c>
      <c r="X633" s="16"/>
      <c r="Y633" s="9"/>
      <c r="Z633" s="9"/>
    </row>
    <row r="634">
      <c r="B634" t="str">
        <f t="array" ref="B634">IFERROR(INDEX('Player Raw Data'!E:E,Match($A634,'Player Raw Data'!$B:$B,0)),"")</f>
        <v/>
      </c>
      <c r="C634" t="str">
        <f t="array" ref="C634">IFERROR(INDEX('Player Raw Data'!C:C,Match($A634,'Player Raw Data'!$B:$B,0)),"")</f>
        <v/>
      </c>
      <c r="D634" t="str">
        <f t="array" ref="D634">IFERROR(IF(A634=A633, INDEX('Player Raw Data'!D:D,Match($A634,'Player Raw Data'!$B:$B,0)+2),INDEX('Player Raw Data'!D:D,Match($A634,'Player Raw Data'!$B:$B,0))),"")</f>
        <v/>
      </c>
      <c r="E634" t="str">
        <f t="array" ref="E634">IFERROR(INDEX('Player Raw Data'!F:F,Match($A634,'Player Raw Data'!$B:$B,0)),"")</f>
        <v/>
      </c>
      <c r="F634" t="str">
        <f t="array" ref="F634">IFERROR(INDEX('Player Raw Data'!H:H,Match($A634,'Player Raw Data'!$B:$B,0)),"")</f>
        <v/>
      </c>
      <c r="G634" t="str">
        <f t="array" ref="G634">IFERROR(INDEX('Player Raw Data'!I:I,Match($A634,'Player Raw Data'!$B:$B,0)),"")</f>
        <v/>
      </c>
      <c r="H634" t="str">
        <f t="array" ref="H634">IFERROR(INDEX('Player Raw Data'!J:J,Match($A634,'Player Raw Data'!$B:$B,0)),"")</f>
        <v/>
      </c>
      <c r="I634" t="str">
        <f t="array" ref="I634">IFERROR(INDEX('Player Raw Data'!S:S,Match($A634,'Player Raw Data'!$B:$B,0)),"")</f>
        <v/>
      </c>
      <c r="J634" t="str">
        <f t="array" ref="J634">IFERROR(INDEX('Player Raw Data'!T:T,Match($A634,'Player Raw Data'!$B:$B,0)),"")</f>
        <v/>
      </c>
      <c r="K634" t="str">
        <f t="array" ref="K634">IFERROR(INDEX('Player Raw Data'!X:X,Match($A634,'Player Raw Data'!$B:$B,0)),"")</f>
        <v/>
      </c>
      <c r="L634" t="str">
        <f t="array" ref="L634">IFERROR(INDEX('Player Raw Data'!Y:Y,Match($A634,'Player Raw Data'!$B:$B,0)),"")</f>
        <v/>
      </c>
      <c r="M634" t="str">
        <f t="array" ref="M634">IFERROR(INDEX('Player Raw Data'!Z:Z,Match($A634,'Player Raw Data'!$B:$B,0)),"")</f>
        <v/>
      </c>
      <c r="N634" t="str">
        <f t="array" ref="N634">IFERROR(INDEX('Player Raw Data'!AA:AA,Match($A634,'Player Raw Data'!$B:$B,0)),"")</f>
        <v/>
      </c>
      <c r="O634" t="str">
        <f t="array" ref="O634">IFERROR(INDEX('Player Raw Data'!AB:AB,Match($A634,'Player Raw Data'!$B:$B,0)),"")</f>
        <v/>
      </c>
      <c r="P634" t="str">
        <f t="array" ref="P634">IFERROR(INDEX('Player Raw Data'!AD:AD,Match($A634,'Player Raw Data'!$B:$B,0)),"")</f>
        <v/>
      </c>
      <c r="Q634">
        <f t="shared" si="1"/>
        <v>0</v>
      </c>
      <c r="R634" s="9">
        <f t="shared" si="2"/>
        <v>0</v>
      </c>
      <c r="S634" s="14">
        <f t="shared" si="3"/>
        <v>0</v>
      </c>
      <c r="T634" s="15">
        <f>IFERROR(__xludf.DUMMYFUNCTION("IFERROR(PERCENTRANK.INC(FILTER(Q:Q,$F:$F&lt;&gt;""""),Q634)*100,"""")"),1.5)</f>
        <v>1.5</v>
      </c>
      <c r="U634" s="15">
        <f>IFERROR(__xludf.DUMMYFUNCTION("IFERROR(PERCENTRANK.INC(FILTER(R:R,$F:$F&lt;&gt;""""),R634)*100,"""")"),1.5)</f>
        <v>1.5</v>
      </c>
      <c r="V634" s="15">
        <f>IFERROR(__xludf.DUMMYFUNCTION("IFERROR(PERCENTRANK.INC(FILTER(S:S,$F:$F&lt;&gt;""""),S634)*100,"""")"),1.5)</f>
        <v>1.5</v>
      </c>
      <c r="W634" s="15" t="str">
        <f t="shared" si="4"/>
        <v/>
      </c>
      <c r="X634" s="16"/>
      <c r="Y634" s="9"/>
      <c r="Z634" s="9"/>
    </row>
    <row r="635">
      <c r="B635" t="str">
        <f t="array" ref="B635">IFERROR(INDEX('Player Raw Data'!E:E,Match($A635,'Player Raw Data'!$B:$B,0)),"")</f>
        <v/>
      </c>
      <c r="C635" t="str">
        <f t="array" ref="C635">IFERROR(INDEX('Player Raw Data'!C:C,Match($A635,'Player Raw Data'!$B:$B,0)),"")</f>
        <v/>
      </c>
      <c r="D635" t="str">
        <f t="array" ref="D635">IFERROR(IF(A635=A634, INDEX('Player Raw Data'!D:D,Match($A635,'Player Raw Data'!$B:$B,0)+2),INDEX('Player Raw Data'!D:D,Match($A635,'Player Raw Data'!$B:$B,0))),"")</f>
        <v/>
      </c>
      <c r="E635" t="str">
        <f t="array" ref="E635">IFERROR(INDEX('Player Raw Data'!F:F,Match($A635,'Player Raw Data'!$B:$B,0)),"")</f>
        <v/>
      </c>
      <c r="F635" t="str">
        <f t="array" ref="F635">IFERROR(INDEX('Player Raw Data'!H:H,Match($A635,'Player Raw Data'!$B:$B,0)),"")</f>
        <v/>
      </c>
      <c r="G635" t="str">
        <f t="array" ref="G635">IFERROR(INDEX('Player Raw Data'!I:I,Match($A635,'Player Raw Data'!$B:$B,0)),"")</f>
        <v/>
      </c>
      <c r="H635" t="str">
        <f t="array" ref="H635">IFERROR(INDEX('Player Raw Data'!J:J,Match($A635,'Player Raw Data'!$B:$B,0)),"")</f>
        <v/>
      </c>
      <c r="I635" t="str">
        <f t="array" ref="I635">IFERROR(INDEX('Player Raw Data'!S:S,Match($A635,'Player Raw Data'!$B:$B,0)),"")</f>
        <v/>
      </c>
      <c r="J635" t="str">
        <f t="array" ref="J635">IFERROR(INDEX('Player Raw Data'!T:T,Match($A635,'Player Raw Data'!$B:$B,0)),"")</f>
        <v/>
      </c>
      <c r="K635" t="str">
        <f t="array" ref="K635">IFERROR(INDEX('Player Raw Data'!X:X,Match($A635,'Player Raw Data'!$B:$B,0)),"")</f>
        <v/>
      </c>
      <c r="L635" t="str">
        <f t="array" ref="L635">IFERROR(INDEX('Player Raw Data'!Y:Y,Match($A635,'Player Raw Data'!$B:$B,0)),"")</f>
        <v/>
      </c>
      <c r="M635" t="str">
        <f t="array" ref="M635">IFERROR(INDEX('Player Raw Data'!Z:Z,Match($A635,'Player Raw Data'!$B:$B,0)),"")</f>
        <v/>
      </c>
      <c r="N635" t="str">
        <f t="array" ref="N635">IFERROR(INDEX('Player Raw Data'!AA:AA,Match($A635,'Player Raw Data'!$B:$B,0)),"")</f>
        <v/>
      </c>
      <c r="O635" t="str">
        <f t="array" ref="O635">IFERROR(INDEX('Player Raw Data'!AB:AB,Match($A635,'Player Raw Data'!$B:$B,0)),"")</f>
        <v/>
      </c>
      <c r="P635" t="str">
        <f t="array" ref="P635">IFERROR(INDEX('Player Raw Data'!AD:AD,Match($A635,'Player Raw Data'!$B:$B,0)),"")</f>
        <v/>
      </c>
      <c r="Q635">
        <f t="shared" si="1"/>
        <v>0</v>
      </c>
      <c r="R635" s="9">
        <f t="shared" si="2"/>
        <v>0</v>
      </c>
      <c r="S635" s="14">
        <f t="shared" si="3"/>
        <v>0</v>
      </c>
      <c r="T635" s="15">
        <f>IFERROR(__xludf.DUMMYFUNCTION("IFERROR(PERCENTRANK.INC(FILTER(Q:Q,$F:$F&lt;&gt;""""),Q635)*100,"""")"),1.5)</f>
        <v>1.5</v>
      </c>
      <c r="U635" s="15">
        <f>IFERROR(__xludf.DUMMYFUNCTION("IFERROR(PERCENTRANK.INC(FILTER(R:R,$F:$F&lt;&gt;""""),R635)*100,"""")"),1.5)</f>
        <v>1.5</v>
      </c>
      <c r="V635" s="15">
        <f>IFERROR(__xludf.DUMMYFUNCTION("IFERROR(PERCENTRANK.INC(FILTER(S:S,$F:$F&lt;&gt;""""),S635)*100,"""")"),1.5)</f>
        <v>1.5</v>
      </c>
      <c r="W635" s="15" t="str">
        <f t="shared" si="4"/>
        <v/>
      </c>
      <c r="X635" s="16"/>
      <c r="Y635" s="9"/>
      <c r="Z635" s="9"/>
    </row>
    <row r="636">
      <c r="B636" t="str">
        <f t="array" ref="B636">IFERROR(INDEX('Player Raw Data'!E:E,Match($A636,'Player Raw Data'!$B:$B,0)),"")</f>
        <v/>
      </c>
      <c r="C636" t="str">
        <f t="array" ref="C636">IFERROR(INDEX('Player Raw Data'!C:C,Match($A636,'Player Raw Data'!$B:$B,0)),"")</f>
        <v/>
      </c>
      <c r="D636" t="str">
        <f t="array" ref="D636">IFERROR(IF(A636=A635, INDEX('Player Raw Data'!D:D,Match($A636,'Player Raw Data'!$B:$B,0)+2),INDEX('Player Raw Data'!D:D,Match($A636,'Player Raw Data'!$B:$B,0))),"")</f>
        <v/>
      </c>
      <c r="E636" t="str">
        <f t="array" ref="E636">IFERROR(INDEX('Player Raw Data'!F:F,Match($A636,'Player Raw Data'!$B:$B,0)),"")</f>
        <v/>
      </c>
      <c r="F636" t="str">
        <f t="array" ref="F636">IFERROR(INDEX('Player Raw Data'!H:H,Match($A636,'Player Raw Data'!$B:$B,0)),"")</f>
        <v/>
      </c>
      <c r="G636" t="str">
        <f t="array" ref="G636">IFERROR(INDEX('Player Raw Data'!I:I,Match($A636,'Player Raw Data'!$B:$B,0)),"")</f>
        <v/>
      </c>
      <c r="H636" t="str">
        <f t="array" ref="H636">IFERROR(INDEX('Player Raw Data'!J:J,Match($A636,'Player Raw Data'!$B:$B,0)),"")</f>
        <v/>
      </c>
      <c r="I636" t="str">
        <f t="array" ref="I636">IFERROR(INDEX('Player Raw Data'!S:S,Match($A636,'Player Raw Data'!$B:$B,0)),"")</f>
        <v/>
      </c>
      <c r="J636" t="str">
        <f t="array" ref="J636">IFERROR(INDEX('Player Raw Data'!T:T,Match($A636,'Player Raw Data'!$B:$B,0)),"")</f>
        <v/>
      </c>
      <c r="K636" t="str">
        <f t="array" ref="K636">IFERROR(INDEX('Player Raw Data'!X:X,Match($A636,'Player Raw Data'!$B:$B,0)),"")</f>
        <v/>
      </c>
      <c r="L636" t="str">
        <f t="array" ref="L636">IFERROR(INDEX('Player Raw Data'!Y:Y,Match($A636,'Player Raw Data'!$B:$B,0)),"")</f>
        <v/>
      </c>
      <c r="M636" t="str">
        <f t="array" ref="M636">IFERROR(INDEX('Player Raw Data'!Z:Z,Match($A636,'Player Raw Data'!$B:$B,0)),"")</f>
        <v/>
      </c>
      <c r="N636" t="str">
        <f t="array" ref="N636">IFERROR(INDEX('Player Raw Data'!AA:AA,Match($A636,'Player Raw Data'!$B:$B,0)),"")</f>
        <v/>
      </c>
      <c r="O636" t="str">
        <f t="array" ref="O636">IFERROR(INDEX('Player Raw Data'!AB:AB,Match($A636,'Player Raw Data'!$B:$B,0)),"")</f>
        <v/>
      </c>
      <c r="P636" t="str">
        <f t="array" ref="P636">IFERROR(INDEX('Player Raw Data'!AD:AD,Match($A636,'Player Raw Data'!$B:$B,0)),"")</f>
        <v/>
      </c>
      <c r="Q636">
        <f t="shared" si="1"/>
        <v>0</v>
      </c>
      <c r="R636" s="9">
        <f t="shared" si="2"/>
        <v>0</v>
      </c>
      <c r="S636" s="14">
        <f t="shared" si="3"/>
        <v>0</v>
      </c>
      <c r="T636" s="15">
        <f>IFERROR(__xludf.DUMMYFUNCTION("IFERROR(PERCENTRANK.INC(FILTER(Q:Q,$F:$F&lt;&gt;""""),Q636)*100,"""")"),1.5)</f>
        <v>1.5</v>
      </c>
      <c r="U636" s="15">
        <f>IFERROR(__xludf.DUMMYFUNCTION("IFERROR(PERCENTRANK.INC(FILTER(R:R,$F:$F&lt;&gt;""""),R636)*100,"""")"),1.5)</f>
        <v>1.5</v>
      </c>
      <c r="V636" s="15">
        <f>IFERROR(__xludf.DUMMYFUNCTION("IFERROR(PERCENTRANK.INC(FILTER(S:S,$F:$F&lt;&gt;""""),S636)*100,"""")"),1.5)</f>
        <v>1.5</v>
      </c>
      <c r="W636" s="15" t="str">
        <f t="shared" si="4"/>
        <v/>
      </c>
      <c r="X636" s="16"/>
      <c r="Y636" s="9"/>
      <c r="Z636" s="9"/>
    </row>
    <row r="637">
      <c r="B637" t="str">
        <f t="array" ref="B637">IFERROR(INDEX('Player Raw Data'!E:E,Match($A637,'Player Raw Data'!$B:$B,0)),"")</f>
        <v/>
      </c>
      <c r="C637" t="str">
        <f t="array" ref="C637">IFERROR(INDEX('Player Raw Data'!C:C,Match($A637,'Player Raw Data'!$B:$B,0)),"")</f>
        <v/>
      </c>
      <c r="D637" t="str">
        <f t="array" ref="D637">IFERROR(IF(A637=A636, INDEX('Player Raw Data'!D:D,Match($A637,'Player Raw Data'!$B:$B,0)+2),INDEX('Player Raw Data'!D:D,Match($A637,'Player Raw Data'!$B:$B,0))),"")</f>
        <v/>
      </c>
      <c r="E637" t="str">
        <f t="array" ref="E637">IFERROR(INDEX('Player Raw Data'!F:F,Match($A637,'Player Raw Data'!$B:$B,0)),"")</f>
        <v/>
      </c>
      <c r="F637" t="str">
        <f t="array" ref="F637">IFERROR(INDEX('Player Raw Data'!H:H,Match($A637,'Player Raw Data'!$B:$B,0)),"")</f>
        <v/>
      </c>
      <c r="G637" t="str">
        <f t="array" ref="G637">IFERROR(INDEX('Player Raw Data'!I:I,Match($A637,'Player Raw Data'!$B:$B,0)),"")</f>
        <v/>
      </c>
      <c r="H637" t="str">
        <f t="array" ref="H637">IFERROR(INDEX('Player Raw Data'!J:J,Match($A637,'Player Raw Data'!$B:$B,0)),"")</f>
        <v/>
      </c>
      <c r="I637" t="str">
        <f t="array" ref="I637">IFERROR(INDEX('Player Raw Data'!S:S,Match($A637,'Player Raw Data'!$B:$B,0)),"")</f>
        <v/>
      </c>
      <c r="J637" t="str">
        <f t="array" ref="J637">IFERROR(INDEX('Player Raw Data'!T:T,Match($A637,'Player Raw Data'!$B:$B,0)),"")</f>
        <v/>
      </c>
      <c r="K637" t="str">
        <f t="array" ref="K637">IFERROR(INDEX('Player Raw Data'!X:X,Match($A637,'Player Raw Data'!$B:$B,0)),"")</f>
        <v/>
      </c>
      <c r="L637" t="str">
        <f t="array" ref="L637">IFERROR(INDEX('Player Raw Data'!Y:Y,Match($A637,'Player Raw Data'!$B:$B,0)),"")</f>
        <v/>
      </c>
      <c r="M637" t="str">
        <f t="array" ref="M637">IFERROR(INDEX('Player Raw Data'!Z:Z,Match($A637,'Player Raw Data'!$B:$B,0)),"")</f>
        <v/>
      </c>
      <c r="N637" t="str">
        <f t="array" ref="N637">IFERROR(INDEX('Player Raw Data'!AA:AA,Match($A637,'Player Raw Data'!$B:$B,0)),"")</f>
        <v/>
      </c>
      <c r="O637" t="str">
        <f t="array" ref="O637">IFERROR(INDEX('Player Raw Data'!AB:AB,Match($A637,'Player Raw Data'!$B:$B,0)),"")</f>
        <v/>
      </c>
      <c r="P637" t="str">
        <f t="array" ref="P637">IFERROR(INDEX('Player Raw Data'!AD:AD,Match($A637,'Player Raw Data'!$B:$B,0)),"")</f>
        <v/>
      </c>
      <c r="Q637">
        <f t="shared" si="1"/>
        <v>0</v>
      </c>
      <c r="R637" s="9">
        <f t="shared" si="2"/>
        <v>0</v>
      </c>
      <c r="S637" s="14">
        <f t="shared" si="3"/>
        <v>0</v>
      </c>
      <c r="T637" s="15">
        <f>IFERROR(__xludf.DUMMYFUNCTION("IFERROR(PERCENTRANK.INC(FILTER(Q:Q,$F:$F&lt;&gt;""""),Q637)*100,"""")"),1.5)</f>
        <v>1.5</v>
      </c>
      <c r="U637" s="15">
        <f>IFERROR(__xludf.DUMMYFUNCTION("IFERROR(PERCENTRANK.INC(FILTER(R:R,$F:$F&lt;&gt;""""),R637)*100,"""")"),1.5)</f>
        <v>1.5</v>
      </c>
      <c r="V637" s="15">
        <f>IFERROR(__xludf.DUMMYFUNCTION("IFERROR(PERCENTRANK.INC(FILTER(S:S,$F:$F&lt;&gt;""""),S637)*100,"""")"),1.5)</f>
        <v>1.5</v>
      </c>
      <c r="W637" s="15" t="str">
        <f t="shared" si="4"/>
        <v/>
      </c>
      <c r="X637" s="16"/>
      <c r="Y637" s="9"/>
      <c r="Z637" s="9"/>
    </row>
    <row r="638">
      <c r="B638" t="str">
        <f t="array" ref="B638">IFERROR(INDEX('Player Raw Data'!E:E,Match($A638,'Player Raw Data'!$B:$B,0)),"")</f>
        <v/>
      </c>
      <c r="C638" t="str">
        <f t="array" ref="C638">IFERROR(INDEX('Player Raw Data'!C:C,Match($A638,'Player Raw Data'!$B:$B,0)),"")</f>
        <v/>
      </c>
      <c r="D638" t="str">
        <f t="array" ref="D638">IFERROR(IF(A638=A637, INDEX('Player Raw Data'!D:D,Match($A638,'Player Raw Data'!$B:$B,0)+2),INDEX('Player Raw Data'!D:D,Match($A638,'Player Raw Data'!$B:$B,0))),"")</f>
        <v/>
      </c>
      <c r="E638" t="str">
        <f t="array" ref="E638">IFERROR(INDEX('Player Raw Data'!F:F,Match($A638,'Player Raw Data'!$B:$B,0)),"")</f>
        <v/>
      </c>
      <c r="F638" t="str">
        <f t="array" ref="F638">IFERROR(INDEX('Player Raw Data'!H:H,Match($A638,'Player Raw Data'!$B:$B,0)),"")</f>
        <v/>
      </c>
      <c r="G638" t="str">
        <f t="array" ref="G638">IFERROR(INDEX('Player Raw Data'!I:I,Match($A638,'Player Raw Data'!$B:$B,0)),"")</f>
        <v/>
      </c>
      <c r="H638" t="str">
        <f t="array" ref="H638">IFERROR(INDEX('Player Raw Data'!J:J,Match($A638,'Player Raw Data'!$B:$B,0)),"")</f>
        <v/>
      </c>
      <c r="I638" t="str">
        <f t="array" ref="I638">IFERROR(INDEX('Player Raw Data'!S:S,Match($A638,'Player Raw Data'!$B:$B,0)),"")</f>
        <v/>
      </c>
      <c r="J638" t="str">
        <f t="array" ref="J638">IFERROR(INDEX('Player Raw Data'!T:T,Match($A638,'Player Raw Data'!$B:$B,0)),"")</f>
        <v/>
      </c>
      <c r="K638" t="str">
        <f t="array" ref="K638">IFERROR(INDEX('Player Raw Data'!X:X,Match($A638,'Player Raw Data'!$B:$B,0)),"")</f>
        <v/>
      </c>
      <c r="L638" t="str">
        <f t="array" ref="L638">IFERROR(INDEX('Player Raw Data'!Y:Y,Match($A638,'Player Raw Data'!$B:$B,0)),"")</f>
        <v/>
      </c>
      <c r="M638" t="str">
        <f t="array" ref="M638">IFERROR(INDEX('Player Raw Data'!Z:Z,Match($A638,'Player Raw Data'!$B:$B,0)),"")</f>
        <v/>
      </c>
      <c r="N638" t="str">
        <f t="array" ref="N638">IFERROR(INDEX('Player Raw Data'!AA:AA,Match($A638,'Player Raw Data'!$B:$B,0)),"")</f>
        <v/>
      </c>
      <c r="O638" t="str">
        <f t="array" ref="O638">IFERROR(INDEX('Player Raw Data'!AB:AB,Match($A638,'Player Raw Data'!$B:$B,0)),"")</f>
        <v/>
      </c>
      <c r="P638" t="str">
        <f t="array" ref="P638">IFERROR(INDEX('Player Raw Data'!AD:AD,Match($A638,'Player Raw Data'!$B:$B,0)),"")</f>
        <v/>
      </c>
      <c r="Q638">
        <f t="shared" si="1"/>
        <v>0</v>
      </c>
      <c r="R638" s="9">
        <f t="shared" si="2"/>
        <v>0</v>
      </c>
      <c r="S638" s="14">
        <f t="shared" si="3"/>
        <v>0</v>
      </c>
      <c r="T638" s="15">
        <f>IFERROR(__xludf.DUMMYFUNCTION("IFERROR(PERCENTRANK.INC(FILTER(Q:Q,$F:$F&lt;&gt;""""),Q638)*100,"""")"),1.5)</f>
        <v>1.5</v>
      </c>
      <c r="U638" s="15">
        <f>IFERROR(__xludf.DUMMYFUNCTION("IFERROR(PERCENTRANK.INC(FILTER(R:R,$F:$F&lt;&gt;""""),R638)*100,"""")"),1.5)</f>
        <v>1.5</v>
      </c>
      <c r="V638" s="15">
        <f>IFERROR(__xludf.DUMMYFUNCTION("IFERROR(PERCENTRANK.INC(FILTER(S:S,$F:$F&lt;&gt;""""),S638)*100,"""")"),1.5)</f>
        <v>1.5</v>
      </c>
      <c r="W638" s="15" t="str">
        <f t="shared" si="4"/>
        <v/>
      </c>
      <c r="X638" s="16"/>
      <c r="Y638" s="9"/>
      <c r="Z638" s="9"/>
    </row>
    <row r="639">
      <c r="B639" t="str">
        <f t="array" ref="B639">IFERROR(INDEX('Player Raw Data'!E:E,Match($A639,'Player Raw Data'!$B:$B,0)),"")</f>
        <v/>
      </c>
      <c r="C639" t="str">
        <f t="array" ref="C639">IFERROR(INDEX('Player Raw Data'!C:C,Match($A639,'Player Raw Data'!$B:$B,0)),"")</f>
        <v/>
      </c>
      <c r="D639" t="str">
        <f t="array" ref="D639">IFERROR(IF(A639=A638, INDEX('Player Raw Data'!D:D,Match($A639,'Player Raw Data'!$B:$B,0)+2),INDEX('Player Raw Data'!D:D,Match($A639,'Player Raw Data'!$B:$B,0))),"")</f>
        <v/>
      </c>
      <c r="E639" t="str">
        <f t="array" ref="E639">IFERROR(INDEX('Player Raw Data'!F:F,Match($A639,'Player Raw Data'!$B:$B,0)),"")</f>
        <v/>
      </c>
      <c r="F639" t="str">
        <f t="array" ref="F639">IFERROR(INDEX('Player Raw Data'!H:H,Match($A639,'Player Raw Data'!$B:$B,0)),"")</f>
        <v/>
      </c>
      <c r="G639" t="str">
        <f t="array" ref="G639">IFERROR(INDEX('Player Raw Data'!I:I,Match($A639,'Player Raw Data'!$B:$B,0)),"")</f>
        <v/>
      </c>
      <c r="H639" t="str">
        <f t="array" ref="H639">IFERROR(INDEX('Player Raw Data'!J:J,Match($A639,'Player Raw Data'!$B:$B,0)),"")</f>
        <v/>
      </c>
      <c r="I639" t="str">
        <f t="array" ref="I639">IFERROR(INDEX('Player Raw Data'!S:S,Match($A639,'Player Raw Data'!$B:$B,0)),"")</f>
        <v/>
      </c>
      <c r="J639" t="str">
        <f t="array" ref="J639">IFERROR(INDEX('Player Raw Data'!T:T,Match($A639,'Player Raw Data'!$B:$B,0)),"")</f>
        <v/>
      </c>
      <c r="K639" t="str">
        <f t="array" ref="K639">IFERROR(INDEX('Player Raw Data'!X:X,Match($A639,'Player Raw Data'!$B:$B,0)),"")</f>
        <v/>
      </c>
      <c r="L639" t="str">
        <f t="array" ref="L639">IFERROR(INDEX('Player Raw Data'!Y:Y,Match($A639,'Player Raw Data'!$B:$B,0)),"")</f>
        <v/>
      </c>
      <c r="M639" t="str">
        <f t="array" ref="M639">IFERROR(INDEX('Player Raw Data'!Z:Z,Match($A639,'Player Raw Data'!$B:$B,0)),"")</f>
        <v/>
      </c>
      <c r="N639" t="str">
        <f t="array" ref="N639">IFERROR(INDEX('Player Raw Data'!AA:AA,Match($A639,'Player Raw Data'!$B:$B,0)),"")</f>
        <v/>
      </c>
      <c r="O639" t="str">
        <f t="array" ref="O639">IFERROR(INDEX('Player Raw Data'!AB:AB,Match($A639,'Player Raw Data'!$B:$B,0)),"")</f>
        <v/>
      </c>
      <c r="P639" t="str">
        <f t="array" ref="P639">IFERROR(INDEX('Player Raw Data'!AD:AD,Match($A639,'Player Raw Data'!$B:$B,0)),"")</f>
        <v/>
      </c>
      <c r="Q639">
        <f t="shared" si="1"/>
        <v>0</v>
      </c>
      <c r="R639" s="9">
        <f t="shared" si="2"/>
        <v>0</v>
      </c>
      <c r="S639" s="14">
        <f t="shared" si="3"/>
        <v>0</v>
      </c>
      <c r="T639" s="15">
        <f>IFERROR(__xludf.DUMMYFUNCTION("IFERROR(PERCENTRANK.INC(FILTER(Q:Q,$F:$F&lt;&gt;""""),Q639)*100,"""")"),1.5)</f>
        <v>1.5</v>
      </c>
      <c r="U639" s="15">
        <f>IFERROR(__xludf.DUMMYFUNCTION("IFERROR(PERCENTRANK.INC(FILTER(R:R,$F:$F&lt;&gt;""""),R639)*100,"""")"),1.5)</f>
        <v>1.5</v>
      </c>
      <c r="V639" s="15">
        <f>IFERROR(__xludf.DUMMYFUNCTION("IFERROR(PERCENTRANK.INC(FILTER(S:S,$F:$F&lt;&gt;""""),S639)*100,"""")"),1.5)</f>
        <v>1.5</v>
      </c>
      <c r="W639" s="15" t="str">
        <f t="shared" si="4"/>
        <v/>
      </c>
      <c r="X639" s="16"/>
      <c r="Y639" s="9"/>
      <c r="Z639" s="9"/>
    </row>
    <row r="640">
      <c r="B640" t="str">
        <f t="array" ref="B640">IFERROR(INDEX('Player Raw Data'!E:E,Match($A640,'Player Raw Data'!$B:$B,0)),"")</f>
        <v/>
      </c>
      <c r="C640" t="str">
        <f t="array" ref="C640">IFERROR(INDEX('Player Raw Data'!C:C,Match($A640,'Player Raw Data'!$B:$B,0)),"")</f>
        <v/>
      </c>
      <c r="D640" t="str">
        <f t="array" ref="D640">IFERROR(IF(A640=A639, INDEX('Player Raw Data'!D:D,Match($A640,'Player Raw Data'!$B:$B,0)+2),INDEX('Player Raw Data'!D:D,Match($A640,'Player Raw Data'!$B:$B,0))),"")</f>
        <v/>
      </c>
      <c r="E640" t="str">
        <f t="array" ref="E640">IFERROR(INDEX('Player Raw Data'!F:F,Match($A640,'Player Raw Data'!$B:$B,0)),"")</f>
        <v/>
      </c>
      <c r="F640" t="str">
        <f t="array" ref="F640">IFERROR(INDEX('Player Raw Data'!H:H,Match($A640,'Player Raw Data'!$B:$B,0)),"")</f>
        <v/>
      </c>
      <c r="G640" t="str">
        <f t="array" ref="G640">IFERROR(INDEX('Player Raw Data'!I:I,Match($A640,'Player Raw Data'!$B:$B,0)),"")</f>
        <v/>
      </c>
      <c r="H640" t="str">
        <f t="array" ref="H640">IFERROR(INDEX('Player Raw Data'!J:J,Match($A640,'Player Raw Data'!$B:$B,0)),"")</f>
        <v/>
      </c>
      <c r="I640" t="str">
        <f t="array" ref="I640">IFERROR(INDEX('Player Raw Data'!S:S,Match($A640,'Player Raw Data'!$B:$B,0)),"")</f>
        <v/>
      </c>
      <c r="J640" t="str">
        <f t="array" ref="J640">IFERROR(INDEX('Player Raw Data'!T:T,Match($A640,'Player Raw Data'!$B:$B,0)),"")</f>
        <v/>
      </c>
      <c r="K640" t="str">
        <f t="array" ref="K640">IFERROR(INDEX('Player Raw Data'!X:X,Match($A640,'Player Raw Data'!$B:$B,0)),"")</f>
        <v/>
      </c>
      <c r="L640" t="str">
        <f t="array" ref="L640">IFERROR(INDEX('Player Raw Data'!Y:Y,Match($A640,'Player Raw Data'!$B:$B,0)),"")</f>
        <v/>
      </c>
      <c r="M640" t="str">
        <f t="array" ref="M640">IFERROR(INDEX('Player Raw Data'!Z:Z,Match($A640,'Player Raw Data'!$B:$B,0)),"")</f>
        <v/>
      </c>
      <c r="N640" t="str">
        <f t="array" ref="N640">IFERROR(INDEX('Player Raw Data'!AA:AA,Match($A640,'Player Raw Data'!$B:$B,0)),"")</f>
        <v/>
      </c>
      <c r="O640" t="str">
        <f t="array" ref="O640">IFERROR(INDEX('Player Raw Data'!AB:AB,Match($A640,'Player Raw Data'!$B:$B,0)),"")</f>
        <v/>
      </c>
      <c r="P640" t="str">
        <f t="array" ref="P640">IFERROR(INDEX('Player Raw Data'!AD:AD,Match($A640,'Player Raw Data'!$B:$B,0)),"")</f>
        <v/>
      </c>
      <c r="Q640">
        <f t="shared" si="1"/>
        <v>0</v>
      </c>
      <c r="R640" s="9">
        <f t="shared" si="2"/>
        <v>0</v>
      </c>
      <c r="S640" s="14">
        <f t="shared" si="3"/>
        <v>0</v>
      </c>
      <c r="T640" s="15">
        <f>IFERROR(__xludf.DUMMYFUNCTION("IFERROR(PERCENTRANK.INC(FILTER(Q:Q,$F:$F&lt;&gt;""""),Q640)*100,"""")"),1.5)</f>
        <v>1.5</v>
      </c>
      <c r="U640" s="15">
        <f>IFERROR(__xludf.DUMMYFUNCTION("IFERROR(PERCENTRANK.INC(FILTER(R:R,$F:$F&lt;&gt;""""),R640)*100,"""")"),1.5)</f>
        <v>1.5</v>
      </c>
      <c r="V640" s="15">
        <f>IFERROR(__xludf.DUMMYFUNCTION("IFERROR(PERCENTRANK.INC(FILTER(S:S,$F:$F&lt;&gt;""""),S640)*100,"""")"),1.5)</f>
        <v>1.5</v>
      </c>
      <c r="W640" s="15" t="str">
        <f t="shared" si="4"/>
        <v/>
      </c>
      <c r="X640" s="16"/>
      <c r="Y640" s="9"/>
      <c r="Z640" s="9"/>
    </row>
    <row r="641">
      <c r="B641" t="str">
        <f t="array" ref="B641">IFERROR(INDEX('Player Raw Data'!E:E,Match($A641,'Player Raw Data'!$B:$B,0)),"")</f>
        <v/>
      </c>
      <c r="C641" t="str">
        <f t="array" ref="C641">IFERROR(INDEX('Player Raw Data'!C:C,Match($A641,'Player Raw Data'!$B:$B,0)),"")</f>
        <v/>
      </c>
      <c r="D641" t="str">
        <f t="array" ref="D641">IFERROR(IF(A641=A640, INDEX('Player Raw Data'!D:D,Match($A641,'Player Raw Data'!$B:$B,0)+2),INDEX('Player Raw Data'!D:D,Match($A641,'Player Raw Data'!$B:$B,0))),"")</f>
        <v/>
      </c>
      <c r="E641" t="str">
        <f t="array" ref="E641">IFERROR(INDEX('Player Raw Data'!F:F,Match($A641,'Player Raw Data'!$B:$B,0)),"")</f>
        <v/>
      </c>
      <c r="F641" t="str">
        <f t="array" ref="F641">IFERROR(INDEX('Player Raw Data'!H:H,Match($A641,'Player Raw Data'!$B:$B,0)),"")</f>
        <v/>
      </c>
      <c r="G641" t="str">
        <f t="array" ref="G641">IFERROR(INDEX('Player Raw Data'!I:I,Match($A641,'Player Raw Data'!$B:$B,0)),"")</f>
        <v/>
      </c>
      <c r="H641" t="str">
        <f t="array" ref="H641">IFERROR(INDEX('Player Raw Data'!J:J,Match($A641,'Player Raw Data'!$B:$B,0)),"")</f>
        <v/>
      </c>
      <c r="I641" t="str">
        <f t="array" ref="I641">IFERROR(INDEX('Player Raw Data'!S:S,Match($A641,'Player Raw Data'!$B:$B,0)),"")</f>
        <v/>
      </c>
      <c r="J641" t="str">
        <f t="array" ref="J641">IFERROR(INDEX('Player Raw Data'!T:T,Match($A641,'Player Raw Data'!$B:$B,0)),"")</f>
        <v/>
      </c>
      <c r="K641" t="str">
        <f t="array" ref="K641">IFERROR(INDEX('Player Raw Data'!X:X,Match($A641,'Player Raw Data'!$B:$B,0)),"")</f>
        <v/>
      </c>
      <c r="L641" t="str">
        <f t="array" ref="L641">IFERROR(INDEX('Player Raw Data'!Y:Y,Match($A641,'Player Raw Data'!$B:$B,0)),"")</f>
        <v/>
      </c>
      <c r="M641" t="str">
        <f t="array" ref="M641">IFERROR(INDEX('Player Raw Data'!Z:Z,Match($A641,'Player Raw Data'!$B:$B,0)),"")</f>
        <v/>
      </c>
      <c r="N641" t="str">
        <f t="array" ref="N641">IFERROR(INDEX('Player Raw Data'!AA:AA,Match($A641,'Player Raw Data'!$B:$B,0)),"")</f>
        <v/>
      </c>
      <c r="O641" t="str">
        <f t="array" ref="O641">IFERROR(INDEX('Player Raw Data'!AB:AB,Match($A641,'Player Raw Data'!$B:$B,0)),"")</f>
        <v/>
      </c>
      <c r="P641" t="str">
        <f t="array" ref="P641">IFERROR(INDEX('Player Raw Data'!AD:AD,Match($A641,'Player Raw Data'!$B:$B,0)),"")</f>
        <v/>
      </c>
      <c r="Q641">
        <f t="shared" si="1"/>
        <v>0</v>
      </c>
      <c r="R641" s="9">
        <f t="shared" si="2"/>
        <v>0</v>
      </c>
      <c r="S641" s="14">
        <f t="shared" si="3"/>
        <v>0</v>
      </c>
      <c r="T641" s="15">
        <f>IFERROR(__xludf.DUMMYFUNCTION("IFERROR(PERCENTRANK.INC(FILTER(Q:Q,$F:$F&lt;&gt;""""),Q641)*100,"""")"),1.5)</f>
        <v>1.5</v>
      </c>
      <c r="U641" s="15">
        <f>IFERROR(__xludf.DUMMYFUNCTION("IFERROR(PERCENTRANK.INC(FILTER(R:R,$F:$F&lt;&gt;""""),R641)*100,"""")"),1.5)</f>
        <v>1.5</v>
      </c>
      <c r="V641" s="15">
        <f>IFERROR(__xludf.DUMMYFUNCTION("IFERROR(PERCENTRANK.INC(FILTER(S:S,$F:$F&lt;&gt;""""),S641)*100,"""")"),1.5)</f>
        <v>1.5</v>
      </c>
      <c r="W641" s="15" t="str">
        <f t="shared" si="4"/>
        <v/>
      </c>
      <c r="X641" s="16"/>
      <c r="Y641" s="9"/>
      <c r="Z641" s="9"/>
    </row>
    <row r="642">
      <c r="B642" t="str">
        <f t="array" ref="B642">IFERROR(INDEX('Player Raw Data'!E:E,Match($A642,'Player Raw Data'!$B:$B,0)),"")</f>
        <v/>
      </c>
      <c r="C642" t="str">
        <f t="array" ref="C642">IFERROR(INDEX('Player Raw Data'!C:C,Match($A642,'Player Raw Data'!$B:$B,0)),"")</f>
        <v/>
      </c>
      <c r="D642" t="str">
        <f t="array" ref="D642">IFERROR(IF(A642=A641, INDEX('Player Raw Data'!D:D,Match($A642,'Player Raw Data'!$B:$B,0)+2),INDEX('Player Raw Data'!D:D,Match($A642,'Player Raw Data'!$B:$B,0))),"")</f>
        <v/>
      </c>
      <c r="E642" t="str">
        <f t="array" ref="E642">IFERROR(INDEX('Player Raw Data'!F:F,Match($A642,'Player Raw Data'!$B:$B,0)),"")</f>
        <v/>
      </c>
      <c r="F642" t="str">
        <f t="array" ref="F642">IFERROR(INDEX('Player Raw Data'!H:H,Match($A642,'Player Raw Data'!$B:$B,0)),"")</f>
        <v/>
      </c>
      <c r="G642" t="str">
        <f t="array" ref="G642">IFERROR(INDEX('Player Raw Data'!I:I,Match($A642,'Player Raw Data'!$B:$B,0)),"")</f>
        <v/>
      </c>
      <c r="H642" t="str">
        <f t="array" ref="H642">IFERROR(INDEX('Player Raw Data'!J:J,Match($A642,'Player Raw Data'!$B:$B,0)),"")</f>
        <v/>
      </c>
      <c r="I642" t="str">
        <f t="array" ref="I642">IFERROR(INDEX('Player Raw Data'!S:S,Match($A642,'Player Raw Data'!$B:$B,0)),"")</f>
        <v/>
      </c>
      <c r="J642" t="str">
        <f t="array" ref="J642">IFERROR(INDEX('Player Raw Data'!T:T,Match($A642,'Player Raw Data'!$B:$B,0)),"")</f>
        <v/>
      </c>
      <c r="K642" t="str">
        <f t="array" ref="K642">IFERROR(INDEX('Player Raw Data'!X:X,Match($A642,'Player Raw Data'!$B:$B,0)),"")</f>
        <v/>
      </c>
      <c r="L642" t="str">
        <f t="array" ref="L642">IFERROR(INDEX('Player Raw Data'!Y:Y,Match($A642,'Player Raw Data'!$B:$B,0)),"")</f>
        <v/>
      </c>
      <c r="M642" t="str">
        <f t="array" ref="M642">IFERROR(INDEX('Player Raw Data'!Z:Z,Match($A642,'Player Raw Data'!$B:$B,0)),"")</f>
        <v/>
      </c>
      <c r="N642" t="str">
        <f t="array" ref="N642">IFERROR(INDEX('Player Raw Data'!AA:AA,Match($A642,'Player Raw Data'!$B:$B,0)),"")</f>
        <v/>
      </c>
      <c r="O642" t="str">
        <f t="array" ref="O642">IFERROR(INDEX('Player Raw Data'!AB:AB,Match($A642,'Player Raw Data'!$B:$B,0)),"")</f>
        <v/>
      </c>
      <c r="P642" t="str">
        <f t="array" ref="P642">IFERROR(INDEX('Player Raw Data'!AD:AD,Match($A642,'Player Raw Data'!$B:$B,0)),"")</f>
        <v/>
      </c>
      <c r="Q642">
        <f t="shared" si="1"/>
        <v>0</v>
      </c>
      <c r="R642" s="9">
        <f t="shared" si="2"/>
        <v>0</v>
      </c>
      <c r="S642" s="14">
        <f t="shared" si="3"/>
        <v>0</v>
      </c>
      <c r="T642" s="15">
        <f>IFERROR(__xludf.DUMMYFUNCTION("IFERROR(PERCENTRANK.INC(FILTER(Q:Q,$F:$F&lt;&gt;""""),Q642)*100,"""")"),1.5)</f>
        <v>1.5</v>
      </c>
      <c r="U642" s="15">
        <f>IFERROR(__xludf.DUMMYFUNCTION("IFERROR(PERCENTRANK.INC(FILTER(R:R,$F:$F&lt;&gt;""""),R642)*100,"""")"),1.5)</f>
        <v>1.5</v>
      </c>
      <c r="V642" s="15">
        <f>IFERROR(__xludf.DUMMYFUNCTION("IFERROR(PERCENTRANK.INC(FILTER(S:S,$F:$F&lt;&gt;""""),S642)*100,"""")"),1.5)</f>
        <v>1.5</v>
      </c>
      <c r="W642" s="15" t="str">
        <f t="shared" si="4"/>
        <v/>
      </c>
      <c r="X642" s="16"/>
      <c r="Y642" s="9"/>
      <c r="Z642" s="9"/>
    </row>
    <row r="643">
      <c r="B643" t="str">
        <f t="array" ref="B643">IFERROR(INDEX('Player Raw Data'!E:E,Match($A643,'Player Raw Data'!$B:$B,0)),"")</f>
        <v/>
      </c>
      <c r="C643" t="str">
        <f t="array" ref="C643">IFERROR(INDEX('Player Raw Data'!C:C,Match($A643,'Player Raw Data'!$B:$B,0)),"")</f>
        <v/>
      </c>
      <c r="D643" t="str">
        <f t="array" ref="D643">IFERROR(IF(A643=A642, INDEX('Player Raw Data'!D:D,Match($A643,'Player Raw Data'!$B:$B,0)+2),INDEX('Player Raw Data'!D:D,Match($A643,'Player Raw Data'!$B:$B,0))),"")</f>
        <v/>
      </c>
      <c r="E643" t="str">
        <f t="array" ref="E643">IFERROR(INDEX('Player Raw Data'!F:F,Match($A643,'Player Raw Data'!$B:$B,0)),"")</f>
        <v/>
      </c>
      <c r="F643" t="str">
        <f t="array" ref="F643">IFERROR(INDEX('Player Raw Data'!H:H,Match($A643,'Player Raw Data'!$B:$B,0)),"")</f>
        <v/>
      </c>
      <c r="G643" t="str">
        <f t="array" ref="G643">IFERROR(INDEX('Player Raw Data'!I:I,Match($A643,'Player Raw Data'!$B:$B,0)),"")</f>
        <v/>
      </c>
      <c r="H643" t="str">
        <f t="array" ref="H643">IFERROR(INDEX('Player Raw Data'!J:J,Match($A643,'Player Raw Data'!$B:$B,0)),"")</f>
        <v/>
      </c>
      <c r="I643" t="str">
        <f t="array" ref="I643">IFERROR(INDEX('Player Raw Data'!S:S,Match($A643,'Player Raw Data'!$B:$B,0)),"")</f>
        <v/>
      </c>
      <c r="J643" t="str">
        <f t="array" ref="J643">IFERROR(INDEX('Player Raw Data'!T:T,Match($A643,'Player Raw Data'!$B:$B,0)),"")</f>
        <v/>
      </c>
      <c r="K643" t="str">
        <f t="array" ref="K643">IFERROR(INDEX('Player Raw Data'!X:X,Match($A643,'Player Raw Data'!$B:$B,0)),"")</f>
        <v/>
      </c>
      <c r="L643" t="str">
        <f t="array" ref="L643">IFERROR(INDEX('Player Raw Data'!Y:Y,Match($A643,'Player Raw Data'!$B:$B,0)),"")</f>
        <v/>
      </c>
      <c r="M643" t="str">
        <f t="array" ref="M643">IFERROR(INDEX('Player Raw Data'!Z:Z,Match($A643,'Player Raw Data'!$B:$B,0)),"")</f>
        <v/>
      </c>
      <c r="N643" t="str">
        <f t="array" ref="N643">IFERROR(INDEX('Player Raw Data'!AA:AA,Match($A643,'Player Raw Data'!$B:$B,0)),"")</f>
        <v/>
      </c>
      <c r="O643" t="str">
        <f t="array" ref="O643">IFERROR(INDEX('Player Raw Data'!AB:AB,Match($A643,'Player Raw Data'!$B:$B,0)),"")</f>
        <v/>
      </c>
      <c r="P643" t="str">
        <f t="array" ref="P643">IFERROR(INDEX('Player Raw Data'!AD:AD,Match($A643,'Player Raw Data'!$B:$B,0)),"")</f>
        <v/>
      </c>
      <c r="Q643">
        <f t="shared" si="1"/>
        <v>0</v>
      </c>
      <c r="R643" s="9">
        <f t="shared" si="2"/>
        <v>0</v>
      </c>
      <c r="S643" s="14">
        <f t="shared" si="3"/>
        <v>0</v>
      </c>
      <c r="T643" s="15">
        <f>IFERROR(__xludf.DUMMYFUNCTION("IFERROR(PERCENTRANK.INC(FILTER(Q:Q,$F:$F&lt;&gt;""""),Q643)*100,"""")"),1.5)</f>
        <v>1.5</v>
      </c>
      <c r="U643" s="15">
        <f>IFERROR(__xludf.DUMMYFUNCTION("IFERROR(PERCENTRANK.INC(FILTER(R:R,$F:$F&lt;&gt;""""),R643)*100,"""")"),1.5)</f>
        <v>1.5</v>
      </c>
      <c r="V643" s="15">
        <f>IFERROR(__xludf.DUMMYFUNCTION("IFERROR(PERCENTRANK.INC(FILTER(S:S,$F:$F&lt;&gt;""""),S643)*100,"""")"),1.5)</f>
        <v>1.5</v>
      </c>
      <c r="W643" s="15" t="str">
        <f t="shared" si="4"/>
        <v/>
      </c>
      <c r="X643" s="16"/>
      <c r="Y643" s="9"/>
      <c r="Z643" s="9"/>
    </row>
    <row r="644">
      <c r="B644" t="str">
        <f t="array" ref="B644">IFERROR(INDEX('Player Raw Data'!E:E,Match($A644,'Player Raw Data'!$B:$B,0)),"")</f>
        <v/>
      </c>
      <c r="C644" t="str">
        <f t="array" ref="C644">IFERROR(INDEX('Player Raw Data'!C:C,Match($A644,'Player Raw Data'!$B:$B,0)),"")</f>
        <v/>
      </c>
      <c r="D644" t="str">
        <f t="array" ref="D644">IFERROR(IF(A644=A643, INDEX('Player Raw Data'!D:D,Match($A644,'Player Raw Data'!$B:$B,0)+2),INDEX('Player Raw Data'!D:D,Match($A644,'Player Raw Data'!$B:$B,0))),"")</f>
        <v/>
      </c>
      <c r="E644" t="str">
        <f t="array" ref="E644">IFERROR(INDEX('Player Raw Data'!F:F,Match($A644,'Player Raw Data'!$B:$B,0)),"")</f>
        <v/>
      </c>
      <c r="F644" t="str">
        <f t="array" ref="F644">IFERROR(INDEX('Player Raw Data'!H:H,Match($A644,'Player Raw Data'!$B:$B,0)),"")</f>
        <v/>
      </c>
      <c r="G644" t="str">
        <f t="array" ref="G644">IFERROR(INDEX('Player Raw Data'!I:I,Match($A644,'Player Raw Data'!$B:$B,0)),"")</f>
        <v/>
      </c>
      <c r="H644" t="str">
        <f t="array" ref="H644">IFERROR(INDEX('Player Raw Data'!J:J,Match($A644,'Player Raw Data'!$B:$B,0)),"")</f>
        <v/>
      </c>
      <c r="I644" t="str">
        <f t="array" ref="I644">IFERROR(INDEX('Player Raw Data'!S:S,Match($A644,'Player Raw Data'!$B:$B,0)),"")</f>
        <v/>
      </c>
      <c r="J644" t="str">
        <f t="array" ref="J644">IFERROR(INDEX('Player Raw Data'!T:T,Match($A644,'Player Raw Data'!$B:$B,0)),"")</f>
        <v/>
      </c>
      <c r="K644" t="str">
        <f t="array" ref="K644">IFERROR(INDEX('Player Raw Data'!X:X,Match($A644,'Player Raw Data'!$B:$B,0)),"")</f>
        <v/>
      </c>
      <c r="L644" t="str">
        <f t="array" ref="L644">IFERROR(INDEX('Player Raw Data'!Y:Y,Match($A644,'Player Raw Data'!$B:$B,0)),"")</f>
        <v/>
      </c>
      <c r="M644" t="str">
        <f t="array" ref="M644">IFERROR(INDEX('Player Raw Data'!Z:Z,Match($A644,'Player Raw Data'!$B:$B,0)),"")</f>
        <v/>
      </c>
      <c r="N644" t="str">
        <f t="array" ref="N644">IFERROR(INDEX('Player Raw Data'!AA:AA,Match($A644,'Player Raw Data'!$B:$B,0)),"")</f>
        <v/>
      </c>
      <c r="O644" t="str">
        <f t="array" ref="O644">IFERROR(INDEX('Player Raw Data'!AB:AB,Match($A644,'Player Raw Data'!$B:$B,0)),"")</f>
        <v/>
      </c>
      <c r="P644" t="str">
        <f t="array" ref="P644">IFERROR(INDEX('Player Raw Data'!AD:AD,Match($A644,'Player Raw Data'!$B:$B,0)),"")</f>
        <v/>
      </c>
      <c r="Q644">
        <f t="shared" si="1"/>
        <v>0</v>
      </c>
      <c r="R644" s="9">
        <f t="shared" si="2"/>
        <v>0</v>
      </c>
      <c r="S644" s="14">
        <f t="shared" si="3"/>
        <v>0</v>
      </c>
      <c r="T644" s="15">
        <f>IFERROR(__xludf.DUMMYFUNCTION("IFERROR(PERCENTRANK.INC(FILTER(Q:Q,$F:$F&lt;&gt;""""),Q644)*100,"""")"),1.5)</f>
        <v>1.5</v>
      </c>
      <c r="U644" s="15">
        <f>IFERROR(__xludf.DUMMYFUNCTION("IFERROR(PERCENTRANK.INC(FILTER(R:R,$F:$F&lt;&gt;""""),R644)*100,"""")"),1.5)</f>
        <v>1.5</v>
      </c>
      <c r="V644" s="15">
        <f>IFERROR(__xludf.DUMMYFUNCTION("IFERROR(PERCENTRANK.INC(FILTER(S:S,$F:$F&lt;&gt;""""),S644)*100,"""")"),1.5)</f>
        <v>1.5</v>
      </c>
      <c r="W644" s="15" t="str">
        <f t="shared" si="4"/>
        <v/>
      </c>
      <c r="X644" s="16"/>
      <c r="Y644" s="9"/>
      <c r="Z644" s="9"/>
    </row>
    <row r="645">
      <c r="B645" t="str">
        <f t="array" ref="B645">IFERROR(INDEX('Player Raw Data'!E:E,Match($A645,'Player Raw Data'!$B:$B,0)),"")</f>
        <v/>
      </c>
      <c r="C645" t="str">
        <f t="array" ref="C645">IFERROR(INDEX('Player Raw Data'!C:C,Match($A645,'Player Raw Data'!$B:$B,0)),"")</f>
        <v/>
      </c>
      <c r="D645" t="str">
        <f t="array" ref="D645">IFERROR(IF(A645=A644, INDEX('Player Raw Data'!D:D,Match($A645,'Player Raw Data'!$B:$B,0)+2),INDEX('Player Raw Data'!D:D,Match($A645,'Player Raw Data'!$B:$B,0))),"")</f>
        <v/>
      </c>
      <c r="E645" t="str">
        <f t="array" ref="E645">IFERROR(INDEX('Player Raw Data'!F:F,Match($A645,'Player Raw Data'!$B:$B,0)),"")</f>
        <v/>
      </c>
      <c r="F645" t="str">
        <f t="array" ref="F645">IFERROR(INDEX('Player Raw Data'!H:H,Match($A645,'Player Raw Data'!$B:$B,0)),"")</f>
        <v/>
      </c>
      <c r="G645" t="str">
        <f t="array" ref="G645">IFERROR(INDEX('Player Raw Data'!I:I,Match($A645,'Player Raw Data'!$B:$B,0)),"")</f>
        <v/>
      </c>
      <c r="H645" t="str">
        <f t="array" ref="H645">IFERROR(INDEX('Player Raw Data'!J:J,Match($A645,'Player Raw Data'!$B:$B,0)),"")</f>
        <v/>
      </c>
      <c r="I645" t="str">
        <f t="array" ref="I645">IFERROR(INDEX('Player Raw Data'!S:S,Match($A645,'Player Raw Data'!$B:$B,0)),"")</f>
        <v/>
      </c>
      <c r="J645" t="str">
        <f t="array" ref="J645">IFERROR(INDEX('Player Raw Data'!T:T,Match($A645,'Player Raw Data'!$B:$B,0)),"")</f>
        <v/>
      </c>
      <c r="K645" t="str">
        <f t="array" ref="K645">IFERROR(INDEX('Player Raw Data'!X:X,Match($A645,'Player Raw Data'!$B:$B,0)),"")</f>
        <v/>
      </c>
      <c r="L645" t="str">
        <f t="array" ref="L645">IFERROR(INDEX('Player Raw Data'!Y:Y,Match($A645,'Player Raw Data'!$B:$B,0)),"")</f>
        <v/>
      </c>
      <c r="M645" t="str">
        <f t="array" ref="M645">IFERROR(INDEX('Player Raw Data'!Z:Z,Match($A645,'Player Raw Data'!$B:$B,0)),"")</f>
        <v/>
      </c>
      <c r="N645" t="str">
        <f t="array" ref="N645">IFERROR(INDEX('Player Raw Data'!AA:AA,Match($A645,'Player Raw Data'!$B:$B,0)),"")</f>
        <v/>
      </c>
      <c r="O645" t="str">
        <f t="array" ref="O645">IFERROR(INDEX('Player Raw Data'!AB:AB,Match($A645,'Player Raw Data'!$B:$B,0)),"")</f>
        <v/>
      </c>
      <c r="P645" t="str">
        <f t="array" ref="P645">IFERROR(INDEX('Player Raw Data'!AD:AD,Match($A645,'Player Raw Data'!$B:$B,0)),"")</f>
        <v/>
      </c>
      <c r="Q645">
        <f t="shared" si="1"/>
        <v>0</v>
      </c>
      <c r="R645" s="9">
        <f t="shared" si="2"/>
        <v>0</v>
      </c>
      <c r="S645" s="14">
        <f t="shared" si="3"/>
        <v>0</v>
      </c>
      <c r="T645" s="15">
        <f>IFERROR(__xludf.DUMMYFUNCTION("IFERROR(PERCENTRANK.INC(FILTER(Q:Q,$F:$F&lt;&gt;""""),Q645)*100,"""")"),1.5)</f>
        <v>1.5</v>
      </c>
      <c r="U645" s="15">
        <f>IFERROR(__xludf.DUMMYFUNCTION("IFERROR(PERCENTRANK.INC(FILTER(R:R,$F:$F&lt;&gt;""""),R645)*100,"""")"),1.5)</f>
        <v>1.5</v>
      </c>
      <c r="V645" s="15">
        <f>IFERROR(__xludf.DUMMYFUNCTION("IFERROR(PERCENTRANK.INC(FILTER(S:S,$F:$F&lt;&gt;""""),S645)*100,"""")"),1.5)</f>
        <v>1.5</v>
      </c>
      <c r="W645" s="15" t="str">
        <f t="shared" si="4"/>
        <v/>
      </c>
      <c r="X645" s="16"/>
      <c r="Y645" s="9"/>
      <c r="Z645" s="9"/>
    </row>
    <row r="646">
      <c r="B646" t="str">
        <f t="array" ref="B646">IFERROR(INDEX('Player Raw Data'!E:E,Match($A646,'Player Raw Data'!$B:$B,0)),"")</f>
        <v/>
      </c>
      <c r="C646" t="str">
        <f t="array" ref="C646">IFERROR(INDEX('Player Raw Data'!C:C,Match($A646,'Player Raw Data'!$B:$B,0)),"")</f>
        <v/>
      </c>
      <c r="D646" t="str">
        <f t="array" ref="D646">IFERROR(IF(A646=A645, INDEX('Player Raw Data'!D:D,Match($A646,'Player Raw Data'!$B:$B,0)+2),INDEX('Player Raw Data'!D:D,Match($A646,'Player Raw Data'!$B:$B,0))),"")</f>
        <v/>
      </c>
      <c r="E646" t="str">
        <f t="array" ref="E646">IFERROR(INDEX('Player Raw Data'!F:F,Match($A646,'Player Raw Data'!$B:$B,0)),"")</f>
        <v/>
      </c>
      <c r="F646" t="str">
        <f t="array" ref="F646">IFERROR(INDEX('Player Raw Data'!H:H,Match($A646,'Player Raw Data'!$B:$B,0)),"")</f>
        <v/>
      </c>
      <c r="G646" t="str">
        <f t="array" ref="G646">IFERROR(INDEX('Player Raw Data'!I:I,Match($A646,'Player Raw Data'!$B:$B,0)),"")</f>
        <v/>
      </c>
      <c r="H646" t="str">
        <f t="array" ref="H646">IFERROR(INDEX('Player Raw Data'!J:J,Match($A646,'Player Raw Data'!$B:$B,0)),"")</f>
        <v/>
      </c>
      <c r="I646" t="str">
        <f t="array" ref="I646">IFERROR(INDEX('Player Raw Data'!S:S,Match($A646,'Player Raw Data'!$B:$B,0)),"")</f>
        <v/>
      </c>
      <c r="J646" t="str">
        <f t="array" ref="J646">IFERROR(INDEX('Player Raw Data'!T:T,Match($A646,'Player Raw Data'!$B:$B,0)),"")</f>
        <v/>
      </c>
      <c r="K646" t="str">
        <f t="array" ref="K646">IFERROR(INDEX('Player Raw Data'!X:X,Match($A646,'Player Raw Data'!$B:$B,0)),"")</f>
        <v/>
      </c>
      <c r="L646" t="str">
        <f t="array" ref="L646">IFERROR(INDEX('Player Raw Data'!Y:Y,Match($A646,'Player Raw Data'!$B:$B,0)),"")</f>
        <v/>
      </c>
      <c r="M646" t="str">
        <f t="array" ref="M646">IFERROR(INDEX('Player Raw Data'!Z:Z,Match($A646,'Player Raw Data'!$B:$B,0)),"")</f>
        <v/>
      </c>
      <c r="N646" t="str">
        <f t="array" ref="N646">IFERROR(INDEX('Player Raw Data'!AA:AA,Match($A646,'Player Raw Data'!$B:$B,0)),"")</f>
        <v/>
      </c>
      <c r="O646" t="str">
        <f t="array" ref="O646">IFERROR(INDEX('Player Raw Data'!AB:AB,Match($A646,'Player Raw Data'!$B:$B,0)),"")</f>
        <v/>
      </c>
      <c r="P646" t="str">
        <f t="array" ref="P646">IFERROR(INDEX('Player Raw Data'!AD:AD,Match($A646,'Player Raw Data'!$B:$B,0)),"")</f>
        <v/>
      </c>
      <c r="Q646">
        <f t="shared" si="1"/>
        <v>0</v>
      </c>
      <c r="R646" s="9">
        <f t="shared" si="2"/>
        <v>0</v>
      </c>
      <c r="S646" s="14">
        <f t="shared" si="3"/>
        <v>0</v>
      </c>
      <c r="T646" s="15">
        <f>IFERROR(__xludf.DUMMYFUNCTION("IFERROR(PERCENTRANK.INC(FILTER(Q:Q,$F:$F&lt;&gt;""""),Q646)*100,"""")"),1.5)</f>
        <v>1.5</v>
      </c>
      <c r="U646" s="15">
        <f>IFERROR(__xludf.DUMMYFUNCTION("IFERROR(PERCENTRANK.INC(FILTER(R:R,$F:$F&lt;&gt;""""),R646)*100,"""")"),1.5)</f>
        <v>1.5</v>
      </c>
      <c r="V646" s="15">
        <f>IFERROR(__xludf.DUMMYFUNCTION("IFERROR(PERCENTRANK.INC(FILTER(S:S,$F:$F&lt;&gt;""""),S646)*100,"""")"),1.5)</f>
        <v>1.5</v>
      </c>
      <c r="W646" s="15" t="str">
        <f t="shared" si="4"/>
        <v/>
      </c>
      <c r="X646" s="16"/>
      <c r="Y646" s="9"/>
      <c r="Z646" s="9"/>
    </row>
    <row r="647">
      <c r="B647" t="str">
        <f t="array" ref="B647">IFERROR(INDEX('Player Raw Data'!E:E,Match($A647,'Player Raw Data'!$B:$B,0)),"")</f>
        <v/>
      </c>
      <c r="C647" t="str">
        <f t="array" ref="C647">IFERROR(INDEX('Player Raw Data'!C:C,Match($A647,'Player Raw Data'!$B:$B,0)),"")</f>
        <v/>
      </c>
      <c r="D647" t="str">
        <f t="array" ref="D647">IFERROR(IF(A647=A646, INDEX('Player Raw Data'!D:D,Match($A647,'Player Raw Data'!$B:$B,0)+2),INDEX('Player Raw Data'!D:D,Match($A647,'Player Raw Data'!$B:$B,0))),"")</f>
        <v/>
      </c>
      <c r="E647" t="str">
        <f t="array" ref="E647">IFERROR(INDEX('Player Raw Data'!F:F,Match($A647,'Player Raw Data'!$B:$B,0)),"")</f>
        <v/>
      </c>
      <c r="F647" t="str">
        <f t="array" ref="F647">IFERROR(INDEX('Player Raw Data'!H:H,Match($A647,'Player Raw Data'!$B:$B,0)),"")</f>
        <v/>
      </c>
      <c r="G647" t="str">
        <f t="array" ref="G647">IFERROR(INDEX('Player Raw Data'!I:I,Match($A647,'Player Raw Data'!$B:$B,0)),"")</f>
        <v/>
      </c>
      <c r="H647" t="str">
        <f t="array" ref="H647">IFERROR(INDEX('Player Raw Data'!J:J,Match($A647,'Player Raw Data'!$B:$B,0)),"")</f>
        <v/>
      </c>
      <c r="I647" t="str">
        <f t="array" ref="I647">IFERROR(INDEX('Player Raw Data'!S:S,Match($A647,'Player Raw Data'!$B:$B,0)),"")</f>
        <v/>
      </c>
      <c r="J647" t="str">
        <f t="array" ref="J647">IFERROR(INDEX('Player Raw Data'!T:T,Match($A647,'Player Raw Data'!$B:$B,0)),"")</f>
        <v/>
      </c>
      <c r="K647" t="str">
        <f t="array" ref="K647">IFERROR(INDEX('Player Raw Data'!X:X,Match($A647,'Player Raw Data'!$B:$B,0)),"")</f>
        <v/>
      </c>
      <c r="L647" t="str">
        <f t="array" ref="L647">IFERROR(INDEX('Player Raw Data'!Y:Y,Match($A647,'Player Raw Data'!$B:$B,0)),"")</f>
        <v/>
      </c>
      <c r="M647" t="str">
        <f t="array" ref="M647">IFERROR(INDEX('Player Raw Data'!Z:Z,Match($A647,'Player Raw Data'!$B:$B,0)),"")</f>
        <v/>
      </c>
      <c r="N647" t="str">
        <f t="array" ref="N647">IFERROR(INDEX('Player Raw Data'!AA:AA,Match($A647,'Player Raw Data'!$B:$B,0)),"")</f>
        <v/>
      </c>
      <c r="O647" t="str">
        <f t="array" ref="O647">IFERROR(INDEX('Player Raw Data'!AB:AB,Match($A647,'Player Raw Data'!$B:$B,0)),"")</f>
        <v/>
      </c>
      <c r="P647" t="str">
        <f t="array" ref="P647">IFERROR(INDEX('Player Raw Data'!AD:AD,Match($A647,'Player Raw Data'!$B:$B,0)),"")</f>
        <v/>
      </c>
      <c r="Q647">
        <f t="shared" si="1"/>
        <v>0</v>
      </c>
      <c r="R647" s="9">
        <f t="shared" si="2"/>
        <v>0</v>
      </c>
      <c r="S647" s="14">
        <f t="shared" si="3"/>
        <v>0</v>
      </c>
      <c r="T647" s="15">
        <f>IFERROR(__xludf.DUMMYFUNCTION("IFERROR(PERCENTRANK.INC(FILTER(Q:Q,$F:$F&lt;&gt;""""),Q647)*100,"""")"),1.5)</f>
        <v>1.5</v>
      </c>
      <c r="U647" s="15">
        <f>IFERROR(__xludf.DUMMYFUNCTION("IFERROR(PERCENTRANK.INC(FILTER(R:R,$F:$F&lt;&gt;""""),R647)*100,"""")"),1.5)</f>
        <v>1.5</v>
      </c>
      <c r="V647" s="15">
        <f>IFERROR(__xludf.DUMMYFUNCTION("IFERROR(PERCENTRANK.INC(FILTER(S:S,$F:$F&lt;&gt;""""),S647)*100,"""")"),1.5)</f>
        <v>1.5</v>
      </c>
      <c r="W647" s="15" t="str">
        <f t="shared" si="4"/>
        <v/>
      </c>
      <c r="X647" s="16"/>
      <c r="Y647" s="9"/>
      <c r="Z647" s="9"/>
    </row>
    <row r="648">
      <c r="B648" t="str">
        <f t="array" ref="B648">IFERROR(INDEX('Player Raw Data'!E:E,Match($A648,'Player Raw Data'!$B:$B,0)),"")</f>
        <v/>
      </c>
      <c r="C648" t="str">
        <f t="array" ref="C648">IFERROR(INDEX('Player Raw Data'!C:C,Match($A648,'Player Raw Data'!$B:$B,0)),"")</f>
        <v/>
      </c>
      <c r="D648" t="str">
        <f t="array" ref="D648">IFERROR(IF(A648=A647, INDEX('Player Raw Data'!D:D,Match($A648,'Player Raw Data'!$B:$B,0)+2),INDEX('Player Raw Data'!D:D,Match($A648,'Player Raw Data'!$B:$B,0))),"")</f>
        <v/>
      </c>
      <c r="E648" t="str">
        <f t="array" ref="E648">IFERROR(INDEX('Player Raw Data'!F:F,Match($A648,'Player Raw Data'!$B:$B,0)),"")</f>
        <v/>
      </c>
      <c r="F648" t="str">
        <f t="array" ref="F648">IFERROR(INDEX('Player Raw Data'!H:H,Match($A648,'Player Raw Data'!$B:$B,0)),"")</f>
        <v/>
      </c>
      <c r="G648" t="str">
        <f t="array" ref="G648">IFERROR(INDEX('Player Raw Data'!I:I,Match($A648,'Player Raw Data'!$B:$B,0)),"")</f>
        <v/>
      </c>
      <c r="H648" t="str">
        <f t="array" ref="H648">IFERROR(INDEX('Player Raw Data'!J:J,Match($A648,'Player Raw Data'!$B:$B,0)),"")</f>
        <v/>
      </c>
      <c r="I648" t="str">
        <f t="array" ref="I648">IFERROR(INDEX('Player Raw Data'!S:S,Match($A648,'Player Raw Data'!$B:$B,0)),"")</f>
        <v/>
      </c>
      <c r="J648" t="str">
        <f t="array" ref="J648">IFERROR(INDEX('Player Raw Data'!T:T,Match($A648,'Player Raw Data'!$B:$B,0)),"")</f>
        <v/>
      </c>
      <c r="K648" t="str">
        <f t="array" ref="K648">IFERROR(INDEX('Player Raw Data'!X:X,Match($A648,'Player Raw Data'!$B:$B,0)),"")</f>
        <v/>
      </c>
      <c r="L648" t="str">
        <f t="array" ref="L648">IFERROR(INDEX('Player Raw Data'!Y:Y,Match($A648,'Player Raw Data'!$B:$B,0)),"")</f>
        <v/>
      </c>
      <c r="M648" t="str">
        <f t="array" ref="M648">IFERROR(INDEX('Player Raw Data'!Z:Z,Match($A648,'Player Raw Data'!$B:$B,0)),"")</f>
        <v/>
      </c>
      <c r="N648" t="str">
        <f t="array" ref="N648">IFERROR(INDEX('Player Raw Data'!AA:AA,Match($A648,'Player Raw Data'!$B:$B,0)),"")</f>
        <v/>
      </c>
      <c r="O648" t="str">
        <f t="array" ref="O648">IFERROR(INDEX('Player Raw Data'!AB:AB,Match($A648,'Player Raw Data'!$B:$B,0)),"")</f>
        <v/>
      </c>
      <c r="P648" t="str">
        <f t="array" ref="P648">IFERROR(INDEX('Player Raw Data'!AD:AD,Match($A648,'Player Raw Data'!$B:$B,0)),"")</f>
        <v/>
      </c>
      <c r="Q648">
        <f t="shared" si="1"/>
        <v>0</v>
      </c>
      <c r="R648" s="9">
        <f t="shared" si="2"/>
        <v>0</v>
      </c>
      <c r="S648" s="14">
        <f t="shared" si="3"/>
        <v>0</v>
      </c>
      <c r="T648" s="15">
        <f>IFERROR(__xludf.DUMMYFUNCTION("IFERROR(PERCENTRANK.INC(FILTER(Q:Q,$F:$F&lt;&gt;""""),Q648)*100,"""")"),1.5)</f>
        <v>1.5</v>
      </c>
      <c r="U648" s="15">
        <f>IFERROR(__xludf.DUMMYFUNCTION("IFERROR(PERCENTRANK.INC(FILTER(R:R,$F:$F&lt;&gt;""""),R648)*100,"""")"),1.5)</f>
        <v>1.5</v>
      </c>
      <c r="V648" s="15">
        <f>IFERROR(__xludf.DUMMYFUNCTION("IFERROR(PERCENTRANK.INC(FILTER(S:S,$F:$F&lt;&gt;""""),S648)*100,"""")"),1.5)</f>
        <v>1.5</v>
      </c>
      <c r="W648" s="15" t="str">
        <f t="shared" si="4"/>
        <v/>
      </c>
      <c r="X648" s="16"/>
      <c r="Y648" s="9"/>
      <c r="Z648" s="9"/>
    </row>
    <row r="649">
      <c r="B649" t="str">
        <f t="array" ref="B649">IFERROR(INDEX('Player Raw Data'!E:E,Match($A649,'Player Raw Data'!$B:$B,0)),"")</f>
        <v/>
      </c>
      <c r="C649" t="str">
        <f t="array" ref="C649">IFERROR(INDEX('Player Raw Data'!C:C,Match($A649,'Player Raw Data'!$B:$B,0)),"")</f>
        <v/>
      </c>
      <c r="D649" t="str">
        <f t="array" ref="D649">IFERROR(IF(A649=A648, INDEX('Player Raw Data'!D:D,Match($A649,'Player Raw Data'!$B:$B,0)+2),INDEX('Player Raw Data'!D:D,Match($A649,'Player Raw Data'!$B:$B,0))),"")</f>
        <v/>
      </c>
      <c r="E649" t="str">
        <f t="array" ref="E649">IFERROR(INDEX('Player Raw Data'!F:F,Match($A649,'Player Raw Data'!$B:$B,0)),"")</f>
        <v/>
      </c>
      <c r="F649" t="str">
        <f t="array" ref="F649">IFERROR(INDEX('Player Raw Data'!H:H,Match($A649,'Player Raw Data'!$B:$B,0)),"")</f>
        <v/>
      </c>
      <c r="G649" t="str">
        <f t="array" ref="G649">IFERROR(INDEX('Player Raw Data'!I:I,Match($A649,'Player Raw Data'!$B:$B,0)),"")</f>
        <v/>
      </c>
      <c r="H649" t="str">
        <f t="array" ref="H649">IFERROR(INDEX('Player Raw Data'!J:J,Match($A649,'Player Raw Data'!$B:$B,0)),"")</f>
        <v/>
      </c>
      <c r="I649" t="str">
        <f t="array" ref="I649">IFERROR(INDEX('Player Raw Data'!S:S,Match($A649,'Player Raw Data'!$B:$B,0)),"")</f>
        <v/>
      </c>
      <c r="J649" t="str">
        <f t="array" ref="J649">IFERROR(INDEX('Player Raw Data'!T:T,Match($A649,'Player Raw Data'!$B:$B,0)),"")</f>
        <v/>
      </c>
      <c r="K649" t="str">
        <f t="array" ref="K649">IFERROR(INDEX('Player Raw Data'!X:X,Match($A649,'Player Raw Data'!$B:$B,0)),"")</f>
        <v/>
      </c>
      <c r="L649" t="str">
        <f t="array" ref="L649">IFERROR(INDEX('Player Raw Data'!Y:Y,Match($A649,'Player Raw Data'!$B:$B,0)),"")</f>
        <v/>
      </c>
      <c r="M649" t="str">
        <f t="array" ref="M649">IFERROR(INDEX('Player Raw Data'!Z:Z,Match($A649,'Player Raw Data'!$B:$B,0)),"")</f>
        <v/>
      </c>
      <c r="N649" t="str">
        <f t="array" ref="N649">IFERROR(INDEX('Player Raw Data'!AA:AA,Match($A649,'Player Raw Data'!$B:$B,0)),"")</f>
        <v/>
      </c>
      <c r="O649" t="str">
        <f t="array" ref="O649">IFERROR(INDEX('Player Raw Data'!AB:AB,Match($A649,'Player Raw Data'!$B:$B,0)),"")</f>
        <v/>
      </c>
      <c r="P649" t="str">
        <f t="array" ref="P649">IFERROR(INDEX('Player Raw Data'!AD:AD,Match($A649,'Player Raw Data'!$B:$B,0)),"")</f>
        <v/>
      </c>
      <c r="Q649">
        <f t="shared" si="1"/>
        <v>0</v>
      </c>
      <c r="R649" s="9">
        <f t="shared" si="2"/>
        <v>0</v>
      </c>
      <c r="S649" s="14">
        <f t="shared" si="3"/>
        <v>0</v>
      </c>
      <c r="T649" s="15">
        <f>IFERROR(__xludf.DUMMYFUNCTION("IFERROR(PERCENTRANK.INC(FILTER(Q:Q,$F:$F&lt;&gt;""""),Q649)*100,"""")"),1.5)</f>
        <v>1.5</v>
      </c>
      <c r="U649" s="15">
        <f>IFERROR(__xludf.DUMMYFUNCTION("IFERROR(PERCENTRANK.INC(FILTER(R:R,$F:$F&lt;&gt;""""),R649)*100,"""")"),1.5)</f>
        <v>1.5</v>
      </c>
      <c r="V649" s="15">
        <f>IFERROR(__xludf.DUMMYFUNCTION("IFERROR(PERCENTRANK.INC(FILTER(S:S,$F:$F&lt;&gt;""""),S649)*100,"""")"),1.5)</f>
        <v>1.5</v>
      </c>
      <c r="W649" s="15" t="str">
        <f t="shared" si="4"/>
        <v/>
      </c>
      <c r="X649" s="16"/>
      <c r="Y649" s="9"/>
      <c r="Z649" s="9"/>
    </row>
    <row r="650">
      <c r="B650" t="str">
        <f t="array" ref="B650">IFERROR(INDEX('Player Raw Data'!E:E,Match($A650,'Player Raw Data'!$B:$B,0)),"")</f>
        <v/>
      </c>
      <c r="C650" t="str">
        <f t="array" ref="C650">IFERROR(INDEX('Player Raw Data'!C:C,Match($A650,'Player Raw Data'!$B:$B,0)),"")</f>
        <v/>
      </c>
      <c r="D650" t="str">
        <f t="array" ref="D650">IFERROR(IF(A650=A649, INDEX('Player Raw Data'!D:D,Match($A650,'Player Raw Data'!$B:$B,0)+2),INDEX('Player Raw Data'!D:D,Match($A650,'Player Raw Data'!$B:$B,0))),"")</f>
        <v/>
      </c>
      <c r="E650" t="str">
        <f t="array" ref="E650">IFERROR(INDEX('Player Raw Data'!F:F,Match($A650,'Player Raw Data'!$B:$B,0)),"")</f>
        <v/>
      </c>
      <c r="F650" t="str">
        <f t="array" ref="F650">IFERROR(INDEX('Player Raw Data'!H:H,Match($A650,'Player Raw Data'!$B:$B,0)),"")</f>
        <v/>
      </c>
      <c r="G650" t="str">
        <f t="array" ref="G650">IFERROR(INDEX('Player Raw Data'!I:I,Match($A650,'Player Raw Data'!$B:$B,0)),"")</f>
        <v/>
      </c>
      <c r="H650" t="str">
        <f t="array" ref="H650">IFERROR(INDEX('Player Raw Data'!J:J,Match($A650,'Player Raw Data'!$B:$B,0)),"")</f>
        <v/>
      </c>
      <c r="I650" t="str">
        <f t="array" ref="I650">IFERROR(INDEX('Player Raw Data'!S:S,Match($A650,'Player Raw Data'!$B:$B,0)),"")</f>
        <v/>
      </c>
      <c r="J650" t="str">
        <f t="array" ref="J650">IFERROR(INDEX('Player Raw Data'!T:T,Match($A650,'Player Raw Data'!$B:$B,0)),"")</f>
        <v/>
      </c>
      <c r="K650" t="str">
        <f t="array" ref="K650">IFERROR(INDEX('Player Raw Data'!X:X,Match($A650,'Player Raw Data'!$B:$B,0)),"")</f>
        <v/>
      </c>
      <c r="L650" t="str">
        <f t="array" ref="L650">IFERROR(INDEX('Player Raw Data'!Y:Y,Match($A650,'Player Raw Data'!$B:$B,0)),"")</f>
        <v/>
      </c>
      <c r="M650" t="str">
        <f t="array" ref="M650">IFERROR(INDEX('Player Raw Data'!Z:Z,Match($A650,'Player Raw Data'!$B:$B,0)),"")</f>
        <v/>
      </c>
      <c r="N650" t="str">
        <f t="array" ref="N650">IFERROR(INDEX('Player Raw Data'!AA:AA,Match($A650,'Player Raw Data'!$B:$B,0)),"")</f>
        <v/>
      </c>
      <c r="O650" t="str">
        <f t="array" ref="O650">IFERROR(INDEX('Player Raw Data'!AB:AB,Match($A650,'Player Raw Data'!$B:$B,0)),"")</f>
        <v/>
      </c>
      <c r="P650" t="str">
        <f t="array" ref="P650">IFERROR(INDEX('Player Raw Data'!AD:AD,Match($A650,'Player Raw Data'!$B:$B,0)),"")</f>
        <v/>
      </c>
      <c r="Q650">
        <f t="shared" si="1"/>
        <v>0</v>
      </c>
      <c r="R650" s="9">
        <f t="shared" si="2"/>
        <v>0</v>
      </c>
      <c r="S650" s="14">
        <f t="shared" si="3"/>
        <v>0</v>
      </c>
      <c r="T650" s="15">
        <f>IFERROR(__xludf.DUMMYFUNCTION("IFERROR(PERCENTRANK.INC(FILTER(Q:Q,$F:$F&lt;&gt;""""),Q650)*100,"""")"),1.5)</f>
        <v>1.5</v>
      </c>
      <c r="U650" s="15">
        <f>IFERROR(__xludf.DUMMYFUNCTION("IFERROR(PERCENTRANK.INC(FILTER(R:R,$F:$F&lt;&gt;""""),R650)*100,"""")"),1.5)</f>
        <v>1.5</v>
      </c>
      <c r="V650" s="15">
        <f>IFERROR(__xludf.DUMMYFUNCTION("IFERROR(PERCENTRANK.INC(FILTER(S:S,$F:$F&lt;&gt;""""),S650)*100,"""")"),1.5)</f>
        <v>1.5</v>
      </c>
      <c r="W650" s="15" t="str">
        <f t="shared" si="4"/>
        <v/>
      </c>
      <c r="X650" s="16"/>
      <c r="Y650" s="9"/>
      <c r="Z650" s="9"/>
    </row>
    <row r="651">
      <c r="B651" t="str">
        <f t="array" ref="B651">IFERROR(INDEX('Player Raw Data'!E:E,Match($A651,'Player Raw Data'!$B:$B,0)),"")</f>
        <v/>
      </c>
      <c r="C651" t="str">
        <f t="array" ref="C651">IFERROR(INDEX('Player Raw Data'!C:C,Match($A651,'Player Raw Data'!$B:$B,0)),"")</f>
        <v/>
      </c>
      <c r="D651" t="str">
        <f t="array" ref="D651">IFERROR(IF(A651=A650, INDEX('Player Raw Data'!D:D,Match($A651,'Player Raw Data'!$B:$B,0)+2),INDEX('Player Raw Data'!D:D,Match($A651,'Player Raw Data'!$B:$B,0))),"")</f>
        <v/>
      </c>
      <c r="E651" t="str">
        <f t="array" ref="E651">IFERROR(INDEX('Player Raw Data'!F:F,Match($A651,'Player Raw Data'!$B:$B,0)),"")</f>
        <v/>
      </c>
      <c r="F651" t="str">
        <f t="array" ref="F651">IFERROR(INDEX('Player Raw Data'!H:H,Match($A651,'Player Raw Data'!$B:$B,0)),"")</f>
        <v/>
      </c>
      <c r="G651" t="str">
        <f t="array" ref="G651">IFERROR(INDEX('Player Raw Data'!I:I,Match($A651,'Player Raw Data'!$B:$B,0)),"")</f>
        <v/>
      </c>
      <c r="H651" t="str">
        <f t="array" ref="H651">IFERROR(INDEX('Player Raw Data'!J:J,Match($A651,'Player Raw Data'!$B:$B,0)),"")</f>
        <v/>
      </c>
      <c r="I651" t="str">
        <f t="array" ref="I651">IFERROR(INDEX('Player Raw Data'!S:S,Match($A651,'Player Raw Data'!$B:$B,0)),"")</f>
        <v/>
      </c>
      <c r="J651" t="str">
        <f t="array" ref="J651">IFERROR(INDEX('Player Raw Data'!T:T,Match($A651,'Player Raw Data'!$B:$B,0)),"")</f>
        <v/>
      </c>
      <c r="K651" t="str">
        <f t="array" ref="K651">IFERROR(INDEX('Player Raw Data'!X:X,Match($A651,'Player Raw Data'!$B:$B,0)),"")</f>
        <v/>
      </c>
      <c r="L651" t="str">
        <f t="array" ref="L651">IFERROR(INDEX('Player Raw Data'!Y:Y,Match($A651,'Player Raw Data'!$B:$B,0)),"")</f>
        <v/>
      </c>
      <c r="M651" t="str">
        <f t="array" ref="M651">IFERROR(INDEX('Player Raw Data'!Z:Z,Match($A651,'Player Raw Data'!$B:$B,0)),"")</f>
        <v/>
      </c>
      <c r="N651" t="str">
        <f t="array" ref="N651">IFERROR(INDEX('Player Raw Data'!AA:AA,Match($A651,'Player Raw Data'!$B:$B,0)),"")</f>
        <v/>
      </c>
      <c r="O651" t="str">
        <f t="array" ref="O651">IFERROR(INDEX('Player Raw Data'!AB:AB,Match($A651,'Player Raw Data'!$B:$B,0)),"")</f>
        <v/>
      </c>
      <c r="P651" t="str">
        <f t="array" ref="P651">IFERROR(INDEX('Player Raw Data'!AD:AD,Match($A651,'Player Raw Data'!$B:$B,0)),"")</f>
        <v/>
      </c>
      <c r="Q651">
        <f t="shared" si="1"/>
        <v>0</v>
      </c>
      <c r="R651" s="9">
        <f t="shared" si="2"/>
        <v>0</v>
      </c>
      <c r="S651" s="14">
        <f t="shared" si="3"/>
        <v>0</v>
      </c>
      <c r="T651" s="15">
        <f>IFERROR(__xludf.DUMMYFUNCTION("IFERROR(PERCENTRANK.INC(FILTER(Q:Q,$F:$F&lt;&gt;""""),Q651)*100,"""")"),1.5)</f>
        <v>1.5</v>
      </c>
      <c r="U651" s="15">
        <f>IFERROR(__xludf.DUMMYFUNCTION("IFERROR(PERCENTRANK.INC(FILTER(R:R,$F:$F&lt;&gt;""""),R651)*100,"""")"),1.5)</f>
        <v>1.5</v>
      </c>
      <c r="V651" s="15">
        <f>IFERROR(__xludf.DUMMYFUNCTION("IFERROR(PERCENTRANK.INC(FILTER(S:S,$F:$F&lt;&gt;""""),S651)*100,"""")"),1.5)</f>
        <v>1.5</v>
      </c>
      <c r="W651" s="15" t="str">
        <f t="shared" si="4"/>
        <v/>
      </c>
      <c r="X651" s="16"/>
      <c r="Y651" s="9"/>
      <c r="Z651" s="9"/>
    </row>
    <row r="652">
      <c r="B652" t="str">
        <f t="array" ref="B652">IFERROR(INDEX('Player Raw Data'!E:E,Match($A652,'Player Raw Data'!$B:$B,0)),"")</f>
        <v/>
      </c>
      <c r="C652" t="str">
        <f t="array" ref="C652">IFERROR(INDEX('Player Raw Data'!C:C,Match($A652,'Player Raw Data'!$B:$B,0)),"")</f>
        <v/>
      </c>
      <c r="D652" t="str">
        <f t="array" ref="D652">IFERROR(IF(A652=A651, INDEX('Player Raw Data'!D:D,Match($A652,'Player Raw Data'!$B:$B,0)+2),INDEX('Player Raw Data'!D:D,Match($A652,'Player Raw Data'!$B:$B,0))),"")</f>
        <v/>
      </c>
      <c r="E652" t="str">
        <f t="array" ref="E652">IFERROR(INDEX('Player Raw Data'!F:F,Match($A652,'Player Raw Data'!$B:$B,0)),"")</f>
        <v/>
      </c>
      <c r="F652" t="str">
        <f t="array" ref="F652">IFERROR(INDEX('Player Raw Data'!H:H,Match($A652,'Player Raw Data'!$B:$B,0)),"")</f>
        <v/>
      </c>
      <c r="G652" t="str">
        <f t="array" ref="G652">IFERROR(INDEX('Player Raw Data'!I:I,Match($A652,'Player Raw Data'!$B:$B,0)),"")</f>
        <v/>
      </c>
      <c r="H652" t="str">
        <f t="array" ref="H652">IFERROR(INDEX('Player Raw Data'!J:J,Match($A652,'Player Raw Data'!$B:$B,0)),"")</f>
        <v/>
      </c>
      <c r="I652" t="str">
        <f t="array" ref="I652">IFERROR(INDEX('Player Raw Data'!S:S,Match($A652,'Player Raw Data'!$B:$B,0)),"")</f>
        <v/>
      </c>
      <c r="J652" t="str">
        <f t="array" ref="J652">IFERROR(INDEX('Player Raw Data'!T:T,Match($A652,'Player Raw Data'!$B:$B,0)),"")</f>
        <v/>
      </c>
      <c r="K652" t="str">
        <f t="array" ref="K652">IFERROR(INDEX('Player Raw Data'!X:X,Match($A652,'Player Raw Data'!$B:$B,0)),"")</f>
        <v/>
      </c>
      <c r="L652" t="str">
        <f t="array" ref="L652">IFERROR(INDEX('Player Raw Data'!Y:Y,Match($A652,'Player Raw Data'!$B:$B,0)),"")</f>
        <v/>
      </c>
      <c r="M652" t="str">
        <f t="array" ref="M652">IFERROR(INDEX('Player Raw Data'!Z:Z,Match($A652,'Player Raw Data'!$B:$B,0)),"")</f>
        <v/>
      </c>
      <c r="N652" t="str">
        <f t="array" ref="N652">IFERROR(INDEX('Player Raw Data'!AA:AA,Match($A652,'Player Raw Data'!$B:$B,0)),"")</f>
        <v/>
      </c>
      <c r="O652" t="str">
        <f t="array" ref="O652">IFERROR(INDEX('Player Raw Data'!AB:AB,Match($A652,'Player Raw Data'!$B:$B,0)),"")</f>
        <v/>
      </c>
      <c r="P652" t="str">
        <f t="array" ref="P652">IFERROR(INDEX('Player Raw Data'!AD:AD,Match($A652,'Player Raw Data'!$B:$B,0)),"")</f>
        <v/>
      </c>
      <c r="Q652">
        <f t="shared" si="1"/>
        <v>0</v>
      </c>
      <c r="R652" s="9">
        <f t="shared" si="2"/>
        <v>0</v>
      </c>
      <c r="S652" s="14">
        <f t="shared" si="3"/>
        <v>0</v>
      </c>
      <c r="T652" s="15">
        <f>IFERROR(__xludf.DUMMYFUNCTION("IFERROR(PERCENTRANK.INC(FILTER(Q:Q,$F:$F&lt;&gt;""""),Q652)*100,"""")"),1.5)</f>
        <v>1.5</v>
      </c>
      <c r="U652" s="15">
        <f>IFERROR(__xludf.DUMMYFUNCTION("IFERROR(PERCENTRANK.INC(FILTER(R:R,$F:$F&lt;&gt;""""),R652)*100,"""")"),1.5)</f>
        <v>1.5</v>
      </c>
      <c r="V652" s="15">
        <f>IFERROR(__xludf.DUMMYFUNCTION("IFERROR(PERCENTRANK.INC(FILTER(S:S,$F:$F&lt;&gt;""""),S652)*100,"""")"),1.5)</f>
        <v>1.5</v>
      </c>
      <c r="W652" s="15" t="str">
        <f t="shared" si="4"/>
        <v/>
      </c>
      <c r="X652" s="16"/>
      <c r="Y652" s="9"/>
      <c r="Z652" s="9"/>
    </row>
    <row r="653">
      <c r="B653" t="str">
        <f t="array" ref="B653">IFERROR(INDEX('Player Raw Data'!E:E,Match($A653,'Player Raw Data'!$B:$B,0)),"")</f>
        <v/>
      </c>
      <c r="C653" t="str">
        <f t="array" ref="C653">IFERROR(INDEX('Player Raw Data'!C:C,Match($A653,'Player Raw Data'!$B:$B,0)),"")</f>
        <v/>
      </c>
      <c r="D653" t="str">
        <f t="array" ref="D653">IFERROR(IF(A653=A652, INDEX('Player Raw Data'!D:D,Match($A653,'Player Raw Data'!$B:$B,0)+2),INDEX('Player Raw Data'!D:D,Match($A653,'Player Raw Data'!$B:$B,0))),"")</f>
        <v/>
      </c>
      <c r="E653" t="str">
        <f t="array" ref="E653">IFERROR(INDEX('Player Raw Data'!F:F,Match($A653,'Player Raw Data'!$B:$B,0)),"")</f>
        <v/>
      </c>
      <c r="F653" t="str">
        <f t="array" ref="F653">IFERROR(INDEX('Player Raw Data'!H:H,Match($A653,'Player Raw Data'!$B:$B,0)),"")</f>
        <v/>
      </c>
      <c r="G653" t="str">
        <f t="array" ref="G653">IFERROR(INDEX('Player Raw Data'!I:I,Match($A653,'Player Raw Data'!$B:$B,0)),"")</f>
        <v/>
      </c>
      <c r="H653" t="str">
        <f t="array" ref="H653">IFERROR(INDEX('Player Raw Data'!J:J,Match($A653,'Player Raw Data'!$B:$B,0)),"")</f>
        <v/>
      </c>
      <c r="I653" t="str">
        <f t="array" ref="I653">IFERROR(INDEX('Player Raw Data'!S:S,Match($A653,'Player Raw Data'!$B:$B,0)),"")</f>
        <v/>
      </c>
      <c r="J653" t="str">
        <f t="array" ref="J653">IFERROR(INDEX('Player Raw Data'!T:T,Match($A653,'Player Raw Data'!$B:$B,0)),"")</f>
        <v/>
      </c>
      <c r="K653" t="str">
        <f t="array" ref="K653">IFERROR(INDEX('Player Raw Data'!X:X,Match($A653,'Player Raw Data'!$B:$B,0)),"")</f>
        <v/>
      </c>
      <c r="L653" t="str">
        <f t="array" ref="L653">IFERROR(INDEX('Player Raw Data'!Y:Y,Match($A653,'Player Raw Data'!$B:$B,0)),"")</f>
        <v/>
      </c>
      <c r="M653" t="str">
        <f t="array" ref="M653">IFERROR(INDEX('Player Raw Data'!Z:Z,Match($A653,'Player Raw Data'!$B:$B,0)),"")</f>
        <v/>
      </c>
      <c r="N653" t="str">
        <f t="array" ref="N653">IFERROR(INDEX('Player Raw Data'!AA:AA,Match($A653,'Player Raw Data'!$B:$B,0)),"")</f>
        <v/>
      </c>
      <c r="O653" t="str">
        <f t="array" ref="O653">IFERROR(INDEX('Player Raw Data'!AB:AB,Match($A653,'Player Raw Data'!$B:$B,0)),"")</f>
        <v/>
      </c>
      <c r="P653" t="str">
        <f t="array" ref="P653">IFERROR(INDEX('Player Raw Data'!AD:AD,Match($A653,'Player Raw Data'!$B:$B,0)),"")</f>
        <v/>
      </c>
      <c r="Q653">
        <f t="shared" si="1"/>
        <v>0</v>
      </c>
      <c r="R653" s="9">
        <f t="shared" si="2"/>
        <v>0</v>
      </c>
      <c r="S653" s="14">
        <f t="shared" si="3"/>
        <v>0</v>
      </c>
      <c r="T653" s="15">
        <f>IFERROR(__xludf.DUMMYFUNCTION("IFERROR(PERCENTRANK.INC(FILTER(Q:Q,$F:$F&lt;&gt;""""),Q653)*100,"""")"),1.5)</f>
        <v>1.5</v>
      </c>
      <c r="U653" s="15">
        <f>IFERROR(__xludf.DUMMYFUNCTION("IFERROR(PERCENTRANK.INC(FILTER(R:R,$F:$F&lt;&gt;""""),R653)*100,"""")"),1.5)</f>
        <v>1.5</v>
      </c>
      <c r="V653" s="15">
        <f>IFERROR(__xludf.DUMMYFUNCTION("IFERROR(PERCENTRANK.INC(FILTER(S:S,$F:$F&lt;&gt;""""),S653)*100,"""")"),1.5)</f>
        <v>1.5</v>
      </c>
      <c r="W653" s="15" t="str">
        <f t="shared" si="4"/>
        <v/>
      </c>
      <c r="X653" s="16"/>
      <c r="Y653" s="9"/>
      <c r="Z653" s="9"/>
    </row>
    <row r="654">
      <c r="B654" t="str">
        <f t="array" ref="B654">IFERROR(INDEX('Player Raw Data'!E:E,Match($A654,'Player Raw Data'!$B:$B,0)),"")</f>
        <v/>
      </c>
      <c r="C654" t="str">
        <f t="array" ref="C654">IFERROR(INDEX('Player Raw Data'!C:C,Match($A654,'Player Raw Data'!$B:$B,0)),"")</f>
        <v/>
      </c>
      <c r="D654" t="str">
        <f t="array" ref="D654">IFERROR(IF(A654=A653, INDEX('Player Raw Data'!D:D,Match($A654,'Player Raw Data'!$B:$B,0)+2),INDEX('Player Raw Data'!D:D,Match($A654,'Player Raw Data'!$B:$B,0))),"")</f>
        <v/>
      </c>
      <c r="E654" t="str">
        <f t="array" ref="E654">IFERROR(INDEX('Player Raw Data'!F:F,Match($A654,'Player Raw Data'!$B:$B,0)),"")</f>
        <v/>
      </c>
      <c r="F654" t="str">
        <f t="array" ref="F654">IFERROR(INDEX('Player Raw Data'!H:H,Match($A654,'Player Raw Data'!$B:$B,0)),"")</f>
        <v/>
      </c>
      <c r="G654" t="str">
        <f t="array" ref="G654">IFERROR(INDEX('Player Raw Data'!I:I,Match($A654,'Player Raw Data'!$B:$B,0)),"")</f>
        <v/>
      </c>
      <c r="H654" t="str">
        <f t="array" ref="H654">IFERROR(INDEX('Player Raw Data'!J:J,Match($A654,'Player Raw Data'!$B:$B,0)),"")</f>
        <v/>
      </c>
      <c r="I654" t="str">
        <f t="array" ref="I654">IFERROR(INDEX('Player Raw Data'!S:S,Match($A654,'Player Raw Data'!$B:$B,0)),"")</f>
        <v/>
      </c>
      <c r="J654" t="str">
        <f t="array" ref="J654">IFERROR(INDEX('Player Raw Data'!T:T,Match($A654,'Player Raw Data'!$B:$B,0)),"")</f>
        <v/>
      </c>
      <c r="K654" t="str">
        <f t="array" ref="K654">IFERROR(INDEX('Player Raw Data'!X:X,Match($A654,'Player Raw Data'!$B:$B,0)),"")</f>
        <v/>
      </c>
      <c r="L654" t="str">
        <f t="array" ref="L654">IFERROR(INDEX('Player Raw Data'!Y:Y,Match($A654,'Player Raw Data'!$B:$B,0)),"")</f>
        <v/>
      </c>
      <c r="M654" t="str">
        <f t="array" ref="M654">IFERROR(INDEX('Player Raw Data'!Z:Z,Match($A654,'Player Raw Data'!$B:$B,0)),"")</f>
        <v/>
      </c>
      <c r="N654" t="str">
        <f t="array" ref="N654">IFERROR(INDEX('Player Raw Data'!AA:AA,Match($A654,'Player Raw Data'!$B:$B,0)),"")</f>
        <v/>
      </c>
      <c r="O654" t="str">
        <f t="array" ref="O654">IFERROR(INDEX('Player Raw Data'!AB:AB,Match($A654,'Player Raw Data'!$B:$B,0)),"")</f>
        <v/>
      </c>
      <c r="P654" t="str">
        <f t="array" ref="P654">IFERROR(INDEX('Player Raw Data'!AD:AD,Match($A654,'Player Raw Data'!$B:$B,0)),"")</f>
        <v/>
      </c>
      <c r="Q654">
        <f t="shared" si="1"/>
        <v>0</v>
      </c>
      <c r="R654" s="9">
        <f t="shared" si="2"/>
        <v>0</v>
      </c>
      <c r="S654" s="14">
        <f t="shared" si="3"/>
        <v>0</v>
      </c>
      <c r="T654" s="15">
        <f>IFERROR(__xludf.DUMMYFUNCTION("IFERROR(PERCENTRANK.INC(FILTER(Q:Q,$F:$F&lt;&gt;""""),Q654)*100,"""")"),1.5)</f>
        <v>1.5</v>
      </c>
      <c r="U654" s="15">
        <f>IFERROR(__xludf.DUMMYFUNCTION("IFERROR(PERCENTRANK.INC(FILTER(R:R,$F:$F&lt;&gt;""""),R654)*100,"""")"),1.5)</f>
        <v>1.5</v>
      </c>
      <c r="V654" s="15">
        <f>IFERROR(__xludf.DUMMYFUNCTION("IFERROR(PERCENTRANK.INC(FILTER(S:S,$F:$F&lt;&gt;""""),S654)*100,"""")"),1.5)</f>
        <v>1.5</v>
      </c>
      <c r="W654" s="15" t="str">
        <f t="shared" si="4"/>
        <v/>
      </c>
      <c r="X654" s="16"/>
      <c r="Y654" s="9"/>
      <c r="Z654" s="9"/>
    </row>
    <row r="655">
      <c r="B655" t="str">
        <f t="array" ref="B655">IFERROR(INDEX('Player Raw Data'!E:E,Match($A655,'Player Raw Data'!$B:$B,0)),"")</f>
        <v/>
      </c>
      <c r="C655" t="str">
        <f t="array" ref="C655">IFERROR(INDEX('Player Raw Data'!C:C,Match($A655,'Player Raw Data'!$B:$B,0)),"")</f>
        <v/>
      </c>
      <c r="D655" t="str">
        <f t="array" ref="D655">IFERROR(IF(A655=A654, INDEX('Player Raw Data'!D:D,Match($A655,'Player Raw Data'!$B:$B,0)+2),INDEX('Player Raw Data'!D:D,Match($A655,'Player Raw Data'!$B:$B,0))),"")</f>
        <v/>
      </c>
      <c r="E655" t="str">
        <f t="array" ref="E655">IFERROR(INDEX('Player Raw Data'!F:F,Match($A655,'Player Raw Data'!$B:$B,0)),"")</f>
        <v/>
      </c>
      <c r="F655" t="str">
        <f t="array" ref="F655">IFERROR(INDEX('Player Raw Data'!H:H,Match($A655,'Player Raw Data'!$B:$B,0)),"")</f>
        <v/>
      </c>
      <c r="G655" t="str">
        <f t="array" ref="G655">IFERROR(INDEX('Player Raw Data'!I:I,Match($A655,'Player Raw Data'!$B:$B,0)),"")</f>
        <v/>
      </c>
      <c r="H655" t="str">
        <f t="array" ref="H655">IFERROR(INDEX('Player Raw Data'!J:J,Match($A655,'Player Raw Data'!$B:$B,0)),"")</f>
        <v/>
      </c>
      <c r="I655" t="str">
        <f t="array" ref="I655">IFERROR(INDEX('Player Raw Data'!S:S,Match($A655,'Player Raw Data'!$B:$B,0)),"")</f>
        <v/>
      </c>
      <c r="J655" t="str">
        <f t="array" ref="J655">IFERROR(INDEX('Player Raw Data'!T:T,Match($A655,'Player Raw Data'!$B:$B,0)),"")</f>
        <v/>
      </c>
      <c r="K655" t="str">
        <f t="array" ref="K655">IFERROR(INDEX('Player Raw Data'!X:X,Match($A655,'Player Raw Data'!$B:$B,0)),"")</f>
        <v/>
      </c>
      <c r="L655" t="str">
        <f t="array" ref="L655">IFERROR(INDEX('Player Raw Data'!Y:Y,Match($A655,'Player Raw Data'!$B:$B,0)),"")</f>
        <v/>
      </c>
      <c r="M655" t="str">
        <f t="array" ref="M655">IFERROR(INDEX('Player Raw Data'!Z:Z,Match($A655,'Player Raw Data'!$B:$B,0)),"")</f>
        <v/>
      </c>
      <c r="N655" t="str">
        <f t="array" ref="N655">IFERROR(INDEX('Player Raw Data'!AA:AA,Match($A655,'Player Raw Data'!$B:$B,0)),"")</f>
        <v/>
      </c>
      <c r="O655" t="str">
        <f t="array" ref="O655">IFERROR(INDEX('Player Raw Data'!AB:AB,Match($A655,'Player Raw Data'!$B:$B,0)),"")</f>
        <v/>
      </c>
      <c r="P655" t="str">
        <f t="array" ref="P655">IFERROR(INDEX('Player Raw Data'!AD:AD,Match($A655,'Player Raw Data'!$B:$B,0)),"")</f>
        <v/>
      </c>
      <c r="Q655">
        <f t="shared" si="1"/>
        <v>0</v>
      </c>
      <c r="R655" s="9">
        <f t="shared" si="2"/>
        <v>0</v>
      </c>
      <c r="S655" s="14">
        <f t="shared" si="3"/>
        <v>0</v>
      </c>
      <c r="T655" s="15">
        <f>IFERROR(__xludf.DUMMYFUNCTION("IFERROR(PERCENTRANK.INC(FILTER(Q:Q,$F:$F&lt;&gt;""""),Q655)*100,"""")"),1.5)</f>
        <v>1.5</v>
      </c>
      <c r="U655" s="15">
        <f>IFERROR(__xludf.DUMMYFUNCTION("IFERROR(PERCENTRANK.INC(FILTER(R:R,$F:$F&lt;&gt;""""),R655)*100,"""")"),1.5)</f>
        <v>1.5</v>
      </c>
      <c r="V655" s="15">
        <f>IFERROR(__xludf.DUMMYFUNCTION("IFERROR(PERCENTRANK.INC(FILTER(S:S,$F:$F&lt;&gt;""""),S655)*100,"""")"),1.5)</f>
        <v>1.5</v>
      </c>
      <c r="W655" s="15" t="str">
        <f t="shared" si="4"/>
        <v/>
      </c>
      <c r="X655" s="16"/>
      <c r="Y655" s="9"/>
      <c r="Z655" s="9"/>
    </row>
    <row r="656">
      <c r="B656" t="str">
        <f t="array" ref="B656">IFERROR(INDEX('Player Raw Data'!E:E,Match($A656,'Player Raw Data'!$B:$B,0)),"")</f>
        <v/>
      </c>
      <c r="C656" t="str">
        <f t="array" ref="C656">IFERROR(INDEX('Player Raw Data'!C:C,Match($A656,'Player Raw Data'!$B:$B,0)),"")</f>
        <v/>
      </c>
      <c r="D656" t="str">
        <f t="array" ref="D656">IFERROR(IF(A656=A655, INDEX('Player Raw Data'!D:D,Match($A656,'Player Raw Data'!$B:$B,0)+2),INDEX('Player Raw Data'!D:D,Match($A656,'Player Raw Data'!$B:$B,0))),"")</f>
        <v/>
      </c>
      <c r="E656" t="str">
        <f t="array" ref="E656">IFERROR(INDEX('Player Raw Data'!F:F,Match($A656,'Player Raw Data'!$B:$B,0)),"")</f>
        <v/>
      </c>
      <c r="F656" t="str">
        <f t="array" ref="F656">IFERROR(INDEX('Player Raw Data'!H:H,Match($A656,'Player Raw Data'!$B:$B,0)),"")</f>
        <v/>
      </c>
      <c r="G656" t="str">
        <f t="array" ref="G656">IFERROR(INDEX('Player Raw Data'!I:I,Match($A656,'Player Raw Data'!$B:$B,0)),"")</f>
        <v/>
      </c>
      <c r="H656" t="str">
        <f t="array" ref="H656">IFERROR(INDEX('Player Raw Data'!J:J,Match($A656,'Player Raw Data'!$B:$B,0)),"")</f>
        <v/>
      </c>
      <c r="I656" t="str">
        <f t="array" ref="I656">IFERROR(INDEX('Player Raw Data'!S:S,Match($A656,'Player Raw Data'!$B:$B,0)),"")</f>
        <v/>
      </c>
      <c r="J656" t="str">
        <f t="array" ref="J656">IFERROR(INDEX('Player Raw Data'!T:T,Match($A656,'Player Raw Data'!$B:$B,0)),"")</f>
        <v/>
      </c>
      <c r="K656" t="str">
        <f t="array" ref="K656">IFERROR(INDEX('Player Raw Data'!X:X,Match($A656,'Player Raw Data'!$B:$B,0)),"")</f>
        <v/>
      </c>
      <c r="L656" t="str">
        <f t="array" ref="L656">IFERROR(INDEX('Player Raw Data'!Y:Y,Match($A656,'Player Raw Data'!$B:$B,0)),"")</f>
        <v/>
      </c>
      <c r="M656" t="str">
        <f t="array" ref="M656">IFERROR(INDEX('Player Raw Data'!Z:Z,Match($A656,'Player Raw Data'!$B:$B,0)),"")</f>
        <v/>
      </c>
      <c r="N656" t="str">
        <f t="array" ref="N656">IFERROR(INDEX('Player Raw Data'!AA:AA,Match($A656,'Player Raw Data'!$B:$B,0)),"")</f>
        <v/>
      </c>
      <c r="O656" t="str">
        <f t="array" ref="O656">IFERROR(INDEX('Player Raw Data'!AB:AB,Match($A656,'Player Raw Data'!$B:$B,0)),"")</f>
        <v/>
      </c>
      <c r="P656" t="str">
        <f t="array" ref="P656">IFERROR(INDEX('Player Raw Data'!AD:AD,Match($A656,'Player Raw Data'!$B:$B,0)),"")</f>
        <v/>
      </c>
      <c r="Q656">
        <f t="shared" si="1"/>
        <v>0</v>
      </c>
      <c r="R656" s="9">
        <f t="shared" si="2"/>
        <v>0</v>
      </c>
      <c r="S656" s="14">
        <f t="shared" si="3"/>
        <v>0</v>
      </c>
      <c r="T656" s="15">
        <f>IFERROR(__xludf.DUMMYFUNCTION("IFERROR(PERCENTRANK.INC(FILTER(Q:Q,$F:$F&lt;&gt;""""),Q656)*100,"""")"),1.5)</f>
        <v>1.5</v>
      </c>
      <c r="U656" s="15">
        <f>IFERROR(__xludf.DUMMYFUNCTION("IFERROR(PERCENTRANK.INC(FILTER(R:R,$F:$F&lt;&gt;""""),R656)*100,"""")"),1.5)</f>
        <v>1.5</v>
      </c>
      <c r="V656" s="15">
        <f>IFERROR(__xludf.DUMMYFUNCTION("IFERROR(PERCENTRANK.INC(FILTER(S:S,$F:$F&lt;&gt;""""),S656)*100,"""")"),1.5)</f>
        <v>1.5</v>
      </c>
      <c r="W656" s="15" t="str">
        <f t="shared" si="4"/>
        <v/>
      </c>
      <c r="X656" s="16"/>
      <c r="Y656" s="9"/>
      <c r="Z656" s="9"/>
    </row>
    <row r="657">
      <c r="B657" t="str">
        <f t="array" ref="B657">IFERROR(INDEX('Player Raw Data'!E:E,Match($A657,'Player Raw Data'!$B:$B,0)),"")</f>
        <v/>
      </c>
      <c r="C657" t="str">
        <f t="array" ref="C657">IFERROR(INDEX('Player Raw Data'!C:C,Match($A657,'Player Raw Data'!$B:$B,0)),"")</f>
        <v/>
      </c>
      <c r="D657" t="str">
        <f t="array" ref="D657">IFERROR(IF(A657=A656, INDEX('Player Raw Data'!D:D,Match($A657,'Player Raw Data'!$B:$B,0)+2),INDEX('Player Raw Data'!D:D,Match($A657,'Player Raw Data'!$B:$B,0))),"")</f>
        <v/>
      </c>
      <c r="E657" t="str">
        <f t="array" ref="E657">IFERROR(INDEX('Player Raw Data'!F:F,Match($A657,'Player Raw Data'!$B:$B,0)),"")</f>
        <v/>
      </c>
      <c r="F657" t="str">
        <f t="array" ref="F657">IFERROR(INDEX('Player Raw Data'!H:H,Match($A657,'Player Raw Data'!$B:$B,0)),"")</f>
        <v/>
      </c>
      <c r="G657" t="str">
        <f t="array" ref="G657">IFERROR(INDEX('Player Raw Data'!I:I,Match($A657,'Player Raw Data'!$B:$B,0)),"")</f>
        <v/>
      </c>
      <c r="H657" t="str">
        <f t="array" ref="H657">IFERROR(INDEX('Player Raw Data'!J:J,Match($A657,'Player Raw Data'!$B:$B,0)),"")</f>
        <v/>
      </c>
      <c r="I657" t="str">
        <f t="array" ref="I657">IFERROR(INDEX('Player Raw Data'!S:S,Match($A657,'Player Raw Data'!$B:$B,0)),"")</f>
        <v/>
      </c>
      <c r="J657" t="str">
        <f t="array" ref="J657">IFERROR(INDEX('Player Raw Data'!T:T,Match($A657,'Player Raw Data'!$B:$B,0)),"")</f>
        <v/>
      </c>
      <c r="K657" t="str">
        <f t="array" ref="K657">IFERROR(INDEX('Player Raw Data'!X:X,Match($A657,'Player Raw Data'!$B:$B,0)),"")</f>
        <v/>
      </c>
      <c r="L657" t="str">
        <f t="array" ref="L657">IFERROR(INDEX('Player Raw Data'!Y:Y,Match($A657,'Player Raw Data'!$B:$B,0)),"")</f>
        <v/>
      </c>
      <c r="M657" t="str">
        <f t="array" ref="M657">IFERROR(INDEX('Player Raw Data'!Z:Z,Match($A657,'Player Raw Data'!$B:$B,0)),"")</f>
        <v/>
      </c>
      <c r="N657" t="str">
        <f t="array" ref="N657">IFERROR(INDEX('Player Raw Data'!AA:AA,Match($A657,'Player Raw Data'!$B:$B,0)),"")</f>
        <v/>
      </c>
      <c r="O657" t="str">
        <f t="array" ref="O657">IFERROR(INDEX('Player Raw Data'!AB:AB,Match($A657,'Player Raw Data'!$B:$B,0)),"")</f>
        <v/>
      </c>
      <c r="P657" t="str">
        <f t="array" ref="P657">IFERROR(INDEX('Player Raw Data'!AD:AD,Match($A657,'Player Raw Data'!$B:$B,0)),"")</f>
        <v/>
      </c>
      <c r="Q657">
        <f t="shared" si="1"/>
        <v>0</v>
      </c>
      <c r="R657" s="9">
        <f t="shared" si="2"/>
        <v>0</v>
      </c>
      <c r="S657" s="14">
        <f t="shared" si="3"/>
        <v>0</v>
      </c>
      <c r="T657" s="15">
        <f>IFERROR(__xludf.DUMMYFUNCTION("IFERROR(PERCENTRANK.INC(FILTER(Q:Q,$F:$F&lt;&gt;""""),Q657)*100,"""")"),1.5)</f>
        <v>1.5</v>
      </c>
      <c r="U657" s="15">
        <f>IFERROR(__xludf.DUMMYFUNCTION("IFERROR(PERCENTRANK.INC(FILTER(R:R,$F:$F&lt;&gt;""""),R657)*100,"""")"),1.5)</f>
        <v>1.5</v>
      </c>
      <c r="V657" s="15">
        <f>IFERROR(__xludf.DUMMYFUNCTION("IFERROR(PERCENTRANK.INC(FILTER(S:S,$F:$F&lt;&gt;""""),S657)*100,"""")"),1.5)</f>
        <v>1.5</v>
      </c>
      <c r="W657" s="15" t="str">
        <f t="shared" si="4"/>
        <v/>
      </c>
      <c r="X657" s="16"/>
      <c r="Y657" s="9"/>
      <c r="Z657" s="9"/>
    </row>
    <row r="658">
      <c r="B658" t="str">
        <f t="array" ref="B658">IFERROR(INDEX('Player Raw Data'!E:E,Match($A658,'Player Raw Data'!$B:$B,0)),"")</f>
        <v/>
      </c>
      <c r="C658" t="str">
        <f t="array" ref="C658">IFERROR(INDEX('Player Raw Data'!C:C,Match($A658,'Player Raw Data'!$B:$B,0)),"")</f>
        <v/>
      </c>
      <c r="D658" t="str">
        <f t="array" ref="D658">IFERROR(IF(A658=A657, INDEX('Player Raw Data'!D:D,Match($A658,'Player Raw Data'!$B:$B,0)+2),INDEX('Player Raw Data'!D:D,Match($A658,'Player Raw Data'!$B:$B,0))),"")</f>
        <v/>
      </c>
      <c r="E658" t="str">
        <f t="array" ref="E658">IFERROR(INDEX('Player Raw Data'!F:F,Match($A658,'Player Raw Data'!$B:$B,0)),"")</f>
        <v/>
      </c>
      <c r="F658" t="str">
        <f t="array" ref="F658">IFERROR(INDEX('Player Raw Data'!H:H,Match($A658,'Player Raw Data'!$B:$B,0)),"")</f>
        <v/>
      </c>
      <c r="G658" t="str">
        <f t="array" ref="G658">IFERROR(INDEX('Player Raw Data'!I:I,Match($A658,'Player Raw Data'!$B:$B,0)),"")</f>
        <v/>
      </c>
      <c r="H658" t="str">
        <f t="array" ref="H658">IFERROR(INDEX('Player Raw Data'!J:J,Match($A658,'Player Raw Data'!$B:$B,0)),"")</f>
        <v/>
      </c>
      <c r="I658" t="str">
        <f t="array" ref="I658">IFERROR(INDEX('Player Raw Data'!S:S,Match($A658,'Player Raw Data'!$B:$B,0)),"")</f>
        <v/>
      </c>
      <c r="J658" t="str">
        <f t="array" ref="J658">IFERROR(INDEX('Player Raw Data'!T:T,Match($A658,'Player Raw Data'!$B:$B,0)),"")</f>
        <v/>
      </c>
      <c r="K658" t="str">
        <f t="array" ref="K658">IFERROR(INDEX('Player Raw Data'!X:X,Match($A658,'Player Raw Data'!$B:$B,0)),"")</f>
        <v/>
      </c>
      <c r="L658" t="str">
        <f t="array" ref="L658">IFERROR(INDEX('Player Raw Data'!Y:Y,Match($A658,'Player Raw Data'!$B:$B,0)),"")</f>
        <v/>
      </c>
      <c r="M658" t="str">
        <f t="array" ref="M658">IFERROR(INDEX('Player Raw Data'!Z:Z,Match($A658,'Player Raw Data'!$B:$B,0)),"")</f>
        <v/>
      </c>
      <c r="N658" t="str">
        <f t="array" ref="N658">IFERROR(INDEX('Player Raw Data'!AA:AA,Match($A658,'Player Raw Data'!$B:$B,0)),"")</f>
        <v/>
      </c>
      <c r="O658" t="str">
        <f t="array" ref="O658">IFERROR(INDEX('Player Raw Data'!AB:AB,Match($A658,'Player Raw Data'!$B:$B,0)),"")</f>
        <v/>
      </c>
      <c r="P658" t="str">
        <f t="array" ref="P658">IFERROR(INDEX('Player Raw Data'!AD:AD,Match($A658,'Player Raw Data'!$B:$B,0)),"")</f>
        <v/>
      </c>
      <c r="Q658">
        <f t="shared" si="1"/>
        <v>0</v>
      </c>
      <c r="R658" s="9">
        <f t="shared" si="2"/>
        <v>0</v>
      </c>
      <c r="S658" s="14">
        <f t="shared" si="3"/>
        <v>0</v>
      </c>
      <c r="T658" s="15">
        <f>IFERROR(__xludf.DUMMYFUNCTION("IFERROR(PERCENTRANK.INC(FILTER(Q:Q,$F:$F&lt;&gt;""""),Q658)*100,"""")"),1.5)</f>
        <v>1.5</v>
      </c>
      <c r="U658" s="15">
        <f>IFERROR(__xludf.DUMMYFUNCTION("IFERROR(PERCENTRANK.INC(FILTER(R:R,$F:$F&lt;&gt;""""),R658)*100,"""")"),1.5)</f>
        <v>1.5</v>
      </c>
      <c r="V658" s="15">
        <f>IFERROR(__xludf.DUMMYFUNCTION("IFERROR(PERCENTRANK.INC(FILTER(S:S,$F:$F&lt;&gt;""""),S658)*100,"""")"),1.5)</f>
        <v>1.5</v>
      </c>
      <c r="W658" s="15" t="str">
        <f t="shared" si="4"/>
        <v/>
      </c>
      <c r="X658" s="16"/>
      <c r="Y658" s="9"/>
      <c r="Z658" s="9"/>
    </row>
    <row r="659">
      <c r="B659" t="str">
        <f t="array" ref="B659">IFERROR(INDEX('Player Raw Data'!E:E,Match($A659,'Player Raw Data'!$B:$B,0)),"")</f>
        <v/>
      </c>
      <c r="C659" t="str">
        <f t="array" ref="C659">IFERROR(INDEX('Player Raw Data'!C:C,Match($A659,'Player Raw Data'!$B:$B,0)),"")</f>
        <v/>
      </c>
      <c r="D659" t="str">
        <f t="array" ref="D659">IFERROR(IF(A659=A658, INDEX('Player Raw Data'!D:D,Match($A659,'Player Raw Data'!$B:$B,0)+2),INDEX('Player Raw Data'!D:D,Match($A659,'Player Raw Data'!$B:$B,0))),"")</f>
        <v/>
      </c>
      <c r="E659" t="str">
        <f t="array" ref="E659">IFERROR(INDEX('Player Raw Data'!F:F,Match($A659,'Player Raw Data'!$B:$B,0)),"")</f>
        <v/>
      </c>
      <c r="F659" t="str">
        <f t="array" ref="F659">IFERROR(INDEX('Player Raw Data'!H:H,Match($A659,'Player Raw Data'!$B:$B,0)),"")</f>
        <v/>
      </c>
      <c r="G659" t="str">
        <f t="array" ref="G659">IFERROR(INDEX('Player Raw Data'!I:I,Match($A659,'Player Raw Data'!$B:$B,0)),"")</f>
        <v/>
      </c>
      <c r="H659" t="str">
        <f t="array" ref="H659">IFERROR(INDEX('Player Raw Data'!J:J,Match($A659,'Player Raw Data'!$B:$B,0)),"")</f>
        <v/>
      </c>
      <c r="I659" t="str">
        <f t="array" ref="I659">IFERROR(INDEX('Player Raw Data'!S:S,Match($A659,'Player Raw Data'!$B:$B,0)),"")</f>
        <v/>
      </c>
      <c r="J659" t="str">
        <f t="array" ref="J659">IFERROR(INDEX('Player Raw Data'!T:T,Match($A659,'Player Raw Data'!$B:$B,0)),"")</f>
        <v/>
      </c>
      <c r="K659" t="str">
        <f t="array" ref="K659">IFERROR(INDEX('Player Raw Data'!X:X,Match($A659,'Player Raw Data'!$B:$B,0)),"")</f>
        <v/>
      </c>
      <c r="L659" t="str">
        <f t="array" ref="L659">IFERROR(INDEX('Player Raw Data'!Y:Y,Match($A659,'Player Raw Data'!$B:$B,0)),"")</f>
        <v/>
      </c>
      <c r="M659" t="str">
        <f t="array" ref="M659">IFERROR(INDEX('Player Raw Data'!Z:Z,Match($A659,'Player Raw Data'!$B:$B,0)),"")</f>
        <v/>
      </c>
      <c r="N659" t="str">
        <f t="array" ref="N659">IFERROR(INDEX('Player Raw Data'!AA:AA,Match($A659,'Player Raw Data'!$B:$B,0)),"")</f>
        <v/>
      </c>
      <c r="O659" t="str">
        <f t="array" ref="O659">IFERROR(INDEX('Player Raw Data'!AB:AB,Match($A659,'Player Raw Data'!$B:$B,0)),"")</f>
        <v/>
      </c>
      <c r="P659" t="str">
        <f t="array" ref="P659">IFERROR(INDEX('Player Raw Data'!AD:AD,Match($A659,'Player Raw Data'!$B:$B,0)),"")</f>
        <v/>
      </c>
      <c r="Q659">
        <f t="shared" si="1"/>
        <v>0</v>
      </c>
      <c r="R659" s="9">
        <f t="shared" si="2"/>
        <v>0</v>
      </c>
      <c r="S659" s="14">
        <f t="shared" si="3"/>
        <v>0</v>
      </c>
      <c r="T659" s="15">
        <f>IFERROR(__xludf.DUMMYFUNCTION("IFERROR(PERCENTRANK.INC(FILTER(Q:Q,$F:$F&lt;&gt;""""),Q659)*100,"""")"),1.5)</f>
        <v>1.5</v>
      </c>
      <c r="U659" s="15">
        <f>IFERROR(__xludf.DUMMYFUNCTION("IFERROR(PERCENTRANK.INC(FILTER(R:R,$F:$F&lt;&gt;""""),R659)*100,"""")"),1.5)</f>
        <v>1.5</v>
      </c>
      <c r="V659" s="15">
        <f>IFERROR(__xludf.DUMMYFUNCTION("IFERROR(PERCENTRANK.INC(FILTER(S:S,$F:$F&lt;&gt;""""),S659)*100,"""")"),1.5)</f>
        <v>1.5</v>
      </c>
      <c r="W659" s="15" t="str">
        <f t="shared" si="4"/>
        <v/>
      </c>
      <c r="X659" s="16"/>
      <c r="Y659" s="9"/>
      <c r="Z659" s="9"/>
    </row>
    <row r="660">
      <c r="B660" t="str">
        <f t="array" ref="B660">IFERROR(INDEX('Player Raw Data'!E:E,Match($A660,'Player Raw Data'!$B:$B,0)),"")</f>
        <v/>
      </c>
      <c r="C660" t="str">
        <f t="array" ref="C660">IFERROR(INDEX('Player Raw Data'!C:C,Match($A660,'Player Raw Data'!$B:$B,0)),"")</f>
        <v/>
      </c>
      <c r="D660" t="str">
        <f t="array" ref="D660">IFERROR(IF(A660=A659, INDEX('Player Raw Data'!D:D,Match($A660,'Player Raw Data'!$B:$B,0)+2),INDEX('Player Raw Data'!D:D,Match($A660,'Player Raw Data'!$B:$B,0))),"")</f>
        <v/>
      </c>
      <c r="E660" t="str">
        <f t="array" ref="E660">IFERROR(INDEX('Player Raw Data'!F:F,Match($A660,'Player Raw Data'!$B:$B,0)),"")</f>
        <v/>
      </c>
      <c r="F660" t="str">
        <f t="array" ref="F660">IFERROR(INDEX('Player Raw Data'!H:H,Match($A660,'Player Raw Data'!$B:$B,0)),"")</f>
        <v/>
      </c>
      <c r="G660" t="str">
        <f t="array" ref="G660">IFERROR(INDEX('Player Raw Data'!I:I,Match($A660,'Player Raw Data'!$B:$B,0)),"")</f>
        <v/>
      </c>
      <c r="H660" t="str">
        <f t="array" ref="H660">IFERROR(INDEX('Player Raw Data'!J:J,Match($A660,'Player Raw Data'!$B:$B,0)),"")</f>
        <v/>
      </c>
      <c r="I660" t="str">
        <f t="array" ref="I660">IFERROR(INDEX('Player Raw Data'!S:S,Match($A660,'Player Raw Data'!$B:$B,0)),"")</f>
        <v/>
      </c>
      <c r="J660" t="str">
        <f t="array" ref="J660">IFERROR(INDEX('Player Raw Data'!T:T,Match($A660,'Player Raw Data'!$B:$B,0)),"")</f>
        <v/>
      </c>
      <c r="K660" t="str">
        <f t="array" ref="K660">IFERROR(INDEX('Player Raw Data'!X:X,Match($A660,'Player Raw Data'!$B:$B,0)),"")</f>
        <v/>
      </c>
      <c r="L660" t="str">
        <f t="array" ref="L660">IFERROR(INDEX('Player Raw Data'!Y:Y,Match($A660,'Player Raw Data'!$B:$B,0)),"")</f>
        <v/>
      </c>
      <c r="M660" t="str">
        <f t="array" ref="M660">IFERROR(INDEX('Player Raw Data'!Z:Z,Match($A660,'Player Raw Data'!$B:$B,0)),"")</f>
        <v/>
      </c>
      <c r="N660" t="str">
        <f t="array" ref="N660">IFERROR(INDEX('Player Raw Data'!AA:AA,Match($A660,'Player Raw Data'!$B:$B,0)),"")</f>
        <v/>
      </c>
      <c r="O660" t="str">
        <f t="array" ref="O660">IFERROR(INDEX('Player Raw Data'!AB:AB,Match($A660,'Player Raw Data'!$B:$B,0)),"")</f>
        <v/>
      </c>
      <c r="P660" t="str">
        <f t="array" ref="P660">IFERROR(INDEX('Player Raw Data'!AD:AD,Match($A660,'Player Raw Data'!$B:$B,0)),"")</f>
        <v/>
      </c>
      <c r="Q660">
        <f t="shared" si="1"/>
        <v>0</v>
      </c>
      <c r="R660" s="9">
        <f t="shared" si="2"/>
        <v>0</v>
      </c>
      <c r="S660" s="14">
        <f t="shared" si="3"/>
        <v>0</v>
      </c>
      <c r="T660" s="15">
        <f>IFERROR(__xludf.DUMMYFUNCTION("IFERROR(PERCENTRANK.INC(FILTER(Q:Q,$F:$F&lt;&gt;""""),Q660)*100,"""")"),1.5)</f>
        <v>1.5</v>
      </c>
      <c r="U660" s="15">
        <f>IFERROR(__xludf.DUMMYFUNCTION("IFERROR(PERCENTRANK.INC(FILTER(R:R,$F:$F&lt;&gt;""""),R660)*100,"""")"),1.5)</f>
        <v>1.5</v>
      </c>
      <c r="V660" s="15">
        <f>IFERROR(__xludf.DUMMYFUNCTION("IFERROR(PERCENTRANK.INC(FILTER(S:S,$F:$F&lt;&gt;""""),S660)*100,"""")"),1.5)</f>
        <v>1.5</v>
      </c>
      <c r="W660" s="15" t="str">
        <f t="shared" si="4"/>
        <v/>
      </c>
      <c r="X660" s="16"/>
      <c r="Y660" s="9"/>
      <c r="Z660" s="9"/>
    </row>
    <row r="661">
      <c r="B661" t="str">
        <f t="array" ref="B661">IFERROR(INDEX('Player Raw Data'!E:E,Match($A661,'Player Raw Data'!$B:$B,0)),"")</f>
        <v/>
      </c>
      <c r="C661" t="str">
        <f t="array" ref="C661">IFERROR(INDEX('Player Raw Data'!C:C,Match($A661,'Player Raw Data'!$B:$B,0)),"")</f>
        <v/>
      </c>
      <c r="D661" t="str">
        <f t="array" ref="D661">IFERROR(IF(A661=A660, INDEX('Player Raw Data'!D:D,Match($A661,'Player Raw Data'!$B:$B,0)+2),INDEX('Player Raw Data'!D:D,Match($A661,'Player Raw Data'!$B:$B,0))),"")</f>
        <v/>
      </c>
      <c r="E661" t="str">
        <f t="array" ref="E661">IFERROR(INDEX('Player Raw Data'!F:F,Match($A661,'Player Raw Data'!$B:$B,0)),"")</f>
        <v/>
      </c>
      <c r="F661" t="str">
        <f t="array" ref="F661">IFERROR(INDEX('Player Raw Data'!H:H,Match($A661,'Player Raw Data'!$B:$B,0)),"")</f>
        <v/>
      </c>
      <c r="G661" t="str">
        <f t="array" ref="G661">IFERROR(INDEX('Player Raw Data'!I:I,Match($A661,'Player Raw Data'!$B:$B,0)),"")</f>
        <v/>
      </c>
      <c r="H661" t="str">
        <f t="array" ref="H661">IFERROR(INDEX('Player Raw Data'!J:J,Match($A661,'Player Raw Data'!$B:$B,0)),"")</f>
        <v/>
      </c>
      <c r="I661" t="str">
        <f t="array" ref="I661">IFERROR(INDEX('Player Raw Data'!S:S,Match($A661,'Player Raw Data'!$B:$B,0)),"")</f>
        <v/>
      </c>
      <c r="J661" t="str">
        <f t="array" ref="J661">IFERROR(INDEX('Player Raw Data'!T:T,Match($A661,'Player Raw Data'!$B:$B,0)),"")</f>
        <v/>
      </c>
      <c r="K661" t="str">
        <f t="array" ref="K661">IFERROR(INDEX('Player Raw Data'!X:X,Match($A661,'Player Raw Data'!$B:$B,0)),"")</f>
        <v/>
      </c>
      <c r="L661" t="str">
        <f t="array" ref="L661">IFERROR(INDEX('Player Raw Data'!Y:Y,Match($A661,'Player Raw Data'!$B:$B,0)),"")</f>
        <v/>
      </c>
      <c r="M661" t="str">
        <f t="array" ref="M661">IFERROR(INDEX('Player Raw Data'!Z:Z,Match($A661,'Player Raw Data'!$B:$B,0)),"")</f>
        <v/>
      </c>
      <c r="N661" t="str">
        <f t="array" ref="N661">IFERROR(INDEX('Player Raw Data'!AA:AA,Match($A661,'Player Raw Data'!$B:$B,0)),"")</f>
        <v/>
      </c>
      <c r="O661" t="str">
        <f t="array" ref="O661">IFERROR(INDEX('Player Raw Data'!AB:AB,Match($A661,'Player Raw Data'!$B:$B,0)),"")</f>
        <v/>
      </c>
      <c r="P661" t="str">
        <f t="array" ref="P661">IFERROR(INDEX('Player Raw Data'!AD:AD,Match($A661,'Player Raw Data'!$B:$B,0)),"")</f>
        <v/>
      </c>
      <c r="Q661">
        <f t="shared" si="1"/>
        <v>0</v>
      </c>
      <c r="R661" s="9">
        <f t="shared" si="2"/>
        <v>0</v>
      </c>
      <c r="S661" s="14">
        <f t="shared" si="3"/>
        <v>0</v>
      </c>
      <c r="T661" s="15">
        <f>IFERROR(__xludf.DUMMYFUNCTION("IFERROR(PERCENTRANK.INC(FILTER(Q:Q,$F:$F&lt;&gt;""""),Q661)*100,"""")"),1.5)</f>
        <v>1.5</v>
      </c>
      <c r="U661" s="15">
        <f>IFERROR(__xludf.DUMMYFUNCTION("IFERROR(PERCENTRANK.INC(FILTER(R:R,$F:$F&lt;&gt;""""),R661)*100,"""")"),1.5)</f>
        <v>1.5</v>
      </c>
      <c r="V661" s="15">
        <f>IFERROR(__xludf.DUMMYFUNCTION("IFERROR(PERCENTRANK.INC(FILTER(S:S,$F:$F&lt;&gt;""""),S661)*100,"""")"),1.5)</f>
        <v>1.5</v>
      </c>
      <c r="W661" s="15" t="str">
        <f t="shared" si="4"/>
        <v/>
      </c>
      <c r="X661" s="16"/>
      <c r="Y661" s="9"/>
      <c r="Z661" s="9"/>
    </row>
    <row r="662">
      <c r="B662" t="str">
        <f t="array" ref="B662">IFERROR(INDEX('Player Raw Data'!E:E,Match($A662,'Player Raw Data'!$B:$B,0)),"")</f>
        <v/>
      </c>
      <c r="C662" t="str">
        <f t="array" ref="C662">IFERROR(INDEX('Player Raw Data'!C:C,Match($A662,'Player Raw Data'!$B:$B,0)),"")</f>
        <v/>
      </c>
      <c r="D662" t="str">
        <f t="array" ref="D662">IFERROR(IF(A662=A661, INDEX('Player Raw Data'!D:D,Match($A662,'Player Raw Data'!$B:$B,0)+2),INDEX('Player Raw Data'!D:D,Match($A662,'Player Raw Data'!$B:$B,0))),"")</f>
        <v/>
      </c>
      <c r="E662" t="str">
        <f t="array" ref="E662">IFERROR(INDEX('Player Raw Data'!F:F,Match($A662,'Player Raw Data'!$B:$B,0)),"")</f>
        <v/>
      </c>
      <c r="F662" t="str">
        <f t="array" ref="F662">IFERROR(INDEX('Player Raw Data'!H:H,Match($A662,'Player Raw Data'!$B:$B,0)),"")</f>
        <v/>
      </c>
      <c r="G662" t="str">
        <f t="array" ref="G662">IFERROR(INDEX('Player Raw Data'!I:I,Match($A662,'Player Raw Data'!$B:$B,0)),"")</f>
        <v/>
      </c>
      <c r="H662" t="str">
        <f t="array" ref="H662">IFERROR(INDEX('Player Raw Data'!J:J,Match($A662,'Player Raw Data'!$B:$B,0)),"")</f>
        <v/>
      </c>
      <c r="I662" t="str">
        <f t="array" ref="I662">IFERROR(INDEX('Player Raw Data'!S:S,Match($A662,'Player Raw Data'!$B:$B,0)),"")</f>
        <v/>
      </c>
      <c r="J662" t="str">
        <f t="array" ref="J662">IFERROR(INDEX('Player Raw Data'!T:T,Match($A662,'Player Raw Data'!$B:$B,0)),"")</f>
        <v/>
      </c>
      <c r="K662" t="str">
        <f t="array" ref="K662">IFERROR(INDEX('Player Raw Data'!X:X,Match($A662,'Player Raw Data'!$B:$B,0)),"")</f>
        <v/>
      </c>
      <c r="L662" t="str">
        <f t="array" ref="L662">IFERROR(INDEX('Player Raw Data'!Y:Y,Match($A662,'Player Raw Data'!$B:$B,0)),"")</f>
        <v/>
      </c>
      <c r="M662" t="str">
        <f t="array" ref="M662">IFERROR(INDEX('Player Raw Data'!Z:Z,Match($A662,'Player Raw Data'!$B:$B,0)),"")</f>
        <v/>
      </c>
      <c r="N662" t="str">
        <f t="array" ref="N662">IFERROR(INDEX('Player Raw Data'!AA:AA,Match($A662,'Player Raw Data'!$B:$B,0)),"")</f>
        <v/>
      </c>
      <c r="O662" t="str">
        <f t="array" ref="O662">IFERROR(INDEX('Player Raw Data'!AB:AB,Match($A662,'Player Raw Data'!$B:$B,0)),"")</f>
        <v/>
      </c>
      <c r="P662" t="str">
        <f t="array" ref="P662">IFERROR(INDEX('Player Raw Data'!AD:AD,Match($A662,'Player Raw Data'!$B:$B,0)),"")</f>
        <v/>
      </c>
      <c r="Q662">
        <f t="shared" si="1"/>
        <v>0</v>
      </c>
      <c r="R662" s="9">
        <f t="shared" si="2"/>
        <v>0</v>
      </c>
      <c r="S662" s="14">
        <f t="shared" si="3"/>
        <v>0</v>
      </c>
      <c r="T662" s="15">
        <f>IFERROR(__xludf.DUMMYFUNCTION("IFERROR(PERCENTRANK.INC(FILTER(Q:Q,$F:$F&lt;&gt;""""),Q662)*100,"""")"),1.5)</f>
        <v>1.5</v>
      </c>
      <c r="U662" s="15">
        <f>IFERROR(__xludf.DUMMYFUNCTION("IFERROR(PERCENTRANK.INC(FILTER(R:R,$F:$F&lt;&gt;""""),R662)*100,"""")"),1.5)</f>
        <v>1.5</v>
      </c>
      <c r="V662" s="15">
        <f>IFERROR(__xludf.DUMMYFUNCTION("IFERROR(PERCENTRANK.INC(FILTER(S:S,$F:$F&lt;&gt;""""),S662)*100,"""")"),1.5)</f>
        <v>1.5</v>
      </c>
      <c r="W662" s="15" t="str">
        <f t="shared" si="4"/>
        <v/>
      </c>
      <c r="X662" s="16"/>
      <c r="Y662" s="9"/>
      <c r="Z662" s="9"/>
    </row>
    <row r="663">
      <c r="B663" t="str">
        <f t="array" ref="B663">IFERROR(INDEX('Player Raw Data'!E:E,Match($A663,'Player Raw Data'!$B:$B,0)),"")</f>
        <v/>
      </c>
      <c r="C663" t="str">
        <f t="array" ref="C663">IFERROR(INDEX('Player Raw Data'!C:C,Match($A663,'Player Raw Data'!$B:$B,0)),"")</f>
        <v/>
      </c>
      <c r="D663" t="str">
        <f t="array" ref="D663">IFERROR(IF(A663=A662, INDEX('Player Raw Data'!D:D,Match($A663,'Player Raw Data'!$B:$B,0)+2),INDEX('Player Raw Data'!D:D,Match($A663,'Player Raw Data'!$B:$B,0))),"")</f>
        <v/>
      </c>
      <c r="E663" t="str">
        <f t="array" ref="E663">IFERROR(INDEX('Player Raw Data'!F:F,Match($A663,'Player Raw Data'!$B:$B,0)),"")</f>
        <v/>
      </c>
      <c r="F663" t="str">
        <f t="array" ref="F663">IFERROR(INDEX('Player Raw Data'!H:H,Match($A663,'Player Raw Data'!$B:$B,0)),"")</f>
        <v/>
      </c>
      <c r="G663" t="str">
        <f t="array" ref="G663">IFERROR(INDEX('Player Raw Data'!I:I,Match($A663,'Player Raw Data'!$B:$B,0)),"")</f>
        <v/>
      </c>
      <c r="H663" t="str">
        <f t="array" ref="H663">IFERROR(INDEX('Player Raw Data'!J:J,Match($A663,'Player Raw Data'!$B:$B,0)),"")</f>
        <v/>
      </c>
      <c r="I663" t="str">
        <f t="array" ref="I663">IFERROR(INDEX('Player Raw Data'!S:S,Match($A663,'Player Raw Data'!$B:$B,0)),"")</f>
        <v/>
      </c>
      <c r="J663" t="str">
        <f t="array" ref="J663">IFERROR(INDEX('Player Raw Data'!T:T,Match($A663,'Player Raw Data'!$B:$B,0)),"")</f>
        <v/>
      </c>
      <c r="K663" t="str">
        <f t="array" ref="K663">IFERROR(INDEX('Player Raw Data'!X:X,Match($A663,'Player Raw Data'!$B:$B,0)),"")</f>
        <v/>
      </c>
      <c r="L663" t="str">
        <f t="array" ref="L663">IFERROR(INDEX('Player Raw Data'!Y:Y,Match($A663,'Player Raw Data'!$B:$B,0)),"")</f>
        <v/>
      </c>
      <c r="M663" t="str">
        <f t="array" ref="M663">IFERROR(INDEX('Player Raw Data'!Z:Z,Match($A663,'Player Raw Data'!$B:$B,0)),"")</f>
        <v/>
      </c>
      <c r="N663" t="str">
        <f t="array" ref="N663">IFERROR(INDEX('Player Raw Data'!AA:AA,Match($A663,'Player Raw Data'!$B:$B,0)),"")</f>
        <v/>
      </c>
      <c r="O663" t="str">
        <f t="array" ref="O663">IFERROR(INDEX('Player Raw Data'!AB:AB,Match($A663,'Player Raw Data'!$B:$B,0)),"")</f>
        <v/>
      </c>
      <c r="P663" t="str">
        <f t="array" ref="P663">IFERROR(INDEX('Player Raw Data'!AD:AD,Match($A663,'Player Raw Data'!$B:$B,0)),"")</f>
        <v/>
      </c>
      <c r="Q663">
        <f t="shared" si="1"/>
        <v>0</v>
      </c>
      <c r="R663" s="9">
        <f t="shared" si="2"/>
        <v>0</v>
      </c>
      <c r="S663" s="14">
        <f t="shared" si="3"/>
        <v>0</v>
      </c>
      <c r="T663" s="15">
        <f>IFERROR(__xludf.DUMMYFUNCTION("IFERROR(PERCENTRANK.INC(FILTER(Q:Q,$F:$F&lt;&gt;""""),Q663)*100,"""")"),1.5)</f>
        <v>1.5</v>
      </c>
      <c r="U663" s="15">
        <f>IFERROR(__xludf.DUMMYFUNCTION("IFERROR(PERCENTRANK.INC(FILTER(R:R,$F:$F&lt;&gt;""""),R663)*100,"""")"),1.5)</f>
        <v>1.5</v>
      </c>
      <c r="V663" s="15">
        <f>IFERROR(__xludf.DUMMYFUNCTION("IFERROR(PERCENTRANK.INC(FILTER(S:S,$F:$F&lt;&gt;""""),S663)*100,"""")"),1.5)</f>
        <v>1.5</v>
      </c>
      <c r="W663" s="15" t="str">
        <f t="shared" si="4"/>
        <v/>
      </c>
      <c r="X663" s="16"/>
      <c r="Y663" s="9"/>
      <c r="Z663" s="9"/>
    </row>
    <row r="664">
      <c r="B664" t="str">
        <f t="array" ref="B664">IFERROR(INDEX('Player Raw Data'!E:E,Match($A664,'Player Raw Data'!$B:$B,0)),"")</f>
        <v/>
      </c>
      <c r="C664" t="str">
        <f t="array" ref="C664">IFERROR(INDEX('Player Raw Data'!C:C,Match($A664,'Player Raw Data'!$B:$B,0)),"")</f>
        <v/>
      </c>
      <c r="D664" t="str">
        <f t="array" ref="D664">IFERROR(IF(A664=A663, INDEX('Player Raw Data'!D:D,Match($A664,'Player Raw Data'!$B:$B,0)+2),INDEX('Player Raw Data'!D:D,Match($A664,'Player Raw Data'!$B:$B,0))),"")</f>
        <v/>
      </c>
      <c r="E664" t="str">
        <f t="array" ref="E664">IFERROR(INDEX('Player Raw Data'!F:F,Match($A664,'Player Raw Data'!$B:$B,0)),"")</f>
        <v/>
      </c>
      <c r="F664" t="str">
        <f t="array" ref="F664">IFERROR(INDEX('Player Raw Data'!H:H,Match($A664,'Player Raw Data'!$B:$B,0)),"")</f>
        <v/>
      </c>
      <c r="G664" t="str">
        <f t="array" ref="G664">IFERROR(INDEX('Player Raw Data'!I:I,Match($A664,'Player Raw Data'!$B:$B,0)),"")</f>
        <v/>
      </c>
      <c r="H664" t="str">
        <f t="array" ref="H664">IFERROR(INDEX('Player Raw Data'!J:J,Match($A664,'Player Raw Data'!$B:$B,0)),"")</f>
        <v/>
      </c>
      <c r="I664" t="str">
        <f t="array" ref="I664">IFERROR(INDEX('Player Raw Data'!S:S,Match($A664,'Player Raw Data'!$B:$B,0)),"")</f>
        <v/>
      </c>
      <c r="J664" t="str">
        <f t="array" ref="J664">IFERROR(INDEX('Player Raw Data'!T:T,Match($A664,'Player Raw Data'!$B:$B,0)),"")</f>
        <v/>
      </c>
      <c r="K664" t="str">
        <f t="array" ref="K664">IFERROR(INDEX('Player Raw Data'!X:X,Match($A664,'Player Raw Data'!$B:$B,0)),"")</f>
        <v/>
      </c>
      <c r="L664" t="str">
        <f t="array" ref="L664">IFERROR(INDEX('Player Raw Data'!Y:Y,Match($A664,'Player Raw Data'!$B:$B,0)),"")</f>
        <v/>
      </c>
      <c r="M664" t="str">
        <f t="array" ref="M664">IFERROR(INDEX('Player Raw Data'!Z:Z,Match($A664,'Player Raw Data'!$B:$B,0)),"")</f>
        <v/>
      </c>
      <c r="N664" t="str">
        <f t="array" ref="N664">IFERROR(INDEX('Player Raw Data'!AA:AA,Match($A664,'Player Raw Data'!$B:$B,0)),"")</f>
        <v/>
      </c>
      <c r="O664" t="str">
        <f t="array" ref="O664">IFERROR(INDEX('Player Raw Data'!AB:AB,Match($A664,'Player Raw Data'!$B:$B,0)),"")</f>
        <v/>
      </c>
      <c r="P664" t="str">
        <f t="array" ref="P664">IFERROR(INDEX('Player Raw Data'!AD:AD,Match($A664,'Player Raw Data'!$B:$B,0)),"")</f>
        <v/>
      </c>
      <c r="Q664">
        <f t="shared" si="1"/>
        <v>0</v>
      </c>
      <c r="R664" s="9">
        <f t="shared" si="2"/>
        <v>0</v>
      </c>
      <c r="S664" s="14">
        <f t="shared" si="3"/>
        <v>0</v>
      </c>
      <c r="T664" s="15">
        <f>IFERROR(__xludf.DUMMYFUNCTION("IFERROR(PERCENTRANK.INC(FILTER(Q:Q,$F:$F&lt;&gt;""""),Q664)*100,"""")"),1.5)</f>
        <v>1.5</v>
      </c>
      <c r="U664" s="15">
        <f>IFERROR(__xludf.DUMMYFUNCTION("IFERROR(PERCENTRANK.INC(FILTER(R:R,$F:$F&lt;&gt;""""),R664)*100,"""")"),1.5)</f>
        <v>1.5</v>
      </c>
      <c r="V664" s="15">
        <f>IFERROR(__xludf.DUMMYFUNCTION("IFERROR(PERCENTRANK.INC(FILTER(S:S,$F:$F&lt;&gt;""""),S664)*100,"""")"),1.5)</f>
        <v>1.5</v>
      </c>
      <c r="W664" s="15" t="str">
        <f t="shared" si="4"/>
        <v/>
      </c>
      <c r="X664" s="16"/>
      <c r="Y664" s="9"/>
      <c r="Z664" s="9"/>
    </row>
    <row r="665">
      <c r="B665" t="str">
        <f t="array" ref="B665">IFERROR(INDEX('Player Raw Data'!E:E,Match($A665,'Player Raw Data'!$B:$B,0)),"")</f>
        <v/>
      </c>
      <c r="C665" t="str">
        <f t="array" ref="C665">IFERROR(INDEX('Player Raw Data'!C:C,Match($A665,'Player Raw Data'!$B:$B,0)),"")</f>
        <v/>
      </c>
      <c r="D665" t="str">
        <f t="array" ref="D665">IFERROR(IF(A665=A664, INDEX('Player Raw Data'!D:D,Match($A665,'Player Raw Data'!$B:$B,0)+2),INDEX('Player Raw Data'!D:D,Match($A665,'Player Raw Data'!$B:$B,0))),"")</f>
        <v/>
      </c>
      <c r="E665" t="str">
        <f t="array" ref="E665">IFERROR(INDEX('Player Raw Data'!F:F,Match($A665,'Player Raw Data'!$B:$B,0)),"")</f>
        <v/>
      </c>
      <c r="F665" t="str">
        <f t="array" ref="F665">IFERROR(INDEX('Player Raw Data'!H:H,Match($A665,'Player Raw Data'!$B:$B,0)),"")</f>
        <v/>
      </c>
      <c r="G665" t="str">
        <f t="array" ref="G665">IFERROR(INDEX('Player Raw Data'!I:I,Match($A665,'Player Raw Data'!$B:$B,0)),"")</f>
        <v/>
      </c>
      <c r="H665" t="str">
        <f t="array" ref="H665">IFERROR(INDEX('Player Raw Data'!J:J,Match($A665,'Player Raw Data'!$B:$B,0)),"")</f>
        <v/>
      </c>
      <c r="I665" t="str">
        <f t="array" ref="I665">IFERROR(INDEX('Player Raw Data'!S:S,Match($A665,'Player Raw Data'!$B:$B,0)),"")</f>
        <v/>
      </c>
      <c r="J665" t="str">
        <f t="array" ref="J665">IFERROR(INDEX('Player Raw Data'!T:T,Match($A665,'Player Raw Data'!$B:$B,0)),"")</f>
        <v/>
      </c>
      <c r="K665" t="str">
        <f t="array" ref="K665">IFERROR(INDEX('Player Raw Data'!X:X,Match($A665,'Player Raw Data'!$B:$B,0)),"")</f>
        <v/>
      </c>
      <c r="L665" t="str">
        <f t="array" ref="L665">IFERROR(INDEX('Player Raw Data'!Y:Y,Match($A665,'Player Raw Data'!$B:$B,0)),"")</f>
        <v/>
      </c>
      <c r="M665" t="str">
        <f t="array" ref="M665">IFERROR(INDEX('Player Raw Data'!Z:Z,Match($A665,'Player Raw Data'!$B:$B,0)),"")</f>
        <v/>
      </c>
      <c r="N665" t="str">
        <f t="array" ref="N665">IFERROR(INDEX('Player Raw Data'!AA:AA,Match($A665,'Player Raw Data'!$B:$B,0)),"")</f>
        <v/>
      </c>
      <c r="O665" t="str">
        <f t="array" ref="O665">IFERROR(INDEX('Player Raw Data'!AB:AB,Match($A665,'Player Raw Data'!$B:$B,0)),"")</f>
        <v/>
      </c>
      <c r="P665" t="str">
        <f t="array" ref="P665">IFERROR(INDEX('Player Raw Data'!AD:AD,Match($A665,'Player Raw Data'!$B:$B,0)),"")</f>
        <v/>
      </c>
      <c r="Q665">
        <f t="shared" si="1"/>
        <v>0</v>
      </c>
      <c r="R665" s="9">
        <f t="shared" si="2"/>
        <v>0</v>
      </c>
      <c r="S665" s="14">
        <f t="shared" si="3"/>
        <v>0</v>
      </c>
      <c r="T665" s="15">
        <f>IFERROR(__xludf.DUMMYFUNCTION("IFERROR(PERCENTRANK.INC(FILTER(Q:Q,$F:$F&lt;&gt;""""),Q665)*100,"""")"),1.5)</f>
        <v>1.5</v>
      </c>
      <c r="U665" s="15">
        <f>IFERROR(__xludf.DUMMYFUNCTION("IFERROR(PERCENTRANK.INC(FILTER(R:R,$F:$F&lt;&gt;""""),R665)*100,"""")"),1.5)</f>
        <v>1.5</v>
      </c>
      <c r="V665" s="15">
        <f>IFERROR(__xludf.DUMMYFUNCTION("IFERROR(PERCENTRANK.INC(FILTER(S:S,$F:$F&lt;&gt;""""),S665)*100,"""")"),1.5)</f>
        <v>1.5</v>
      </c>
      <c r="W665" s="15" t="str">
        <f t="shared" si="4"/>
        <v/>
      </c>
      <c r="X665" s="16"/>
      <c r="Y665" s="9"/>
      <c r="Z665" s="9"/>
    </row>
    <row r="666">
      <c r="B666" t="str">
        <f t="array" ref="B666">IFERROR(INDEX('Player Raw Data'!E:E,Match($A666,'Player Raw Data'!$B:$B,0)),"")</f>
        <v/>
      </c>
      <c r="C666" t="str">
        <f t="array" ref="C666">IFERROR(INDEX('Player Raw Data'!C:C,Match($A666,'Player Raw Data'!$B:$B,0)),"")</f>
        <v/>
      </c>
      <c r="D666" t="str">
        <f t="array" ref="D666">IFERROR(IF(A666=A665, INDEX('Player Raw Data'!D:D,Match($A666,'Player Raw Data'!$B:$B,0)+2),INDEX('Player Raw Data'!D:D,Match($A666,'Player Raw Data'!$B:$B,0))),"")</f>
        <v/>
      </c>
      <c r="E666" t="str">
        <f t="array" ref="E666">IFERROR(INDEX('Player Raw Data'!F:F,Match($A666,'Player Raw Data'!$B:$B,0)),"")</f>
        <v/>
      </c>
      <c r="F666" t="str">
        <f t="array" ref="F666">IFERROR(INDEX('Player Raw Data'!H:H,Match($A666,'Player Raw Data'!$B:$B,0)),"")</f>
        <v/>
      </c>
      <c r="G666" t="str">
        <f t="array" ref="G666">IFERROR(INDEX('Player Raw Data'!I:I,Match($A666,'Player Raw Data'!$B:$B,0)),"")</f>
        <v/>
      </c>
      <c r="H666" t="str">
        <f t="array" ref="H666">IFERROR(INDEX('Player Raw Data'!J:J,Match($A666,'Player Raw Data'!$B:$B,0)),"")</f>
        <v/>
      </c>
      <c r="I666" t="str">
        <f t="array" ref="I666">IFERROR(INDEX('Player Raw Data'!S:S,Match($A666,'Player Raw Data'!$B:$B,0)),"")</f>
        <v/>
      </c>
      <c r="J666" t="str">
        <f t="array" ref="J666">IFERROR(INDEX('Player Raw Data'!T:T,Match($A666,'Player Raw Data'!$B:$B,0)),"")</f>
        <v/>
      </c>
      <c r="K666" t="str">
        <f t="array" ref="K666">IFERROR(INDEX('Player Raw Data'!X:X,Match($A666,'Player Raw Data'!$B:$B,0)),"")</f>
        <v/>
      </c>
      <c r="L666" t="str">
        <f t="array" ref="L666">IFERROR(INDEX('Player Raw Data'!Y:Y,Match($A666,'Player Raw Data'!$B:$B,0)),"")</f>
        <v/>
      </c>
      <c r="M666" t="str">
        <f t="array" ref="M666">IFERROR(INDEX('Player Raw Data'!Z:Z,Match($A666,'Player Raw Data'!$B:$B,0)),"")</f>
        <v/>
      </c>
      <c r="N666" t="str">
        <f t="array" ref="N666">IFERROR(INDEX('Player Raw Data'!AA:AA,Match($A666,'Player Raw Data'!$B:$B,0)),"")</f>
        <v/>
      </c>
      <c r="O666" t="str">
        <f t="array" ref="O666">IFERROR(INDEX('Player Raw Data'!AB:AB,Match($A666,'Player Raw Data'!$B:$B,0)),"")</f>
        <v/>
      </c>
      <c r="P666" t="str">
        <f t="array" ref="P666">IFERROR(INDEX('Player Raw Data'!AD:AD,Match($A666,'Player Raw Data'!$B:$B,0)),"")</f>
        <v/>
      </c>
      <c r="Q666">
        <f t="shared" si="1"/>
        <v>0</v>
      </c>
      <c r="R666" s="9">
        <f t="shared" si="2"/>
        <v>0</v>
      </c>
      <c r="S666" s="14">
        <f t="shared" si="3"/>
        <v>0</v>
      </c>
      <c r="T666" s="15">
        <f>IFERROR(__xludf.DUMMYFUNCTION("IFERROR(PERCENTRANK.INC(FILTER(Q:Q,$F:$F&lt;&gt;""""),Q666)*100,"""")"),1.5)</f>
        <v>1.5</v>
      </c>
      <c r="U666" s="15">
        <f>IFERROR(__xludf.DUMMYFUNCTION("IFERROR(PERCENTRANK.INC(FILTER(R:R,$F:$F&lt;&gt;""""),R666)*100,"""")"),1.5)</f>
        <v>1.5</v>
      </c>
      <c r="V666" s="15">
        <f>IFERROR(__xludf.DUMMYFUNCTION("IFERROR(PERCENTRANK.INC(FILTER(S:S,$F:$F&lt;&gt;""""),S666)*100,"""")"),1.5)</f>
        <v>1.5</v>
      </c>
      <c r="W666" s="15" t="str">
        <f t="shared" si="4"/>
        <v/>
      </c>
      <c r="X666" s="16"/>
      <c r="Y666" s="9"/>
      <c r="Z666" s="9"/>
    </row>
    <row r="667">
      <c r="B667" t="str">
        <f t="array" ref="B667">IFERROR(INDEX('Player Raw Data'!E:E,Match($A667,'Player Raw Data'!$B:$B,0)),"")</f>
        <v/>
      </c>
      <c r="C667" t="str">
        <f t="array" ref="C667">IFERROR(INDEX('Player Raw Data'!C:C,Match($A667,'Player Raw Data'!$B:$B,0)),"")</f>
        <v/>
      </c>
      <c r="D667" t="str">
        <f t="array" ref="D667">IFERROR(IF(A667=A666, INDEX('Player Raw Data'!D:D,Match($A667,'Player Raw Data'!$B:$B,0)+2),INDEX('Player Raw Data'!D:D,Match($A667,'Player Raw Data'!$B:$B,0))),"")</f>
        <v/>
      </c>
      <c r="E667" t="str">
        <f t="array" ref="E667">IFERROR(INDEX('Player Raw Data'!F:F,Match($A667,'Player Raw Data'!$B:$B,0)),"")</f>
        <v/>
      </c>
      <c r="F667" t="str">
        <f t="array" ref="F667">IFERROR(INDEX('Player Raw Data'!H:H,Match($A667,'Player Raw Data'!$B:$B,0)),"")</f>
        <v/>
      </c>
      <c r="G667" t="str">
        <f t="array" ref="G667">IFERROR(INDEX('Player Raw Data'!I:I,Match($A667,'Player Raw Data'!$B:$B,0)),"")</f>
        <v/>
      </c>
      <c r="H667" t="str">
        <f t="array" ref="H667">IFERROR(INDEX('Player Raw Data'!J:J,Match($A667,'Player Raw Data'!$B:$B,0)),"")</f>
        <v/>
      </c>
      <c r="I667" t="str">
        <f t="array" ref="I667">IFERROR(INDEX('Player Raw Data'!S:S,Match($A667,'Player Raw Data'!$B:$B,0)),"")</f>
        <v/>
      </c>
      <c r="J667" t="str">
        <f t="array" ref="J667">IFERROR(INDEX('Player Raw Data'!T:T,Match($A667,'Player Raw Data'!$B:$B,0)),"")</f>
        <v/>
      </c>
      <c r="K667" t="str">
        <f t="array" ref="K667">IFERROR(INDEX('Player Raw Data'!X:X,Match($A667,'Player Raw Data'!$B:$B,0)),"")</f>
        <v/>
      </c>
      <c r="L667" t="str">
        <f t="array" ref="L667">IFERROR(INDEX('Player Raw Data'!Y:Y,Match($A667,'Player Raw Data'!$B:$B,0)),"")</f>
        <v/>
      </c>
      <c r="M667" t="str">
        <f t="array" ref="M667">IFERROR(INDEX('Player Raw Data'!Z:Z,Match($A667,'Player Raw Data'!$B:$B,0)),"")</f>
        <v/>
      </c>
      <c r="N667" t="str">
        <f t="array" ref="N667">IFERROR(INDEX('Player Raw Data'!AA:AA,Match($A667,'Player Raw Data'!$B:$B,0)),"")</f>
        <v/>
      </c>
      <c r="O667" t="str">
        <f t="array" ref="O667">IFERROR(INDEX('Player Raw Data'!AB:AB,Match($A667,'Player Raw Data'!$B:$B,0)),"")</f>
        <v/>
      </c>
      <c r="P667" t="str">
        <f t="array" ref="P667">IFERROR(INDEX('Player Raw Data'!AD:AD,Match($A667,'Player Raw Data'!$B:$B,0)),"")</f>
        <v/>
      </c>
      <c r="Q667">
        <f t="shared" si="1"/>
        <v>0</v>
      </c>
      <c r="R667" s="9">
        <f t="shared" si="2"/>
        <v>0</v>
      </c>
      <c r="S667" s="14">
        <f t="shared" si="3"/>
        <v>0</v>
      </c>
      <c r="T667" s="15">
        <f>IFERROR(__xludf.DUMMYFUNCTION("IFERROR(PERCENTRANK.INC(FILTER(Q:Q,$F:$F&lt;&gt;""""),Q667)*100,"""")"),1.5)</f>
        <v>1.5</v>
      </c>
      <c r="U667" s="15">
        <f>IFERROR(__xludf.DUMMYFUNCTION("IFERROR(PERCENTRANK.INC(FILTER(R:R,$F:$F&lt;&gt;""""),R667)*100,"""")"),1.5)</f>
        <v>1.5</v>
      </c>
      <c r="V667" s="15">
        <f>IFERROR(__xludf.DUMMYFUNCTION("IFERROR(PERCENTRANK.INC(FILTER(S:S,$F:$F&lt;&gt;""""),S667)*100,"""")"),1.5)</f>
        <v>1.5</v>
      </c>
      <c r="W667" s="15" t="str">
        <f t="shared" si="4"/>
        <v/>
      </c>
      <c r="X667" s="16"/>
      <c r="Y667" s="9"/>
      <c r="Z667" s="9"/>
    </row>
    <row r="668">
      <c r="B668" t="str">
        <f t="array" ref="B668">IFERROR(INDEX('Player Raw Data'!E:E,Match($A668,'Player Raw Data'!$B:$B,0)),"")</f>
        <v/>
      </c>
      <c r="C668" t="str">
        <f t="array" ref="C668">IFERROR(INDEX('Player Raw Data'!C:C,Match($A668,'Player Raw Data'!$B:$B,0)),"")</f>
        <v/>
      </c>
      <c r="D668" t="str">
        <f t="array" ref="D668">IFERROR(IF(A668=A667, INDEX('Player Raw Data'!D:D,Match($A668,'Player Raw Data'!$B:$B,0)+2),INDEX('Player Raw Data'!D:D,Match($A668,'Player Raw Data'!$B:$B,0))),"")</f>
        <v/>
      </c>
      <c r="E668" t="str">
        <f t="array" ref="E668">IFERROR(INDEX('Player Raw Data'!F:F,Match($A668,'Player Raw Data'!$B:$B,0)),"")</f>
        <v/>
      </c>
      <c r="F668" t="str">
        <f t="array" ref="F668">IFERROR(INDEX('Player Raw Data'!H:H,Match($A668,'Player Raw Data'!$B:$B,0)),"")</f>
        <v/>
      </c>
      <c r="G668" t="str">
        <f t="array" ref="G668">IFERROR(INDEX('Player Raw Data'!I:I,Match($A668,'Player Raw Data'!$B:$B,0)),"")</f>
        <v/>
      </c>
      <c r="H668" t="str">
        <f t="array" ref="H668">IFERROR(INDEX('Player Raw Data'!J:J,Match($A668,'Player Raw Data'!$B:$B,0)),"")</f>
        <v/>
      </c>
      <c r="I668" t="str">
        <f t="array" ref="I668">IFERROR(INDEX('Player Raw Data'!S:S,Match($A668,'Player Raw Data'!$B:$B,0)),"")</f>
        <v/>
      </c>
      <c r="J668" t="str">
        <f t="array" ref="J668">IFERROR(INDEX('Player Raw Data'!T:T,Match($A668,'Player Raw Data'!$B:$B,0)),"")</f>
        <v/>
      </c>
      <c r="K668" t="str">
        <f t="array" ref="K668">IFERROR(INDEX('Player Raw Data'!X:X,Match($A668,'Player Raw Data'!$B:$B,0)),"")</f>
        <v/>
      </c>
      <c r="L668" t="str">
        <f t="array" ref="L668">IFERROR(INDEX('Player Raw Data'!Y:Y,Match($A668,'Player Raw Data'!$B:$B,0)),"")</f>
        <v/>
      </c>
      <c r="M668" t="str">
        <f t="array" ref="M668">IFERROR(INDEX('Player Raw Data'!Z:Z,Match($A668,'Player Raw Data'!$B:$B,0)),"")</f>
        <v/>
      </c>
      <c r="N668" t="str">
        <f t="array" ref="N668">IFERROR(INDEX('Player Raw Data'!AA:AA,Match($A668,'Player Raw Data'!$B:$B,0)),"")</f>
        <v/>
      </c>
      <c r="O668" t="str">
        <f t="array" ref="O668">IFERROR(INDEX('Player Raw Data'!AB:AB,Match($A668,'Player Raw Data'!$B:$B,0)),"")</f>
        <v/>
      </c>
      <c r="P668" t="str">
        <f t="array" ref="P668">IFERROR(INDEX('Player Raw Data'!AD:AD,Match($A668,'Player Raw Data'!$B:$B,0)),"")</f>
        <v/>
      </c>
      <c r="Q668">
        <f t="shared" si="1"/>
        <v>0</v>
      </c>
      <c r="R668" s="9">
        <f t="shared" si="2"/>
        <v>0</v>
      </c>
      <c r="S668" s="14">
        <f t="shared" si="3"/>
        <v>0</v>
      </c>
      <c r="T668" s="15">
        <f>IFERROR(__xludf.DUMMYFUNCTION("IFERROR(PERCENTRANK.INC(FILTER(Q:Q,$F:$F&lt;&gt;""""),Q668)*100,"""")"),1.5)</f>
        <v>1.5</v>
      </c>
      <c r="U668" s="15">
        <f>IFERROR(__xludf.DUMMYFUNCTION("IFERROR(PERCENTRANK.INC(FILTER(R:R,$F:$F&lt;&gt;""""),R668)*100,"""")"),1.5)</f>
        <v>1.5</v>
      </c>
      <c r="V668" s="15">
        <f>IFERROR(__xludf.DUMMYFUNCTION("IFERROR(PERCENTRANK.INC(FILTER(S:S,$F:$F&lt;&gt;""""),S668)*100,"""")"),1.5)</f>
        <v>1.5</v>
      </c>
      <c r="W668" s="15" t="str">
        <f t="shared" si="4"/>
        <v/>
      </c>
      <c r="X668" s="16"/>
      <c r="Y668" s="9"/>
      <c r="Z668" s="9"/>
    </row>
    <row r="669">
      <c r="B669" t="str">
        <f t="array" ref="B669">IFERROR(INDEX('Player Raw Data'!E:E,Match($A669,'Player Raw Data'!$B:$B,0)),"")</f>
        <v/>
      </c>
      <c r="C669" t="str">
        <f t="array" ref="C669">IFERROR(INDEX('Player Raw Data'!C:C,Match($A669,'Player Raw Data'!$B:$B,0)),"")</f>
        <v/>
      </c>
      <c r="D669" t="str">
        <f t="array" ref="D669">IFERROR(IF(A669=A668, INDEX('Player Raw Data'!D:D,Match($A669,'Player Raw Data'!$B:$B,0)+2),INDEX('Player Raw Data'!D:D,Match($A669,'Player Raw Data'!$B:$B,0))),"")</f>
        <v/>
      </c>
      <c r="E669" t="str">
        <f t="array" ref="E669">IFERROR(INDEX('Player Raw Data'!F:F,Match($A669,'Player Raw Data'!$B:$B,0)),"")</f>
        <v/>
      </c>
      <c r="F669" t="str">
        <f t="array" ref="F669">IFERROR(INDEX('Player Raw Data'!H:H,Match($A669,'Player Raw Data'!$B:$B,0)),"")</f>
        <v/>
      </c>
      <c r="G669" t="str">
        <f t="array" ref="G669">IFERROR(INDEX('Player Raw Data'!I:I,Match($A669,'Player Raw Data'!$B:$B,0)),"")</f>
        <v/>
      </c>
      <c r="H669" t="str">
        <f t="array" ref="H669">IFERROR(INDEX('Player Raw Data'!J:J,Match($A669,'Player Raw Data'!$B:$B,0)),"")</f>
        <v/>
      </c>
      <c r="I669" t="str">
        <f t="array" ref="I669">IFERROR(INDEX('Player Raw Data'!S:S,Match($A669,'Player Raw Data'!$B:$B,0)),"")</f>
        <v/>
      </c>
      <c r="J669" t="str">
        <f t="array" ref="J669">IFERROR(INDEX('Player Raw Data'!T:T,Match($A669,'Player Raw Data'!$B:$B,0)),"")</f>
        <v/>
      </c>
      <c r="K669" t="str">
        <f t="array" ref="K669">IFERROR(INDEX('Player Raw Data'!X:X,Match($A669,'Player Raw Data'!$B:$B,0)),"")</f>
        <v/>
      </c>
      <c r="L669" t="str">
        <f t="array" ref="L669">IFERROR(INDEX('Player Raw Data'!Y:Y,Match($A669,'Player Raw Data'!$B:$B,0)),"")</f>
        <v/>
      </c>
      <c r="M669" t="str">
        <f t="array" ref="M669">IFERROR(INDEX('Player Raw Data'!Z:Z,Match($A669,'Player Raw Data'!$B:$B,0)),"")</f>
        <v/>
      </c>
      <c r="N669" t="str">
        <f t="array" ref="N669">IFERROR(INDEX('Player Raw Data'!AA:AA,Match($A669,'Player Raw Data'!$B:$B,0)),"")</f>
        <v/>
      </c>
      <c r="O669" t="str">
        <f t="array" ref="O669">IFERROR(INDEX('Player Raw Data'!AB:AB,Match($A669,'Player Raw Data'!$B:$B,0)),"")</f>
        <v/>
      </c>
      <c r="P669" t="str">
        <f t="array" ref="P669">IFERROR(INDEX('Player Raw Data'!AD:AD,Match($A669,'Player Raw Data'!$B:$B,0)),"")</f>
        <v/>
      </c>
      <c r="Q669">
        <f t="shared" si="1"/>
        <v>0</v>
      </c>
      <c r="R669" s="9">
        <f t="shared" si="2"/>
        <v>0</v>
      </c>
      <c r="S669" s="14">
        <f t="shared" si="3"/>
        <v>0</v>
      </c>
      <c r="T669" s="15">
        <f>IFERROR(__xludf.DUMMYFUNCTION("IFERROR(PERCENTRANK.INC(FILTER(Q:Q,$F:$F&lt;&gt;""""),Q669)*100,"""")"),1.5)</f>
        <v>1.5</v>
      </c>
      <c r="U669" s="15">
        <f>IFERROR(__xludf.DUMMYFUNCTION("IFERROR(PERCENTRANK.INC(FILTER(R:R,$F:$F&lt;&gt;""""),R669)*100,"""")"),1.5)</f>
        <v>1.5</v>
      </c>
      <c r="V669" s="15">
        <f>IFERROR(__xludf.DUMMYFUNCTION("IFERROR(PERCENTRANK.INC(FILTER(S:S,$F:$F&lt;&gt;""""),S669)*100,"""")"),1.5)</f>
        <v>1.5</v>
      </c>
      <c r="W669" s="15" t="str">
        <f t="shared" si="4"/>
        <v/>
      </c>
      <c r="X669" s="16"/>
      <c r="Y669" s="9"/>
      <c r="Z669" s="9"/>
    </row>
    <row r="670">
      <c r="B670" t="str">
        <f t="array" ref="B670">IFERROR(INDEX('Player Raw Data'!E:E,Match($A670,'Player Raw Data'!$B:$B,0)),"")</f>
        <v/>
      </c>
      <c r="C670" t="str">
        <f t="array" ref="C670">IFERROR(INDEX('Player Raw Data'!C:C,Match($A670,'Player Raw Data'!$B:$B,0)),"")</f>
        <v/>
      </c>
      <c r="D670" t="str">
        <f t="array" ref="D670">IFERROR(IF(A670=A669, INDEX('Player Raw Data'!D:D,Match($A670,'Player Raw Data'!$B:$B,0)+2),INDEX('Player Raw Data'!D:D,Match($A670,'Player Raw Data'!$B:$B,0))),"")</f>
        <v/>
      </c>
      <c r="E670" t="str">
        <f t="array" ref="E670">IFERROR(INDEX('Player Raw Data'!F:F,Match($A670,'Player Raw Data'!$B:$B,0)),"")</f>
        <v/>
      </c>
      <c r="F670" t="str">
        <f t="array" ref="F670">IFERROR(INDEX('Player Raw Data'!H:H,Match($A670,'Player Raw Data'!$B:$B,0)),"")</f>
        <v/>
      </c>
      <c r="G670" t="str">
        <f t="array" ref="G670">IFERROR(INDEX('Player Raw Data'!I:I,Match($A670,'Player Raw Data'!$B:$B,0)),"")</f>
        <v/>
      </c>
      <c r="H670" t="str">
        <f t="array" ref="H670">IFERROR(INDEX('Player Raw Data'!J:J,Match($A670,'Player Raw Data'!$B:$B,0)),"")</f>
        <v/>
      </c>
      <c r="I670" t="str">
        <f t="array" ref="I670">IFERROR(INDEX('Player Raw Data'!S:S,Match($A670,'Player Raw Data'!$B:$B,0)),"")</f>
        <v/>
      </c>
      <c r="J670" t="str">
        <f t="array" ref="J670">IFERROR(INDEX('Player Raw Data'!T:T,Match($A670,'Player Raw Data'!$B:$B,0)),"")</f>
        <v/>
      </c>
      <c r="K670" t="str">
        <f t="array" ref="K670">IFERROR(INDEX('Player Raw Data'!X:X,Match($A670,'Player Raw Data'!$B:$B,0)),"")</f>
        <v/>
      </c>
      <c r="L670" t="str">
        <f t="array" ref="L670">IFERROR(INDEX('Player Raw Data'!Y:Y,Match($A670,'Player Raw Data'!$B:$B,0)),"")</f>
        <v/>
      </c>
      <c r="M670" t="str">
        <f t="array" ref="M670">IFERROR(INDEX('Player Raw Data'!Z:Z,Match($A670,'Player Raw Data'!$B:$B,0)),"")</f>
        <v/>
      </c>
      <c r="N670" t="str">
        <f t="array" ref="N670">IFERROR(INDEX('Player Raw Data'!AA:AA,Match($A670,'Player Raw Data'!$B:$B,0)),"")</f>
        <v/>
      </c>
      <c r="O670" t="str">
        <f t="array" ref="O670">IFERROR(INDEX('Player Raw Data'!AB:AB,Match($A670,'Player Raw Data'!$B:$B,0)),"")</f>
        <v/>
      </c>
      <c r="P670" t="str">
        <f t="array" ref="P670">IFERROR(INDEX('Player Raw Data'!AD:AD,Match($A670,'Player Raw Data'!$B:$B,0)),"")</f>
        <v/>
      </c>
      <c r="Q670">
        <f t="shared" si="1"/>
        <v>0</v>
      </c>
      <c r="R670" s="9">
        <f t="shared" si="2"/>
        <v>0</v>
      </c>
      <c r="S670" s="14">
        <f t="shared" si="3"/>
        <v>0</v>
      </c>
      <c r="T670" s="15">
        <f>IFERROR(__xludf.DUMMYFUNCTION("IFERROR(PERCENTRANK.INC(FILTER(Q:Q,$F:$F&lt;&gt;""""),Q670)*100,"""")"),1.5)</f>
        <v>1.5</v>
      </c>
      <c r="U670" s="15">
        <f>IFERROR(__xludf.DUMMYFUNCTION("IFERROR(PERCENTRANK.INC(FILTER(R:R,$F:$F&lt;&gt;""""),R670)*100,"""")"),1.5)</f>
        <v>1.5</v>
      </c>
      <c r="V670" s="15">
        <f>IFERROR(__xludf.DUMMYFUNCTION("IFERROR(PERCENTRANK.INC(FILTER(S:S,$F:$F&lt;&gt;""""),S670)*100,"""")"),1.5)</f>
        <v>1.5</v>
      </c>
      <c r="W670" s="15" t="str">
        <f t="shared" si="4"/>
        <v/>
      </c>
      <c r="X670" s="16"/>
      <c r="Y670" s="9"/>
      <c r="Z670" s="9"/>
    </row>
    <row r="671">
      <c r="B671" t="str">
        <f t="array" ref="B671">IFERROR(INDEX('Player Raw Data'!E:E,Match($A671,'Player Raw Data'!$B:$B,0)),"")</f>
        <v/>
      </c>
      <c r="C671" t="str">
        <f t="array" ref="C671">IFERROR(INDEX('Player Raw Data'!C:C,Match($A671,'Player Raw Data'!$B:$B,0)),"")</f>
        <v/>
      </c>
      <c r="D671" t="str">
        <f t="array" ref="D671">IFERROR(IF(A671=A670, INDEX('Player Raw Data'!D:D,Match($A671,'Player Raw Data'!$B:$B,0)+2),INDEX('Player Raw Data'!D:D,Match($A671,'Player Raw Data'!$B:$B,0))),"")</f>
        <v/>
      </c>
      <c r="E671" t="str">
        <f t="array" ref="E671">IFERROR(INDEX('Player Raw Data'!F:F,Match($A671,'Player Raw Data'!$B:$B,0)),"")</f>
        <v/>
      </c>
      <c r="F671" t="str">
        <f t="array" ref="F671">IFERROR(INDEX('Player Raw Data'!H:H,Match($A671,'Player Raw Data'!$B:$B,0)),"")</f>
        <v/>
      </c>
      <c r="G671" t="str">
        <f t="array" ref="G671">IFERROR(INDEX('Player Raw Data'!I:I,Match($A671,'Player Raw Data'!$B:$B,0)),"")</f>
        <v/>
      </c>
      <c r="H671" t="str">
        <f t="array" ref="H671">IFERROR(INDEX('Player Raw Data'!J:J,Match($A671,'Player Raw Data'!$B:$B,0)),"")</f>
        <v/>
      </c>
      <c r="I671" t="str">
        <f t="array" ref="I671">IFERROR(INDEX('Player Raw Data'!S:S,Match($A671,'Player Raw Data'!$B:$B,0)),"")</f>
        <v/>
      </c>
      <c r="J671" t="str">
        <f t="array" ref="J671">IFERROR(INDEX('Player Raw Data'!T:T,Match($A671,'Player Raw Data'!$B:$B,0)),"")</f>
        <v/>
      </c>
      <c r="K671" t="str">
        <f t="array" ref="K671">IFERROR(INDEX('Player Raw Data'!X:X,Match($A671,'Player Raw Data'!$B:$B,0)),"")</f>
        <v/>
      </c>
      <c r="L671" t="str">
        <f t="array" ref="L671">IFERROR(INDEX('Player Raw Data'!Y:Y,Match($A671,'Player Raw Data'!$B:$B,0)),"")</f>
        <v/>
      </c>
      <c r="M671" t="str">
        <f t="array" ref="M671">IFERROR(INDEX('Player Raw Data'!Z:Z,Match($A671,'Player Raw Data'!$B:$B,0)),"")</f>
        <v/>
      </c>
      <c r="N671" t="str">
        <f t="array" ref="N671">IFERROR(INDEX('Player Raw Data'!AA:AA,Match($A671,'Player Raw Data'!$B:$B,0)),"")</f>
        <v/>
      </c>
      <c r="O671" t="str">
        <f t="array" ref="O671">IFERROR(INDEX('Player Raw Data'!AB:AB,Match($A671,'Player Raw Data'!$B:$B,0)),"")</f>
        <v/>
      </c>
      <c r="P671" t="str">
        <f t="array" ref="P671">IFERROR(INDEX('Player Raw Data'!AD:AD,Match($A671,'Player Raw Data'!$B:$B,0)),"")</f>
        <v/>
      </c>
      <c r="Q671">
        <f t="shared" si="1"/>
        <v>0</v>
      </c>
      <c r="R671" s="9">
        <f t="shared" si="2"/>
        <v>0</v>
      </c>
      <c r="S671" s="14">
        <f t="shared" si="3"/>
        <v>0</v>
      </c>
      <c r="T671" s="15">
        <f>IFERROR(__xludf.DUMMYFUNCTION("IFERROR(PERCENTRANK.INC(FILTER(Q:Q,$F:$F&lt;&gt;""""),Q671)*100,"""")"),1.5)</f>
        <v>1.5</v>
      </c>
      <c r="U671" s="15">
        <f>IFERROR(__xludf.DUMMYFUNCTION("IFERROR(PERCENTRANK.INC(FILTER(R:R,$F:$F&lt;&gt;""""),R671)*100,"""")"),1.5)</f>
        <v>1.5</v>
      </c>
      <c r="V671" s="15">
        <f>IFERROR(__xludf.DUMMYFUNCTION("IFERROR(PERCENTRANK.INC(FILTER(S:S,$F:$F&lt;&gt;""""),S671)*100,"""")"),1.5)</f>
        <v>1.5</v>
      </c>
      <c r="W671" s="15" t="str">
        <f t="shared" si="4"/>
        <v/>
      </c>
      <c r="X671" s="16"/>
      <c r="Y671" s="9"/>
      <c r="Z671" s="9"/>
    </row>
    <row r="672">
      <c r="B672" t="str">
        <f t="array" ref="B672">IFERROR(INDEX('Player Raw Data'!E:E,Match($A672,'Player Raw Data'!$B:$B,0)),"")</f>
        <v/>
      </c>
      <c r="C672" t="str">
        <f t="array" ref="C672">IFERROR(INDEX('Player Raw Data'!C:C,Match($A672,'Player Raw Data'!$B:$B,0)),"")</f>
        <v/>
      </c>
      <c r="D672" t="str">
        <f t="array" ref="D672">IFERROR(IF(A672=A671, INDEX('Player Raw Data'!D:D,Match($A672,'Player Raw Data'!$B:$B,0)+2),INDEX('Player Raw Data'!D:D,Match($A672,'Player Raw Data'!$B:$B,0))),"")</f>
        <v/>
      </c>
      <c r="E672" t="str">
        <f t="array" ref="E672">IFERROR(INDEX('Player Raw Data'!F:F,Match($A672,'Player Raw Data'!$B:$B,0)),"")</f>
        <v/>
      </c>
      <c r="F672" t="str">
        <f t="array" ref="F672">IFERROR(INDEX('Player Raw Data'!H:H,Match($A672,'Player Raw Data'!$B:$B,0)),"")</f>
        <v/>
      </c>
      <c r="G672" t="str">
        <f t="array" ref="G672">IFERROR(INDEX('Player Raw Data'!I:I,Match($A672,'Player Raw Data'!$B:$B,0)),"")</f>
        <v/>
      </c>
      <c r="H672" t="str">
        <f t="array" ref="H672">IFERROR(INDEX('Player Raw Data'!J:J,Match($A672,'Player Raw Data'!$B:$B,0)),"")</f>
        <v/>
      </c>
      <c r="I672" t="str">
        <f t="array" ref="I672">IFERROR(INDEX('Player Raw Data'!S:S,Match($A672,'Player Raw Data'!$B:$B,0)),"")</f>
        <v/>
      </c>
      <c r="J672" t="str">
        <f t="array" ref="J672">IFERROR(INDEX('Player Raw Data'!T:T,Match($A672,'Player Raw Data'!$B:$B,0)),"")</f>
        <v/>
      </c>
      <c r="K672" t="str">
        <f t="array" ref="K672">IFERROR(INDEX('Player Raw Data'!X:X,Match($A672,'Player Raw Data'!$B:$B,0)),"")</f>
        <v/>
      </c>
      <c r="L672" t="str">
        <f t="array" ref="L672">IFERROR(INDEX('Player Raw Data'!Y:Y,Match($A672,'Player Raw Data'!$B:$B,0)),"")</f>
        <v/>
      </c>
      <c r="M672" t="str">
        <f t="array" ref="M672">IFERROR(INDEX('Player Raw Data'!Z:Z,Match($A672,'Player Raw Data'!$B:$B,0)),"")</f>
        <v/>
      </c>
      <c r="N672" t="str">
        <f t="array" ref="N672">IFERROR(INDEX('Player Raw Data'!AA:AA,Match($A672,'Player Raw Data'!$B:$B,0)),"")</f>
        <v/>
      </c>
      <c r="O672" t="str">
        <f t="array" ref="O672">IFERROR(INDEX('Player Raw Data'!AB:AB,Match($A672,'Player Raw Data'!$B:$B,0)),"")</f>
        <v/>
      </c>
      <c r="P672" t="str">
        <f t="array" ref="P672">IFERROR(INDEX('Player Raw Data'!AD:AD,Match($A672,'Player Raw Data'!$B:$B,0)),"")</f>
        <v/>
      </c>
      <c r="Q672">
        <f t="shared" si="1"/>
        <v>0</v>
      </c>
      <c r="R672" s="9">
        <f t="shared" si="2"/>
        <v>0</v>
      </c>
      <c r="S672" s="14">
        <f t="shared" si="3"/>
        <v>0</v>
      </c>
      <c r="T672" s="15">
        <f>IFERROR(__xludf.DUMMYFUNCTION("IFERROR(PERCENTRANK.INC(FILTER(Q:Q,$F:$F&lt;&gt;""""),Q672)*100,"""")"),1.5)</f>
        <v>1.5</v>
      </c>
      <c r="U672" s="15">
        <f>IFERROR(__xludf.DUMMYFUNCTION("IFERROR(PERCENTRANK.INC(FILTER(R:R,$F:$F&lt;&gt;""""),R672)*100,"""")"),1.5)</f>
        <v>1.5</v>
      </c>
      <c r="V672" s="15">
        <f>IFERROR(__xludf.DUMMYFUNCTION("IFERROR(PERCENTRANK.INC(FILTER(S:S,$F:$F&lt;&gt;""""),S672)*100,"""")"),1.5)</f>
        <v>1.5</v>
      </c>
      <c r="W672" s="15" t="str">
        <f t="shared" si="4"/>
        <v/>
      </c>
      <c r="X672" s="16"/>
      <c r="Y672" s="9"/>
      <c r="Z672" s="9"/>
    </row>
    <row r="673">
      <c r="B673" t="str">
        <f t="array" ref="B673">IFERROR(INDEX('Player Raw Data'!E:E,Match($A673,'Player Raw Data'!$B:$B,0)),"")</f>
        <v/>
      </c>
      <c r="C673" t="str">
        <f t="array" ref="C673">IFERROR(INDEX('Player Raw Data'!C:C,Match($A673,'Player Raw Data'!$B:$B,0)),"")</f>
        <v/>
      </c>
      <c r="D673" t="str">
        <f t="array" ref="D673">IFERROR(IF(A673=A672, INDEX('Player Raw Data'!D:D,Match($A673,'Player Raw Data'!$B:$B,0)+2),INDEX('Player Raw Data'!D:D,Match($A673,'Player Raw Data'!$B:$B,0))),"")</f>
        <v/>
      </c>
      <c r="E673" t="str">
        <f t="array" ref="E673">IFERROR(INDEX('Player Raw Data'!F:F,Match($A673,'Player Raw Data'!$B:$B,0)),"")</f>
        <v/>
      </c>
      <c r="F673" t="str">
        <f t="array" ref="F673">IFERROR(INDEX('Player Raw Data'!H:H,Match($A673,'Player Raw Data'!$B:$B,0)),"")</f>
        <v/>
      </c>
      <c r="G673" t="str">
        <f t="array" ref="G673">IFERROR(INDEX('Player Raw Data'!I:I,Match($A673,'Player Raw Data'!$B:$B,0)),"")</f>
        <v/>
      </c>
      <c r="H673" t="str">
        <f t="array" ref="H673">IFERROR(INDEX('Player Raw Data'!J:J,Match($A673,'Player Raw Data'!$B:$B,0)),"")</f>
        <v/>
      </c>
      <c r="I673" t="str">
        <f t="array" ref="I673">IFERROR(INDEX('Player Raw Data'!S:S,Match($A673,'Player Raw Data'!$B:$B,0)),"")</f>
        <v/>
      </c>
      <c r="J673" t="str">
        <f t="array" ref="J673">IFERROR(INDEX('Player Raw Data'!T:T,Match($A673,'Player Raw Data'!$B:$B,0)),"")</f>
        <v/>
      </c>
      <c r="K673" t="str">
        <f t="array" ref="K673">IFERROR(INDEX('Player Raw Data'!X:X,Match($A673,'Player Raw Data'!$B:$B,0)),"")</f>
        <v/>
      </c>
      <c r="L673" t="str">
        <f t="array" ref="L673">IFERROR(INDEX('Player Raw Data'!Y:Y,Match($A673,'Player Raw Data'!$B:$B,0)),"")</f>
        <v/>
      </c>
      <c r="M673" t="str">
        <f t="array" ref="M673">IFERROR(INDEX('Player Raw Data'!Z:Z,Match($A673,'Player Raw Data'!$B:$B,0)),"")</f>
        <v/>
      </c>
      <c r="N673" t="str">
        <f t="array" ref="N673">IFERROR(INDEX('Player Raw Data'!AA:AA,Match($A673,'Player Raw Data'!$B:$B,0)),"")</f>
        <v/>
      </c>
      <c r="O673" t="str">
        <f t="array" ref="O673">IFERROR(INDEX('Player Raw Data'!AB:AB,Match($A673,'Player Raw Data'!$B:$B,0)),"")</f>
        <v/>
      </c>
      <c r="P673" t="str">
        <f t="array" ref="P673">IFERROR(INDEX('Player Raw Data'!AD:AD,Match($A673,'Player Raw Data'!$B:$B,0)),"")</f>
        <v/>
      </c>
      <c r="Q673">
        <f t="shared" si="1"/>
        <v>0</v>
      </c>
      <c r="R673" s="9">
        <f t="shared" si="2"/>
        <v>0</v>
      </c>
      <c r="S673" s="14">
        <f t="shared" si="3"/>
        <v>0</v>
      </c>
      <c r="T673" s="15">
        <f>IFERROR(__xludf.DUMMYFUNCTION("IFERROR(PERCENTRANK.INC(FILTER(Q:Q,$F:$F&lt;&gt;""""),Q673)*100,"""")"),1.5)</f>
        <v>1.5</v>
      </c>
      <c r="U673" s="15">
        <f>IFERROR(__xludf.DUMMYFUNCTION("IFERROR(PERCENTRANK.INC(FILTER(R:R,$F:$F&lt;&gt;""""),R673)*100,"""")"),1.5)</f>
        <v>1.5</v>
      </c>
      <c r="V673" s="15">
        <f>IFERROR(__xludf.DUMMYFUNCTION("IFERROR(PERCENTRANK.INC(FILTER(S:S,$F:$F&lt;&gt;""""),S673)*100,"""")"),1.5)</f>
        <v>1.5</v>
      </c>
      <c r="W673" s="15" t="str">
        <f t="shared" si="4"/>
        <v/>
      </c>
      <c r="X673" s="16"/>
      <c r="Y673" s="9"/>
      <c r="Z673" s="9"/>
    </row>
    <row r="674">
      <c r="B674" t="str">
        <f t="array" ref="B674">IFERROR(INDEX('Player Raw Data'!E:E,Match($A674,'Player Raw Data'!$B:$B,0)),"")</f>
        <v/>
      </c>
      <c r="C674" t="str">
        <f t="array" ref="C674">IFERROR(INDEX('Player Raw Data'!C:C,Match($A674,'Player Raw Data'!$B:$B,0)),"")</f>
        <v/>
      </c>
      <c r="D674" t="str">
        <f t="array" ref="D674">IFERROR(IF(A674=A673, INDEX('Player Raw Data'!D:D,Match($A674,'Player Raw Data'!$B:$B,0)+2),INDEX('Player Raw Data'!D:D,Match($A674,'Player Raw Data'!$B:$B,0))),"")</f>
        <v/>
      </c>
      <c r="E674" t="str">
        <f t="array" ref="E674">IFERROR(INDEX('Player Raw Data'!F:F,Match($A674,'Player Raw Data'!$B:$B,0)),"")</f>
        <v/>
      </c>
      <c r="F674" t="str">
        <f t="array" ref="F674">IFERROR(INDEX('Player Raw Data'!H:H,Match($A674,'Player Raw Data'!$B:$B,0)),"")</f>
        <v/>
      </c>
      <c r="G674" t="str">
        <f t="array" ref="G674">IFERROR(INDEX('Player Raw Data'!I:I,Match($A674,'Player Raw Data'!$B:$B,0)),"")</f>
        <v/>
      </c>
      <c r="H674" t="str">
        <f t="array" ref="H674">IFERROR(INDEX('Player Raw Data'!J:J,Match($A674,'Player Raw Data'!$B:$B,0)),"")</f>
        <v/>
      </c>
      <c r="I674" t="str">
        <f t="array" ref="I674">IFERROR(INDEX('Player Raw Data'!S:S,Match($A674,'Player Raw Data'!$B:$B,0)),"")</f>
        <v/>
      </c>
      <c r="J674" t="str">
        <f t="array" ref="J674">IFERROR(INDEX('Player Raw Data'!T:T,Match($A674,'Player Raw Data'!$B:$B,0)),"")</f>
        <v/>
      </c>
      <c r="K674" t="str">
        <f t="array" ref="K674">IFERROR(INDEX('Player Raw Data'!X:X,Match($A674,'Player Raw Data'!$B:$B,0)),"")</f>
        <v/>
      </c>
      <c r="L674" t="str">
        <f t="array" ref="L674">IFERROR(INDEX('Player Raw Data'!Y:Y,Match($A674,'Player Raw Data'!$B:$B,0)),"")</f>
        <v/>
      </c>
      <c r="M674" t="str">
        <f t="array" ref="M674">IFERROR(INDEX('Player Raw Data'!Z:Z,Match($A674,'Player Raw Data'!$B:$B,0)),"")</f>
        <v/>
      </c>
      <c r="N674" t="str">
        <f t="array" ref="N674">IFERROR(INDEX('Player Raw Data'!AA:AA,Match($A674,'Player Raw Data'!$B:$B,0)),"")</f>
        <v/>
      </c>
      <c r="O674" t="str">
        <f t="array" ref="O674">IFERROR(INDEX('Player Raw Data'!AB:AB,Match($A674,'Player Raw Data'!$B:$B,0)),"")</f>
        <v/>
      </c>
      <c r="P674" t="str">
        <f t="array" ref="P674">IFERROR(INDEX('Player Raw Data'!AD:AD,Match($A674,'Player Raw Data'!$B:$B,0)),"")</f>
        <v/>
      </c>
      <c r="Q674">
        <f t="shared" si="1"/>
        <v>0</v>
      </c>
      <c r="R674" s="9">
        <f t="shared" si="2"/>
        <v>0</v>
      </c>
      <c r="S674" s="14">
        <f t="shared" si="3"/>
        <v>0</v>
      </c>
      <c r="T674" s="15">
        <f>IFERROR(__xludf.DUMMYFUNCTION("IFERROR(PERCENTRANK.INC(FILTER(Q:Q,$F:$F&lt;&gt;""""),Q674)*100,"""")"),1.5)</f>
        <v>1.5</v>
      </c>
      <c r="U674" s="15">
        <f>IFERROR(__xludf.DUMMYFUNCTION("IFERROR(PERCENTRANK.INC(FILTER(R:R,$F:$F&lt;&gt;""""),R674)*100,"""")"),1.5)</f>
        <v>1.5</v>
      </c>
      <c r="V674" s="15">
        <f>IFERROR(__xludf.DUMMYFUNCTION("IFERROR(PERCENTRANK.INC(FILTER(S:S,$F:$F&lt;&gt;""""),S674)*100,"""")"),1.5)</f>
        <v>1.5</v>
      </c>
      <c r="W674" s="15" t="str">
        <f t="shared" si="4"/>
        <v/>
      </c>
      <c r="X674" s="16"/>
      <c r="Y674" s="9"/>
      <c r="Z674" s="9"/>
    </row>
    <row r="675">
      <c r="B675" t="str">
        <f t="array" ref="B675">IFERROR(INDEX('Player Raw Data'!E:E,Match($A675,'Player Raw Data'!$B:$B,0)),"")</f>
        <v/>
      </c>
      <c r="C675" t="str">
        <f t="array" ref="C675">IFERROR(INDEX('Player Raw Data'!C:C,Match($A675,'Player Raw Data'!$B:$B,0)),"")</f>
        <v/>
      </c>
      <c r="D675" t="str">
        <f t="array" ref="D675">IFERROR(IF(A675=A674, INDEX('Player Raw Data'!D:D,Match($A675,'Player Raw Data'!$B:$B,0)+2),INDEX('Player Raw Data'!D:D,Match($A675,'Player Raw Data'!$B:$B,0))),"")</f>
        <v/>
      </c>
      <c r="E675" t="str">
        <f t="array" ref="E675">IFERROR(INDEX('Player Raw Data'!F:F,Match($A675,'Player Raw Data'!$B:$B,0)),"")</f>
        <v/>
      </c>
      <c r="F675" t="str">
        <f t="array" ref="F675">IFERROR(INDEX('Player Raw Data'!H:H,Match($A675,'Player Raw Data'!$B:$B,0)),"")</f>
        <v/>
      </c>
      <c r="G675" t="str">
        <f t="array" ref="G675">IFERROR(INDEX('Player Raw Data'!I:I,Match($A675,'Player Raw Data'!$B:$B,0)),"")</f>
        <v/>
      </c>
      <c r="H675" t="str">
        <f t="array" ref="H675">IFERROR(INDEX('Player Raw Data'!J:J,Match($A675,'Player Raw Data'!$B:$B,0)),"")</f>
        <v/>
      </c>
      <c r="I675" t="str">
        <f t="array" ref="I675">IFERROR(INDEX('Player Raw Data'!S:S,Match($A675,'Player Raw Data'!$B:$B,0)),"")</f>
        <v/>
      </c>
      <c r="J675" t="str">
        <f t="array" ref="J675">IFERROR(INDEX('Player Raw Data'!T:T,Match($A675,'Player Raw Data'!$B:$B,0)),"")</f>
        <v/>
      </c>
      <c r="K675" t="str">
        <f t="array" ref="K675">IFERROR(INDEX('Player Raw Data'!X:X,Match($A675,'Player Raw Data'!$B:$B,0)),"")</f>
        <v/>
      </c>
      <c r="L675" t="str">
        <f t="array" ref="L675">IFERROR(INDEX('Player Raw Data'!Y:Y,Match($A675,'Player Raw Data'!$B:$B,0)),"")</f>
        <v/>
      </c>
      <c r="M675" t="str">
        <f t="array" ref="M675">IFERROR(INDEX('Player Raw Data'!Z:Z,Match($A675,'Player Raw Data'!$B:$B,0)),"")</f>
        <v/>
      </c>
      <c r="N675" t="str">
        <f t="array" ref="N675">IFERROR(INDEX('Player Raw Data'!AA:AA,Match($A675,'Player Raw Data'!$B:$B,0)),"")</f>
        <v/>
      </c>
      <c r="O675" t="str">
        <f t="array" ref="O675">IFERROR(INDEX('Player Raw Data'!AB:AB,Match($A675,'Player Raw Data'!$B:$B,0)),"")</f>
        <v/>
      </c>
      <c r="P675" t="str">
        <f t="array" ref="P675">IFERROR(INDEX('Player Raw Data'!AD:AD,Match($A675,'Player Raw Data'!$B:$B,0)),"")</f>
        <v/>
      </c>
      <c r="Q675">
        <f t="shared" si="1"/>
        <v>0</v>
      </c>
      <c r="R675" s="9">
        <f t="shared" si="2"/>
        <v>0</v>
      </c>
      <c r="S675" s="14">
        <f t="shared" si="3"/>
        <v>0</v>
      </c>
      <c r="T675" s="15">
        <f>IFERROR(__xludf.DUMMYFUNCTION("IFERROR(PERCENTRANK.INC(FILTER(Q:Q,$F:$F&lt;&gt;""""),Q675)*100,"""")"),1.5)</f>
        <v>1.5</v>
      </c>
      <c r="U675" s="15">
        <f>IFERROR(__xludf.DUMMYFUNCTION("IFERROR(PERCENTRANK.INC(FILTER(R:R,$F:$F&lt;&gt;""""),R675)*100,"""")"),1.5)</f>
        <v>1.5</v>
      </c>
      <c r="V675" s="15">
        <f>IFERROR(__xludf.DUMMYFUNCTION("IFERROR(PERCENTRANK.INC(FILTER(S:S,$F:$F&lt;&gt;""""),S675)*100,"""")"),1.5)</f>
        <v>1.5</v>
      </c>
      <c r="W675" s="15" t="str">
        <f t="shared" si="4"/>
        <v/>
      </c>
      <c r="X675" s="16"/>
      <c r="Y675" s="9"/>
      <c r="Z675" s="9"/>
    </row>
    <row r="676">
      <c r="B676" t="str">
        <f t="array" ref="B676">IFERROR(INDEX('Player Raw Data'!E:E,Match($A676,'Player Raw Data'!$B:$B,0)),"")</f>
        <v/>
      </c>
      <c r="C676" t="str">
        <f t="array" ref="C676">IFERROR(INDEX('Player Raw Data'!C:C,Match($A676,'Player Raw Data'!$B:$B,0)),"")</f>
        <v/>
      </c>
      <c r="D676" t="str">
        <f t="array" ref="D676">IFERROR(IF(A676=A675, INDEX('Player Raw Data'!D:D,Match($A676,'Player Raw Data'!$B:$B,0)+2),INDEX('Player Raw Data'!D:D,Match($A676,'Player Raw Data'!$B:$B,0))),"")</f>
        <v/>
      </c>
      <c r="E676" t="str">
        <f t="array" ref="E676">IFERROR(INDEX('Player Raw Data'!F:F,Match($A676,'Player Raw Data'!$B:$B,0)),"")</f>
        <v/>
      </c>
      <c r="F676" t="str">
        <f t="array" ref="F676">IFERROR(INDEX('Player Raw Data'!H:H,Match($A676,'Player Raw Data'!$B:$B,0)),"")</f>
        <v/>
      </c>
      <c r="G676" t="str">
        <f t="array" ref="G676">IFERROR(INDEX('Player Raw Data'!I:I,Match($A676,'Player Raw Data'!$B:$B,0)),"")</f>
        <v/>
      </c>
      <c r="H676" t="str">
        <f t="array" ref="H676">IFERROR(INDEX('Player Raw Data'!J:J,Match($A676,'Player Raw Data'!$B:$B,0)),"")</f>
        <v/>
      </c>
      <c r="I676" t="str">
        <f t="array" ref="I676">IFERROR(INDEX('Player Raw Data'!S:S,Match($A676,'Player Raw Data'!$B:$B,0)),"")</f>
        <v/>
      </c>
      <c r="J676" t="str">
        <f t="array" ref="J676">IFERROR(INDEX('Player Raw Data'!T:T,Match($A676,'Player Raw Data'!$B:$B,0)),"")</f>
        <v/>
      </c>
      <c r="K676" t="str">
        <f t="array" ref="K676">IFERROR(INDEX('Player Raw Data'!X:X,Match($A676,'Player Raw Data'!$B:$B,0)),"")</f>
        <v/>
      </c>
      <c r="L676" t="str">
        <f t="array" ref="L676">IFERROR(INDEX('Player Raw Data'!Y:Y,Match($A676,'Player Raw Data'!$B:$B,0)),"")</f>
        <v/>
      </c>
      <c r="M676" t="str">
        <f t="array" ref="M676">IFERROR(INDEX('Player Raw Data'!Z:Z,Match($A676,'Player Raw Data'!$B:$B,0)),"")</f>
        <v/>
      </c>
      <c r="N676" t="str">
        <f t="array" ref="N676">IFERROR(INDEX('Player Raw Data'!AA:AA,Match($A676,'Player Raw Data'!$B:$B,0)),"")</f>
        <v/>
      </c>
      <c r="O676" t="str">
        <f t="array" ref="O676">IFERROR(INDEX('Player Raw Data'!AB:AB,Match($A676,'Player Raw Data'!$B:$B,0)),"")</f>
        <v/>
      </c>
      <c r="P676" t="str">
        <f t="array" ref="P676">IFERROR(INDEX('Player Raw Data'!AD:AD,Match($A676,'Player Raw Data'!$B:$B,0)),"")</f>
        <v/>
      </c>
      <c r="Q676">
        <f t="shared" si="1"/>
        <v>0</v>
      </c>
      <c r="R676" s="9">
        <f t="shared" si="2"/>
        <v>0</v>
      </c>
      <c r="S676" s="14">
        <f t="shared" si="3"/>
        <v>0</v>
      </c>
      <c r="T676" s="15">
        <f>IFERROR(__xludf.DUMMYFUNCTION("IFERROR(PERCENTRANK.INC(FILTER(Q:Q,$F:$F&lt;&gt;""""),Q676)*100,"""")"),1.5)</f>
        <v>1.5</v>
      </c>
      <c r="U676" s="15">
        <f>IFERROR(__xludf.DUMMYFUNCTION("IFERROR(PERCENTRANK.INC(FILTER(R:R,$F:$F&lt;&gt;""""),R676)*100,"""")"),1.5)</f>
        <v>1.5</v>
      </c>
      <c r="V676" s="15">
        <f>IFERROR(__xludf.DUMMYFUNCTION("IFERROR(PERCENTRANK.INC(FILTER(S:S,$F:$F&lt;&gt;""""),S676)*100,"""")"),1.5)</f>
        <v>1.5</v>
      </c>
      <c r="W676" s="15" t="str">
        <f t="shared" si="4"/>
        <v/>
      </c>
      <c r="X676" s="16"/>
      <c r="Y676" s="9"/>
      <c r="Z676" s="9"/>
    </row>
    <row r="677">
      <c r="B677" t="str">
        <f t="array" ref="B677">IFERROR(INDEX('Player Raw Data'!E:E,Match($A677,'Player Raw Data'!$B:$B,0)),"")</f>
        <v/>
      </c>
      <c r="C677" t="str">
        <f t="array" ref="C677">IFERROR(INDEX('Player Raw Data'!C:C,Match($A677,'Player Raw Data'!$B:$B,0)),"")</f>
        <v/>
      </c>
      <c r="D677" t="str">
        <f t="array" ref="D677">IFERROR(IF(A677=A676, INDEX('Player Raw Data'!D:D,Match($A677,'Player Raw Data'!$B:$B,0)+2),INDEX('Player Raw Data'!D:D,Match($A677,'Player Raw Data'!$B:$B,0))),"")</f>
        <v/>
      </c>
      <c r="E677" t="str">
        <f t="array" ref="E677">IFERROR(INDEX('Player Raw Data'!F:F,Match($A677,'Player Raw Data'!$B:$B,0)),"")</f>
        <v/>
      </c>
      <c r="F677" t="str">
        <f t="array" ref="F677">IFERROR(INDEX('Player Raw Data'!H:H,Match($A677,'Player Raw Data'!$B:$B,0)),"")</f>
        <v/>
      </c>
      <c r="G677" t="str">
        <f t="array" ref="G677">IFERROR(INDEX('Player Raw Data'!I:I,Match($A677,'Player Raw Data'!$B:$B,0)),"")</f>
        <v/>
      </c>
      <c r="H677" t="str">
        <f t="array" ref="H677">IFERROR(INDEX('Player Raw Data'!J:J,Match($A677,'Player Raw Data'!$B:$B,0)),"")</f>
        <v/>
      </c>
      <c r="I677" t="str">
        <f t="array" ref="I677">IFERROR(INDEX('Player Raw Data'!S:S,Match($A677,'Player Raw Data'!$B:$B,0)),"")</f>
        <v/>
      </c>
      <c r="J677" t="str">
        <f t="array" ref="J677">IFERROR(INDEX('Player Raw Data'!T:T,Match($A677,'Player Raw Data'!$B:$B,0)),"")</f>
        <v/>
      </c>
      <c r="K677" t="str">
        <f t="array" ref="K677">IFERROR(INDEX('Player Raw Data'!X:X,Match($A677,'Player Raw Data'!$B:$B,0)),"")</f>
        <v/>
      </c>
      <c r="L677" t="str">
        <f t="array" ref="L677">IFERROR(INDEX('Player Raw Data'!Y:Y,Match($A677,'Player Raw Data'!$B:$B,0)),"")</f>
        <v/>
      </c>
      <c r="M677" t="str">
        <f t="array" ref="M677">IFERROR(INDEX('Player Raw Data'!Z:Z,Match($A677,'Player Raw Data'!$B:$B,0)),"")</f>
        <v/>
      </c>
      <c r="N677" t="str">
        <f t="array" ref="N677">IFERROR(INDEX('Player Raw Data'!AA:AA,Match($A677,'Player Raw Data'!$B:$B,0)),"")</f>
        <v/>
      </c>
      <c r="O677" t="str">
        <f t="array" ref="O677">IFERROR(INDEX('Player Raw Data'!AB:AB,Match($A677,'Player Raw Data'!$B:$B,0)),"")</f>
        <v/>
      </c>
      <c r="P677" t="str">
        <f t="array" ref="P677">IFERROR(INDEX('Player Raw Data'!AD:AD,Match($A677,'Player Raw Data'!$B:$B,0)),"")</f>
        <v/>
      </c>
      <c r="Q677">
        <f t="shared" si="1"/>
        <v>0</v>
      </c>
      <c r="R677" s="9">
        <f t="shared" si="2"/>
        <v>0</v>
      </c>
      <c r="S677" s="14">
        <f t="shared" si="3"/>
        <v>0</v>
      </c>
      <c r="T677" s="15">
        <f>IFERROR(__xludf.DUMMYFUNCTION("IFERROR(PERCENTRANK.INC(FILTER(Q:Q,$F:$F&lt;&gt;""""),Q677)*100,"""")"),1.5)</f>
        <v>1.5</v>
      </c>
      <c r="U677" s="15">
        <f>IFERROR(__xludf.DUMMYFUNCTION("IFERROR(PERCENTRANK.INC(FILTER(R:R,$F:$F&lt;&gt;""""),R677)*100,"""")"),1.5)</f>
        <v>1.5</v>
      </c>
      <c r="V677" s="15">
        <f>IFERROR(__xludf.DUMMYFUNCTION("IFERROR(PERCENTRANK.INC(FILTER(S:S,$F:$F&lt;&gt;""""),S677)*100,"""")"),1.5)</f>
        <v>1.5</v>
      </c>
      <c r="W677" s="15" t="str">
        <f t="shared" si="4"/>
        <v/>
      </c>
      <c r="X677" s="16"/>
      <c r="Y677" s="9"/>
      <c r="Z677" s="9"/>
    </row>
    <row r="678">
      <c r="B678" t="str">
        <f t="array" ref="B678">IFERROR(INDEX('Player Raw Data'!E:E,Match($A678,'Player Raw Data'!$B:$B,0)),"")</f>
        <v/>
      </c>
      <c r="C678" t="str">
        <f t="array" ref="C678">IFERROR(INDEX('Player Raw Data'!C:C,Match($A678,'Player Raw Data'!$B:$B,0)),"")</f>
        <v/>
      </c>
      <c r="D678" t="str">
        <f t="array" ref="D678">IFERROR(IF(A678=A677, INDEX('Player Raw Data'!D:D,Match($A678,'Player Raw Data'!$B:$B,0)+2),INDEX('Player Raw Data'!D:D,Match($A678,'Player Raw Data'!$B:$B,0))),"")</f>
        <v/>
      </c>
      <c r="E678" t="str">
        <f t="array" ref="E678">IFERROR(INDEX('Player Raw Data'!F:F,Match($A678,'Player Raw Data'!$B:$B,0)),"")</f>
        <v/>
      </c>
      <c r="F678" t="str">
        <f t="array" ref="F678">IFERROR(INDEX('Player Raw Data'!H:H,Match($A678,'Player Raw Data'!$B:$B,0)),"")</f>
        <v/>
      </c>
      <c r="G678" t="str">
        <f t="array" ref="G678">IFERROR(INDEX('Player Raw Data'!I:I,Match($A678,'Player Raw Data'!$B:$B,0)),"")</f>
        <v/>
      </c>
      <c r="H678" t="str">
        <f t="array" ref="H678">IFERROR(INDEX('Player Raw Data'!J:J,Match($A678,'Player Raw Data'!$B:$B,0)),"")</f>
        <v/>
      </c>
      <c r="I678" t="str">
        <f t="array" ref="I678">IFERROR(INDEX('Player Raw Data'!S:S,Match($A678,'Player Raw Data'!$B:$B,0)),"")</f>
        <v/>
      </c>
      <c r="J678" t="str">
        <f t="array" ref="J678">IFERROR(INDEX('Player Raw Data'!T:T,Match($A678,'Player Raw Data'!$B:$B,0)),"")</f>
        <v/>
      </c>
      <c r="K678" t="str">
        <f t="array" ref="K678">IFERROR(INDEX('Player Raw Data'!X:X,Match($A678,'Player Raw Data'!$B:$B,0)),"")</f>
        <v/>
      </c>
      <c r="L678" t="str">
        <f t="array" ref="L678">IFERROR(INDEX('Player Raw Data'!Y:Y,Match($A678,'Player Raw Data'!$B:$B,0)),"")</f>
        <v/>
      </c>
      <c r="M678" t="str">
        <f t="array" ref="M678">IFERROR(INDEX('Player Raw Data'!Z:Z,Match($A678,'Player Raw Data'!$B:$B,0)),"")</f>
        <v/>
      </c>
      <c r="N678" t="str">
        <f t="array" ref="N678">IFERROR(INDEX('Player Raw Data'!AA:AA,Match($A678,'Player Raw Data'!$B:$B,0)),"")</f>
        <v/>
      </c>
      <c r="O678" t="str">
        <f t="array" ref="O678">IFERROR(INDEX('Player Raw Data'!AB:AB,Match($A678,'Player Raw Data'!$B:$B,0)),"")</f>
        <v/>
      </c>
      <c r="P678" t="str">
        <f t="array" ref="P678">IFERROR(INDEX('Player Raw Data'!AD:AD,Match($A678,'Player Raw Data'!$B:$B,0)),"")</f>
        <v/>
      </c>
      <c r="Q678">
        <f t="shared" si="1"/>
        <v>0</v>
      </c>
      <c r="R678" s="9">
        <f t="shared" si="2"/>
        <v>0</v>
      </c>
      <c r="S678" s="14">
        <f t="shared" si="3"/>
        <v>0</v>
      </c>
      <c r="T678" s="15">
        <f>IFERROR(__xludf.DUMMYFUNCTION("IFERROR(PERCENTRANK.INC(FILTER(Q:Q,$F:$F&lt;&gt;""""),Q678)*100,"""")"),1.5)</f>
        <v>1.5</v>
      </c>
      <c r="U678" s="15">
        <f>IFERROR(__xludf.DUMMYFUNCTION("IFERROR(PERCENTRANK.INC(FILTER(R:R,$F:$F&lt;&gt;""""),R678)*100,"""")"),1.5)</f>
        <v>1.5</v>
      </c>
      <c r="V678" s="15">
        <f>IFERROR(__xludf.DUMMYFUNCTION("IFERROR(PERCENTRANK.INC(FILTER(S:S,$F:$F&lt;&gt;""""),S678)*100,"""")"),1.5)</f>
        <v>1.5</v>
      </c>
      <c r="W678" s="15" t="str">
        <f t="shared" si="4"/>
        <v/>
      </c>
      <c r="X678" s="16"/>
      <c r="Y678" s="9"/>
      <c r="Z678" s="9"/>
    </row>
    <row r="679">
      <c r="B679" t="str">
        <f t="array" ref="B679">IFERROR(INDEX('Player Raw Data'!E:E,Match($A679,'Player Raw Data'!$B:$B,0)),"")</f>
        <v/>
      </c>
      <c r="C679" t="str">
        <f t="array" ref="C679">IFERROR(INDEX('Player Raw Data'!C:C,Match($A679,'Player Raw Data'!$B:$B,0)),"")</f>
        <v/>
      </c>
      <c r="D679" t="str">
        <f t="array" ref="D679">IFERROR(IF(A679=A678, INDEX('Player Raw Data'!D:D,Match($A679,'Player Raw Data'!$B:$B,0)+2),INDEX('Player Raw Data'!D:D,Match($A679,'Player Raw Data'!$B:$B,0))),"")</f>
        <v/>
      </c>
      <c r="E679" t="str">
        <f t="array" ref="E679">IFERROR(INDEX('Player Raw Data'!F:F,Match($A679,'Player Raw Data'!$B:$B,0)),"")</f>
        <v/>
      </c>
      <c r="F679" t="str">
        <f t="array" ref="F679">IFERROR(INDEX('Player Raw Data'!H:H,Match($A679,'Player Raw Data'!$B:$B,0)),"")</f>
        <v/>
      </c>
      <c r="G679" t="str">
        <f t="array" ref="G679">IFERROR(INDEX('Player Raw Data'!I:I,Match($A679,'Player Raw Data'!$B:$B,0)),"")</f>
        <v/>
      </c>
      <c r="H679" t="str">
        <f t="array" ref="H679">IFERROR(INDEX('Player Raw Data'!J:J,Match($A679,'Player Raw Data'!$B:$B,0)),"")</f>
        <v/>
      </c>
      <c r="I679" t="str">
        <f t="array" ref="I679">IFERROR(INDEX('Player Raw Data'!S:S,Match($A679,'Player Raw Data'!$B:$B,0)),"")</f>
        <v/>
      </c>
      <c r="J679" t="str">
        <f t="array" ref="J679">IFERROR(INDEX('Player Raw Data'!T:T,Match($A679,'Player Raw Data'!$B:$B,0)),"")</f>
        <v/>
      </c>
      <c r="K679" t="str">
        <f t="array" ref="K679">IFERROR(INDEX('Player Raw Data'!X:X,Match($A679,'Player Raw Data'!$B:$B,0)),"")</f>
        <v/>
      </c>
      <c r="L679" t="str">
        <f t="array" ref="L679">IFERROR(INDEX('Player Raw Data'!Y:Y,Match($A679,'Player Raw Data'!$B:$B,0)),"")</f>
        <v/>
      </c>
      <c r="M679" t="str">
        <f t="array" ref="M679">IFERROR(INDEX('Player Raw Data'!Z:Z,Match($A679,'Player Raw Data'!$B:$B,0)),"")</f>
        <v/>
      </c>
      <c r="N679" t="str">
        <f t="array" ref="N679">IFERROR(INDEX('Player Raw Data'!AA:AA,Match($A679,'Player Raw Data'!$B:$B,0)),"")</f>
        <v/>
      </c>
      <c r="O679" t="str">
        <f t="array" ref="O679">IFERROR(INDEX('Player Raw Data'!AB:AB,Match($A679,'Player Raw Data'!$B:$B,0)),"")</f>
        <v/>
      </c>
      <c r="P679" t="str">
        <f t="array" ref="P679">IFERROR(INDEX('Player Raw Data'!AD:AD,Match($A679,'Player Raw Data'!$B:$B,0)),"")</f>
        <v/>
      </c>
      <c r="Q679">
        <f t="shared" si="1"/>
        <v>0</v>
      </c>
      <c r="R679" s="9">
        <f t="shared" si="2"/>
        <v>0</v>
      </c>
      <c r="S679" s="14">
        <f t="shared" si="3"/>
        <v>0</v>
      </c>
      <c r="T679" s="15">
        <f>IFERROR(__xludf.DUMMYFUNCTION("IFERROR(PERCENTRANK.INC(FILTER(Q:Q,$F:$F&lt;&gt;""""),Q679)*100,"""")"),1.5)</f>
        <v>1.5</v>
      </c>
      <c r="U679" s="15">
        <f>IFERROR(__xludf.DUMMYFUNCTION("IFERROR(PERCENTRANK.INC(FILTER(R:R,$F:$F&lt;&gt;""""),R679)*100,"""")"),1.5)</f>
        <v>1.5</v>
      </c>
      <c r="V679" s="15">
        <f>IFERROR(__xludf.DUMMYFUNCTION("IFERROR(PERCENTRANK.INC(FILTER(S:S,$F:$F&lt;&gt;""""),S679)*100,"""")"),1.5)</f>
        <v>1.5</v>
      </c>
      <c r="W679" s="15" t="str">
        <f t="shared" si="4"/>
        <v/>
      </c>
      <c r="X679" s="16"/>
      <c r="Y679" s="9"/>
      <c r="Z679" s="9"/>
    </row>
    <row r="680">
      <c r="B680" t="str">
        <f t="array" ref="B680">IFERROR(INDEX('Player Raw Data'!E:E,Match($A680,'Player Raw Data'!$B:$B,0)),"")</f>
        <v/>
      </c>
      <c r="C680" t="str">
        <f t="array" ref="C680">IFERROR(INDEX('Player Raw Data'!C:C,Match($A680,'Player Raw Data'!$B:$B,0)),"")</f>
        <v/>
      </c>
      <c r="D680" t="str">
        <f t="array" ref="D680">IFERROR(IF(A680=A679, INDEX('Player Raw Data'!D:D,Match($A680,'Player Raw Data'!$B:$B,0)+2),INDEX('Player Raw Data'!D:D,Match($A680,'Player Raw Data'!$B:$B,0))),"")</f>
        <v/>
      </c>
      <c r="E680" t="str">
        <f t="array" ref="E680">IFERROR(INDEX('Player Raw Data'!F:F,Match($A680,'Player Raw Data'!$B:$B,0)),"")</f>
        <v/>
      </c>
      <c r="F680" t="str">
        <f t="array" ref="F680">IFERROR(INDEX('Player Raw Data'!H:H,Match($A680,'Player Raw Data'!$B:$B,0)),"")</f>
        <v/>
      </c>
      <c r="G680" t="str">
        <f t="array" ref="G680">IFERROR(INDEX('Player Raw Data'!I:I,Match($A680,'Player Raw Data'!$B:$B,0)),"")</f>
        <v/>
      </c>
      <c r="H680" t="str">
        <f t="array" ref="H680">IFERROR(INDEX('Player Raw Data'!J:J,Match($A680,'Player Raw Data'!$B:$B,0)),"")</f>
        <v/>
      </c>
      <c r="I680" t="str">
        <f t="array" ref="I680">IFERROR(INDEX('Player Raw Data'!S:S,Match($A680,'Player Raw Data'!$B:$B,0)),"")</f>
        <v/>
      </c>
      <c r="J680" t="str">
        <f t="array" ref="J680">IFERROR(INDEX('Player Raw Data'!T:T,Match($A680,'Player Raw Data'!$B:$B,0)),"")</f>
        <v/>
      </c>
      <c r="K680" t="str">
        <f t="array" ref="K680">IFERROR(INDEX('Player Raw Data'!X:X,Match($A680,'Player Raw Data'!$B:$B,0)),"")</f>
        <v/>
      </c>
      <c r="L680" t="str">
        <f t="array" ref="L680">IFERROR(INDEX('Player Raw Data'!Y:Y,Match($A680,'Player Raw Data'!$B:$B,0)),"")</f>
        <v/>
      </c>
      <c r="M680" t="str">
        <f t="array" ref="M680">IFERROR(INDEX('Player Raw Data'!Z:Z,Match($A680,'Player Raw Data'!$B:$B,0)),"")</f>
        <v/>
      </c>
      <c r="N680" t="str">
        <f t="array" ref="N680">IFERROR(INDEX('Player Raw Data'!AA:AA,Match($A680,'Player Raw Data'!$B:$B,0)),"")</f>
        <v/>
      </c>
      <c r="O680" t="str">
        <f t="array" ref="O680">IFERROR(INDEX('Player Raw Data'!AB:AB,Match($A680,'Player Raw Data'!$B:$B,0)),"")</f>
        <v/>
      </c>
      <c r="P680" t="str">
        <f t="array" ref="P680">IFERROR(INDEX('Player Raw Data'!AD:AD,Match($A680,'Player Raw Data'!$B:$B,0)),"")</f>
        <v/>
      </c>
      <c r="Q680">
        <f t="shared" si="1"/>
        <v>0</v>
      </c>
      <c r="R680" s="9">
        <f t="shared" si="2"/>
        <v>0</v>
      </c>
      <c r="S680" s="14">
        <f t="shared" si="3"/>
        <v>0</v>
      </c>
      <c r="T680" s="15">
        <f>IFERROR(__xludf.DUMMYFUNCTION("IFERROR(PERCENTRANK.INC(FILTER(Q:Q,$F:$F&lt;&gt;""""),Q680)*100,"""")"),1.5)</f>
        <v>1.5</v>
      </c>
      <c r="U680" s="15">
        <f>IFERROR(__xludf.DUMMYFUNCTION("IFERROR(PERCENTRANK.INC(FILTER(R:R,$F:$F&lt;&gt;""""),R680)*100,"""")"),1.5)</f>
        <v>1.5</v>
      </c>
      <c r="V680" s="15">
        <f>IFERROR(__xludf.DUMMYFUNCTION("IFERROR(PERCENTRANK.INC(FILTER(S:S,$F:$F&lt;&gt;""""),S680)*100,"""")"),1.5)</f>
        <v>1.5</v>
      </c>
      <c r="W680" s="15" t="str">
        <f t="shared" si="4"/>
        <v/>
      </c>
      <c r="X680" s="16"/>
      <c r="Y680" s="9"/>
      <c r="Z680" s="9"/>
    </row>
    <row r="681">
      <c r="B681" t="str">
        <f t="array" ref="B681">IFERROR(INDEX('Player Raw Data'!E:E,Match($A681,'Player Raw Data'!$B:$B,0)),"")</f>
        <v/>
      </c>
      <c r="C681" t="str">
        <f t="array" ref="C681">IFERROR(INDEX('Player Raw Data'!C:C,Match($A681,'Player Raw Data'!$B:$B,0)),"")</f>
        <v/>
      </c>
      <c r="D681" t="str">
        <f t="array" ref="D681">IFERROR(IF(A681=A680, INDEX('Player Raw Data'!D:D,Match($A681,'Player Raw Data'!$B:$B,0)+2),INDEX('Player Raw Data'!D:D,Match($A681,'Player Raw Data'!$B:$B,0))),"")</f>
        <v/>
      </c>
      <c r="E681" t="str">
        <f t="array" ref="E681">IFERROR(INDEX('Player Raw Data'!F:F,Match($A681,'Player Raw Data'!$B:$B,0)),"")</f>
        <v/>
      </c>
      <c r="F681" t="str">
        <f t="array" ref="F681">IFERROR(INDEX('Player Raw Data'!H:H,Match($A681,'Player Raw Data'!$B:$B,0)),"")</f>
        <v/>
      </c>
      <c r="G681" t="str">
        <f t="array" ref="G681">IFERROR(INDEX('Player Raw Data'!I:I,Match($A681,'Player Raw Data'!$B:$B,0)),"")</f>
        <v/>
      </c>
      <c r="H681" t="str">
        <f t="array" ref="H681">IFERROR(INDEX('Player Raw Data'!J:J,Match($A681,'Player Raw Data'!$B:$B,0)),"")</f>
        <v/>
      </c>
      <c r="I681" t="str">
        <f t="array" ref="I681">IFERROR(INDEX('Player Raw Data'!S:S,Match($A681,'Player Raw Data'!$B:$B,0)),"")</f>
        <v/>
      </c>
      <c r="J681" t="str">
        <f t="array" ref="J681">IFERROR(INDEX('Player Raw Data'!T:T,Match($A681,'Player Raw Data'!$B:$B,0)),"")</f>
        <v/>
      </c>
      <c r="K681" t="str">
        <f t="array" ref="K681">IFERROR(INDEX('Player Raw Data'!X:X,Match($A681,'Player Raw Data'!$B:$B,0)),"")</f>
        <v/>
      </c>
      <c r="L681" t="str">
        <f t="array" ref="L681">IFERROR(INDEX('Player Raw Data'!Y:Y,Match($A681,'Player Raw Data'!$B:$B,0)),"")</f>
        <v/>
      </c>
      <c r="M681" t="str">
        <f t="array" ref="M681">IFERROR(INDEX('Player Raw Data'!Z:Z,Match($A681,'Player Raw Data'!$B:$B,0)),"")</f>
        <v/>
      </c>
      <c r="N681" t="str">
        <f t="array" ref="N681">IFERROR(INDEX('Player Raw Data'!AA:AA,Match($A681,'Player Raw Data'!$B:$B,0)),"")</f>
        <v/>
      </c>
      <c r="O681" t="str">
        <f t="array" ref="O681">IFERROR(INDEX('Player Raw Data'!AB:AB,Match($A681,'Player Raw Data'!$B:$B,0)),"")</f>
        <v/>
      </c>
      <c r="P681" t="str">
        <f t="array" ref="P681">IFERROR(INDEX('Player Raw Data'!AD:AD,Match($A681,'Player Raw Data'!$B:$B,0)),"")</f>
        <v/>
      </c>
      <c r="Q681">
        <f t="shared" si="1"/>
        <v>0</v>
      </c>
      <c r="R681" s="9">
        <f t="shared" si="2"/>
        <v>0</v>
      </c>
      <c r="S681" s="14">
        <f t="shared" si="3"/>
        <v>0</v>
      </c>
      <c r="T681" s="15">
        <f>IFERROR(__xludf.DUMMYFUNCTION("IFERROR(PERCENTRANK.INC(FILTER(Q:Q,$F:$F&lt;&gt;""""),Q681)*100,"""")"),1.5)</f>
        <v>1.5</v>
      </c>
      <c r="U681" s="15">
        <f>IFERROR(__xludf.DUMMYFUNCTION("IFERROR(PERCENTRANK.INC(FILTER(R:R,$F:$F&lt;&gt;""""),R681)*100,"""")"),1.5)</f>
        <v>1.5</v>
      </c>
      <c r="V681" s="15">
        <f>IFERROR(__xludf.DUMMYFUNCTION("IFERROR(PERCENTRANK.INC(FILTER(S:S,$F:$F&lt;&gt;""""),S681)*100,"""")"),1.5)</f>
        <v>1.5</v>
      </c>
      <c r="W681" s="15" t="str">
        <f t="shared" si="4"/>
        <v/>
      </c>
      <c r="X681" s="16"/>
      <c r="Y681" s="9"/>
      <c r="Z681" s="9"/>
    </row>
    <row r="682">
      <c r="B682" t="str">
        <f t="array" ref="B682">IFERROR(INDEX('Player Raw Data'!E:E,Match($A682,'Player Raw Data'!$B:$B,0)),"")</f>
        <v/>
      </c>
      <c r="C682" t="str">
        <f t="array" ref="C682">IFERROR(INDEX('Player Raw Data'!C:C,Match($A682,'Player Raw Data'!$B:$B,0)),"")</f>
        <v/>
      </c>
      <c r="D682" t="str">
        <f t="array" ref="D682">IFERROR(IF(A682=A681, INDEX('Player Raw Data'!D:D,Match($A682,'Player Raw Data'!$B:$B,0)+2),INDEX('Player Raw Data'!D:D,Match($A682,'Player Raw Data'!$B:$B,0))),"")</f>
        <v/>
      </c>
      <c r="E682" t="str">
        <f t="array" ref="E682">IFERROR(INDEX('Player Raw Data'!F:F,Match($A682,'Player Raw Data'!$B:$B,0)),"")</f>
        <v/>
      </c>
      <c r="F682" t="str">
        <f t="array" ref="F682">IFERROR(INDEX('Player Raw Data'!H:H,Match($A682,'Player Raw Data'!$B:$B,0)),"")</f>
        <v/>
      </c>
      <c r="G682" t="str">
        <f t="array" ref="G682">IFERROR(INDEX('Player Raw Data'!I:I,Match($A682,'Player Raw Data'!$B:$B,0)),"")</f>
        <v/>
      </c>
      <c r="H682" t="str">
        <f t="array" ref="H682">IFERROR(INDEX('Player Raw Data'!J:J,Match($A682,'Player Raw Data'!$B:$B,0)),"")</f>
        <v/>
      </c>
      <c r="I682" t="str">
        <f t="array" ref="I682">IFERROR(INDEX('Player Raw Data'!S:S,Match($A682,'Player Raw Data'!$B:$B,0)),"")</f>
        <v/>
      </c>
      <c r="J682" t="str">
        <f t="array" ref="J682">IFERROR(INDEX('Player Raw Data'!T:T,Match($A682,'Player Raw Data'!$B:$B,0)),"")</f>
        <v/>
      </c>
      <c r="K682" t="str">
        <f t="array" ref="K682">IFERROR(INDEX('Player Raw Data'!X:X,Match($A682,'Player Raw Data'!$B:$B,0)),"")</f>
        <v/>
      </c>
      <c r="L682" t="str">
        <f t="array" ref="L682">IFERROR(INDEX('Player Raw Data'!Y:Y,Match($A682,'Player Raw Data'!$B:$B,0)),"")</f>
        <v/>
      </c>
      <c r="M682" t="str">
        <f t="array" ref="M682">IFERROR(INDEX('Player Raw Data'!Z:Z,Match($A682,'Player Raw Data'!$B:$B,0)),"")</f>
        <v/>
      </c>
      <c r="N682" t="str">
        <f t="array" ref="N682">IFERROR(INDEX('Player Raw Data'!AA:AA,Match($A682,'Player Raw Data'!$B:$B,0)),"")</f>
        <v/>
      </c>
      <c r="O682" t="str">
        <f t="array" ref="O682">IFERROR(INDEX('Player Raw Data'!AB:AB,Match($A682,'Player Raw Data'!$B:$B,0)),"")</f>
        <v/>
      </c>
      <c r="P682" t="str">
        <f t="array" ref="P682">IFERROR(INDEX('Player Raw Data'!AD:AD,Match($A682,'Player Raw Data'!$B:$B,0)),"")</f>
        <v/>
      </c>
      <c r="Q682">
        <f t="shared" si="1"/>
        <v>0</v>
      </c>
      <c r="R682" s="9">
        <f t="shared" si="2"/>
        <v>0</v>
      </c>
      <c r="S682" s="14">
        <f t="shared" si="3"/>
        <v>0</v>
      </c>
      <c r="T682" s="15">
        <f>IFERROR(__xludf.DUMMYFUNCTION("IFERROR(PERCENTRANK.INC(FILTER(Q:Q,$F:$F&lt;&gt;""""),Q682)*100,"""")"),1.5)</f>
        <v>1.5</v>
      </c>
      <c r="U682" s="15">
        <f>IFERROR(__xludf.DUMMYFUNCTION("IFERROR(PERCENTRANK.INC(FILTER(R:R,$F:$F&lt;&gt;""""),R682)*100,"""")"),1.5)</f>
        <v>1.5</v>
      </c>
      <c r="V682" s="15">
        <f>IFERROR(__xludf.DUMMYFUNCTION("IFERROR(PERCENTRANK.INC(FILTER(S:S,$F:$F&lt;&gt;""""),S682)*100,"""")"),1.5)</f>
        <v>1.5</v>
      </c>
      <c r="W682" s="15" t="str">
        <f t="shared" si="4"/>
        <v/>
      </c>
      <c r="X682" s="16"/>
      <c r="Y682" s="9"/>
      <c r="Z682" s="9"/>
    </row>
    <row r="683">
      <c r="B683" t="str">
        <f t="array" ref="B683">IFERROR(INDEX('Player Raw Data'!E:E,Match($A683,'Player Raw Data'!$B:$B,0)),"")</f>
        <v/>
      </c>
      <c r="C683" t="str">
        <f t="array" ref="C683">IFERROR(INDEX('Player Raw Data'!C:C,Match($A683,'Player Raw Data'!$B:$B,0)),"")</f>
        <v/>
      </c>
      <c r="D683" t="str">
        <f t="array" ref="D683">IFERROR(IF(A683=A682, INDEX('Player Raw Data'!D:D,Match($A683,'Player Raw Data'!$B:$B,0)+2),INDEX('Player Raw Data'!D:D,Match($A683,'Player Raw Data'!$B:$B,0))),"")</f>
        <v/>
      </c>
      <c r="E683" t="str">
        <f t="array" ref="E683">IFERROR(INDEX('Player Raw Data'!F:F,Match($A683,'Player Raw Data'!$B:$B,0)),"")</f>
        <v/>
      </c>
      <c r="F683" t="str">
        <f t="array" ref="F683">IFERROR(INDEX('Player Raw Data'!H:H,Match($A683,'Player Raw Data'!$B:$B,0)),"")</f>
        <v/>
      </c>
      <c r="G683" t="str">
        <f t="array" ref="G683">IFERROR(INDEX('Player Raw Data'!I:I,Match($A683,'Player Raw Data'!$B:$B,0)),"")</f>
        <v/>
      </c>
      <c r="H683" t="str">
        <f t="array" ref="H683">IFERROR(INDEX('Player Raw Data'!J:J,Match($A683,'Player Raw Data'!$B:$B,0)),"")</f>
        <v/>
      </c>
      <c r="I683" t="str">
        <f t="array" ref="I683">IFERROR(INDEX('Player Raw Data'!S:S,Match($A683,'Player Raw Data'!$B:$B,0)),"")</f>
        <v/>
      </c>
      <c r="J683" t="str">
        <f t="array" ref="J683">IFERROR(INDEX('Player Raw Data'!T:T,Match($A683,'Player Raw Data'!$B:$B,0)),"")</f>
        <v/>
      </c>
      <c r="K683" t="str">
        <f t="array" ref="K683">IFERROR(INDEX('Player Raw Data'!X:X,Match($A683,'Player Raw Data'!$B:$B,0)),"")</f>
        <v/>
      </c>
      <c r="L683" t="str">
        <f t="array" ref="L683">IFERROR(INDEX('Player Raw Data'!Y:Y,Match($A683,'Player Raw Data'!$B:$B,0)),"")</f>
        <v/>
      </c>
      <c r="M683" t="str">
        <f t="array" ref="M683">IFERROR(INDEX('Player Raw Data'!Z:Z,Match($A683,'Player Raw Data'!$B:$B,0)),"")</f>
        <v/>
      </c>
      <c r="N683" t="str">
        <f t="array" ref="N683">IFERROR(INDEX('Player Raw Data'!AA:AA,Match($A683,'Player Raw Data'!$B:$B,0)),"")</f>
        <v/>
      </c>
      <c r="O683" t="str">
        <f t="array" ref="O683">IFERROR(INDEX('Player Raw Data'!AB:AB,Match($A683,'Player Raw Data'!$B:$B,0)),"")</f>
        <v/>
      </c>
      <c r="P683" t="str">
        <f t="array" ref="P683">IFERROR(INDEX('Player Raw Data'!AD:AD,Match($A683,'Player Raw Data'!$B:$B,0)),"")</f>
        <v/>
      </c>
      <c r="Q683">
        <f t="shared" si="1"/>
        <v>0</v>
      </c>
      <c r="R683" s="9">
        <f t="shared" si="2"/>
        <v>0</v>
      </c>
      <c r="S683" s="14">
        <f t="shared" si="3"/>
        <v>0</v>
      </c>
      <c r="T683" s="15">
        <f>IFERROR(__xludf.DUMMYFUNCTION("IFERROR(PERCENTRANK.INC(FILTER(Q:Q,$F:$F&lt;&gt;""""),Q683)*100,"""")"),1.5)</f>
        <v>1.5</v>
      </c>
      <c r="U683" s="15">
        <f>IFERROR(__xludf.DUMMYFUNCTION("IFERROR(PERCENTRANK.INC(FILTER(R:R,$F:$F&lt;&gt;""""),R683)*100,"""")"),1.5)</f>
        <v>1.5</v>
      </c>
      <c r="V683" s="15">
        <f>IFERROR(__xludf.DUMMYFUNCTION("IFERROR(PERCENTRANK.INC(FILTER(S:S,$F:$F&lt;&gt;""""),S683)*100,"""")"),1.5)</f>
        <v>1.5</v>
      </c>
      <c r="W683" s="15" t="str">
        <f t="shared" si="4"/>
        <v/>
      </c>
      <c r="X683" s="16"/>
      <c r="Y683" s="9"/>
      <c r="Z683" s="9"/>
    </row>
    <row r="684">
      <c r="B684" t="str">
        <f t="array" ref="B684">IFERROR(INDEX('Player Raw Data'!E:E,Match($A684,'Player Raw Data'!$B:$B,0)),"")</f>
        <v/>
      </c>
      <c r="C684" t="str">
        <f t="array" ref="C684">IFERROR(INDEX('Player Raw Data'!C:C,Match($A684,'Player Raw Data'!$B:$B,0)),"")</f>
        <v/>
      </c>
      <c r="D684" t="str">
        <f t="array" ref="D684">IFERROR(IF(A684=A683, INDEX('Player Raw Data'!D:D,Match($A684,'Player Raw Data'!$B:$B,0)+2),INDEX('Player Raw Data'!D:D,Match($A684,'Player Raw Data'!$B:$B,0))),"")</f>
        <v/>
      </c>
      <c r="E684" t="str">
        <f t="array" ref="E684">IFERROR(INDEX('Player Raw Data'!F:F,Match($A684,'Player Raw Data'!$B:$B,0)),"")</f>
        <v/>
      </c>
      <c r="F684" t="str">
        <f t="array" ref="F684">IFERROR(INDEX('Player Raw Data'!H:H,Match($A684,'Player Raw Data'!$B:$B,0)),"")</f>
        <v/>
      </c>
      <c r="G684" t="str">
        <f t="array" ref="G684">IFERROR(INDEX('Player Raw Data'!I:I,Match($A684,'Player Raw Data'!$B:$B,0)),"")</f>
        <v/>
      </c>
      <c r="H684" t="str">
        <f t="array" ref="H684">IFERROR(INDEX('Player Raw Data'!J:J,Match($A684,'Player Raw Data'!$B:$B,0)),"")</f>
        <v/>
      </c>
      <c r="I684" t="str">
        <f t="array" ref="I684">IFERROR(INDEX('Player Raw Data'!S:S,Match($A684,'Player Raw Data'!$B:$B,0)),"")</f>
        <v/>
      </c>
      <c r="J684" t="str">
        <f t="array" ref="J684">IFERROR(INDEX('Player Raw Data'!T:T,Match($A684,'Player Raw Data'!$B:$B,0)),"")</f>
        <v/>
      </c>
      <c r="K684" t="str">
        <f t="array" ref="K684">IFERROR(INDEX('Player Raw Data'!X:X,Match($A684,'Player Raw Data'!$B:$B,0)),"")</f>
        <v/>
      </c>
      <c r="L684" t="str">
        <f t="array" ref="L684">IFERROR(INDEX('Player Raw Data'!Y:Y,Match($A684,'Player Raw Data'!$B:$B,0)),"")</f>
        <v/>
      </c>
      <c r="M684" t="str">
        <f t="array" ref="M684">IFERROR(INDEX('Player Raw Data'!Z:Z,Match($A684,'Player Raw Data'!$B:$B,0)),"")</f>
        <v/>
      </c>
      <c r="N684" t="str">
        <f t="array" ref="N684">IFERROR(INDEX('Player Raw Data'!AA:AA,Match($A684,'Player Raw Data'!$B:$B,0)),"")</f>
        <v/>
      </c>
      <c r="O684" t="str">
        <f t="array" ref="O684">IFERROR(INDEX('Player Raw Data'!AB:AB,Match($A684,'Player Raw Data'!$B:$B,0)),"")</f>
        <v/>
      </c>
      <c r="P684" t="str">
        <f t="array" ref="P684">IFERROR(INDEX('Player Raw Data'!AD:AD,Match($A684,'Player Raw Data'!$B:$B,0)),"")</f>
        <v/>
      </c>
      <c r="Q684">
        <f t="shared" si="1"/>
        <v>0</v>
      </c>
      <c r="R684" s="9">
        <f t="shared" si="2"/>
        <v>0</v>
      </c>
      <c r="S684" s="14">
        <f t="shared" si="3"/>
        <v>0</v>
      </c>
      <c r="T684" s="15">
        <f>IFERROR(__xludf.DUMMYFUNCTION("IFERROR(PERCENTRANK.INC(FILTER(Q:Q,$F:$F&lt;&gt;""""),Q684)*100,"""")"),1.5)</f>
        <v>1.5</v>
      </c>
      <c r="U684" s="15">
        <f>IFERROR(__xludf.DUMMYFUNCTION("IFERROR(PERCENTRANK.INC(FILTER(R:R,$F:$F&lt;&gt;""""),R684)*100,"""")"),1.5)</f>
        <v>1.5</v>
      </c>
      <c r="V684" s="15">
        <f>IFERROR(__xludf.DUMMYFUNCTION("IFERROR(PERCENTRANK.INC(FILTER(S:S,$F:$F&lt;&gt;""""),S684)*100,"""")"),1.5)</f>
        <v>1.5</v>
      </c>
      <c r="W684" s="15" t="str">
        <f t="shared" si="4"/>
        <v/>
      </c>
      <c r="X684" s="16"/>
      <c r="Y684" s="9"/>
      <c r="Z684" s="9"/>
    </row>
    <row r="685">
      <c r="B685" t="str">
        <f t="array" ref="B685">IFERROR(INDEX('Player Raw Data'!E:E,Match($A685,'Player Raw Data'!$B:$B,0)),"")</f>
        <v/>
      </c>
      <c r="C685" t="str">
        <f t="array" ref="C685">IFERROR(INDEX('Player Raw Data'!C:C,Match($A685,'Player Raw Data'!$B:$B,0)),"")</f>
        <v/>
      </c>
      <c r="D685" t="str">
        <f t="array" ref="D685">IFERROR(IF(A685=A684, INDEX('Player Raw Data'!D:D,Match($A685,'Player Raw Data'!$B:$B,0)+2),INDEX('Player Raw Data'!D:D,Match($A685,'Player Raw Data'!$B:$B,0))),"")</f>
        <v/>
      </c>
      <c r="E685" t="str">
        <f t="array" ref="E685">IFERROR(INDEX('Player Raw Data'!F:F,Match($A685,'Player Raw Data'!$B:$B,0)),"")</f>
        <v/>
      </c>
      <c r="F685" t="str">
        <f t="array" ref="F685">IFERROR(INDEX('Player Raw Data'!H:H,Match($A685,'Player Raw Data'!$B:$B,0)),"")</f>
        <v/>
      </c>
      <c r="G685" t="str">
        <f t="array" ref="G685">IFERROR(INDEX('Player Raw Data'!I:I,Match($A685,'Player Raw Data'!$B:$B,0)),"")</f>
        <v/>
      </c>
      <c r="H685" t="str">
        <f t="array" ref="H685">IFERROR(INDEX('Player Raw Data'!J:J,Match($A685,'Player Raw Data'!$B:$B,0)),"")</f>
        <v/>
      </c>
      <c r="I685" t="str">
        <f t="array" ref="I685">IFERROR(INDEX('Player Raw Data'!S:S,Match($A685,'Player Raw Data'!$B:$B,0)),"")</f>
        <v/>
      </c>
      <c r="J685" t="str">
        <f t="array" ref="J685">IFERROR(INDEX('Player Raw Data'!T:T,Match($A685,'Player Raw Data'!$B:$B,0)),"")</f>
        <v/>
      </c>
      <c r="K685" t="str">
        <f t="array" ref="K685">IFERROR(INDEX('Player Raw Data'!X:X,Match($A685,'Player Raw Data'!$B:$B,0)),"")</f>
        <v/>
      </c>
      <c r="L685" t="str">
        <f t="array" ref="L685">IFERROR(INDEX('Player Raw Data'!Y:Y,Match($A685,'Player Raw Data'!$B:$B,0)),"")</f>
        <v/>
      </c>
      <c r="M685" t="str">
        <f t="array" ref="M685">IFERROR(INDEX('Player Raw Data'!Z:Z,Match($A685,'Player Raw Data'!$B:$B,0)),"")</f>
        <v/>
      </c>
      <c r="N685" t="str">
        <f t="array" ref="N685">IFERROR(INDEX('Player Raw Data'!AA:AA,Match($A685,'Player Raw Data'!$B:$B,0)),"")</f>
        <v/>
      </c>
      <c r="O685" t="str">
        <f t="array" ref="O685">IFERROR(INDEX('Player Raw Data'!AB:AB,Match($A685,'Player Raw Data'!$B:$B,0)),"")</f>
        <v/>
      </c>
      <c r="P685" t="str">
        <f t="array" ref="P685">IFERROR(INDEX('Player Raw Data'!AD:AD,Match($A685,'Player Raw Data'!$B:$B,0)),"")</f>
        <v/>
      </c>
      <c r="Q685">
        <f t="shared" si="1"/>
        <v>0</v>
      </c>
      <c r="R685" s="9">
        <f t="shared" si="2"/>
        <v>0</v>
      </c>
      <c r="S685" s="14">
        <f t="shared" si="3"/>
        <v>0</v>
      </c>
      <c r="T685" s="15">
        <f>IFERROR(__xludf.DUMMYFUNCTION("IFERROR(PERCENTRANK.INC(FILTER(Q:Q,$F:$F&lt;&gt;""""),Q685)*100,"""")"),1.5)</f>
        <v>1.5</v>
      </c>
      <c r="U685" s="15">
        <f>IFERROR(__xludf.DUMMYFUNCTION("IFERROR(PERCENTRANK.INC(FILTER(R:R,$F:$F&lt;&gt;""""),R685)*100,"""")"),1.5)</f>
        <v>1.5</v>
      </c>
      <c r="V685" s="15">
        <f>IFERROR(__xludf.DUMMYFUNCTION("IFERROR(PERCENTRANK.INC(FILTER(S:S,$F:$F&lt;&gt;""""),S685)*100,"""")"),1.5)</f>
        <v>1.5</v>
      </c>
      <c r="W685" s="15" t="str">
        <f t="shared" si="4"/>
        <v/>
      </c>
      <c r="X685" s="16"/>
      <c r="Y685" s="9"/>
      <c r="Z685" s="9"/>
    </row>
    <row r="686">
      <c r="B686" t="str">
        <f t="array" ref="B686">IFERROR(INDEX('Player Raw Data'!E:E,Match($A686,'Player Raw Data'!$B:$B,0)),"")</f>
        <v/>
      </c>
      <c r="C686" t="str">
        <f t="array" ref="C686">IFERROR(INDEX('Player Raw Data'!C:C,Match($A686,'Player Raw Data'!$B:$B,0)),"")</f>
        <v/>
      </c>
      <c r="D686" t="str">
        <f t="array" ref="D686">IFERROR(IF(A686=A685, INDEX('Player Raw Data'!D:D,Match($A686,'Player Raw Data'!$B:$B,0)+2),INDEX('Player Raw Data'!D:D,Match($A686,'Player Raw Data'!$B:$B,0))),"")</f>
        <v/>
      </c>
      <c r="E686" t="str">
        <f t="array" ref="E686">IFERROR(INDEX('Player Raw Data'!F:F,Match($A686,'Player Raw Data'!$B:$B,0)),"")</f>
        <v/>
      </c>
      <c r="F686" t="str">
        <f t="array" ref="F686">IFERROR(INDEX('Player Raw Data'!H:H,Match($A686,'Player Raw Data'!$B:$B,0)),"")</f>
        <v/>
      </c>
      <c r="G686" t="str">
        <f t="array" ref="G686">IFERROR(INDEX('Player Raw Data'!I:I,Match($A686,'Player Raw Data'!$B:$B,0)),"")</f>
        <v/>
      </c>
      <c r="H686" t="str">
        <f t="array" ref="H686">IFERROR(INDEX('Player Raw Data'!J:J,Match($A686,'Player Raw Data'!$B:$B,0)),"")</f>
        <v/>
      </c>
      <c r="I686" t="str">
        <f t="array" ref="I686">IFERROR(INDEX('Player Raw Data'!S:S,Match($A686,'Player Raw Data'!$B:$B,0)),"")</f>
        <v/>
      </c>
      <c r="J686" t="str">
        <f t="array" ref="J686">IFERROR(INDEX('Player Raw Data'!T:T,Match($A686,'Player Raw Data'!$B:$B,0)),"")</f>
        <v/>
      </c>
      <c r="K686" t="str">
        <f t="array" ref="K686">IFERROR(INDEX('Player Raw Data'!X:X,Match($A686,'Player Raw Data'!$B:$B,0)),"")</f>
        <v/>
      </c>
      <c r="L686" t="str">
        <f t="array" ref="L686">IFERROR(INDEX('Player Raw Data'!Y:Y,Match($A686,'Player Raw Data'!$B:$B,0)),"")</f>
        <v/>
      </c>
      <c r="M686" t="str">
        <f t="array" ref="M686">IFERROR(INDEX('Player Raw Data'!Z:Z,Match($A686,'Player Raw Data'!$B:$B,0)),"")</f>
        <v/>
      </c>
      <c r="N686" t="str">
        <f t="array" ref="N686">IFERROR(INDEX('Player Raw Data'!AA:AA,Match($A686,'Player Raw Data'!$B:$B,0)),"")</f>
        <v/>
      </c>
      <c r="O686" t="str">
        <f t="array" ref="O686">IFERROR(INDEX('Player Raw Data'!AB:AB,Match($A686,'Player Raw Data'!$B:$B,0)),"")</f>
        <v/>
      </c>
      <c r="P686" t="str">
        <f t="array" ref="P686">IFERROR(INDEX('Player Raw Data'!AD:AD,Match($A686,'Player Raw Data'!$B:$B,0)),"")</f>
        <v/>
      </c>
      <c r="Q686">
        <f t="shared" si="1"/>
        <v>0</v>
      </c>
      <c r="R686" s="9">
        <f t="shared" si="2"/>
        <v>0</v>
      </c>
      <c r="S686" s="14">
        <f t="shared" si="3"/>
        <v>0</v>
      </c>
      <c r="T686" s="15">
        <f>IFERROR(__xludf.DUMMYFUNCTION("IFERROR(PERCENTRANK.INC(FILTER(Q:Q,$F:$F&lt;&gt;""""),Q686)*100,"""")"),1.5)</f>
        <v>1.5</v>
      </c>
      <c r="U686" s="15">
        <f>IFERROR(__xludf.DUMMYFUNCTION("IFERROR(PERCENTRANK.INC(FILTER(R:R,$F:$F&lt;&gt;""""),R686)*100,"""")"),1.5)</f>
        <v>1.5</v>
      </c>
      <c r="V686" s="15">
        <f>IFERROR(__xludf.DUMMYFUNCTION("IFERROR(PERCENTRANK.INC(FILTER(S:S,$F:$F&lt;&gt;""""),S686)*100,"""")"),1.5)</f>
        <v>1.5</v>
      </c>
      <c r="W686" s="15" t="str">
        <f t="shared" si="4"/>
        <v/>
      </c>
      <c r="X686" s="16"/>
      <c r="Y686" s="9"/>
      <c r="Z686" s="9"/>
    </row>
    <row r="687">
      <c r="B687" t="str">
        <f t="array" ref="B687">IFERROR(INDEX('Player Raw Data'!E:E,Match($A687,'Player Raw Data'!$B:$B,0)),"")</f>
        <v/>
      </c>
      <c r="C687" t="str">
        <f t="array" ref="C687">IFERROR(INDEX('Player Raw Data'!C:C,Match($A687,'Player Raw Data'!$B:$B,0)),"")</f>
        <v/>
      </c>
      <c r="D687" t="str">
        <f t="array" ref="D687">IFERROR(IF(A687=A686, INDEX('Player Raw Data'!D:D,Match($A687,'Player Raw Data'!$B:$B,0)+2),INDEX('Player Raw Data'!D:D,Match($A687,'Player Raw Data'!$B:$B,0))),"")</f>
        <v/>
      </c>
      <c r="E687" t="str">
        <f t="array" ref="E687">IFERROR(INDEX('Player Raw Data'!F:F,Match($A687,'Player Raw Data'!$B:$B,0)),"")</f>
        <v/>
      </c>
      <c r="F687" t="str">
        <f t="array" ref="F687">IFERROR(INDEX('Player Raw Data'!H:H,Match($A687,'Player Raw Data'!$B:$B,0)),"")</f>
        <v/>
      </c>
      <c r="G687" t="str">
        <f t="array" ref="G687">IFERROR(INDEX('Player Raw Data'!I:I,Match($A687,'Player Raw Data'!$B:$B,0)),"")</f>
        <v/>
      </c>
      <c r="H687" t="str">
        <f t="array" ref="H687">IFERROR(INDEX('Player Raw Data'!J:J,Match($A687,'Player Raw Data'!$B:$B,0)),"")</f>
        <v/>
      </c>
      <c r="I687" t="str">
        <f t="array" ref="I687">IFERROR(INDEX('Player Raw Data'!S:S,Match($A687,'Player Raw Data'!$B:$B,0)),"")</f>
        <v/>
      </c>
      <c r="J687" t="str">
        <f t="array" ref="J687">IFERROR(INDEX('Player Raw Data'!T:T,Match($A687,'Player Raw Data'!$B:$B,0)),"")</f>
        <v/>
      </c>
      <c r="K687" t="str">
        <f t="array" ref="K687">IFERROR(INDEX('Player Raw Data'!X:X,Match($A687,'Player Raw Data'!$B:$B,0)),"")</f>
        <v/>
      </c>
      <c r="L687" t="str">
        <f t="array" ref="L687">IFERROR(INDEX('Player Raw Data'!Y:Y,Match($A687,'Player Raw Data'!$B:$B,0)),"")</f>
        <v/>
      </c>
      <c r="M687" t="str">
        <f t="array" ref="M687">IFERROR(INDEX('Player Raw Data'!Z:Z,Match($A687,'Player Raw Data'!$B:$B,0)),"")</f>
        <v/>
      </c>
      <c r="N687" t="str">
        <f t="array" ref="N687">IFERROR(INDEX('Player Raw Data'!AA:AA,Match($A687,'Player Raw Data'!$B:$B,0)),"")</f>
        <v/>
      </c>
      <c r="O687" t="str">
        <f t="array" ref="O687">IFERROR(INDEX('Player Raw Data'!AB:AB,Match($A687,'Player Raw Data'!$B:$B,0)),"")</f>
        <v/>
      </c>
      <c r="P687" t="str">
        <f t="array" ref="P687">IFERROR(INDEX('Player Raw Data'!AD:AD,Match($A687,'Player Raw Data'!$B:$B,0)),"")</f>
        <v/>
      </c>
      <c r="Q687">
        <f t="shared" si="1"/>
        <v>0</v>
      </c>
      <c r="R687" s="9">
        <f t="shared" si="2"/>
        <v>0</v>
      </c>
      <c r="S687" s="14">
        <f t="shared" si="3"/>
        <v>0</v>
      </c>
      <c r="T687" s="15">
        <f>IFERROR(__xludf.DUMMYFUNCTION("IFERROR(PERCENTRANK.INC(FILTER(Q:Q,$F:$F&lt;&gt;""""),Q687)*100,"""")"),1.5)</f>
        <v>1.5</v>
      </c>
      <c r="U687" s="15">
        <f>IFERROR(__xludf.DUMMYFUNCTION("IFERROR(PERCENTRANK.INC(FILTER(R:R,$F:$F&lt;&gt;""""),R687)*100,"""")"),1.5)</f>
        <v>1.5</v>
      </c>
      <c r="V687" s="15">
        <f>IFERROR(__xludf.DUMMYFUNCTION("IFERROR(PERCENTRANK.INC(FILTER(S:S,$F:$F&lt;&gt;""""),S687)*100,"""")"),1.5)</f>
        <v>1.5</v>
      </c>
      <c r="W687" s="15" t="str">
        <f t="shared" si="4"/>
        <v/>
      </c>
      <c r="X687" s="16"/>
      <c r="Y687" s="9"/>
      <c r="Z687" s="9"/>
    </row>
    <row r="688">
      <c r="B688" t="str">
        <f t="array" ref="B688">IFERROR(INDEX('Player Raw Data'!E:E,Match($A688,'Player Raw Data'!$B:$B,0)),"")</f>
        <v/>
      </c>
      <c r="C688" t="str">
        <f t="array" ref="C688">IFERROR(INDEX('Player Raw Data'!C:C,Match($A688,'Player Raw Data'!$B:$B,0)),"")</f>
        <v/>
      </c>
      <c r="D688" t="str">
        <f t="array" ref="D688">IFERROR(IF(A688=A687, INDEX('Player Raw Data'!D:D,Match($A688,'Player Raw Data'!$B:$B,0)+2),INDEX('Player Raw Data'!D:D,Match($A688,'Player Raw Data'!$B:$B,0))),"")</f>
        <v/>
      </c>
      <c r="E688" t="str">
        <f t="array" ref="E688">IFERROR(INDEX('Player Raw Data'!F:F,Match($A688,'Player Raw Data'!$B:$B,0)),"")</f>
        <v/>
      </c>
      <c r="F688" t="str">
        <f t="array" ref="F688">IFERROR(INDEX('Player Raw Data'!H:H,Match($A688,'Player Raw Data'!$B:$B,0)),"")</f>
        <v/>
      </c>
      <c r="G688" t="str">
        <f t="array" ref="G688">IFERROR(INDEX('Player Raw Data'!I:I,Match($A688,'Player Raw Data'!$B:$B,0)),"")</f>
        <v/>
      </c>
      <c r="H688" t="str">
        <f t="array" ref="H688">IFERROR(INDEX('Player Raw Data'!J:J,Match($A688,'Player Raw Data'!$B:$B,0)),"")</f>
        <v/>
      </c>
      <c r="I688" t="str">
        <f t="array" ref="I688">IFERROR(INDEX('Player Raw Data'!S:S,Match($A688,'Player Raw Data'!$B:$B,0)),"")</f>
        <v/>
      </c>
      <c r="J688" t="str">
        <f t="array" ref="J688">IFERROR(INDEX('Player Raw Data'!T:T,Match($A688,'Player Raw Data'!$B:$B,0)),"")</f>
        <v/>
      </c>
      <c r="K688" t="str">
        <f t="array" ref="K688">IFERROR(INDEX('Player Raw Data'!X:X,Match($A688,'Player Raw Data'!$B:$B,0)),"")</f>
        <v/>
      </c>
      <c r="L688" t="str">
        <f t="array" ref="L688">IFERROR(INDEX('Player Raw Data'!Y:Y,Match($A688,'Player Raw Data'!$B:$B,0)),"")</f>
        <v/>
      </c>
      <c r="M688" t="str">
        <f t="array" ref="M688">IFERROR(INDEX('Player Raw Data'!Z:Z,Match($A688,'Player Raw Data'!$B:$B,0)),"")</f>
        <v/>
      </c>
      <c r="N688" t="str">
        <f t="array" ref="N688">IFERROR(INDEX('Player Raw Data'!AA:AA,Match($A688,'Player Raw Data'!$B:$B,0)),"")</f>
        <v/>
      </c>
      <c r="O688" t="str">
        <f t="array" ref="O688">IFERROR(INDEX('Player Raw Data'!AB:AB,Match($A688,'Player Raw Data'!$B:$B,0)),"")</f>
        <v/>
      </c>
      <c r="P688" t="str">
        <f t="array" ref="P688">IFERROR(INDEX('Player Raw Data'!AD:AD,Match($A688,'Player Raw Data'!$B:$B,0)),"")</f>
        <v/>
      </c>
      <c r="Q688">
        <f t="shared" si="1"/>
        <v>0</v>
      </c>
      <c r="R688" s="9">
        <f t="shared" si="2"/>
        <v>0</v>
      </c>
      <c r="S688" s="14">
        <f t="shared" si="3"/>
        <v>0</v>
      </c>
      <c r="T688" s="15">
        <f>IFERROR(__xludf.DUMMYFUNCTION("IFERROR(PERCENTRANK.INC(FILTER(Q:Q,$F:$F&lt;&gt;""""),Q688)*100,"""")"),1.5)</f>
        <v>1.5</v>
      </c>
      <c r="U688" s="15">
        <f>IFERROR(__xludf.DUMMYFUNCTION("IFERROR(PERCENTRANK.INC(FILTER(R:R,$F:$F&lt;&gt;""""),R688)*100,"""")"),1.5)</f>
        <v>1.5</v>
      </c>
      <c r="V688" s="15">
        <f>IFERROR(__xludf.DUMMYFUNCTION("IFERROR(PERCENTRANK.INC(FILTER(S:S,$F:$F&lt;&gt;""""),S688)*100,"""")"),1.5)</f>
        <v>1.5</v>
      </c>
      <c r="W688" s="15" t="str">
        <f t="shared" si="4"/>
        <v/>
      </c>
      <c r="X688" s="16"/>
      <c r="Y688" s="9"/>
      <c r="Z688" s="9"/>
    </row>
    <row r="689">
      <c r="B689" t="str">
        <f t="array" ref="B689">IFERROR(INDEX('Player Raw Data'!E:E,Match($A689,'Player Raw Data'!$B:$B,0)),"")</f>
        <v/>
      </c>
      <c r="C689" t="str">
        <f t="array" ref="C689">IFERROR(INDEX('Player Raw Data'!C:C,Match($A689,'Player Raw Data'!$B:$B,0)),"")</f>
        <v/>
      </c>
      <c r="D689" t="str">
        <f t="array" ref="D689">IFERROR(IF(A689=A688, INDEX('Player Raw Data'!D:D,Match($A689,'Player Raw Data'!$B:$B,0)+2),INDEX('Player Raw Data'!D:D,Match($A689,'Player Raw Data'!$B:$B,0))),"")</f>
        <v/>
      </c>
      <c r="E689" t="str">
        <f t="array" ref="E689">IFERROR(INDEX('Player Raw Data'!F:F,Match($A689,'Player Raw Data'!$B:$B,0)),"")</f>
        <v/>
      </c>
      <c r="F689" t="str">
        <f t="array" ref="F689">IFERROR(INDEX('Player Raw Data'!H:H,Match($A689,'Player Raw Data'!$B:$B,0)),"")</f>
        <v/>
      </c>
      <c r="G689" t="str">
        <f t="array" ref="G689">IFERROR(INDEX('Player Raw Data'!I:I,Match($A689,'Player Raw Data'!$B:$B,0)),"")</f>
        <v/>
      </c>
      <c r="H689" t="str">
        <f t="array" ref="H689">IFERROR(INDEX('Player Raw Data'!J:J,Match($A689,'Player Raw Data'!$B:$B,0)),"")</f>
        <v/>
      </c>
      <c r="I689" t="str">
        <f t="array" ref="I689">IFERROR(INDEX('Player Raw Data'!S:S,Match($A689,'Player Raw Data'!$B:$B,0)),"")</f>
        <v/>
      </c>
      <c r="J689" t="str">
        <f t="array" ref="J689">IFERROR(INDEX('Player Raw Data'!T:T,Match($A689,'Player Raw Data'!$B:$B,0)),"")</f>
        <v/>
      </c>
      <c r="K689" t="str">
        <f t="array" ref="K689">IFERROR(INDEX('Player Raw Data'!X:X,Match($A689,'Player Raw Data'!$B:$B,0)),"")</f>
        <v/>
      </c>
      <c r="L689" t="str">
        <f t="array" ref="L689">IFERROR(INDEX('Player Raw Data'!Y:Y,Match($A689,'Player Raw Data'!$B:$B,0)),"")</f>
        <v/>
      </c>
      <c r="M689" t="str">
        <f t="array" ref="M689">IFERROR(INDEX('Player Raw Data'!Z:Z,Match($A689,'Player Raw Data'!$B:$B,0)),"")</f>
        <v/>
      </c>
      <c r="N689" t="str">
        <f t="array" ref="N689">IFERROR(INDEX('Player Raw Data'!AA:AA,Match($A689,'Player Raw Data'!$B:$B,0)),"")</f>
        <v/>
      </c>
      <c r="O689" t="str">
        <f t="array" ref="O689">IFERROR(INDEX('Player Raw Data'!AB:AB,Match($A689,'Player Raw Data'!$B:$B,0)),"")</f>
        <v/>
      </c>
      <c r="P689" t="str">
        <f t="array" ref="P689">IFERROR(INDEX('Player Raw Data'!AD:AD,Match($A689,'Player Raw Data'!$B:$B,0)),"")</f>
        <v/>
      </c>
      <c r="Q689">
        <f t="shared" si="1"/>
        <v>0</v>
      </c>
      <c r="R689" s="9">
        <f t="shared" si="2"/>
        <v>0</v>
      </c>
      <c r="S689" s="14">
        <f t="shared" si="3"/>
        <v>0</v>
      </c>
      <c r="T689" s="15">
        <f>IFERROR(__xludf.DUMMYFUNCTION("IFERROR(PERCENTRANK.INC(FILTER(Q:Q,$F:$F&lt;&gt;""""),Q689)*100,"""")"),1.5)</f>
        <v>1.5</v>
      </c>
      <c r="U689" s="15">
        <f>IFERROR(__xludf.DUMMYFUNCTION("IFERROR(PERCENTRANK.INC(FILTER(R:R,$F:$F&lt;&gt;""""),R689)*100,"""")"),1.5)</f>
        <v>1.5</v>
      </c>
      <c r="V689" s="15">
        <f>IFERROR(__xludf.DUMMYFUNCTION("IFERROR(PERCENTRANK.INC(FILTER(S:S,$F:$F&lt;&gt;""""),S689)*100,"""")"),1.5)</f>
        <v>1.5</v>
      </c>
      <c r="W689" s="15" t="str">
        <f t="shared" si="4"/>
        <v/>
      </c>
      <c r="X689" s="16"/>
      <c r="Y689" s="9"/>
      <c r="Z689" s="9"/>
    </row>
    <row r="690">
      <c r="B690" t="str">
        <f t="array" ref="B690">IFERROR(INDEX('Player Raw Data'!E:E,Match($A690,'Player Raw Data'!$B:$B,0)),"")</f>
        <v/>
      </c>
      <c r="C690" t="str">
        <f t="array" ref="C690">IFERROR(INDEX('Player Raw Data'!C:C,Match($A690,'Player Raw Data'!$B:$B,0)),"")</f>
        <v/>
      </c>
      <c r="D690" t="str">
        <f t="array" ref="D690">IFERROR(IF(A690=A689, INDEX('Player Raw Data'!D:D,Match($A690,'Player Raw Data'!$B:$B,0)+2),INDEX('Player Raw Data'!D:D,Match($A690,'Player Raw Data'!$B:$B,0))),"")</f>
        <v/>
      </c>
      <c r="E690" t="str">
        <f t="array" ref="E690">IFERROR(INDEX('Player Raw Data'!F:F,Match($A690,'Player Raw Data'!$B:$B,0)),"")</f>
        <v/>
      </c>
      <c r="F690" t="str">
        <f t="array" ref="F690">IFERROR(INDEX('Player Raw Data'!H:H,Match($A690,'Player Raw Data'!$B:$B,0)),"")</f>
        <v/>
      </c>
      <c r="G690" t="str">
        <f t="array" ref="G690">IFERROR(INDEX('Player Raw Data'!I:I,Match($A690,'Player Raw Data'!$B:$B,0)),"")</f>
        <v/>
      </c>
      <c r="H690" t="str">
        <f t="array" ref="H690">IFERROR(INDEX('Player Raw Data'!J:J,Match($A690,'Player Raw Data'!$B:$B,0)),"")</f>
        <v/>
      </c>
      <c r="I690" t="str">
        <f t="array" ref="I690">IFERROR(INDEX('Player Raw Data'!S:S,Match($A690,'Player Raw Data'!$B:$B,0)),"")</f>
        <v/>
      </c>
      <c r="J690" t="str">
        <f t="array" ref="J690">IFERROR(INDEX('Player Raw Data'!T:T,Match($A690,'Player Raw Data'!$B:$B,0)),"")</f>
        <v/>
      </c>
      <c r="K690" t="str">
        <f t="array" ref="K690">IFERROR(INDEX('Player Raw Data'!X:X,Match($A690,'Player Raw Data'!$B:$B,0)),"")</f>
        <v/>
      </c>
      <c r="L690" t="str">
        <f t="array" ref="L690">IFERROR(INDEX('Player Raw Data'!Y:Y,Match($A690,'Player Raw Data'!$B:$B,0)),"")</f>
        <v/>
      </c>
      <c r="M690" t="str">
        <f t="array" ref="M690">IFERROR(INDEX('Player Raw Data'!Z:Z,Match($A690,'Player Raw Data'!$B:$B,0)),"")</f>
        <v/>
      </c>
      <c r="N690" t="str">
        <f t="array" ref="N690">IFERROR(INDEX('Player Raw Data'!AA:AA,Match($A690,'Player Raw Data'!$B:$B,0)),"")</f>
        <v/>
      </c>
      <c r="O690" t="str">
        <f t="array" ref="O690">IFERROR(INDEX('Player Raw Data'!AB:AB,Match($A690,'Player Raw Data'!$B:$B,0)),"")</f>
        <v/>
      </c>
      <c r="P690" t="str">
        <f t="array" ref="P690">IFERROR(INDEX('Player Raw Data'!AD:AD,Match($A690,'Player Raw Data'!$B:$B,0)),"")</f>
        <v/>
      </c>
      <c r="Q690">
        <f t="shared" si="1"/>
        <v>0</v>
      </c>
      <c r="R690" s="9">
        <f t="shared" si="2"/>
        <v>0</v>
      </c>
      <c r="S690" s="14">
        <f t="shared" si="3"/>
        <v>0</v>
      </c>
      <c r="T690" s="15">
        <f>IFERROR(__xludf.DUMMYFUNCTION("IFERROR(PERCENTRANK.INC(FILTER(Q:Q,$F:$F&lt;&gt;""""),Q690)*100,"""")"),1.5)</f>
        <v>1.5</v>
      </c>
      <c r="U690" s="15">
        <f>IFERROR(__xludf.DUMMYFUNCTION("IFERROR(PERCENTRANK.INC(FILTER(R:R,$F:$F&lt;&gt;""""),R690)*100,"""")"),1.5)</f>
        <v>1.5</v>
      </c>
      <c r="V690" s="15">
        <f>IFERROR(__xludf.DUMMYFUNCTION("IFERROR(PERCENTRANK.INC(FILTER(S:S,$F:$F&lt;&gt;""""),S690)*100,"""")"),1.5)</f>
        <v>1.5</v>
      </c>
      <c r="W690" s="15" t="str">
        <f t="shared" si="4"/>
        <v/>
      </c>
      <c r="X690" s="16"/>
      <c r="Y690" s="9"/>
      <c r="Z690" s="9"/>
    </row>
    <row r="691">
      <c r="B691" t="str">
        <f t="array" ref="B691">IFERROR(INDEX('Player Raw Data'!E:E,Match($A691,'Player Raw Data'!$B:$B,0)),"")</f>
        <v/>
      </c>
      <c r="C691" t="str">
        <f t="array" ref="C691">IFERROR(INDEX('Player Raw Data'!C:C,Match($A691,'Player Raw Data'!$B:$B,0)),"")</f>
        <v/>
      </c>
      <c r="D691" t="str">
        <f t="array" ref="D691">IFERROR(IF(A691=A690, INDEX('Player Raw Data'!D:D,Match($A691,'Player Raw Data'!$B:$B,0)+2),INDEX('Player Raw Data'!D:D,Match($A691,'Player Raw Data'!$B:$B,0))),"")</f>
        <v/>
      </c>
      <c r="E691" t="str">
        <f t="array" ref="E691">IFERROR(INDEX('Player Raw Data'!F:F,Match($A691,'Player Raw Data'!$B:$B,0)),"")</f>
        <v/>
      </c>
      <c r="F691" t="str">
        <f t="array" ref="F691">IFERROR(INDEX('Player Raw Data'!H:H,Match($A691,'Player Raw Data'!$B:$B,0)),"")</f>
        <v/>
      </c>
      <c r="G691" t="str">
        <f t="array" ref="G691">IFERROR(INDEX('Player Raw Data'!I:I,Match($A691,'Player Raw Data'!$B:$B,0)),"")</f>
        <v/>
      </c>
      <c r="H691" t="str">
        <f t="array" ref="H691">IFERROR(INDEX('Player Raw Data'!J:J,Match($A691,'Player Raw Data'!$B:$B,0)),"")</f>
        <v/>
      </c>
      <c r="I691" t="str">
        <f t="array" ref="I691">IFERROR(INDEX('Player Raw Data'!S:S,Match($A691,'Player Raw Data'!$B:$B,0)),"")</f>
        <v/>
      </c>
      <c r="J691" t="str">
        <f t="array" ref="J691">IFERROR(INDEX('Player Raw Data'!T:T,Match($A691,'Player Raw Data'!$B:$B,0)),"")</f>
        <v/>
      </c>
      <c r="K691" t="str">
        <f t="array" ref="K691">IFERROR(INDEX('Player Raw Data'!X:X,Match($A691,'Player Raw Data'!$B:$B,0)),"")</f>
        <v/>
      </c>
      <c r="L691" t="str">
        <f t="array" ref="L691">IFERROR(INDEX('Player Raw Data'!Y:Y,Match($A691,'Player Raw Data'!$B:$B,0)),"")</f>
        <v/>
      </c>
      <c r="M691" t="str">
        <f t="array" ref="M691">IFERROR(INDEX('Player Raw Data'!Z:Z,Match($A691,'Player Raw Data'!$B:$B,0)),"")</f>
        <v/>
      </c>
      <c r="N691" t="str">
        <f t="array" ref="N691">IFERROR(INDEX('Player Raw Data'!AA:AA,Match($A691,'Player Raw Data'!$B:$B,0)),"")</f>
        <v/>
      </c>
      <c r="O691" t="str">
        <f t="array" ref="O691">IFERROR(INDEX('Player Raw Data'!AB:AB,Match($A691,'Player Raw Data'!$B:$B,0)),"")</f>
        <v/>
      </c>
      <c r="P691" t="str">
        <f t="array" ref="P691">IFERROR(INDEX('Player Raw Data'!AD:AD,Match($A691,'Player Raw Data'!$B:$B,0)),"")</f>
        <v/>
      </c>
      <c r="Q691">
        <f t="shared" si="1"/>
        <v>0</v>
      </c>
      <c r="R691" s="9">
        <f t="shared" si="2"/>
        <v>0</v>
      </c>
      <c r="S691" s="14">
        <f t="shared" si="3"/>
        <v>0</v>
      </c>
      <c r="T691" s="15">
        <f>IFERROR(__xludf.DUMMYFUNCTION("IFERROR(PERCENTRANK.INC(FILTER(Q:Q,$F:$F&lt;&gt;""""),Q691)*100,"""")"),1.5)</f>
        <v>1.5</v>
      </c>
      <c r="U691" s="15">
        <f>IFERROR(__xludf.DUMMYFUNCTION("IFERROR(PERCENTRANK.INC(FILTER(R:R,$F:$F&lt;&gt;""""),R691)*100,"""")"),1.5)</f>
        <v>1.5</v>
      </c>
      <c r="V691" s="15">
        <f>IFERROR(__xludf.DUMMYFUNCTION("IFERROR(PERCENTRANK.INC(FILTER(S:S,$F:$F&lt;&gt;""""),S691)*100,"""")"),1.5)</f>
        <v>1.5</v>
      </c>
      <c r="W691" s="15" t="str">
        <f t="shared" si="4"/>
        <v/>
      </c>
      <c r="X691" s="16"/>
      <c r="Y691" s="9"/>
      <c r="Z691" s="9"/>
    </row>
    <row r="692">
      <c r="B692" t="str">
        <f t="array" ref="B692">IFERROR(INDEX('Player Raw Data'!E:E,Match($A692,'Player Raw Data'!$B:$B,0)),"")</f>
        <v/>
      </c>
      <c r="C692" t="str">
        <f t="array" ref="C692">IFERROR(INDEX('Player Raw Data'!C:C,Match($A692,'Player Raw Data'!$B:$B,0)),"")</f>
        <v/>
      </c>
      <c r="D692" t="str">
        <f t="array" ref="D692">IFERROR(IF(A692=A691, INDEX('Player Raw Data'!D:D,Match($A692,'Player Raw Data'!$B:$B,0)+2),INDEX('Player Raw Data'!D:D,Match($A692,'Player Raw Data'!$B:$B,0))),"")</f>
        <v/>
      </c>
      <c r="E692" t="str">
        <f t="array" ref="E692">IFERROR(INDEX('Player Raw Data'!F:F,Match($A692,'Player Raw Data'!$B:$B,0)),"")</f>
        <v/>
      </c>
      <c r="F692" t="str">
        <f t="array" ref="F692">IFERROR(INDEX('Player Raw Data'!H:H,Match($A692,'Player Raw Data'!$B:$B,0)),"")</f>
        <v/>
      </c>
      <c r="G692" t="str">
        <f t="array" ref="G692">IFERROR(INDEX('Player Raw Data'!I:I,Match($A692,'Player Raw Data'!$B:$B,0)),"")</f>
        <v/>
      </c>
      <c r="H692" t="str">
        <f t="array" ref="H692">IFERROR(INDEX('Player Raw Data'!J:J,Match($A692,'Player Raw Data'!$B:$B,0)),"")</f>
        <v/>
      </c>
      <c r="I692" t="str">
        <f t="array" ref="I692">IFERROR(INDEX('Player Raw Data'!S:S,Match($A692,'Player Raw Data'!$B:$B,0)),"")</f>
        <v/>
      </c>
      <c r="J692" t="str">
        <f t="array" ref="J692">IFERROR(INDEX('Player Raw Data'!T:T,Match($A692,'Player Raw Data'!$B:$B,0)),"")</f>
        <v/>
      </c>
      <c r="K692" t="str">
        <f t="array" ref="K692">IFERROR(INDEX('Player Raw Data'!X:X,Match($A692,'Player Raw Data'!$B:$B,0)),"")</f>
        <v/>
      </c>
      <c r="L692" t="str">
        <f t="array" ref="L692">IFERROR(INDEX('Player Raw Data'!Y:Y,Match($A692,'Player Raw Data'!$B:$B,0)),"")</f>
        <v/>
      </c>
      <c r="M692" t="str">
        <f t="array" ref="M692">IFERROR(INDEX('Player Raw Data'!Z:Z,Match($A692,'Player Raw Data'!$B:$B,0)),"")</f>
        <v/>
      </c>
      <c r="N692" t="str">
        <f t="array" ref="N692">IFERROR(INDEX('Player Raw Data'!AA:AA,Match($A692,'Player Raw Data'!$B:$B,0)),"")</f>
        <v/>
      </c>
      <c r="O692" t="str">
        <f t="array" ref="O692">IFERROR(INDEX('Player Raw Data'!AB:AB,Match($A692,'Player Raw Data'!$B:$B,0)),"")</f>
        <v/>
      </c>
      <c r="P692" t="str">
        <f t="array" ref="P692">IFERROR(INDEX('Player Raw Data'!AD:AD,Match($A692,'Player Raw Data'!$B:$B,0)),"")</f>
        <v/>
      </c>
      <c r="Q692">
        <f t="shared" si="1"/>
        <v>0</v>
      </c>
      <c r="R692" s="9">
        <f t="shared" si="2"/>
        <v>0</v>
      </c>
      <c r="S692" s="14">
        <f t="shared" si="3"/>
        <v>0</v>
      </c>
      <c r="T692" s="15">
        <f>IFERROR(__xludf.DUMMYFUNCTION("IFERROR(PERCENTRANK.INC(FILTER(Q:Q,$F:$F&lt;&gt;""""),Q692)*100,"""")"),1.5)</f>
        <v>1.5</v>
      </c>
      <c r="U692" s="15">
        <f>IFERROR(__xludf.DUMMYFUNCTION("IFERROR(PERCENTRANK.INC(FILTER(R:R,$F:$F&lt;&gt;""""),R692)*100,"""")"),1.5)</f>
        <v>1.5</v>
      </c>
      <c r="V692" s="15">
        <f>IFERROR(__xludf.DUMMYFUNCTION("IFERROR(PERCENTRANK.INC(FILTER(S:S,$F:$F&lt;&gt;""""),S692)*100,"""")"),1.5)</f>
        <v>1.5</v>
      </c>
      <c r="W692" s="15" t="str">
        <f t="shared" si="4"/>
        <v/>
      </c>
      <c r="X692" s="16"/>
      <c r="Y692" s="9"/>
      <c r="Z692" s="9"/>
    </row>
    <row r="693">
      <c r="B693" t="str">
        <f t="array" ref="B693">IFERROR(INDEX('Player Raw Data'!E:E,Match($A693,'Player Raw Data'!$B:$B,0)),"")</f>
        <v/>
      </c>
      <c r="C693" t="str">
        <f t="array" ref="C693">IFERROR(INDEX('Player Raw Data'!C:C,Match($A693,'Player Raw Data'!$B:$B,0)),"")</f>
        <v/>
      </c>
      <c r="D693" t="str">
        <f t="array" ref="D693">IFERROR(IF(A693=A692, INDEX('Player Raw Data'!D:D,Match($A693,'Player Raw Data'!$B:$B,0)+2),INDEX('Player Raw Data'!D:D,Match($A693,'Player Raw Data'!$B:$B,0))),"")</f>
        <v/>
      </c>
      <c r="E693" t="str">
        <f t="array" ref="E693">IFERROR(INDEX('Player Raw Data'!F:F,Match($A693,'Player Raw Data'!$B:$B,0)),"")</f>
        <v/>
      </c>
      <c r="F693" t="str">
        <f t="array" ref="F693">IFERROR(INDEX('Player Raw Data'!H:H,Match($A693,'Player Raw Data'!$B:$B,0)),"")</f>
        <v/>
      </c>
      <c r="G693" t="str">
        <f t="array" ref="G693">IFERROR(INDEX('Player Raw Data'!I:I,Match($A693,'Player Raw Data'!$B:$B,0)),"")</f>
        <v/>
      </c>
      <c r="H693" t="str">
        <f t="array" ref="H693">IFERROR(INDEX('Player Raw Data'!J:J,Match($A693,'Player Raw Data'!$B:$B,0)),"")</f>
        <v/>
      </c>
      <c r="I693" t="str">
        <f t="array" ref="I693">IFERROR(INDEX('Player Raw Data'!S:S,Match($A693,'Player Raw Data'!$B:$B,0)),"")</f>
        <v/>
      </c>
      <c r="J693" t="str">
        <f t="array" ref="J693">IFERROR(INDEX('Player Raw Data'!T:T,Match($A693,'Player Raw Data'!$B:$B,0)),"")</f>
        <v/>
      </c>
      <c r="K693" t="str">
        <f t="array" ref="K693">IFERROR(INDEX('Player Raw Data'!X:X,Match($A693,'Player Raw Data'!$B:$B,0)),"")</f>
        <v/>
      </c>
      <c r="L693" t="str">
        <f t="array" ref="L693">IFERROR(INDEX('Player Raw Data'!Y:Y,Match($A693,'Player Raw Data'!$B:$B,0)),"")</f>
        <v/>
      </c>
      <c r="M693" t="str">
        <f t="array" ref="M693">IFERROR(INDEX('Player Raw Data'!Z:Z,Match($A693,'Player Raw Data'!$B:$B,0)),"")</f>
        <v/>
      </c>
      <c r="N693" t="str">
        <f t="array" ref="N693">IFERROR(INDEX('Player Raw Data'!AA:AA,Match($A693,'Player Raw Data'!$B:$B,0)),"")</f>
        <v/>
      </c>
      <c r="O693" t="str">
        <f t="array" ref="O693">IFERROR(INDEX('Player Raw Data'!AB:AB,Match($A693,'Player Raw Data'!$B:$B,0)),"")</f>
        <v/>
      </c>
      <c r="P693" t="str">
        <f t="array" ref="P693">IFERROR(INDEX('Player Raw Data'!AD:AD,Match($A693,'Player Raw Data'!$B:$B,0)),"")</f>
        <v/>
      </c>
      <c r="Q693">
        <f t="shared" si="1"/>
        <v>0</v>
      </c>
      <c r="R693" s="9">
        <f t="shared" si="2"/>
        <v>0</v>
      </c>
      <c r="S693" s="14">
        <f t="shared" si="3"/>
        <v>0</v>
      </c>
      <c r="T693" s="15">
        <f>IFERROR(__xludf.DUMMYFUNCTION("IFERROR(PERCENTRANK.INC(FILTER(Q:Q,$F:$F&lt;&gt;""""),Q693)*100,"""")"),1.5)</f>
        <v>1.5</v>
      </c>
      <c r="U693" s="15">
        <f>IFERROR(__xludf.DUMMYFUNCTION("IFERROR(PERCENTRANK.INC(FILTER(R:R,$F:$F&lt;&gt;""""),R693)*100,"""")"),1.5)</f>
        <v>1.5</v>
      </c>
      <c r="V693" s="15">
        <f>IFERROR(__xludf.DUMMYFUNCTION("IFERROR(PERCENTRANK.INC(FILTER(S:S,$F:$F&lt;&gt;""""),S693)*100,"""")"),1.5)</f>
        <v>1.5</v>
      </c>
      <c r="W693" s="15" t="str">
        <f t="shared" si="4"/>
        <v/>
      </c>
      <c r="X693" s="16"/>
      <c r="Y693" s="9"/>
      <c r="Z693" s="9"/>
    </row>
    <row r="694">
      <c r="B694" t="str">
        <f t="array" ref="B694">IFERROR(INDEX('Player Raw Data'!E:E,Match($A694,'Player Raw Data'!$B:$B,0)),"")</f>
        <v/>
      </c>
      <c r="C694" t="str">
        <f t="array" ref="C694">IFERROR(INDEX('Player Raw Data'!C:C,Match($A694,'Player Raw Data'!$B:$B,0)),"")</f>
        <v/>
      </c>
      <c r="D694" t="str">
        <f t="array" ref="D694">IFERROR(IF(A694=A693, INDEX('Player Raw Data'!D:D,Match($A694,'Player Raw Data'!$B:$B,0)+2),INDEX('Player Raw Data'!D:D,Match($A694,'Player Raw Data'!$B:$B,0))),"")</f>
        <v/>
      </c>
      <c r="E694" t="str">
        <f t="array" ref="E694">IFERROR(INDEX('Player Raw Data'!F:F,Match($A694,'Player Raw Data'!$B:$B,0)),"")</f>
        <v/>
      </c>
      <c r="F694" t="str">
        <f t="array" ref="F694">IFERROR(INDEX('Player Raw Data'!H:H,Match($A694,'Player Raw Data'!$B:$B,0)),"")</f>
        <v/>
      </c>
      <c r="G694" t="str">
        <f t="array" ref="G694">IFERROR(INDEX('Player Raw Data'!I:I,Match($A694,'Player Raw Data'!$B:$B,0)),"")</f>
        <v/>
      </c>
      <c r="H694" t="str">
        <f t="array" ref="H694">IFERROR(INDEX('Player Raw Data'!J:J,Match($A694,'Player Raw Data'!$B:$B,0)),"")</f>
        <v/>
      </c>
      <c r="I694" t="str">
        <f t="array" ref="I694">IFERROR(INDEX('Player Raw Data'!S:S,Match($A694,'Player Raw Data'!$B:$B,0)),"")</f>
        <v/>
      </c>
      <c r="J694" t="str">
        <f t="array" ref="J694">IFERROR(INDEX('Player Raw Data'!T:T,Match($A694,'Player Raw Data'!$B:$B,0)),"")</f>
        <v/>
      </c>
      <c r="K694" t="str">
        <f t="array" ref="K694">IFERROR(INDEX('Player Raw Data'!X:X,Match($A694,'Player Raw Data'!$B:$B,0)),"")</f>
        <v/>
      </c>
      <c r="L694" t="str">
        <f t="array" ref="L694">IFERROR(INDEX('Player Raw Data'!Y:Y,Match($A694,'Player Raw Data'!$B:$B,0)),"")</f>
        <v/>
      </c>
      <c r="M694" t="str">
        <f t="array" ref="M694">IFERROR(INDEX('Player Raw Data'!Z:Z,Match($A694,'Player Raw Data'!$B:$B,0)),"")</f>
        <v/>
      </c>
      <c r="N694" t="str">
        <f t="array" ref="N694">IFERROR(INDEX('Player Raw Data'!AA:AA,Match($A694,'Player Raw Data'!$B:$B,0)),"")</f>
        <v/>
      </c>
      <c r="O694" t="str">
        <f t="array" ref="O694">IFERROR(INDEX('Player Raw Data'!AB:AB,Match($A694,'Player Raw Data'!$B:$B,0)),"")</f>
        <v/>
      </c>
      <c r="P694" t="str">
        <f t="array" ref="P694">IFERROR(INDEX('Player Raw Data'!AD:AD,Match($A694,'Player Raw Data'!$B:$B,0)),"")</f>
        <v/>
      </c>
      <c r="Q694">
        <f t="shared" si="1"/>
        <v>0</v>
      </c>
      <c r="R694" s="9">
        <f t="shared" si="2"/>
        <v>0</v>
      </c>
      <c r="S694" s="14">
        <f t="shared" si="3"/>
        <v>0</v>
      </c>
      <c r="T694" s="15">
        <f>IFERROR(__xludf.DUMMYFUNCTION("IFERROR(PERCENTRANK.INC(FILTER(Q:Q,$F:$F&lt;&gt;""""),Q694)*100,"""")"),1.5)</f>
        <v>1.5</v>
      </c>
      <c r="U694" s="15">
        <f>IFERROR(__xludf.DUMMYFUNCTION("IFERROR(PERCENTRANK.INC(FILTER(R:R,$F:$F&lt;&gt;""""),R694)*100,"""")"),1.5)</f>
        <v>1.5</v>
      </c>
      <c r="V694" s="15">
        <f>IFERROR(__xludf.DUMMYFUNCTION("IFERROR(PERCENTRANK.INC(FILTER(S:S,$F:$F&lt;&gt;""""),S694)*100,"""")"),1.5)</f>
        <v>1.5</v>
      </c>
      <c r="W694" s="15" t="str">
        <f t="shared" si="4"/>
        <v/>
      </c>
      <c r="X694" s="16"/>
      <c r="Y694" s="9"/>
      <c r="Z694" s="9"/>
    </row>
    <row r="695">
      <c r="B695" t="str">
        <f t="array" ref="B695">IFERROR(INDEX('Player Raw Data'!E:E,Match($A695,'Player Raw Data'!$B:$B,0)),"")</f>
        <v/>
      </c>
      <c r="C695" t="str">
        <f t="array" ref="C695">IFERROR(INDEX('Player Raw Data'!C:C,Match($A695,'Player Raw Data'!$B:$B,0)),"")</f>
        <v/>
      </c>
      <c r="D695" t="str">
        <f t="array" ref="D695">IFERROR(IF(A695=A694, INDEX('Player Raw Data'!D:D,Match($A695,'Player Raw Data'!$B:$B,0)+2),INDEX('Player Raw Data'!D:D,Match($A695,'Player Raw Data'!$B:$B,0))),"")</f>
        <v/>
      </c>
      <c r="E695" t="str">
        <f t="array" ref="E695">IFERROR(INDEX('Player Raw Data'!F:F,Match($A695,'Player Raw Data'!$B:$B,0)),"")</f>
        <v/>
      </c>
      <c r="F695" t="str">
        <f t="array" ref="F695">IFERROR(INDEX('Player Raw Data'!H:H,Match($A695,'Player Raw Data'!$B:$B,0)),"")</f>
        <v/>
      </c>
      <c r="G695" t="str">
        <f t="array" ref="G695">IFERROR(INDEX('Player Raw Data'!I:I,Match($A695,'Player Raw Data'!$B:$B,0)),"")</f>
        <v/>
      </c>
      <c r="H695" t="str">
        <f t="array" ref="H695">IFERROR(INDEX('Player Raw Data'!J:J,Match($A695,'Player Raw Data'!$B:$B,0)),"")</f>
        <v/>
      </c>
      <c r="I695" t="str">
        <f t="array" ref="I695">IFERROR(INDEX('Player Raw Data'!S:S,Match($A695,'Player Raw Data'!$B:$B,0)),"")</f>
        <v/>
      </c>
      <c r="J695" t="str">
        <f t="array" ref="J695">IFERROR(INDEX('Player Raw Data'!T:T,Match($A695,'Player Raw Data'!$B:$B,0)),"")</f>
        <v/>
      </c>
      <c r="K695" t="str">
        <f t="array" ref="K695">IFERROR(INDEX('Player Raw Data'!X:X,Match($A695,'Player Raw Data'!$B:$B,0)),"")</f>
        <v/>
      </c>
      <c r="L695" t="str">
        <f t="array" ref="L695">IFERROR(INDEX('Player Raw Data'!Y:Y,Match($A695,'Player Raw Data'!$B:$B,0)),"")</f>
        <v/>
      </c>
      <c r="M695" t="str">
        <f t="array" ref="M695">IFERROR(INDEX('Player Raw Data'!Z:Z,Match($A695,'Player Raw Data'!$B:$B,0)),"")</f>
        <v/>
      </c>
      <c r="N695" t="str">
        <f t="array" ref="N695">IFERROR(INDEX('Player Raw Data'!AA:AA,Match($A695,'Player Raw Data'!$B:$B,0)),"")</f>
        <v/>
      </c>
      <c r="O695" t="str">
        <f t="array" ref="O695">IFERROR(INDEX('Player Raw Data'!AB:AB,Match($A695,'Player Raw Data'!$B:$B,0)),"")</f>
        <v/>
      </c>
      <c r="P695" t="str">
        <f t="array" ref="P695">IFERROR(INDEX('Player Raw Data'!AD:AD,Match($A695,'Player Raw Data'!$B:$B,0)),"")</f>
        <v/>
      </c>
      <c r="Q695">
        <f t="shared" si="1"/>
        <v>0</v>
      </c>
      <c r="R695" s="9">
        <f t="shared" si="2"/>
        <v>0</v>
      </c>
      <c r="S695" s="14">
        <f t="shared" si="3"/>
        <v>0</v>
      </c>
      <c r="T695" s="15">
        <f>IFERROR(__xludf.DUMMYFUNCTION("IFERROR(PERCENTRANK.INC(FILTER(Q:Q,$F:$F&lt;&gt;""""),Q695)*100,"""")"),1.5)</f>
        <v>1.5</v>
      </c>
      <c r="U695" s="15">
        <f>IFERROR(__xludf.DUMMYFUNCTION("IFERROR(PERCENTRANK.INC(FILTER(R:R,$F:$F&lt;&gt;""""),R695)*100,"""")"),1.5)</f>
        <v>1.5</v>
      </c>
      <c r="V695" s="15">
        <f>IFERROR(__xludf.DUMMYFUNCTION("IFERROR(PERCENTRANK.INC(FILTER(S:S,$F:$F&lt;&gt;""""),S695)*100,"""")"),1.5)</f>
        <v>1.5</v>
      </c>
      <c r="W695" s="15" t="str">
        <f t="shared" si="4"/>
        <v/>
      </c>
      <c r="X695" s="16"/>
      <c r="Y695" s="9"/>
      <c r="Z695" s="9"/>
    </row>
    <row r="696">
      <c r="B696" t="str">
        <f t="array" ref="B696">IFERROR(INDEX('Player Raw Data'!E:E,Match($A696,'Player Raw Data'!$B:$B,0)),"")</f>
        <v/>
      </c>
      <c r="C696" t="str">
        <f t="array" ref="C696">IFERROR(INDEX('Player Raw Data'!C:C,Match($A696,'Player Raw Data'!$B:$B,0)),"")</f>
        <v/>
      </c>
      <c r="D696" t="str">
        <f t="array" ref="D696">IFERROR(IF(A696=A695, INDEX('Player Raw Data'!D:D,Match($A696,'Player Raw Data'!$B:$B,0)+2),INDEX('Player Raw Data'!D:D,Match($A696,'Player Raw Data'!$B:$B,0))),"")</f>
        <v/>
      </c>
      <c r="E696" t="str">
        <f t="array" ref="E696">IFERROR(INDEX('Player Raw Data'!F:F,Match($A696,'Player Raw Data'!$B:$B,0)),"")</f>
        <v/>
      </c>
      <c r="F696" t="str">
        <f t="array" ref="F696">IFERROR(INDEX('Player Raw Data'!H:H,Match($A696,'Player Raw Data'!$B:$B,0)),"")</f>
        <v/>
      </c>
      <c r="G696" t="str">
        <f t="array" ref="G696">IFERROR(INDEX('Player Raw Data'!I:I,Match($A696,'Player Raw Data'!$B:$B,0)),"")</f>
        <v/>
      </c>
      <c r="H696" t="str">
        <f t="array" ref="H696">IFERROR(INDEX('Player Raw Data'!J:J,Match($A696,'Player Raw Data'!$B:$B,0)),"")</f>
        <v/>
      </c>
      <c r="I696" t="str">
        <f t="array" ref="I696">IFERROR(INDEX('Player Raw Data'!S:S,Match($A696,'Player Raw Data'!$B:$B,0)),"")</f>
        <v/>
      </c>
      <c r="J696" t="str">
        <f t="array" ref="J696">IFERROR(INDEX('Player Raw Data'!T:T,Match($A696,'Player Raw Data'!$B:$B,0)),"")</f>
        <v/>
      </c>
      <c r="K696" t="str">
        <f t="array" ref="K696">IFERROR(INDEX('Player Raw Data'!X:X,Match($A696,'Player Raw Data'!$B:$B,0)),"")</f>
        <v/>
      </c>
      <c r="L696" t="str">
        <f t="array" ref="L696">IFERROR(INDEX('Player Raw Data'!Y:Y,Match($A696,'Player Raw Data'!$B:$B,0)),"")</f>
        <v/>
      </c>
      <c r="M696" t="str">
        <f t="array" ref="M696">IFERROR(INDEX('Player Raw Data'!Z:Z,Match($A696,'Player Raw Data'!$B:$B,0)),"")</f>
        <v/>
      </c>
      <c r="N696" t="str">
        <f t="array" ref="N696">IFERROR(INDEX('Player Raw Data'!AA:AA,Match($A696,'Player Raw Data'!$B:$B,0)),"")</f>
        <v/>
      </c>
      <c r="O696" t="str">
        <f t="array" ref="O696">IFERROR(INDEX('Player Raw Data'!AB:AB,Match($A696,'Player Raw Data'!$B:$B,0)),"")</f>
        <v/>
      </c>
      <c r="P696" t="str">
        <f t="array" ref="P696">IFERROR(INDEX('Player Raw Data'!AD:AD,Match($A696,'Player Raw Data'!$B:$B,0)),"")</f>
        <v/>
      </c>
      <c r="Q696">
        <f t="shared" si="1"/>
        <v>0</v>
      </c>
      <c r="R696" s="9">
        <f t="shared" si="2"/>
        <v>0</v>
      </c>
      <c r="S696" s="14">
        <f t="shared" si="3"/>
        <v>0</v>
      </c>
      <c r="T696" s="15">
        <f>IFERROR(__xludf.DUMMYFUNCTION("IFERROR(PERCENTRANK.INC(FILTER(Q:Q,$F:$F&lt;&gt;""""),Q696)*100,"""")"),1.5)</f>
        <v>1.5</v>
      </c>
      <c r="U696" s="15">
        <f>IFERROR(__xludf.DUMMYFUNCTION("IFERROR(PERCENTRANK.INC(FILTER(R:R,$F:$F&lt;&gt;""""),R696)*100,"""")"),1.5)</f>
        <v>1.5</v>
      </c>
      <c r="V696" s="15">
        <f>IFERROR(__xludf.DUMMYFUNCTION("IFERROR(PERCENTRANK.INC(FILTER(S:S,$F:$F&lt;&gt;""""),S696)*100,"""")"),1.5)</f>
        <v>1.5</v>
      </c>
      <c r="W696" s="15" t="str">
        <f t="shared" si="4"/>
        <v/>
      </c>
      <c r="X696" s="16"/>
      <c r="Y696" s="9"/>
      <c r="Z696" s="9"/>
    </row>
    <row r="697">
      <c r="B697" t="str">
        <f t="array" ref="B697">IFERROR(INDEX('Player Raw Data'!E:E,Match($A697,'Player Raw Data'!$B:$B,0)),"")</f>
        <v/>
      </c>
      <c r="C697" t="str">
        <f t="array" ref="C697">IFERROR(INDEX('Player Raw Data'!C:C,Match($A697,'Player Raw Data'!$B:$B,0)),"")</f>
        <v/>
      </c>
      <c r="D697" t="str">
        <f t="array" ref="D697">IFERROR(IF(A697=A696, INDEX('Player Raw Data'!D:D,Match($A697,'Player Raw Data'!$B:$B,0)+2),INDEX('Player Raw Data'!D:D,Match($A697,'Player Raw Data'!$B:$B,0))),"")</f>
        <v/>
      </c>
      <c r="E697" t="str">
        <f t="array" ref="E697">IFERROR(INDEX('Player Raw Data'!F:F,Match($A697,'Player Raw Data'!$B:$B,0)),"")</f>
        <v/>
      </c>
      <c r="F697" t="str">
        <f t="array" ref="F697">IFERROR(INDEX('Player Raw Data'!H:H,Match($A697,'Player Raw Data'!$B:$B,0)),"")</f>
        <v/>
      </c>
      <c r="G697" t="str">
        <f t="array" ref="G697">IFERROR(INDEX('Player Raw Data'!I:I,Match($A697,'Player Raw Data'!$B:$B,0)),"")</f>
        <v/>
      </c>
      <c r="H697" t="str">
        <f t="array" ref="H697">IFERROR(INDEX('Player Raw Data'!J:J,Match($A697,'Player Raw Data'!$B:$B,0)),"")</f>
        <v/>
      </c>
      <c r="I697" t="str">
        <f t="array" ref="I697">IFERROR(INDEX('Player Raw Data'!S:S,Match($A697,'Player Raw Data'!$B:$B,0)),"")</f>
        <v/>
      </c>
      <c r="J697" t="str">
        <f t="array" ref="J697">IFERROR(INDEX('Player Raw Data'!T:T,Match($A697,'Player Raw Data'!$B:$B,0)),"")</f>
        <v/>
      </c>
      <c r="K697" t="str">
        <f t="array" ref="K697">IFERROR(INDEX('Player Raw Data'!X:X,Match($A697,'Player Raw Data'!$B:$B,0)),"")</f>
        <v/>
      </c>
      <c r="L697" t="str">
        <f t="array" ref="L697">IFERROR(INDEX('Player Raw Data'!Y:Y,Match($A697,'Player Raw Data'!$B:$B,0)),"")</f>
        <v/>
      </c>
      <c r="M697" t="str">
        <f t="array" ref="M697">IFERROR(INDEX('Player Raw Data'!Z:Z,Match($A697,'Player Raw Data'!$B:$B,0)),"")</f>
        <v/>
      </c>
      <c r="N697" t="str">
        <f t="array" ref="N697">IFERROR(INDEX('Player Raw Data'!AA:AA,Match($A697,'Player Raw Data'!$B:$B,0)),"")</f>
        <v/>
      </c>
      <c r="O697" t="str">
        <f t="array" ref="O697">IFERROR(INDEX('Player Raw Data'!AB:AB,Match($A697,'Player Raw Data'!$B:$B,0)),"")</f>
        <v/>
      </c>
      <c r="P697" t="str">
        <f t="array" ref="P697">IFERROR(INDEX('Player Raw Data'!AD:AD,Match($A697,'Player Raw Data'!$B:$B,0)),"")</f>
        <v/>
      </c>
      <c r="Q697">
        <f t="shared" si="1"/>
        <v>0</v>
      </c>
      <c r="R697" s="9">
        <f t="shared" si="2"/>
        <v>0</v>
      </c>
      <c r="S697" s="14">
        <f t="shared" si="3"/>
        <v>0</v>
      </c>
      <c r="T697" s="15">
        <f>IFERROR(__xludf.DUMMYFUNCTION("IFERROR(PERCENTRANK.INC(FILTER(Q:Q,$F:$F&lt;&gt;""""),Q697)*100,"""")"),1.5)</f>
        <v>1.5</v>
      </c>
      <c r="U697" s="15">
        <f>IFERROR(__xludf.DUMMYFUNCTION("IFERROR(PERCENTRANK.INC(FILTER(R:R,$F:$F&lt;&gt;""""),R697)*100,"""")"),1.5)</f>
        <v>1.5</v>
      </c>
      <c r="V697" s="15">
        <f>IFERROR(__xludf.DUMMYFUNCTION("IFERROR(PERCENTRANK.INC(FILTER(S:S,$F:$F&lt;&gt;""""),S697)*100,"""")"),1.5)</f>
        <v>1.5</v>
      </c>
      <c r="W697" s="15" t="str">
        <f t="shared" si="4"/>
        <v/>
      </c>
      <c r="X697" s="16"/>
      <c r="Y697" s="9"/>
      <c r="Z697" s="9"/>
    </row>
    <row r="698">
      <c r="B698" t="str">
        <f t="array" ref="B698">IFERROR(INDEX('Player Raw Data'!E:E,Match($A698,'Player Raw Data'!$B:$B,0)),"")</f>
        <v/>
      </c>
      <c r="C698" t="str">
        <f t="array" ref="C698">IFERROR(INDEX('Player Raw Data'!C:C,Match($A698,'Player Raw Data'!$B:$B,0)),"")</f>
        <v/>
      </c>
      <c r="D698" t="str">
        <f t="array" ref="D698">IFERROR(IF(A698=A697, INDEX('Player Raw Data'!D:D,Match($A698,'Player Raw Data'!$B:$B,0)+2),INDEX('Player Raw Data'!D:D,Match($A698,'Player Raw Data'!$B:$B,0))),"")</f>
        <v/>
      </c>
      <c r="E698" t="str">
        <f t="array" ref="E698">IFERROR(INDEX('Player Raw Data'!F:F,Match($A698,'Player Raw Data'!$B:$B,0)),"")</f>
        <v/>
      </c>
      <c r="F698" t="str">
        <f t="array" ref="F698">IFERROR(INDEX('Player Raw Data'!H:H,Match($A698,'Player Raw Data'!$B:$B,0)),"")</f>
        <v/>
      </c>
      <c r="G698" t="str">
        <f t="array" ref="G698">IFERROR(INDEX('Player Raw Data'!I:I,Match($A698,'Player Raw Data'!$B:$B,0)),"")</f>
        <v/>
      </c>
      <c r="H698" t="str">
        <f t="array" ref="H698">IFERROR(INDEX('Player Raw Data'!J:J,Match($A698,'Player Raw Data'!$B:$B,0)),"")</f>
        <v/>
      </c>
      <c r="I698" t="str">
        <f t="array" ref="I698">IFERROR(INDEX('Player Raw Data'!S:S,Match($A698,'Player Raw Data'!$B:$B,0)),"")</f>
        <v/>
      </c>
      <c r="J698" t="str">
        <f t="array" ref="J698">IFERROR(INDEX('Player Raw Data'!T:T,Match($A698,'Player Raw Data'!$B:$B,0)),"")</f>
        <v/>
      </c>
      <c r="K698" t="str">
        <f t="array" ref="K698">IFERROR(INDEX('Player Raw Data'!X:X,Match($A698,'Player Raw Data'!$B:$B,0)),"")</f>
        <v/>
      </c>
      <c r="L698" t="str">
        <f t="array" ref="L698">IFERROR(INDEX('Player Raw Data'!Y:Y,Match($A698,'Player Raw Data'!$B:$B,0)),"")</f>
        <v/>
      </c>
      <c r="M698" t="str">
        <f t="array" ref="M698">IFERROR(INDEX('Player Raw Data'!Z:Z,Match($A698,'Player Raw Data'!$B:$B,0)),"")</f>
        <v/>
      </c>
      <c r="N698" t="str">
        <f t="array" ref="N698">IFERROR(INDEX('Player Raw Data'!AA:AA,Match($A698,'Player Raw Data'!$B:$B,0)),"")</f>
        <v/>
      </c>
      <c r="O698" t="str">
        <f t="array" ref="O698">IFERROR(INDEX('Player Raw Data'!AB:AB,Match($A698,'Player Raw Data'!$B:$B,0)),"")</f>
        <v/>
      </c>
      <c r="P698" t="str">
        <f t="array" ref="P698">IFERROR(INDEX('Player Raw Data'!AD:AD,Match($A698,'Player Raw Data'!$B:$B,0)),"")</f>
        <v/>
      </c>
      <c r="Q698">
        <f t="shared" si="1"/>
        <v>0</v>
      </c>
      <c r="R698" s="9">
        <f t="shared" si="2"/>
        <v>0</v>
      </c>
      <c r="S698" s="14">
        <f t="shared" si="3"/>
        <v>0</v>
      </c>
      <c r="T698" s="15">
        <f>IFERROR(__xludf.DUMMYFUNCTION("IFERROR(PERCENTRANK.INC(FILTER(Q:Q,$F:$F&lt;&gt;""""),Q698)*100,"""")"),1.5)</f>
        <v>1.5</v>
      </c>
      <c r="U698" s="15">
        <f>IFERROR(__xludf.DUMMYFUNCTION("IFERROR(PERCENTRANK.INC(FILTER(R:R,$F:$F&lt;&gt;""""),R698)*100,"""")"),1.5)</f>
        <v>1.5</v>
      </c>
      <c r="V698" s="15">
        <f>IFERROR(__xludf.DUMMYFUNCTION("IFERROR(PERCENTRANK.INC(FILTER(S:S,$F:$F&lt;&gt;""""),S698)*100,"""")"),1.5)</f>
        <v>1.5</v>
      </c>
      <c r="W698" s="15" t="str">
        <f t="shared" si="4"/>
        <v/>
      </c>
      <c r="X698" s="16"/>
      <c r="Y698" s="9"/>
      <c r="Z698" s="9"/>
    </row>
    <row r="699">
      <c r="B699" t="str">
        <f t="array" ref="B699">IFERROR(INDEX('Player Raw Data'!E:E,Match($A699,'Player Raw Data'!$B:$B,0)),"")</f>
        <v/>
      </c>
      <c r="C699" t="str">
        <f t="array" ref="C699">IFERROR(INDEX('Player Raw Data'!C:C,Match($A699,'Player Raw Data'!$B:$B,0)),"")</f>
        <v/>
      </c>
      <c r="D699" t="str">
        <f t="array" ref="D699">IFERROR(IF(A699=A698, INDEX('Player Raw Data'!D:D,Match($A699,'Player Raw Data'!$B:$B,0)+2),INDEX('Player Raw Data'!D:D,Match($A699,'Player Raw Data'!$B:$B,0))),"")</f>
        <v/>
      </c>
      <c r="E699" t="str">
        <f t="array" ref="E699">IFERROR(INDEX('Player Raw Data'!F:F,Match($A699,'Player Raw Data'!$B:$B,0)),"")</f>
        <v/>
      </c>
      <c r="F699" t="str">
        <f t="array" ref="F699">IFERROR(INDEX('Player Raw Data'!H:H,Match($A699,'Player Raw Data'!$B:$B,0)),"")</f>
        <v/>
      </c>
      <c r="G699" t="str">
        <f t="array" ref="G699">IFERROR(INDEX('Player Raw Data'!I:I,Match($A699,'Player Raw Data'!$B:$B,0)),"")</f>
        <v/>
      </c>
      <c r="H699" t="str">
        <f t="array" ref="H699">IFERROR(INDEX('Player Raw Data'!J:J,Match($A699,'Player Raw Data'!$B:$B,0)),"")</f>
        <v/>
      </c>
      <c r="I699" t="str">
        <f t="array" ref="I699">IFERROR(INDEX('Player Raw Data'!S:S,Match($A699,'Player Raw Data'!$B:$B,0)),"")</f>
        <v/>
      </c>
      <c r="J699" t="str">
        <f t="array" ref="J699">IFERROR(INDEX('Player Raw Data'!T:T,Match($A699,'Player Raw Data'!$B:$B,0)),"")</f>
        <v/>
      </c>
      <c r="K699" t="str">
        <f t="array" ref="K699">IFERROR(INDEX('Player Raw Data'!X:X,Match($A699,'Player Raw Data'!$B:$B,0)),"")</f>
        <v/>
      </c>
      <c r="L699" t="str">
        <f t="array" ref="L699">IFERROR(INDEX('Player Raw Data'!Y:Y,Match($A699,'Player Raw Data'!$B:$B,0)),"")</f>
        <v/>
      </c>
      <c r="M699" t="str">
        <f t="array" ref="M699">IFERROR(INDEX('Player Raw Data'!Z:Z,Match($A699,'Player Raw Data'!$B:$B,0)),"")</f>
        <v/>
      </c>
      <c r="N699" t="str">
        <f t="array" ref="N699">IFERROR(INDEX('Player Raw Data'!AA:AA,Match($A699,'Player Raw Data'!$B:$B,0)),"")</f>
        <v/>
      </c>
      <c r="O699" t="str">
        <f t="array" ref="O699">IFERROR(INDEX('Player Raw Data'!AB:AB,Match($A699,'Player Raw Data'!$B:$B,0)),"")</f>
        <v/>
      </c>
      <c r="P699" t="str">
        <f t="array" ref="P699">IFERROR(INDEX('Player Raw Data'!AD:AD,Match($A699,'Player Raw Data'!$B:$B,0)),"")</f>
        <v/>
      </c>
      <c r="Q699">
        <f t="shared" si="1"/>
        <v>0</v>
      </c>
      <c r="R699" s="9">
        <f t="shared" si="2"/>
        <v>0</v>
      </c>
      <c r="S699" s="14">
        <f t="shared" si="3"/>
        <v>0</v>
      </c>
      <c r="T699" s="15">
        <f>IFERROR(__xludf.DUMMYFUNCTION("IFERROR(PERCENTRANK.INC(FILTER(Q:Q,$F:$F&lt;&gt;""""),Q699)*100,"""")"),1.5)</f>
        <v>1.5</v>
      </c>
      <c r="U699" s="15">
        <f>IFERROR(__xludf.DUMMYFUNCTION("IFERROR(PERCENTRANK.INC(FILTER(R:R,$F:$F&lt;&gt;""""),R699)*100,"""")"),1.5)</f>
        <v>1.5</v>
      </c>
      <c r="V699" s="15">
        <f>IFERROR(__xludf.DUMMYFUNCTION("IFERROR(PERCENTRANK.INC(FILTER(S:S,$F:$F&lt;&gt;""""),S699)*100,"""")"),1.5)</f>
        <v>1.5</v>
      </c>
      <c r="W699" s="15" t="str">
        <f t="shared" si="4"/>
        <v/>
      </c>
      <c r="X699" s="16"/>
      <c r="Y699" s="9"/>
      <c r="Z699" s="9"/>
    </row>
    <row r="700">
      <c r="B700" t="str">
        <f t="array" ref="B700">IFERROR(INDEX('Player Raw Data'!E:E,Match($A700,'Player Raw Data'!$B:$B,0)),"")</f>
        <v/>
      </c>
      <c r="C700" t="str">
        <f t="array" ref="C700">IFERROR(INDEX('Player Raw Data'!C:C,Match($A700,'Player Raw Data'!$B:$B,0)),"")</f>
        <v/>
      </c>
      <c r="D700" t="str">
        <f t="array" ref="D700">IFERROR(IF(A700=A699, INDEX('Player Raw Data'!D:D,Match($A700,'Player Raw Data'!$B:$B,0)+2),INDEX('Player Raw Data'!D:D,Match($A700,'Player Raw Data'!$B:$B,0))),"")</f>
        <v/>
      </c>
      <c r="E700" t="str">
        <f t="array" ref="E700">IFERROR(INDEX('Player Raw Data'!F:F,Match($A700,'Player Raw Data'!$B:$B,0)),"")</f>
        <v/>
      </c>
      <c r="F700" t="str">
        <f t="array" ref="F700">IFERROR(INDEX('Player Raw Data'!H:H,Match($A700,'Player Raw Data'!$B:$B,0)),"")</f>
        <v/>
      </c>
      <c r="G700" t="str">
        <f t="array" ref="G700">IFERROR(INDEX('Player Raw Data'!I:I,Match($A700,'Player Raw Data'!$B:$B,0)),"")</f>
        <v/>
      </c>
      <c r="H700" t="str">
        <f t="array" ref="H700">IFERROR(INDEX('Player Raw Data'!J:J,Match($A700,'Player Raw Data'!$B:$B,0)),"")</f>
        <v/>
      </c>
      <c r="I700" t="str">
        <f t="array" ref="I700">IFERROR(INDEX('Player Raw Data'!S:S,Match($A700,'Player Raw Data'!$B:$B,0)),"")</f>
        <v/>
      </c>
      <c r="J700" t="str">
        <f t="array" ref="J700">IFERROR(INDEX('Player Raw Data'!T:T,Match($A700,'Player Raw Data'!$B:$B,0)),"")</f>
        <v/>
      </c>
      <c r="K700" t="str">
        <f t="array" ref="K700">IFERROR(INDEX('Player Raw Data'!X:X,Match($A700,'Player Raw Data'!$B:$B,0)),"")</f>
        <v/>
      </c>
      <c r="L700" t="str">
        <f t="array" ref="L700">IFERROR(INDEX('Player Raw Data'!Y:Y,Match($A700,'Player Raw Data'!$B:$B,0)),"")</f>
        <v/>
      </c>
      <c r="M700" t="str">
        <f t="array" ref="M700">IFERROR(INDEX('Player Raw Data'!Z:Z,Match($A700,'Player Raw Data'!$B:$B,0)),"")</f>
        <v/>
      </c>
      <c r="N700" t="str">
        <f t="array" ref="N700">IFERROR(INDEX('Player Raw Data'!AA:AA,Match($A700,'Player Raw Data'!$B:$B,0)),"")</f>
        <v/>
      </c>
      <c r="O700" t="str">
        <f t="array" ref="O700">IFERROR(INDEX('Player Raw Data'!AB:AB,Match($A700,'Player Raw Data'!$B:$B,0)),"")</f>
        <v/>
      </c>
      <c r="P700" t="str">
        <f t="array" ref="P700">IFERROR(INDEX('Player Raw Data'!AD:AD,Match($A700,'Player Raw Data'!$B:$B,0)),"")</f>
        <v/>
      </c>
      <c r="Q700">
        <f t="shared" si="1"/>
        <v>0</v>
      </c>
      <c r="R700" s="9">
        <f t="shared" si="2"/>
        <v>0</v>
      </c>
      <c r="S700" s="14">
        <f t="shared" si="3"/>
        <v>0</v>
      </c>
      <c r="T700" s="15">
        <f>IFERROR(__xludf.DUMMYFUNCTION("IFERROR(PERCENTRANK.INC(FILTER(Q:Q,$F:$F&lt;&gt;""""),Q700)*100,"""")"),1.5)</f>
        <v>1.5</v>
      </c>
      <c r="U700" s="15">
        <f>IFERROR(__xludf.DUMMYFUNCTION("IFERROR(PERCENTRANK.INC(FILTER(R:R,$F:$F&lt;&gt;""""),R700)*100,"""")"),1.5)</f>
        <v>1.5</v>
      </c>
      <c r="V700" s="15">
        <f>IFERROR(__xludf.DUMMYFUNCTION("IFERROR(PERCENTRANK.INC(FILTER(S:S,$F:$F&lt;&gt;""""),S700)*100,"""")"),1.5)</f>
        <v>1.5</v>
      </c>
      <c r="W700" s="15" t="str">
        <f t="shared" si="4"/>
        <v/>
      </c>
      <c r="X700" s="16"/>
      <c r="Y700" s="9"/>
      <c r="Z700" s="9"/>
    </row>
    <row r="701">
      <c r="B701" t="str">
        <f t="array" ref="B701">IFERROR(INDEX('Player Raw Data'!E:E,Match($A701,'Player Raw Data'!$B:$B,0)),"")</f>
        <v/>
      </c>
      <c r="C701" t="str">
        <f t="array" ref="C701">IFERROR(INDEX('Player Raw Data'!C:C,Match($A701,'Player Raw Data'!$B:$B,0)),"")</f>
        <v/>
      </c>
      <c r="D701" t="str">
        <f t="array" ref="D701">IFERROR(IF(A701=A700, INDEX('Player Raw Data'!D:D,Match($A701,'Player Raw Data'!$B:$B,0)+2),INDEX('Player Raw Data'!D:D,Match($A701,'Player Raw Data'!$B:$B,0))),"")</f>
        <v/>
      </c>
      <c r="E701" t="str">
        <f t="array" ref="E701">IFERROR(INDEX('Player Raw Data'!F:F,Match($A701,'Player Raw Data'!$B:$B,0)),"")</f>
        <v/>
      </c>
      <c r="F701" t="str">
        <f t="array" ref="F701">IFERROR(INDEX('Player Raw Data'!H:H,Match($A701,'Player Raw Data'!$B:$B,0)),"")</f>
        <v/>
      </c>
      <c r="G701" t="str">
        <f t="array" ref="G701">IFERROR(INDEX('Player Raw Data'!I:I,Match($A701,'Player Raw Data'!$B:$B,0)),"")</f>
        <v/>
      </c>
      <c r="H701" t="str">
        <f t="array" ref="H701">IFERROR(INDEX('Player Raw Data'!J:J,Match($A701,'Player Raw Data'!$B:$B,0)),"")</f>
        <v/>
      </c>
      <c r="I701" t="str">
        <f t="array" ref="I701">IFERROR(INDEX('Player Raw Data'!S:S,Match($A701,'Player Raw Data'!$B:$B,0)),"")</f>
        <v/>
      </c>
      <c r="J701" t="str">
        <f t="array" ref="J701">IFERROR(INDEX('Player Raw Data'!T:T,Match($A701,'Player Raw Data'!$B:$B,0)),"")</f>
        <v/>
      </c>
      <c r="K701" t="str">
        <f t="array" ref="K701">IFERROR(INDEX('Player Raw Data'!X:X,Match($A701,'Player Raw Data'!$B:$B,0)),"")</f>
        <v/>
      </c>
      <c r="L701" t="str">
        <f t="array" ref="L701">IFERROR(INDEX('Player Raw Data'!Y:Y,Match($A701,'Player Raw Data'!$B:$B,0)),"")</f>
        <v/>
      </c>
      <c r="M701" t="str">
        <f t="array" ref="M701">IFERROR(INDEX('Player Raw Data'!Z:Z,Match($A701,'Player Raw Data'!$B:$B,0)),"")</f>
        <v/>
      </c>
      <c r="N701" t="str">
        <f t="array" ref="N701">IFERROR(INDEX('Player Raw Data'!AA:AA,Match($A701,'Player Raw Data'!$B:$B,0)),"")</f>
        <v/>
      </c>
      <c r="O701" t="str">
        <f t="array" ref="O701">IFERROR(INDEX('Player Raw Data'!AB:AB,Match($A701,'Player Raw Data'!$B:$B,0)),"")</f>
        <v/>
      </c>
      <c r="P701" t="str">
        <f t="array" ref="P701">IFERROR(INDEX('Player Raw Data'!AD:AD,Match($A701,'Player Raw Data'!$B:$B,0)),"")</f>
        <v/>
      </c>
      <c r="Q701">
        <f t="shared" si="1"/>
        <v>0</v>
      </c>
      <c r="R701" s="9">
        <f t="shared" si="2"/>
        <v>0</v>
      </c>
      <c r="S701" s="14">
        <f t="shared" si="3"/>
        <v>0</v>
      </c>
      <c r="T701" s="15">
        <f>IFERROR(__xludf.DUMMYFUNCTION("IFERROR(PERCENTRANK.INC(FILTER(Q:Q,$F:$F&lt;&gt;""""),Q701)*100,"""")"),1.5)</f>
        <v>1.5</v>
      </c>
      <c r="U701" s="15">
        <f>IFERROR(__xludf.DUMMYFUNCTION("IFERROR(PERCENTRANK.INC(FILTER(R:R,$F:$F&lt;&gt;""""),R701)*100,"""")"),1.5)</f>
        <v>1.5</v>
      </c>
      <c r="V701" s="15">
        <f>IFERROR(__xludf.DUMMYFUNCTION("IFERROR(PERCENTRANK.INC(FILTER(S:S,$F:$F&lt;&gt;""""),S701)*100,"""")"),1.5)</f>
        <v>1.5</v>
      </c>
      <c r="W701" s="15" t="str">
        <f t="shared" si="4"/>
        <v/>
      </c>
      <c r="X701" s="16"/>
      <c r="Y701" s="9"/>
      <c r="Z701" s="9"/>
    </row>
    <row r="702">
      <c r="B702" t="str">
        <f t="array" ref="B702">IFERROR(INDEX('Player Raw Data'!E:E,Match($A702,'Player Raw Data'!$B:$B,0)),"")</f>
        <v/>
      </c>
      <c r="C702" t="str">
        <f t="array" ref="C702">IFERROR(INDEX('Player Raw Data'!C:C,Match($A702,'Player Raw Data'!$B:$B,0)),"")</f>
        <v/>
      </c>
      <c r="D702" t="str">
        <f t="array" ref="D702">IFERROR(IF(A702=A701, INDEX('Player Raw Data'!D:D,Match($A702,'Player Raw Data'!$B:$B,0)+2),INDEX('Player Raw Data'!D:D,Match($A702,'Player Raw Data'!$B:$B,0))),"")</f>
        <v/>
      </c>
      <c r="E702" t="str">
        <f t="array" ref="E702">IFERROR(INDEX('Player Raw Data'!F:F,Match($A702,'Player Raw Data'!$B:$B,0)),"")</f>
        <v/>
      </c>
      <c r="F702" t="str">
        <f t="array" ref="F702">IFERROR(INDEX('Player Raw Data'!H:H,Match($A702,'Player Raw Data'!$B:$B,0)),"")</f>
        <v/>
      </c>
      <c r="G702" t="str">
        <f t="array" ref="G702">IFERROR(INDEX('Player Raw Data'!I:I,Match($A702,'Player Raw Data'!$B:$B,0)),"")</f>
        <v/>
      </c>
      <c r="H702" t="str">
        <f t="array" ref="H702">IFERROR(INDEX('Player Raw Data'!J:J,Match($A702,'Player Raw Data'!$B:$B,0)),"")</f>
        <v/>
      </c>
      <c r="I702" t="str">
        <f t="array" ref="I702">IFERROR(INDEX('Player Raw Data'!S:S,Match($A702,'Player Raw Data'!$B:$B,0)),"")</f>
        <v/>
      </c>
      <c r="J702" t="str">
        <f t="array" ref="J702">IFERROR(INDEX('Player Raw Data'!T:T,Match($A702,'Player Raw Data'!$B:$B,0)),"")</f>
        <v/>
      </c>
      <c r="K702" t="str">
        <f t="array" ref="K702">IFERROR(INDEX('Player Raw Data'!X:X,Match($A702,'Player Raw Data'!$B:$B,0)),"")</f>
        <v/>
      </c>
      <c r="L702" t="str">
        <f t="array" ref="L702">IFERROR(INDEX('Player Raw Data'!Y:Y,Match($A702,'Player Raw Data'!$B:$B,0)),"")</f>
        <v/>
      </c>
      <c r="M702" t="str">
        <f t="array" ref="M702">IFERROR(INDEX('Player Raw Data'!Z:Z,Match($A702,'Player Raw Data'!$B:$B,0)),"")</f>
        <v/>
      </c>
      <c r="N702" t="str">
        <f t="array" ref="N702">IFERROR(INDEX('Player Raw Data'!AA:AA,Match($A702,'Player Raw Data'!$B:$B,0)),"")</f>
        <v/>
      </c>
      <c r="O702" t="str">
        <f t="array" ref="O702">IFERROR(INDEX('Player Raw Data'!AB:AB,Match($A702,'Player Raw Data'!$B:$B,0)),"")</f>
        <v/>
      </c>
      <c r="P702" t="str">
        <f t="array" ref="P702">IFERROR(INDEX('Player Raw Data'!AD:AD,Match($A702,'Player Raw Data'!$B:$B,0)),"")</f>
        <v/>
      </c>
      <c r="Q702">
        <f t="shared" si="1"/>
        <v>0</v>
      </c>
      <c r="R702" s="9">
        <f t="shared" si="2"/>
        <v>0</v>
      </c>
      <c r="S702" s="14">
        <f t="shared" si="3"/>
        <v>0</v>
      </c>
      <c r="T702" s="15">
        <f>IFERROR(__xludf.DUMMYFUNCTION("IFERROR(PERCENTRANK.INC(FILTER(Q:Q,$F:$F&lt;&gt;""""),Q702)*100,"""")"),1.5)</f>
        <v>1.5</v>
      </c>
      <c r="U702" s="15">
        <f>IFERROR(__xludf.DUMMYFUNCTION("IFERROR(PERCENTRANK.INC(FILTER(R:R,$F:$F&lt;&gt;""""),R702)*100,"""")"),1.5)</f>
        <v>1.5</v>
      </c>
      <c r="V702" s="15">
        <f>IFERROR(__xludf.DUMMYFUNCTION("IFERROR(PERCENTRANK.INC(FILTER(S:S,$F:$F&lt;&gt;""""),S702)*100,"""")"),1.5)</f>
        <v>1.5</v>
      </c>
      <c r="W702" s="15" t="str">
        <f t="shared" si="4"/>
        <v/>
      </c>
      <c r="X702" s="16"/>
      <c r="Y702" s="9"/>
      <c r="Z702" s="9"/>
    </row>
    <row r="703">
      <c r="B703" t="str">
        <f t="array" ref="B703">IFERROR(INDEX('Player Raw Data'!E:E,Match($A703,'Player Raw Data'!$B:$B,0)),"")</f>
        <v/>
      </c>
      <c r="C703" t="str">
        <f t="array" ref="C703">IFERROR(INDEX('Player Raw Data'!C:C,Match($A703,'Player Raw Data'!$B:$B,0)),"")</f>
        <v/>
      </c>
      <c r="D703" t="str">
        <f t="array" ref="D703">IFERROR(IF(A703=A702, INDEX('Player Raw Data'!D:D,Match($A703,'Player Raw Data'!$B:$B,0)+2),INDEX('Player Raw Data'!D:D,Match($A703,'Player Raw Data'!$B:$B,0))),"")</f>
        <v/>
      </c>
      <c r="E703" t="str">
        <f t="array" ref="E703">IFERROR(INDEX('Player Raw Data'!F:F,Match($A703,'Player Raw Data'!$B:$B,0)),"")</f>
        <v/>
      </c>
      <c r="F703" t="str">
        <f t="array" ref="F703">IFERROR(INDEX('Player Raw Data'!H:H,Match($A703,'Player Raw Data'!$B:$B,0)),"")</f>
        <v/>
      </c>
      <c r="G703" t="str">
        <f t="array" ref="G703">IFERROR(INDEX('Player Raw Data'!I:I,Match($A703,'Player Raw Data'!$B:$B,0)),"")</f>
        <v/>
      </c>
      <c r="H703" t="str">
        <f t="array" ref="H703">IFERROR(INDEX('Player Raw Data'!J:J,Match($A703,'Player Raw Data'!$B:$B,0)),"")</f>
        <v/>
      </c>
      <c r="I703" t="str">
        <f t="array" ref="I703">IFERROR(INDEX('Player Raw Data'!S:S,Match($A703,'Player Raw Data'!$B:$B,0)),"")</f>
        <v/>
      </c>
      <c r="J703" t="str">
        <f t="array" ref="J703">IFERROR(INDEX('Player Raw Data'!T:T,Match($A703,'Player Raw Data'!$B:$B,0)),"")</f>
        <v/>
      </c>
      <c r="K703" t="str">
        <f t="array" ref="K703">IFERROR(INDEX('Player Raw Data'!X:X,Match($A703,'Player Raw Data'!$B:$B,0)),"")</f>
        <v/>
      </c>
      <c r="L703" t="str">
        <f t="array" ref="L703">IFERROR(INDEX('Player Raw Data'!Y:Y,Match($A703,'Player Raw Data'!$B:$B,0)),"")</f>
        <v/>
      </c>
      <c r="M703" t="str">
        <f t="array" ref="M703">IFERROR(INDEX('Player Raw Data'!Z:Z,Match($A703,'Player Raw Data'!$B:$B,0)),"")</f>
        <v/>
      </c>
      <c r="N703" t="str">
        <f t="array" ref="N703">IFERROR(INDEX('Player Raw Data'!AA:AA,Match($A703,'Player Raw Data'!$B:$B,0)),"")</f>
        <v/>
      </c>
      <c r="O703" t="str">
        <f t="array" ref="O703">IFERROR(INDEX('Player Raw Data'!AB:AB,Match($A703,'Player Raw Data'!$B:$B,0)),"")</f>
        <v/>
      </c>
      <c r="P703" t="str">
        <f t="array" ref="P703">IFERROR(INDEX('Player Raw Data'!AD:AD,Match($A703,'Player Raw Data'!$B:$B,0)),"")</f>
        <v/>
      </c>
      <c r="Q703">
        <f t="shared" si="1"/>
        <v>0</v>
      </c>
      <c r="R703" s="9">
        <f t="shared" si="2"/>
        <v>0</v>
      </c>
      <c r="S703" s="14">
        <f t="shared" si="3"/>
        <v>0</v>
      </c>
      <c r="T703" s="15">
        <f>IFERROR(__xludf.DUMMYFUNCTION("IFERROR(PERCENTRANK.INC(FILTER(Q:Q,$F:$F&lt;&gt;""""),Q703)*100,"""")"),1.5)</f>
        <v>1.5</v>
      </c>
      <c r="U703" s="15">
        <f>IFERROR(__xludf.DUMMYFUNCTION("IFERROR(PERCENTRANK.INC(FILTER(R:R,$F:$F&lt;&gt;""""),R703)*100,"""")"),1.5)</f>
        <v>1.5</v>
      </c>
      <c r="V703" s="15">
        <f>IFERROR(__xludf.DUMMYFUNCTION("IFERROR(PERCENTRANK.INC(FILTER(S:S,$F:$F&lt;&gt;""""),S703)*100,"""")"),1.5)</f>
        <v>1.5</v>
      </c>
      <c r="W703" s="15" t="str">
        <f t="shared" si="4"/>
        <v/>
      </c>
      <c r="X703" s="16"/>
      <c r="Y703" s="9"/>
      <c r="Z703" s="9"/>
    </row>
    <row r="704">
      <c r="B704" t="str">
        <f t="array" ref="B704">IFERROR(INDEX('Player Raw Data'!E:E,Match($A704,'Player Raw Data'!$B:$B,0)),"")</f>
        <v/>
      </c>
      <c r="C704" t="str">
        <f t="array" ref="C704">IFERROR(INDEX('Player Raw Data'!C:C,Match($A704,'Player Raw Data'!$B:$B,0)),"")</f>
        <v/>
      </c>
      <c r="D704" t="str">
        <f t="array" ref="D704">IFERROR(IF(A704=A703, INDEX('Player Raw Data'!D:D,Match($A704,'Player Raw Data'!$B:$B,0)+2),INDEX('Player Raw Data'!D:D,Match($A704,'Player Raw Data'!$B:$B,0))),"")</f>
        <v/>
      </c>
      <c r="E704" t="str">
        <f t="array" ref="E704">IFERROR(INDEX('Player Raw Data'!F:F,Match($A704,'Player Raw Data'!$B:$B,0)),"")</f>
        <v/>
      </c>
      <c r="F704" t="str">
        <f t="array" ref="F704">IFERROR(INDEX('Player Raw Data'!H:H,Match($A704,'Player Raw Data'!$B:$B,0)),"")</f>
        <v/>
      </c>
      <c r="G704" t="str">
        <f t="array" ref="G704">IFERROR(INDEX('Player Raw Data'!I:I,Match($A704,'Player Raw Data'!$B:$B,0)),"")</f>
        <v/>
      </c>
      <c r="H704" t="str">
        <f t="array" ref="H704">IFERROR(INDEX('Player Raw Data'!J:J,Match($A704,'Player Raw Data'!$B:$B,0)),"")</f>
        <v/>
      </c>
      <c r="I704" t="str">
        <f t="array" ref="I704">IFERROR(INDEX('Player Raw Data'!S:S,Match($A704,'Player Raw Data'!$B:$B,0)),"")</f>
        <v/>
      </c>
      <c r="J704" t="str">
        <f t="array" ref="J704">IFERROR(INDEX('Player Raw Data'!T:T,Match($A704,'Player Raw Data'!$B:$B,0)),"")</f>
        <v/>
      </c>
      <c r="K704" t="str">
        <f t="array" ref="K704">IFERROR(INDEX('Player Raw Data'!X:X,Match($A704,'Player Raw Data'!$B:$B,0)),"")</f>
        <v/>
      </c>
      <c r="L704" t="str">
        <f t="array" ref="L704">IFERROR(INDEX('Player Raw Data'!Y:Y,Match($A704,'Player Raw Data'!$B:$B,0)),"")</f>
        <v/>
      </c>
      <c r="M704" t="str">
        <f t="array" ref="M704">IFERROR(INDEX('Player Raw Data'!Z:Z,Match($A704,'Player Raw Data'!$B:$B,0)),"")</f>
        <v/>
      </c>
      <c r="N704" t="str">
        <f t="array" ref="N704">IFERROR(INDEX('Player Raw Data'!AA:AA,Match($A704,'Player Raw Data'!$B:$B,0)),"")</f>
        <v/>
      </c>
      <c r="O704" t="str">
        <f t="array" ref="O704">IFERROR(INDEX('Player Raw Data'!AB:AB,Match($A704,'Player Raw Data'!$B:$B,0)),"")</f>
        <v/>
      </c>
      <c r="P704" t="str">
        <f t="array" ref="P704">IFERROR(INDEX('Player Raw Data'!AD:AD,Match($A704,'Player Raw Data'!$B:$B,0)),"")</f>
        <v/>
      </c>
      <c r="Q704">
        <f t="shared" si="1"/>
        <v>0</v>
      </c>
      <c r="R704" s="9">
        <f t="shared" si="2"/>
        <v>0</v>
      </c>
      <c r="S704" s="14">
        <f t="shared" si="3"/>
        <v>0</v>
      </c>
      <c r="T704" s="15">
        <f>IFERROR(__xludf.DUMMYFUNCTION("IFERROR(PERCENTRANK.INC(FILTER(Q:Q,$F:$F&lt;&gt;""""),Q704)*100,"""")"),1.5)</f>
        <v>1.5</v>
      </c>
      <c r="U704" s="15">
        <f>IFERROR(__xludf.DUMMYFUNCTION("IFERROR(PERCENTRANK.INC(FILTER(R:R,$F:$F&lt;&gt;""""),R704)*100,"""")"),1.5)</f>
        <v>1.5</v>
      </c>
      <c r="V704" s="15">
        <f>IFERROR(__xludf.DUMMYFUNCTION("IFERROR(PERCENTRANK.INC(FILTER(S:S,$F:$F&lt;&gt;""""),S704)*100,"""")"),1.5)</f>
        <v>1.5</v>
      </c>
      <c r="W704" s="15" t="str">
        <f t="shared" si="4"/>
        <v/>
      </c>
      <c r="X704" s="16"/>
      <c r="Y704" s="9"/>
      <c r="Z704" s="9"/>
    </row>
    <row r="705">
      <c r="B705" t="str">
        <f t="array" ref="B705">IFERROR(INDEX('Player Raw Data'!E:E,Match($A705,'Player Raw Data'!$B:$B,0)),"")</f>
        <v/>
      </c>
      <c r="C705" t="str">
        <f t="array" ref="C705">IFERROR(INDEX('Player Raw Data'!C:C,Match($A705,'Player Raw Data'!$B:$B,0)),"")</f>
        <v/>
      </c>
      <c r="D705" t="str">
        <f t="array" ref="D705">IFERROR(IF(A705=A704, INDEX('Player Raw Data'!D:D,Match($A705,'Player Raw Data'!$B:$B,0)+2),INDEX('Player Raw Data'!D:D,Match($A705,'Player Raw Data'!$B:$B,0))),"")</f>
        <v/>
      </c>
      <c r="E705" t="str">
        <f t="array" ref="E705">IFERROR(INDEX('Player Raw Data'!F:F,Match($A705,'Player Raw Data'!$B:$B,0)),"")</f>
        <v/>
      </c>
      <c r="F705" t="str">
        <f t="array" ref="F705">IFERROR(INDEX('Player Raw Data'!H:H,Match($A705,'Player Raw Data'!$B:$B,0)),"")</f>
        <v/>
      </c>
      <c r="G705" t="str">
        <f t="array" ref="G705">IFERROR(INDEX('Player Raw Data'!I:I,Match($A705,'Player Raw Data'!$B:$B,0)),"")</f>
        <v/>
      </c>
      <c r="H705" t="str">
        <f t="array" ref="H705">IFERROR(INDEX('Player Raw Data'!J:J,Match($A705,'Player Raw Data'!$B:$B,0)),"")</f>
        <v/>
      </c>
      <c r="I705" t="str">
        <f t="array" ref="I705">IFERROR(INDEX('Player Raw Data'!S:S,Match($A705,'Player Raw Data'!$B:$B,0)),"")</f>
        <v/>
      </c>
      <c r="J705" t="str">
        <f t="array" ref="J705">IFERROR(INDEX('Player Raw Data'!T:T,Match($A705,'Player Raw Data'!$B:$B,0)),"")</f>
        <v/>
      </c>
      <c r="K705" t="str">
        <f t="array" ref="K705">IFERROR(INDEX('Player Raw Data'!X:X,Match($A705,'Player Raw Data'!$B:$B,0)),"")</f>
        <v/>
      </c>
      <c r="L705" t="str">
        <f t="array" ref="L705">IFERROR(INDEX('Player Raw Data'!Y:Y,Match($A705,'Player Raw Data'!$B:$B,0)),"")</f>
        <v/>
      </c>
      <c r="M705" t="str">
        <f t="array" ref="M705">IFERROR(INDEX('Player Raw Data'!Z:Z,Match($A705,'Player Raw Data'!$B:$B,0)),"")</f>
        <v/>
      </c>
      <c r="N705" t="str">
        <f t="array" ref="N705">IFERROR(INDEX('Player Raw Data'!AA:AA,Match($A705,'Player Raw Data'!$B:$B,0)),"")</f>
        <v/>
      </c>
      <c r="O705" t="str">
        <f t="array" ref="O705">IFERROR(INDEX('Player Raw Data'!AB:AB,Match($A705,'Player Raw Data'!$B:$B,0)),"")</f>
        <v/>
      </c>
      <c r="P705" t="str">
        <f t="array" ref="P705">IFERROR(INDEX('Player Raw Data'!AD:AD,Match($A705,'Player Raw Data'!$B:$B,0)),"")</f>
        <v/>
      </c>
      <c r="Q705">
        <f t="shared" si="1"/>
        <v>0</v>
      </c>
      <c r="R705" s="9">
        <f t="shared" si="2"/>
        <v>0</v>
      </c>
      <c r="S705" s="14">
        <f t="shared" si="3"/>
        <v>0</v>
      </c>
      <c r="T705" s="15">
        <f>IFERROR(__xludf.DUMMYFUNCTION("IFERROR(PERCENTRANK.INC(FILTER(Q:Q,$F:$F&lt;&gt;""""),Q705)*100,"""")"),1.5)</f>
        <v>1.5</v>
      </c>
      <c r="U705" s="15">
        <f>IFERROR(__xludf.DUMMYFUNCTION("IFERROR(PERCENTRANK.INC(FILTER(R:R,$F:$F&lt;&gt;""""),R705)*100,"""")"),1.5)</f>
        <v>1.5</v>
      </c>
      <c r="V705" s="15">
        <f>IFERROR(__xludf.DUMMYFUNCTION("IFERROR(PERCENTRANK.INC(FILTER(S:S,$F:$F&lt;&gt;""""),S705)*100,"""")"),1.5)</f>
        <v>1.5</v>
      </c>
      <c r="W705" s="15" t="str">
        <f t="shared" si="4"/>
        <v/>
      </c>
      <c r="X705" s="16"/>
      <c r="Y705" s="9"/>
      <c r="Z705" s="9"/>
    </row>
    <row r="706">
      <c r="B706" t="str">
        <f t="array" ref="B706">IFERROR(INDEX('Player Raw Data'!E:E,Match($A706,'Player Raw Data'!$B:$B,0)),"")</f>
        <v/>
      </c>
      <c r="C706" t="str">
        <f t="array" ref="C706">IFERROR(INDEX('Player Raw Data'!C:C,Match($A706,'Player Raw Data'!$B:$B,0)),"")</f>
        <v/>
      </c>
      <c r="D706" t="str">
        <f t="array" ref="D706">IFERROR(IF(A706=A705, INDEX('Player Raw Data'!D:D,Match($A706,'Player Raw Data'!$B:$B,0)+2),INDEX('Player Raw Data'!D:D,Match($A706,'Player Raw Data'!$B:$B,0))),"")</f>
        <v/>
      </c>
      <c r="E706" t="str">
        <f t="array" ref="E706">IFERROR(INDEX('Player Raw Data'!F:F,Match($A706,'Player Raw Data'!$B:$B,0)),"")</f>
        <v/>
      </c>
      <c r="F706" t="str">
        <f t="array" ref="F706">IFERROR(INDEX('Player Raw Data'!H:H,Match($A706,'Player Raw Data'!$B:$B,0)),"")</f>
        <v/>
      </c>
      <c r="G706" t="str">
        <f t="array" ref="G706">IFERROR(INDEX('Player Raw Data'!I:I,Match($A706,'Player Raw Data'!$B:$B,0)),"")</f>
        <v/>
      </c>
      <c r="H706" t="str">
        <f t="array" ref="H706">IFERROR(INDEX('Player Raw Data'!J:J,Match($A706,'Player Raw Data'!$B:$B,0)),"")</f>
        <v/>
      </c>
      <c r="I706" t="str">
        <f t="array" ref="I706">IFERROR(INDEX('Player Raw Data'!S:S,Match($A706,'Player Raw Data'!$B:$B,0)),"")</f>
        <v/>
      </c>
      <c r="J706" t="str">
        <f t="array" ref="J706">IFERROR(INDEX('Player Raw Data'!T:T,Match($A706,'Player Raw Data'!$B:$B,0)),"")</f>
        <v/>
      </c>
      <c r="K706" t="str">
        <f t="array" ref="K706">IFERROR(INDEX('Player Raw Data'!X:X,Match($A706,'Player Raw Data'!$B:$B,0)),"")</f>
        <v/>
      </c>
      <c r="L706" t="str">
        <f t="array" ref="L706">IFERROR(INDEX('Player Raw Data'!Y:Y,Match($A706,'Player Raw Data'!$B:$B,0)),"")</f>
        <v/>
      </c>
      <c r="M706" t="str">
        <f t="array" ref="M706">IFERROR(INDEX('Player Raw Data'!Z:Z,Match($A706,'Player Raw Data'!$B:$B,0)),"")</f>
        <v/>
      </c>
      <c r="N706" t="str">
        <f t="array" ref="N706">IFERROR(INDEX('Player Raw Data'!AA:AA,Match($A706,'Player Raw Data'!$B:$B,0)),"")</f>
        <v/>
      </c>
      <c r="O706" t="str">
        <f t="array" ref="O706">IFERROR(INDEX('Player Raw Data'!AB:AB,Match($A706,'Player Raw Data'!$B:$B,0)),"")</f>
        <v/>
      </c>
      <c r="P706" t="str">
        <f t="array" ref="P706">IFERROR(INDEX('Player Raw Data'!AD:AD,Match($A706,'Player Raw Data'!$B:$B,0)),"")</f>
        <v/>
      </c>
      <c r="Q706">
        <f t="shared" si="1"/>
        <v>0</v>
      </c>
      <c r="R706" s="9">
        <f t="shared" si="2"/>
        <v>0</v>
      </c>
      <c r="S706" s="14">
        <f t="shared" si="3"/>
        <v>0</v>
      </c>
      <c r="T706" s="15">
        <f>IFERROR(__xludf.DUMMYFUNCTION("IFERROR(PERCENTRANK.INC(FILTER(Q:Q,$F:$F&lt;&gt;""""),Q706)*100,"""")"),1.5)</f>
        <v>1.5</v>
      </c>
      <c r="U706" s="15">
        <f>IFERROR(__xludf.DUMMYFUNCTION("IFERROR(PERCENTRANK.INC(FILTER(R:R,$F:$F&lt;&gt;""""),R706)*100,"""")"),1.5)</f>
        <v>1.5</v>
      </c>
      <c r="V706" s="15">
        <f>IFERROR(__xludf.DUMMYFUNCTION("IFERROR(PERCENTRANK.INC(FILTER(S:S,$F:$F&lt;&gt;""""),S706)*100,"""")"),1.5)</f>
        <v>1.5</v>
      </c>
      <c r="W706" s="15" t="str">
        <f t="shared" si="4"/>
        <v/>
      </c>
      <c r="X706" s="16"/>
      <c r="Y706" s="9"/>
      <c r="Z706" s="9"/>
    </row>
    <row r="707">
      <c r="B707" t="str">
        <f t="array" ref="B707">IFERROR(INDEX('Player Raw Data'!E:E,Match($A707,'Player Raw Data'!$B:$B,0)),"")</f>
        <v/>
      </c>
      <c r="C707" t="str">
        <f t="array" ref="C707">IFERROR(INDEX('Player Raw Data'!C:C,Match($A707,'Player Raw Data'!$B:$B,0)),"")</f>
        <v/>
      </c>
      <c r="D707" t="str">
        <f t="array" ref="D707">IFERROR(IF(A707=A706, INDEX('Player Raw Data'!D:D,Match($A707,'Player Raw Data'!$B:$B,0)+2),INDEX('Player Raw Data'!D:D,Match($A707,'Player Raw Data'!$B:$B,0))),"")</f>
        <v/>
      </c>
      <c r="E707" t="str">
        <f t="array" ref="E707">IFERROR(INDEX('Player Raw Data'!F:F,Match($A707,'Player Raw Data'!$B:$B,0)),"")</f>
        <v/>
      </c>
      <c r="F707" t="str">
        <f t="array" ref="F707">IFERROR(INDEX('Player Raw Data'!H:H,Match($A707,'Player Raw Data'!$B:$B,0)),"")</f>
        <v/>
      </c>
      <c r="G707" t="str">
        <f t="array" ref="G707">IFERROR(INDEX('Player Raw Data'!I:I,Match($A707,'Player Raw Data'!$B:$B,0)),"")</f>
        <v/>
      </c>
      <c r="H707" t="str">
        <f t="array" ref="H707">IFERROR(INDEX('Player Raw Data'!J:J,Match($A707,'Player Raw Data'!$B:$B,0)),"")</f>
        <v/>
      </c>
      <c r="I707" t="str">
        <f t="array" ref="I707">IFERROR(INDEX('Player Raw Data'!S:S,Match($A707,'Player Raw Data'!$B:$B,0)),"")</f>
        <v/>
      </c>
      <c r="J707" t="str">
        <f t="array" ref="J707">IFERROR(INDEX('Player Raw Data'!T:T,Match($A707,'Player Raw Data'!$B:$B,0)),"")</f>
        <v/>
      </c>
      <c r="K707" t="str">
        <f t="array" ref="K707">IFERROR(INDEX('Player Raw Data'!X:X,Match($A707,'Player Raw Data'!$B:$B,0)),"")</f>
        <v/>
      </c>
      <c r="L707" t="str">
        <f t="array" ref="L707">IFERROR(INDEX('Player Raw Data'!Y:Y,Match($A707,'Player Raw Data'!$B:$B,0)),"")</f>
        <v/>
      </c>
      <c r="M707" t="str">
        <f t="array" ref="M707">IFERROR(INDEX('Player Raw Data'!Z:Z,Match($A707,'Player Raw Data'!$B:$B,0)),"")</f>
        <v/>
      </c>
      <c r="N707" t="str">
        <f t="array" ref="N707">IFERROR(INDEX('Player Raw Data'!AA:AA,Match($A707,'Player Raw Data'!$B:$B,0)),"")</f>
        <v/>
      </c>
      <c r="O707" t="str">
        <f t="array" ref="O707">IFERROR(INDEX('Player Raw Data'!AB:AB,Match($A707,'Player Raw Data'!$B:$B,0)),"")</f>
        <v/>
      </c>
      <c r="P707" t="str">
        <f t="array" ref="P707">IFERROR(INDEX('Player Raw Data'!AD:AD,Match($A707,'Player Raw Data'!$B:$B,0)),"")</f>
        <v/>
      </c>
      <c r="Q707">
        <f t="shared" si="1"/>
        <v>0</v>
      </c>
      <c r="R707" s="9">
        <f t="shared" si="2"/>
        <v>0</v>
      </c>
      <c r="S707" s="14">
        <f t="shared" si="3"/>
        <v>0</v>
      </c>
      <c r="T707" s="15">
        <f>IFERROR(__xludf.DUMMYFUNCTION("IFERROR(PERCENTRANK.INC(FILTER(Q:Q,$F:$F&lt;&gt;""""),Q707)*100,"""")"),1.5)</f>
        <v>1.5</v>
      </c>
      <c r="U707" s="15">
        <f>IFERROR(__xludf.DUMMYFUNCTION("IFERROR(PERCENTRANK.INC(FILTER(R:R,$F:$F&lt;&gt;""""),R707)*100,"""")"),1.5)</f>
        <v>1.5</v>
      </c>
      <c r="V707" s="15">
        <f>IFERROR(__xludf.DUMMYFUNCTION("IFERROR(PERCENTRANK.INC(FILTER(S:S,$F:$F&lt;&gt;""""),S707)*100,"""")"),1.5)</f>
        <v>1.5</v>
      </c>
      <c r="W707" s="15" t="str">
        <f t="shared" si="4"/>
        <v/>
      </c>
      <c r="X707" s="16"/>
      <c r="Y707" s="9"/>
      <c r="Z707" s="9"/>
    </row>
    <row r="708">
      <c r="B708" t="str">
        <f t="array" ref="B708">IFERROR(INDEX('Player Raw Data'!E:E,Match($A708,'Player Raw Data'!$B:$B,0)),"")</f>
        <v/>
      </c>
      <c r="C708" t="str">
        <f t="array" ref="C708">IFERROR(INDEX('Player Raw Data'!C:C,Match($A708,'Player Raw Data'!$B:$B,0)),"")</f>
        <v/>
      </c>
      <c r="D708" t="str">
        <f t="array" ref="D708">IFERROR(IF(A708=A707, INDEX('Player Raw Data'!D:D,Match($A708,'Player Raw Data'!$B:$B,0)+2),INDEX('Player Raw Data'!D:D,Match($A708,'Player Raw Data'!$B:$B,0))),"")</f>
        <v/>
      </c>
      <c r="E708" t="str">
        <f t="array" ref="E708">IFERROR(INDEX('Player Raw Data'!F:F,Match($A708,'Player Raw Data'!$B:$B,0)),"")</f>
        <v/>
      </c>
      <c r="F708" t="str">
        <f t="array" ref="F708">IFERROR(INDEX('Player Raw Data'!H:H,Match($A708,'Player Raw Data'!$B:$B,0)),"")</f>
        <v/>
      </c>
      <c r="G708" t="str">
        <f t="array" ref="G708">IFERROR(INDEX('Player Raw Data'!I:I,Match($A708,'Player Raw Data'!$B:$B,0)),"")</f>
        <v/>
      </c>
      <c r="H708" t="str">
        <f t="array" ref="H708">IFERROR(INDEX('Player Raw Data'!J:J,Match($A708,'Player Raw Data'!$B:$B,0)),"")</f>
        <v/>
      </c>
      <c r="I708" t="str">
        <f t="array" ref="I708">IFERROR(INDEX('Player Raw Data'!S:S,Match($A708,'Player Raw Data'!$B:$B,0)),"")</f>
        <v/>
      </c>
      <c r="J708" t="str">
        <f t="array" ref="J708">IFERROR(INDEX('Player Raw Data'!T:T,Match($A708,'Player Raw Data'!$B:$B,0)),"")</f>
        <v/>
      </c>
      <c r="K708" t="str">
        <f t="array" ref="K708">IFERROR(INDEX('Player Raw Data'!X:X,Match($A708,'Player Raw Data'!$B:$B,0)),"")</f>
        <v/>
      </c>
      <c r="L708" t="str">
        <f t="array" ref="L708">IFERROR(INDEX('Player Raw Data'!Y:Y,Match($A708,'Player Raw Data'!$B:$B,0)),"")</f>
        <v/>
      </c>
      <c r="M708" t="str">
        <f t="array" ref="M708">IFERROR(INDEX('Player Raw Data'!Z:Z,Match($A708,'Player Raw Data'!$B:$B,0)),"")</f>
        <v/>
      </c>
      <c r="N708" t="str">
        <f t="array" ref="N708">IFERROR(INDEX('Player Raw Data'!AA:AA,Match($A708,'Player Raw Data'!$B:$B,0)),"")</f>
        <v/>
      </c>
      <c r="O708" t="str">
        <f t="array" ref="O708">IFERROR(INDEX('Player Raw Data'!AB:AB,Match($A708,'Player Raw Data'!$B:$B,0)),"")</f>
        <v/>
      </c>
      <c r="P708" t="str">
        <f t="array" ref="P708">IFERROR(INDEX('Player Raw Data'!AD:AD,Match($A708,'Player Raw Data'!$B:$B,0)),"")</f>
        <v/>
      </c>
      <c r="Q708">
        <f t="shared" si="1"/>
        <v>0</v>
      </c>
      <c r="R708" s="9">
        <f t="shared" si="2"/>
        <v>0</v>
      </c>
      <c r="S708" s="14">
        <f t="shared" si="3"/>
        <v>0</v>
      </c>
      <c r="T708" s="15">
        <f>IFERROR(__xludf.DUMMYFUNCTION("IFERROR(PERCENTRANK.INC(FILTER(Q:Q,$F:$F&lt;&gt;""""),Q708)*100,"""")"),1.5)</f>
        <v>1.5</v>
      </c>
      <c r="U708" s="15">
        <f>IFERROR(__xludf.DUMMYFUNCTION("IFERROR(PERCENTRANK.INC(FILTER(R:R,$F:$F&lt;&gt;""""),R708)*100,"""")"),1.5)</f>
        <v>1.5</v>
      </c>
      <c r="V708" s="15">
        <f>IFERROR(__xludf.DUMMYFUNCTION("IFERROR(PERCENTRANK.INC(FILTER(S:S,$F:$F&lt;&gt;""""),S708)*100,"""")"),1.5)</f>
        <v>1.5</v>
      </c>
      <c r="W708" s="15" t="str">
        <f t="shared" si="4"/>
        <v/>
      </c>
      <c r="X708" s="16"/>
      <c r="Y708" s="9"/>
      <c r="Z708" s="9"/>
    </row>
    <row r="709">
      <c r="B709" t="str">
        <f t="array" ref="B709">IFERROR(INDEX('Player Raw Data'!E:E,Match($A709,'Player Raw Data'!$B:$B,0)),"")</f>
        <v/>
      </c>
      <c r="C709" t="str">
        <f t="array" ref="C709">IFERROR(INDEX('Player Raw Data'!C:C,Match($A709,'Player Raw Data'!$B:$B,0)),"")</f>
        <v/>
      </c>
      <c r="D709" t="str">
        <f t="array" ref="D709">IFERROR(IF(A709=A708, INDEX('Player Raw Data'!D:D,Match($A709,'Player Raw Data'!$B:$B,0)+2),INDEX('Player Raw Data'!D:D,Match($A709,'Player Raw Data'!$B:$B,0))),"")</f>
        <v/>
      </c>
      <c r="E709" t="str">
        <f t="array" ref="E709">IFERROR(INDEX('Player Raw Data'!F:F,Match($A709,'Player Raw Data'!$B:$B,0)),"")</f>
        <v/>
      </c>
      <c r="F709" t="str">
        <f t="array" ref="F709">IFERROR(INDEX('Player Raw Data'!H:H,Match($A709,'Player Raw Data'!$B:$B,0)),"")</f>
        <v/>
      </c>
      <c r="G709" t="str">
        <f t="array" ref="G709">IFERROR(INDEX('Player Raw Data'!I:I,Match($A709,'Player Raw Data'!$B:$B,0)),"")</f>
        <v/>
      </c>
      <c r="H709" t="str">
        <f t="array" ref="H709">IFERROR(INDEX('Player Raw Data'!J:J,Match($A709,'Player Raw Data'!$B:$B,0)),"")</f>
        <v/>
      </c>
      <c r="I709" t="str">
        <f t="array" ref="I709">IFERROR(INDEX('Player Raw Data'!S:S,Match($A709,'Player Raw Data'!$B:$B,0)),"")</f>
        <v/>
      </c>
      <c r="J709" t="str">
        <f t="array" ref="J709">IFERROR(INDEX('Player Raw Data'!T:T,Match($A709,'Player Raw Data'!$B:$B,0)),"")</f>
        <v/>
      </c>
      <c r="K709" t="str">
        <f t="array" ref="K709">IFERROR(INDEX('Player Raw Data'!X:X,Match($A709,'Player Raw Data'!$B:$B,0)),"")</f>
        <v/>
      </c>
      <c r="L709" t="str">
        <f t="array" ref="L709">IFERROR(INDEX('Player Raw Data'!Y:Y,Match($A709,'Player Raw Data'!$B:$B,0)),"")</f>
        <v/>
      </c>
      <c r="M709" t="str">
        <f t="array" ref="M709">IFERROR(INDEX('Player Raw Data'!Z:Z,Match($A709,'Player Raw Data'!$B:$B,0)),"")</f>
        <v/>
      </c>
      <c r="N709" t="str">
        <f t="array" ref="N709">IFERROR(INDEX('Player Raw Data'!AA:AA,Match($A709,'Player Raw Data'!$B:$B,0)),"")</f>
        <v/>
      </c>
      <c r="O709" t="str">
        <f t="array" ref="O709">IFERROR(INDEX('Player Raw Data'!AB:AB,Match($A709,'Player Raw Data'!$B:$B,0)),"")</f>
        <v/>
      </c>
      <c r="P709" t="str">
        <f t="array" ref="P709">IFERROR(INDEX('Player Raw Data'!AD:AD,Match($A709,'Player Raw Data'!$B:$B,0)),"")</f>
        <v/>
      </c>
      <c r="Q709">
        <f t="shared" si="1"/>
        <v>0</v>
      </c>
      <c r="R709" s="9">
        <f t="shared" si="2"/>
        <v>0</v>
      </c>
      <c r="S709" s="14">
        <f t="shared" si="3"/>
        <v>0</v>
      </c>
      <c r="T709" s="15">
        <f>IFERROR(__xludf.DUMMYFUNCTION("IFERROR(PERCENTRANK.INC(FILTER(Q:Q,$F:$F&lt;&gt;""""),Q709)*100,"""")"),1.5)</f>
        <v>1.5</v>
      </c>
      <c r="U709" s="15">
        <f>IFERROR(__xludf.DUMMYFUNCTION("IFERROR(PERCENTRANK.INC(FILTER(R:R,$F:$F&lt;&gt;""""),R709)*100,"""")"),1.5)</f>
        <v>1.5</v>
      </c>
      <c r="V709" s="15">
        <f>IFERROR(__xludf.DUMMYFUNCTION("IFERROR(PERCENTRANK.INC(FILTER(S:S,$F:$F&lt;&gt;""""),S709)*100,"""")"),1.5)</f>
        <v>1.5</v>
      </c>
      <c r="W709" s="15" t="str">
        <f t="shared" si="4"/>
        <v/>
      </c>
      <c r="X709" s="16"/>
      <c r="Y709" s="9"/>
      <c r="Z709" s="9"/>
    </row>
    <row r="710">
      <c r="B710" t="str">
        <f t="array" ref="B710">IFERROR(INDEX('Player Raw Data'!E:E,Match($A710,'Player Raw Data'!$B:$B,0)),"")</f>
        <v/>
      </c>
      <c r="C710" t="str">
        <f t="array" ref="C710">IFERROR(INDEX('Player Raw Data'!C:C,Match($A710,'Player Raw Data'!$B:$B,0)),"")</f>
        <v/>
      </c>
      <c r="D710" t="str">
        <f t="array" ref="D710">IFERROR(IF(A710=A709, INDEX('Player Raw Data'!D:D,Match($A710,'Player Raw Data'!$B:$B,0)+2),INDEX('Player Raw Data'!D:D,Match($A710,'Player Raw Data'!$B:$B,0))),"")</f>
        <v/>
      </c>
      <c r="E710" t="str">
        <f t="array" ref="E710">IFERROR(INDEX('Player Raw Data'!F:F,Match($A710,'Player Raw Data'!$B:$B,0)),"")</f>
        <v/>
      </c>
      <c r="F710" t="str">
        <f t="array" ref="F710">IFERROR(INDEX('Player Raw Data'!H:H,Match($A710,'Player Raw Data'!$B:$B,0)),"")</f>
        <v/>
      </c>
      <c r="G710" t="str">
        <f t="array" ref="G710">IFERROR(INDEX('Player Raw Data'!I:I,Match($A710,'Player Raw Data'!$B:$B,0)),"")</f>
        <v/>
      </c>
      <c r="H710" t="str">
        <f t="array" ref="H710">IFERROR(INDEX('Player Raw Data'!J:J,Match($A710,'Player Raw Data'!$B:$B,0)),"")</f>
        <v/>
      </c>
      <c r="I710" t="str">
        <f t="array" ref="I710">IFERROR(INDEX('Player Raw Data'!S:S,Match($A710,'Player Raw Data'!$B:$B,0)),"")</f>
        <v/>
      </c>
      <c r="J710" t="str">
        <f t="array" ref="J710">IFERROR(INDEX('Player Raw Data'!T:T,Match($A710,'Player Raw Data'!$B:$B,0)),"")</f>
        <v/>
      </c>
      <c r="K710" t="str">
        <f t="array" ref="K710">IFERROR(INDEX('Player Raw Data'!X:X,Match($A710,'Player Raw Data'!$B:$B,0)),"")</f>
        <v/>
      </c>
      <c r="L710" t="str">
        <f t="array" ref="L710">IFERROR(INDEX('Player Raw Data'!Y:Y,Match($A710,'Player Raw Data'!$B:$B,0)),"")</f>
        <v/>
      </c>
      <c r="M710" t="str">
        <f t="array" ref="M710">IFERROR(INDEX('Player Raw Data'!Z:Z,Match($A710,'Player Raw Data'!$B:$B,0)),"")</f>
        <v/>
      </c>
      <c r="N710" t="str">
        <f t="array" ref="N710">IFERROR(INDEX('Player Raw Data'!AA:AA,Match($A710,'Player Raw Data'!$B:$B,0)),"")</f>
        <v/>
      </c>
      <c r="O710" t="str">
        <f t="array" ref="O710">IFERROR(INDEX('Player Raw Data'!AB:AB,Match($A710,'Player Raw Data'!$B:$B,0)),"")</f>
        <v/>
      </c>
      <c r="P710" t="str">
        <f t="array" ref="P710">IFERROR(INDEX('Player Raw Data'!AD:AD,Match($A710,'Player Raw Data'!$B:$B,0)),"")</f>
        <v/>
      </c>
      <c r="Q710">
        <f t="shared" si="1"/>
        <v>0</v>
      </c>
      <c r="R710" s="9">
        <f t="shared" si="2"/>
        <v>0</v>
      </c>
      <c r="S710" s="14">
        <f t="shared" si="3"/>
        <v>0</v>
      </c>
      <c r="T710" s="15">
        <f>IFERROR(__xludf.DUMMYFUNCTION("IFERROR(PERCENTRANK.INC(FILTER(Q:Q,$F:$F&lt;&gt;""""),Q710)*100,"""")"),1.5)</f>
        <v>1.5</v>
      </c>
      <c r="U710" s="15">
        <f>IFERROR(__xludf.DUMMYFUNCTION("IFERROR(PERCENTRANK.INC(FILTER(R:R,$F:$F&lt;&gt;""""),R710)*100,"""")"),1.5)</f>
        <v>1.5</v>
      </c>
      <c r="V710" s="15">
        <f>IFERROR(__xludf.DUMMYFUNCTION("IFERROR(PERCENTRANK.INC(FILTER(S:S,$F:$F&lt;&gt;""""),S710)*100,"""")"),1.5)</f>
        <v>1.5</v>
      </c>
      <c r="W710" s="15" t="str">
        <f t="shared" si="4"/>
        <v/>
      </c>
      <c r="X710" s="16"/>
      <c r="Y710" s="9"/>
      <c r="Z710" s="9"/>
    </row>
    <row r="711">
      <c r="B711" t="str">
        <f t="array" ref="B711">IFERROR(INDEX('Player Raw Data'!E:E,Match($A711,'Player Raw Data'!$B:$B,0)),"")</f>
        <v/>
      </c>
      <c r="C711" t="str">
        <f t="array" ref="C711">IFERROR(INDEX('Player Raw Data'!C:C,Match($A711,'Player Raw Data'!$B:$B,0)),"")</f>
        <v/>
      </c>
      <c r="D711" t="str">
        <f t="array" ref="D711">IFERROR(IF(A711=A710, INDEX('Player Raw Data'!D:D,Match($A711,'Player Raw Data'!$B:$B,0)+2),INDEX('Player Raw Data'!D:D,Match($A711,'Player Raw Data'!$B:$B,0))),"")</f>
        <v/>
      </c>
      <c r="E711" t="str">
        <f t="array" ref="E711">IFERROR(INDEX('Player Raw Data'!F:F,Match($A711,'Player Raw Data'!$B:$B,0)),"")</f>
        <v/>
      </c>
      <c r="F711" t="str">
        <f t="array" ref="F711">IFERROR(INDEX('Player Raw Data'!H:H,Match($A711,'Player Raw Data'!$B:$B,0)),"")</f>
        <v/>
      </c>
      <c r="G711" t="str">
        <f t="array" ref="G711">IFERROR(INDEX('Player Raw Data'!I:I,Match($A711,'Player Raw Data'!$B:$B,0)),"")</f>
        <v/>
      </c>
      <c r="H711" t="str">
        <f t="array" ref="H711">IFERROR(INDEX('Player Raw Data'!J:J,Match($A711,'Player Raw Data'!$B:$B,0)),"")</f>
        <v/>
      </c>
      <c r="I711" t="str">
        <f t="array" ref="I711">IFERROR(INDEX('Player Raw Data'!S:S,Match($A711,'Player Raw Data'!$B:$B,0)),"")</f>
        <v/>
      </c>
      <c r="J711" t="str">
        <f t="array" ref="J711">IFERROR(INDEX('Player Raw Data'!T:T,Match($A711,'Player Raw Data'!$B:$B,0)),"")</f>
        <v/>
      </c>
      <c r="K711" t="str">
        <f t="array" ref="K711">IFERROR(INDEX('Player Raw Data'!X:X,Match($A711,'Player Raw Data'!$B:$B,0)),"")</f>
        <v/>
      </c>
      <c r="L711" t="str">
        <f t="array" ref="L711">IFERROR(INDEX('Player Raw Data'!Y:Y,Match($A711,'Player Raw Data'!$B:$B,0)),"")</f>
        <v/>
      </c>
      <c r="M711" t="str">
        <f t="array" ref="M711">IFERROR(INDEX('Player Raw Data'!Z:Z,Match($A711,'Player Raw Data'!$B:$B,0)),"")</f>
        <v/>
      </c>
      <c r="N711" t="str">
        <f t="array" ref="N711">IFERROR(INDEX('Player Raw Data'!AA:AA,Match($A711,'Player Raw Data'!$B:$B,0)),"")</f>
        <v/>
      </c>
      <c r="O711" t="str">
        <f t="array" ref="O711">IFERROR(INDEX('Player Raw Data'!AB:AB,Match($A711,'Player Raw Data'!$B:$B,0)),"")</f>
        <v/>
      </c>
      <c r="P711" t="str">
        <f t="array" ref="P711">IFERROR(INDEX('Player Raw Data'!AD:AD,Match($A711,'Player Raw Data'!$B:$B,0)),"")</f>
        <v/>
      </c>
      <c r="Q711">
        <f t="shared" si="1"/>
        <v>0</v>
      </c>
      <c r="R711" s="9">
        <f t="shared" si="2"/>
        <v>0</v>
      </c>
      <c r="S711" s="14">
        <f t="shared" si="3"/>
        <v>0</v>
      </c>
      <c r="T711" s="15">
        <f>IFERROR(__xludf.DUMMYFUNCTION("IFERROR(PERCENTRANK.INC(FILTER(Q:Q,$F:$F&lt;&gt;""""),Q711)*100,"""")"),1.5)</f>
        <v>1.5</v>
      </c>
      <c r="U711" s="15">
        <f>IFERROR(__xludf.DUMMYFUNCTION("IFERROR(PERCENTRANK.INC(FILTER(R:R,$F:$F&lt;&gt;""""),R711)*100,"""")"),1.5)</f>
        <v>1.5</v>
      </c>
      <c r="V711" s="15">
        <f>IFERROR(__xludf.DUMMYFUNCTION("IFERROR(PERCENTRANK.INC(FILTER(S:S,$F:$F&lt;&gt;""""),S711)*100,"""")"),1.5)</f>
        <v>1.5</v>
      </c>
      <c r="W711" s="15" t="str">
        <f t="shared" si="4"/>
        <v/>
      </c>
      <c r="X711" s="16"/>
      <c r="Y711" s="9"/>
      <c r="Z711" s="9"/>
    </row>
    <row r="712">
      <c r="B712" t="str">
        <f t="array" ref="B712">IFERROR(INDEX('Player Raw Data'!E:E,Match($A712,'Player Raw Data'!$B:$B,0)),"")</f>
        <v/>
      </c>
      <c r="C712" t="str">
        <f t="array" ref="C712">IFERROR(INDEX('Player Raw Data'!C:C,Match($A712,'Player Raw Data'!$B:$B,0)),"")</f>
        <v/>
      </c>
      <c r="D712" t="str">
        <f t="array" ref="D712">IFERROR(IF(A712=A711, INDEX('Player Raw Data'!D:D,Match($A712,'Player Raw Data'!$B:$B,0)+2),INDEX('Player Raw Data'!D:D,Match($A712,'Player Raw Data'!$B:$B,0))),"")</f>
        <v/>
      </c>
      <c r="E712" t="str">
        <f t="array" ref="E712">IFERROR(INDEX('Player Raw Data'!F:F,Match($A712,'Player Raw Data'!$B:$B,0)),"")</f>
        <v/>
      </c>
      <c r="F712" t="str">
        <f t="array" ref="F712">IFERROR(INDEX('Player Raw Data'!H:H,Match($A712,'Player Raw Data'!$B:$B,0)),"")</f>
        <v/>
      </c>
      <c r="G712" t="str">
        <f t="array" ref="G712">IFERROR(INDEX('Player Raw Data'!I:I,Match($A712,'Player Raw Data'!$B:$B,0)),"")</f>
        <v/>
      </c>
      <c r="H712" t="str">
        <f t="array" ref="H712">IFERROR(INDEX('Player Raw Data'!J:J,Match($A712,'Player Raw Data'!$B:$B,0)),"")</f>
        <v/>
      </c>
      <c r="I712" t="str">
        <f t="array" ref="I712">IFERROR(INDEX('Player Raw Data'!S:S,Match($A712,'Player Raw Data'!$B:$B,0)),"")</f>
        <v/>
      </c>
      <c r="J712" t="str">
        <f t="array" ref="J712">IFERROR(INDEX('Player Raw Data'!T:T,Match($A712,'Player Raw Data'!$B:$B,0)),"")</f>
        <v/>
      </c>
      <c r="K712" t="str">
        <f t="array" ref="K712">IFERROR(INDEX('Player Raw Data'!X:X,Match($A712,'Player Raw Data'!$B:$B,0)),"")</f>
        <v/>
      </c>
      <c r="L712" t="str">
        <f t="array" ref="L712">IFERROR(INDEX('Player Raw Data'!Y:Y,Match($A712,'Player Raw Data'!$B:$B,0)),"")</f>
        <v/>
      </c>
      <c r="M712" t="str">
        <f t="array" ref="M712">IFERROR(INDEX('Player Raw Data'!Z:Z,Match($A712,'Player Raw Data'!$B:$B,0)),"")</f>
        <v/>
      </c>
      <c r="N712" t="str">
        <f t="array" ref="N712">IFERROR(INDEX('Player Raw Data'!AA:AA,Match($A712,'Player Raw Data'!$B:$B,0)),"")</f>
        <v/>
      </c>
      <c r="O712" t="str">
        <f t="array" ref="O712">IFERROR(INDEX('Player Raw Data'!AB:AB,Match($A712,'Player Raw Data'!$B:$B,0)),"")</f>
        <v/>
      </c>
      <c r="P712" t="str">
        <f t="array" ref="P712">IFERROR(INDEX('Player Raw Data'!AD:AD,Match($A712,'Player Raw Data'!$B:$B,0)),"")</f>
        <v/>
      </c>
      <c r="Q712">
        <f t="shared" si="1"/>
        <v>0</v>
      </c>
      <c r="R712" s="9">
        <f t="shared" si="2"/>
        <v>0</v>
      </c>
      <c r="S712" s="14">
        <f t="shared" si="3"/>
        <v>0</v>
      </c>
      <c r="T712" s="15">
        <f>IFERROR(__xludf.DUMMYFUNCTION("IFERROR(PERCENTRANK.INC(FILTER(Q:Q,$F:$F&lt;&gt;""""),Q712)*100,"""")"),1.5)</f>
        <v>1.5</v>
      </c>
      <c r="U712" s="15">
        <f>IFERROR(__xludf.DUMMYFUNCTION("IFERROR(PERCENTRANK.INC(FILTER(R:R,$F:$F&lt;&gt;""""),R712)*100,"""")"),1.5)</f>
        <v>1.5</v>
      </c>
      <c r="V712" s="15">
        <f>IFERROR(__xludf.DUMMYFUNCTION("IFERROR(PERCENTRANK.INC(FILTER(S:S,$F:$F&lt;&gt;""""),S712)*100,"""")"),1.5)</f>
        <v>1.5</v>
      </c>
      <c r="W712" s="15" t="str">
        <f t="shared" si="4"/>
        <v/>
      </c>
      <c r="X712" s="16"/>
      <c r="Y712" s="9"/>
      <c r="Z712" s="9"/>
    </row>
    <row r="713">
      <c r="B713" t="str">
        <f t="array" ref="B713">IFERROR(INDEX('Player Raw Data'!E:E,Match($A713,'Player Raw Data'!$B:$B,0)),"")</f>
        <v/>
      </c>
      <c r="C713" t="str">
        <f t="array" ref="C713">IFERROR(INDEX('Player Raw Data'!C:C,Match($A713,'Player Raw Data'!$B:$B,0)),"")</f>
        <v/>
      </c>
      <c r="D713" t="str">
        <f t="array" ref="D713">IFERROR(IF(A713=A712, INDEX('Player Raw Data'!D:D,Match($A713,'Player Raw Data'!$B:$B,0)+2),INDEX('Player Raw Data'!D:D,Match($A713,'Player Raw Data'!$B:$B,0))),"")</f>
        <v/>
      </c>
      <c r="E713" t="str">
        <f t="array" ref="E713">IFERROR(INDEX('Player Raw Data'!F:F,Match($A713,'Player Raw Data'!$B:$B,0)),"")</f>
        <v/>
      </c>
      <c r="F713" t="str">
        <f t="array" ref="F713">IFERROR(INDEX('Player Raw Data'!H:H,Match($A713,'Player Raw Data'!$B:$B,0)),"")</f>
        <v/>
      </c>
      <c r="G713" t="str">
        <f t="array" ref="G713">IFERROR(INDEX('Player Raw Data'!I:I,Match($A713,'Player Raw Data'!$B:$B,0)),"")</f>
        <v/>
      </c>
      <c r="H713" t="str">
        <f t="array" ref="H713">IFERROR(INDEX('Player Raw Data'!J:J,Match($A713,'Player Raw Data'!$B:$B,0)),"")</f>
        <v/>
      </c>
      <c r="I713" t="str">
        <f t="array" ref="I713">IFERROR(INDEX('Player Raw Data'!S:S,Match($A713,'Player Raw Data'!$B:$B,0)),"")</f>
        <v/>
      </c>
      <c r="J713" t="str">
        <f t="array" ref="J713">IFERROR(INDEX('Player Raw Data'!T:T,Match($A713,'Player Raw Data'!$B:$B,0)),"")</f>
        <v/>
      </c>
      <c r="K713" t="str">
        <f t="array" ref="K713">IFERROR(INDEX('Player Raw Data'!X:X,Match($A713,'Player Raw Data'!$B:$B,0)),"")</f>
        <v/>
      </c>
      <c r="L713" t="str">
        <f t="array" ref="L713">IFERROR(INDEX('Player Raw Data'!Y:Y,Match($A713,'Player Raw Data'!$B:$B,0)),"")</f>
        <v/>
      </c>
      <c r="M713" t="str">
        <f t="array" ref="M713">IFERROR(INDEX('Player Raw Data'!Z:Z,Match($A713,'Player Raw Data'!$B:$B,0)),"")</f>
        <v/>
      </c>
      <c r="N713" t="str">
        <f t="array" ref="N713">IFERROR(INDEX('Player Raw Data'!AA:AA,Match($A713,'Player Raw Data'!$B:$B,0)),"")</f>
        <v/>
      </c>
      <c r="O713" t="str">
        <f t="array" ref="O713">IFERROR(INDEX('Player Raw Data'!AB:AB,Match($A713,'Player Raw Data'!$B:$B,0)),"")</f>
        <v/>
      </c>
      <c r="P713" t="str">
        <f t="array" ref="P713">IFERROR(INDEX('Player Raw Data'!AD:AD,Match($A713,'Player Raw Data'!$B:$B,0)),"")</f>
        <v/>
      </c>
      <c r="Q713">
        <f t="shared" si="1"/>
        <v>0</v>
      </c>
      <c r="R713" s="9">
        <f t="shared" si="2"/>
        <v>0</v>
      </c>
      <c r="S713" s="14">
        <f t="shared" si="3"/>
        <v>0</v>
      </c>
      <c r="T713" s="15">
        <f>IFERROR(__xludf.DUMMYFUNCTION("IFERROR(PERCENTRANK.INC(FILTER(Q:Q,$F:$F&lt;&gt;""""),Q713)*100,"""")"),1.5)</f>
        <v>1.5</v>
      </c>
      <c r="U713" s="15">
        <f>IFERROR(__xludf.DUMMYFUNCTION("IFERROR(PERCENTRANK.INC(FILTER(R:R,$F:$F&lt;&gt;""""),R713)*100,"""")"),1.5)</f>
        <v>1.5</v>
      </c>
      <c r="V713" s="15">
        <f>IFERROR(__xludf.DUMMYFUNCTION("IFERROR(PERCENTRANK.INC(FILTER(S:S,$F:$F&lt;&gt;""""),S713)*100,"""")"),1.5)</f>
        <v>1.5</v>
      </c>
      <c r="W713" s="15" t="str">
        <f t="shared" si="4"/>
        <v/>
      </c>
      <c r="X713" s="16"/>
      <c r="Y713" s="9"/>
      <c r="Z713" s="9"/>
    </row>
    <row r="714">
      <c r="B714" t="str">
        <f t="array" ref="B714">IFERROR(INDEX('Player Raw Data'!E:E,Match($A714,'Player Raw Data'!$B:$B,0)),"")</f>
        <v/>
      </c>
      <c r="C714" t="str">
        <f t="array" ref="C714">IFERROR(INDEX('Player Raw Data'!C:C,Match($A714,'Player Raw Data'!$B:$B,0)),"")</f>
        <v/>
      </c>
      <c r="D714" t="str">
        <f t="array" ref="D714">IFERROR(IF(A714=A713, INDEX('Player Raw Data'!D:D,Match($A714,'Player Raw Data'!$B:$B,0)+2),INDEX('Player Raw Data'!D:D,Match($A714,'Player Raw Data'!$B:$B,0))),"")</f>
        <v/>
      </c>
      <c r="E714" t="str">
        <f t="array" ref="E714">IFERROR(INDEX('Player Raw Data'!F:F,Match($A714,'Player Raw Data'!$B:$B,0)),"")</f>
        <v/>
      </c>
      <c r="F714" t="str">
        <f t="array" ref="F714">IFERROR(INDEX('Player Raw Data'!H:H,Match($A714,'Player Raw Data'!$B:$B,0)),"")</f>
        <v/>
      </c>
      <c r="G714" t="str">
        <f t="array" ref="G714">IFERROR(INDEX('Player Raw Data'!I:I,Match($A714,'Player Raw Data'!$B:$B,0)),"")</f>
        <v/>
      </c>
      <c r="H714" t="str">
        <f t="array" ref="H714">IFERROR(INDEX('Player Raw Data'!J:J,Match($A714,'Player Raw Data'!$B:$B,0)),"")</f>
        <v/>
      </c>
      <c r="I714" t="str">
        <f t="array" ref="I714">IFERROR(INDEX('Player Raw Data'!S:S,Match($A714,'Player Raw Data'!$B:$B,0)),"")</f>
        <v/>
      </c>
      <c r="J714" t="str">
        <f t="array" ref="J714">IFERROR(INDEX('Player Raw Data'!T:T,Match($A714,'Player Raw Data'!$B:$B,0)),"")</f>
        <v/>
      </c>
      <c r="K714" t="str">
        <f t="array" ref="K714">IFERROR(INDEX('Player Raw Data'!X:X,Match($A714,'Player Raw Data'!$B:$B,0)),"")</f>
        <v/>
      </c>
      <c r="L714" t="str">
        <f t="array" ref="L714">IFERROR(INDEX('Player Raw Data'!Y:Y,Match($A714,'Player Raw Data'!$B:$B,0)),"")</f>
        <v/>
      </c>
      <c r="M714" t="str">
        <f t="array" ref="M714">IFERROR(INDEX('Player Raw Data'!Z:Z,Match($A714,'Player Raw Data'!$B:$B,0)),"")</f>
        <v/>
      </c>
      <c r="N714" t="str">
        <f t="array" ref="N714">IFERROR(INDEX('Player Raw Data'!AA:AA,Match($A714,'Player Raw Data'!$B:$B,0)),"")</f>
        <v/>
      </c>
      <c r="O714" t="str">
        <f t="array" ref="O714">IFERROR(INDEX('Player Raw Data'!AB:AB,Match($A714,'Player Raw Data'!$B:$B,0)),"")</f>
        <v/>
      </c>
      <c r="P714" t="str">
        <f t="array" ref="P714">IFERROR(INDEX('Player Raw Data'!AD:AD,Match($A714,'Player Raw Data'!$B:$B,0)),"")</f>
        <v/>
      </c>
      <c r="Q714">
        <f t="shared" si="1"/>
        <v>0</v>
      </c>
      <c r="R714" s="9">
        <f t="shared" si="2"/>
        <v>0</v>
      </c>
      <c r="S714" s="14">
        <f t="shared" si="3"/>
        <v>0</v>
      </c>
      <c r="T714" s="15">
        <f>IFERROR(__xludf.DUMMYFUNCTION("IFERROR(PERCENTRANK.INC(FILTER(Q:Q,$F:$F&lt;&gt;""""),Q714)*100,"""")"),1.5)</f>
        <v>1.5</v>
      </c>
      <c r="U714" s="15">
        <f>IFERROR(__xludf.DUMMYFUNCTION("IFERROR(PERCENTRANK.INC(FILTER(R:R,$F:$F&lt;&gt;""""),R714)*100,"""")"),1.5)</f>
        <v>1.5</v>
      </c>
      <c r="V714" s="15">
        <f>IFERROR(__xludf.DUMMYFUNCTION("IFERROR(PERCENTRANK.INC(FILTER(S:S,$F:$F&lt;&gt;""""),S714)*100,"""")"),1.5)</f>
        <v>1.5</v>
      </c>
      <c r="W714" s="15" t="str">
        <f t="shared" si="4"/>
        <v/>
      </c>
      <c r="X714" s="16"/>
      <c r="Y714" s="9"/>
      <c r="Z714" s="9"/>
    </row>
    <row r="715">
      <c r="B715" t="str">
        <f t="array" ref="B715">IFERROR(INDEX('Player Raw Data'!E:E,Match($A715,'Player Raw Data'!$B:$B,0)),"")</f>
        <v/>
      </c>
      <c r="C715" t="str">
        <f t="array" ref="C715">IFERROR(INDEX('Player Raw Data'!C:C,Match($A715,'Player Raw Data'!$B:$B,0)),"")</f>
        <v/>
      </c>
      <c r="D715" t="str">
        <f t="array" ref="D715">IFERROR(IF(A715=A714, INDEX('Player Raw Data'!D:D,Match($A715,'Player Raw Data'!$B:$B,0)+2),INDEX('Player Raw Data'!D:D,Match($A715,'Player Raw Data'!$B:$B,0))),"")</f>
        <v/>
      </c>
      <c r="E715" t="str">
        <f t="array" ref="E715">IFERROR(INDEX('Player Raw Data'!F:F,Match($A715,'Player Raw Data'!$B:$B,0)),"")</f>
        <v/>
      </c>
      <c r="F715" t="str">
        <f t="array" ref="F715">IFERROR(INDEX('Player Raw Data'!H:H,Match($A715,'Player Raw Data'!$B:$B,0)),"")</f>
        <v/>
      </c>
      <c r="G715" t="str">
        <f t="array" ref="G715">IFERROR(INDEX('Player Raw Data'!I:I,Match($A715,'Player Raw Data'!$B:$B,0)),"")</f>
        <v/>
      </c>
      <c r="H715" t="str">
        <f t="array" ref="H715">IFERROR(INDEX('Player Raw Data'!J:J,Match($A715,'Player Raw Data'!$B:$B,0)),"")</f>
        <v/>
      </c>
      <c r="I715" t="str">
        <f t="array" ref="I715">IFERROR(INDEX('Player Raw Data'!S:S,Match($A715,'Player Raw Data'!$B:$B,0)),"")</f>
        <v/>
      </c>
      <c r="J715" t="str">
        <f t="array" ref="J715">IFERROR(INDEX('Player Raw Data'!T:T,Match($A715,'Player Raw Data'!$B:$B,0)),"")</f>
        <v/>
      </c>
      <c r="K715" t="str">
        <f t="array" ref="K715">IFERROR(INDEX('Player Raw Data'!X:X,Match($A715,'Player Raw Data'!$B:$B,0)),"")</f>
        <v/>
      </c>
      <c r="L715" t="str">
        <f t="array" ref="L715">IFERROR(INDEX('Player Raw Data'!Y:Y,Match($A715,'Player Raw Data'!$B:$B,0)),"")</f>
        <v/>
      </c>
      <c r="M715" t="str">
        <f t="array" ref="M715">IFERROR(INDEX('Player Raw Data'!Z:Z,Match($A715,'Player Raw Data'!$B:$B,0)),"")</f>
        <v/>
      </c>
      <c r="N715" t="str">
        <f t="array" ref="N715">IFERROR(INDEX('Player Raw Data'!AA:AA,Match($A715,'Player Raw Data'!$B:$B,0)),"")</f>
        <v/>
      </c>
      <c r="O715" t="str">
        <f t="array" ref="O715">IFERROR(INDEX('Player Raw Data'!AB:AB,Match($A715,'Player Raw Data'!$B:$B,0)),"")</f>
        <v/>
      </c>
      <c r="P715" t="str">
        <f t="array" ref="P715">IFERROR(INDEX('Player Raw Data'!AD:AD,Match($A715,'Player Raw Data'!$B:$B,0)),"")</f>
        <v/>
      </c>
      <c r="Q715">
        <f t="shared" si="1"/>
        <v>0</v>
      </c>
      <c r="R715" s="9">
        <f t="shared" si="2"/>
        <v>0</v>
      </c>
      <c r="S715" s="14">
        <f t="shared" si="3"/>
        <v>0</v>
      </c>
      <c r="T715" s="15">
        <f>IFERROR(__xludf.DUMMYFUNCTION("IFERROR(PERCENTRANK.INC(FILTER(Q:Q,$F:$F&lt;&gt;""""),Q715)*100,"""")"),1.5)</f>
        <v>1.5</v>
      </c>
      <c r="U715" s="15">
        <f>IFERROR(__xludf.DUMMYFUNCTION("IFERROR(PERCENTRANK.INC(FILTER(R:R,$F:$F&lt;&gt;""""),R715)*100,"""")"),1.5)</f>
        <v>1.5</v>
      </c>
      <c r="V715" s="15">
        <f>IFERROR(__xludf.DUMMYFUNCTION("IFERROR(PERCENTRANK.INC(FILTER(S:S,$F:$F&lt;&gt;""""),S715)*100,"""")"),1.5)</f>
        <v>1.5</v>
      </c>
      <c r="W715" s="15" t="str">
        <f t="shared" si="4"/>
        <v/>
      </c>
      <c r="X715" s="16"/>
      <c r="Y715" s="9"/>
      <c r="Z715" s="9"/>
    </row>
    <row r="716">
      <c r="B716" t="str">
        <f t="array" ref="B716">IFERROR(INDEX('Player Raw Data'!E:E,Match($A716,'Player Raw Data'!$B:$B,0)),"")</f>
        <v/>
      </c>
      <c r="C716" t="str">
        <f t="array" ref="C716">IFERROR(INDEX('Player Raw Data'!C:C,Match($A716,'Player Raw Data'!$B:$B,0)),"")</f>
        <v/>
      </c>
      <c r="D716" t="str">
        <f t="array" ref="D716">IFERROR(IF(A716=A715, INDEX('Player Raw Data'!D:D,Match($A716,'Player Raw Data'!$B:$B,0)+2),INDEX('Player Raw Data'!D:D,Match($A716,'Player Raw Data'!$B:$B,0))),"")</f>
        <v/>
      </c>
      <c r="E716" t="str">
        <f t="array" ref="E716">IFERROR(INDEX('Player Raw Data'!F:F,Match($A716,'Player Raw Data'!$B:$B,0)),"")</f>
        <v/>
      </c>
      <c r="F716" t="str">
        <f t="array" ref="F716">IFERROR(INDEX('Player Raw Data'!H:H,Match($A716,'Player Raw Data'!$B:$B,0)),"")</f>
        <v/>
      </c>
      <c r="G716" t="str">
        <f t="array" ref="G716">IFERROR(INDEX('Player Raw Data'!I:I,Match($A716,'Player Raw Data'!$B:$B,0)),"")</f>
        <v/>
      </c>
      <c r="H716" t="str">
        <f t="array" ref="H716">IFERROR(INDEX('Player Raw Data'!J:J,Match($A716,'Player Raw Data'!$B:$B,0)),"")</f>
        <v/>
      </c>
      <c r="I716" t="str">
        <f t="array" ref="I716">IFERROR(INDEX('Player Raw Data'!S:S,Match($A716,'Player Raw Data'!$B:$B,0)),"")</f>
        <v/>
      </c>
      <c r="J716" t="str">
        <f t="array" ref="J716">IFERROR(INDEX('Player Raw Data'!T:T,Match($A716,'Player Raw Data'!$B:$B,0)),"")</f>
        <v/>
      </c>
      <c r="K716" t="str">
        <f t="array" ref="K716">IFERROR(INDEX('Player Raw Data'!X:X,Match($A716,'Player Raw Data'!$B:$B,0)),"")</f>
        <v/>
      </c>
      <c r="L716" t="str">
        <f t="array" ref="L716">IFERROR(INDEX('Player Raw Data'!Y:Y,Match($A716,'Player Raw Data'!$B:$B,0)),"")</f>
        <v/>
      </c>
      <c r="M716" t="str">
        <f t="array" ref="M716">IFERROR(INDEX('Player Raw Data'!Z:Z,Match($A716,'Player Raw Data'!$B:$B,0)),"")</f>
        <v/>
      </c>
      <c r="N716" t="str">
        <f t="array" ref="N716">IFERROR(INDEX('Player Raw Data'!AA:AA,Match($A716,'Player Raw Data'!$B:$B,0)),"")</f>
        <v/>
      </c>
      <c r="O716" t="str">
        <f t="array" ref="O716">IFERROR(INDEX('Player Raw Data'!AB:AB,Match($A716,'Player Raw Data'!$B:$B,0)),"")</f>
        <v/>
      </c>
      <c r="P716" t="str">
        <f t="array" ref="P716">IFERROR(INDEX('Player Raw Data'!AD:AD,Match($A716,'Player Raw Data'!$B:$B,0)),"")</f>
        <v/>
      </c>
      <c r="Q716">
        <f t="shared" si="1"/>
        <v>0</v>
      </c>
      <c r="R716" s="9">
        <f t="shared" si="2"/>
        <v>0</v>
      </c>
      <c r="S716" s="14">
        <f t="shared" si="3"/>
        <v>0</v>
      </c>
      <c r="T716" s="15">
        <f>IFERROR(__xludf.DUMMYFUNCTION("IFERROR(PERCENTRANK.INC(FILTER(Q:Q,$F:$F&lt;&gt;""""),Q716)*100,"""")"),1.5)</f>
        <v>1.5</v>
      </c>
      <c r="U716" s="15">
        <f>IFERROR(__xludf.DUMMYFUNCTION("IFERROR(PERCENTRANK.INC(FILTER(R:R,$F:$F&lt;&gt;""""),R716)*100,"""")"),1.5)</f>
        <v>1.5</v>
      </c>
      <c r="V716" s="15">
        <f>IFERROR(__xludf.DUMMYFUNCTION("IFERROR(PERCENTRANK.INC(FILTER(S:S,$F:$F&lt;&gt;""""),S716)*100,"""")"),1.5)</f>
        <v>1.5</v>
      </c>
      <c r="W716" s="15" t="str">
        <f t="shared" si="4"/>
        <v/>
      </c>
      <c r="X716" s="16"/>
      <c r="Y716" s="9"/>
      <c r="Z716" s="9"/>
    </row>
    <row r="717">
      <c r="B717" t="str">
        <f t="array" ref="B717">IFERROR(INDEX('Player Raw Data'!E:E,Match($A717,'Player Raw Data'!$B:$B,0)),"")</f>
        <v/>
      </c>
      <c r="C717" t="str">
        <f t="array" ref="C717">IFERROR(INDEX('Player Raw Data'!C:C,Match($A717,'Player Raw Data'!$B:$B,0)),"")</f>
        <v/>
      </c>
      <c r="D717" t="str">
        <f t="array" ref="D717">IFERROR(IF(A717=A716, INDEX('Player Raw Data'!D:D,Match($A717,'Player Raw Data'!$B:$B,0)+2),INDEX('Player Raw Data'!D:D,Match($A717,'Player Raw Data'!$B:$B,0))),"")</f>
        <v/>
      </c>
      <c r="E717" t="str">
        <f t="array" ref="E717">IFERROR(INDEX('Player Raw Data'!F:F,Match($A717,'Player Raw Data'!$B:$B,0)),"")</f>
        <v/>
      </c>
      <c r="F717" t="str">
        <f t="array" ref="F717">IFERROR(INDEX('Player Raw Data'!H:H,Match($A717,'Player Raw Data'!$B:$B,0)),"")</f>
        <v/>
      </c>
      <c r="G717" t="str">
        <f t="array" ref="G717">IFERROR(INDEX('Player Raw Data'!I:I,Match($A717,'Player Raw Data'!$B:$B,0)),"")</f>
        <v/>
      </c>
      <c r="H717" t="str">
        <f t="array" ref="H717">IFERROR(INDEX('Player Raw Data'!J:J,Match($A717,'Player Raw Data'!$B:$B,0)),"")</f>
        <v/>
      </c>
      <c r="I717" t="str">
        <f t="array" ref="I717">IFERROR(INDEX('Player Raw Data'!S:S,Match($A717,'Player Raw Data'!$B:$B,0)),"")</f>
        <v/>
      </c>
      <c r="J717" t="str">
        <f t="array" ref="J717">IFERROR(INDEX('Player Raw Data'!T:T,Match($A717,'Player Raw Data'!$B:$B,0)),"")</f>
        <v/>
      </c>
      <c r="K717" t="str">
        <f t="array" ref="K717">IFERROR(INDEX('Player Raw Data'!X:X,Match($A717,'Player Raw Data'!$B:$B,0)),"")</f>
        <v/>
      </c>
      <c r="L717" t="str">
        <f t="array" ref="L717">IFERROR(INDEX('Player Raw Data'!Y:Y,Match($A717,'Player Raw Data'!$B:$B,0)),"")</f>
        <v/>
      </c>
      <c r="M717" t="str">
        <f t="array" ref="M717">IFERROR(INDEX('Player Raw Data'!Z:Z,Match($A717,'Player Raw Data'!$B:$B,0)),"")</f>
        <v/>
      </c>
      <c r="N717" t="str">
        <f t="array" ref="N717">IFERROR(INDEX('Player Raw Data'!AA:AA,Match($A717,'Player Raw Data'!$B:$B,0)),"")</f>
        <v/>
      </c>
      <c r="O717" t="str">
        <f t="array" ref="O717">IFERROR(INDEX('Player Raw Data'!AB:AB,Match($A717,'Player Raw Data'!$B:$B,0)),"")</f>
        <v/>
      </c>
      <c r="P717" t="str">
        <f t="array" ref="P717">IFERROR(INDEX('Player Raw Data'!AD:AD,Match($A717,'Player Raw Data'!$B:$B,0)),"")</f>
        <v/>
      </c>
      <c r="Q717">
        <f t="shared" si="1"/>
        <v>0</v>
      </c>
      <c r="R717" s="9">
        <f t="shared" si="2"/>
        <v>0</v>
      </c>
      <c r="S717" s="14">
        <f t="shared" si="3"/>
        <v>0</v>
      </c>
      <c r="T717" s="15">
        <f>IFERROR(__xludf.DUMMYFUNCTION("IFERROR(PERCENTRANK.INC(FILTER(Q:Q,$F:$F&lt;&gt;""""),Q717)*100,"""")"),1.5)</f>
        <v>1.5</v>
      </c>
      <c r="U717" s="15">
        <f>IFERROR(__xludf.DUMMYFUNCTION("IFERROR(PERCENTRANK.INC(FILTER(R:R,$F:$F&lt;&gt;""""),R717)*100,"""")"),1.5)</f>
        <v>1.5</v>
      </c>
      <c r="V717" s="15">
        <f>IFERROR(__xludf.DUMMYFUNCTION("IFERROR(PERCENTRANK.INC(FILTER(S:S,$F:$F&lt;&gt;""""),S717)*100,"""")"),1.5)</f>
        <v>1.5</v>
      </c>
      <c r="W717" s="15" t="str">
        <f t="shared" si="4"/>
        <v/>
      </c>
      <c r="X717" s="16"/>
      <c r="Y717" s="9"/>
      <c r="Z717" s="9"/>
    </row>
    <row r="718">
      <c r="B718" t="str">
        <f t="array" ref="B718">IFERROR(INDEX('Player Raw Data'!E:E,Match($A718,'Player Raw Data'!$B:$B,0)),"")</f>
        <v/>
      </c>
      <c r="C718" t="str">
        <f t="array" ref="C718">IFERROR(INDEX('Player Raw Data'!C:C,Match($A718,'Player Raw Data'!$B:$B,0)),"")</f>
        <v/>
      </c>
      <c r="D718" t="str">
        <f t="array" ref="D718">IFERROR(IF(A718=A717, INDEX('Player Raw Data'!D:D,Match($A718,'Player Raw Data'!$B:$B,0)+2),INDEX('Player Raw Data'!D:D,Match($A718,'Player Raw Data'!$B:$B,0))),"")</f>
        <v/>
      </c>
      <c r="E718" t="str">
        <f t="array" ref="E718">IFERROR(INDEX('Player Raw Data'!F:F,Match($A718,'Player Raw Data'!$B:$B,0)),"")</f>
        <v/>
      </c>
      <c r="F718" t="str">
        <f t="array" ref="F718">IFERROR(INDEX('Player Raw Data'!H:H,Match($A718,'Player Raw Data'!$B:$B,0)),"")</f>
        <v/>
      </c>
      <c r="G718" t="str">
        <f t="array" ref="G718">IFERROR(INDEX('Player Raw Data'!I:I,Match($A718,'Player Raw Data'!$B:$B,0)),"")</f>
        <v/>
      </c>
      <c r="H718" t="str">
        <f t="array" ref="H718">IFERROR(INDEX('Player Raw Data'!J:J,Match($A718,'Player Raw Data'!$B:$B,0)),"")</f>
        <v/>
      </c>
      <c r="I718" t="str">
        <f t="array" ref="I718">IFERROR(INDEX('Player Raw Data'!S:S,Match($A718,'Player Raw Data'!$B:$B,0)),"")</f>
        <v/>
      </c>
      <c r="J718" t="str">
        <f t="array" ref="J718">IFERROR(INDEX('Player Raw Data'!T:T,Match($A718,'Player Raw Data'!$B:$B,0)),"")</f>
        <v/>
      </c>
      <c r="K718" t="str">
        <f t="array" ref="K718">IFERROR(INDEX('Player Raw Data'!X:X,Match($A718,'Player Raw Data'!$B:$B,0)),"")</f>
        <v/>
      </c>
      <c r="L718" t="str">
        <f t="array" ref="L718">IFERROR(INDEX('Player Raw Data'!Y:Y,Match($A718,'Player Raw Data'!$B:$B,0)),"")</f>
        <v/>
      </c>
      <c r="M718" t="str">
        <f t="array" ref="M718">IFERROR(INDEX('Player Raw Data'!Z:Z,Match($A718,'Player Raw Data'!$B:$B,0)),"")</f>
        <v/>
      </c>
      <c r="N718" t="str">
        <f t="array" ref="N718">IFERROR(INDEX('Player Raw Data'!AA:AA,Match($A718,'Player Raw Data'!$B:$B,0)),"")</f>
        <v/>
      </c>
      <c r="O718" t="str">
        <f t="array" ref="O718">IFERROR(INDEX('Player Raw Data'!AB:AB,Match($A718,'Player Raw Data'!$B:$B,0)),"")</f>
        <v/>
      </c>
      <c r="P718" t="str">
        <f t="array" ref="P718">IFERROR(INDEX('Player Raw Data'!AD:AD,Match($A718,'Player Raw Data'!$B:$B,0)),"")</f>
        <v/>
      </c>
      <c r="Q718">
        <f t="shared" si="1"/>
        <v>0</v>
      </c>
      <c r="R718" s="9">
        <f t="shared" si="2"/>
        <v>0</v>
      </c>
      <c r="S718" s="14">
        <f t="shared" si="3"/>
        <v>0</v>
      </c>
      <c r="T718" s="15">
        <f>IFERROR(__xludf.DUMMYFUNCTION("IFERROR(PERCENTRANK.INC(FILTER(Q:Q,$F:$F&lt;&gt;""""),Q718)*100,"""")"),1.5)</f>
        <v>1.5</v>
      </c>
      <c r="U718" s="15">
        <f>IFERROR(__xludf.DUMMYFUNCTION("IFERROR(PERCENTRANK.INC(FILTER(R:R,$F:$F&lt;&gt;""""),R718)*100,"""")"),1.5)</f>
        <v>1.5</v>
      </c>
      <c r="V718" s="15">
        <f>IFERROR(__xludf.DUMMYFUNCTION("IFERROR(PERCENTRANK.INC(FILTER(S:S,$F:$F&lt;&gt;""""),S718)*100,"""")"),1.5)</f>
        <v>1.5</v>
      </c>
      <c r="W718" s="15" t="str">
        <f t="shared" si="4"/>
        <v/>
      </c>
      <c r="X718" s="16"/>
      <c r="Y718" s="9"/>
      <c r="Z718" s="9"/>
    </row>
    <row r="719">
      <c r="B719" t="str">
        <f t="array" ref="B719">IFERROR(INDEX('Player Raw Data'!E:E,Match($A719,'Player Raw Data'!$B:$B,0)),"")</f>
        <v/>
      </c>
      <c r="C719" t="str">
        <f t="array" ref="C719">IFERROR(INDEX('Player Raw Data'!C:C,Match($A719,'Player Raw Data'!$B:$B,0)),"")</f>
        <v/>
      </c>
      <c r="D719" t="str">
        <f t="array" ref="D719">IFERROR(IF(A719=A718, INDEX('Player Raw Data'!D:D,Match($A719,'Player Raw Data'!$B:$B,0)+2),INDEX('Player Raw Data'!D:D,Match($A719,'Player Raw Data'!$B:$B,0))),"")</f>
        <v/>
      </c>
      <c r="E719" t="str">
        <f t="array" ref="E719">IFERROR(INDEX('Player Raw Data'!F:F,Match($A719,'Player Raw Data'!$B:$B,0)),"")</f>
        <v/>
      </c>
      <c r="F719" t="str">
        <f t="array" ref="F719">IFERROR(INDEX('Player Raw Data'!H:H,Match($A719,'Player Raw Data'!$B:$B,0)),"")</f>
        <v/>
      </c>
      <c r="G719" t="str">
        <f t="array" ref="G719">IFERROR(INDEX('Player Raw Data'!I:I,Match($A719,'Player Raw Data'!$B:$B,0)),"")</f>
        <v/>
      </c>
      <c r="H719" t="str">
        <f t="array" ref="H719">IFERROR(INDEX('Player Raw Data'!J:J,Match($A719,'Player Raw Data'!$B:$B,0)),"")</f>
        <v/>
      </c>
      <c r="I719" t="str">
        <f t="array" ref="I719">IFERROR(INDEX('Player Raw Data'!S:S,Match($A719,'Player Raw Data'!$B:$B,0)),"")</f>
        <v/>
      </c>
      <c r="J719" t="str">
        <f t="array" ref="J719">IFERROR(INDEX('Player Raw Data'!T:T,Match($A719,'Player Raw Data'!$B:$B,0)),"")</f>
        <v/>
      </c>
      <c r="K719" t="str">
        <f t="array" ref="K719">IFERROR(INDEX('Player Raw Data'!X:X,Match($A719,'Player Raw Data'!$B:$B,0)),"")</f>
        <v/>
      </c>
      <c r="L719" t="str">
        <f t="array" ref="L719">IFERROR(INDEX('Player Raw Data'!Y:Y,Match($A719,'Player Raw Data'!$B:$B,0)),"")</f>
        <v/>
      </c>
      <c r="M719" t="str">
        <f t="array" ref="M719">IFERROR(INDEX('Player Raw Data'!Z:Z,Match($A719,'Player Raw Data'!$B:$B,0)),"")</f>
        <v/>
      </c>
      <c r="N719" t="str">
        <f t="array" ref="N719">IFERROR(INDEX('Player Raw Data'!AA:AA,Match($A719,'Player Raw Data'!$B:$B,0)),"")</f>
        <v/>
      </c>
      <c r="O719" t="str">
        <f t="array" ref="O719">IFERROR(INDEX('Player Raw Data'!AB:AB,Match($A719,'Player Raw Data'!$B:$B,0)),"")</f>
        <v/>
      </c>
      <c r="P719" t="str">
        <f t="array" ref="P719">IFERROR(INDEX('Player Raw Data'!AD:AD,Match($A719,'Player Raw Data'!$B:$B,0)),"")</f>
        <v/>
      </c>
      <c r="Q719">
        <f t="shared" si="1"/>
        <v>0</v>
      </c>
      <c r="R719" s="9">
        <f t="shared" si="2"/>
        <v>0</v>
      </c>
      <c r="S719" s="14">
        <f t="shared" si="3"/>
        <v>0</v>
      </c>
      <c r="T719" s="15">
        <f>IFERROR(__xludf.DUMMYFUNCTION("IFERROR(PERCENTRANK.INC(FILTER(Q:Q,$F:$F&lt;&gt;""""),Q719)*100,"""")"),1.5)</f>
        <v>1.5</v>
      </c>
      <c r="U719" s="15">
        <f>IFERROR(__xludf.DUMMYFUNCTION("IFERROR(PERCENTRANK.INC(FILTER(R:R,$F:$F&lt;&gt;""""),R719)*100,"""")"),1.5)</f>
        <v>1.5</v>
      </c>
      <c r="V719" s="15">
        <f>IFERROR(__xludf.DUMMYFUNCTION("IFERROR(PERCENTRANK.INC(FILTER(S:S,$F:$F&lt;&gt;""""),S719)*100,"""")"),1.5)</f>
        <v>1.5</v>
      </c>
      <c r="W719" s="15" t="str">
        <f t="shared" si="4"/>
        <v/>
      </c>
      <c r="X719" s="16"/>
      <c r="Y719" s="9"/>
      <c r="Z719" s="9"/>
    </row>
    <row r="720">
      <c r="B720" t="str">
        <f t="array" ref="B720">IFERROR(INDEX('Player Raw Data'!E:E,Match($A720,'Player Raw Data'!$B:$B,0)),"")</f>
        <v/>
      </c>
      <c r="C720" t="str">
        <f t="array" ref="C720">IFERROR(INDEX('Player Raw Data'!C:C,Match($A720,'Player Raw Data'!$B:$B,0)),"")</f>
        <v/>
      </c>
      <c r="D720" t="str">
        <f t="array" ref="D720">IFERROR(IF(A720=A719, INDEX('Player Raw Data'!D:D,Match($A720,'Player Raw Data'!$B:$B,0)+2),INDEX('Player Raw Data'!D:D,Match($A720,'Player Raw Data'!$B:$B,0))),"")</f>
        <v/>
      </c>
      <c r="E720" t="str">
        <f t="array" ref="E720">IFERROR(INDEX('Player Raw Data'!F:F,Match($A720,'Player Raw Data'!$B:$B,0)),"")</f>
        <v/>
      </c>
      <c r="F720" t="str">
        <f t="array" ref="F720">IFERROR(INDEX('Player Raw Data'!H:H,Match($A720,'Player Raw Data'!$B:$B,0)),"")</f>
        <v/>
      </c>
      <c r="G720" t="str">
        <f t="array" ref="G720">IFERROR(INDEX('Player Raw Data'!I:I,Match($A720,'Player Raw Data'!$B:$B,0)),"")</f>
        <v/>
      </c>
      <c r="H720" t="str">
        <f t="array" ref="H720">IFERROR(INDEX('Player Raw Data'!J:J,Match($A720,'Player Raw Data'!$B:$B,0)),"")</f>
        <v/>
      </c>
      <c r="I720" t="str">
        <f t="array" ref="I720">IFERROR(INDEX('Player Raw Data'!S:S,Match($A720,'Player Raw Data'!$B:$B,0)),"")</f>
        <v/>
      </c>
      <c r="J720" t="str">
        <f t="array" ref="J720">IFERROR(INDEX('Player Raw Data'!T:T,Match($A720,'Player Raw Data'!$B:$B,0)),"")</f>
        <v/>
      </c>
      <c r="K720" t="str">
        <f t="array" ref="K720">IFERROR(INDEX('Player Raw Data'!X:X,Match($A720,'Player Raw Data'!$B:$B,0)),"")</f>
        <v/>
      </c>
      <c r="L720" t="str">
        <f t="array" ref="L720">IFERROR(INDEX('Player Raw Data'!Y:Y,Match($A720,'Player Raw Data'!$B:$B,0)),"")</f>
        <v/>
      </c>
      <c r="M720" t="str">
        <f t="array" ref="M720">IFERROR(INDEX('Player Raw Data'!Z:Z,Match($A720,'Player Raw Data'!$B:$B,0)),"")</f>
        <v/>
      </c>
      <c r="N720" t="str">
        <f t="array" ref="N720">IFERROR(INDEX('Player Raw Data'!AA:AA,Match($A720,'Player Raw Data'!$B:$B,0)),"")</f>
        <v/>
      </c>
      <c r="O720" t="str">
        <f t="array" ref="O720">IFERROR(INDEX('Player Raw Data'!AB:AB,Match($A720,'Player Raw Data'!$B:$B,0)),"")</f>
        <v/>
      </c>
      <c r="P720" t="str">
        <f t="array" ref="P720">IFERROR(INDEX('Player Raw Data'!AD:AD,Match($A720,'Player Raw Data'!$B:$B,0)),"")</f>
        <v/>
      </c>
      <c r="Q720">
        <f t="shared" si="1"/>
        <v>0</v>
      </c>
      <c r="R720" s="9">
        <f t="shared" si="2"/>
        <v>0</v>
      </c>
      <c r="S720" s="14">
        <f t="shared" si="3"/>
        <v>0</v>
      </c>
      <c r="T720" s="15">
        <f>IFERROR(__xludf.DUMMYFUNCTION("IFERROR(PERCENTRANK.INC(FILTER(Q:Q,$F:$F&lt;&gt;""""),Q720)*100,"""")"),1.5)</f>
        <v>1.5</v>
      </c>
      <c r="U720" s="15">
        <f>IFERROR(__xludf.DUMMYFUNCTION("IFERROR(PERCENTRANK.INC(FILTER(R:R,$F:$F&lt;&gt;""""),R720)*100,"""")"),1.5)</f>
        <v>1.5</v>
      </c>
      <c r="V720" s="15">
        <f>IFERROR(__xludf.DUMMYFUNCTION("IFERROR(PERCENTRANK.INC(FILTER(S:S,$F:$F&lt;&gt;""""),S720)*100,"""")"),1.5)</f>
        <v>1.5</v>
      </c>
      <c r="W720" s="15" t="str">
        <f t="shared" si="4"/>
        <v/>
      </c>
      <c r="X720" s="16"/>
      <c r="Y720" s="9"/>
      <c r="Z720" s="9"/>
    </row>
    <row r="721">
      <c r="B721" t="str">
        <f t="array" ref="B721">IFERROR(INDEX('Player Raw Data'!E:E,Match($A721,'Player Raw Data'!$B:$B,0)),"")</f>
        <v/>
      </c>
      <c r="C721" t="str">
        <f t="array" ref="C721">IFERROR(INDEX('Player Raw Data'!C:C,Match($A721,'Player Raw Data'!$B:$B,0)),"")</f>
        <v/>
      </c>
      <c r="D721" t="str">
        <f t="array" ref="D721">IFERROR(IF(A721=A720, INDEX('Player Raw Data'!D:D,Match($A721,'Player Raw Data'!$B:$B,0)+2),INDEX('Player Raw Data'!D:D,Match($A721,'Player Raw Data'!$B:$B,0))),"")</f>
        <v/>
      </c>
      <c r="E721" t="str">
        <f t="array" ref="E721">IFERROR(INDEX('Player Raw Data'!F:F,Match($A721,'Player Raw Data'!$B:$B,0)),"")</f>
        <v/>
      </c>
      <c r="F721" t="str">
        <f t="array" ref="F721">IFERROR(INDEX('Player Raw Data'!H:H,Match($A721,'Player Raw Data'!$B:$B,0)),"")</f>
        <v/>
      </c>
      <c r="G721" t="str">
        <f t="array" ref="G721">IFERROR(INDEX('Player Raw Data'!I:I,Match($A721,'Player Raw Data'!$B:$B,0)),"")</f>
        <v/>
      </c>
      <c r="H721" t="str">
        <f t="array" ref="H721">IFERROR(INDEX('Player Raw Data'!J:J,Match($A721,'Player Raw Data'!$B:$B,0)),"")</f>
        <v/>
      </c>
      <c r="I721" t="str">
        <f t="array" ref="I721">IFERROR(INDEX('Player Raw Data'!S:S,Match($A721,'Player Raw Data'!$B:$B,0)),"")</f>
        <v/>
      </c>
      <c r="J721" t="str">
        <f t="array" ref="J721">IFERROR(INDEX('Player Raw Data'!T:T,Match($A721,'Player Raw Data'!$B:$B,0)),"")</f>
        <v/>
      </c>
      <c r="K721" t="str">
        <f t="array" ref="K721">IFERROR(INDEX('Player Raw Data'!X:X,Match($A721,'Player Raw Data'!$B:$B,0)),"")</f>
        <v/>
      </c>
      <c r="L721" t="str">
        <f t="array" ref="L721">IFERROR(INDEX('Player Raw Data'!Y:Y,Match($A721,'Player Raw Data'!$B:$B,0)),"")</f>
        <v/>
      </c>
      <c r="M721" t="str">
        <f t="array" ref="M721">IFERROR(INDEX('Player Raw Data'!Z:Z,Match($A721,'Player Raw Data'!$B:$B,0)),"")</f>
        <v/>
      </c>
      <c r="N721" t="str">
        <f t="array" ref="N721">IFERROR(INDEX('Player Raw Data'!AA:AA,Match($A721,'Player Raw Data'!$B:$B,0)),"")</f>
        <v/>
      </c>
      <c r="O721" t="str">
        <f t="array" ref="O721">IFERROR(INDEX('Player Raw Data'!AB:AB,Match($A721,'Player Raw Data'!$B:$B,0)),"")</f>
        <v/>
      </c>
      <c r="P721" t="str">
        <f t="array" ref="P721">IFERROR(INDEX('Player Raw Data'!AD:AD,Match($A721,'Player Raw Data'!$B:$B,0)),"")</f>
        <v/>
      </c>
      <c r="Q721">
        <f t="shared" si="1"/>
        <v>0</v>
      </c>
      <c r="R721" s="9">
        <f t="shared" si="2"/>
        <v>0</v>
      </c>
      <c r="S721" s="14">
        <f t="shared" si="3"/>
        <v>0</v>
      </c>
      <c r="T721" s="15">
        <f>IFERROR(__xludf.DUMMYFUNCTION("IFERROR(PERCENTRANK.INC(FILTER(Q:Q,$F:$F&lt;&gt;""""),Q721)*100,"""")"),1.5)</f>
        <v>1.5</v>
      </c>
      <c r="U721" s="15">
        <f>IFERROR(__xludf.DUMMYFUNCTION("IFERROR(PERCENTRANK.INC(FILTER(R:R,$F:$F&lt;&gt;""""),R721)*100,"""")"),1.5)</f>
        <v>1.5</v>
      </c>
      <c r="V721" s="15">
        <f>IFERROR(__xludf.DUMMYFUNCTION("IFERROR(PERCENTRANK.INC(FILTER(S:S,$F:$F&lt;&gt;""""),S721)*100,"""")"),1.5)</f>
        <v>1.5</v>
      </c>
      <c r="W721" s="15" t="str">
        <f t="shared" si="4"/>
        <v/>
      </c>
      <c r="X721" s="16"/>
      <c r="Y721" s="9"/>
      <c r="Z721" s="9"/>
    </row>
    <row r="722">
      <c r="B722" t="str">
        <f t="array" ref="B722">IFERROR(INDEX('Player Raw Data'!E:E,Match($A722,'Player Raw Data'!$B:$B,0)),"")</f>
        <v/>
      </c>
      <c r="C722" t="str">
        <f t="array" ref="C722">IFERROR(INDEX('Player Raw Data'!C:C,Match($A722,'Player Raw Data'!$B:$B,0)),"")</f>
        <v/>
      </c>
      <c r="D722" t="str">
        <f t="array" ref="D722">IFERROR(IF(A722=A721, INDEX('Player Raw Data'!D:D,Match($A722,'Player Raw Data'!$B:$B,0)+2),INDEX('Player Raw Data'!D:D,Match($A722,'Player Raw Data'!$B:$B,0))),"")</f>
        <v/>
      </c>
      <c r="E722" t="str">
        <f t="array" ref="E722">IFERROR(INDEX('Player Raw Data'!F:F,Match($A722,'Player Raw Data'!$B:$B,0)),"")</f>
        <v/>
      </c>
      <c r="F722" t="str">
        <f t="array" ref="F722">IFERROR(INDEX('Player Raw Data'!H:H,Match($A722,'Player Raw Data'!$B:$B,0)),"")</f>
        <v/>
      </c>
      <c r="G722" t="str">
        <f t="array" ref="G722">IFERROR(INDEX('Player Raw Data'!I:I,Match($A722,'Player Raw Data'!$B:$B,0)),"")</f>
        <v/>
      </c>
      <c r="H722" t="str">
        <f t="array" ref="H722">IFERROR(INDEX('Player Raw Data'!J:J,Match($A722,'Player Raw Data'!$B:$B,0)),"")</f>
        <v/>
      </c>
      <c r="I722" t="str">
        <f t="array" ref="I722">IFERROR(INDEX('Player Raw Data'!S:S,Match($A722,'Player Raw Data'!$B:$B,0)),"")</f>
        <v/>
      </c>
      <c r="J722" t="str">
        <f t="array" ref="J722">IFERROR(INDEX('Player Raw Data'!T:T,Match($A722,'Player Raw Data'!$B:$B,0)),"")</f>
        <v/>
      </c>
      <c r="K722" t="str">
        <f t="array" ref="K722">IFERROR(INDEX('Player Raw Data'!X:X,Match($A722,'Player Raw Data'!$B:$B,0)),"")</f>
        <v/>
      </c>
      <c r="L722" t="str">
        <f t="array" ref="L722">IFERROR(INDEX('Player Raw Data'!Y:Y,Match($A722,'Player Raw Data'!$B:$B,0)),"")</f>
        <v/>
      </c>
      <c r="M722" t="str">
        <f t="array" ref="M722">IFERROR(INDEX('Player Raw Data'!Z:Z,Match($A722,'Player Raw Data'!$B:$B,0)),"")</f>
        <v/>
      </c>
      <c r="N722" t="str">
        <f t="array" ref="N722">IFERROR(INDEX('Player Raw Data'!AA:AA,Match($A722,'Player Raw Data'!$B:$B,0)),"")</f>
        <v/>
      </c>
      <c r="O722" t="str">
        <f t="array" ref="O722">IFERROR(INDEX('Player Raw Data'!AB:AB,Match($A722,'Player Raw Data'!$B:$B,0)),"")</f>
        <v/>
      </c>
      <c r="P722" t="str">
        <f t="array" ref="P722">IFERROR(INDEX('Player Raw Data'!AD:AD,Match($A722,'Player Raw Data'!$B:$B,0)),"")</f>
        <v/>
      </c>
      <c r="Q722">
        <f t="shared" si="1"/>
        <v>0</v>
      </c>
      <c r="R722" s="9">
        <f t="shared" si="2"/>
        <v>0</v>
      </c>
      <c r="S722" s="14">
        <f t="shared" si="3"/>
        <v>0</v>
      </c>
      <c r="T722" s="15">
        <f>IFERROR(__xludf.DUMMYFUNCTION("IFERROR(PERCENTRANK.INC(FILTER(Q:Q,$F:$F&lt;&gt;""""),Q722)*100,"""")"),1.5)</f>
        <v>1.5</v>
      </c>
      <c r="U722" s="15">
        <f>IFERROR(__xludf.DUMMYFUNCTION("IFERROR(PERCENTRANK.INC(FILTER(R:R,$F:$F&lt;&gt;""""),R722)*100,"""")"),1.5)</f>
        <v>1.5</v>
      </c>
      <c r="V722" s="15">
        <f>IFERROR(__xludf.DUMMYFUNCTION("IFERROR(PERCENTRANK.INC(FILTER(S:S,$F:$F&lt;&gt;""""),S722)*100,"""")"),1.5)</f>
        <v>1.5</v>
      </c>
      <c r="W722" s="15" t="str">
        <f t="shared" si="4"/>
        <v/>
      </c>
      <c r="X722" s="16"/>
      <c r="Y722" s="9"/>
      <c r="Z722" s="9"/>
    </row>
    <row r="723">
      <c r="B723" t="str">
        <f t="array" ref="B723">IFERROR(INDEX('Player Raw Data'!E:E,Match($A723,'Player Raw Data'!$B:$B,0)),"")</f>
        <v/>
      </c>
      <c r="C723" t="str">
        <f t="array" ref="C723">IFERROR(INDEX('Player Raw Data'!C:C,Match($A723,'Player Raw Data'!$B:$B,0)),"")</f>
        <v/>
      </c>
      <c r="D723" t="str">
        <f t="array" ref="D723">IFERROR(IF(A723=A722, INDEX('Player Raw Data'!D:D,Match($A723,'Player Raw Data'!$B:$B,0)+2),INDEX('Player Raw Data'!D:D,Match($A723,'Player Raw Data'!$B:$B,0))),"")</f>
        <v/>
      </c>
      <c r="E723" t="str">
        <f t="array" ref="E723">IFERROR(INDEX('Player Raw Data'!F:F,Match($A723,'Player Raw Data'!$B:$B,0)),"")</f>
        <v/>
      </c>
      <c r="F723" t="str">
        <f t="array" ref="F723">IFERROR(INDEX('Player Raw Data'!H:H,Match($A723,'Player Raw Data'!$B:$B,0)),"")</f>
        <v/>
      </c>
      <c r="G723" t="str">
        <f t="array" ref="G723">IFERROR(INDEX('Player Raw Data'!I:I,Match($A723,'Player Raw Data'!$B:$B,0)),"")</f>
        <v/>
      </c>
      <c r="H723" t="str">
        <f t="array" ref="H723">IFERROR(INDEX('Player Raw Data'!J:J,Match($A723,'Player Raw Data'!$B:$B,0)),"")</f>
        <v/>
      </c>
      <c r="I723" t="str">
        <f t="array" ref="I723">IFERROR(INDEX('Player Raw Data'!S:S,Match($A723,'Player Raw Data'!$B:$B,0)),"")</f>
        <v/>
      </c>
      <c r="J723" t="str">
        <f t="array" ref="J723">IFERROR(INDEX('Player Raw Data'!T:T,Match($A723,'Player Raw Data'!$B:$B,0)),"")</f>
        <v/>
      </c>
      <c r="K723" t="str">
        <f t="array" ref="K723">IFERROR(INDEX('Player Raw Data'!X:X,Match($A723,'Player Raw Data'!$B:$B,0)),"")</f>
        <v/>
      </c>
      <c r="L723" t="str">
        <f t="array" ref="L723">IFERROR(INDEX('Player Raw Data'!Y:Y,Match($A723,'Player Raw Data'!$B:$B,0)),"")</f>
        <v/>
      </c>
      <c r="M723" t="str">
        <f t="array" ref="M723">IFERROR(INDEX('Player Raw Data'!Z:Z,Match($A723,'Player Raw Data'!$B:$B,0)),"")</f>
        <v/>
      </c>
      <c r="N723" t="str">
        <f t="array" ref="N723">IFERROR(INDEX('Player Raw Data'!AA:AA,Match($A723,'Player Raw Data'!$B:$B,0)),"")</f>
        <v/>
      </c>
      <c r="O723" t="str">
        <f t="array" ref="O723">IFERROR(INDEX('Player Raw Data'!AB:AB,Match($A723,'Player Raw Data'!$B:$B,0)),"")</f>
        <v/>
      </c>
      <c r="P723" t="str">
        <f t="array" ref="P723">IFERROR(INDEX('Player Raw Data'!AD:AD,Match($A723,'Player Raw Data'!$B:$B,0)),"")</f>
        <v/>
      </c>
      <c r="Q723">
        <f t="shared" si="1"/>
        <v>0</v>
      </c>
      <c r="R723" s="9">
        <f t="shared" si="2"/>
        <v>0</v>
      </c>
      <c r="S723" s="14">
        <f t="shared" si="3"/>
        <v>0</v>
      </c>
      <c r="T723" s="15">
        <f>IFERROR(__xludf.DUMMYFUNCTION("IFERROR(PERCENTRANK.INC(FILTER(Q:Q,$F:$F&lt;&gt;""""),Q723)*100,"""")"),1.5)</f>
        <v>1.5</v>
      </c>
      <c r="U723" s="15">
        <f>IFERROR(__xludf.DUMMYFUNCTION("IFERROR(PERCENTRANK.INC(FILTER(R:R,$F:$F&lt;&gt;""""),R723)*100,"""")"),1.5)</f>
        <v>1.5</v>
      </c>
      <c r="V723" s="15">
        <f>IFERROR(__xludf.DUMMYFUNCTION("IFERROR(PERCENTRANK.INC(FILTER(S:S,$F:$F&lt;&gt;""""),S723)*100,"""")"),1.5)</f>
        <v>1.5</v>
      </c>
      <c r="W723" s="15" t="str">
        <f t="shared" si="4"/>
        <v/>
      </c>
      <c r="X723" s="16"/>
      <c r="Y723" s="9"/>
      <c r="Z723" s="9"/>
    </row>
    <row r="724">
      <c r="B724" t="str">
        <f t="array" ref="B724">IFERROR(INDEX('Player Raw Data'!E:E,Match($A724,'Player Raw Data'!$B:$B,0)),"")</f>
        <v/>
      </c>
      <c r="C724" t="str">
        <f t="array" ref="C724">IFERROR(INDEX('Player Raw Data'!C:C,Match($A724,'Player Raw Data'!$B:$B,0)),"")</f>
        <v/>
      </c>
      <c r="D724" t="str">
        <f t="array" ref="D724">IFERROR(IF(A724=A723, INDEX('Player Raw Data'!D:D,Match($A724,'Player Raw Data'!$B:$B,0)+2),INDEX('Player Raw Data'!D:D,Match($A724,'Player Raw Data'!$B:$B,0))),"")</f>
        <v/>
      </c>
      <c r="E724" t="str">
        <f t="array" ref="E724">IFERROR(INDEX('Player Raw Data'!F:F,Match($A724,'Player Raw Data'!$B:$B,0)),"")</f>
        <v/>
      </c>
      <c r="F724" t="str">
        <f t="array" ref="F724">IFERROR(INDEX('Player Raw Data'!H:H,Match($A724,'Player Raw Data'!$B:$B,0)),"")</f>
        <v/>
      </c>
      <c r="G724" t="str">
        <f t="array" ref="G724">IFERROR(INDEX('Player Raw Data'!I:I,Match($A724,'Player Raw Data'!$B:$B,0)),"")</f>
        <v/>
      </c>
      <c r="H724" t="str">
        <f t="array" ref="H724">IFERROR(INDEX('Player Raw Data'!J:J,Match($A724,'Player Raw Data'!$B:$B,0)),"")</f>
        <v/>
      </c>
      <c r="I724" t="str">
        <f t="array" ref="I724">IFERROR(INDEX('Player Raw Data'!S:S,Match($A724,'Player Raw Data'!$B:$B,0)),"")</f>
        <v/>
      </c>
      <c r="J724" t="str">
        <f t="array" ref="J724">IFERROR(INDEX('Player Raw Data'!T:T,Match($A724,'Player Raw Data'!$B:$B,0)),"")</f>
        <v/>
      </c>
      <c r="K724" t="str">
        <f t="array" ref="K724">IFERROR(INDEX('Player Raw Data'!X:X,Match($A724,'Player Raw Data'!$B:$B,0)),"")</f>
        <v/>
      </c>
      <c r="L724" t="str">
        <f t="array" ref="L724">IFERROR(INDEX('Player Raw Data'!Y:Y,Match($A724,'Player Raw Data'!$B:$B,0)),"")</f>
        <v/>
      </c>
      <c r="M724" t="str">
        <f t="array" ref="M724">IFERROR(INDEX('Player Raw Data'!Z:Z,Match($A724,'Player Raw Data'!$B:$B,0)),"")</f>
        <v/>
      </c>
      <c r="N724" t="str">
        <f t="array" ref="N724">IFERROR(INDEX('Player Raw Data'!AA:AA,Match($A724,'Player Raw Data'!$B:$B,0)),"")</f>
        <v/>
      </c>
      <c r="O724" t="str">
        <f t="array" ref="O724">IFERROR(INDEX('Player Raw Data'!AB:AB,Match($A724,'Player Raw Data'!$B:$B,0)),"")</f>
        <v/>
      </c>
      <c r="P724" t="str">
        <f t="array" ref="P724">IFERROR(INDEX('Player Raw Data'!AD:AD,Match($A724,'Player Raw Data'!$B:$B,0)),"")</f>
        <v/>
      </c>
      <c r="Q724">
        <f t="shared" si="1"/>
        <v>0</v>
      </c>
      <c r="R724" s="9">
        <f t="shared" si="2"/>
        <v>0</v>
      </c>
      <c r="S724" s="14">
        <f t="shared" si="3"/>
        <v>0</v>
      </c>
      <c r="T724" s="15">
        <f>IFERROR(__xludf.DUMMYFUNCTION("IFERROR(PERCENTRANK.INC(FILTER(Q:Q,$F:$F&lt;&gt;""""),Q724)*100,"""")"),1.5)</f>
        <v>1.5</v>
      </c>
      <c r="U724" s="15">
        <f>IFERROR(__xludf.DUMMYFUNCTION("IFERROR(PERCENTRANK.INC(FILTER(R:R,$F:$F&lt;&gt;""""),R724)*100,"""")"),1.5)</f>
        <v>1.5</v>
      </c>
      <c r="V724" s="15">
        <f>IFERROR(__xludf.DUMMYFUNCTION("IFERROR(PERCENTRANK.INC(FILTER(S:S,$F:$F&lt;&gt;""""),S724)*100,"""")"),1.5)</f>
        <v>1.5</v>
      </c>
      <c r="W724" s="15" t="str">
        <f t="shared" si="4"/>
        <v/>
      </c>
      <c r="X724" s="16"/>
      <c r="Y724" s="9"/>
      <c r="Z724" s="9"/>
    </row>
    <row r="725">
      <c r="B725" t="str">
        <f t="array" ref="B725">IFERROR(INDEX('Player Raw Data'!E:E,Match($A725,'Player Raw Data'!$B:$B,0)),"")</f>
        <v/>
      </c>
      <c r="C725" t="str">
        <f t="array" ref="C725">IFERROR(INDEX('Player Raw Data'!C:C,Match($A725,'Player Raw Data'!$B:$B,0)),"")</f>
        <v/>
      </c>
      <c r="D725" t="str">
        <f t="array" ref="D725">IFERROR(IF(A725=A724, INDEX('Player Raw Data'!D:D,Match($A725,'Player Raw Data'!$B:$B,0)+2),INDEX('Player Raw Data'!D:D,Match($A725,'Player Raw Data'!$B:$B,0))),"")</f>
        <v/>
      </c>
      <c r="E725" t="str">
        <f t="array" ref="E725">IFERROR(INDEX('Player Raw Data'!F:F,Match($A725,'Player Raw Data'!$B:$B,0)),"")</f>
        <v/>
      </c>
      <c r="F725" t="str">
        <f t="array" ref="F725">IFERROR(INDEX('Player Raw Data'!H:H,Match($A725,'Player Raw Data'!$B:$B,0)),"")</f>
        <v/>
      </c>
      <c r="G725" t="str">
        <f t="array" ref="G725">IFERROR(INDEX('Player Raw Data'!I:I,Match($A725,'Player Raw Data'!$B:$B,0)),"")</f>
        <v/>
      </c>
      <c r="H725" t="str">
        <f t="array" ref="H725">IFERROR(INDEX('Player Raw Data'!J:J,Match($A725,'Player Raw Data'!$B:$B,0)),"")</f>
        <v/>
      </c>
      <c r="I725" t="str">
        <f t="array" ref="I725">IFERROR(INDEX('Player Raw Data'!S:S,Match($A725,'Player Raw Data'!$B:$B,0)),"")</f>
        <v/>
      </c>
      <c r="J725" t="str">
        <f t="array" ref="J725">IFERROR(INDEX('Player Raw Data'!T:T,Match($A725,'Player Raw Data'!$B:$B,0)),"")</f>
        <v/>
      </c>
      <c r="K725" t="str">
        <f t="array" ref="K725">IFERROR(INDEX('Player Raw Data'!X:X,Match($A725,'Player Raw Data'!$B:$B,0)),"")</f>
        <v/>
      </c>
      <c r="L725" t="str">
        <f t="array" ref="L725">IFERROR(INDEX('Player Raw Data'!Y:Y,Match($A725,'Player Raw Data'!$B:$B,0)),"")</f>
        <v/>
      </c>
      <c r="M725" t="str">
        <f t="array" ref="M725">IFERROR(INDEX('Player Raw Data'!Z:Z,Match($A725,'Player Raw Data'!$B:$B,0)),"")</f>
        <v/>
      </c>
      <c r="N725" t="str">
        <f t="array" ref="N725">IFERROR(INDEX('Player Raw Data'!AA:AA,Match($A725,'Player Raw Data'!$B:$B,0)),"")</f>
        <v/>
      </c>
      <c r="O725" t="str">
        <f t="array" ref="O725">IFERROR(INDEX('Player Raw Data'!AB:AB,Match($A725,'Player Raw Data'!$B:$B,0)),"")</f>
        <v/>
      </c>
      <c r="P725" t="str">
        <f t="array" ref="P725">IFERROR(INDEX('Player Raw Data'!AD:AD,Match($A725,'Player Raw Data'!$B:$B,0)),"")</f>
        <v/>
      </c>
      <c r="Q725">
        <f t="shared" si="1"/>
        <v>0</v>
      </c>
      <c r="R725" s="9">
        <f t="shared" si="2"/>
        <v>0</v>
      </c>
      <c r="S725" s="14">
        <f t="shared" si="3"/>
        <v>0</v>
      </c>
      <c r="T725" s="15">
        <f>IFERROR(__xludf.DUMMYFUNCTION("IFERROR(PERCENTRANK.INC(FILTER(Q:Q,$F:$F&lt;&gt;""""),Q725)*100,"""")"),1.5)</f>
        <v>1.5</v>
      </c>
      <c r="U725" s="15">
        <f>IFERROR(__xludf.DUMMYFUNCTION("IFERROR(PERCENTRANK.INC(FILTER(R:R,$F:$F&lt;&gt;""""),R725)*100,"""")"),1.5)</f>
        <v>1.5</v>
      </c>
      <c r="V725" s="15">
        <f>IFERROR(__xludf.DUMMYFUNCTION("IFERROR(PERCENTRANK.INC(FILTER(S:S,$F:$F&lt;&gt;""""),S725)*100,"""")"),1.5)</f>
        <v>1.5</v>
      </c>
      <c r="W725" s="15" t="str">
        <f t="shared" si="4"/>
        <v/>
      </c>
      <c r="X725" s="16"/>
      <c r="Y725" s="9"/>
      <c r="Z725" s="9"/>
    </row>
    <row r="726">
      <c r="B726" t="str">
        <f t="array" ref="B726">IFERROR(INDEX('Player Raw Data'!E:E,Match($A726,'Player Raw Data'!$B:$B,0)),"")</f>
        <v/>
      </c>
      <c r="C726" t="str">
        <f t="array" ref="C726">IFERROR(INDEX('Player Raw Data'!C:C,Match($A726,'Player Raw Data'!$B:$B,0)),"")</f>
        <v/>
      </c>
      <c r="D726" t="str">
        <f t="array" ref="D726">IFERROR(IF(A726=A725, INDEX('Player Raw Data'!D:D,Match($A726,'Player Raw Data'!$B:$B,0)+2),INDEX('Player Raw Data'!D:D,Match($A726,'Player Raw Data'!$B:$B,0))),"")</f>
        <v/>
      </c>
      <c r="E726" t="str">
        <f t="array" ref="E726">IFERROR(INDEX('Player Raw Data'!F:F,Match($A726,'Player Raw Data'!$B:$B,0)),"")</f>
        <v/>
      </c>
      <c r="F726" t="str">
        <f t="array" ref="F726">IFERROR(INDEX('Player Raw Data'!H:H,Match($A726,'Player Raw Data'!$B:$B,0)),"")</f>
        <v/>
      </c>
      <c r="G726" t="str">
        <f t="array" ref="G726">IFERROR(INDEX('Player Raw Data'!I:I,Match($A726,'Player Raw Data'!$B:$B,0)),"")</f>
        <v/>
      </c>
      <c r="H726" t="str">
        <f t="array" ref="H726">IFERROR(INDEX('Player Raw Data'!J:J,Match($A726,'Player Raw Data'!$B:$B,0)),"")</f>
        <v/>
      </c>
      <c r="I726" t="str">
        <f t="array" ref="I726">IFERROR(INDEX('Player Raw Data'!S:S,Match($A726,'Player Raw Data'!$B:$B,0)),"")</f>
        <v/>
      </c>
      <c r="J726" t="str">
        <f t="array" ref="J726">IFERROR(INDEX('Player Raw Data'!T:T,Match($A726,'Player Raw Data'!$B:$B,0)),"")</f>
        <v/>
      </c>
      <c r="K726" t="str">
        <f t="array" ref="K726">IFERROR(INDEX('Player Raw Data'!X:X,Match($A726,'Player Raw Data'!$B:$B,0)),"")</f>
        <v/>
      </c>
      <c r="L726" t="str">
        <f t="array" ref="L726">IFERROR(INDEX('Player Raw Data'!Y:Y,Match($A726,'Player Raw Data'!$B:$B,0)),"")</f>
        <v/>
      </c>
      <c r="M726" t="str">
        <f t="array" ref="M726">IFERROR(INDEX('Player Raw Data'!Z:Z,Match($A726,'Player Raw Data'!$B:$B,0)),"")</f>
        <v/>
      </c>
      <c r="N726" t="str">
        <f t="array" ref="N726">IFERROR(INDEX('Player Raw Data'!AA:AA,Match($A726,'Player Raw Data'!$B:$B,0)),"")</f>
        <v/>
      </c>
      <c r="O726" t="str">
        <f t="array" ref="O726">IFERROR(INDEX('Player Raw Data'!AB:AB,Match($A726,'Player Raw Data'!$B:$B,0)),"")</f>
        <v/>
      </c>
      <c r="P726" t="str">
        <f t="array" ref="P726">IFERROR(INDEX('Player Raw Data'!AD:AD,Match($A726,'Player Raw Data'!$B:$B,0)),"")</f>
        <v/>
      </c>
      <c r="Q726">
        <f t="shared" si="1"/>
        <v>0</v>
      </c>
      <c r="R726" s="9">
        <f t="shared" si="2"/>
        <v>0</v>
      </c>
      <c r="S726" s="14">
        <f t="shared" si="3"/>
        <v>0</v>
      </c>
      <c r="T726" s="15">
        <f>IFERROR(__xludf.DUMMYFUNCTION("IFERROR(PERCENTRANK.INC(FILTER(Q:Q,$F:$F&lt;&gt;""""),Q726)*100,"""")"),1.5)</f>
        <v>1.5</v>
      </c>
      <c r="U726" s="15">
        <f>IFERROR(__xludf.DUMMYFUNCTION("IFERROR(PERCENTRANK.INC(FILTER(R:R,$F:$F&lt;&gt;""""),R726)*100,"""")"),1.5)</f>
        <v>1.5</v>
      </c>
      <c r="V726" s="15">
        <f>IFERROR(__xludf.DUMMYFUNCTION("IFERROR(PERCENTRANK.INC(FILTER(S:S,$F:$F&lt;&gt;""""),S726)*100,"""")"),1.5)</f>
        <v>1.5</v>
      </c>
      <c r="W726" s="15" t="str">
        <f t="shared" si="4"/>
        <v/>
      </c>
      <c r="X726" s="16"/>
      <c r="Y726" s="9"/>
      <c r="Z726" s="9"/>
    </row>
    <row r="727">
      <c r="B727" t="str">
        <f t="array" ref="B727">IFERROR(INDEX('Player Raw Data'!E:E,Match($A727,'Player Raw Data'!$B:$B,0)),"")</f>
        <v/>
      </c>
      <c r="C727" t="str">
        <f t="array" ref="C727">IFERROR(INDEX('Player Raw Data'!C:C,Match($A727,'Player Raw Data'!$B:$B,0)),"")</f>
        <v/>
      </c>
      <c r="D727" t="str">
        <f t="array" ref="D727">IFERROR(IF(A727=A726, INDEX('Player Raw Data'!D:D,Match($A727,'Player Raw Data'!$B:$B,0)+2),INDEX('Player Raw Data'!D:D,Match($A727,'Player Raw Data'!$B:$B,0))),"")</f>
        <v/>
      </c>
      <c r="E727" t="str">
        <f t="array" ref="E727">IFERROR(INDEX('Player Raw Data'!F:F,Match($A727,'Player Raw Data'!$B:$B,0)),"")</f>
        <v/>
      </c>
      <c r="F727" t="str">
        <f t="array" ref="F727">IFERROR(INDEX('Player Raw Data'!H:H,Match($A727,'Player Raw Data'!$B:$B,0)),"")</f>
        <v/>
      </c>
      <c r="G727" t="str">
        <f t="array" ref="G727">IFERROR(INDEX('Player Raw Data'!I:I,Match($A727,'Player Raw Data'!$B:$B,0)),"")</f>
        <v/>
      </c>
      <c r="H727" t="str">
        <f t="array" ref="H727">IFERROR(INDEX('Player Raw Data'!J:J,Match($A727,'Player Raw Data'!$B:$B,0)),"")</f>
        <v/>
      </c>
      <c r="I727" t="str">
        <f t="array" ref="I727">IFERROR(INDEX('Player Raw Data'!S:S,Match($A727,'Player Raw Data'!$B:$B,0)),"")</f>
        <v/>
      </c>
      <c r="J727" t="str">
        <f t="array" ref="J727">IFERROR(INDEX('Player Raw Data'!T:T,Match($A727,'Player Raw Data'!$B:$B,0)),"")</f>
        <v/>
      </c>
      <c r="K727" t="str">
        <f t="array" ref="K727">IFERROR(INDEX('Player Raw Data'!X:X,Match($A727,'Player Raw Data'!$B:$B,0)),"")</f>
        <v/>
      </c>
      <c r="L727" t="str">
        <f t="array" ref="L727">IFERROR(INDEX('Player Raw Data'!Y:Y,Match($A727,'Player Raw Data'!$B:$B,0)),"")</f>
        <v/>
      </c>
      <c r="M727" t="str">
        <f t="array" ref="M727">IFERROR(INDEX('Player Raw Data'!Z:Z,Match($A727,'Player Raw Data'!$B:$B,0)),"")</f>
        <v/>
      </c>
      <c r="N727" t="str">
        <f t="array" ref="N727">IFERROR(INDEX('Player Raw Data'!AA:AA,Match($A727,'Player Raw Data'!$B:$B,0)),"")</f>
        <v/>
      </c>
      <c r="O727" t="str">
        <f t="array" ref="O727">IFERROR(INDEX('Player Raw Data'!AB:AB,Match($A727,'Player Raw Data'!$B:$B,0)),"")</f>
        <v/>
      </c>
      <c r="P727" t="str">
        <f t="array" ref="P727">IFERROR(INDEX('Player Raw Data'!AD:AD,Match($A727,'Player Raw Data'!$B:$B,0)),"")</f>
        <v/>
      </c>
      <c r="Q727">
        <f t="shared" si="1"/>
        <v>0</v>
      </c>
      <c r="R727" s="9">
        <f t="shared" si="2"/>
        <v>0</v>
      </c>
      <c r="S727" s="14">
        <f t="shared" si="3"/>
        <v>0</v>
      </c>
      <c r="T727" s="15">
        <f>IFERROR(__xludf.DUMMYFUNCTION("IFERROR(PERCENTRANK.INC(FILTER(Q:Q,$F:$F&lt;&gt;""""),Q727)*100,"""")"),1.5)</f>
        <v>1.5</v>
      </c>
      <c r="U727" s="15">
        <f>IFERROR(__xludf.DUMMYFUNCTION("IFERROR(PERCENTRANK.INC(FILTER(R:R,$F:$F&lt;&gt;""""),R727)*100,"""")"),1.5)</f>
        <v>1.5</v>
      </c>
      <c r="V727" s="15">
        <f>IFERROR(__xludf.DUMMYFUNCTION("IFERROR(PERCENTRANK.INC(FILTER(S:S,$F:$F&lt;&gt;""""),S727)*100,"""")"),1.5)</f>
        <v>1.5</v>
      </c>
      <c r="W727" s="15" t="str">
        <f t="shared" si="4"/>
        <v/>
      </c>
      <c r="X727" s="16"/>
      <c r="Y727" s="9"/>
      <c r="Z727" s="9"/>
    </row>
    <row r="728">
      <c r="B728" t="str">
        <f t="array" ref="B728">IFERROR(INDEX('Player Raw Data'!E:E,Match($A728,'Player Raw Data'!$B:$B,0)),"")</f>
        <v/>
      </c>
      <c r="C728" t="str">
        <f t="array" ref="C728">IFERROR(INDEX('Player Raw Data'!C:C,Match($A728,'Player Raw Data'!$B:$B,0)),"")</f>
        <v/>
      </c>
      <c r="D728" t="str">
        <f t="array" ref="D728">IFERROR(IF(A728=A727, INDEX('Player Raw Data'!D:D,Match($A728,'Player Raw Data'!$B:$B,0)+2),INDEX('Player Raw Data'!D:D,Match($A728,'Player Raw Data'!$B:$B,0))),"")</f>
        <v/>
      </c>
      <c r="E728" t="str">
        <f t="array" ref="E728">IFERROR(INDEX('Player Raw Data'!F:F,Match($A728,'Player Raw Data'!$B:$B,0)),"")</f>
        <v/>
      </c>
      <c r="F728" t="str">
        <f t="array" ref="F728">IFERROR(INDEX('Player Raw Data'!H:H,Match($A728,'Player Raw Data'!$B:$B,0)),"")</f>
        <v/>
      </c>
      <c r="G728" t="str">
        <f t="array" ref="G728">IFERROR(INDEX('Player Raw Data'!I:I,Match($A728,'Player Raw Data'!$B:$B,0)),"")</f>
        <v/>
      </c>
      <c r="H728" t="str">
        <f t="array" ref="H728">IFERROR(INDEX('Player Raw Data'!J:J,Match($A728,'Player Raw Data'!$B:$B,0)),"")</f>
        <v/>
      </c>
      <c r="I728" t="str">
        <f t="array" ref="I728">IFERROR(INDEX('Player Raw Data'!S:S,Match($A728,'Player Raw Data'!$B:$B,0)),"")</f>
        <v/>
      </c>
      <c r="J728" t="str">
        <f t="array" ref="J728">IFERROR(INDEX('Player Raw Data'!T:T,Match($A728,'Player Raw Data'!$B:$B,0)),"")</f>
        <v/>
      </c>
      <c r="K728" t="str">
        <f t="array" ref="K728">IFERROR(INDEX('Player Raw Data'!X:X,Match($A728,'Player Raw Data'!$B:$B,0)),"")</f>
        <v/>
      </c>
      <c r="L728" t="str">
        <f t="array" ref="L728">IFERROR(INDEX('Player Raw Data'!Y:Y,Match($A728,'Player Raw Data'!$B:$B,0)),"")</f>
        <v/>
      </c>
      <c r="M728" t="str">
        <f t="array" ref="M728">IFERROR(INDEX('Player Raw Data'!Z:Z,Match($A728,'Player Raw Data'!$B:$B,0)),"")</f>
        <v/>
      </c>
      <c r="N728" t="str">
        <f t="array" ref="N728">IFERROR(INDEX('Player Raw Data'!AA:AA,Match($A728,'Player Raw Data'!$B:$B,0)),"")</f>
        <v/>
      </c>
      <c r="O728" t="str">
        <f t="array" ref="O728">IFERROR(INDEX('Player Raw Data'!AB:AB,Match($A728,'Player Raw Data'!$B:$B,0)),"")</f>
        <v/>
      </c>
      <c r="P728" t="str">
        <f t="array" ref="P728">IFERROR(INDEX('Player Raw Data'!AD:AD,Match($A728,'Player Raw Data'!$B:$B,0)),"")</f>
        <v/>
      </c>
      <c r="Q728">
        <f t="shared" si="1"/>
        <v>0</v>
      </c>
      <c r="R728" s="9">
        <f t="shared" si="2"/>
        <v>0</v>
      </c>
      <c r="S728" s="14">
        <f t="shared" si="3"/>
        <v>0</v>
      </c>
      <c r="T728" s="15">
        <f>IFERROR(__xludf.DUMMYFUNCTION("IFERROR(PERCENTRANK.INC(FILTER(Q:Q,$F:$F&lt;&gt;""""),Q728)*100,"""")"),1.5)</f>
        <v>1.5</v>
      </c>
      <c r="U728" s="15">
        <f>IFERROR(__xludf.DUMMYFUNCTION("IFERROR(PERCENTRANK.INC(FILTER(R:R,$F:$F&lt;&gt;""""),R728)*100,"""")"),1.5)</f>
        <v>1.5</v>
      </c>
      <c r="V728" s="15">
        <f>IFERROR(__xludf.DUMMYFUNCTION("IFERROR(PERCENTRANK.INC(FILTER(S:S,$F:$F&lt;&gt;""""),S728)*100,"""")"),1.5)</f>
        <v>1.5</v>
      </c>
      <c r="W728" s="15" t="str">
        <f t="shared" si="4"/>
        <v/>
      </c>
      <c r="X728" s="16"/>
      <c r="Y728" s="9"/>
      <c r="Z728" s="9"/>
    </row>
    <row r="729">
      <c r="B729" t="str">
        <f t="array" ref="B729">IFERROR(INDEX('Player Raw Data'!E:E,Match($A729,'Player Raw Data'!$B:$B,0)),"")</f>
        <v/>
      </c>
      <c r="C729" t="str">
        <f t="array" ref="C729">IFERROR(INDEX('Player Raw Data'!C:C,Match($A729,'Player Raw Data'!$B:$B,0)),"")</f>
        <v/>
      </c>
      <c r="D729" t="str">
        <f t="array" ref="D729">IFERROR(IF(A729=A728, INDEX('Player Raw Data'!D:D,Match($A729,'Player Raw Data'!$B:$B,0)+2),INDEX('Player Raw Data'!D:D,Match($A729,'Player Raw Data'!$B:$B,0))),"")</f>
        <v/>
      </c>
      <c r="E729" t="str">
        <f t="array" ref="E729">IFERROR(INDEX('Player Raw Data'!F:F,Match($A729,'Player Raw Data'!$B:$B,0)),"")</f>
        <v/>
      </c>
      <c r="F729" t="str">
        <f t="array" ref="F729">IFERROR(INDEX('Player Raw Data'!H:H,Match($A729,'Player Raw Data'!$B:$B,0)),"")</f>
        <v/>
      </c>
      <c r="G729" t="str">
        <f t="array" ref="G729">IFERROR(INDEX('Player Raw Data'!I:I,Match($A729,'Player Raw Data'!$B:$B,0)),"")</f>
        <v/>
      </c>
      <c r="H729" t="str">
        <f t="array" ref="H729">IFERROR(INDEX('Player Raw Data'!J:J,Match($A729,'Player Raw Data'!$B:$B,0)),"")</f>
        <v/>
      </c>
      <c r="I729" t="str">
        <f t="array" ref="I729">IFERROR(INDEX('Player Raw Data'!S:S,Match($A729,'Player Raw Data'!$B:$B,0)),"")</f>
        <v/>
      </c>
      <c r="J729" t="str">
        <f t="array" ref="J729">IFERROR(INDEX('Player Raw Data'!T:T,Match($A729,'Player Raw Data'!$B:$B,0)),"")</f>
        <v/>
      </c>
      <c r="K729" t="str">
        <f t="array" ref="K729">IFERROR(INDEX('Player Raw Data'!X:X,Match($A729,'Player Raw Data'!$B:$B,0)),"")</f>
        <v/>
      </c>
      <c r="L729" t="str">
        <f t="array" ref="L729">IFERROR(INDEX('Player Raw Data'!Y:Y,Match($A729,'Player Raw Data'!$B:$B,0)),"")</f>
        <v/>
      </c>
      <c r="M729" t="str">
        <f t="array" ref="M729">IFERROR(INDEX('Player Raw Data'!Z:Z,Match($A729,'Player Raw Data'!$B:$B,0)),"")</f>
        <v/>
      </c>
      <c r="N729" t="str">
        <f t="array" ref="N729">IFERROR(INDEX('Player Raw Data'!AA:AA,Match($A729,'Player Raw Data'!$B:$B,0)),"")</f>
        <v/>
      </c>
      <c r="O729" t="str">
        <f t="array" ref="O729">IFERROR(INDEX('Player Raw Data'!AB:AB,Match($A729,'Player Raw Data'!$B:$B,0)),"")</f>
        <v/>
      </c>
      <c r="P729" t="str">
        <f t="array" ref="P729">IFERROR(INDEX('Player Raw Data'!AD:AD,Match($A729,'Player Raw Data'!$B:$B,0)),"")</f>
        <v/>
      </c>
      <c r="Q729">
        <f t="shared" si="1"/>
        <v>0</v>
      </c>
      <c r="R729" s="9">
        <f t="shared" si="2"/>
        <v>0</v>
      </c>
      <c r="S729" s="14">
        <f t="shared" si="3"/>
        <v>0</v>
      </c>
      <c r="T729" s="15">
        <f>IFERROR(__xludf.DUMMYFUNCTION("IFERROR(PERCENTRANK.INC(FILTER(Q:Q,$F:$F&lt;&gt;""""),Q729)*100,"""")"),1.5)</f>
        <v>1.5</v>
      </c>
      <c r="U729" s="15">
        <f>IFERROR(__xludf.DUMMYFUNCTION("IFERROR(PERCENTRANK.INC(FILTER(R:R,$F:$F&lt;&gt;""""),R729)*100,"""")"),1.5)</f>
        <v>1.5</v>
      </c>
      <c r="V729" s="15">
        <f>IFERROR(__xludf.DUMMYFUNCTION("IFERROR(PERCENTRANK.INC(FILTER(S:S,$F:$F&lt;&gt;""""),S729)*100,"""")"),1.5)</f>
        <v>1.5</v>
      </c>
      <c r="W729" s="15" t="str">
        <f t="shared" si="4"/>
        <v/>
      </c>
      <c r="X729" s="16"/>
      <c r="Y729" s="9"/>
      <c r="Z729" s="9"/>
    </row>
    <row r="730">
      <c r="B730" t="str">
        <f t="array" ref="B730">IFERROR(INDEX('Player Raw Data'!C:C,Match($A730,'Player Raw Data'!$B:$B,0)),"")</f>
        <v/>
      </c>
      <c r="C730" t="str">
        <f t="array" ref="C730">IFERROR(INDEX('Player Raw Data'!D:D,Match($A730,'Player Raw Data'!$B:$B,0)),"")</f>
        <v/>
      </c>
      <c r="D730" t="str">
        <f t="array" ref="D730">IFERROR(IF(A730=A729, INDEX('Player Raw Data'!E:E,Match($A730,'Player Raw Data'!$B:$B,0)+2),INDEX('Player Raw Data'!E:E,Match($A730,'Player Raw Data'!$B:$B,0))),"")</f>
        <v/>
      </c>
      <c r="E730" t="str">
        <f t="array" ref="E730">IFERROR(INDEX('Player Raw Data'!F:F,Match($A730,'Player Raw Data'!$B:$B,0)),"")</f>
        <v/>
      </c>
      <c r="F730" t="str">
        <f t="array" ref="F730">IFERROR(INDEX('Player Raw Data'!H:H,Match($A730,'Player Raw Data'!$B:$B,0)),"")</f>
        <v/>
      </c>
      <c r="G730" t="str">
        <f t="array" ref="G730">IFERROR(INDEX('Player Raw Data'!I:I,Match($A730,'Player Raw Data'!$B:$B,0)),"")</f>
        <v/>
      </c>
      <c r="H730" t="str">
        <f t="array" ref="H730">IFERROR(INDEX('Player Raw Data'!J:J,Match($A730,'Player Raw Data'!$B:$B,0)),"")</f>
        <v/>
      </c>
      <c r="I730" t="str">
        <f t="array" ref="I730">IFERROR(INDEX('Player Raw Data'!S:S,Match($A730,'Player Raw Data'!$B:$B,0)),"")</f>
        <v/>
      </c>
      <c r="J730" t="str">
        <f t="array" ref="J730">IFERROR(INDEX('Player Raw Data'!T:T,Match($A730,'Player Raw Data'!$B:$B,0)),"")</f>
        <v/>
      </c>
      <c r="K730" t="str">
        <f t="array" ref="K730">IFERROR(INDEX('Player Raw Data'!X:X,Match($A730,'Player Raw Data'!$B:$B,0)),"")</f>
        <v/>
      </c>
      <c r="L730" t="str">
        <f t="array" ref="L730">IFERROR(INDEX('Player Raw Data'!Y:Y,Match($A730,'Player Raw Data'!$B:$B,0)),"")</f>
        <v/>
      </c>
      <c r="M730" t="str">
        <f t="array" ref="M730">IFERROR(INDEX('Player Raw Data'!Z:Z,Match($A730,'Player Raw Data'!$B:$B,0)),"")</f>
        <v/>
      </c>
      <c r="N730" t="str">
        <f t="array" ref="N730">IFERROR(INDEX('Player Raw Data'!AA:AA,Match($A730,'Player Raw Data'!$B:$B,0)),"")</f>
        <v/>
      </c>
      <c r="O730" t="str">
        <f t="array" ref="O730">IFERROR(INDEX('Player Raw Data'!AB:AB,Match($A730,'Player Raw Data'!$B:$B,0)),"")</f>
        <v/>
      </c>
      <c r="P730" t="str">
        <f t="array" ref="P730">IFERROR(INDEX('Player Raw Data'!AD:AD,Match($A730,'Player Raw Data'!$B:$B,0)),"")</f>
        <v/>
      </c>
      <c r="Q730">
        <f t="shared" si="1"/>
        <v>0</v>
      </c>
      <c r="R730" s="9">
        <f t="shared" si="2"/>
        <v>0</v>
      </c>
      <c r="S730" s="14">
        <f t="shared" si="3"/>
        <v>0</v>
      </c>
      <c r="T730" s="15">
        <f>IFERROR(__xludf.DUMMYFUNCTION("IFERROR(PERCENTRANK.INC(FILTER(Q:Q,$F:$F&lt;&gt;""""),Q730)*100,"""")"),1.5)</f>
        <v>1.5</v>
      </c>
      <c r="U730" s="15">
        <f>IFERROR(__xludf.DUMMYFUNCTION("IFERROR(PERCENTRANK.INC(FILTER(R:R,$F:$F&lt;&gt;""""),R730)*100,"""")"),1.5)</f>
        <v>1.5</v>
      </c>
      <c r="V730" s="15">
        <f>IFERROR(__xludf.DUMMYFUNCTION("IFERROR(PERCENTRANK.INC(FILTER(S:S,$F:$F&lt;&gt;""""),S730)*100,"""")"),1.5)</f>
        <v>1.5</v>
      </c>
      <c r="W730" s="15" t="str">
        <f t="shared" si="4"/>
        <v/>
      </c>
      <c r="X730" s="16"/>
      <c r="Y730" s="9"/>
      <c r="Z730" s="9"/>
    </row>
    <row r="731">
      <c r="B731" t="str">
        <f t="array" ref="B731">IFERROR(INDEX('Player Raw Data'!C:C,Match($A731,'Player Raw Data'!$B:$B,0)),"")</f>
        <v/>
      </c>
      <c r="C731" t="str">
        <f t="array" ref="C731">IFERROR(INDEX('Player Raw Data'!D:D,Match($A731,'Player Raw Data'!$B:$B,0)),"")</f>
        <v/>
      </c>
      <c r="D731" t="str">
        <f t="array" ref="D731">IFERROR(IF(A731=A730, INDEX('Player Raw Data'!E:E,Match($A731,'Player Raw Data'!$B:$B,0)+2),INDEX('Player Raw Data'!E:E,Match($A731,'Player Raw Data'!$B:$B,0))),"")</f>
        <v/>
      </c>
      <c r="E731" t="str">
        <f t="array" ref="E731">IFERROR(INDEX('Player Raw Data'!F:F,Match($A731,'Player Raw Data'!$B:$B,0)),"")</f>
        <v/>
      </c>
      <c r="F731" t="str">
        <f t="array" ref="F731">IFERROR(INDEX('Player Raw Data'!H:H,Match($A731,'Player Raw Data'!$B:$B,0)),"")</f>
        <v/>
      </c>
      <c r="G731" t="str">
        <f t="array" ref="G731">IFERROR(INDEX('Player Raw Data'!I:I,Match($A731,'Player Raw Data'!$B:$B,0)),"")</f>
        <v/>
      </c>
      <c r="H731" t="str">
        <f t="array" ref="H731">IFERROR(INDEX('Player Raw Data'!J:J,Match($A731,'Player Raw Data'!$B:$B,0)),"")</f>
        <v/>
      </c>
      <c r="I731" t="str">
        <f t="array" ref="I731">IFERROR(INDEX('Player Raw Data'!S:S,Match($A731,'Player Raw Data'!$B:$B,0)),"")</f>
        <v/>
      </c>
      <c r="J731" t="str">
        <f t="array" ref="J731">IFERROR(INDEX('Player Raw Data'!T:T,Match($A731,'Player Raw Data'!$B:$B,0)),"")</f>
        <v/>
      </c>
      <c r="K731" t="str">
        <f t="array" ref="K731">IFERROR(INDEX('Player Raw Data'!X:X,Match($A731,'Player Raw Data'!$B:$B,0)),"")</f>
        <v/>
      </c>
      <c r="L731" t="str">
        <f t="array" ref="L731">IFERROR(INDEX('Player Raw Data'!Y:Y,Match($A731,'Player Raw Data'!$B:$B,0)),"")</f>
        <v/>
      </c>
      <c r="M731" t="str">
        <f t="array" ref="M731">IFERROR(INDEX('Player Raw Data'!Z:Z,Match($A731,'Player Raw Data'!$B:$B,0)),"")</f>
        <v/>
      </c>
      <c r="N731" t="str">
        <f t="array" ref="N731">IFERROR(INDEX('Player Raw Data'!AA:AA,Match($A731,'Player Raw Data'!$B:$B,0)),"")</f>
        <v/>
      </c>
      <c r="O731" t="str">
        <f t="array" ref="O731">IFERROR(INDEX('Player Raw Data'!AB:AB,Match($A731,'Player Raw Data'!$B:$B,0)),"")</f>
        <v/>
      </c>
      <c r="P731" t="str">
        <f t="array" ref="P731">IFERROR(INDEX('Player Raw Data'!AD:AD,Match($A731,'Player Raw Data'!$B:$B,0)),"")</f>
        <v/>
      </c>
      <c r="Q731">
        <f t="shared" si="1"/>
        <v>0</v>
      </c>
      <c r="R731" s="9">
        <f t="shared" si="2"/>
        <v>0</v>
      </c>
      <c r="S731" s="14">
        <f t="shared" si="3"/>
        <v>0</v>
      </c>
      <c r="T731" s="15">
        <f>IFERROR(__xludf.DUMMYFUNCTION("IFERROR(PERCENTRANK.INC(FILTER(Q:Q,$F:$F&lt;&gt;""""),Q731)*100,"""")"),1.5)</f>
        <v>1.5</v>
      </c>
      <c r="U731" s="15">
        <f>IFERROR(__xludf.DUMMYFUNCTION("IFERROR(PERCENTRANK.INC(FILTER(R:R,$F:$F&lt;&gt;""""),R731)*100,"""")"),1.5)</f>
        <v>1.5</v>
      </c>
      <c r="V731" s="15">
        <f>IFERROR(__xludf.DUMMYFUNCTION("IFERROR(PERCENTRANK.INC(FILTER(S:S,$F:$F&lt;&gt;""""),S731)*100,"""")"),1.5)</f>
        <v>1.5</v>
      </c>
      <c r="W731" s="15" t="str">
        <f t="shared" si="4"/>
        <v/>
      </c>
      <c r="X731" s="16"/>
      <c r="Y731" s="9"/>
      <c r="Z731" s="9"/>
    </row>
    <row r="732">
      <c r="B732" t="str">
        <f t="array" ref="B732">IFERROR(INDEX('Player Raw Data'!C:C,Match($A732,'Player Raw Data'!$B:$B,0)),"")</f>
        <v/>
      </c>
      <c r="C732" t="str">
        <f t="array" ref="C732">IFERROR(INDEX('Player Raw Data'!D:D,Match($A732,'Player Raw Data'!$B:$B,0)),"")</f>
        <v/>
      </c>
      <c r="D732" t="str">
        <f t="array" ref="D732">IFERROR(IF(A732=A731, INDEX('Player Raw Data'!E:E,Match($A732,'Player Raw Data'!$B:$B,0)+2),INDEX('Player Raw Data'!E:E,Match($A732,'Player Raw Data'!$B:$B,0))),"")</f>
        <v/>
      </c>
      <c r="E732" t="str">
        <f t="array" ref="E732">IFERROR(INDEX('Player Raw Data'!F:F,Match($A732,'Player Raw Data'!$B:$B,0)),"")</f>
        <v/>
      </c>
      <c r="F732" t="str">
        <f t="array" ref="F732">IFERROR(INDEX('Player Raw Data'!H:H,Match($A732,'Player Raw Data'!$B:$B,0)),"")</f>
        <v/>
      </c>
      <c r="G732" t="str">
        <f t="array" ref="G732">IFERROR(INDEX('Player Raw Data'!I:I,Match($A732,'Player Raw Data'!$B:$B,0)),"")</f>
        <v/>
      </c>
      <c r="H732" t="str">
        <f t="array" ref="H732">IFERROR(INDEX('Player Raw Data'!J:J,Match($A732,'Player Raw Data'!$B:$B,0)),"")</f>
        <v/>
      </c>
      <c r="I732" t="str">
        <f t="array" ref="I732">IFERROR(INDEX('Player Raw Data'!S:S,Match($A732,'Player Raw Data'!$B:$B,0)),"")</f>
        <v/>
      </c>
      <c r="J732" t="str">
        <f t="array" ref="J732">IFERROR(INDEX('Player Raw Data'!T:T,Match($A732,'Player Raw Data'!$B:$B,0)),"")</f>
        <v/>
      </c>
      <c r="K732" t="str">
        <f t="array" ref="K732">IFERROR(INDEX('Player Raw Data'!X:X,Match($A732,'Player Raw Data'!$B:$B,0)),"")</f>
        <v/>
      </c>
      <c r="L732" t="str">
        <f t="array" ref="L732">IFERROR(INDEX('Player Raw Data'!Y:Y,Match($A732,'Player Raw Data'!$B:$B,0)),"")</f>
        <v/>
      </c>
      <c r="M732" t="str">
        <f t="array" ref="M732">IFERROR(INDEX('Player Raw Data'!Z:Z,Match($A732,'Player Raw Data'!$B:$B,0)),"")</f>
        <v/>
      </c>
      <c r="N732" t="str">
        <f t="array" ref="N732">IFERROR(INDEX('Player Raw Data'!AA:AA,Match($A732,'Player Raw Data'!$B:$B,0)),"")</f>
        <v/>
      </c>
      <c r="O732" t="str">
        <f t="array" ref="O732">IFERROR(INDEX('Player Raw Data'!AB:AB,Match($A732,'Player Raw Data'!$B:$B,0)),"")</f>
        <v/>
      </c>
      <c r="P732" t="str">
        <f t="array" ref="P732">IFERROR(INDEX('Player Raw Data'!AD:AD,Match($A732,'Player Raw Data'!$B:$B,0)),"")</f>
        <v/>
      </c>
      <c r="Q732">
        <f t="shared" si="1"/>
        <v>0</v>
      </c>
      <c r="R732" s="9">
        <f t="shared" si="2"/>
        <v>0</v>
      </c>
      <c r="S732" s="14">
        <f t="shared" si="3"/>
        <v>0</v>
      </c>
      <c r="T732" s="15">
        <f>IFERROR(__xludf.DUMMYFUNCTION("IFERROR(PERCENTRANK.INC(FILTER(Q:Q,$F:$F&lt;&gt;""""),Q732)*100,"""")"),1.5)</f>
        <v>1.5</v>
      </c>
      <c r="U732" s="15">
        <f>IFERROR(__xludf.DUMMYFUNCTION("IFERROR(PERCENTRANK.INC(FILTER(R:R,$F:$F&lt;&gt;""""),R732)*100,"""")"),1.5)</f>
        <v>1.5</v>
      </c>
      <c r="V732" s="15">
        <f>IFERROR(__xludf.DUMMYFUNCTION("IFERROR(PERCENTRANK.INC(FILTER(S:S,$F:$F&lt;&gt;""""),S732)*100,"""")"),1.5)</f>
        <v>1.5</v>
      </c>
      <c r="W732" s="15" t="str">
        <f t="shared" si="4"/>
        <v/>
      </c>
      <c r="X732" s="16"/>
      <c r="Y732" s="9"/>
      <c r="Z732" s="9"/>
    </row>
    <row r="733">
      <c r="B733" t="str">
        <f t="array" ref="B733">IFERROR(INDEX('Player Raw Data'!C:C,Match($A733,'Player Raw Data'!$B:$B,0)),"")</f>
        <v/>
      </c>
      <c r="C733" t="str">
        <f t="array" ref="C733">IFERROR(INDEX('Player Raw Data'!D:D,Match($A733,'Player Raw Data'!$B:$B,0)),"")</f>
        <v/>
      </c>
      <c r="D733" t="str">
        <f t="array" ref="D733">IFERROR(IF(A733=A732, INDEX('Player Raw Data'!E:E,Match($A733,'Player Raw Data'!$B:$B,0)+2),INDEX('Player Raw Data'!E:E,Match($A733,'Player Raw Data'!$B:$B,0))),"")</f>
        <v/>
      </c>
      <c r="E733" t="str">
        <f t="array" ref="E733">IFERROR(INDEX('Player Raw Data'!F:F,Match($A733,'Player Raw Data'!$B:$B,0)),"")</f>
        <v/>
      </c>
      <c r="F733" t="str">
        <f t="array" ref="F733">IFERROR(INDEX('Player Raw Data'!H:H,Match($A733,'Player Raw Data'!$B:$B,0)),"")</f>
        <v/>
      </c>
      <c r="G733" t="str">
        <f t="array" ref="G733">IFERROR(INDEX('Player Raw Data'!I:I,Match($A733,'Player Raw Data'!$B:$B,0)),"")</f>
        <v/>
      </c>
      <c r="H733" t="str">
        <f t="array" ref="H733">IFERROR(INDEX('Player Raw Data'!J:J,Match($A733,'Player Raw Data'!$B:$B,0)),"")</f>
        <v/>
      </c>
      <c r="I733" t="str">
        <f t="array" ref="I733">IFERROR(INDEX('Player Raw Data'!S:S,Match($A733,'Player Raw Data'!$B:$B,0)),"")</f>
        <v/>
      </c>
      <c r="J733" t="str">
        <f t="array" ref="J733">IFERROR(INDEX('Player Raw Data'!T:T,Match($A733,'Player Raw Data'!$B:$B,0)),"")</f>
        <v/>
      </c>
      <c r="K733" t="str">
        <f t="array" ref="K733">IFERROR(INDEX('Player Raw Data'!X:X,Match($A733,'Player Raw Data'!$B:$B,0)),"")</f>
        <v/>
      </c>
      <c r="L733" t="str">
        <f t="array" ref="L733">IFERROR(INDEX('Player Raw Data'!Y:Y,Match($A733,'Player Raw Data'!$B:$B,0)),"")</f>
        <v/>
      </c>
      <c r="M733" t="str">
        <f t="array" ref="M733">IFERROR(INDEX('Player Raw Data'!Z:Z,Match($A733,'Player Raw Data'!$B:$B,0)),"")</f>
        <v/>
      </c>
      <c r="N733" t="str">
        <f t="array" ref="N733">IFERROR(INDEX('Player Raw Data'!AA:AA,Match($A733,'Player Raw Data'!$B:$B,0)),"")</f>
        <v/>
      </c>
      <c r="O733" t="str">
        <f t="array" ref="O733">IFERROR(INDEX('Player Raw Data'!AB:AB,Match($A733,'Player Raw Data'!$B:$B,0)),"")</f>
        <v/>
      </c>
      <c r="P733" t="str">
        <f t="array" ref="P733">IFERROR(INDEX('Player Raw Data'!AD:AD,Match($A733,'Player Raw Data'!$B:$B,0)),"")</f>
        <v/>
      </c>
      <c r="Q733">
        <f t="shared" si="1"/>
        <v>0</v>
      </c>
      <c r="R733" s="9">
        <f t="shared" si="2"/>
        <v>0</v>
      </c>
      <c r="S733" s="14">
        <f t="shared" si="3"/>
        <v>0</v>
      </c>
      <c r="T733" s="15">
        <f>IFERROR(__xludf.DUMMYFUNCTION("IFERROR(PERCENTRANK.INC(FILTER(Q:Q,$F:$F&lt;&gt;""""),Q733)*100,"""")"),1.5)</f>
        <v>1.5</v>
      </c>
      <c r="U733" s="15">
        <f>IFERROR(__xludf.DUMMYFUNCTION("IFERROR(PERCENTRANK.INC(FILTER(R:R,$F:$F&lt;&gt;""""),R733)*100,"""")"),1.5)</f>
        <v>1.5</v>
      </c>
      <c r="V733" s="15">
        <f>IFERROR(__xludf.DUMMYFUNCTION("IFERROR(PERCENTRANK.INC(FILTER(S:S,$F:$F&lt;&gt;""""),S733)*100,"""")"),1.5)</f>
        <v>1.5</v>
      </c>
      <c r="W733" s="15" t="str">
        <f t="shared" si="4"/>
        <v/>
      </c>
      <c r="X733" s="16"/>
      <c r="Y733" s="9"/>
      <c r="Z733" s="9"/>
    </row>
    <row r="734">
      <c r="B734" t="str">
        <f t="array" ref="B734">IFERROR(INDEX('Player Raw Data'!C:C,Match($A734,'Player Raw Data'!$B:$B,0)),"")</f>
        <v/>
      </c>
      <c r="C734" t="str">
        <f t="array" ref="C734">IFERROR(INDEX('Player Raw Data'!D:D,Match($A734,'Player Raw Data'!$B:$B,0)),"")</f>
        <v/>
      </c>
      <c r="D734" t="str">
        <f t="array" ref="D734">IFERROR(IF(A734=A733, INDEX('Player Raw Data'!E:E,Match($A734,'Player Raw Data'!$B:$B,0)+2),INDEX('Player Raw Data'!E:E,Match($A734,'Player Raw Data'!$B:$B,0))),"")</f>
        <v/>
      </c>
      <c r="E734" t="str">
        <f t="array" ref="E734">IFERROR(INDEX('Player Raw Data'!F:F,Match($A734,'Player Raw Data'!$B:$B,0)),"")</f>
        <v/>
      </c>
      <c r="F734" t="str">
        <f t="array" ref="F734">IFERROR(INDEX('Player Raw Data'!H:H,Match($A734,'Player Raw Data'!$B:$B,0)),"")</f>
        <v/>
      </c>
      <c r="G734" t="str">
        <f t="array" ref="G734">IFERROR(INDEX('Player Raw Data'!I:I,Match($A734,'Player Raw Data'!$B:$B,0)),"")</f>
        <v/>
      </c>
      <c r="H734" t="str">
        <f t="array" ref="H734">IFERROR(INDEX('Player Raw Data'!J:J,Match($A734,'Player Raw Data'!$B:$B,0)),"")</f>
        <v/>
      </c>
      <c r="I734" t="str">
        <f t="array" ref="I734">IFERROR(INDEX('Player Raw Data'!S:S,Match($A734,'Player Raw Data'!$B:$B,0)),"")</f>
        <v/>
      </c>
      <c r="J734" t="str">
        <f t="array" ref="J734">IFERROR(INDEX('Player Raw Data'!T:T,Match($A734,'Player Raw Data'!$B:$B,0)),"")</f>
        <v/>
      </c>
      <c r="K734" t="str">
        <f t="array" ref="K734">IFERROR(INDEX('Player Raw Data'!X:X,Match($A734,'Player Raw Data'!$B:$B,0)),"")</f>
        <v/>
      </c>
      <c r="L734" t="str">
        <f t="array" ref="L734">IFERROR(INDEX('Player Raw Data'!Y:Y,Match($A734,'Player Raw Data'!$B:$B,0)),"")</f>
        <v/>
      </c>
      <c r="M734" t="str">
        <f t="array" ref="M734">IFERROR(INDEX('Player Raw Data'!Z:Z,Match($A734,'Player Raw Data'!$B:$B,0)),"")</f>
        <v/>
      </c>
      <c r="N734" t="str">
        <f t="array" ref="N734">IFERROR(INDEX('Player Raw Data'!AA:AA,Match($A734,'Player Raw Data'!$B:$B,0)),"")</f>
        <v/>
      </c>
      <c r="O734" t="str">
        <f t="array" ref="O734">IFERROR(INDEX('Player Raw Data'!AB:AB,Match($A734,'Player Raw Data'!$B:$B,0)),"")</f>
        <v/>
      </c>
      <c r="P734" t="str">
        <f t="array" ref="P734">IFERROR(INDEX('Player Raw Data'!AD:AD,Match($A734,'Player Raw Data'!$B:$B,0)),"")</f>
        <v/>
      </c>
      <c r="Q734">
        <f t="shared" si="1"/>
        <v>0</v>
      </c>
      <c r="R734" s="9">
        <f t="shared" si="2"/>
        <v>0</v>
      </c>
      <c r="S734" s="14">
        <f t="shared" si="3"/>
        <v>0</v>
      </c>
      <c r="T734" s="15">
        <f>IFERROR(__xludf.DUMMYFUNCTION("IFERROR(PERCENTRANK.INC(FILTER(Q:Q,$F:$F&lt;&gt;""""),Q734)*100,"""")"),1.5)</f>
        <v>1.5</v>
      </c>
      <c r="U734" s="15">
        <f>IFERROR(__xludf.DUMMYFUNCTION("IFERROR(PERCENTRANK.INC(FILTER(R:R,$F:$F&lt;&gt;""""),R734)*100,"""")"),1.5)</f>
        <v>1.5</v>
      </c>
      <c r="V734" s="15">
        <f>IFERROR(__xludf.DUMMYFUNCTION("IFERROR(PERCENTRANK.INC(FILTER(S:S,$F:$F&lt;&gt;""""),S734)*100,"""")"),1.5)</f>
        <v>1.5</v>
      </c>
      <c r="W734" s="15" t="str">
        <f t="shared" si="4"/>
        <v/>
      </c>
      <c r="X734" s="16"/>
      <c r="Y734" s="9"/>
      <c r="Z734" s="9"/>
    </row>
    <row r="735">
      <c r="B735" t="str">
        <f t="array" ref="B735">IFERROR(INDEX('Player Raw Data'!C:C,Match($A735,'Player Raw Data'!$B:$B,0)),"")</f>
        <v/>
      </c>
      <c r="C735" t="str">
        <f t="array" ref="C735">IFERROR(INDEX('Player Raw Data'!D:D,Match($A735,'Player Raw Data'!$B:$B,0)),"")</f>
        <v/>
      </c>
      <c r="D735" t="str">
        <f t="array" ref="D735">IFERROR(IF(A735=A734, INDEX('Player Raw Data'!E:E,Match($A735,'Player Raw Data'!$B:$B,0)+2),INDEX('Player Raw Data'!E:E,Match($A735,'Player Raw Data'!$B:$B,0))),"")</f>
        <v/>
      </c>
      <c r="E735" t="str">
        <f t="array" ref="E735">IFERROR(INDEX('Player Raw Data'!F:F,Match($A735,'Player Raw Data'!$B:$B,0)),"")</f>
        <v/>
      </c>
      <c r="F735" t="str">
        <f t="array" ref="F735">IFERROR(INDEX('Player Raw Data'!H:H,Match($A735,'Player Raw Data'!$B:$B,0)),"")</f>
        <v/>
      </c>
      <c r="G735" t="str">
        <f t="array" ref="G735">IFERROR(INDEX('Player Raw Data'!I:I,Match($A735,'Player Raw Data'!$B:$B,0)),"")</f>
        <v/>
      </c>
      <c r="H735" t="str">
        <f t="array" ref="H735">IFERROR(INDEX('Player Raw Data'!J:J,Match($A735,'Player Raw Data'!$B:$B,0)),"")</f>
        <v/>
      </c>
      <c r="I735" t="str">
        <f t="array" ref="I735">IFERROR(INDEX('Player Raw Data'!S:S,Match($A735,'Player Raw Data'!$B:$B,0)),"")</f>
        <v/>
      </c>
      <c r="J735" t="str">
        <f t="array" ref="J735">IFERROR(INDEX('Player Raw Data'!T:T,Match($A735,'Player Raw Data'!$B:$B,0)),"")</f>
        <v/>
      </c>
      <c r="K735" t="str">
        <f t="array" ref="K735">IFERROR(INDEX('Player Raw Data'!X:X,Match($A735,'Player Raw Data'!$B:$B,0)),"")</f>
        <v/>
      </c>
      <c r="L735" t="str">
        <f t="array" ref="L735">IFERROR(INDEX('Player Raw Data'!Y:Y,Match($A735,'Player Raw Data'!$B:$B,0)),"")</f>
        <v/>
      </c>
      <c r="M735" t="str">
        <f t="array" ref="M735">IFERROR(INDEX('Player Raw Data'!Z:Z,Match($A735,'Player Raw Data'!$B:$B,0)),"")</f>
        <v/>
      </c>
      <c r="N735" t="str">
        <f t="array" ref="N735">IFERROR(INDEX('Player Raw Data'!AA:AA,Match($A735,'Player Raw Data'!$B:$B,0)),"")</f>
        <v/>
      </c>
      <c r="O735" t="str">
        <f t="array" ref="O735">IFERROR(INDEX('Player Raw Data'!AB:AB,Match($A735,'Player Raw Data'!$B:$B,0)),"")</f>
        <v/>
      </c>
      <c r="P735" t="str">
        <f t="array" ref="P735">IFERROR(INDEX('Player Raw Data'!AD:AD,Match($A735,'Player Raw Data'!$B:$B,0)),"")</f>
        <v/>
      </c>
      <c r="Q735">
        <f t="shared" si="1"/>
        <v>0</v>
      </c>
      <c r="R735" s="9">
        <f t="shared" si="2"/>
        <v>0</v>
      </c>
      <c r="S735" s="14">
        <f t="shared" si="3"/>
        <v>0</v>
      </c>
      <c r="T735" s="15">
        <f>IFERROR(__xludf.DUMMYFUNCTION("IFERROR(PERCENTRANK.INC(FILTER(Q:Q,$F:$F&lt;&gt;""""),Q735)*100,"""")"),1.5)</f>
        <v>1.5</v>
      </c>
      <c r="U735" s="15">
        <f>IFERROR(__xludf.DUMMYFUNCTION("IFERROR(PERCENTRANK.INC(FILTER(R:R,$F:$F&lt;&gt;""""),R735)*100,"""")"),1.5)</f>
        <v>1.5</v>
      </c>
      <c r="V735" s="15">
        <f>IFERROR(__xludf.DUMMYFUNCTION("IFERROR(PERCENTRANK.INC(FILTER(S:S,$F:$F&lt;&gt;""""),S735)*100,"""")"),1.5)</f>
        <v>1.5</v>
      </c>
      <c r="W735" s="15" t="str">
        <f t="shared" si="4"/>
        <v/>
      </c>
      <c r="X735" s="16"/>
      <c r="Y735" s="9"/>
      <c r="Z735" s="9"/>
    </row>
    <row r="736">
      <c r="B736" t="str">
        <f t="array" ref="B736">IFERROR(INDEX('Player Raw Data'!C:C,Match($A736,'Player Raw Data'!$B:$B,0)),"")</f>
        <v/>
      </c>
      <c r="C736" t="str">
        <f t="array" ref="C736">IFERROR(INDEX('Player Raw Data'!D:D,Match($A736,'Player Raw Data'!$B:$B,0)),"")</f>
        <v/>
      </c>
      <c r="D736" t="str">
        <f t="array" ref="D736">IFERROR(IF(A736=A735, INDEX('Player Raw Data'!E:E,Match($A736,'Player Raw Data'!$B:$B,0)+2),INDEX('Player Raw Data'!E:E,Match($A736,'Player Raw Data'!$B:$B,0))),"")</f>
        <v/>
      </c>
      <c r="E736" t="str">
        <f t="array" ref="E736">IFERROR(INDEX('Player Raw Data'!F:F,Match($A736,'Player Raw Data'!$B:$B,0)),"")</f>
        <v/>
      </c>
      <c r="F736" t="str">
        <f t="array" ref="F736">IFERROR(INDEX('Player Raw Data'!H:H,Match($A736,'Player Raw Data'!$B:$B,0)),"")</f>
        <v/>
      </c>
      <c r="G736" t="str">
        <f t="array" ref="G736">IFERROR(INDEX('Player Raw Data'!I:I,Match($A736,'Player Raw Data'!$B:$B,0)),"")</f>
        <v/>
      </c>
      <c r="H736" t="str">
        <f t="array" ref="H736">IFERROR(INDEX('Player Raw Data'!J:J,Match($A736,'Player Raw Data'!$B:$B,0)),"")</f>
        <v/>
      </c>
      <c r="I736" t="str">
        <f t="array" ref="I736">IFERROR(INDEX('Player Raw Data'!S:S,Match($A736,'Player Raw Data'!$B:$B,0)),"")</f>
        <v/>
      </c>
      <c r="J736" t="str">
        <f t="array" ref="J736">IFERROR(INDEX('Player Raw Data'!T:T,Match($A736,'Player Raw Data'!$B:$B,0)),"")</f>
        <v/>
      </c>
      <c r="K736" t="str">
        <f t="array" ref="K736">IFERROR(INDEX('Player Raw Data'!X:X,Match($A736,'Player Raw Data'!$B:$B,0)),"")</f>
        <v/>
      </c>
      <c r="L736" t="str">
        <f t="array" ref="L736">IFERROR(INDEX('Player Raw Data'!Y:Y,Match($A736,'Player Raw Data'!$B:$B,0)),"")</f>
        <v/>
      </c>
      <c r="M736" t="str">
        <f t="array" ref="M736">IFERROR(INDEX('Player Raw Data'!Z:Z,Match($A736,'Player Raw Data'!$B:$B,0)),"")</f>
        <v/>
      </c>
      <c r="N736" t="str">
        <f t="array" ref="N736">IFERROR(INDEX('Player Raw Data'!AA:AA,Match($A736,'Player Raw Data'!$B:$B,0)),"")</f>
        <v/>
      </c>
      <c r="O736" t="str">
        <f t="array" ref="O736">IFERROR(INDEX('Player Raw Data'!AB:AB,Match($A736,'Player Raw Data'!$B:$B,0)),"")</f>
        <v/>
      </c>
      <c r="P736" t="str">
        <f t="array" ref="P736">IFERROR(INDEX('Player Raw Data'!AD:AD,Match($A736,'Player Raw Data'!$B:$B,0)),"")</f>
        <v/>
      </c>
      <c r="Q736">
        <f t="shared" si="1"/>
        <v>0</v>
      </c>
      <c r="R736" s="9">
        <f t="shared" si="2"/>
        <v>0</v>
      </c>
      <c r="S736" s="14">
        <f t="shared" si="3"/>
        <v>0</v>
      </c>
      <c r="T736" s="15">
        <f>IFERROR(__xludf.DUMMYFUNCTION("IFERROR(PERCENTRANK.INC(FILTER(Q:Q,$F:$F&lt;&gt;""""),Q736)*100,"""")"),1.5)</f>
        <v>1.5</v>
      </c>
      <c r="U736" s="15">
        <f>IFERROR(__xludf.DUMMYFUNCTION("IFERROR(PERCENTRANK.INC(FILTER(R:R,$F:$F&lt;&gt;""""),R736)*100,"""")"),1.5)</f>
        <v>1.5</v>
      </c>
      <c r="V736" s="15">
        <f>IFERROR(__xludf.DUMMYFUNCTION("IFERROR(PERCENTRANK.INC(FILTER(S:S,$F:$F&lt;&gt;""""),S736)*100,"""")"),1.5)</f>
        <v>1.5</v>
      </c>
      <c r="W736" s="15" t="str">
        <f t="shared" si="4"/>
        <v/>
      </c>
      <c r="X736" s="16"/>
      <c r="Y736" s="9"/>
      <c r="Z736" s="9"/>
    </row>
    <row r="737">
      <c r="B737" t="str">
        <f t="array" ref="B737">IFERROR(INDEX('Player Raw Data'!C:C,Match($A737,'Player Raw Data'!$B:$B,0)),"")</f>
        <v/>
      </c>
      <c r="C737" t="str">
        <f t="array" ref="C737">IFERROR(INDEX('Player Raw Data'!D:D,Match($A737,'Player Raw Data'!$B:$B,0)),"")</f>
        <v/>
      </c>
      <c r="D737" t="str">
        <f t="array" ref="D737">IFERROR(IF(A737=A736, INDEX('Player Raw Data'!E:E,Match($A737,'Player Raw Data'!$B:$B,0)+2),INDEX('Player Raw Data'!E:E,Match($A737,'Player Raw Data'!$B:$B,0))),"")</f>
        <v/>
      </c>
      <c r="E737" t="str">
        <f t="array" ref="E737">IFERROR(INDEX('Player Raw Data'!F:F,Match($A737,'Player Raw Data'!$B:$B,0)),"")</f>
        <v/>
      </c>
      <c r="F737" t="str">
        <f t="array" ref="F737">IFERROR(INDEX('Player Raw Data'!H:H,Match($A737,'Player Raw Data'!$B:$B,0)),"")</f>
        <v/>
      </c>
      <c r="G737" t="str">
        <f t="array" ref="G737">IFERROR(INDEX('Player Raw Data'!I:I,Match($A737,'Player Raw Data'!$B:$B,0)),"")</f>
        <v/>
      </c>
      <c r="H737" t="str">
        <f t="array" ref="H737">IFERROR(INDEX('Player Raw Data'!J:J,Match($A737,'Player Raw Data'!$B:$B,0)),"")</f>
        <v/>
      </c>
      <c r="I737" t="str">
        <f t="array" ref="I737">IFERROR(INDEX('Player Raw Data'!S:S,Match($A737,'Player Raw Data'!$B:$B,0)),"")</f>
        <v/>
      </c>
      <c r="J737" t="str">
        <f t="array" ref="J737">IFERROR(INDEX('Player Raw Data'!T:T,Match($A737,'Player Raw Data'!$B:$B,0)),"")</f>
        <v/>
      </c>
      <c r="K737" t="str">
        <f t="array" ref="K737">IFERROR(INDEX('Player Raw Data'!X:X,Match($A737,'Player Raw Data'!$B:$B,0)),"")</f>
        <v/>
      </c>
      <c r="L737" t="str">
        <f t="array" ref="L737">IFERROR(INDEX('Player Raw Data'!Y:Y,Match($A737,'Player Raw Data'!$B:$B,0)),"")</f>
        <v/>
      </c>
      <c r="M737" t="str">
        <f t="array" ref="M737">IFERROR(INDEX('Player Raw Data'!Z:Z,Match($A737,'Player Raw Data'!$B:$B,0)),"")</f>
        <v/>
      </c>
      <c r="N737" t="str">
        <f t="array" ref="N737">IFERROR(INDEX('Player Raw Data'!AA:AA,Match($A737,'Player Raw Data'!$B:$B,0)),"")</f>
        <v/>
      </c>
      <c r="O737" t="str">
        <f t="array" ref="O737">IFERROR(INDEX('Player Raw Data'!AB:AB,Match($A737,'Player Raw Data'!$B:$B,0)),"")</f>
        <v/>
      </c>
      <c r="P737" t="str">
        <f t="array" ref="P737">IFERROR(INDEX('Player Raw Data'!AD:AD,Match($A737,'Player Raw Data'!$B:$B,0)),"")</f>
        <v/>
      </c>
      <c r="Q737">
        <f t="shared" si="1"/>
        <v>0</v>
      </c>
      <c r="R737" s="9">
        <f t="shared" si="2"/>
        <v>0</v>
      </c>
      <c r="S737" s="14">
        <f t="shared" si="3"/>
        <v>0</v>
      </c>
      <c r="T737" s="15">
        <f>IFERROR(__xludf.DUMMYFUNCTION("IFERROR(PERCENTRANK.INC(FILTER(Q:Q,$F:$F&lt;&gt;""""),Q737)*100,"""")"),1.5)</f>
        <v>1.5</v>
      </c>
      <c r="U737" s="15">
        <f>IFERROR(__xludf.DUMMYFUNCTION("IFERROR(PERCENTRANK.INC(FILTER(R:R,$F:$F&lt;&gt;""""),R737)*100,"""")"),1.5)</f>
        <v>1.5</v>
      </c>
      <c r="V737" s="15">
        <f>IFERROR(__xludf.DUMMYFUNCTION("IFERROR(PERCENTRANK.INC(FILTER(S:S,$F:$F&lt;&gt;""""),S737)*100,"""")"),1.5)</f>
        <v>1.5</v>
      </c>
      <c r="W737" s="15" t="str">
        <f t="shared" si="4"/>
        <v/>
      </c>
      <c r="X737" s="16"/>
      <c r="Y737" s="9"/>
      <c r="Z737" s="9"/>
    </row>
    <row r="738">
      <c r="B738" t="str">
        <f t="array" ref="B738">IFERROR(INDEX('Player Raw Data'!C:C,Match($A738,'Player Raw Data'!$B:$B,0)),"")</f>
        <v/>
      </c>
      <c r="C738" t="str">
        <f t="array" ref="C738">IFERROR(INDEX('Player Raw Data'!D:D,Match($A738,'Player Raw Data'!$B:$B,0)),"")</f>
        <v/>
      </c>
      <c r="D738" t="str">
        <f t="array" ref="D738">IFERROR(IF(A738=A737, INDEX('Player Raw Data'!E:E,Match($A738,'Player Raw Data'!$B:$B,0)+2),INDEX('Player Raw Data'!E:E,Match($A738,'Player Raw Data'!$B:$B,0))),"")</f>
        <v/>
      </c>
      <c r="E738" t="str">
        <f t="array" ref="E738">IFERROR(INDEX('Player Raw Data'!F:F,Match($A738,'Player Raw Data'!$B:$B,0)),"")</f>
        <v/>
      </c>
      <c r="F738" t="str">
        <f t="array" ref="F738">IFERROR(INDEX('Player Raw Data'!H:H,Match($A738,'Player Raw Data'!$B:$B,0)),"")</f>
        <v/>
      </c>
      <c r="G738" t="str">
        <f t="array" ref="G738">IFERROR(INDEX('Player Raw Data'!I:I,Match($A738,'Player Raw Data'!$B:$B,0)),"")</f>
        <v/>
      </c>
      <c r="H738" t="str">
        <f t="array" ref="H738">IFERROR(INDEX('Player Raw Data'!J:J,Match($A738,'Player Raw Data'!$B:$B,0)),"")</f>
        <v/>
      </c>
      <c r="I738" t="str">
        <f t="array" ref="I738">IFERROR(INDEX('Player Raw Data'!S:S,Match($A738,'Player Raw Data'!$B:$B,0)),"")</f>
        <v/>
      </c>
      <c r="J738" t="str">
        <f t="array" ref="J738">IFERROR(INDEX('Player Raw Data'!T:T,Match($A738,'Player Raw Data'!$B:$B,0)),"")</f>
        <v/>
      </c>
      <c r="K738" t="str">
        <f t="array" ref="K738">IFERROR(INDEX('Player Raw Data'!X:X,Match($A738,'Player Raw Data'!$B:$B,0)),"")</f>
        <v/>
      </c>
      <c r="L738" t="str">
        <f t="array" ref="L738">IFERROR(INDEX('Player Raw Data'!Y:Y,Match($A738,'Player Raw Data'!$B:$B,0)),"")</f>
        <v/>
      </c>
      <c r="M738" t="str">
        <f t="array" ref="M738">IFERROR(INDEX('Player Raw Data'!Z:Z,Match($A738,'Player Raw Data'!$B:$B,0)),"")</f>
        <v/>
      </c>
      <c r="N738" t="str">
        <f t="array" ref="N738">IFERROR(INDEX('Player Raw Data'!AA:AA,Match($A738,'Player Raw Data'!$B:$B,0)),"")</f>
        <v/>
      </c>
      <c r="O738" t="str">
        <f t="array" ref="O738">IFERROR(INDEX('Player Raw Data'!AB:AB,Match($A738,'Player Raw Data'!$B:$B,0)),"")</f>
        <v/>
      </c>
      <c r="P738" t="str">
        <f t="array" ref="P738">IFERROR(INDEX('Player Raw Data'!AD:AD,Match($A738,'Player Raw Data'!$B:$B,0)),"")</f>
        <v/>
      </c>
      <c r="Q738">
        <f t="shared" si="1"/>
        <v>0</v>
      </c>
      <c r="R738" s="9">
        <f t="shared" si="2"/>
        <v>0</v>
      </c>
      <c r="S738" s="14">
        <f t="shared" si="3"/>
        <v>0</v>
      </c>
      <c r="T738" s="15">
        <f>IFERROR(__xludf.DUMMYFUNCTION("IFERROR(PERCENTRANK.INC(FILTER(Q:Q,$F:$F&lt;&gt;""""),Q738)*100,"""")"),1.5)</f>
        <v>1.5</v>
      </c>
      <c r="U738" s="15">
        <f>IFERROR(__xludf.DUMMYFUNCTION("IFERROR(PERCENTRANK.INC(FILTER(R:R,$F:$F&lt;&gt;""""),R738)*100,"""")"),1.5)</f>
        <v>1.5</v>
      </c>
      <c r="V738" s="15">
        <f>IFERROR(__xludf.DUMMYFUNCTION("IFERROR(PERCENTRANK.INC(FILTER(S:S,$F:$F&lt;&gt;""""),S738)*100,"""")"),1.5)</f>
        <v>1.5</v>
      </c>
      <c r="W738" s="15" t="str">
        <f t="shared" si="4"/>
        <v/>
      </c>
      <c r="X738" s="16"/>
      <c r="Y738" s="9"/>
      <c r="Z738" s="9"/>
    </row>
    <row r="739">
      <c r="B739" t="str">
        <f t="array" ref="B739">IFERROR(INDEX('Player Raw Data'!C:C,Match($A739,'Player Raw Data'!$B:$B,0)),"")</f>
        <v/>
      </c>
      <c r="C739" t="str">
        <f t="array" ref="C739">IFERROR(INDEX('Player Raw Data'!D:D,Match($A739,'Player Raw Data'!$B:$B,0)),"")</f>
        <v/>
      </c>
      <c r="D739" t="str">
        <f t="array" ref="D739">IFERROR(IF(A739=A738, INDEX('Player Raw Data'!E:E,Match($A739,'Player Raw Data'!$B:$B,0)+2),INDEX('Player Raw Data'!E:E,Match($A739,'Player Raw Data'!$B:$B,0))),"")</f>
        <v/>
      </c>
      <c r="E739" t="str">
        <f t="array" ref="E739">IFERROR(INDEX('Player Raw Data'!F:F,Match($A739,'Player Raw Data'!$B:$B,0)),"")</f>
        <v/>
      </c>
      <c r="F739" t="str">
        <f t="array" ref="F739">IFERROR(INDEX('Player Raw Data'!H:H,Match($A739,'Player Raw Data'!$B:$B,0)),"")</f>
        <v/>
      </c>
      <c r="G739" t="str">
        <f t="array" ref="G739">IFERROR(INDEX('Player Raw Data'!I:I,Match($A739,'Player Raw Data'!$B:$B,0)),"")</f>
        <v/>
      </c>
      <c r="H739" t="str">
        <f t="array" ref="H739">IFERROR(INDEX('Player Raw Data'!J:J,Match($A739,'Player Raw Data'!$B:$B,0)),"")</f>
        <v/>
      </c>
      <c r="I739" t="str">
        <f t="array" ref="I739">IFERROR(INDEX('Player Raw Data'!S:S,Match($A739,'Player Raw Data'!$B:$B,0)),"")</f>
        <v/>
      </c>
      <c r="J739" t="str">
        <f t="array" ref="J739">IFERROR(INDEX('Player Raw Data'!T:T,Match($A739,'Player Raw Data'!$B:$B,0)),"")</f>
        <v/>
      </c>
      <c r="K739" t="str">
        <f t="array" ref="K739">IFERROR(INDEX('Player Raw Data'!X:X,Match($A739,'Player Raw Data'!$B:$B,0)),"")</f>
        <v/>
      </c>
      <c r="L739" t="str">
        <f t="array" ref="L739">IFERROR(INDEX('Player Raw Data'!Y:Y,Match($A739,'Player Raw Data'!$B:$B,0)),"")</f>
        <v/>
      </c>
      <c r="M739" t="str">
        <f t="array" ref="M739">IFERROR(INDEX('Player Raw Data'!Z:Z,Match($A739,'Player Raw Data'!$B:$B,0)),"")</f>
        <v/>
      </c>
      <c r="N739" t="str">
        <f t="array" ref="N739">IFERROR(INDEX('Player Raw Data'!AA:AA,Match($A739,'Player Raw Data'!$B:$B,0)),"")</f>
        <v/>
      </c>
      <c r="O739" t="str">
        <f t="array" ref="O739">IFERROR(INDEX('Player Raw Data'!AB:AB,Match($A739,'Player Raw Data'!$B:$B,0)),"")</f>
        <v/>
      </c>
      <c r="P739" t="str">
        <f t="array" ref="P739">IFERROR(INDEX('Player Raw Data'!AD:AD,Match($A739,'Player Raw Data'!$B:$B,0)),"")</f>
        <v/>
      </c>
      <c r="Q739">
        <f t="shared" si="1"/>
        <v>0</v>
      </c>
      <c r="R739" s="9">
        <f t="shared" si="2"/>
        <v>0</v>
      </c>
      <c r="S739" s="14">
        <f t="shared" si="3"/>
        <v>0</v>
      </c>
      <c r="T739" s="15">
        <f>IFERROR(__xludf.DUMMYFUNCTION("IFERROR(PERCENTRANK.INC(FILTER(Q:Q,$F:$F&lt;&gt;""""),Q739)*100,"""")"),1.5)</f>
        <v>1.5</v>
      </c>
      <c r="U739" s="15">
        <f>IFERROR(__xludf.DUMMYFUNCTION("IFERROR(PERCENTRANK.INC(FILTER(R:R,$F:$F&lt;&gt;""""),R739)*100,"""")"),1.5)</f>
        <v>1.5</v>
      </c>
      <c r="V739" s="15">
        <f>IFERROR(__xludf.DUMMYFUNCTION("IFERROR(PERCENTRANK.INC(FILTER(S:S,$F:$F&lt;&gt;""""),S739)*100,"""")"),1.5)</f>
        <v>1.5</v>
      </c>
      <c r="W739" s="15" t="str">
        <f t="shared" si="4"/>
        <v/>
      </c>
      <c r="X739" s="16"/>
      <c r="Y739" s="9"/>
      <c r="Z739" s="9"/>
    </row>
    <row r="740">
      <c r="B740" t="str">
        <f t="array" ref="B740">IFERROR(INDEX('Player Raw Data'!C:C,Match($A740,'Player Raw Data'!$B:$B,0)),"")</f>
        <v/>
      </c>
      <c r="C740" t="str">
        <f t="array" ref="C740">IFERROR(INDEX('Player Raw Data'!D:D,Match($A740,'Player Raw Data'!$B:$B,0)),"")</f>
        <v/>
      </c>
      <c r="D740" t="str">
        <f t="array" ref="D740">IFERROR(IF(A740=A739, INDEX('Player Raw Data'!E:E,Match($A740,'Player Raw Data'!$B:$B,0)+2),INDEX('Player Raw Data'!E:E,Match($A740,'Player Raw Data'!$B:$B,0))),"")</f>
        <v/>
      </c>
      <c r="E740" t="str">
        <f t="array" ref="E740">IFERROR(INDEX('Player Raw Data'!F:F,Match($A740,'Player Raw Data'!$B:$B,0)),"")</f>
        <v/>
      </c>
      <c r="F740" t="str">
        <f t="array" ref="F740">IFERROR(INDEX('Player Raw Data'!H:H,Match($A740,'Player Raw Data'!$B:$B,0)),"")</f>
        <v/>
      </c>
      <c r="G740" t="str">
        <f t="array" ref="G740">IFERROR(INDEX('Player Raw Data'!I:I,Match($A740,'Player Raw Data'!$B:$B,0)),"")</f>
        <v/>
      </c>
      <c r="H740" t="str">
        <f t="array" ref="H740">IFERROR(INDEX('Player Raw Data'!J:J,Match($A740,'Player Raw Data'!$B:$B,0)),"")</f>
        <v/>
      </c>
      <c r="I740" t="str">
        <f t="array" ref="I740">IFERROR(INDEX('Player Raw Data'!S:S,Match($A740,'Player Raw Data'!$B:$B,0)),"")</f>
        <v/>
      </c>
      <c r="J740" t="str">
        <f t="array" ref="J740">IFERROR(INDEX('Player Raw Data'!T:T,Match($A740,'Player Raw Data'!$B:$B,0)),"")</f>
        <v/>
      </c>
      <c r="K740" t="str">
        <f t="array" ref="K740">IFERROR(INDEX('Player Raw Data'!X:X,Match($A740,'Player Raw Data'!$B:$B,0)),"")</f>
        <v/>
      </c>
      <c r="L740" t="str">
        <f t="array" ref="L740">IFERROR(INDEX('Player Raw Data'!Y:Y,Match($A740,'Player Raw Data'!$B:$B,0)),"")</f>
        <v/>
      </c>
      <c r="M740" t="str">
        <f t="array" ref="M740">IFERROR(INDEX('Player Raw Data'!Z:Z,Match($A740,'Player Raw Data'!$B:$B,0)),"")</f>
        <v/>
      </c>
      <c r="N740" t="str">
        <f t="array" ref="N740">IFERROR(INDEX('Player Raw Data'!AA:AA,Match($A740,'Player Raw Data'!$B:$B,0)),"")</f>
        <v/>
      </c>
      <c r="O740" t="str">
        <f t="array" ref="O740">IFERROR(INDEX('Player Raw Data'!AB:AB,Match($A740,'Player Raw Data'!$B:$B,0)),"")</f>
        <v/>
      </c>
      <c r="P740" t="str">
        <f t="array" ref="P740">IFERROR(INDEX('Player Raw Data'!AD:AD,Match($A740,'Player Raw Data'!$B:$B,0)),"")</f>
        <v/>
      </c>
      <c r="Q740">
        <f t="shared" si="1"/>
        <v>0</v>
      </c>
      <c r="R740" s="9">
        <f t="shared" si="2"/>
        <v>0</v>
      </c>
      <c r="S740" s="14">
        <f t="shared" si="3"/>
        <v>0</v>
      </c>
      <c r="T740" s="15">
        <f>IFERROR(__xludf.DUMMYFUNCTION("IFERROR(PERCENTRANK.INC(FILTER(Q:Q,$F:$F&lt;&gt;""""),Q740)*100,"""")"),1.5)</f>
        <v>1.5</v>
      </c>
      <c r="U740" s="15">
        <f>IFERROR(__xludf.DUMMYFUNCTION("IFERROR(PERCENTRANK.INC(FILTER(R:R,$F:$F&lt;&gt;""""),R740)*100,"""")"),1.5)</f>
        <v>1.5</v>
      </c>
      <c r="V740" s="15">
        <f>IFERROR(__xludf.DUMMYFUNCTION("IFERROR(PERCENTRANK.INC(FILTER(S:S,$F:$F&lt;&gt;""""),S740)*100,"""")"),1.5)</f>
        <v>1.5</v>
      </c>
      <c r="W740" s="15" t="str">
        <f t="shared" si="4"/>
        <v/>
      </c>
      <c r="X740" s="16"/>
      <c r="Y740" s="9"/>
      <c r="Z740" s="9"/>
    </row>
    <row r="741">
      <c r="B741" t="str">
        <f t="array" ref="B741">IFERROR(INDEX('Player Raw Data'!C:C,Match($A741,'Player Raw Data'!$B:$B,0)),"")</f>
        <v/>
      </c>
      <c r="C741" t="str">
        <f t="array" ref="C741">IFERROR(INDEX('Player Raw Data'!D:D,Match($A741,'Player Raw Data'!$B:$B,0)),"")</f>
        <v/>
      </c>
      <c r="D741" t="str">
        <f t="array" ref="D741">IFERROR(IF(A741=A740, INDEX('Player Raw Data'!E:E,Match($A741,'Player Raw Data'!$B:$B,0)+2),INDEX('Player Raw Data'!E:E,Match($A741,'Player Raw Data'!$B:$B,0))),"")</f>
        <v/>
      </c>
      <c r="E741" t="str">
        <f t="array" ref="E741">IFERROR(INDEX('Player Raw Data'!F:F,Match($A741,'Player Raw Data'!$B:$B,0)),"")</f>
        <v/>
      </c>
      <c r="F741" t="str">
        <f t="array" ref="F741">IFERROR(INDEX('Player Raw Data'!H:H,Match($A741,'Player Raw Data'!$B:$B,0)),"")</f>
        <v/>
      </c>
      <c r="G741" t="str">
        <f t="array" ref="G741">IFERROR(INDEX('Player Raw Data'!I:I,Match($A741,'Player Raw Data'!$B:$B,0)),"")</f>
        <v/>
      </c>
      <c r="H741" t="str">
        <f t="array" ref="H741">IFERROR(INDEX('Player Raw Data'!J:J,Match($A741,'Player Raw Data'!$B:$B,0)),"")</f>
        <v/>
      </c>
      <c r="I741" t="str">
        <f t="array" ref="I741">IFERROR(INDEX('Player Raw Data'!S:S,Match($A741,'Player Raw Data'!$B:$B,0)),"")</f>
        <v/>
      </c>
      <c r="J741" t="str">
        <f t="array" ref="J741">IFERROR(INDEX('Player Raw Data'!T:T,Match($A741,'Player Raw Data'!$B:$B,0)),"")</f>
        <v/>
      </c>
      <c r="K741" t="str">
        <f t="array" ref="K741">IFERROR(INDEX('Player Raw Data'!X:X,Match($A741,'Player Raw Data'!$B:$B,0)),"")</f>
        <v/>
      </c>
      <c r="L741" t="str">
        <f t="array" ref="L741">IFERROR(INDEX('Player Raw Data'!Y:Y,Match($A741,'Player Raw Data'!$B:$B,0)),"")</f>
        <v/>
      </c>
      <c r="M741" t="str">
        <f t="array" ref="M741">IFERROR(INDEX('Player Raw Data'!Z:Z,Match($A741,'Player Raw Data'!$B:$B,0)),"")</f>
        <v/>
      </c>
      <c r="N741" t="str">
        <f t="array" ref="N741">IFERROR(INDEX('Player Raw Data'!AA:AA,Match($A741,'Player Raw Data'!$B:$B,0)),"")</f>
        <v/>
      </c>
      <c r="O741" t="str">
        <f t="array" ref="O741">IFERROR(INDEX('Player Raw Data'!AB:AB,Match($A741,'Player Raw Data'!$B:$B,0)),"")</f>
        <v/>
      </c>
      <c r="P741" t="str">
        <f t="array" ref="P741">IFERROR(INDEX('Player Raw Data'!AD:AD,Match($A741,'Player Raw Data'!$B:$B,0)),"")</f>
        <v/>
      </c>
      <c r="Q741">
        <f t="shared" si="1"/>
        <v>0</v>
      </c>
      <c r="R741" s="9">
        <f t="shared" si="2"/>
        <v>0</v>
      </c>
      <c r="S741" s="14">
        <f t="shared" si="3"/>
        <v>0</v>
      </c>
      <c r="T741" s="15">
        <f>IFERROR(__xludf.DUMMYFUNCTION("IFERROR(PERCENTRANK.INC(FILTER(Q:Q,$F:$F&lt;&gt;""""),Q741)*100,"""")"),1.5)</f>
        <v>1.5</v>
      </c>
      <c r="U741" s="15">
        <f>IFERROR(__xludf.DUMMYFUNCTION("IFERROR(PERCENTRANK.INC(FILTER(R:R,$F:$F&lt;&gt;""""),R741)*100,"""")"),1.5)</f>
        <v>1.5</v>
      </c>
      <c r="V741" s="15">
        <f>IFERROR(__xludf.DUMMYFUNCTION("IFERROR(PERCENTRANK.INC(FILTER(S:S,$F:$F&lt;&gt;""""),S741)*100,"""")"),1.5)</f>
        <v>1.5</v>
      </c>
      <c r="W741" s="15" t="str">
        <f t="shared" si="4"/>
        <v/>
      </c>
      <c r="X741" s="16"/>
      <c r="Y741" s="9"/>
      <c r="Z741" s="9"/>
    </row>
    <row r="742">
      <c r="B742" t="str">
        <f t="array" ref="B742">IFERROR(INDEX('Player Raw Data'!C:C,Match($A742,'Player Raw Data'!$B:$B,0)),"")</f>
        <v/>
      </c>
      <c r="C742" t="str">
        <f t="array" ref="C742">IFERROR(INDEX('Player Raw Data'!D:D,Match($A742,'Player Raw Data'!$B:$B,0)),"")</f>
        <v/>
      </c>
      <c r="D742" t="str">
        <f t="array" ref="D742">IFERROR(IF(A742=A741, INDEX('Player Raw Data'!E:E,Match($A742,'Player Raw Data'!$B:$B,0)+2),INDEX('Player Raw Data'!E:E,Match($A742,'Player Raw Data'!$B:$B,0))),"")</f>
        <v/>
      </c>
      <c r="E742" t="str">
        <f t="array" ref="E742">IFERROR(INDEX('Player Raw Data'!F:F,Match($A742,'Player Raw Data'!$B:$B,0)),"")</f>
        <v/>
      </c>
      <c r="F742" t="str">
        <f t="array" ref="F742">IFERROR(INDEX('Player Raw Data'!H:H,Match($A742,'Player Raw Data'!$B:$B,0)),"")</f>
        <v/>
      </c>
      <c r="G742" t="str">
        <f t="array" ref="G742">IFERROR(INDEX('Player Raw Data'!I:I,Match($A742,'Player Raw Data'!$B:$B,0)),"")</f>
        <v/>
      </c>
      <c r="H742" t="str">
        <f t="array" ref="H742">IFERROR(INDEX('Player Raw Data'!J:J,Match($A742,'Player Raw Data'!$B:$B,0)),"")</f>
        <v/>
      </c>
      <c r="I742" t="str">
        <f t="array" ref="I742">IFERROR(INDEX('Player Raw Data'!S:S,Match($A742,'Player Raw Data'!$B:$B,0)),"")</f>
        <v/>
      </c>
      <c r="J742" t="str">
        <f t="array" ref="J742">IFERROR(INDEX('Player Raw Data'!T:T,Match($A742,'Player Raw Data'!$B:$B,0)),"")</f>
        <v/>
      </c>
      <c r="K742" t="str">
        <f t="array" ref="K742">IFERROR(INDEX('Player Raw Data'!X:X,Match($A742,'Player Raw Data'!$B:$B,0)),"")</f>
        <v/>
      </c>
      <c r="L742" t="str">
        <f t="array" ref="L742">IFERROR(INDEX('Player Raw Data'!Y:Y,Match($A742,'Player Raw Data'!$B:$B,0)),"")</f>
        <v/>
      </c>
      <c r="M742" t="str">
        <f t="array" ref="M742">IFERROR(INDEX('Player Raw Data'!Z:Z,Match($A742,'Player Raw Data'!$B:$B,0)),"")</f>
        <v/>
      </c>
      <c r="N742" t="str">
        <f t="array" ref="N742">IFERROR(INDEX('Player Raw Data'!AA:AA,Match($A742,'Player Raw Data'!$B:$B,0)),"")</f>
        <v/>
      </c>
      <c r="O742" t="str">
        <f t="array" ref="O742">IFERROR(INDEX('Player Raw Data'!AB:AB,Match($A742,'Player Raw Data'!$B:$B,0)),"")</f>
        <v/>
      </c>
      <c r="P742" t="str">
        <f t="array" ref="P742">IFERROR(INDEX('Player Raw Data'!AD:AD,Match($A742,'Player Raw Data'!$B:$B,0)),"")</f>
        <v/>
      </c>
      <c r="Q742">
        <f t="shared" si="1"/>
        <v>0</v>
      </c>
      <c r="R742" s="9">
        <f t="shared" si="2"/>
        <v>0</v>
      </c>
      <c r="S742" s="14">
        <f t="shared" si="3"/>
        <v>0</v>
      </c>
      <c r="T742" s="15">
        <f>IFERROR(__xludf.DUMMYFUNCTION("IFERROR(PERCENTRANK.INC(FILTER(Q:Q,$F:$F&lt;&gt;""""),Q742)*100,"""")"),1.5)</f>
        <v>1.5</v>
      </c>
      <c r="U742" s="15">
        <f>IFERROR(__xludf.DUMMYFUNCTION("IFERROR(PERCENTRANK.INC(FILTER(R:R,$F:$F&lt;&gt;""""),R742)*100,"""")"),1.5)</f>
        <v>1.5</v>
      </c>
      <c r="V742" s="15">
        <f>IFERROR(__xludf.DUMMYFUNCTION("IFERROR(PERCENTRANK.INC(FILTER(S:S,$F:$F&lt;&gt;""""),S742)*100,"""")"),1.5)</f>
        <v>1.5</v>
      </c>
      <c r="W742" s="15" t="str">
        <f t="shared" si="4"/>
        <v/>
      </c>
      <c r="X742" s="16"/>
      <c r="Y742" s="9"/>
      <c r="Z742" s="9"/>
    </row>
    <row r="743">
      <c r="B743" t="str">
        <f t="array" ref="B743">IFERROR(INDEX('Player Raw Data'!C:C,Match($A743,'Player Raw Data'!$B:$B,0)),"")</f>
        <v/>
      </c>
      <c r="C743" t="str">
        <f t="array" ref="C743">IFERROR(INDEX('Player Raw Data'!D:D,Match($A743,'Player Raw Data'!$B:$B,0)),"")</f>
        <v/>
      </c>
      <c r="D743" t="str">
        <f t="array" ref="D743">IFERROR(IF(A743=A742, INDEX('Player Raw Data'!E:E,Match($A743,'Player Raw Data'!$B:$B,0)+2),INDEX('Player Raw Data'!E:E,Match($A743,'Player Raw Data'!$B:$B,0))),"")</f>
        <v/>
      </c>
      <c r="E743" t="str">
        <f t="array" ref="E743">IFERROR(INDEX('Player Raw Data'!F:F,Match($A743,'Player Raw Data'!$B:$B,0)),"")</f>
        <v/>
      </c>
      <c r="F743" t="str">
        <f t="array" ref="F743">IFERROR(INDEX('Player Raw Data'!H:H,Match($A743,'Player Raw Data'!$B:$B,0)),"")</f>
        <v/>
      </c>
      <c r="G743" t="str">
        <f t="array" ref="G743">IFERROR(INDEX('Player Raw Data'!I:I,Match($A743,'Player Raw Data'!$B:$B,0)),"")</f>
        <v/>
      </c>
      <c r="H743" t="str">
        <f t="array" ref="H743">IFERROR(INDEX('Player Raw Data'!J:J,Match($A743,'Player Raw Data'!$B:$B,0)),"")</f>
        <v/>
      </c>
      <c r="I743" t="str">
        <f t="array" ref="I743">IFERROR(INDEX('Player Raw Data'!S:S,Match($A743,'Player Raw Data'!$B:$B,0)),"")</f>
        <v/>
      </c>
      <c r="J743" t="str">
        <f t="array" ref="J743">IFERROR(INDEX('Player Raw Data'!T:T,Match($A743,'Player Raw Data'!$B:$B,0)),"")</f>
        <v/>
      </c>
      <c r="K743" t="str">
        <f t="array" ref="K743">IFERROR(INDEX('Player Raw Data'!X:X,Match($A743,'Player Raw Data'!$B:$B,0)),"")</f>
        <v/>
      </c>
      <c r="L743" t="str">
        <f t="array" ref="L743">IFERROR(INDEX('Player Raw Data'!Y:Y,Match($A743,'Player Raw Data'!$B:$B,0)),"")</f>
        <v/>
      </c>
      <c r="M743" t="str">
        <f t="array" ref="M743">IFERROR(INDEX('Player Raw Data'!Z:Z,Match($A743,'Player Raw Data'!$B:$B,0)),"")</f>
        <v/>
      </c>
      <c r="N743" t="str">
        <f t="array" ref="N743">IFERROR(INDEX('Player Raw Data'!AA:AA,Match($A743,'Player Raw Data'!$B:$B,0)),"")</f>
        <v/>
      </c>
      <c r="O743" t="str">
        <f t="array" ref="O743">IFERROR(INDEX('Player Raw Data'!AB:AB,Match($A743,'Player Raw Data'!$B:$B,0)),"")</f>
        <v/>
      </c>
      <c r="P743" t="str">
        <f t="array" ref="P743">IFERROR(INDEX('Player Raw Data'!AD:AD,Match($A743,'Player Raw Data'!$B:$B,0)),"")</f>
        <v/>
      </c>
      <c r="Q743">
        <f t="shared" si="1"/>
        <v>0</v>
      </c>
      <c r="R743" s="9">
        <f t="shared" si="2"/>
        <v>0</v>
      </c>
      <c r="S743" s="14">
        <f t="shared" si="3"/>
        <v>0</v>
      </c>
      <c r="T743" s="15">
        <f>IFERROR(__xludf.DUMMYFUNCTION("IFERROR(PERCENTRANK.INC(FILTER(Q:Q,$F:$F&lt;&gt;""""),Q743)*100,"""")"),1.5)</f>
        <v>1.5</v>
      </c>
      <c r="U743" s="15">
        <f>IFERROR(__xludf.DUMMYFUNCTION("IFERROR(PERCENTRANK.INC(FILTER(R:R,$F:$F&lt;&gt;""""),R743)*100,"""")"),1.5)</f>
        <v>1.5</v>
      </c>
      <c r="V743" s="15">
        <f>IFERROR(__xludf.DUMMYFUNCTION("IFERROR(PERCENTRANK.INC(FILTER(S:S,$F:$F&lt;&gt;""""),S743)*100,"""")"),1.5)</f>
        <v>1.5</v>
      </c>
      <c r="W743" s="15" t="str">
        <f t="shared" si="4"/>
        <v/>
      </c>
      <c r="X743" s="16"/>
      <c r="Y743" s="9"/>
      <c r="Z743" s="9"/>
    </row>
    <row r="744">
      <c r="B744" t="str">
        <f t="array" ref="B744">IFERROR(INDEX('Player Raw Data'!C:C,Match($A744,'Player Raw Data'!$B:$B,0)),"")</f>
        <v/>
      </c>
      <c r="C744" t="str">
        <f t="array" ref="C744">IFERROR(INDEX('Player Raw Data'!D:D,Match($A744,'Player Raw Data'!$B:$B,0)),"")</f>
        <v/>
      </c>
      <c r="D744" t="str">
        <f t="array" ref="D744">IFERROR(IF(A744=A743, INDEX('Player Raw Data'!E:E,Match($A744,'Player Raw Data'!$B:$B,0)+2),INDEX('Player Raw Data'!E:E,Match($A744,'Player Raw Data'!$B:$B,0))),"")</f>
        <v/>
      </c>
      <c r="E744" t="str">
        <f t="array" ref="E744">IFERROR(INDEX('Player Raw Data'!F:F,Match($A744,'Player Raw Data'!$B:$B,0)),"")</f>
        <v/>
      </c>
      <c r="F744" t="str">
        <f t="array" ref="F744">IFERROR(INDEX('Player Raw Data'!H:H,Match($A744,'Player Raw Data'!$B:$B,0)),"")</f>
        <v/>
      </c>
      <c r="G744" t="str">
        <f t="array" ref="G744">IFERROR(INDEX('Player Raw Data'!I:I,Match($A744,'Player Raw Data'!$B:$B,0)),"")</f>
        <v/>
      </c>
      <c r="H744" t="str">
        <f t="array" ref="H744">IFERROR(INDEX('Player Raw Data'!J:J,Match($A744,'Player Raw Data'!$B:$B,0)),"")</f>
        <v/>
      </c>
      <c r="I744" t="str">
        <f t="array" ref="I744">IFERROR(INDEX('Player Raw Data'!S:S,Match($A744,'Player Raw Data'!$B:$B,0)),"")</f>
        <v/>
      </c>
      <c r="J744" t="str">
        <f t="array" ref="J744">IFERROR(INDEX('Player Raw Data'!T:T,Match($A744,'Player Raw Data'!$B:$B,0)),"")</f>
        <v/>
      </c>
      <c r="K744" t="str">
        <f t="array" ref="K744">IFERROR(INDEX('Player Raw Data'!X:X,Match($A744,'Player Raw Data'!$B:$B,0)),"")</f>
        <v/>
      </c>
      <c r="L744" t="str">
        <f t="array" ref="L744">IFERROR(INDEX('Player Raw Data'!Y:Y,Match($A744,'Player Raw Data'!$B:$B,0)),"")</f>
        <v/>
      </c>
      <c r="M744" t="str">
        <f t="array" ref="M744">IFERROR(INDEX('Player Raw Data'!Z:Z,Match($A744,'Player Raw Data'!$B:$B,0)),"")</f>
        <v/>
      </c>
      <c r="N744" t="str">
        <f t="array" ref="N744">IFERROR(INDEX('Player Raw Data'!AA:AA,Match($A744,'Player Raw Data'!$B:$B,0)),"")</f>
        <v/>
      </c>
      <c r="O744" t="str">
        <f t="array" ref="O744">IFERROR(INDEX('Player Raw Data'!AB:AB,Match($A744,'Player Raw Data'!$B:$B,0)),"")</f>
        <v/>
      </c>
      <c r="P744" t="str">
        <f t="array" ref="P744">IFERROR(INDEX('Player Raw Data'!AD:AD,Match($A744,'Player Raw Data'!$B:$B,0)),"")</f>
        <v/>
      </c>
      <c r="Q744">
        <f t="shared" si="1"/>
        <v>0</v>
      </c>
      <c r="R744" s="9">
        <f t="shared" si="2"/>
        <v>0</v>
      </c>
      <c r="S744" s="14">
        <f t="shared" si="3"/>
        <v>0</v>
      </c>
      <c r="T744" s="15">
        <f>IFERROR(__xludf.DUMMYFUNCTION("IFERROR(PERCENTRANK.INC(FILTER(Q:Q,$F:$F&lt;&gt;""""),Q744)*100,"""")"),1.5)</f>
        <v>1.5</v>
      </c>
      <c r="U744" s="15">
        <f>IFERROR(__xludf.DUMMYFUNCTION("IFERROR(PERCENTRANK.INC(FILTER(R:R,$F:$F&lt;&gt;""""),R744)*100,"""")"),1.5)</f>
        <v>1.5</v>
      </c>
      <c r="V744" s="15">
        <f>IFERROR(__xludf.DUMMYFUNCTION("IFERROR(PERCENTRANK.INC(FILTER(S:S,$F:$F&lt;&gt;""""),S744)*100,"""")"),1.5)</f>
        <v>1.5</v>
      </c>
      <c r="W744" s="15" t="str">
        <f t="shared" si="4"/>
        <v/>
      </c>
      <c r="X744" s="16"/>
      <c r="Y744" s="9"/>
      <c r="Z744" s="9"/>
    </row>
    <row r="745">
      <c r="B745" t="str">
        <f t="array" ref="B745">IFERROR(INDEX('Player Raw Data'!C:C,Match($A745,'Player Raw Data'!$B:$B,0)),"")</f>
        <v/>
      </c>
      <c r="C745" t="str">
        <f t="array" ref="C745">IFERROR(INDEX('Player Raw Data'!D:D,Match($A745,'Player Raw Data'!$B:$B,0)),"")</f>
        <v/>
      </c>
      <c r="D745" t="str">
        <f t="array" ref="D745">IFERROR(IF(A745=A744, INDEX('Player Raw Data'!E:E,Match($A745,'Player Raw Data'!$B:$B,0)+2),INDEX('Player Raw Data'!E:E,Match($A745,'Player Raw Data'!$B:$B,0))),"")</f>
        <v/>
      </c>
      <c r="E745" t="str">
        <f t="array" ref="E745">IFERROR(INDEX('Player Raw Data'!F:F,Match($A745,'Player Raw Data'!$B:$B,0)),"")</f>
        <v/>
      </c>
      <c r="F745" t="str">
        <f t="array" ref="F745">IFERROR(INDEX('Player Raw Data'!H:H,Match($A745,'Player Raw Data'!$B:$B,0)),"")</f>
        <v/>
      </c>
      <c r="G745" t="str">
        <f t="array" ref="G745">IFERROR(INDEX('Player Raw Data'!I:I,Match($A745,'Player Raw Data'!$B:$B,0)),"")</f>
        <v/>
      </c>
      <c r="H745" t="str">
        <f t="array" ref="H745">IFERROR(INDEX('Player Raw Data'!J:J,Match($A745,'Player Raw Data'!$B:$B,0)),"")</f>
        <v/>
      </c>
      <c r="I745" t="str">
        <f t="array" ref="I745">IFERROR(INDEX('Player Raw Data'!S:S,Match($A745,'Player Raw Data'!$B:$B,0)),"")</f>
        <v/>
      </c>
      <c r="J745" t="str">
        <f t="array" ref="J745">IFERROR(INDEX('Player Raw Data'!T:T,Match($A745,'Player Raw Data'!$B:$B,0)),"")</f>
        <v/>
      </c>
      <c r="K745" t="str">
        <f t="array" ref="K745">IFERROR(INDEX('Player Raw Data'!X:X,Match($A745,'Player Raw Data'!$B:$B,0)),"")</f>
        <v/>
      </c>
      <c r="L745" t="str">
        <f t="array" ref="L745">IFERROR(INDEX('Player Raw Data'!Y:Y,Match($A745,'Player Raw Data'!$B:$B,0)),"")</f>
        <v/>
      </c>
      <c r="M745" t="str">
        <f t="array" ref="M745">IFERROR(INDEX('Player Raw Data'!Z:Z,Match($A745,'Player Raw Data'!$B:$B,0)),"")</f>
        <v/>
      </c>
      <c r="N745" t="str">
        <f t="array" ref="N745">IFERROR(INDEX('Player Raw Data'!AA:AA,Match($A745,'Player Raw Data'!$B:$B,0)),"")</f>
        <v/>
      </c>
      <c r="O745" t="str">
        <f t="array" ref="O745">IFERROR(INDEX('Player Raw Data'!AB:AB,Match($A745,'Player Raw Data'!$B:$B,0)),"")</f>
        <v/>
      </c>
      <c r="P745" t="str">
        <f t="array" ref="P745">IFERROR(INDEX('Player Raw Data'!AD:AD,Match($A745,'Player Raw Data'!$B:$B,0)),"")</f>
        <v/>
      </c>
      <c r="Q745">
        <f t="shared" si="1"/>
        <v>0</v>
      </c>
      <c r="R745" s="9">
        <f t="shared" si="2"/>
        <v>0</v>
      </c>
      <c r="S745" s="14">
        <f t="shared" si="3"/>
        <v>0</v>
      </c>
      <c r="T745" s="15">
        <f>IFERROR(__xludf.DUMMYFUNCTION("IFERROR(PERCENTRANK.INC(FILTER(Q:Q,$F:$F&lt;&gt;""""),Q745)*100,"""")"),1.5)</f>
        <v>1.5</v>
      </c>
      <c r="U745" s="15">
        <f>IFERROR(__xludf.DUMMYFUNCTION("IFERROR(PERCENTRANK.INC(FILTER(R:R,$F:$F&lt;&gt;""""),R745)*100,"""")"),1.5)</f>
        <v>1.5</v>
      </c>
      <c r="V745" s="15">
        <f>IFERROR(__xludf.DUMMYFUNCTION("IFERROR(PERCENTRANK.INC(FILTER(S:S,$F:$F&lt;&gt;""""),S745)*100,"""")"),1.5)</f>
        <v>1.5</v>
      </c>
      <c r="W745" s="15" t="str">
        <f t="shared" si="4"/>
        <v/>
      </c>
      <c r="X745" s="16"/>
      <c r="Y745" s="9"/>
      <c r="Z745" s="9"/>
    </row>
    <row r="746">
      <c r="B746" t="str">
        <f t="array" ref="B746">IFERROR(INDEX('Player Raw Data'!C:C,Match($A746,'Player Raw Data'!$B:$B,0)),"")</f>
        <v/>
      </c>
      <c r="C746" t="str">
        <f t="array" ref="C746">IFERROR(INDEX('Player Raw Data'!D:D,Match($A746,'Player Raw Data'!$B:$B,0)),"")</f>
        <v/>
      </c>
      <c r="D746" t="str">
        <f t="array" ref="D746">IFERROR(IF(A746=A745, INDEX('Player Raw Data'!E:E,Match($A746,'Player Raw Data'!$B:$B,0)+2),INDEX('Player Raw Data'!E:E,Match($A746,'Player Raw Data'!$B:$B,0))),"")</f>
        <v/>
      </c>
      <c r="E746" t="str">
        <f t="array" ref="E746">IFERROR(INDEX('Player Raw Data'!F:F,Match($A746,'Player Raw Data'!$B:$B,0)),"")</f>
        <v/>
      </c>
      <c r="F746" t="str">
        <f t="array" ref="F746">IFERROR(INDEX('Player Raw Data'!H:H,Match($A746,'Player Raw Data'!$B:$B,0)),"")</f>
        <v/>
      </c>
      <c r="G746" t="str">
        <f t="array" ref="G746">IFERROR(INDEX('Player Raw Data'!I:I,Match($A746,'Player Raw Data'!$B:$B,0)),"")</f>
        <v/>
      </c>
      <c r="H746" t="str">
        <f t="array" ref="H746">IFERROR(INDEX('Player Raw Data'!J:J,Match($A746,'Player Raw Data'!$B:$B,0)),"")</f>
        <v/>
      </c>
      <c r="I746" t="str">
        <f t="array" ref="I746">IFERROR(INDEX('Player Raw Data'!S:S,Match($A746,'Player Raw Data'!$B:$B,0)),"")</f>
        <v/>
      </c>
      <c r="J746" t="str">
        <f t="array" ref="J746">IFERROR(INDEX('Player Raw Data'!T:T,Match($A746,'Player Raw Data'!$B:$B,0)),"")</f>
        <v/>
      </c>
      <c r="K746" t="str">
        <f t="array" ref="K746">IFERROR(INDEX('Player Raw Data'!X:X,Match($A746,'Player Raw Data'!$B:$B,0)),"")</f>
        <v/>
      </c>
      <c r="L746" t="str">
        <f t="array" ref="L746">IFERROR(INDEX('Player Raw Data'!Y:Y,Match($A746,'Player Raw Data'!$B:$B,0)),"")</f>
        <v/>
      </c>
      <c r="M746" t="str">
        <f t="array" ref="M746">IFERROR(INDEX('Player Raw Data'!Z:Z,Match($A746,'Player Raw Data'!$B:$B,0)),"")</f>
        <v/>
      </c>
      <c r="N746" t="str">
        <f t="array" ref="N746">IFERROR(INDEX('Player Raw Data'!AA:AA,Match($A746,'Player Raw Data'!$B:$B,0)),"")</f>
        <v/>
      </c>
      <c r="O746" t="str">
        <f t="array" ref="O746">IFERROR(INDEX('Player Raw Data'!AB:AB,Match($A746,'Player Raw Data'!$B:$B,0)),"")</f>
        <v/>
      </c>
      <c r="P746" t="str">
        <f t="array" ref="P746">IFERROR(INDEX('Player Raw Data'!AD:AD,Match($A746,'Player Raw Data'!$B:$B,0)),"")</f>
        <v/>
      </c>
      <c r="Q746">
        <f t="shared" si="1"/>
        <v>0</v>
      </c>
      <c r="R746" s="9">
        <f t="shared" si="2"/>
        <v>0</v>
      </c>
      <c r="S746" s="14">
        <f t="shared" si="3"/>
        <v>0</v>
      </c>
      <c r="T746" s="15">
        <f>IFERROR(__xludf.DUMMYFUNCTION("IFERROR(PERCENTRANK.INC(FILTER(Q:Q,$F:$F&lt;&gt;""""),Q746)*100,"""")"),1.5)</f>
        <v>1.5</v>
      </c>
      <c r="U746" s="15">
        <f>IFERROR(__xludf.DUMMYFUNCTION("IFERROR(PERCENTRANK.INC(FILTER(R:R,$F:$F&lt;&gt;""""),R746)*100,"""")"),1.5)</f>
        <v>1.5</v>
      </c>
      <c r="V746" s="15">
        <f>IFERROR(__xludf.DUMMYFUNCTION("IFERROR(PERCENTRANK.INC(FILTER(S:S,$F:$F&lt;&gt;""""),S746)*100,"""")"),1.5)</f>
        <v>1.5</v>
      </c>
      <c r="W746" s="15" t="str">
        <f t="shared" si="4"/>
        <v/>
      </c>
      <c r="X746" s="16"/>
      <c r="Y746" s="9"/>
      <c r="Z746" s="9"/>
    </row>
    <row r="747">
      <c r="B747" t="str">
        <f t="array" ref="B747">IFERROR(INDEX('Player Raw Data'!C:C,Match($A747,'Player Raw Data'!$B:$B,0)),"")</f>
        <v/>
      </c>
      <c r="C747" t="str">
        <f t="array" ref="C747">IFERROR(INDEX('Player Raw Data'!D:D,Match($A747,'Player Raw Data'!$B:$B,0)),"")</f>
        <v/>
      </c>
      <c r="D747" t="str">
        <f t="array" ref="D747">IFERROR(IF(A747=A746, INDEX('Player Raw Data'!E:E,Match($A747,'Player Raw Data'!$B:$B,0)+2),INDEX('Player Raw Data'!E:E,Match($A747,'Player Raw Data'!$B:$B,0))),"")</f>
        <v/>
      </c>
      <c r="E747" t="str">
        <f t="array" ref="E747">IFERROR(INDEX('Player Raw Data'!F:F,Match($A747,'Player Raw Data'!$B:$B,0)),"")</f>
        <v/>
      </c>
      <c r="F747" t="str">
        <f t="array" ref="F747">IFERROR(INDEX('Player Raw Data'!H:H,Match($A747,'Player Raw Data'!$B:$B,0)),"")</f>
        <v/>
      </c>
      <c r="G747" t="str">
        <f t="array" ref="G747">IFERROR(INDEX('Player Raw Data'!I:I,Match($A747,'Player Raw Data'!$B:$B,0)),"")</f>
        <v/>
      </c>
      <c r="H747" t="str">
        <f t="array" ref="H747">IFERROR(INDEX('Player Raw Data'!J:J,Match($A747,'Player Raw Data'!$B:$B,0)),"")</f>
        <v/>
      </c>
      <c r="I747" t="str">
        <f t="array" ref="I747">IFERROR(INDEX('Player Raw Data'!S:S,Match($A747,'Player Raw Data'!$B:$B,0)),"")</f>
        <v/>
      </c>
      <c r="J747" t="str">
        <f t="array" ref="J747">IFERROR(INDEX('Player Raw Data'!T:T,Match($A747,'Player Raw Data'!$B:$B,0)),"")</f>
        <v/>
      </c>
      <c r="K747" t="str">
        <f t="array" ref="K747">IFERROR(INDEX('Player Raw Data'!X:X,Match($A747,'Player Raw Data'!$B:$B,0)),"")</f>
        <v/>
      </c>
      <c r="L747" t="str">
        <f t="array" ref="L747">IFERROR(INDEX('Player Raw Data'!Y:Y,Match($A747,'Player Raw Data'!$B:$B,0)),"")</f>
        <v/>
      </c>
      <c r="M747" t="str">
        <f t="array" ref="M747">IFERROR(INDEX('Player Raw Data'!Z:Z,Match($A747,'Player Raw Data'!$B:$B,0)),"")</f>
        <v/>
      </c>
      <c r="N747" t="str">
        <f t="array" ref="N747">IFERROR(INDEX('Player Raw Data'!AA:AA,Match($A747,'Player Raw Data'!$B:$B,0)),"")</f>
        <v/>
      </c>
      <c r="O747" t="str">
        <f t="array" ref="O747">IFERROR(INDEX('Player Raw Data'!AB:AB,Match($A747,'Player Raw Data'!$B:$B,0)),"")</f>
        <v/>
      </c>
      <c r="P747" t="str">
        <f t="array" ref="P747">IFERROR(INDEX('Player Raw Data'!AD:AD,Match($A747,'Player Raw Data'!$B:$B,0)),"")</f>
        <v/>
      </c>
      <c r="Q747">
        <f t="shared" si="1"/>
        <v>0</v>
      </c>
      <c r="R747" s="9">
        <f t="shared" si="2"/>
        <v>0</v>
      </c>
      <c r="S747" s="14">
        <f t="shared" si="3"/>
        <v>0</v>
      </c>
      <c r="T747" s="15">
        <f>IFERROR(__xludf.DUMMYFUNCTION("IFERROR(PERCENTRANK.INC(FILTER(Q:Q,$F:$F&lt;&gt;""""),Q747)*100,"""")"),1.5)</f>
        <v>1.5</v>
      </c>
      <c r="U747" s="15">
        <f>IFERROR(__xludf.DUMMYFUNCTION("IFERROR(PERCENTRANK.INC(FILTER(R:R,$F:$F&lt;&gt;""""),R747)*100,"""")"),1.5)</f>
        <v>1.5</v>
      </c>
      <c r="V747" s="15">
        <f>IFERROR(__xludf.DUMMYFUNCTION("IFERROR(PERCENTRANK.INC(FILTER(S:S,$F:$F&lt;&gt;""""),S747)*100,"""")"),1.5)</f>
        <v>1.5</v>
      </c>
      <c r="W747" s="15" t="str">
        <f t="shared" si="4"/>
        <v/>
      </c>
      <c r="X747" s="16"/>
      <c r="Y747" s="9"/>
      <c r="Z747" s="9"/>
    </row>
    <row r="748">
      <c r="B748" t="str">
        <f t="array" ref="B748">IFERROR(INDEX('Player Raw Data'!C:C,Match($A748,'Player Raw Data'!$B:$B,0)),"")</f>
        <v/>
      </c>
      <c r="C748" t="str">
        <f t="array" ref="C748">IFERROR(INDEX('Player Raw Data'!D:D,Match($A748,'Player Raw Data'!$B:$B,0)),"")</f>
        <v/>
      </c>
      <c r="D748" t="str">
        <f t="array" ref="D748">IFERROR(IF(A748=A747, INDEX('Player Raw Data'!E:E,Match($A748,'Player Raw Data'!$B:$B,0)+2),INDEX('Player Raw Data'!E:E,Match($A748,'Player Raw Data'!$B:$B,0))),"")</f>
        <v/>
      </c>
      <c r="E748" t="str">
        <f t="array" ref="E748">IFERROR(INDEX('Player Raw Data'!F:F,Match($A748,'Player Raw Data'!$B:$B,0)),"")</f>
        <v/>
      </c>
      <c r="F748" t="str">
        <f t="array" ref="F748">IFERROR(INDEX('Player Raw Data'!H:H,Match($A748,'Player Raw Data'!$B:$B,0)),"")</f>
        <v/>
      </c>
      <c r="G748" t="str">
        <f t="array" ref="G748">IFERROR(INDEX('Player Raw Data'!I:I,Match($A748,'Player Raw Data'!$B:$B,0)),"")</f>
        <v/>
      </c>
      <c r="H748" t="str">
        <f t="array" ref="H748">IFERROR(INDEX('Player Raw Data'!J:J,Match($A748,'Player Raw Data'!$B:$B,0)),"")</f>
        <v/>
      </c>
      <c r="I748" t="str">
        <f t="array" ref="I748">IFERROR(INDEX('Player Raw Data'!S:S,Match($A748,'Player Raw Data'!$B:$B,0)),"")</f>
        <v/>
      </c>
      <c r="J748" t="str">
        <f t="array" ref="J748">IFERROR(INDEX('Player Raw Data'!T:T,Match($A748,'Player Raw Data'!$B:$B,0)),"")</f>
        <v/>
      </c>
      <c r="K748" t="str">
        <f t="array" ref="K748">IFERROR(INDEX('Player Raw Data'!X:X,Match($A748,'Player Raw Data'!$B:$B,0)),"")</f>
        <v/>
      </c>
      <c r="L748" t="str">
        <f t="array" ref="L748">IFERROR(INDEX('Player Raw Data'!Y:Y,Match($A748,'Player Raw Data'!$B:$B,0)),"")</f>
        <v/>
      </c>
      <c r="M748" t="str">
        <f t="array" ref="M748">IFERROR(INDEX('Player Raw Data'!Z:Z,Match($A748,'Player Raw Data'!$B:$B,0)),"")</f>
        <v/>
      </c>
      <c r="N748" t="str">
        <f t="array" ref="N748">IFERROR(INDEX('Player Raw Data'!AA:AA,Match($A748,'Player Raw Data'!$B:$B,0)),"")</f>
        <v/>
      </c>
      <c r="O748" t="str">
        <f t="array" ref="O748">IFERROR(INDEX('Player Raw Data'!AB:AB,Match($A748,'Player Raw Data'!$B:$B,0)),"")</f>
        <v/>
      </c>
      <c r="P748" t="str">
        <f t="array" ref="P748">IFERROR(INDEX('Player Raw Data'!AD:AD,Match($A748,'Player Raw Data'!$B:$B,0)),"")</f>
        <v/>
      </c>
      <c r="Q748">
        <f t="shared" si="1"/>
        <v>0</v>
      </c>
      <c r="R748" s="9">
        <f t="shared" si="2"/>
        <v>0</v>
      </c>
      <c r="S748" s="14">
        <f t="shared" si="3"/>
        <v>0</v>
      </c>
      <c r="T748" s="15">
        <f>IFERROR(__xludf.DUMMYFUNCTION("IFERROR(PERCENTRANK.INC(FILTER(Q:Q,$F:$F&lt;&gt;""""),Q748)*100,"""")"),1.5)</f>
        <v>1.5</v>
      </c>
      <c r="U748" s="15">
        <f>IFERROR(__xludf.DUMMYFUNCTION("IFERROR(PERCENTRANK.INC(FILTER(R:R,$F:$F&lt;&gt;""""),R748)*100,"""")"),1.5)</f>
        <v>1.5</v>
      </c>
      <c r="V748" s="15">
        <f>IFERROR(__xludf.DUMMYFUNCTION("IFERROR(PERCENTRANK.INC(FILTER(S:S,$F:$F&lt;&gt;""""),S748)*100,"""")"),1.5)</f>
        <v>1.5</v>
      </c>
      <c r="W748" s="15" t="str">
        <f t="shared" si="4"/>
        <v/>
      </c>
      <c r="X748" s="16"/>
      <c r="Y748" s="9"/>
      <c r="Z748" s="9"/>
    </row>
    <row r="749">
      <c r="B749" t="str">
        <f t="array" ref="B749">IFERROR(INDEX('Player Raw Data'!C:C,Match($A749,'Player Raw Data'!$B:$B,0)),"")</f>
        <v/>
      </c>
      <c r="C749" t="str">
        <f t="array" ref="C749">IFERROR(INDEX('Player Raw Data'!D:D,Match($A749,'Player Raw Data'!$B:$B,0)),"")</f>
        <v/>
      </c>
      <c r="D749" t="str">
        <f t="array" ref="D749">IFERROR(IF(A749=A748, INDEX('Player Raw Data'!E:E,Match($A749,'Player Raw Data'!$B:$B,0)+2),INDEX('Player Raw Data'!E:E,Match($A749,'Player Raw Data'!$B:$B,0))),"")</f>
        <v/>
      </c>
      <c r="E749" t="str">
        <f t="array" ref="E749">IFERROR(INDEX('Player Raw Data'!F:F,Match($A749,'Player Raw Data'!$B:$B,0)),"")</f>
        <v/>
      </c>
      <c r="F749" t="str">
        <f t="array" ref="F749">IFERROR(INDEX('Player Raw Data'!H:H,Match($A749,'Player Raw Data'!$B:$B,0)),"")</f>
        <v/>
      </c>
      <c r="G749" t="str">
        <f t="array" ref="G749">IFERROR(INDEX('Player Raw Data'!I:I,Match($A749,'Player Raw Data'!$B:$B,0)),"")</f>
        <v/>
      </c>
      <c r="H749" t="str">
        <f t="array" ref="H749">IFERROR(INDEX('Player Raw Data'!J:J,Match($A749,'Player Raw Data'!$B:$B,0)),"")</f>
        <v/>
      </c>
      <c r="I749" t="str">
        <f t="array" ref="I749">IFERROR(INDEX('Player Raw Data'!S:S,Match($A749,'Player Raw Data'!$B:$B,0)),"")</f>
        <v/>
      </c>
      <c r="J749" t="str">
        <f t="array" ref="J749">IFERROR(INDEX('Player Raw Data'!T:T,Match($A749,'Player Raw Data'!$B:$B,0)),"")</f>
        <v/>
      </c>
      <c r="K749" t="str">
        <f t="array" ref="K749">IFERROR(INDEX('Player Raw Data'!X:X,Match($A749,'Player Raw Data'!$B:$B,0)),"")</f>
        <v/>
      </c>
      <c r="L749" t="str">
        <f t="array" ref="L749">IFERROR(INDEX('Player Raw Data'!Y:Y,Match($A749,'Player Raw Data'!$B:$B,0)),"")</f>
        <v/>
      </c>
      <c r="M749" t="str">
        <f t="array" ref="M749">IFERROR(INDEX('Player Raw Data'!Z:Z,Match($A749,'Player Raw Data'!$B:$B,0)),"")</f>
        <v/>
      </c>
      <c r="N749" t="str">
        <f t="array" ref="N749">IFERROR(INDEX('Player Raw Data'!AA:AA,Match($A749,'Player Raw Data'!$B:$B,0)),"")</f>
        <v/>
      </c>
      <c r="O749" t="str">
        <f t="array" ref="O749">IFERROR(INDEX('Player Raw Data'!AB:AB,Match($A749,'Player Raw Data'!$B:$B,0)),"")</f>
        <v/>
      </c>
      <c r="P749" t="str">
        <f t="array" ref="P749">IFERROR(INDEX('Player Raw Data'!AD:AD,Match($A749,'Player Raw Data'!$B:$B,0)),"")</f>
        <v/>
      </c>
      <c r="Q749">
        <f t="shared" si="1"/>
        <v>0</v>
      </c>
      <c r="R749" s="9">
        <f t="shared" si="2"/>
        <v>0</v>
      </c>
      <c r="S749" s="14">
        <f t="shared" si="3"/>
        <v>0</v>
      </c>
      <c r="T749" s="15">
        <f>IFERROR(__xludf.DUMMYFUNCTION("IFERROR(PERCENTRANK.INC(FILTER(Q:Q,$F:$F&lt;&gt;""""),Q749)*100,"""")"),1.5)</f>
        <v>1.5</v>
      </c>
      <c r="U749" s="15">
        <f>IFERROR(__xludf.DUMMYFUNCTION("IFERROR(PERCENTRANK.INC(FILTER(R:R,$F:$F&lt;&gt;""""),R749)*100,"""")"),1.5)</f>
        <v>1.5</v>
      </c>
      <c r="V749" s="15">
        <f>IFERROR(__xludf.DUMMYFUNCTION("IFERROR(PERCENTRANK.INC(FILTER(S:S,$F:$F&lt;&gt;""""),S749)*100,"""")"),1.5)</f>
        <v>1.5</v>
      </c>
      <c r="W749" s="15" t="str">
        <f t="shared" si="4"/>
        <v/>
      </c>
      <c r="X749" s="16"/>
      <c r="Y749" s="9"/>
      <c r="Z749" s="9"/>
    </row>
    <row r="750">
      <c r="B750" t="str">
        <f t="array" ref="B750">IFERROR(INDEX('Player Raw Data'!C:C,Match($A750,'Player Raw Data'!$B:$B,0)),"")</f>
        <v/>
      </c>
      <c r="C750" t="str">
        <f t="array" ref="C750">IFERROR(INDEX('Player Raw Data'!D:D,Match($A750,'Player Raw Data'!$B:$B,0)),"")</f>
        <v/>
      </c>
      <c r="D750" t="str">
        <f t="array" ref="D750">IFERROR(IF(A750=A749, INDEX('Player Raw Data'!E:E,Match($A750,'Player Raw Data'!$B:$B,0)+2),INDEX('Player Raw Data'!E:E,Match($A750,'Player Raw Data'!$B:$B,0))),"")</f>
        <v/>
      </c>
      <c r="E750" t="str">
        <f t="array" ref="E750">IFERROR(INDEX('Player Raw Data'!F:F,Match($A750,'Player Raw Data'!$B:$B,0)),"")</f>
        <v/>
      </c>
      <c r="F750" t="str">
        <f t="array" ref="F750">IFERROR(INDEX('Player Raw Data'!H:H,Match($A750,'Player Raw Data'!$B:$B,0)),"")</f>
        <v/>
      </c>
      <c r="G750" t="str">
        <f t="array" ref="G750">IFERROR(INDEX('Player Raw Data'!I:I,Match($A750,'Player Raw Data'!$B:$B,0)),"")</f>
        <v/>
      </c>
      <c r="H750" t="str">
        <f t="array" ref="H750">IFERROR(INDEX('Player Raw Data'!J:J,Match($A750,'Player Raw Data'!$B:$B,0)),"")</f>
        <v/>
      </c>
      <c r="I750" t="str">
        <f t="array" ref="I750">IFERROR(INDEX('Player Raw Data'!S:S,Match($A750,'Player Raw Data'!$B:$B,0)),"")</f>
        <v/>
      </c>
      <c r="J750" t="str">
        <f t="array" ref="J750">IFERROR(INDEX('Player Raw Data'!T:T,Match($A750,'Player Raw Data'!$B:$B,0)),"")</f>
        <v/>
      </c>
      <c r="K750" t="str">
        <f t="array" ref="K750">IFERROR(INDEX('Player Raw Data'!X:X,Match($A750,'Player Raw Data'!$B:$B,0)),"")</f>
        <v/>
      </c>
      <c r="L750" t="str">
        <f t="array" ref="L750">IFERROR(INDEX('Player Raw Data'!Y:Y,Match($A750,'Player Raw Data'!$B:$B,0)),"")</f>
        <v/>
      </c>
      <c r="M750" t="str">
        <f t="array" ref="M750">IFERROR(INDEX('Player Raw Data'!Z:Z,Match($A750,'Player Raw Data'!$B:$B,0)),"")</f>
        <v/>
      </c>
      <c r="N750" t="str">
        <f t="array" ref="N750">IFERROR(INDEX('Player Raw Data'!AA:AA,Match($A750,'Player Raw Data'!$B:$B,0)),"")</f>
        <v/>
      </c>
      <c r="O750" t="str">
        <f t="array" ref="O750">IFERROR(INDEX('Player Raw Data'!AB:AB,Match($A750,'Player Raw Data'!$B:$B,0)),"")</f>
        <v/>
      </c>
      <c r="P750" t="str">
        <f t="array" ref="P750">IFERROR(INDEX('Player Raw Data'!AD:AD,Match($A750,'Player Raw Data'!$B:$B,0)),"")</f>
        <v/>
      </c>
      <c r="Q750">
        <f t="shared" si="1"/>
        <v>0</v>
      </c>
      <c r="R750" s="9">
        <f t="shared" si="2"/>
        <v>0</v>
      </c>
      <c r="S750" s="14">
        <f t="shared" si="3"/>
        <v>0</v>
      </c>
      <c r="T750" s="15">
        <f>IFERROR(__xludf.DUMMYFUNCTION("IFERROR(PERCENTRANK.INC(FILTER(Q:Q,$F:$F&lt;&gt;""""),Q750)*100,"""")"),1.5)</f>
        <v>1.5</v>
      </c>
      <c r="U750" s="15">
        <f>IFERROR(__xludf.DUMMYFUNCTION("IFERROR(PERCENTRANK.INC(FILTER(R:R,$F:$F&lt;&gt;""""),R750)*100,"""")"),1.5)</f>
        <v>1.5</v>
      </c>
      <c r="V750" s="15">
        <f>IFERROR(__xludf.DUMMYFUNCTION("IFERROR(PERCENTRANK.INC(FILTER(S:S,$F:$F&lt;&gt;""""),S750)*100,"""")"),1.5)</f>
        <v>1.5</v>
      </c>
      <c r="W750" s="15" t="str">
        <f t="shared" si="4"/>
        <v/>
      </c>
      <c r="X750" s="16"/>
      <c r="Y750" s="9"/>
      <c r="Z750" s="9"/>
    </row>
    <row r="751">
      <c r="B751" t="str">
        <f t="array" ref="B751">IFERROR(INDEX('Player Raw Data'!C:C,Match($A751,'Player Raw Data'!$B:$B,0)),"")</f>
        <v/>
      </c>
      <c r="C751" t="str">
        <f t="array" ref="C751">IFERROR(INDEX('Player Raw Data'!D:D,Match($A751,'Player Raw Data'!$B:$B,0)),"")</f>
        <v/>
      </c>
      <c r="D751" t="str">
        <f t="array" ref="D751">IFERROR(IF(A751=A750, INDEX('Player Raw Data'!E:E,Match($A751,'Player Raw Data'!$B:$B,0)+2),INDEX('Player Raw Data'!E:E,Match($A751,'Player Raw Data'!$B:$B,0))),"")</f>
        <v/>
      </c>
      <c r="E751" t="str">
        <f t="array" ref="E751">IFERROR(INDEX('Player Raw Data'!F:F,Match($A751,'Player Raw Data'!$B:$B,0)),"")</f>
        <v/>
      </c>
      <c r="F751" t="str">
        <f t="array" ref="F751">IFERROR(INDEX('Player Raw Data'!H:H,Match($A751,'Player Raw Data'!$B:$B,0)),"")</f>
        <v/>
      </c>
      <c r="G751" t="str">
        <f t="array" ref="G751">IFERROR(INDEX('Player Raw Data'!I:I,Match($A751,'Player Raw Data'!$B:$B,0)),"")</f>
        <v/>
      </c>
      <c r="H751" t="str">
        <f t="array" ref="H751">IFERROR(INDEX('Player Raw Data'!J:J,Match($A751,'Player Raw Data'!$B:$B,0)),"")</f>
        <v/>
      </c>
      <c r="I751" t="str">
        <f t="array" ref="I751">IFERROR(INDEX('Player Raw Data'!S:S,Match($A751,'Player Raw Data'!$B:$B,0)),"")</f>
        <v/>
      </c>
      <c r="J751" t="str">
        <f t="array" ref="J751">IFERROR(INDEX('Player Raw Data'!T:T,Match($A751,'Player Raw Data'!$B:$B,0)),"")</f>
        <v/>
      </c>
      <c r="K751" t="str">
        <f t="array" ref="K751">IFERROR(INDEX('Player Raw Data'!X:X,Match($A751,'Player Raw Data'!$B:$B,0)),"")</f>
        <v/>
      </c>
      <c r="L751" t="str">
        <f t="array" ref="L751">IFERROR(INDEX('Player Raw Data'!Y:Y,Match($A751,'Player Raw Data'!$B:$B,0)),"")</f>
        <v/>
      </c>
      <c r="M751" t="str">
        <f t="array" ref="M751">IFERROR(INDEX('Player Raw Data'!Z:Z,Match($A751,'Player Raw Data'!$B:$B,0)),"")</f>
        <v/>
      </c>
      <c r="N751" t="str">
        <f t="array" ref="N751">IFERROR(INDEX('Player Raw Data'!AA:AA,Match($A751,'Player Raw Data'!$B:$B,0)),"")</f>
        <v/>
      </c>
      <c r="O751" t="str">
        <f t="array" ref="O751">IFERROR(INDEX('Player Raw Data'!AB:AB,Match($A751,'Player Raw Data'!$B:$B,0)),"")</f>
        <v/>
      </c>
      <c r="P751" t="str">
        <f t="array" ref="P751">IFERROR(INDEX('Player Raw Data'!AD:AD,Match($A751,'Player Raw Data'!$B:$B,0)),"")</f>
        <v/>
      </c>
      <c r="Q751">
        <f t="shared" si="1"/>
        <v>0</v>
      </c>
      <c r="R751" s="9">
        <f t="shared" si="2"/>
        <v>0</v>
      </c>
      <c r="S751" s="14">
        <f t="shared" si="3"/>
        <v>0</v>
      </c>
      <c r="T751" s="15">
        <f>IFERROR(__xludf.DUMMYFUNCTION("IFERROR(PERCENTRANK.INC(FILTER(Q:Q,$F:$F&lt;&gt;""""),Q751)*100,"""")"),1.5)</f>
        <v>1.5</v>
      </c>
      <c r="U751" s="15">
        <f>IFERROR(__xludf.DUMMYFUNCTION("IFERROR(PERCENTRANK.INC(FILTER(R:R,$F:$F&lt;&gt;""""),R751)*100,"""")"),1.5)</f>
        <v>1.5</v>
      </c>
      <c r="V751" s="15">
        <f>IFERROR(__xludf.DUMMYFUNCTION("IFERROR(PERCENTRANK.INC(FILTER(S:S,$F:$F&lt;&gt;""""),S751)*100,"""")"),1.5)</f>
        <v>1.5</v>
      </c>
      <c r="W751" s="15" t="str">
        <f t="shared" si="4"/>
        <v/>
      </c>
      <c r="X751" s="16"/>
      <c r="Y751" s="9"/>
      <c r="Z751" s="9"/>
    </row>
    <row r="752">
      <c r="B752" t="str">
        <f t="array" ref="B752">IFERROR(INDEX('Player Raw Data'!C:C,Match($A752,'Player Raw Data'!$B:$B,0)),"")</f>
        <v/>
      </c>
      <c r="C752" t="str">
        <f t="array" ref="C752">IFERROR(INDEX('Player Raw Data'!D:D,Match($A752,'Player Raw Data'!$B:$B,0)),"")</f>
        <v/>
      </c>
      <c r="D752" t="str">
        <f t="array" ref="D752">IFERROR(IF(A752=A751, INDEX('Player Raw Data'!E:E,Match($A752,'Player Raw Data'!$B:$B,0)+2),INDEX('Player Raw Data'!E:E,Match($A752,'Player Raw Data'!$B:$B,0))),"")</f>
        <v/>
      </c>
      <c r="E752" t="str">
        <f t="array" ref="E752">IFERROR(INDEX('Player Raw Data'!F:F,Match($A752,'Player Raw Data'!$B:$B,0)),"")</f>
        <v/>
      </c>
      <c r="F752" t="str">
        <f t="array" ref="F752">IFERROR(INDEX('Player Raw Data'!H:H,Match($A752,'Player Raw Data'!$B:$B,0)),"")</f>
        <v/>
      </c>
      <c r="G752" t="str">
        <f t="array" ref="G752">IFERROR(INDEX('Player Raw Data'!I:I,Match($A752,'Player Raw Data'!$B:$B,0)),"")</f>
        <v/>
      </c>
      <c r="H752" t="str">
        <f t="array" ref="H752">IFERROR(INDEX('Player Raw Data'!J:J,Match($A752,'Player Raw Data'!$B:$B,0)),"")</f>
        <v/>
      </c>
      <c r="I752" t="str">
        <f t="array" ref="I752">IFERROR(INDEX('Player Raw Data'!S:S,Match($A752,'Player Raw Data'!$B:$B,0)),"")</f>
        <v/>
      </c>
      <c r="J752" t="str">
        <f t="array" ref="J752">IFERROR(INDEX('Player Raw Data'!T:T,Match($A752,'Player Raw Data'!$B:$B,0)),"")</f>
        <v/>
      </c>
      <c r="K752" t="str">
        <f t="array" ref="K752">IFERROR(INDEX('Player Raw Data'!X:X,Match($A752,'Player Raw Data'!$B:$B,0)),"")</f>
        <v/>
      </c>
      <c r="L752" t="str">
        <f t="array" ref="L752">IFERROR(INDEX('Player Raw Data'!Y:Y,Match($A752,'Player Raw Data'!$B:$B,0)),"")</f>
        <v/>
      </c>
      <c r="M752" t="str">
        <f t="array" ref="M752">IFERROR(INDEX('Player Raw Data'!Z:Z,Match($A752,'Player Raw Data'!$B:$B,0)),"")</f>
        <v/>
      </c>
      <c r="N752" t="str">
        <f t="array" ref="N752">IFERROR(INDEX('Player Raw Data'!AA:AA,Match($A752,'Player Raw Data'!$B:$B,0)),"")</f>
        <v/>
      </c>
      <c r="O752" t="str">
        <f t="array" ref="O752">IFERROR(INDEX('Player Raw Data'!AB:AB,Match($A752,'Player Raw Data'!$B:$B,0)),"")</f>
        <v/>
      </c>
      <c r="P752" t="str">
        <f t="array" ref="P752">IFERROR(INDEX('Player Raw Data'!AD:AD,Match($A752,'Player Raw Data'!$B:$B,0)),"")</f>
        <v/>
      </c>
      <c r="Q752">
        <f t="shared" si="1"/>
        <v>0</v>
      </c>
      <c r="R752" s="9">
        <f t="shared" si="2"/>
        <v>0</v>
      </c>
      <c r="S752" s="14">
        <f t="shared" si="3"/>
        <v>0</v>
      </c>
      <c r="T752" s="15">
        <f>IFERROR(__xludf.DUMMYFUNCTION("IFERROR(PERCENTRANK.INC(FILTER(Q:Q,$F:$F&lt;&gt;""""),Q752)*100,"""")"),1.5)</f>
        <v>1.5</v>
      </c>
      <c r="U752" s="15">
        <f>IFERROR(__xludf.DUMMYFUNCTION("IFERROR(PERCENTRANK.INC(FILTER(R:R,$F:$F&lt;&gt;""""),R752)*100,"""")"),1.5)</f>
        <v>1.5</v>
      </c>
      <c r="V752" s="15">
        <f>IFERROR(__xludf.DUMMYFUNCTION("IFERROR(PERCENTRANK.INC(FILTER(S:S,$F:$F&lt;&gt;""""),S752)*100,"""")"),1.5)</f>
        <v>1.5</v>
      </c>
      <c r="W752" s="15" t="str">
        <f t="shared" si="4"/>
        <v/>
      </c>
      <c r="X752" s="16"/>
      <c r="Y752" s="9"/>
      <c r="Z752" s="9"/>
    </row>
    <row r="753">
      <c r="B753" t="str">
        <f t="array" ref="B753">IFERROR(INDEX('Player Raw Data'!C:C,Match($A753,'Player Raw Data'!$B:$B,0)),"")</f>
        <v/>
      </c>
      <c r="C753" t="str">
        <f t="array" ref="C753">IFERROR(INDEX('Player Raw Data'!D:D,Match($A753,'Player Raw Data'!$B:$B,0)),"")</f>
        <v/>
      </c>
      <c r="D753" t="str">
        <f t="array" ref="D753">IFERROR(IF(A753=A752, INDEX('Player Raw Data'!E:E,Match($A753,'Player Raw Data'!$B:$B,0)+2),INDEX('Player Raw Data'!E:E,Match($A753,'Player Raw Data'!$B:$B,0))),"")</f>
        <v/>
      </c>
      <c r="E753" t="str">
        <f t="array" ref="E753">IFERROR(INDEX('Player Raw Data'!F:F,Match($A753,'Player Raw Data'!$B:$B,0)),"")</f>
        <v/>
      </c>
      <c r="F753" t="str">
        <f t="array" ref="F753">IFERROR(INDEX('Player Raw Data'!H:H,Match($A753,'Player Raw Data'!$B:$B,0)),"")</f>
        <v/>
      </c>
      <c r="G753" t="str">
        <f t="array" ref="G753">IFERROR(INDEX('Player Raw Data'!I:I,Match($A753,'Player Raw Data'!$B:$B,0)),"")</f>
        <v/>
      </c>
      <c r="H753" t="str">
        <f t="array" ref="H753">IFERROR(INDEX('Player Raw Data'!J:J,Match($A753,'Player Raw Data'!$B:$B,0)),"")</f>
        <v/>
      </c>
      <c r="I753" t="str">
        <f t="array" ref="I753">IFERROR(INDEX('Player Raw Data'!S:S,Match($A753,'Player Raw Data'!$B:$B,0)),"")</f>
        <v/>
      </c>
      <c r="J753" t="str">
        <f t="array" ref="J753">IFERROR(INDEX('Player Raw Data'!T:T,Match($A753,'Player Raw Data'!$B:$B,0)),"")</f>
        <v/>
      </c>
      <c r="K753" t="str">
        <f t="array" ref="K753">IFERROR(INDEX('Player Raw Data'!X:X,Match($A753,'Player Raw Data'!$B:$B,0)),"")</f>
        <v/>
      </c>
      <c r="L753" t="str">
        <f t="array" ref="L753">IFERROR(INDEX('Player Raw Data'!Y:Y,Match($A753,'Player Raw Data'!$B:$B,0)),"")</f>
        <v/>
      </c>
      <c r="M753" t="str">
        <f t="array" ref="M753">IFERROR(INDEX('Player Raw Data'!Z:Z,Match($A753,'Player Raw Data'!$B:$B,0)),"")</f>
        <v/>
      </c>
      <c r="N753" t="str">
        <f t="array" ref="N753">IFERROR(INDEX('Player Raw Data'!AA:AA,Match($A753,'Player Raw Data'!$B:$B,0)),"")</f>
        <v/>
      </c>
      <c r="O753" t="str">
        <f t="array" ref="O753">IFERROR(INDEX('Player Raw Data'!AB:AB,Match($A753,'Player Raw Data'!$B:$B,0)),"")</f>
        <v/>
      </c>
      <c r="P753" t="str">
        <f t="array" ref="P753">IFERROR(INDEX('Player Raw Data'!AD:AD,Match($A753,'Player Raw Data'!$B:$B,0)),"")</f>
        <v/>
      </c>
      <c r="Q753">
        <f t="shared" si="1"/>
        <v>0</v>
      </c>
      <c r="R753" s="9">
        <f t="shared" si="2"/>
        <v>0</v>
      </c>
      <c r="S753" s="14">
        <f t="shared" si="3"/>
        <v>0</v>
      </c>
      <c r="T753" s="15">
        <f>IFERROR(__xludf.DUMMYFUNCTION("IFERROR(PERCENTRANK.INC(FILTER(Q:Q,$F:$F&lt;&gt;""""),Q753)*100,"""")"),1.5)</f>
        <v>1.5</v>
      </c>
      <c r="U753" s="15">
        <f>IFERROR(__xludf.DUMMYFUNCTION("IFERROR(PERCENTRANK.INC(FILTER(R:R,$F:$F&lt;&gt;""""),R753)*100,"""")"),1.5)</f>
        <v>1.5</v>
      </c>
      <c r="V753" s="15">
        <f>IFERROR(__xludf.DUMMYFUNCTION("IFERROR(PERCENTRANK.INC(FILTER(S:S,$F:$F&lt;&gt;""""),S753)*100,"""")"),1.5)</f>
        <v>1.5</v>
      </c>
      <c r="W753" s="15" t="str">
        <f t="shared" si="4"/>
        <v/>
      </c>
      <c r="X753" s="16"/>
      <c r="Y753" s="9"/>
      <c r="Z753" s="9"/>
    </row>
    <row r="754">
      <c r="B754" t="str">
        <f t="array" ref="B754">IFERROR(INDEX('Player Raw Data'!C:C,Match($A754,'Player Raw Data'!$B:$B,0)),"")</f>
        <v/>
      </c>
      <c r="C754" t="str">
        <f t="array" ref="C754">IFERROR(INDEX('Player Raw Data'!D:D,Match($A754,'Player Raw Data'!$B:$B,0)),"")</f>
        <v/>
      </c>
      <c r="D754" t="str">
        <f t="array" ref="D754">IFERROR(IF(A754=A753, INDEX('Player Raw Data'!E:E,Match($A754,'Player Raw Data'!$B:$B,0)+2),INDEX('Player Raw Data'!E:E,Match($A754,'Player Raw Data'!$B:$B,0))),"")</f>
        <v/>
      </c>
      <c r="E754" t="str">
        <f t="array" ref="E754">IFERROR(INDEX('Player Raw Data'!F:F,Match($A754,'Player Raw Data'!$B:$B,0)),"")</f>
        <v/>
      </c>
      <c r="F754" t="str">
        <f t="array" ref="F754">IFERROR(INDEX('Player Raw Data'!H:H,Match($A754,'Player Raw Data'!$B:$B,0)),"")</f>
        <v/>
      </c>
      <c r="G754" t="str">
        <f t="array" ref="G754">IFERROR(INDEX('Player Raw Data'!I:I,Match($A754,'Player Raw Data'!$B:$B,0)),"")</f>
        <v/>
      </c>
      <c r="H754" t="str">
        <f t="array" ref="H754">IFERROR(INDEX('Player Raw Data'!J:J,Match($A754,'Player Raw Data'!$B:$B,0)),"")</f>
        <v/>
      </c>
      <c r="I754" t="str">
        <f t="array" ref="I754">IFERROR(INDEX('Player Raw Data'!S:S,Match($A754,'Player Raw Data'!$B:$B,0)),"")</f>
        <v/>
      </c>
      <c r="J754" t="str">
        <f t="array" ref="J754">IFERROR(INDEX('Player Raw Data'!T:T,Match($A754,'Player Raw Data'!$B:$B,0)),"")</f>
        <v/>
      </c>
      <c r="K754" t="str">
        <f t="array" ref="K754">IFERROR(INDEX('Player Raw Data'!X:X,Match($A754,'Player Raw Data'!$B:$B,0)),"")</f>
        <v/>
      </c>
      <c r="L754" t="str">
        <f t="array" ref="L754">IFERROR(INDEX('Player Raw Data'!Y:Y,Match($A754,'Player Raw Data'!$B:$B,0)),"")</f>
        <v/>
      </c>
      <c r="M754" t="str">
        <f t="array" ref="M754">IFERROR(INDEX('Player Raw Data'!Z:Z,Match($A754,'Player Raw Data'!$B:$B,0)),"")</f>
        <v/>
      </c>
      <c r="N754" t="str">
        <f t="array" ref="N754">IFERROR(INDEX('Player Raw Data'!AA:AA,Match($A754,'Player Raw Data'!$B:$B,0)),"")</f>
        <v/>
      </c>
      <c r="O754" t="str">
        <f t="array" ref="O754">IFERROR(INDEX('Player Raw Data'!AB:AB,Match($A754,'Player Raw Data'!$B:$B,0)),"")</f>
        <v/>
      </c>
      <c r="P754" t="str">
        <f t="array" ref="P754">IFERROR(INDEX('Player Raw Data'!AD:AD,Match($A754,'Player Raw Data'!$B:$B,0)),"")</f>
        <v/>
      </c>
      <c r="Q754">
        <f t="shared" si="1"/>
        <v>0</v>
      </c>
      <c r="R754" s="9">
        <f t="shared" si="2"/>
        <v>0</v>
      </c>
      <c r="S754" s="14">
        <f t="shared" si="3"/>
        <v>0</v>
      </c>
      <c r="T754" s="15">
        <f>IFERROR(__xludf.DUMMYFUNCTION("IFERROR(PERCENTRANK.INC(FILTER(Q:Q,$F:$F&lt;&gt;""""),Q754)*100,"""")"),1.5)</f>
        <v>1.5</v>
      </c>
      <c r="U754" s="15">
        <f>IFERROR(__xludf.DUMMYFUNCTION("IFERROR(PERCENTRANK.INC(FILTER(R:R,$F:$F&lt;&gt;""""),R754)*100,"""")"),1.5)</f>
        <v>1.5</v>
      </c>
      <c r="V754" s="15">
        <f>IFERROR(__xludf.DUMMYFUNCTION("IFERROR(PERCENTRANK.INC(FILTER(S:S,$F:$F&lt;&gt;""""),S754)*100,"""")"),1.5)</f>
        <v>1.5</v>
      </c>
      <c r="W754" s="15" t="str">
        <f t="shared" si="4"/>
        <v/>
      </c>
      <c r="X754" s="16"/>
      <c r="Y754" s="9"/>
      <c r="Z754" s="9"/>
    </row>
    <row r="755">
      <c r="B755" t="str">
        <f t="array" ref="B755">IFERROR(INDEX('Player Raw Data'!C:C,Match($A755,'Player Raw Data'!$B:$B,0)),"")</f>
        <v/>
      </c>
      <c r="C755" t="str">
        <f t="array" ref="C755">IFERROR(INDEX('Player Raw Data'!D:D,Match($A755,'Player Raw Data'!$B:$B,0)),"")</f>
        <v/>
      </c>
      <c r="D755" t="str">
        <f t="array" ref="D755">IFERROR(IF(A755=A754, INDEX('Player Raw Data'!E:E,Match($A755,'Player Raw Data'!$B:$B,0)+2),INDEX('Player Raw Data'!E:E,Match($A755,'Player Raw Data'!$B:$B,0))),"")</f>
        <v/>
      </c>
      <c r="E755" t="str">
        <f t="array" ref="E755">IFERROR(INDEX('Player Raw Data'!F:F,Match($A755,'Player Raw Data'!$B:$B,0)),"")</f>
        <v/>
      </c>
      <c r="F755" t="str">
        <f t="array" ref="F755">IFERROR(INDEX('Player Raw Data'!H:H,Match($A755,'Player Raw Data'!$B:$B,0)),"")</f>
        <v/>
      </c>
      <c r="G755" t="str">
        <f t="array" ref="G755">IFERROR(INDEX('Player Raw Data'!I:I,Match($A755,'Player Raw Data'!$B:$B,0)),"")</f>
        <v/>
      </c>
      <c r="H755" t="str">
        <f t="array" ref="H755">IFERROR(INDEX('Player Raw Data'!J:J,Match($A755,'Player Raw Data'!$B:$B,0)),"")</f>
        <v/>
      </c>
      <c r="I755" t="str">
        <f t="array" ref="I755">IFERROR(INDEX('Player Raw Data'!S:S,Match($A755,'Player Raw Data'!$B:$B,0)),"")</f>
        <v/>
      </c>
      <c r="J755" t="str">
        <f t="array" ref="J755">IFERROR(INDEX('Player Raw Data'!T:T,Match($A755,'Player Raw Data'!$B:$B,0)),"")</f>
        <v/>
      </c>
      <c r="K755" t="str">
        <f t="array" ref="K755">IFERROR(INDEX('Player Raw Data'!X:X,Match($A755,'Player Raw Data'!$B:$B,0)),"")</f>
        <v/>
      </c>
      <c r="L755" t="str">
        <f t="array" ref="L755">IFERROR(INDEX('Player Raw Data'!Y:Y,Match($A755,'Player Raw Data'!$B:$B,0)),"")</f>
        <v/>
      </c>
      <c r="M755" t="str">
        <f t="array" ref="M755">IFERROR(INDEX('Player Raw Data'!Z:Z,Match($A755,'Player Raw Data'!$B:$B,0)),"")</f>
        <v/>
      </c>
      <c r="N755" t="str">
        <f t="array" ref="N755">IFERROR(INDEX('Player Raw Data'!AA:AA,Match($A755,'Player Raw Data'!$B:$B,0)),"")</f>
        <v/>
      </c>
      <c r="O755" t="str">
        <f t="array" ref="O755">IFERROR(INDEX('Player Raw Data'!AB:AB,Match($A755,'Player Raw Data'!$B:$B,0)),"")</f>
        <v/>
      </c>
      <c r="P755" t="str">
        <f t="array" ref="P755">IFERROR(INDEX('Player Raw Data'!AD:AD,Match($A755,'Player Raw Data'!$B:$B,0)),"")</f>
        <v/>
      </c>
      <c r="Q755">
        <f t="shared" si="1"/>
        <v>0</v>
      </c>
      <c r="R755" s="9">
        <f t="shared" si="2"/>
        <v>0</v>
      </c>
      <c r="S755" s="14">
        <f t="shared" si="3"/>
        <v>0</v>
      </c>
      <c r="T755" s="15">
        <f>IFERROR(__xludf.DUMMYFUNCTION("IFERROR(PERCENTRANK.INC(FILTER(Q:Q,$F:$F&lt;&gt;""""),Q755)*100,"""")"),1.5)</f>
        <v>1.5</v>
      </c>
      <c r="U755" s="15">
        <f>IFERROR(__xludf.DUMMYFUNCTION("IFERROR(PERCENTRANK.INC(FILTER(R:R,$F:$F&lt;&gt;""""),R755)*100,"""")"),1.5)</f>
        <v>1.5</v>
      </c>
      <c r="V755" s="15">
        <f>IFERROR(__xludf.DUMMYFUNCTION("IFERROR(PERCENTRANK.INC(FILTER(S:S,$F:$F&lt;&gt;""""),S755)*100,"""")"),1.5)</f>
        <v>1.5</v>
      </c>
      <c r="W755" s="15" t="str">
        <f t="shared" si="4"/>
        <v/>
      </c>
      <c r="X755" s="16"/>
      <c r="Y755" s="9"/>
      <c r="Z755" s="9"/>
    </row>
    <row r="756">
      <c r="B756" t="str">
        <f t="array" ref="B756">IFERROR(INDEX('Player Raw Data'!C:C,Match($A756,'Player Raw Data'!$B:$B,0)),"")</f>
        <v/>
      </c>
      <c r="C756" t="str">
        <f t="array" ref="C756">IFERROR(INDEX('Player Raw Data'!D:D,Match($A756,'Player Raw Data'!$B:$B,0)),"")</f>
        <v/>
      </c>
      <c r="D756" t="str">
        <f t="array" ref="D756">IFERROR(IF(A756=A755, INDEX('Player Raw Data'!E:E,Match($A756,'Player Raw Data'!$B:$B,0)+2),INDEX('Player Raw Data'!E:E,Match($A756,'Player Raw Data'!$B:$B,0))),"")</f>
        <v/>
      </c>
      <c r="E756" t="str">
        <f t="array" ref="E756">IFERROR(INDEX('Player Raw Data'!F:F,Match($A756,'Player Raw Data'!$B:$B,0)),"")</f>
        <v/>
      </c>
      <c r="F756" t="str">
        <f t="array" ref="F756">IFERROR(INDEX('Player Raw Data'!H:H,Match($A756,'Player Raw Data'!$B:$B,0)),"")</f>
        <v/>
      </c>
      <c r="G756" t="str">
        <f t="array" ref="G756">IFERROR(INDEX('Player Raw Data'!I:I,Match($A756,'Player Raw Data'!$B:$B,0)),"")</f>
        <v/>
      </c>
      <c r="H756" t="str">
        <f t="array" ref="H756">IFERROR(INDEX('Player Raw Data'!J:J,Match($A756,'Player Raw Data'!$B:$B,0)),"")</f>
        <v/>
      </c>
      <c r="I756" t="str">
        <f t="array" ref="I756">IFERROR(INDEX('Player Raw Data'!S:S,Match($A756,'Player Raw Data'!$B:$B,0)),"")</f>
        <v/>
      </c>
      <c r="J756" t="str">
        <f t="array" ref="J756">IFERROR(INDEX('Player Raw Data'!T:T,Match($A756,'Player Raw Data'!$B:$B,0)),"")</f>
        <v/>
      </c>
      <c r="K756" t="str">
        <f t="array" ref="K756">IFERROR(INDEX('Player Raw Data'!X:X,Match($A756,'Player Raw Data'!$B:$B,0)),"")</f>
        <v/>
      </c>
      <c r="L756" t="str">
        <f t="array" ref="L756">IFERROR(INDEX('Player Raw Data'!Y:Y,Match($A756,'Player Raw Data'!$B:$B,0)),"")</f>
        <v/>
      </c>
      <c r="M756" t="str">
        <f t="array" ref="M756">IFERROR(INDEX('Player Raw Data'!Z:Z,Match($A756,'Player Raw Data'!$B:$B,0)),"")</f>
        <v/>
      </c>
      <c r="N756" t="str">
        <f t="array" ref="N756">IFERROR(INDEX('Player Raw Data'!AA:AA,Match($A756,'Player Raw Data'!$B:$B,0)),"")</f>
        <v/>
      </c>
      <c r="O756" t="str">
        <f t="array" ref="O756">IFERROR(INDEX('Player Raw Data'!AB:AB,Match($A756,'Player Raw Data'!$B:$B,0)),"")</f>
        <v/>
      </c>
      <c r="P756" t="str">
        <f t="array" ref="P756">IFERROR(INDEX('Player Raw Data'!AD:AD,Match($A756,'Player Raw Data'!$B:$B,0)),"")</f>
        <v/>
      </c>
      <c r="Q756">
        <f t="shared" si="1"/>
        <v>0</v>
      </c>
      <c r="R756" s="9">
        <f t="shared" si="2"/>
        <v>0</v>
      </c>
      <c r="S756" s="14">
        <f t="shared" si="3"/>
        <v>0</v>
      </c>
      <c r="T756" s="15">
        <f>IFERROR(__xludf.DUMMYFUNCTION("IFERROR(PERCENTRANK.INC(FILTER(Q:Q,$F:$F&lt;&gt;""""),Q756)*100,"""")"),1.5)</f>
        <v>1.5</v>
      </c>
      <c r="U756" s="15">
        <f>IFERROR(__xludf.DUMMYFUNCTION("IFERROR(PERCENTRANK.INC(FILTER(R:R,$F:$F&lt;&gt;""""),R756)*100,"""")"),1.5)</f>
        <v>1.5</v>
      </c>
      <c r="V756" s="15">
        <f>IFERROR(__xludf.DUMMYFUNCTION("IFERROR(PERCENTRANK.INC(FILTER(S:S,$F:$F&lt;&gt;""""),S756)*100,"""")"),1.5)</f>
        <v>1.5</v>
      </c>
      <c r="W756" s="15" t="str">
        <f t="shared" si="4"/>
        <v/>
      </c>
      <c r="X756" s="16"/>
      <c r="Y756" s="9"/>
      <c r="Z756" s="9"/>
    </row>
    <row r="757">
      <c r="B757" t="str">
        <f t="array" ref="B757">IFERROR(INDEX('Player Raw Data'!C:C,Match($A757,'Player Raw Data'!$B:$B,0)),"")</f>
        <v/>
      </c>
      <c r="C757" t="str">
        <f t="array" ref="C757">IFERROR(INDEX('Player Raw Data'!D:D,Match($A757,'Player Raw Data'!$B:$B,0)),"")</f>
        <v/>
      </c>
      <c r="D757" t="str">
        <f t="array" ref="D757">IFERROR(IF(A757=A756, INDEX('Player Raw Data'!E:E,Match($A757,'Player Raw Data'!$B:$B,0)+2),INDEX('Player Raw Data'!E:E,Match($A757,'Player Raw Data'!$B:$B,0))),"")</f>
        <v/>
      </c>
      <c r="E757" t="str">
        <f t="array" ref="E757">IFERROR(INDEX('Player Raw Data'!F:F,Match($A757,'Player Raw Data'!$B:$B,0)),"")</f>
        <v/>
      </c>
      <c r="F757" t="str">
        <f t="array" ref="F757">IFERROR(INDEX('Player Raw Data'!H:H,Match($A757,'Player Raw Data'!$B:$B,0)),"")</f>
        <v/>
      </c>
      <c r="G757" t="str">
        <f t="array" ref="G757">IFERROR(INDEX('Player Raw Data'!I:I,Match($A757,'Player Raw Data'!$B:$B,0)),"")</f>
        <v/>
      </c>
      <c r="H757" t="str">
        <f t="array" ref="H757">IFERROR(INDEX('Player Raw Data'!J:J,Match($A757,'Player Raw Data'!$B:$B,0)),"")</f>
        <v/>
      </c>
      <c r="I757" t="str">
        <f t="array" ref="I757">IFERROR(INDEX('Player Raw Data'!S:S,Match($A757,'Player Raw Data'!$B:$B,0)),"")</f>
        <v/>
      </c>
      <c r="J757" t="str">
        <f t="array" ref="J757">IFERROR(INDEX('Player Raw Data'!T:T,Match($A757,'Player Raw Data'!$B:$B,0)),"")</f>
        <v/>
      </c>
      <c r="K757" t="str">
        <f t="array" ref="K757">IFERROR(INDEX('Player Raw Data'!X:X,Match($A757,'Player Raw Data'!$B:$B,0)),"")</f>
        <v/>
      </c>
      <c r="L757" t="str">
        <f t="array" ref="L757">IFERROR(INDEX('Player Raw Data'!Y:Y,Match($A757,'Player Raw Data'!$B:$B,0)),"")</f>
        <v/>
      </c>
      <c r="M757" t="str">
        <f t="array" ref="M757">IFERROR(INDEX('Player Raw Data'!Z:Z,Match($A757,'Player Raw Data'!$B:$B,0)),"")</f>
        <v/>
      </c>
      <c r="N757" t="str">
        <f t="array" ref="N757">IFERROR(INDEX('Player Raw Data'!AA:AA,Match($A757,'Player Raw Data'!$B:$B,0)),"")</f>
        <v/>
      </c>
      <c r="O757" t="str">
        <f t="array" ref="O757">IFERROR(INDEX('Player Raw Data'!AB:AB,Match($A757,'Player Raw Data'!$B:$B,0)),"")</f>
        <v/>
      </c>
      <c r="P757" t="str">
        <f t="array" ref="P757">IFERROR(INDEX('Player Raw Data'!AD:AD,Match($A757,'Player Raw Data'!$B:$B,0)),"")</f>
        <v/>
      </c>
      <c r="Q757">
        <f t="shared" si="1"/>
        <v>0</v>
      </c>
      <c r="R757" s="9">
        <f t="shared" si="2"/>
        <v>0</v>
      </c>
      <c r="S757" s="14">
        <f t="shared" si="3"/>
        <v>0</v>
      </c>
      <c r="T757" s="15">
        <f>IFERROR(__xludf.DUMMYFUNCTION("IFERROR(PERCENTRANK.INC(FILTER(Q:Q,$F:$F&lt;&gt;""""),Q757)*100,"""")"),1.5)</f>
        <v>1.5</v>
      </c>
      <c r="U757" s="15">
        <f>IFERROR(__xludf.DUMMYFUNCTION("IFERROR(PERCENTRANK.INC(FILTER(R:R,$F:$F&lt;&gt;""""),R757)*100,"""")"),1.5)</f>
        <v>1.5</v>
      </c>
      <c r="V757" s="15">
        <f>IFERROR(__xludf.DUMMYFUNCTION("IFERROR(PERCENTRANK.INC(FILTER(S:S,$F:$F&lt;&gt;""""),S757)*100,"""")"),1.5)</f>
        <v>1.5</v>
      </c>
      <c r="W757" s="15" t="str">
        <f t="shared" si="4"/>
        <v/>
      </c>
      <c r="X757" s="16"/>
      <c r="Y757" s="9"/>
      <c r="Z757" s="9"/>
    </row>
    <row r="758">
      <c r="B758" t="str">
        <f t="array" ref="B758">IFERROR(INDEX('Player Raw Data'!C:C,Match($A758,'Player Raw Data'!$B:$B,0)),"")</f>
        <v/>
      </c>
      <c r="C758" t="str">
        <f t="array" ref="C758">IFERROR(INDEX('Player Raw Data'!D:D,Match($A758,'Player Raw Data'!$B:$B,0)),"")</f>
        <v/>
      </c>
      <c r="D758" t="str">
        <f t="array" ref="D758">IFERROR(IF(A758=A757, INDEX('Player Raw Data'!E:E,Match($A758,'Player Raw Data'!$B:$B,0)+2),INDEX('Player Raw Data'!E:E,Match($A758,'Player Raw Data'!$B:$B,0))),"")</f>
        <v/>
      </c>
      <c r="E758" t="str">
        <f t="array" ref="E758">IFERROR(INDEX('Player Raw Data'!F:F,Match($A758,'Player Raw Data'!$B:$B,0)),"")</f>
        <v/>
      </c>
      <c r="F758" t="str">
        <f t="array" ref="F758">IFERROR(INDEX('Player Raw Data'!H:H,Match($A758,'Player Raw Data'!$B:$B,0)),"")</f>
        <v/>
      </c>
      <c r="G758" t="str">
        <f t="array" ref="G758">IFERROR(INDEX('Player Raw Data'!I:I,Match($A758,'Player Raw Data'!$B:$B,0)),"")</f>
        <v/>
      </c>
      <c r="H758" t="str">
        <f t="array" ref="H758">IFERROR(INDEX('Player Raw Data'!J:J,Match($A758,'Player Raw Data'!$B:$B,0)),"")</f>
        <v/>
      </c>
      <c r="I758" t="str">
        <f t="array" ref="I758">IFERROR(INDEX('Player Raw Data'!S:S,Match($A758,'Player Raw Data'!$B:$B,0)),"")</f>
        <v/>
      </c>
      <c r="J758" t="str">
        <f t="array" ref="J758">IFERROR(INDEX('Player Raw Data'!T:T,Match($A758,'Player Raw Data'!$B:$B,0)),"")</f>
        <v/>
      </c>
      <c r="K758" t="str">
        <f t="array" ref="K758">IFERROR(INDEX('Player Raw Data'!X:X,Match($A758,'Player Raw Data'!$B:$B,0)),"")</f>
        <v/>
      </c>
      <c r="L758" t="str">
        <f t="array" ref="L758">IFERROR(INDEX('Player Raw Data'!Y:Y,Match($A758,'Player Raw Data'!$B:$B,0)),"")</f>
        <v/>
      </c>
      <c r="M758" t="str">
        <f t="array" ref="M758">IFERROR(INDEX('Player Raw Data'!Z:Z,Match($A758,'Player Raw Data'!$B:$B,0)),"")</f>
        <v/>
      </c>
      <c r="N758" t="str">
        <f t="array" ref="N758">IFERROR(INDEX('Player Raw Data'!AA:AA,Match($A758,'Player Raw Data'!$B:$B,0)),"")</f>
        <v/>
      </c>
      <c r="O758" t="str">
        <f t="array" ref="O758">IFERROR(INDEX('Player Raw Data'!AB:AB,Match($A758,'Player Raw Data'!$B:$B,0)),"")</f>
        <v/>
      </c>
      <c r="P758" t="str">
        <f t="array" ref="P758">IFERROR(INDEX('Player Raw Data'!AD:AD,Match($A758,'Player Raw Data'!$B:$B,0)),"")</f>
        <v/>
      </c>
      <c r="Q758">
        <f t="shared" si="1"/>
        <v>0</v>
      </c>
      <c r="R758" s="9">
        <f t="shared" si="2"/>
        <v>0</v>
      </c>
      <c r="S758" s="14">
        <f t="shared" si="3"/>
        <v>0</v>
      </c>
      <c r="T758" s="15">
        <f>IFERROR(__xludf.DUMMYFUNCTION("IFERROR(PERCENTRANK.INC(FILTER(Q:Q,$F:$F&lt;&gt;""""),Q758)*100,"""")"),1.5)</f>
        <v>1.5</v>
      </c>
      <c r="U758" s="15">
        <f>IFERROR(__xludf.DUMMYFUNCTION("IFERROR(PERCENTRANK.INC(FILTER(R:R,$F:$F&lt;&gt;""""),R758)*100,"""")"),1.5)</f>
        <v>1.5</v>
      </c>
      <c r="V758" s="15">
        <f>IFERROR(__xludf.DUMMYFUNCTION("IFERROR(PERCENTRANK.INC(FILTER(S:S,$F:$F&lt;&gt;""""),S758)*100,"""")"),1.5)</f>
        <v>1.5</v>
      </c>
      <c r="W758" s="15" t="str">
        <f t="shared" si="4"/>
        <v/>
      </c>
      <c r="X758" s="16"/>
      <c r="Y758" s="9"/>
      <c r="Z758" s="9"/>
    </row>
    <row r="759">
      <c r="B759" t="str">
        <f t="array" ref="B759">IFERROR(INDEX('Player Raw Data'!C:C,Match($A759,'Player Raw Data'!$B:$B,0)),"")</f>
        <v/>
      </c>
      <c r="C759" t="str">
        <f t="array" ref="C759">IFERROR(INDEX('Player Raw Data'!D:D,Match($A759,'Player Raw Data'!$B:$B,0)),"")</f>
        <v/>
      </c>
      <c r="D759" t="str">
        <f t="array" ref="D759">IFERROR(IF(A759=A758, INDEX('Player Raw Data'!E:E,Match($A759,'Player Raw Data'!$B:$B,0)+2),INDEX('Player Raw Data'!E:E,Match($A759,'Player Raw Data'!$B:$B,0))),"")</f>
        <v/>
      </c>
      <c r="E759" t="str">
        <f t="array" ref="E759">IFERROR(INDEX('Player Raw Data'!F:F,Match($A759,'Player Raw Data'!$B:$B,0)),"")</f>
        <v/>
      </c>
      <c r="F759" t="str">
        <f t="array" ref="F759">IFERROR(INDEX('Player Raw Data'!H:H,Match($A759,'Player Raw Data'!$B:$B,0)),"")</f>
        <v/>
      </c>
      <c r="G759" t="str">
        <f t="array" ref="G759">IFERROR(INDEX('Player Raw Data'!I:I,Match($A759,'Player Raw Data'!$B:$B,0)),"")</f>
        <v/>
      </c>
      <c r="H759" t="str">
        <f t="array" ref="H759">IFERROR(INDEX('Player Raw Data'!J:J,Match($A759,'Player Raw Data'!$B:$B,0)),"")</f>
        <v/>
      </c>
      <c r="I759" t="str">
        <f t="array" ref="I759">IFERROR(INDEX('Player Raw Data'!S:S,Match($A759,'Player Raw Data'!$B:$B,0)),"")</f>
        <v/>
      </c>
      <c r="J759" t="str">
        <f t="array" ref="J759">IFERROR(INDEX('Player Raw Data'!T:T,Match($A759,'Player Raw Data'!$B:$B,0)),"")</f>
        <v/>
      </c>
      <c r="K759" t="str">
        <f t="array" ref="K759">IFERROR(INDEX('Player Raw Data'!X:X,Match($A759,'Player Raw Data'!$B:$B,0)),"")</f>
        <v/>
      </c>
      <c r="L759" t="str">
        <f t="array" ref="L759">IFERROR(INDEX('Player Raw Data'!Y:Y,Match($A759,'Player Raw Data'!$B:$B,0)),"")</f>
        <v/>
      </c>
      <c r="M759" t="str">
        <f t="array" ref="M759">IFERROR(INDEX('Player Raw Data'!Z:Z,Match($A759,'Player Raw Data'!$B:$B,0)),"")</f>
        <v/>
      </c>
      <c r="N759" t="str">
        <f t="array" ref="N759">IFERROR(INDEX('Player Raw Data'!AA:AA,Match($A759,'Player Raw Data'!$B:$B,0)),"")</f>
        <v/>
      </c>
      <c r="O759" t="str">
        <f t="array" ref="O759">IFERROR(INDEX('Player Raw Data'!AB:AB,Match($A759,'Player Raw Data'!$B:$B,0)),"")</f>
        <v/>
      </c>
      <c r="P759" t="str">
        <f t="array" ref="P759">IFERROR(INDEX('Player Raw Data'!AD:AD,Match($A759,'Player Raw Data'!$B:$B,0)),"")</f>
        <v/>
      </c>
      <c r="Q759">
        <f t="shared" si="1"/>
        <v>0</v>
      </c>
      <c r="R759" s="9">
        <f t="shared" si="2"/>
        <v>0</v>
      </c>
      <c r="S759" s="14">
        <f t="shared" si="3"/>
        <v>0</v>
      </c>
      <c r="T759" s="15">
        <f>IFERROR(__xludf.DUMMYFUNCTION("IFERROR(PERCENTRANK.INC(FILTER(Q:Q,$F:$F&lt;&gt;""""),Q759)*100,"""")"),1.5)</f>
        <v>1.5</v>
      </c>
      <c r="U759" s="15">
        <f>IFERROR(__xludf.DUMMYFUNCTION("IFERROR(PERCENTRANK.INC(FILTER(R:R,$F:$F&lt;&gt;""""),R759)*100,"""")"),1.5)</f>
        <v>1.5</v>
      </c>
      <c r="V759" s="15">
        <f>IFERROR(__xludf.DUMMYFUNCTION("IFERROR(PERCENTRANK.INC(FILTER(S:S,$F:$F&lt;&gt;""""),S759)*100,"""")"),1.5)</f>
        <v>1.5</v>
      </c>
      <c r="W759" s="15" t="str">
        <f t="shared" si="4"/>
        <v/>
      </c>
      <c r="X759" s="16"/>
      <c r="Y759" s="9"/>
      <c r="Z759" s="9"/>
    </row>
    <row r="760">
      <c r="B760" t="str">
        <f t="array" ref="B760">IFERROR(INDEX('Player Raw Data'!C:C,Match($A760,'Player Raw Data'!$B:$B,0)),"")</f>
        <v/>
      </c>
      <c r="C760" t="str">
        <f t="array" ref="C760">IFERROR(INDEX('Player Raw Data'!D:D,Match($A760,'Player Raw Data'!$B:$B,0)),"")</f>
        <v/>
      </c>
      <c r="D760" t="str">
        <f t="array" ref="D760">IFERROR(IF(A760=A759, INDEX('Player Raw Data'!E:E,Match($A760,'Player Raw Data'!$B:$B,0)+2),INDEX('Player Raw Data'!E:E,Match($A760,'Player Raw Data'!$B:$B,0))),"")</f>
        <v/>
      </c>
      <c r="E760" t="str">
        <f t="array" ref="E760">IFERROR(INDEX('Player Raw Data'!F:F,Match($A760,'Player Raw Data'!$B:$B,0)),"")</f>
        <v/>
      </c>
      <c r="F760" t="str">
        <f t="array" ref="F760">IFERROR(INDEX('Player Raw Data'!H:H,Match($A760,'Player Raw Data'!$B:$B,0)),"")</f>
        <v/>
      </c>
      <c r="G760" t="str">
        <f t="array" ref="G760">IFERROR(INDEX('Player Raw Data'!I:I,Match($A760,'Player Raw Data'!$B:$B,0)),"")</f>
        <v/>
      </c>
      <c r="H760" t="str">
        <f t="array" ref="H760">IFERROR(INDEX('Player Raw Data'!J:J,Match($A760,'Player Raw Data'!$B:$B,0)),"")</f>
        <v/>
      </c>
      <c r="I760" t="str">
        <f t="array" ref="I760">IFERROR(INDEX('Player Raw Data'!S:S,Match($A760,'Player Raw Data'!$B:$B,0)),"")</f>
        <v/>
      </c>
      <c r="J760" t="str">
        <f t="array" ref="J760">IFERROR(INDEX('Player Raw Data'!T:T,Match($A760,'Player Raw Data'!$B:$B,0)),"")</f>
        <v/>
      </c>
      <c r="K760" t="str">
        <f t="array" ref="K760">IFERROR(INDEX('Player Raw Data'!X:X,Match($A760,'Player Raw Data'!$B:$B,0)),"")</f>
        <v/>
      </c>
      <c r="L760" t="str">
        <f t="array" ref="L760">IFERROR(INDEX('Player Raw Data'!Y:Y,Match($A760,'Player Raw Data'!$B:$B,0)),"")</f>
        <v/>
      </c>
      <c r="M760" t="str">
        <f t="array" ref="M760">IFERROR(INDEX('Player Raw Data'!Z:Z,Match($A760,'Player Raw Data'!$B:$B,0)),"")</f>
        <v/>
      </c>
      <c r="N760" t="str">
        <f t="array" ref="N760">IFERROR(INDEX('Player Raw Data'!AA:AA,Match($A760,'Player Raw Data'!$B:$B,0)),"")</f>
        <v/>
      </c>
      <c r="O760" t="str">
        <f t="array" ref="O760">IFERROR(INDEX('Player Raw Data'!AB:AB,Match($A760,'Player Raw Data'!$B:$B,0)),"")</f>
        <v/>
      </c>
      <c r="P760" t="str">
        <f t="array" ref="P760">IFERROR(INDEX('Player Raw Data'!AD:AD,Match($A760,'Player Raw Data'!$B:$B,0)),"")</f>
        <v/>
      </c>
      <c r="Q760">
        <f t="shared" si="1"/>
        <v>0</v>
      </c>
      <c r="R760" s="9">
        <f t="shared" si="2"/>
        <v>0</v>
      </c>
      <c r="S760" s="14">
        <f t="shared" si="3"/>
        <v>0</v>
      </c>
      <c r="T760" s="15">
        <f>IFERROR(__xludf.DUMMYFUNCTION("IFERROR(PERCENTRANK.INC(FILTER(Q:Q,$F:$F&lt;&gt;""""),Q760)*100,"""")"),1.5)</f>
        <v>1.5</v>
      </c>
      <c r="U760" s="15">
        <f>IFERROR(__xludf.DUMMYFUNCTION("IFERROR(PERCENTRANK.INC(FILTER(R:R,$F:$F&lt;&gt;""""),R760)*100,"""")"),1.5)</f>
        <v>1.5</v>
      </c>
      <c r="V760" s="15">
        <f>IFERROR(__xludf.DUMMYFUNCTION("IFERROR(PERCENTRANK.INC(FILTER(S:S,$F:$F&lt;&gt;""""),S760)*100,"""")"),1.5)</f>
        <v>1.5</v>
      </c>
      <c r="W760" s="15" t="str">
        <f t="shared" si="4"/>
        <v/>
      </c>
      <c r="X760" s="16"/>
      <c r="Y760" s="9"/>
      <c r="Z760" s="9"/>
    </row>
    <row r="761">
      <c r="B761" t="str">
        <f t="array" ref="B761">IFERROR(INDEX('Player Raw Data'!C:C,Match($A761,'Player Raw Data'!$B:$B,0)),"")</f>
        <v/>
      </c>
      <c r="C761" t="str">
        <f t="array" ref="C761">IFERROR(INDEX('Player Raw Data'!D:D,Match($A761,'Player Raw Data'!$B:$B,0)),"")</f>
        <v/>
      </c>
      <c r="D761" t="str">
        <f t="array" ref="D761">IFERROR(IF(A761=A760, INDEX('Player Raw Data'!E:E,Match($A761,'Player Raw Data'!$B:$B,0)+2),INDEX('Player Raw Data'!E:E,Match($A761,'Player Raw Data'!$B:$B,0))),"")</f>
        <v/>
      </c>
      <c r="E761" t="str">
        <f t="array" ref="E761">IFERROR(INDEX('Player Raw Data'!F:F,Match($A761,'Player Raw Data'!$B:$B,0)),"")</f>
        <v/>
      </c>
      <c r="F761" t="str">
        <f t="array" ref="F761">IFERROR(INDEX('Player Raw Data'!H:H,Match($A761,'Player Raw Data'!$B:$B,0)),"")</f>
        <v/>
      </c>
      <c r="G761" t="str">
        <f t="array" ref="G761">IFERROR(INDEX('Player Raw Data'!I:I,Match($A761,'Player Raw Data'!$B:$B,0)),"")</f>
        <v/>
      </c>
      <c r="H761" t="str">
        <f t="array" ref="H761">IFERROR(INDEX('Player Raw Data'!J:J,Match($A761,'Player Raw Data'!$B:$B,0)),"")</f>
        <v/>
      </c>
      <c r="I761" t="str">
        <f t="array" ref="I761">IFERROR(INDEX('Player Raw Data'!S:S,Match($A761,'Player Raw Data'!$B:$B,0)),"")</f>
        <v/>
      </c>
      <c r="J761" t="str">
        <f t="array" ref="J761">IFERROR(INDEX('Player Raw Data'!T:T,Match($A761,'Player Raw Data'!$B:$B,0)),"")</f>
        <v/>
      </c>
      <c r="K761" t="str">
        <f t="array" ref="K761">IFERROR(INDEX('Player Raw Data'!X:X,Match($A761,'Player Raw Data'!$B:$B,0)),"")</f>
        <v/>
      </c>
      <c r="L761" t="str">
        <f t="array" ref="L761">IFERROR(INDEX('Player Raw Data'!Y:Y,Match($A761,'Player Raw Data'!$B:$B,0)),"")</f>
        <v/>
      </c>
      <c r="M761" t="str">
        <f t="array" ref="M761">IFERROR(INDEX('Player Raw Data'!Z:Z,Match($A761,'Player Raw Data'!$B:$B,0)),"")</f>
        <v/>
      </c>
      <c r="N761" t="str">
        <f t="array" ref="N761">IFERROR(INDEX('Player Raw Data'!AA:AA,Match($A761,'Player Raw Data'!$B:$B,0)),"")</f>
        <v/>
      </c>
      <c r="O761" t="str">
        <f t="array" ref="O761">IFERROR(INDEX('Player Raw Data'!AB:AB,Match($A761,'Player Raw Data'!$B:$B,0)),"")</f>
        <v/>
      </c>
      <c r="P761" t="str">
        <f t="array" ref="P761">IFERROR(INDEX('Player Raw Data'!AD:AD,Match($A761,'Player Raw Data'!$B:$B,0)),"")</f>
        <v/>
      </c>
      <c r="Q761">
        <f t="shared" si="1"/>
        <v>0</v>
      </c>
      <c r="R761" s="9">
        <f t="shared" si="2"/>
        <v>0</v>
      </c>
      <c r="S761" s="14">
        <f t="shared" si="3"/>
        <v>0</v>
      </c>
      <c r="T761" s="15">
        <f>IFERROR(__xludf.DUMMYFUNCTION("IFERROR(PERCENTRANK.INC(FILTER(Q:Q,$F:$F&lt;&gt;""""),Q761)*100,"""")"),1.5)</f>
        <v>1.5</v>
      </c>
      <c r="U761" s="15">
        <f>IFERROR(__xludf.DUMMYFUNCTION("IFERROR(PERCENTRANK.INC(FILTER(R:R,$F:$F&lt;&gt;""""),R761)*100,"""")"),1.5)</f>
        <v>1.5</v>
      </c>
      <c r="V761" s="15">
        <f>IFERROR(__xludf.DUMMYFUNCTION("IFERROR(PERCENTRANK.INC(FILTER(S:S,$F:$F&lt;&gt;""""),S761)*100,"""")"),1.5)</f>
        <v>1.5</v>
      </c>
      <c r="W761" s="15" t="str">
        <f t="shared" si="4"/>
        <v/>
      </c>
      <c r="X761" s="16"/>
      <c r="Y761" s="9"/>
      <c r="Z761" s="9"/>
    </row>
    <row r="762">
      <c r="B762" t="str">
        <f t="array" ref="B762">IFERROR(INDEX('Player Raw Data'!C:C,Match($A762,'Player Raw Data'!$B:$B,0)),"")</f>
        <v/>
      </c>
      <c r="C762" t="str">
        <f t="array" ref="C762">IFERROR(INDEX('Player Raw Data'!D:D,Match($A762,'Player Raw Data'!$B:$B,0)),"")</f>
        <v/>
      </c>
      <c r="D762" t="str">
        <f t="array" ref="D762">IFERROR(IF(A762=A761, INDEX('Player Raw Data'!E:E,Match($A762,'Player Raw Data'!$B:$B,0)+2),INDEX('Player Raw Data'!E:E,Match($A762,'Player Raw Data'!$B:$B,0))),"")</f>
        <v/>
      </c>
      <c r="E762" t="str">
        <f t="array" ref="E762">IFERROR(INDEX('Player Raw Data'!F:F,Match($A762,'Player Raw Data'!$B:$B,0)),"")</f>
        <v/>
      </c>
      <c r="F762" t="str">
        <f t="array" ref="F762">IFERROR(INDEX('Player Raw Data'!H:H,Match($A762,'Player Raw Data'!$B:$B,0)),"")</f>
        <v/>
      </c>
      <c r="G762" t="str">
        <f t="array" ref="G762">IFERROR(INDEX('Player Raw Data'!I:I,Match($A762,'Player Raw Data'!$B:$B,0)),"")</f>
        <v/>
      </c>
      <c r="H762" t="str">
        <f t="array" ref="H762">IFERROR(INDEX('Player Raw Data'!J:J,Match($A762,'Player Raw Data'!$B:$B,0)),"")</f>
        <v/>
      </c>
      <c r="I762" t="str">
        <f t="array" ref="I762">IFERROR(INDEX('Player Raw Data'!S:S,Match($A762,'Player Raw Data'!$B:$B,0)),"")</f>
        <v/>
      </c>
      <c r="J762" t="str">
        <f t="array" ref="J762">IFERROR(INDEX('Player Raw Data'!T:T,Match($A762,'Player Raw Data'!$B:$B,0)),"")</f>
        <v/>
      </c>
      <c r="K762" t="str">
        <f t="array" ref="K762">IFERROR(INDEX('Player Raw Data'!X:X,Match($A762,'Player Raw Data'!$B:$B,0)),"")</f>
        <v/>
      </c>
      <c r="L762" t="str">
        <f t="array" ref="L762">IFERROR(INDEX('Player Raw Data'!Y:Y,Match($A762,'Player Raw Data'!$B:$B,0)),"")</f>
        <v/>
      </c>
      <c r="M762" t="str">
        <f t="array" ref="M762">IFERROR(INDEX('Player Raw Data'!Z:Z,Match($A762,'Player Raw Data'!$B:$B,0)),"")</f>
        <v/>
      </c>
      <c r="N762" t="str">
        <f t="array" ref="N762">IFERROR(INDEX('Player Raw Data'!AA:AA,Match($A762,'Player Raw Data'!$B:$B,0)),"")</f>
        <v/>
      </c>
      <c r="O762" t="str">
        <f t="array" ref="O762">IFERROR(INDEX('Player Raw Data'!AB:AB,Match($A762,'Player Raw Data'!$B:$B,0)),"")</f>
        <v/>
      </c>
      <c r="P762" t="str">
        <f t="array" ref="P762">IFERROR(INDEX('Player Raw Data'!AD:AD,Match($A762,'Player Raw Data'!$B:$B,0)),"")</f>
        <v/>
      </c>
      <c r="Q762">
        <f t="shared" si="1"/>
        <v>0</v>
      </c>
      <c r="R762" s="9">
        <f t="shared" si="2"/>
        <v>0</v>
      </c>
      <c r="S762" s="14">
        <f t="shared" si="3"/>
        <v>0</v>
      </c>
      <c r="T762" s="15">
        <f>IFERROR(__xludf.DUMMYFUNCTION("IFERROR(PERCENTRANK.INC(FILTER(Q:Q,$F:$F&lt;&gt;""""),Q762)*100,"""")"),1.5)</f>
        <v>1.5</v>
      </c>
      <c r="U762" s="15">
        <f>IFERROR(__xludf.DUMMYFUNCTION("IFERROR(PERCENTRANK.INC(FILTER(R:R,$F:$F&lt;&gt;""""),R762)*100,"""")"),1.5)</f>
        <v>1.5</v>
      </c>
      <c r="V762" s="15">
        <f>IFERROR(__xludf.DUMMYFUNCTION("IFERROR(PERCENTRANK.INC(FILTER(S:S,$F:$F&lt;&gt;""""),S762)*100,"""")"),1.5)</f>
        <v>1.5</v>
      </c>
      <c r="W762" s="15" t="str">
        <f t="shared" si="4"/>
        <v/>
      </c>
      <c r="X762" s="16"/>
      <c r="Y762" s="9"/>
      <c r="Z762" s="9"/>
    </row>
    <row r="763">
      <c r="B763" t="str">
        <f t="array" ref="B763">IFERROR(INDEX('Player Raw Data'!C:C,Match($A763,'Player Raw Data'!$B:$B,0)),"")</f>
        <v/>
      </c>
      <c r="C763" t="str">
        <f t="array" ref="C763">IFERROR(INDEX('Player Raw Data'!D:D,Match($A763,'Player Raw Data'!$B:$B,0)),"")</f>
        <v/>
      </c>
      <c r="D763" t="str">
        <f t="array" ref="D763">IFERROR(IF(A763=A762, INDEX('Player Raw Data'!E:E,Match($A763,'Player Raw Data'!$B:$B,0)+2),INDEX('Player Raw Data'!E:E,Match($A763,'Player Raw Data'!$B:$B,0))),"")</f>
        <v/>
      </c>
      <c r="E763" t="str">
        <f t="array" ref="E763">IFERROR(INDEX('Player Raw Data'!F:F,Match($A763,'Player Raw Data'!$B:$B,0)),"")</f>
        <v/>
      </c>
      <c r="F763" t="str">
        <f t="array" ref="F763">IFERROR(INDEX('Player Raw Data'!H:H,Match($A763,'Player Raw Data'!$B:$B,0)),"")</f>
        <v/>
      </c>
      <c r="G763" t="str">
        <f t="array" ref="G763">IFERROR(INDEX('Player Raw Data'!I:I,Match($A763,'Player Raw Data'!$B:$B,0)),"")</f>
        <v/>
      </c>
      <c r="H763" t="str">
        <f t="array" ref="H763">IFERROR(INDEX('Player Raw Data'!J:J,Match($A763,'Player Raw Data'!$B:$B,0)),"")</f>
        <v/>
      </c>
      <c r="I763" t="str">
        <f t="array" ref="I763">IFERROR(INDEX('Player Raw Data'!S:S,Match($A763,'Player Raw Data'!$B:$B,0)),"")</f>
        <v/>
      </c>
      <c r="J763" t="str">
        <f t="array" ref="J763">IFERROR(INDEX('Player Raw Data'!T:T,Match($A763,'Player Raw Data'!$B:$B,0)),"")</f>
        <v/>
      </c>
      <c r="K763" t="str">
        <f t="array" ref="K763">IFERROR(INDEX('Player Raw Data'!X:X,Match($A763,'Player Raw Data'!$B:$B,0)),"")</f>
        <v/>
      </c>
      <c r="L763" t="str">
        <f t="array" ref="L763">IFERROR(INDEX('Player Raw Data'!Y:Y,Match($A763,'Player Raw Data'!$B:$B,0)),"")</f>
        <v/>
      </c>
      <c r="M763" t="str">
        <f t="array" ref="M763">IFERROR(INDEX('Player Raw Data'!Z:Z,Match($A763,'Player Raw Data'!$B:$B,0)),"")</f>
        <v/>
      </c>
      <c r="N763" t="str">
        <f t="array" ref="N763">IFERROR(INDEX('Player Raw Data'!AA:AA,Match($A763,'Player Raw Data'!$B:$B,0)),"")</f>
        <v/>
      </c>
      <c r="O763" t="str">
        <f t="array" ref="O763">IFERROR(INDEX('Player Raw Data'!AB:AB,Match($A763,'Player Raw Data'!$B:$B,0)),"")</f>
        <v/>
      </c>
      <c r="P763" t="str">
        <f t="array" ref="P763">IFERROR(INDEX('Player Raw Data'!AD:AD,Match($A763,'Player Raw Data'!$B:$B,0)),"")</f>
        <v/>
      </c>
      <c r="Q763">
        <f t="shared" si="1"/>
        <v>0</v>
      </c>
      <c r="R763" s="9">
        <f t="shared" si="2"/>
        <v>0</v>
      </c>
      <c r="S763" s="14">
        <f t="shared" si="3"/>
        <v>0</v>
      </c>
      <c r="T763" s="15">
        <f>IFERROR(__xludf.DUMMYFUNCTION("IFERROR(PERCENTRANK.INC(FILTER(Q:Q,$F:$F&lt;&gt;""""),Q763)*100,"""")"),1.5)</f>
        <v>1.5</v>
      </c>
      <c r="U763" s="15">
        <f>IFERROR(__xludf.DUMMYFUNCTION("IFERROR(PERCENTRANK.INC(FILTER(R:R,$F:$F&lt;&gt;""""),R763)*100,"""")"),1.5)</f>
        <v>1.5</v>
      </c>
      <c r="V763" s="15">
        <f>IFERROR(__xludf.DUMMYFUNCTION("IFERROR(PERCENTRANK.INC(FILTER(S:S,$F:$F&lt;&gt;""""),S763)*100,"""")"),1.5)</f>
        <v>1.5</v>
      </c>
      <c r="W763" s="15" t="str">
        <f t="shared" si="4"/>
        <v/>
      </c>
      <c r="X763" s="16"/>
      <c r="Y763" s="9"/>
      <c r="Z763" s="9"/>
    </row>
    <row r="764">
      <c r="B764" t="str">
        <f t="array" ref="B764">IFERROR(INDEX('Player Raw Data'!C:C,Match($A764,'Player Raw Data'!$B:$B,0)),"")</f>
        <v/>
      </c>
      <c r="C764" t="str">
        <f t="array" ref="C764">IFERROR(INDEX('Player Raw Data'!D:D,Match($A764,'Player Raw Data'!$B:$B,0)),"")</f>
        <v/>
      </c>
      <c r="D764" t="str">
        <f t="array" ref="D764">IFERROR(IF(A764=A763, INDEX('Player Raw Data'!E:E,Match($A764,'Player Raw Data'!$B:$B,0)+2),INDEX('Player Raw Data'!E:E,Match($A764,'Player Raw Data'!$B:$B,0))),"")</f>
        <v/>
      </c>
      <c r="E764" t="str">
        <f t="array" ref="E764">IFERROR(INDEX('Player Raw Data'!F:F,Match($A764,'Player Raw Data'!$B:$B,0)),"")</f>
        <v/>
      </c>
      <c r="F764" t="str">
        <f t="array" ref="F764">IFERROR(INDEX('Player Raw Data'!H:H,Match($A764,'Player Raw Data'!$B:$B,0)),"")</f>
        <v/>
      </c>
      <c r="G764" t="str">
        <f t="array" ref="G764">IFERROR(INDEX('Player Raw Data'!I:I,Match($A764,'Player Raw Data'!$B:$B,0)),"")</f>
        <v/>
      </c>
      <c r="H764" t="str">
        <f t="array" ref="H764">IFERROR(INDEX('Player Raw Data'!J:J,Match($A764,'Player Raw Data'!$B:$B,0)),"")</f>
        <v/>
      </c>
      <c r="I764" t="str">
        <f t="array" ref="I764">IFERROR(INDEX('Player Raw Data'!S:S,Match($A764,'Player Raw Data'!$B:$B,0)),"")</f>
        <v/>
      </c>
      <c r="J764" t="str">
        <f t="array" ref="J764">IFERROR(INDEX('Player Raw Data'!T:T,Match($A764,'Player Raw Data'!$B:$B,0)),"")</f>
        <v/>
      </c>
      <c r="K764" t="str">
        <f t="array" ref="K764">IFERROR(INDEX('Player Raw Data'!X:X,Match($A764,'Player Raw Data'!$B:$B,0)),"")</f>
        <v/>
      </c>
      <c r="L764" t="str">
        <f t="array" ref="L764">IFERROR(INDEX('Player Raw Data'!Y:Y,Match($A764,'Player Raw Data'!$B:$B,0)),"")</f>
        <v/>
      </c>
      <c r="M764" t="str">
        <f t="array" ref="M764">IFERROR(INDEX('Player Raw Data'!Z:Z,Match($A764,'Player Raw Data'!$B:$B,0)),"")</f>
        <v/>
      </c>
      <c r="N764" t="str">
        <f t="array" ref="N764">IFERROR(INDEX('Player Raw Data'!AA:AA,Match($A764,'Player Raw Data'!$B:$B,0)),"")</f>
        <v/>
      </c>
      <c r="O764" t="str">
        <f t="array" ref="O764">IFERROR(INDEX('Player Raw Data'!AB:AB,Match($A764,'Player Raw Data'!$B:$B,0)),"")</f>
        <v/>
      </c>
      <c r="P764" t="str">
        <f t="array" ref="P764">IFERROR(INDEX('Player Raw Data'!AD:AD,Match($A764,'Player Raw Data'!$B:$B,0)),"")</f>
        <v/>
      </c>
      <c r="Q764">
        <f t="shared" si="1"/>
        <v>0</v>
      </c>
      <c r="R764" s="9">
        <f t="shared" si="2"/>
        <v>0</v>
      </c>
      <c r="S764" s="14">
        <f t="shared" si="3"/>
        <v>0</v>
      </c>
      <c r="T764" s="15">
        <f>IFERROR(__xludf.DUMMYFUNCTION("IFERROR(PERCENTRANK.INC(FILTER(Q:Q,$F:$F&lt;&gt;""""),Q764)*100,"""")"),1.5)</f>
        <v>1.5</v>
      </c>
      <c r="U764" s="15">
        <f>IFERROR(__xludf.DUMMYFUNCTION("IFERROR(PERCENTRANK.INC(FILTER(R:R,$F:$F&lt;&gt;""""),R764)*100,"""")"),1.5)</f>
        <v>1.5</v>
      </c>
      <c r="V764" s="15">
        <f>IFERROR(__xludf.DUMMYFUNCTION("IFERROR(PERCENTRANK.INC(FILTER(S:S,$F:$F&lt;&gt;""""),S764)*100,"""")"),1.5)</f>
        <v>1.5</v>
      </c>
      <c r="W764" s="15" t="str">
        <f t="shared" si="4"/>
        <v/>
      </c>
      <c r="X764" s="16"/>
      <c r="Y764" s="9"/>
      <c r="Z764" s="9"/>
    </row>
    <row r="765">
      <c r="B765" t="str">
        <f t="array" ref="B765">IFERROR(INDEX('Player Raw Data'!C:C,Match($A765,'Player Raw Data'!$B:$B,0)),"")</f>
        <v/>
      </c>
      <c r="C765" t="str">
        <f t="array" ref="C765">IFERROR(INDEX('Player Raw Data'!D:D,Match($A765,'Player Raw Data'!$B:$B,0)),"")</f>
        <v/>
      </c>
      <c r="D765" t="str">
        <f t="array" ref="D765">IFERROR(IF(A765=A764, INDEX('Player Raw Data'!E:E,Match($A765,'Player Raw Data'!$B:$B,0)+2),INDEX('Player Raw Data'!E:E,Match($A765,'Player Raw Data'!$B:$B,0))),"")</f>
        <v/>
      </c>
      <c r="E765" t="str">
        <f t="array" ref="E765">IFERROR(INDEX('Player Raw Data'!F:F,Match($A765,'Player Raw Data'!$B:$B,0)),"")</f>
        <v/>
      </c>
      <c r="F765" t="str">
        <f t="array" ref="F765">IFERROR(INDEX('Player Raw Data'!H:H,Match($A765,'Player Raw Data'!$B:$B,0)),"")</f>
        <v/>
      </c>
      <c r="G765" t="str">
        <f t="array" ref="G765">IFERROR(INDEX('Player Raw Data'!I:I,Match($A765,'Player Raw Data'!$B:$B,0)),"")</f>
        <v/>
      </c>
      <c r="H765" t="str">
        <f t="array" ref="H765">IFERROR(INDEX('Player Raw Data'!J:J,Match($A765,'Player Raw Data'!$B:$B,0)),"")</f>
        <v/>
      </c>
      <c r="I765" t="str">
        <f t="array" ref="I765">IFERROR(INDEX('Player Raw Data'!S:S,Match($A765,'Player Raw Data'!$B:$B,0)),"")</f>
        <v/>
      </c>
      <c r="J765" t="str">
        <f t="array" ref="J765">IFERROR(INDEX('Player Raw Data'!T:T,Match($A765,'Player Raw Data'!$B:$B,0)),"")</f>
        <v/>
      </c>
      <c r="K765" t="str">
        <f t="array" ref="K765">IFERROR(INDEX('Player Raw Data'!X:X,Match($A765,'Player Raw Data'!$B:$B,0)),"")</f>
        <v/>
      </c>
      <c r="L765" t="str">
        <f t="array" ref="L765">IFERROR(INDEX('Player Raw Data'!Y:Y,Match($A765,'Player Raw Data'!$B:$B,0)),"")</f>
        <v/>
      </c>
      <c r="M765" t="str">
        <f t="array" ref="M765">IFERROR(INDEX('Player Raw Data'!Z:Z,Match($A765,'Player Raw Data'!$B:$B,0)),"")</f>
        <v/>
      </c>
      <c r="N765" t="str">
        <f t="array" ref="N765">IFERROR(INDEX('Player Raw Data'!AA:AA,Match($A765,'Player Raw Data'!$B:$B,0)),"")</f>
        <v/>
      </c>
      <c r="O765" t="str">
        <f t="array" ref="O765">IFERROR(INDEX('Player Raw Data'!AB:AB,Match($A765,'Player Raw Data'!$B:$B,0)),"")</f>
        <v/>
      </c>
      <c r="P765" t="str">
        <f t="array" ref="P765">IFERROR(INDEX('Player Raw Data'!AD:AD,Match($A765,'Player Raw Data'!$B:$B,0)),"")</f>
        <v/>
      </c>
      <c r="Q765">
        <f t="shared" si="1"/>
        <v>0</v>
      </c>
      <c r="R765" s="9">
        <f t="shared" si="2"/>
        <v>0</v>
      </c>
      <c r="S765" s="14">
        <f t="shared" si="3"/>
        <v>0</v>
      </c>
      <c r="T765" s="15">
        <f>IFERROR(__xludf.DUMMYFUNCTION("IFERROR(PERCENTRANK.INC(FILTER(Q:Q,$F:$F&lt;&gt;""""),Q765)*100,"""")"),1.5)</f>
        <v>1.5</v>
      </c>
      <c r="U765" s="15">
        <f>IFERROR(__xludf.DUMMYFUNCTION("IFERROR(PERCENTRANK.INC(FILTER(R:R,$F:$F&lt;&gt;""""),R765)*100,"""")"),1.5)</f>
        <v>1.5</v>
      </c>
      <c r="V765" s="15">
        <f>IFERROR(__xludf.DUMMYFUNCTION("IFERROR(PERCENTRANK.INC(FILTER(S:S,$F:$F&lt;&gt;""""),S765)*100,"""")"),1.5)</f>
        <v>1.5</v>
      </c>
      <c r="W765" s="15" t="str">
        <f t="shared" si="4"/>
        <v/>
      </c>
      <c r="X765" s="16"/>
      <c r="Y765" s="9"/>
      <c r="Z765" s="9"/>
    </row>
    <row r="766">
      <c r="B766" t="str">
        <f t="array" ref="B766">IFERROR(INDEX('Player Raw Data'!C:C,Match($A766,'Player Raw Data'!$B:$B,0)),"")</f>
        <v/>
      </c>
      <c r="C766" t="str">
        <f t="array" ref="C766">IFERROR(INDEX('Player Raw Data'!D:D,Match($A766,'Player Raw Data'!$B:$B,0)),"")</f>
        <v/>
      </c>
      <c r="D766" t="str">
        <f t="array" ref="D766">IFERROR(IF(A766=A765, INDEX('Player Raw Data'!E:E,Match($A766,'Player Raw Data'!$B:$B,0)+2),INDEX('Player Raw Data'!E:E,Match($A766,'Player Raw Data'!$B:$B,0))),"")</f>
        <v/>
      </c>
      <c r="E766" t="str">
        <f t="array" ref="E766">IFERROR(INDEX('Player Raw Data'!F:F,Match($A766,'Player Raw Data'!$B:$B,0)),"")</f>
        <v/>
      </c>
      <c r="F766" t="str">
        <f t="array" ref="F766">IFERROR(INDEX('Player Raw Data'!H:H,Match($A766,'Player Raw Data'!$B:$B,0)),"")</f>
        <v/>
      </c>
      <c r="G766" t="str">
        <f t="array" ref="G766">IFERROR(INDEX('Player Raw Data'!I:I,Match($A766,'Player Raw Data'!$B:$B,0)),"")</f>
        <v/>
      </c>
      <c r="H766" t="str">
        <f t="array" ref="H766">IFERROR(INDEX('Player Raw Data'!J:J,Match($A766,'Player Raw Data'!$B:$B,0)),"")</f>
        <v/>
      </c>
      <c r="I766" t="str">
        <f t="array" ref="I766">IFERROR(INDEX('Player Raw Data'!S:S,Match($A766,'Player Raw Data'!$B:$B,0)),"")</f>
        <v/>
      </c>
      <c r="J766" t="str">
        <f t="array" ref="J766">IFERROR(INDEX('Player Raw Data'!T:T,Match($A766,'Player Raw Data'!$B:$B,0)),"")</f>
        <v/>
      </c>
      <c r="K766" t="str">
        <f t="array" ref="K766">IFERROR(INDEX('Player Raw Data'!X:X,Match($A766,'Player Raw Data'!$B:$B,0)),"")</f>
        <v/>
      </c>
      <c r="L766" t="str">
        <f t="array" ref="L766">IFERROR(INDEX('Player Raw Data'!Y:Y,Match($A766,'Player Raw Data'!$B:$B,0)),"")</f>
        <v/>
      </c>
      <c r="M766" t="str">
        <f t="array" ref="M766">IFERROR(INDEX('Player Raw Data'!Z:Z,Match($A766,'Player Raw Data'!$B:$B,0)),"")</f>
        <v/>
      </c>
      <c r="N766" t="str">
        <f t="array" ref="N766">IFERROR(INDEX('Player Raw Data'!AA:AA,Match($A766,'Player Raw Data'!$B:$B,0)),"")</f>
        <v/>
      </c>
      <c r="O766" t="str">
        <f t="array" ref="O766">IFERROR(INDEX('Player Raw Data'!AB:AB,Match($A766,'Player Raw Data'!$B:$B,0)),"")</f>
        <v/>
      </c>
      <c r="P766" t="str">
        <f t="array" ref="P766">IFERROR(INDEX('Player Raw Data'!AD:AD,Match($A766,'Player Raw Data'!$B:$B,0)),"")</f>
        <v/>
      </c>
      <c r="Q766">
        <f t="shared" si="1"/>
        <v>0</v>
      </c>
      <c r="R766" s="9">
        <f t="shared" si="2"/>
        <v>0</v>
      </c>
      <c r="S766" s="14">
        <f t="shared" si="3"/>
        <v>0</v>
      </c>
      <c r="T766" s="15">
        <f>IFERROR(__xludf.DUMMYFUNCTION("IFERROR(PERCENTRANK.INC(FILTER(Q:Q,$F:$F&lt;&gt;""""),Q766)*100,"""")"),1.5)</f>
        <v>1.5</v>
      </c>
      <c r="U766" s="15">
        <f>IFERROR(__xludf.DUMMYFUNCTION("IFERROR(PERCENTRANK.INC(FILTER(R:R,$F:$F&lt;&gt;""""),R766)*100,"""")"),1.5)</f>
        <v>1.5</v>
      </c>
      <c r="V766" s="15">
        <f>IFERROR(__xludf.DUMMYFUNCTION("IFERROR(PERCENTRANK.INC(FILTER(S:S,$F:$F&lt;&gt;""""),S766)*100,"""")"),1.5)</f>
        <v>1.5</v>
      </c>
      <c r="W766" s="15" t="str">
        <f t="shared" si="4"/>
        <v/>
      </c>
      <c r="X766" s="16"/>
      <c r="Y766" s="9"/>
      <c r="Z766" s="9"/>
    </row>
    <row r="767">
      <c r="B767" t="str">
        <f t="array" ref="B767">IFERROR(INDEX('Player Raw Data'!C:C,Match($A767,'Player Raw Data'!$B:$B,0)),"")</f>
        <v/>
      </c>
      <c r="C767" t="str">
        <f t="array" ref="C767">IFERROR(INDEX('Player Raw Data'!D:D,Match($A767,'Player Raw Data'!$B:$B,0)),"")</f>
        <v/>
      </c>
      <c r="D767" t="str">
        <f t="array" ref="D767">IFERROR(IF(A767=A766, INDEX('Player Raw Data'!E:E,Match($A767,'Player Raw Data'!$B:$B,0)+2),INDEX('Player Raw Data'!E:E,Match($A767,'Player Raw Data'!$B:$B,0))),"")</f>
        <v/>
      </c>
      <c r="E767" t="str">
        <f t="array" ref="E767">IFERROR(INDEX('Player Raw Data'!F:F,Match($A767,'Player Raw Data'!$B:$B,0)),"")</f>
        <v/>
      </c>
      <c r="F767" t="str">
        <f t="array" ref="F767">IFERROR(INDEX('Player Raw Data'!H:H,Match($A767,'Player Raw Data'!$B:$B,0)),"")</f>
        <v/>
      </c>
      <c r="G767" t="str">
        <f t="array" ref="G767">IFERROR(INDEX('Player Raw Data'!I:I,Match($A767,'Player Raw Data'!$B:$B,0)),"")</f>
        <v/>
      </c>
      <c r="H767" t="str">
        <f t="array" ref="H767">IFERROR(INDEX('Player Raw Data'!J:J,Match($A767,'Player Raw Data'!$B:$B,0)),"")</f>
        <v/>
      </c>
      <c r="I767" t="str">
        <f t="array" ref="I767">IFERROR(INDEX('Player Raw Data'!S:S,Match($A767,'Player Raw Data'!$B:$B,0)),"")</f>
        <v/>
      </c>
      <c r="J767" t="str">
        <f t="array" ref="J767">IFERROR(INDEX('Player Raw Data'!T:T,Match($A767,'Player Raw Data'!$B:$B,0)),"")</f>
        <v/>
      </c>
      <c r="K767" t="str">
        <f t="array" ref="K767">IFERROR(INDEX('Player Raw Data'!X:X,Match($A767,'Player Raw Data'!$B:$B,0)),"")</f>
        <v/>
      </c>
      <c r="L767" t="str">
        <f t="array" ref="L767">IFERROR(INDEX('Player Raw Data'!Y:Y,Match($A767,'Player Raw Data'!$B:$B,0)),"")</f>
        <v/>
      </c>
      <c r="M767" t="str">
        <f t="array" ref="M767">IFERROR(INDEX('Player Raw Data'!Z:Z,Match($A767,'Player Raw Data'!$B:$B,0)),"")</f>
        <v/>
      </c>
      <c r="N767" t="str">
        <f t="array" ref="N767">IFERROR(INDEX('Player Raw Data'!AA:AA,Match($A767,'Player Raw Data'!$B:$B,0)),"")</f>
        <v/>
      </c>
      <c r="O767" t="str">
        <f t="array" ref="O767">IFERROR(INDEX('Player Raw Data'!AB:AB,Match($A767,'Player Raw Data'!$B:$B,0)),"")</f>
        <v/>
      </c>
      <c r="P767" t="str">
        <f t="array" ref="P767">IFERROR(INDEX('Player Raw Data'!AD:AD,Match($A767,'Player Raw Data'!$B:$B,0)),"")</f>
        <v/>
      </c>
      <c r="Q767">
        <f t="shared" si="1"/>
        <v>0</v>
      </c>
      <c r="R767" s="9">
        <f t="shared" si="2"/>
        <v>0</v>
      </c>
      <c r="S767" s="14">
        <f t="shared" si="3"/>
        <v>0</v>
      </c>
      <c r="T767" s="15">
        <f>IFERROR(__xludf.DUMMYFUNCTION("IFERROR(PERCENTRANK.INC(FILTER(Q:Q,$F:$F&lt;&gt;""""),Q767)*100,"""")"),1.5)</f>
        <v>1.5</v>
      </c>
      <c r="U767" s="15">
        <f>IFERROR(__xludf.DUMMYFUNCTION("IFERROR(PERCENTRANK.INC(FILTER(R:R,$F:$F&lt;&gt;""""),R767)*100,"""")"),1.5)</f>
        <v>1.5</v>
      </c>
      <c r="V767" s="15">
        <f>IFERROR(__xludf.DUMMYFUNCTION("IFERROR(PERCENTRANK.INC(FILTER(S:S,$F:$F&lt;&gt;""""),S767)*100,"""")"),1.5)</f>
        <v>1.5</v>
      </c>
      <c r="W767" s="15" t="str">
        <f t="shared" si="4"/>
        <v/>
      </c>
      <c r="X767" s="16"/>
      <c r="Y767" s="9"/>
      <c r="Z767" s="9"/>
    </row>
    <row r="768">
      <c r="B768" t="str">
        <f t="array" ref="B768">IFERROR(INDEX('Player Raw Data'!C:C,Match($A768,'Player Raw Data'!$B:$B,0)),"")</f>
        <v/>
      </c>
      <c r="C768" t="str">
        <f t="array" ref="C768">IFERROR(INDEX('Player Raw Data'!D:D,Match($A768,'Player Raw Data'!$B:$B,0)),"")</f>
        <v/>
      </c>
      <c r="D768" t="str">
        <f t="array" ref="D768">IFERROR(IF(A768=A767, INDEX('Player Raw Data'!E:E,Match($A768,'Player Raw Data'!$B:$B,0)+2),INDEX('Player Raw Data'!E:E,Match($A768,'Player Raw Data'!$B:$B,0))),"")</f>
        <v/>
      </c>
      <c r="E768" t="str">
        <f t="array" ref="E768">IFERROR(INDEX('Player Raw Data'!F:F,Match($A768,'Player Raw Data'!$B:$B,0)),"")</f>
        <v/>
      </c>
      <c r="F768" t="str">
        <f t="array" ref="F768">IFERROR(INDEX('Player Raw Data'!H:H,Match($A768,'Player Raw Data'!$B:$B,0)),"")</f>
        <v/>
      </c>
      <c r="G768" t="str">
        <f t="array" ref="G768">IFERROR(INDEX('Player Raw Data'!I:I,Match($A768,'Player Raw Data'!$B:$B,0)),"")</f>
        <v/>
      </c>
      <c r="H768" t="str">
        <f t="array" ref="H768">IFERROR(INDEX('Player Raw Data'!J:J,Match($A768,'Player Raw Data'!$B:$B,0)),"")</f>
        <v/>
      </c>
      <c r="I768" t="str">
        <f t="array" ref="I768">IFERROR(INDEX('Player Raw Data'!S:S,Match($A768,'Player Raw Data'!$B:$B,0)),"")</f>
        <v/>
      </c>
      <c r="J768" t="str">
        <f t="array" ref="J768">IFERROR(INDEX('Player Raw Data'!T:T,Match($A768,'Player Raw Data'!$B:$B,0)),"")</f>
        <v/>
      </c>
      <c r="K768" t="str">
        <f t="array" ref="K768">IFERROR(INDEX('Player Raw Data'!X:X,Match($A768,'Player Raw Data'!$B:$B,0)),"")</f>
        <v/>
      </c>
      <c r="L768" t="str">
        <f t="array" ref="L768">IFERROR(INDEX('Player Raw Data'!Y:Y,Match($A768,'Player Raw Data'!$B:$B,0)),"")</f>
        <v/>
      </c>
      <c r="M768" t="str">
        <f t="array" ref="M768">IFERROR(INDEX('Player Raw Data'!Z:Z,Match($A768,'Player Raw Data'!$B:$B,0)),"")</f>
        <v/>
      </c>
      <c r="N768" t="str">
        <f t="array" ref="N768">IFERROR(INDEX('Player Raw Data'!AA:AA,Match($A768,'Player Raw Data'!$B:$B,0)),"")</f>
        <v/>
      </c>
      <c r="O768" t="str">
        <f t="array" ref="O768">IFERROR(INDEX('Player Raw Data'!AB:AB,Match($A768,'Player Raw Data'!$B:$B,0)),"")</f>
        <v/>
      </c>
      <c r="P768" t="str">
        <f t="array" ref="P768">IFERROR(INDEX('Player Raw Data'!AD:AD,Match($A768,'Player Raw Data'!$B:$B,0)),"")</f>
        <v/>
      </c>
      <c r="Q768">
        <f t="shared" si="1"/>
        <v>0</v>
      </c>
      <c r="R768" s="9">
        <f t="shared" si="2"/>
        <v>0</v>
      </c>
      <c r="S768" s="14">
        <f t="shared" si="3"/>
        <v>0</v>
      </c>
      <c r="T768" s="15">
        <f>IFERROR(__xludf.DUMMYFUNCTION("IFERROR(PERCENTRANK.INC(FILTER(Q:Q,$F:$F&lt;&gt;""""),Q768)*100,"""")"),1.5)</f>
        <v>1.5</v>
      </c>
      <c r="U768" s="15">
        <f>IFERROR(__xludf.DUMMYFUNCTION("IFERROR(PERCENTRANK.INC(FILTER(R:R,$F:$F&lt;&gt;""""),R768)*100,"""")"),1.5)</f>
        <v>1.5</v>
      </c>
      <c r="V768" s="15">
        <f>IFERROR(__xludf.DUMMYFUNCTION("IFERROR(PERCENTRANK.INC(FILTER(S:S,$F:$F&lt;&gt;""""),S768)*100,"""")"),1.5)</f>
        <v>1.5</v>
      </c>
      <c r="W768" s="15" t="str">
        <f t="shared" si="4"/>
        <v/>
      </c>
      <c r="X768" s="16"/>
      <c r="Y768" s="9"/>
      <c r="Z768" s="9"/>
    </row>
    <row r="769">
      <c r="B769" t="str">
        <f t="array" ref="B769">IFERROR(INDEX('Player Raw Data'!C:C,Match($A769,'Player Raw Data'!$B:$B,0)),"")</f>
        <v/>
      </c>
      <c r="C769" t="str">
        <f t="array" ref="C769">IFERROR(INDEX('Player Raw Data'!D:D,Match($A769,'Player Raw Data'!$B:$B,0)),"")</f>
        <v/>
      </c>
      <c r="D769" t="str">
        <f t="array" ref="D769">IFERROR(IF(A769=A768, INDEX('Player Raw Data'!E:E,Match($A769,'Player Raw Data'!$B:$B,0)+2),INDEX('Player Raw Data'!E:E,Match($A769,'Player Raw Data'!$B:$B,0))),"")</f>
        <v/>
      </c>
      <c r="E769" t="str">
        <f t="array" ref="E769">IFERROR(INDEX('Player Raw Data'!F:F,Match($A769,'Player Raw Data'!$B:$B,0)),"")</f>
        <v/>
      </c>
      <c r="F769" t="str">
        <f t="array" ref="F769">IFERROR(INDEX('Player Raw Data'!H:H,Match($A769,'Player Raw Data'!$B:$B,0)),"")</f>
        <v/>
      </c>
      <c r="G769" t="str">
        <f t="array" ref="G769">IFERROR(INDEX('Player Raw Data'!I:I,Match($A769,'Player Raw Data'!$B:$B,0)),"")</f>
        <v/>
      </c>
      <c r="H769" t="str">
        <f t="array" ref="H769">IFERROR(INDEX('Player Raw Data'!J:J,Match($A769,'Player Raw Data'!$B:$B,0)),"")</f>
        <v/>
      </c>
      <c r="I769" t="str">
        <f t="array" ref="I769">IFERROR(INDEX('Player Raw Data'!S:S,Match($A769,'Player Raw Data'!$B:$B,0)),"")</f>
        <v/>
      </c>
      <c r="J769" t="str">
        <f t="array" ref="J769">IFERROR(INDEX('Player Raw Data'!T:T,Match($A769,'Player Raw Data'!$B:$B,0)),"")</f>
        <v/>
      </c>
      <c r="K769" t="str">
        <f t="array" ref="K769">IFERROR(INDEX('Player Raw Data'!X:X,Match($A769,'Player Raw Data'!$B:$B,0)),"")</f>
        <v/>
      </c>
      <c r="L769" t="str">
        <f t="array" ref="L769">IFERROR(INDEX('Player Raw Data'!Y:Y,Match($A769,'Player Raw Data'!$B:$B,0)),"")</f>
        <v/>
      </c>
      <c r="M769" t="str">
        <f t="array" ref="M769">IFERROR(INDEX('Player Raw Data'!Z:Z,Match($A769,'Player Raw Data'!$B:$B,0)),"")</f>
        <v/>
      </c>
      <c r="N769" t="str">
        <f t="array" ref="N769">IFERROR(INDEX('Player Raw Data'!AA:AA,Match($A769,'Player Raw Data'!$B:$B,0)),"")</f>
        <v/>
      </c>
      <c r="O769" t="str">
        <f t="array" ref="O769">IFERROR(INDEX('Player Raw Data'!AB:AB,Match($A769,'Player Raw Data'!$B:$B,0)),"")</f>
        <v/>
      </c>
      <c r="P769" t="str">
        <f t="array" ref="P769">IFERROR(INDEX('Player Raw Data'!AD:AD,Match($A769,'Player Raw Data'!$B:$B,0)),"")</f>
        <v/>
      </c>
      <c r="Q769">
        <f t="shared" si="1"/>
        <v>0</v>
      </c>
      <c r="R769" s="9">
        <f t="shared" si="2"/>
        <v>0</v>
      </c>
      <c r="S769" s="14">
        <f t="shared" si="3"/>
        <v>0</v>
      </c>
      <c r="T769" s="15">
        <f>IFERROR(__xludf.DUMMYFUNCTION("IFERROR(PERCENTRANK.INC(FILTER(Q:Q,$F:$F&lt;&gt;""""),Q769)*100,"""")"),1.5)</f>
        <v>1.5</v>
      </c>
      <c r="U769" s="15">
        <f>IFERROR(__xludf.DUMMYFUNCTION("IFERROR(PERCENTRANK.INC(FILTER(R:R,$F:$F&lt;&gt;""""),R769)*100,"""")"),1.5)</f>
        <v>1.5</v>
      </c>
      <c r="V769" s="15">
        <f>IFERROR(__xludf.DUMMYFUNCTION("IFERROR(PERCENTRANK.INC(FILTER(S:S,$F:$F&lt;&gt;""""),S769)*100,"""")"),1.5)</f>
        <v>1.5</v>
      </c>
      <c r="W769" s="15" t="str">
        <f t="shared" si="4"/>
        <v/>
      </c>
      <c r="X769" s="16"/>
      <c r="Y769" s="9"/>
      <c r="Z769" s="9"/>
    </row>
    <row r="770">
      <c r="B770" t="str">
        <f t="array" ref="B770">IFERROR(INDEX('Player Raw Data'!C:C,Match($A770,'Player Raw Data'!$B:$B,0)),"")</f>
        <v/>
      </c>
      <c r="C770" t="str">
        <f t="array" ref="C770">IFERROR(INDEX('Player Raw Data'!D:D,Match($A770,'Player Raw Data'!$B:$B,0)),"")</f>
        <v/>
      </c>
      <c r="D770" t="str">
        <f t="array" ref="D770">IFERROR(IF(A770=A769, INDEX('Player Raw Data'!E:E,Match($A770,'Player Raw Data'!$B:$B,0)+2),INDEX('Player Raw Data'!E:E,Match($A770,'Player Raw Data'!$B:$B,0))),"")</f>
        <v/>
      </c>
      <c r="E770" t="str">
        <f t="array" ref="E770">IFERROR(INDEX('Player Raw Data'!F:F,Match($A770,'Player Raw Data'!$B:$B,0)),"")</f>
        <v/>
      </c>
      <c r="F770" t="str">
        <f t="array" ref="F770">IFERROR(INDEX('Player Raw Data'!H:H,Match($A770,'Player Raw Data'!$B:$B,0)),"")</f>
        <v/>
      </c>
      <c r="G770" t="str">
        <f t="array" ref="G770">IFERROR(INDEX('Player Raw Data'!I:I,Match($A770,'Player Raw Data'!$B:$B,0)),"")</f>
        <v/>
      </c>
      <c r="H770" t="str">
        <f t="array" ref="H770">IFERROR(INDEX('Player Raw Data'!J:J,Match($A770,'Player Raw Data'!$B:$B,0)),"")</f>
        <v/>
      </c>
      <c r="I770" t="str">
        <f t="array" ref="I770">IFERROR(INDEX('Player Raw Data'!S:S,Match($A770,'Player Raw Data'!$B:$B,0)),"")</f>
        <v/>
      </c>
      <c r="J770" t="str">
        <f t="array" ref="J770">IFERROR(INDEX('Player Raw Data'!T:T,Match($A770,'Player Raw Data'!$B:$B,0)),"")</f>
        <v/>
      </c>
      <c r="K770" t="str">
        <f t="array" ref="K770">IFERROR(INDEX('Player Raw Data'!X:X,Match($A770,'Player Raw Data'!$B:$B,0)),"")</f>
        <v/>
      </c>
      <c r="L770" t="str">
        <f t="array" ref="L770">IFERROR(INDEX('Player Raw Data'!Y:Y,Match($A770,'Player Raw Data'!$B:$B,0)),"")</f>
        <v/>
      </c>
      <c r="M770" t="str">
        <f t="array" ref="M770">IFERROR(INDEX('Player Raw Data'!Z:Z,Match($A770,'Player Raw Data'!$B:$B,0)),"")</f>
        <v/>
      </c>
      <c r="N770" t="str">
        <f t="array" ref="N770">IFERROR(INDEX('Player Raw Data'!AA:AA,Match($A770,'Player Raw Data'!$B:$B,0)),"")</f>
        <v/>
      </c>
      <c r="O770" t="str">
        <f t="array" ref="O770">IFERROR(INDEX('Player Raw Data'!AB:AB,Match($A770,'Player Raw Data'!$B:$B,0)),"")</f>
        <v/>
      </c>
      <c r="P770" t="str">
        <f t="array" ref="P770">IFERROR(INDEX('Player Raw Data'!AD:AD,Match($A770,'Player Raw Data'!$B:$B,0)),"")</f>
        <v/>
      </c>
      <c r="Q770">
        <f t="shared" si="1"/>
        <v>0</v>
      </c>
      <c r="R770" s="9">
        <f t="shared" si="2"/>
        <v>0</v>
      </c>
      <c r="S770" s="14">
        <f t="shared" si="3"/>
        <v>0</v>
      </c>
      <c r="T770" s="15">
        <f>IFERROR(__xludf.DUMMYFUNCTION("IFERROR(PERCENTRANK.INC(FILTER(Q:Q,$F:$F&lt;&gt;""""),Q770)*100,"""")"),1.5)</f>
        <v>1.5</v>
      </c>
      <c r="U770" s="15">
        <f>IFERROR(__xludf.DUMMYFUNCTION("IFERROR(PERCENTRANK.INC(FILTER(R:R,$F:$F&lt;&gt;""""),R770)*100,"""")"),1.5)</f>
        <v>1.5</v>
      </c>
      <c r="V770" s="15">
        <f>IFERROR(__xludf.DUMMYFUNCTION("IFERROR(PERCENTRANK.INC(FILTER(S:S,$F:$F&lt;&gt;""""),S770)*100,"""")"),1.5)</f>
        <v>1.5</v>
      </c>
      <c r="W770" s="15" t="str">
        <f t="shared" si="4"/>
        <v/>
      </c>
      <c r="X770" s="16"/>
      <c r="Y770" s="9"/>
      <c r="Z770" s="9"/>
    </row>
    <row r="771">
      <c r="B771" t="str">
        <f t="array" ref="B771">IFERROR(INDEX('Player Raw Data'!C:C,Match($A771,'Player Raw Data'!$B:$B,0)),"")</f>
        <v/>
      </c>
      <c r="C771" t="str">
        <f t="array" ref="C771">IFERROR(INDEX('Player Raw Data'!D:D,Match($A771,'Player Raw Data'!$B:$B,0)),"")</f>
        <v/>
      </c>
      <c r="D771" t="str">
        <f t="array" ref="D771">IFERROR(IF(A771=A770, INDEX('Player Raw Data'!E:E,Match($A771,'Player Raw Data'!$B:$B,0)+2),INDEX('Player Raw Data'!E:E,Match($A771,'Player Raw Data'!$B:$B,0))),"")</f>
        <v/>
      </c>
      <c r="E771" t="str">
        <f t="array" ref="E771">IFERROR(INDEX('Player Raw Data'!F:F,Match($A771,'Player Raw Data'!$B:$B,0)),"")</f>
        <v/>
      </c>
      <c r="F771" t="str">
        <f t="array" ref="F771">IFERROR(INDEX('Player Raw Data'!H:H,Match($A771,'Player Raw Data'!$B:$B,0)),"")</f>
        <v/>
      </c>
      <c r="G771" t="str">
        <f t="array" ref="G771">IFERROR(INDEX('Player Raw Data'!I:I,Match($A771,'Player Raw Data'!$B:$B,0)),"")</f>
        <v/>
      </c>
      <c r="H771" t="str">
        <f t="array" ref="H771">IFERROR(INDEX('Player Raw Data'!J:J,Match($A771,'Player Raw Data'!$B:$B,0)),"")</f>
        <v/>
      </c>
      <c r="I771" t="str">
        <f t="array" ref="I771">IFERROR(INDEX('Player Raw Data'!S:S,Match($A771,'Player Raw Data'!$B:$B,0)),"")</f>
        <v/>
      </c>
      <c r="J771" t="str">
        <f t="array" ref="J771">IFERROR(INDEX('Player Raw Data'!T:T,Match($A771,'Player Raw Data'!$B:$B,0)),"")</f>
        <v/>
      </c>
      <c r="K771" t="str">
        <f t="array" ref="K771">IFERROR(INDEX('Player Raw Data'!X:X,Match($A771,'Player Raw Data'!$B:$B,0)),"")</f>
        <v/>
      </c>
      <c r="L771" t="str">
        <f t="array" ref="L771">IFERROR(INDEX('Player Raw Data'!Y:Y,Match($A771,'Player Raw Data'!$B:$B,0)),"")</f>
        <v/>
      </c>
      <c r="M771" t="str">
        <f t="array" ref="M771">IFERROR(INDEX('Player Raw Data'!Z:Z,Match($A771,'Player Raw Data'!$B:$B,0)),"")</f>
        <v/>
      </c>
      <c r="N771" t="str">
        <f t="array" ref="N771">IFERROR(INDEX('Player Raw Data'!AA:AA,Match($A771,'Player Raw Data'!$B:$B,0)),"")</f>
        <v/>
      </c>
      <c r="O771" t="str">
        <f t="array" ref="O771">IFERROR(INDEX('Player Raw Data'!AB:AB,Match($A771,'Player Raw Data'!$B:$B,0)),"")</f>
        <v/>
      </c>
      <c r="P771" t="str">
        <f t="array" ref="P771">IFERROR(INDEX('Player Raw Data'!AD:AD,Match($A771,'Player Raw Data'!$B:$B,0)),"")</f>
        <v/>
      </c>
      <c r="Q771">
        <f t="shared" si="1"/>
        <v>0</v>
      </c>
      <c r="R771" s="9">
        <f t="shared" si="2"/>
        <v>0</v>
      </c>
      <c r="S771" s="14">
        <f t="shared" si="3"/>
        <v>0</v>
      </c>
      <c r="T771" s="15">
        <f>IFERROR(__xludf.DUMMYFUNCTION("IFERROR(PERCENTRANK.INC(FILTER(Q:Q,$F:$F&lt;&gt;""""),Q771)*100,"""")"),1.5)</f>
        <v>1.5</v>
      </c>
      <c r="U771" s="15">
        <f>IFERROR(__xludf.DUMMYFUNCTION("IFERROR(PERCENTRANK.INC(FILTER(R:R,$F:$F&lt;&gt;""""),R771)*100,"""")"),1.5)</f>
        <v>1.5</v>
      </c>
      <c r="V771" s="15">
        <f>IFERROR(__xludf.DUMMYFUNCTION("IFERROR(PERCENTRANK.INC(FILTER(S:S,$F:$F&lt;&gt;""""),S771)*100,"""")"),1.5)</f>
        <v>1.5</v>
      </c>
      <c r="W771" s="15" t="str">
        <f t="shared" si="4"/>
        <v/>
      </c>
      <c r="X771" s="16"/>
      <c r="Y771" s="9"/>
      <c r="Z771" s="9"/>
    </row>
    <row r="772">
      <c r="B772" t="str">
        <f t="array" ref="B772">IFERROR(INDEX('Player Raw Data'!C:C,Match($A772,'Player Raw Data'!$B:$B,0)),"")</f>
        <v/>
      </c>
      <c r="C772" t="str">
        <f t="array" ref="C772">IFERROR(INDEX('Player Raw Data'!D:D,Match($A772,'Player Raw Data'!$B:$B,0)),"")</f>
        <v/>
      </c>
      <c r="D772" t="str">
        <f t="array" ref="D772">IFERROR(IF(A772=A771, INDEX('Player Raw Data'!E:E,Match($A772,'Player Raw Data'!$B:$B,0)+2),INDEX('Player Raw Data'!E:E,Match($A772,'Player Raw Data'!$B:$B,0))),"")</f>
        <v/>
      </c>
      <c r="E772" t="str">
        <f t="array" ref="E772">IFERROR(INDEX('Player Raw Data'!F:F,Match($A772,'Player Raw Data'!$B:$B,0)),"")</f>
        <v/>
      </c>
      <c r="F772" t="str">
        <f t="array" ref="F772">IFERROR(INDEX('Player Raw Data'!H:H,Match($A772,'Player Raw Data'!$B:$B,0)),"")</f>
        <v/>
      </c>
      <c r="G772" t="str">
        <f t="array" ref="G772">IFERROR(INDEX('Player Raw Data'!I:I,Match($A772,'Player Raw Data'!$B:$B,0)),"")</f>
        <v/>
      </c>
      <c r="H772" t="str">
        <f t="array" ref="H772">IFERROR(INDEX('Player Raw Data'!J:J,Match($A772,'Player Raw Data'!$B:$B,0)),"")</f>
        <v/>
      </c>
      <c r="I772" t="str">
        <f t="array" ref="I772">IFERROR(INDEX('Player Raw Data'!S:S,Match($A772,'Player Raw Data'!$B:$B,0)),"")</f>
        <v/>
      </c>
      <c r="J772" t="str">
        <f t="array" ref="J772">IFERROR(INDEX('Player Raw Data'!T:T,Match($A772,'Player Raw Data'!$B:$B,0)),"")</f>
        <v/>
      </c>
      <c r="K772" t="str">
        <f t="array" ref="K772">IFERROR(INDEX('Player Raw Data'!X:X,Match($A772,'Player Raw Data'!$B:$B,0)),"")</f>
        <v/>
      </c>
      <c r="L772" t="str">
        <f t="array" ref="L772">IFERROR(INDEX('Player Raw Data'!Y:Y,Match($A772,'Player Raw Data'!$B:$B,0)),"")</f>
        <v/>
      </c>
      <c r="M772" t="str">
        <f t="array" ref="M772">IFERROR(INDEX('Player Raw Data'!Z:Z,Match($A772,'Player Raw Data'!$B:$B,0)),"")</f>
        <v/>
      </c>
      <c r="N772" t="str">
        <f t="array" ref="N772">IFERROR(INDEX('Player Raw Data'!AA:AA,Match($A772,'Player Raw Data'!$B:$B,0)),"")</f>
        <v/>
      </c>
      <c r="O772" t="str">
        <f t="array" ref="O772">IFERROR(INDEX('Player Raw Data'!AB:AB,Match($A772,'Player Raw Data'!$B:$B,0)),"")</f>
        <v/>
      </c>
      <c r="P772" t="str">
        <f t="array" ref="P772">IFERROR(INDEX('Player Raw Data'!AD:AD,Match($A772,'Player Raw Data'!$B:$B,0)),"")</f>
        <v/>
      </c>
      <c r="Q772">
        <f t="shared" si="1"/>
        <v>0</v>
      </c>
      <c r="R772" s="9">
        <f t="shared" si="2"/>
        <v>0</v>
      </c>
      <c r="S772" s="14">
        <f t="shared" si="3"/>
        <v>0</v>
      </c>
      <c r="T772" s="15">
        <f>IFERROR(__xludf.DUMMYFUNCTION("IFERROR(PERCENTRANK.INC(FILTER(Q:Q,$F:$F&lt;&gt;""""),Q772)*100,"""")"),1.5)</f>
        <v>1.5</v>
      </c>
      <c r="U772" s="15">
        <f>IFERROR(__xludf.DUMMYFUNCTION("IFERROR(PERCENTRANK.INC(FILTER(R:R,$F:$F&lt;&gt;""""),R772)*100,"""")"),1.5)</f>
        <v>1.5</v>
      </c>
      <c r="V772" s="15">
        <f>IFERROR(__xludf.DUMMYFUNCTION("IFERROR(PERCENTRANK.INC(FILTER(S:S,$F:$F&lt;&gt;""""),S772)*100,"""")"),1.5)</f>
        <v>1.5</v>
      </c>
      <c r="W772" s="15" t="str">
        <f t="shared" si="4"/>
        <v/>
      </c>
      <c r="X772" s="16"/>
      <c r="Y772" s="9"/>
      <c r="Z772" s="9"/>
    </row>
    <row r="773">
      <c r="B773" t="str">
        <f t="array" ref="B773">IFERROR(INDEX('Player Raw Data'!C:C,Match($A773,'Player Raw Data'!$B:$B,0)),"")</f>
        <v/>
      </c>
      <c r="C773" t="str">
        <f t="array" ref="C773">IFERROR(INDEX('Player Raw Data'!D:D,Match($A773,'Player Raw Data'!$B:$B,0)),"")</f>
        <v/>
      </c>
      <c r="D773" t="str">
        <f t="array" ref="D773">IFERROR(IF(A773=A772, INDEX('Player Raw Data'!E:E,Match($A773,'Player Raw Data'!$B:$B,0)+2),INDEX('Player Raw Data'!E:E,Match($A773,'Player Raw Data'!$B:$B,0))),"")</f>
        <v/>
      </c>
      <c r="E773" t="str">
        <f t="array" ref="E773">IFERROR(INDEX('Player Raw Data'!F:F,Match($A773,'Player Raw Data'!$B:$B,0)),"")</f>
        <v/>
      </c>
      <c r="F773" t="str">
        <f t="array" ref="F773">IFERROR(INDEX('Player Raw Data'!H:H,Match($A773,'Player Raw Data'!$B:$B,0)),"")</f>
        <v/>
      </c>
      <c r="G773" t="str">
        <f t="array" ref="G773">IFERROR(INDEX('Player Raw Data'!I:I,Match($A773,'Player Raw Data'!$B:$B,0)),"")</f>
        <v/>
      </c>
      <c r="H773" t="str">
        <f t="array" ref="H773">IFERROR(INDEX('Player Raw Data'!J:J,Match($A773,'Player Raw Data'!$B:$B,0)),"")</f>
        <v/>
      </c>
      <c r="I773" t="str">
        <f t="array" ref="I773">IFERROR(INDEX('Player Raw Data'!S:S,Match($A773,'Player Raw Data'!$B:$B,0)),"")</f>
        <v/>
      </c>
      <c r="J773" t="str">
        <f t="array" ref="J773">IFERROR(INDEX('Player Raw Data'!T:T,Match($A773,'Player Raw Data'!$B:$B,0)),"")</f>
        <v/>
      </c>
      <c r="K773" t="str">
        <f t="array" ref="K773">IFERROR(INDEX('Player Raw Data'!X:X,Match($A773,'Player Raw Data'!$B:$B,0)),"")</f>
        <v/>
      </c>
      <c r="L773" t="str">
        <f t="array" ref="L773">IFERROR(INDEX('Player Raw Data'!Y:Y,Match($A773,'Player Raw Data'!$B:$B,0)),"")</f>
        <v/>
      </c>
      <c r="M773" t="str">
        <f t="array" ref="M773">IFERROR(INDEX('Player Raw Data'!Z:Z,Match($A773,'Player Raw Data'!$B:$B,0)),"")</f>
        <v/>
      </c>
      <c r="N773" t="str">
        <f t="array" ref="N773">IFERROR(INDEX('Player Raw Data'!AA:AA,Match($A773,'Player Raw Data'!$B:$B,0)),"")</f>
        <v/>
      </c>
      <c r="O773" t="str">
        <f t="array" ref="O773">IFERROR(INDEX('Player Raw Data'!AB:AB,Match($A773,'Player Raw Data'!$B:$B,0)),"")</f>
        <v/>
      </c>
      <c r="P773" t="str">
        <f t="array" ref="P773">IFERROR(INDEX('Player Raw Data'!AD:AD,Match($A773,'Player Raw Data'!$B:$B,0)),"")</f>
        <v/>
      </c>
      <c r="Q773">
        <f t="shared" si="1"/>
        <v>0</v>
      </c>
      <c r="R773" s="9">
        <f t="shared" si="2"/>
        <v>0</v>
      </c>
      <c r="S773" s="14">
        <f t="shared" si="3"/>
        <v>0</v>
      </c>
      <c r="T773" s="15">
        <f>IFERROR(__xludf.DUMMYFUNCTION("IFERROR(PERCENTRANK.INC(FILTER(Q:Q,$F:$F&lt;&gt;""""),Q773)*100,"""")"),1.5)</f>
        <v>1.5</v>
      </c>
      <c r="U773" s="15">
        <f>IFERROR(__xludf.DUMMYFUNCTION("IFERROR(PERCENTRANK.INC(FILTER(R:R,$F:$F&lt;&gt;""""),R773)*100,"""")"),1.5)</f>
        <v>1.5</v>
      </c>
      <c r="V773" s="15">
        <f>IFERROR(__xludf.DUMMYFUNCTION("IFERROR(PERCENTRANK.INC(FILTER(S:S,$F:$F&lt;&gt;""""),S773)*100,"""")"),1.5)</f>
        <v>1.5</v>
      </c>
      <c r="W773" s="15" t="str">
        <f t="shared" si="4"/>
        <v/>
      </c>
      <c r="X773" s="16"/>
      <c r="Y773" s="9"/>
      <c r="Z773" s="9"/>
    </row>
    <row r="774">
      <c r="B774" t="str">
        <f t="array" ref="B774">IFERROR(INDEX('Player Raw Data'!C:C,Match($A774,'Player Raw Data'!$B:$B,0)),"")</f>
        <v/>
      </c>
      <c r="C774" t="str">
        <f t="array" ref="C774">IFERROR(INDEX('Player Raw Data'!D:D,Match($A774,'Player Raw Data'!$B:$B,0)),"")</f>
        <v/>
      </c>
      <c r="D774" t="str">
        <f t="array" ref="D774">IFERROR(IF(A774=A773, INDEX('Player Raw Data'!E:E,Match($A774,'Player Raw Data'!$B:$B,0)+2),INDEX('Player Raw Data'!E:E,Match($A774,'Player Raw Data'!$B:$B,0))),"")</f>
        <v/>
      </c>
      <c r="E774" t="str">
        <f t="array" ref="E774">IFERROR(INDEX('Player Raw Data'!F:F,Match($A774,'Player Raw Data'!$B:$B,0)),"")</f>
        <v/>
      </c>
      <c r="F774" t="str">
        <f t="array" ref="F774">IFERROR(INDEX('Player Raw Data'!H:H,Match($A774,'Player Raw Data'!$B:$B,0)),"")</f>
        <v/>
      </c>
      <c r="G774" t="str">
        <f t="array" ref="G774">IFERROR(INDEX('Player Raw Data'!I:I,Match($A774,'Player Raw Data'!$B:$B,0)),"")</f>
        <v/>
      </c>
      <c r="H774" t="str">
        <f t="array" ref="H774">IFERROR(INDEX('Player Raw Data'!J:J,Match($A774,'Player Raw Data'!$B:$B,0)),"")</f>
        <v/>
      </c>
      <c r="I774" t="str">
        <f t="array" ref="I774">IFERROR(INDEX('Player Raw Data'!S:S,Match($A774,'Player Raw Data'!$B:$B,0)),"")</f>
        <v/>
      </c>
      <c r="J774" t="str">
        <f t="array" ref="J774">IFERROR(INDEX('Player Raw Data'!T:T,Match($A774,'Player Raw Data'!$B:$B,0)),"")</f>
        <v/>
      </c>
      <c r="K774" t="str">
        <f t="array" ref="K774">IFERROR(INDEX('Player Raw Data'!X:X,Match($A774,'Player Raw Data'!$B:$B,0)),"")</f>
        <v/>
      </c>
      <c r="L774" t="str">
        <f t="array" ref="L774">IFERROR(INDEX('Player Raw Data'!Y:Y,Match($A774,'Player Raw Data'!$B:$B,0)),"")</f>
        <v/>
      </c>
      <c r="M774" t="str">
        <f t="array" ref="M774">IFERROR(INDEX('Player Raw Data'!Z:Z,Match($A774,'Player Raw Data'!$B:$B,0)),"")</f>
        <v/>
      </c>
      <c r="N774" t="str">
        <f t="array" ref="N774">IFERROR(INDEX('Player Raw Data'!AA:AA,Match($A774,'Player Raw Data'!$B:$B,0)),"")</f>
        <v/>
      </c>
      <c r="O774" t="str">
        <f t="array" ref="O774">IFERROR(INDEX('Player Raw Data'!AB:AB,Match($A774,'Player Raw Data'!$B:$B,0)),"")</f>
        <v/>
      </c>
      <c r="P774" t="str">
        <f t="array" ref="P774">IFERROR(INDEX('Player Raw Data'!AD:AD,Match($A774,'Player Raw Data'!$B:$B,0)),"")</f>
        <v/>
      </c>
      <c r="Q774">
        <f t="shared" si="1"/>
        <v>0</v>
      </c>
      <c r="R774" s="9">
        <f t="shared" si="2"/>
        <v>0</v>
      </c>
      <c r="S774" s="14">
        <f t="shared" si="3"/>
        <v>0</v>
      </c>
      <c r="T774" s="15">
        <f>IFERROR(__xludf.DUMMYFUNCTION("IFERROR(PERCENTRANK.INC(FILTER(Q:Q,$F:$F&lt;&gt;""""),Q774)*100,"""")"),1.5)</f>
        <v>1.5</v>
      </c>
      <c r="U774" s="15">
        <f>IFERROR(__xludf.DUMMYFUNCTION("IFERROR(PERCENTRANK.INC(FILTER(R:R,$F:$F&lt;&gt;""""),R774)*100,"""")"),1.5)</f>
        <v>1.5</v>
      </c>
      <c r="V774" s="15">
        <f>IFERROR(__xludf.DUMMYFUNCTION("IFERROR(PERCENTRANK.INC(FILTER(S:S,$F:$F&lt;&gt;""""),S774)*100,"""")"),1.5)</f>
        <v>1.5</v>
      </c>
      <c r="W774" s="15" t="str">
        <f t="shared" si="4"/>
        <v/>
      </c>
      <c r="X774" s="16"/>
      <c r="Y774" s="9"/>
      <c r="Z774" s="9"/>
    </row>
    <row r="775">
      <c r="B775" t="str">
        <f t="array" ref="B775">IFERROR(INDEX('Player Raw Data'!C:C,Match($A775,'Player Raw Data'!$B:$B,0)),"")</f>
        <v/>
      </c>
      <c r="C775" t="str">
        <f t="array" ref="C775">IFERROR(INDEX('Player Raw Data'!D:D,Match($A775,'Player Raw Data'!$B:$B,0)),"")</f>
        <v/>
      </c>
      <c r="D775" t="str">
        <f t="array" ref="D775">IFERROR(IF(A775=A774, INDEX('Player Raw Data'!E:E,Match($A775,'Player Raw Data'!$B:$B,0)+2),INDEX('Player Raw Data'!E:E,Match($A775,'Player Raw Data'!$B:$B,0))),"")</f>
        <v/>
      </c>
      <c r="E775" t="str">
        <f t="array" ref="E775">IFERROR(INDEX('Player Raw Data'!F:F,Match($A775,'Player Raw Data'!$B:$B,0)),"")</f>
        <v/>
      </c>
      <c r="F775" t="str">
        <f t="array" ref="F775">IFERROR(INDEX('Player Raw Data'!H:H,Match($A775,'Player Raw Data'!$B:$B,0)),"")</f>
        <v/>
      </c>
      <c r="G775" t="str">
        <f t="array" ref="G775">IFERROR(INDEX('Player Raw Data'!I:I,Match($A775,'Player Raw Data'!$B:$B,0)),"")</f>
        <v/>
      </c>
      <c r="H775" t="str">
        <f t="array" ref="H775">IFERROR(INDEX('Player Raw Data'!J:J,Match($A775,'Player Raw Data'!$B:$B,0)),"")</f>
        <v/>
      </c>
      <c r="I775" t="str">
        <f t="array" ref="I775">IFERROR(INDEX('Player Raw Data'!S:S,Match($A775,'Player Raw Data'!$B:$B,0)),"")</f>
        <v/>
      </c>
      <c r="J775" t="str">
        <f t="array" ref="J775">IFERROR(INDEX('Player Raw Data'!T:T,Match($A775,'Player Raw Data'!$B:$B,0)),"")</f>
        <v/>
      </c>
      <c r="K775" t="str">
        <f t="array" ref="K775">IFERROR(INDEX('Player Raw Data'!X:X,Match($A775,'Player Raw Data'!$B:$B,0)),"")</f>
        <v/>
      </c>
      <c r="L775" t="str">
        <f t="array" ref="L775">IFERROR(INDEX('Player Raw Data'!Y:Y,Match($A775,'Player Raw Data'!$B:$B,0)),"")</f>
        <v/>
      </c>
      <c r="M775" t="str">
        <f t="array" ref="M775">IFERROR(INDEX('Player Raw Data'!Z:Z,Match($A775,'Player Raw Data'!$B:$B,0)),"")</f>
        <v/>
      </c>
      <c r="N775" t="str">
        <f t="array" ref="N775">IFERROR(INDEX('Player Raw Data'!AA:AA,Match($A775,'Player Raw Data'!$B:$B,0)),"")</f>
        <v/>
      </c>
      <c r="O775" t="str">
        <f t="array" ref="O775">IFERROR(INDEX('Player Raw Data'!AB:AB,Match($A775,'Player Raw Data'!$B:$B,0)),"")</f>
        <v/>
      </c>
      <c r="P775" t="str">
        <f t="array" ref="P775">IFERROR(INDEX('Player Raw Data'!AD:AD,Match($A775,'Player Raw Data'!$B:$B,0)),"")</f>
        <v/>
      </c>
      <c r="Q775">
        <f t="shared" si="1"/>
        <v>0</v>
      </c>
      <c r="R775" s="9">
        <f t="shared" si="2"/>
        <v>0</v>
      </c>
      <c r="S775" s="14">
        <f t="shared" si="3"/>
        <v>0</v>
      </c>
      <c r="T775" s="15">
        <f>IFERROR(__xludf.DUMMYFUNCTION("IFERROR(PERCENTRANK.INC(FILTER(Q:Q,$F:$F&lt;&gt;""""),Q775)*100,"""")"),1.5)</f>
        <v>1.5</v>
      </c>
      <c r="U775" s="15">
        <f>IFERROR(__xludf.DUMMYFUNCTION("IFERROR(PERCENTRANK.INC(FILTER(R:R,$F:$F&lt;&gt;""""),R775)*100,"""")"),1.5)</f>
        <v>1.5</v>
      </c>
      <c r="V775" s="15">
        <f>IFERROR(__xludf.DUMMYFUNCTION("IFERROR(PERCENTRANK.INC(FILTER(S:S,$F:$F&lt;&gt;""""),S775)*100,"""")"),1.5)</f>
        <v>1.5</v>
      </c>
      <c r="W775" s="15" t="str">
        <f t="shared" si="4"/>
        <v/>
      </c>
      <c r="X775" s="16"/>
      <c r="Y775" s="9"/>
      <c r="Z775" s="9"/>
    </row>
    <row r="776">
      <c r="B776" t="str">
        <f t="array" ref="B776">IFERROR(INDEX('Player Raw Data'!C:C,Match($A776,'Player Raw Data'!$B:$B,0)),"")</f>
        <v/>
      </c>
      <c r="C776" t="str">
        <f t="array" ref="C776">IFERROR(INDEX('Player Raw Data'!D:D,Match($A776,'Player Raw Data'!$B:$B,0)),"")</f>
        <v/>
      </c>
      <c r="D776" t="str">
        <f t="array" ref="D776">IFERROR(IF(A776=A775, INDEX('Player Raw Data'!E:E,Match($A776,'Player Raw Data'!$B:$B,0)+2),INDEX('Player Raw Data'!E:E,Match($A776,'Player Raw Data'!$B:$B,0))),"")</f>
        <v/>
      </c>
      <c r="E776" t="str">
        <f t="array" ref="E776">IFERROR(INDEX('Player Raw Data'!F:F,Match($A776,'Player Raw Data'!$B:$B,0)),"")</f>
        <v/>
      </c>
      <c r="F776" t="str">
        <f t="array" ref="F776">IFERROR(INDEX('Player Raw Data'!H:H,Match($A776,'Player Raw Data'!$B:$B,0)),"")</f>
        <v/>
      </c>
      <c r="G776" t="str">
        <f t="array" ref="G776">IFERROR(INDEX('Player Raw Data'!I:I,Match($A776,'Player Raw Data'!$B:$B,0)),"")</f>
        <v/>
      </c>
      <c r="H776" t="str">
        <f t="array" ref="H776">IFERROR(INDEX('Player Raw Data'!J:J,Match($A776,'Player Raw Data'!$B:$B,0)),"")</f>
        <v/>
      </c>
      <c r="I776" t="str">
        <f t="array" ref="I776">IFERROR(INDEX('Player Raw Data'!S:S,Match($A776,'Player Raw Data'!$B:$B,0)),"")</f>
        <v/>
      </c>
      <c r="J776" t="str">
        <f t="array" ref="J776">IFERROR(INDEX('Player Raw Data'!T:T,Match($A776,'Player Raw Data'!$B:$B,0)),"")</f>
        <v/>
      </c>
      <c r="K776" t="str">
        <f t="array" ref="K776">IFERROR(INDEX('Player Raw Data'!X:X,Match($A776,'Player Raw Data'!$B:$B,0)),"")</f>
        <v/>
      </c>
      <c r="L776" t="str">
        <f t="array" ref="L776">IFERROR(INDEX('Player Raw Data'!Y:Y,Match($A776,'Player Raw Data'!$B:$B,0)),"")</f>
        <v/>
      </c>
      <c r="M776" t="str">
        <f t="array" ref="M776">IFERROR(INDEX('Player Raw Data'!Z:Z,Match($A776,'Player Raw Data'!$B:$B,0)),"")</f>
        <v/>
      </c>
      <c r="N776" t="str">
        <f t="array" ref="N776">IFERROR(INDEX('Player Raw Data'!AA:AA,Match($A776,'Player Raw Data'!$B:$B,0)),"")</f>
        <v/>
      </c>
      <c r="O776" t="str">
        <f t="array" ref="O776">IFERROR(INDEX('Player Raw Data'!AB:AB,Match($A776,'Player Raw Data'!$B:$B,0)),"")</f>
        <v/>
      </c>
      <c r="P776" t="str">
        <f t="array" ref="P776">IFERROR(INDEX('Player Raw Data'!AD:AD,Match($A776,'Player Raw Data'!$B:$B,0)),"")</f>
        <v/>
      </c>
      <c r="Q776">
        <f t="shared" si="1"/>
        <v>0</v>
      </c>
      <c r="R776" s="9">
        <f t="shared" si="2"/>
        <v>0</v>
      </c>
      <c r="S776" s="14">
        <f t="shared" si="3"/>
        <v>0</v>
      </c>
      <c r="T776" s="15">
        <f>IFERROR(__xludf.DUMMYFUNCTION("IFERROR(PERCENTRANK.INC(FILTER(Q:Q,$F:$F&lt;&gt;""""),Q776)*100,"""")"),1.5)</f>
        <v>1.5</v>
      </c>
      <c r="U776" s="15">
        <f>IFERROR(__xludf.DUMMYFUNCTION("IFERROR(PERCENTRANK.INC(FILTER(R:R,$F:$F&lt;&gt;""""),R776)*100,"""")"),1.5)</f>
        <v>1.5</v>
      </c>
      <c r="V776" s="15">
        <f>IFERROR(__xludf.DUMMYFUNCTION("IFERROR(PERCENTRANK.INC(FILTER(S:S,$F:$F&lt;&gt;""""),S776)*100,"""")"),1.5)</f>
        <v>1.5</v>
      </c>
      <c r="W776" s="15" t="str">
        <f t="shared" si="4"/>
        <v/>
      </c>
      <c r="X776" s="16"/>
      <c r="Y776" s="9"/>
      <c r="Z776" s="9"/>
    </row>
    <row r="777">
      <c r="B777" t="str">
        <f t="array" ref="B777">IFERROR(INDEX('Player Raw Data'!C:C,Match($A777,'Player Raw Data'!$B:$B,0)),"")</f>
        <v/>
      </c>
      <c r="C777" t="str">
        <f t="array" ref="C777">IFERROR(INDEX('Player Raw Data'!D:D,Match($A777,'Player Raw Data'!$B:$B,0)),"")</f>
        <v/>
      </c>
      <c r="D777" t="str">
        <f t="array" ref="D777">IFERROR(IF(A777=A776, INDEX('Player Raw Data'!E:E,Match($A777,'Player Raw Data'!$B:$B,0)+2),INDEX('Player Raw Data'!E:E,Match($A777,'Player Raw Data'!$B:$B,0))),"")</f>
        <v/>
      </c>
      <c r="E777" t="str">
        <f t="array" ref="E777">IFERROR(INDEX('Player Raw Data'!F:F,Match($A777,'Player Raw Data'!$B:$B,0)),"")</f>
        <v/>
      </c>
      <c r="F777" t="str">
        <f t="array" ref="F777">IFERROR(INDEX('Player Raw Data'!H:H,Match($A777,'Player Raw Data'!$B:$B,0)),"")</f>
        <v/>
      </c>
      <c r="G777" t="str">
        <f t="array" ref="G777">IFERROR(INDEX('Player Raw Data'!I:I,Match($A777,'Player Raw Data'!$B:$B,0)),"")</f>
        <v/>
      </c>
      <c r="H777" t="str">
        <f t="array" ref="H777">IFERROR(INDEX('Player Raw Data'!J:J,Match($A777,'Player Raw Data'!$B:$B,0)),"")</f>
        <v/>
      </c>
      <c r="I777" t="str">
        <f t="array" ref="I777">IFERROR(INDEX('Player Raw Data'!S:S,Match($A777,'Player Raw Data'!$B:$B,0)),"")</f>
        <v/>
      </c>
      <c r="J777" t="str">
        <f t="array" ref="J777">IFERROR(INDEX('Player Raw Data'!T:T,Match($A777,'Player Raw Data'!$B:$B,0)),"")</f>
        <v/>
      </c>
      <c r="K777" t="str">
        <f t="array" ref="K777">IFERROR(INDEX('Player Raw Data'!X:X,Match($A777,'Player Raw Data'!$B:$B,0)),"")</f>
        <v/>
      </c>
      <c r="L777" t="str">
        <f t="array" ref="L777">IFERROR(INDEX('Player Raw Data'!Y:Y,Match($A777,'Player Raw Data'!$B:$B,0)),"")</f>
        <v/>
      </c>
      <c r="M777" t="str">
        <f t="array" ref="M777">IFERROR(INDEX('Player Raw Data'!Z:Z,Match($A777,'Player Raw Data'!$B:$B,0)),"")</f>
        <v/>
      </c>
      <c r="N777" t="str">
        <f t="array" ref="N777">IFERROR(INDEX('Player Raw Data'!AA:AA,Match($A777,'Player Raw Data'!$B:$B,0)),"")</f>
        <v/>
      </c>
      <c r="O777" t="str">
        <f t="array" ref="O777">IFERROR(INDEX('Player Raw Data'!AB:AB,Match($A777,'Player Raw Data'!$B:$B,0)),"")</f>
        <v/>
      </c>
      <c r="P777" t="str">
        <f t="array" ref="P777">IFERROR(INDEX('Player Raw Data'!AD:AD,Match($A777,'Player Raw Data'!$B:$B,0)),"")</f>
        <v/>
      </c>
      <c r="Q777">
        <f t="shared" si="1"/>
        <v>0</v>
      </c>
      <c r="R777" s="9">
        <f t="shared" si="2"/>
        <v>0</v>
      </c>
      <c r="S777" s="14">
        <f t="shared" si="3"/>
        <v>0</v>
      </c>
      <c r="T777" s="15">
        <f>IFERROR(__xludf.DUMMYFUNCTION("IFERROR(PERCENTRANK.INC(FILTER(Q:Q,$F:$F&lt;&gt;""""),Q777)*100,"""")"),1.5)</f>
        <v>1.5</v>
      </c>
      <c r="U777" s="15">
        <f>IFERROR(__xludf.DUMMYFUNCTION("IFERROR(PERCENTRANK.INC(FILTER(R:R,$F:$F&lt;&gt;""""),R777)*100,"""")"),1.5)</f>
        <v>1.5</v>
      </c>
      <c r="V777" s="15">
        <f>IFERROR(__xludf.DUMMYFUNCTION("IFERROR(PERCENTRANK.INC(FILTER(S:S,$F:$F&lt;&gt;""""),S777)*100,"""")"),1.5)</f>
        <v>1.5</v>
      </c>
      <c r="W777" s="15" t="str">
        <f t="shared" si="4"/>
        <v/>
      </c>
      <c r="X777" s="16"/>
      <c r="Y777" s="9"/>
      <c r="Z777" s="9"/>
    </row>
    <row r="778">
      <c r="B778" t="str">
        <f t="array" ref="B778">IFERROR(INDEX('Player Raw Data'!C:C,Match($A778,'Player Raw Data'!$B:$B,0)),"")</f>
        <v/>
      </c>
      <c r="C778" t="str">
        <f t="array" ref="C778">IFERROR(INDEX('Player Raw Data'!D:D,Match($A778,'Player Raw Data'!$B:$B,0)),"")</f>
        <v/>
      </c>
      <c r="D778" t="str">
        <f t="array" ref="D778">IFERROR(IF(A778=A777, INDEX('Player Raw Data'!E:E,Match($A778,'Player Raw Data'!$B:$B,0)+2),INDEX('Player Raw Data'!E:E,Match($A778,'Player Raw Data'!$B:$B,0))),"")</f>
        <v/>
      </c>
      <c r="E778" t="str">
        <f t="array" ref="E778">IFERROR(INDEX('Player Raw Data'!F:F,Match($A778,'Player Raw Data'!$B:$B,0)),"")</f>
        <v/>
      </c>
      <c r="F778" t="str">
        <f t="array" ref="F778">IFERROR(INDEX('Player Raw Data'!H:H,Match($A778,'Player Raw Data'!$B:$B,0)),"")</f>
        <v/>
      </c>
      <c r="G778" t="str">
        <f t="array" ref="G778">IFERROR(INDEX('Player Raw Data'!I:I,Match($A778,'Player Raw Data'!$B:$B,0)),"")</f>
        <v/>
      </c>
      <c r="H778" t="str">
        <f t="array" ref="H778">IFERROR(INDEX('Player Raw Data'!J:J,Match($A778,'Player Raw Data'!$B:$B,0)),"")</f>
        <v/>
      </c>
      <c r="I778" t="str">
        <f t="array" ref="I778">IFERROR(INDEX('Player Raw Data'!S:S,Match($A778,'Player Raw Data'!$B:$B,0)),"")</f>
        <v/>
      </c>
      <c r="J778" t="str">
        <f t="array" ref="J778">IFERROR(INDEX('Player Raw Data'!T:T,Match($A778,'Player Raw Data'!$B:$B,0)),"")</f>
        <v/>
      </c>
      <c r="K778" t="str">
        <f t="array" ref="K778">IFERROR(INDEX('Player Raw Data'!X:X,Match($A778,'Player Raw Data'!$B:$B,0)),"")</f>
        <v/>
      </c>
      <c r="L778" t="str">
        <f t="array" ref="L778">IFERROR(INDEX('Player Raw Data'!Y:Y,Match($A778,'Player Raw Data'!$B:$B,0)),"")</f>
        <v/>
      </c>
      <c r="M778" t="str">
        <f t="array" ref="M778">IFERROR(INDEX('Player Raw Data'!Z:Z,Match($A778,'Player Raw Data'!$B:$B,0)),"")</f>
        <v/>
      </c>
      <c r="N778" t="str">
        <f t="array" ref="N778">IFERROR(INDEX('Player Raw Data'!AA:AA,Match($A778,'Player Raw Data'!$B:$B,0)),"")</f>
        <v/>
      </c>
      <c r="O778" t="str">
        <f t="array" ref="O778">IFERROR(INDEX('Player Raw Data'!AB:AB,Match($A778,'Player Raw Data'!$B:$B,0)),"")</f>
        <v/>
      </c>
      <c r="P778" t="str">
        <f t="array" ref="P778">IFERROR(INDEX('Player Raw Data'!AD:AD,Match($A778,'Player Raw Data'!$B:$B,0)),"")</f>
        <v/>
      </c>
      <c r="Q778">
        <f t="shared" si="1"/>
        <v>0</v>
      </c>
      <c r="R778" s="9">
        <f t="shared" si="2"/>
        <v>0</v>
      </c>
      <c r="S778" s="14">
        <f t="shared" si="3"/>
        <v>0</v>
      </c>
      <c r="T778" s="15">
        <f>IFERROR(__xludf.DUMMYFUNCTION("IFERROR(PERCENTRANK.INC(FILTER(Q:Q,$F:$F&lt;&gt;""""),Q778)*100,"""")"),1.5)</f>
        <v>1.5</v>
      </c>
      <c r="U778" s="15">
        <f>IFERROR(__xludf.DUMMYFUNCTION("IFERROR(PERCENTRANK.INC(FILTER(R:R,$F:$F&lt;&gt;""""),R778)*100,"""")"),1.5)</f>
        <v>1.5</v>
      </c>
      <c r="V778" s="15">
        <f>IFERROR(__xludf.DUMMYFUNCTION("IFERROR(PERCENTRANK.INC(FILTER(S:S,$F:$F&lt;&gt;""""),S778)*100,"""")"),1.5)</f>
        <v>1.5</v>
      </c>
      <c r="W778" s="15" t="str">
        <f t="shared" si="4"/>
        <v/>
      </c>
      <c r="X778" s="16"/>
      <c r="Y778" s="9"/>
      <c r="Z778" s="9"/>
    </row>
    <row r="779">
      <c r="B779" t="str">
        <f t="array" ref="B779">IFERROR(INDEX('Player Raw Data'!C:C,Match($A779,'Player Raw Data'!$B:$B,0)),"")</f>
        <v/>
      </c>
      <c r="C779" t="str">
        <f t="array" ref="C779">IFERROR(INDEX('Player Raw Data'!D:D,Match($A779,'Player Raw Data'!$B:$B,0)),"")</f>
        <v/>
      </c>
      <c r="D779" t="str">
        <f t="array" ref="D779">IFERROR(IF(A779=A778, INDEX('Player Raw Data'!E:E,Match($A779,'Player Raw Data'!$B:$B,0)+2),INDEX('Player Raw Data'!E:E,Match($A779,'Player Raw Data'!$B:$B,0))),"")</f>
        <v/>
      </c>
      <c r="E779" t="str">
        <f t="array" ref="E779">IFERROR(INDEX('Player Raw Data'!F:F,Match($A779,'Player Raw Data'!$B:$B,0)),"")</f>
        <v/>
      </c>
      <c r="F779" t="str">
        <f t="array" ref="F779">IFERROR(INDEX('Player Raw Data'!H:H,Match($A779,'Player Raw Data'!$B:$B,0)),"")</f>
        <v/>
      </c>
      <c r="G779" t="str">
        <f t="array" ref="G779">IFERROR(INDEX('Player Raw Data'!I:I,Match($A779,'Player Raw Data'!$B:$B,0)),"")</f>
        <v/>
      </c>
      <c r="H779" t="str">
        <f t="array" ref="H779">IFERROR(INDEX('Player Raw Data'!J:J,Match($A779,'Player Raw Data'!$B:$B,0)),"")</f>
        <v/>
      </c>
      <c r="I779" t="str">
        <f t="array" ref="I779">IFERROR(INDEX('Player Raw Data'!S:S,Match($A779,'Player Raw Data'!$B:$B,0)),"")</f>
        <v/>
      </c>
      <c r="J779" t="str">
        <f t="array" ref="J779">IFERROR(INDEX('Player Raw Data'!T:T,Match($A779,'Player Raw Data'!$B:$B,0)),"")</f>
        <v/>
      </c>
      <c r="K779" t="str">
        <f t="array" ref="K779">IFERROR(INDEX('Player Raw Data'!X:X,Match($A779,'Player Raw Data'!$B:$B,0)),"")</f>
        <v/>
      </c>
      <c r="L779" t="str">
        <f t="array" ref="L779">IFERROR(INDEX('Player Raw Data'!Y:Y,Match($A779,'Player Raw Data'!$B:$B,0)),"")</f>
        <v/>
      </c>
      <c r="M779" t="str">
        <f t="array" ref="M779">IFERROR(INDEX('Player Raw Data'!Z:Z,Match($A779,'Player Raw Data'!$B:$B,0)),"")</f>
        <v/>
      </c>
      <c r="N779" t="str">
        <f t="array" ref="N779">IFERROR(INDEX('Player Raw Data'!AA:AA,Match($A779,'Player Raw Data'!$B:$B,0)),"")</f>
        <v/>
      </c>
      <c r="O779" t="str">
        <f t="array" ref="O779">IFERROR(INDEX('Player Raw Data'!AB:AB,Match($A779,'Player Raw Data'!$B:$B,0)),"")</f>
        <v/>
      </c>
      <c r="P779" t="str">
        <f t="array" ref="P779">IFERROR(INDEX('Player Raw Data'!AD:AD,Match($A779,'Player Raw Data'!$B:$B,0)),"")</f>
        <v/>
      </c>
      <c r="Q779">
        <f t="shared" si="1"/>
        <v>0</v>
      </c>
      <c r="R779" s="9">
        <f t="shared" si="2"/>
        <v>0</v>
      </c>
      <c r="S779" s="14">
        <f t="shared" si="3"/>
        <v>0</v>
      </c>
      <c r="T779" s="15">
        <f>IFERROR(__xludf.DUMMYFUNCTION("IFERROR(PERCENTRANK.INC(FILTER(Q:Q,$F:$F&lt;&gt;""""),Q779)*100,"""")"),1.5)</f>
        <v>1.5</v>
      </c>
      <c r="U779" s="15">
        <f>IFERROR(__xludf.DUMMYFUNCTION("IFERROR(PERCENTRANK.INC(FILTER(R:R,$F:$F&lt;&gt;""""),R779)*100,"""")"),1.5)</f>
        <v>1.5</v>
      </c>
      <c r="V779" s="15">
        <f>IFERROR(__xludf.DUMMYFUNCTION("IFERROR(PERCENTRANK.INC(FILTER(S:S,$F:$F&lt;&gt;""""),S779)*100,"""")"),1.5)</f>
        <v>1.5</v>
      </c>
      <c r="W779" s="15" t="str">
        <f t="shared" si="4"/>
        <v/>
      </c>
      <c r="X779" s="16"/>
      <c r="Y779" s="9"/>
      <c r="Z779" s="9"/>
    </row>
    <row r="780">
      <c r="B780" t="str">
        <f t="array" ref="B780">IFERROR(INDEX('Player Raw Data'!C:C,Match($A780,'Player Raw Data'!$B:$B,0)),"")</f>
        <v/>
      </c>
      <c r="C780" t="str">
        <f t="array" ref="C780">IFERROR(INDEX('Player Raw Data'!D:D,Match($A780,'Player Raw Data'!$B:$B,0)),"")</f>
        <v/>
      </c>
      <c r="D780" t="str">
        <f t="array" ref="D780">IFERROR(IF(A780=A779, INDEX('Player Raw Data'!E:E,Match($A780,'Player Raw Data'!$B:$B,0)+2),INDEX('Player Raw Data'!E:E,Match($A780,'Player Raw Data'!$B:$B,0))),"")</f>
        <v/>
      </c>
      <c r="E780" t="str">
        <f t="array" ref="E780">IFERROR(INDEX('Player Raw Data'!F:F,Match($A780,'Player Raw Data'!$B:$B,0)),"")</f>
        <v/>
      </c>
      <c r="F780" t="str">
        <f t="array" ref="F780">IFERROR(INDEX('Player Raw Data'!H:H,Match($A780,'Player Raw Data'!$B:$B,0)),"")</f>
        <v/>
      </c>
      <c r="G780" t="str">
        <f t="array" ref="G780">IFERROR(INDEX('Player Raw Data'!I:I,Match($A780,'Player Raw Data'!$B:$B,0)),"")</f>
        <v/>
      </c>
      <c r="H780" t="str">
        <f t="array" ref="H780">IFERROR(INDEX('Player Raw Data'!J:J,Match($A780,'Player Raw Data'!$B:$B,0)),"")</f>
        <v/>
      </c>
      <c r="I780" t="str">
        <f t="array" ref="I780">IFERROR(INDEX('Player Raw Data'!S:S,Match($A780,'Player Raw Data'!$B:$B,0)),"")</f>
        <v/>
      </c>
      <c r="J780" t="str">
        <f t="array" ref="J780">IFERROR(INDEX('Player Raw Data'!T:T,Match($A780,'Player Raw Data'!$B:$B,0)),"")</f>
        <v/>
      </c>
      <c r="K780" t="str">
        <f t="array" ref="K780">IFERROR(INDEX('Player Raw Data'!X:X,Match($A780,'Player Raw Data'!$B:$B,0)),"")</f>
        <v/>
      </c>
      <c r="L780" t="str">
        <f t="array" ref="L780">IFERROR(INDEX('Player Raw Data'!Y:Y,Match($A780,'Player Raw Data'!$B:$B,0)),"")</f>
        <v/>
      </c>
      <c r="M780" t="str">
        <f t="array" ref="M780">IFERROR(INDEX('Player Raw Data'!Z:Z,Match($A780,'Player Raw Data'!$B:$B,0)),"")</f>
        <v/>
      </c>
      <c r="N780" t="str">
        <f t="array" ref="N780">IFERROR(INDEX('Player Raw Data'!AA:AA,Match($A780,'Player Raw Data'!$B:$B,0)),"")</f>
        <v/>
      </c>
      <c r="O780" t="str">
        <f t="array" ref="O780">IFERROR(INDEX('Player Raw Data'!AB:AB,Match($A780,'Player Raw Data'!$B:$B,0)),"")</f>
        <v/>
      </c>
      <c r="P780" t="str">
        <f t="array" ref="P780">IFERROR(INDEX('Player Raw Data'!AD:AD,Match($A780,'Player Raw Data'!$B:$B,0)),"")</f>
        <v/>
      </c>
      <c r="Q780">
        <f t="shared" si="1"/>
        <v>0</v>
      </c>
      <c r="R780" s="9">
        <f t="shared" si="2"/>
        <v>0</v>
      </c>
      <c r="S780" s="14">
        <f t="shared" si="3"/>
        <v>0</v>
      </c>
      <c r="T780" s="15">
        <f>IFERROR(__xludf.DUMMYFUNCTION("IFERROR(PERCENTRANK.INC(FILTER(Q:Q,$F:$F&lt;&gt;""""),Q780)*100,"""")"),1.5)</f>
        <v>1.5</v>
      </c>
      <c r="U780" s="15">
        <f>IFERROR(__xludf.DUMMYFUNCTION("IFERROR(PERCENTRANK.INC(FILTER(R:R,$F:$F&lt;&gt;""""),R780)*100,"""")"),1.5)</f>
        <v>1.5</v>
      </c>
      <c r="V780" s="15">
        <f>IFERROR(__xludf.DUMMYFUNCTION("IFERROR(PERCENTRANK.INC(FILTER(S:S,$F:$F&lt;&gt;""""),S780)*100,"""")"),1.5)</f>
        <v>1.5</v>
      </c>
      <c r="W780" s="15" t="str">
        <f t="shared" si="4"/>
        <v/>
      </c>
      <c r="X780" s="16"/>
      <c r="Y780" s="9"/>
      <c r="Z780" s="9"/>
    </row>
    <row r="781">
      <c r="B781" t="str">
        <f t="array" ref="B781">IFERROR(INDEX('Player Raw Data'!C:C,Match($A781,'Player Raw Data'!$B:$B,0)),"")</f>
        <v/>
      </c>
      <c r="C781" t="str">
        <f t="array" ref="C781">IFERROR(INDEX('Player Raw Data'!D:D,Match($A781,'Player Raw Data'!$B:$B,0)),"")</f>
        <v/>
      </c>
      <c r="D781" t="str">
        <f t="array" ref="D781">IFERROR(IF(A781=A780, INDEX('Player Raw Data'!E:E,Match($A781,'Player Raw Data'!$B:$B,0)+2),INDEX('Player Raw Data'!E:E,Match($A781,'Player Raw Data'!$B:$B,0))),"")</f>
        <v/>
      </c>
      <c r="E781" t="str">
        <f t="array" ref="E781">IFERROR(INDEX('Player Raw Data'!F:F,Match($A781,'Player Raw Data'!$B:$B,0)),"")</f>
        <v/>
      </c>
      <c r="F781" t="str">
        <f t="array" ref="F781">IFERROR(INDEX('Player Raw Data'!H:H,Match($A781,'Player Raw Data'!$B:$B,0)),"")</f>
        <v/>
      </c>
      <c r="G781" t="str">
        <f t="array" ref="G781">IFERROR(INDEX('Player Raw Data'!I:I,Match($A781,'Player Raw Data'!$B:$B,0)),"")</f>
        <v/>
      </c>
      <c r="H781" t="str">
        <f t="array" ref="H781">IFERROR(INDEX('Player Raw Data'!J:J,Match($A781,'Player Raw Data'!$B:$B,0)),"")</f>
        <v/>
      </c>
      <c r="I781" t="str">
        <f t="array" ref="I781">IFERROR(INDEX('Player Raw Data'!S:S,Match($A781,'Player Raw Data'!$B:$B,0)),"")</f>
        <v/>
      </c>
      <c r="J781" t="str">
        <f t="array" ref="J781">IFERROR(INDEX('Player Raw Data'!T:T,Match($A781,'Player Raw Data'!$B:$B,0)),"")</f>
        <v/>
      </c>
      <c r="K781" t="str">
        <f t="array" ref="K781">IFERROR(INDEX('Player Raw Data'!X:X,Match($A781,'Player Raw Data'!$B:$B,0)),"")</f>
        <v/>
      </c>
      <c r="L781" t="str">
        <f t="array" ref="L781">IFERROR(INDEX('Player Raw Data'!Y:Y,Match($A781,'Player Raw Data'!$B:$B,0)),"")</f>
        <v/>
      </c>
      <c r="M781" t="str">
        <f t="array" ref="M781">IFERROR(INDEX('Player Raw Data'!Z:Z,Match($A781,'Player Raw Data'!$B:$B,0)),"")</f>
        <v/>
      </c>
      <c r="N781" t="str">
        <f t="array" ref="N781">IFERROR(INDEX('Player Raw Data'!AA:AA,Match($A781,'Player Raw Data'!$B:$B,0)),"")</f>
        <v/>
      </c>
      <c r="O781" t="str">
        <f t="array" ref="O781">IFERROR(INDEX('Player Raw Data'!AB:AB,Match($A781,'Player Raw Data'!$B:$B,0)),"")</f>
        <v/>
      </c>
      <c r="P781" t="str">
        <f t="array" ref="P781">IFERROR(INDEX('Player Raw Data'!AD:AD,Match($A781,'Player Raw Data'!$B:$B,0)),"")</f>
        <v/>
      </c>
      <c r="Q781">
        <f t="shared" si="1"/>
        <v>0</v>
      </c>
      <c r="R781" s="9">
        <f t="shared" si="2"/>
        <v>0</v>
      </c>
      <c r="S781" s="14">
        <f t="shared" si="3"/>
        <v>0</v>
      </c>
      <c r="T781" s="15">
        <f>IFERROR(__xludf.DUMMYFUNCTION("IFERROR(PERCENTRANK.INC(FILTER(Q:Q,$F:$F&lt;&gt;""""),Q781)*100,"""")"),1.5)</f>
        <v>1.5</v>
      </c>
      <c r="U781" s="15">
        <f>IFERROR(__xludf.DUMMYFUNCTION("IFERROR(PERCENTRANK.INC(FILTER(R:R,$F:$F&lt;&gt;""""),R781)*100,"""")"),1.5)</f>
        <v>1.5</v>
      </c>
      <c r="V781" s="15">
        <f>IFERROR(__xludf.DUMMYFUNCTION("IFERROR(PERCENTRANK.INC(FILTER(S:S,$F:$F&lt;&gt;""""),S781)*100,"""")"),1.5)</f>
        <v>1.5</v>
      </c>
      <c r="W781" s="15" t="str">
        <f t="shared" si="4"/>
        <v/>
      </c>
      <c r="X781" s="16"/>
      <c r="Y781" s="9"/>
      <c r="Z781" s="9"/>
    </row>
    <row r="782">
      <c r="B782" t="str">
        <f t="array" ref="B782">IFERROR(INDEX('Player Raw Data'!C:C,Match($A782,'Player Raw Data'!$B:$B,0)),"")</f>
        <v/>
      </c>
      <c r="C782" t="str">
        <f t="array" ref="C782">IFERROR(INDEX('Player Raw Data'!D:D,Match($A782,'Player Raw Data'!$B:$B,0)),"")</f>
        <v/>
      </c>
      <c r="D782" t="str">
        <f t="array" ref="D782">IFERROR(IF(A782=A781, INDEX('Player Raw Data'!E:E,Match($A782,'Player Raw Data'!$B:$B,0)+2),INDEX('Player Raw Data'!E:E,Match($A782,'Player Raw Data'!$B:$B,0))),"")</f>
        <v/>
      </c>
      <c r="E782" t="str">
        <f t="array" ref="E782">IFERROR(INDEX('Player Raw Data'!F:F,Match($A782,'Player Raw Data'!$B:$B,0)),"")</f>
        <v/>
      </c>
      <c r="F782" t="str">
        <f t="array" ref="F782">IFERROR(INDEX('Player Raw Data'!H:H,Match($A782,'Player Raw Data'!$B:$B,0)),"")</f>
        <v/>
      </c>
      <c r="G782" t="str">
        <f t="array" ref="G782">IFERROR(INDEX('Player Raw Data'!I:I,Match($A782,'Player Raw Data'!$B:$B,0)),"")</f>
        <v/>
      </c>
      <c r="H782" t="str">
        <f t="array" ref="H782">IFERROR(INDEX('Player Raw Data'!J:J,Match($A782,'Player Raw Data'!$B:$B,0)),"")</f>
        <v/>
      </c>
      <c r="I782" t="str">
        <f t="array" ref="I782">IFERROR(INDEX('Player Raw Data'!S:S,Match($A782,'Player Raw Data'!$B:$B,0)),"")</f>
        <v/>
      </c>
      <c r="J782" t="str">
        <f t="array" ref="J782">IFERROR(INDEX('Player Raw Data'!T:T,Match($A782,'Player Raw Data'!$B:$B,0)),"")</f>
        <v/>
      </c>
      <c r="K782" t="str">
        <f t="array" ref="K782">IFERROR(INDEX('Player Raw Data'!X:X,Match($A782,'Player Raw Data'!$B:$B,0)),"")</f>
        <v/>
      </c>
      <c r="L782" t="str">
        <f t="array" ref="L782">IFERROR(INDEX('Player Raw Data'!Y:Y,Match($A782,'Player Raw Data'!$B:$B,0)),"")</f>
        <v/>
      </c>
      <c r="M782" t="str">
        <f t="array" ref="M782">IFERROR(INDEX('Player Raw Data'!Z:Z,Match($A782,'Player Raw Data'!$B:$B,0)),"")</f>
        <v/>
      </c>
      <c r="N782" t="str">
        <f t="array" ref="N782">IFERROR(INDEX('Player Raw Data'!AA:AA,Match($A782,'Player Raw Data'!$B:$B,0)),"")</f>
        <v/>
      </c>
      <c r="O782" t="str">
        <f t="array" ref="O782">IFERROR(INDEX('Player Raw Data'!AB:AB,Match($A782,'Player Raw Data'!$B:$B,0)),"")</f>
        <v/>
      </c>
      <c r="P782" t="str">
        <f t="array" ref="P782">IFERROR(INDEX('Player Raw Data'!AD:AD,Match($A782,'Player Raw Data'!$B:$B,0)),"")</f>
        <v/>
      </c>
      <c r="Q782">
        <f t="shared" si="1"/>
        <v>0</v>
      </c>
      <c r="R782" s="9">
        <f t="shared" si="2"/>
        <v>0</v>
      </c>
      <c r="S782" s="14">
        <f t="shared" si="3"/>
        <v>0</v>
      </c>
      <c r="T782" s="15">
        <f>IFERROR(__xludf.DUMMYFUNCTION("IFERROR(PERCENTRANK.INC(FILTER(Q:Q,$F:$F&lt;&gt;""""),Q782)*100,"""")"),1.5)</f>
        <v>1.5</v>
      </c>
      <c r="U782" s="15">
        <f>IFERROR(__xludf.DUMMYFUNCTION("IFERROR(PERCENTRANK.INC(FILTER(R:R,$F:$F&lt;&gt;""""),R782)*100,"""")"),1.5)</f>
        <v>1.5</v>
      </c>
      <c r="V782" s="15">
        <f>IFERROR(__xludf.DUMMYFUNCTION("IFERROR(PERCENTRANK.INC(FILTER(S:S,$F:$F&lt;&gt;""""),S782)*100,"""")"),1.5)</f>
        <v>1.5</v>
      </c>
      <c r="W782" s="15" t="str">
        <f t="shared" si="4"/>
        <v/>
      </c>
      <c r="X782" s="16"/>
      <c r="Y782" s="9"/>
      <c r="Z782" s="9"/>
    </row>
    <row r="783">
      <c r="B783" t="str">
        <f t="array" ref="B783">IFERROR(INDEX('Player Raw Data'!C:C,Match($A783,'Player Raw Data'!$B:$B,0)),"")</f>
        <v/>
      </c>
      <c r="C783" t="str">
        <f t="array" ref="C783">IFERROR(INDEX('Player Raw Data'!D:D,Match($A783,'Player Raw Data'!$B:$B,0)),"")</f>
        <v/>
      </c>
      <c r="D783" t="str">
        <f t="array" ref="D783">IFERROR(IF(A783=A782, INDEX('Player Raw Data'!E:E,Match($A783,'Player Raw Data'!$B:$B,0)+2),INDEX('Player Raw Data'!E:E,Match($A783,'Player Raw Data'!$B:$B,0))),"")</f>
        <v/>
      </c>
      <c r="E783" t="str">
        <f t="array" ref="E783">IFERROR(INDEX('Player Raw Data'!F:F,Match($A783,'Player Raw Data'!$B:$B,0)),"")</f>
        <v/>
      </c>
      <c r="F783" t="str">
        <f t="array" ref="F783">IFERROR(INDEX('Player Raw Data'!H:H,Match($A783,'Player Raw Data'!$B:$B,0)),"")</f>
        <v/>
      </c>
      <c r="G783" t="str">
        <f t="array" ref="G783">IFERROR(INDEX('Player Raw Data'!I:I,Match($A783,'Player Raw Data'!$B:$B,0)),"")</f>
        <v/>
      </c>
      <c r="H783" t="str">
        <f t="array" ref="H783">IFERROR(INDEX('Player Raw Data'!J:J,Match($A783,'Player Raw Data'!$B:$B,0)),"")</f>
        <v/>
      </c>
      <c r="I783" t="str">
        <f t="array" ref="I783">IFERROR(INDEX('Player Raw Data'!S:S,Match($A783,'Player Raw Data'!$B:$B,0)),"")</f>
        <v/>
      </c>
      <c r="J783" t="str">
        <f t="array" ref="J783">IFERROR(INDEX('Player Raw Data'!T:T,Match($A783,'Player Raw Data'!$B:$B,0)),"")</f>
        <v/>
      </c>
      <c r="K783" t="str">
        <f t="array" ref="K783">IFERROR(INDEX('Player Raw Data'!X:X,Match($A783,'Player Raw Data'!$B:$B,0)),"")</f>
        <v/>
      </c>
      <c r="L783" t="str">
        <f t="array" ref="L783">IFERROR(INDEX('Player Raw Data'!Y:Y,Match($A783,'Player Raw Data'!$B:$B,0)),"")</f>
        <v/>
      </c>
      <c r="M783" t="str">
        <f t="array" ref="M783">IFERROR(INDEX('Player Raw Data'!Z:Z,Match($A783,'Player Raw Data'!$B:$B,0)),"")</f>
        <v/>
      </c>
      <c r="N783" t="str">
        <f t="array" ref="N783">IFERROR(INDEX('Player Raw Data'!AA:AA,Match($A783,'Player Raw Data'!$B:$B,0)),"")</f>
        <v/>
      </c>
      <c r="O783" t="str">
        <f t="array" ref="O783">IFERROR(INDEX('Player Raw Data'!AB:AB,Match($A783,'Player Raw Data'!$B:$B,0)),"")</f>
        <v/>
      </c>
      <c r="P783" t="str">
        <f t="array" ref="P783">IFERROR(INDEX('Player Raw Data'!AD:AD,Match($A783,'Player Raw Data'!$B:$B,0)),"")</f>
        <v/>
      </c>
      <c r="Q783">
        <f t="shared" si="1"/>
        <v>0</v>
      </c>
      <c r="R783" s="9">
        <f t="shared" si="2"/>
        <v>0</v>
      </c>
      <c r="S783" s="14">
        <f t="shared" si="3"/>
        <v>0</v>
      </c>
      <c r="T783" s="15">
        <f>IFERROR(__xludf.DUMMYFUNCTION("IFERROR(PERCENTRANK.INC(FILTER(Q:Q,$F:$F&lt;&gt;""""),Q783)*100,"""")"),1.5)</f>
        <v>1.5</v>
      </c>
      <c r="U783" s="15">
        <f>IFERROR(__xludf.DUMMYFUNCTION("IFERROR(PERCENTRANK.INC(FILTER(R:R,$F:$F&lt;&gt;""""),R783)*100,"""")"),1.5)</f>
        <v>1.5</v>
      </c>
      <c r="V783" s="15">
        <f>IFERROR(__xludf.DUMMYFUNCTION("IFERROR(PERCENTRANK.INC(FILTER(S:S,$F:$F&lt;&gt;""""),S783)*100,"""")"),1.5)</f>
        <v>1.5</v>
      </c>
      <c r="W783" s="15" t="str">
        <f t="shared" si="4"/>
        <v/>
      </c>
      <c r="X783" s="16"/>
      <c r="Y783" s="9"/>
      <c r="Z783" s="9"/>
    </row>
    <row r="784">
      <c r="B784" t="str">
        <f t="array" ref="B784">IFERROR(INDEX('Player Raw Data'!C:C,Match($A784,'Player Raw Data'!$B:$B,0)),"")</f>
        <v/>
      </c>
      <c r="C784" t="str">
        <f t="array" ref="C784">IFERROR(INDEX('Player Raw Data'!D:D,Match($A784,'Player Raw Data'!$B:$B,0)),"")</f>
        <v/>
      </c>
      <c r="D784" t="str">
        <f t="array" ref="D784">IFERROR(IF(A784=A783, INDEX('Player Raw Data'!E:E,Match($A784,'Player Raw Data'!$B:$B,0)+2),INDEX('Player Raw Data'!E:E,Match($A784,'Player Raw Data'!$B:$B,0))),"")</f>
        <v/>
      </c>
      <c r="E784" t="str">
        <f t="array" ref="E784">IFERROR(INDEX('Player Raw Data'!F:F,Match($A784,'Player Raw Data'!$B:$B,0)),"")</f>
        <v/>
      </c>
      <c r="F784" t="str">
        <f t="array" ref="F784">IFERROR(INDEX('Player Raw Data'!H:H,Match($A784,'Player Raw Data'!$B:$B,0)),"")</f>
        <v/>
      </c>
      <c r="G784" t="str">
        <f t="array" ref="G784">IFERROR(INDEX('Player Raw Data'!I:I,Match($A784,'Player Raw Data'!$B:$B,0)),"")</f>
        <v/>
      </c>
      <c r="H784" t="str">
        <f t="array" ref="H784">IFERROR(INDEX('Player Raw Data'!J:J,Match($A784,'Player Raw Data'!$B:$B,0)),"")</f>
        <v/>
      </c>
      <c r="I784" t="str">
        <f t="array" ref="I784">IFERROR(INDEX('Player Raw Data'!S:S,Match($A784,'Player Raw Data'!$B:$B,0)),"")</f>
        <v/>
      </c>
      <c r="J784" t="str">
        <f t="array" ref="J784">IFERROR(INDEX('Player Raw Data'!T:T,Match($A784,'Player Raw Data'!$B:$B,0)),"")</f>
        <v/>
      </c>
      <c r="K784" t="str">
        <f t="array" ref="K784">IFERROR(INDEX('Player Raw Data'!X:X,Match($A784,'Player Raw Data'!$B:$B,0)),"")</f>
        <v/>
      </c>
      <c r="L784" t="str">
        <f t="array" ref="L784">IFERROR(INDEX('Player Raw Data'!Y:Y,Match($A784,'Player Raw Data'!$B:$B,0)),"")</f>
        <v/>
      </c>
      <c r="M784" t="str">
        <f t="array" ref="M784">IFERROR(INDEX('Player Raw Data'!Z:Z,Match($A784,'Player Raw Data'!$B:$B,0)),"")</f>
        <v/>
      </c>
      <c r="N784" t="str">
        <f t="array" ref="N784">IFERROR(INDEX('Player Raw Data'!AA:AA,Match($A784,'Player Raw Data'!$B:$B,0)),"")</f>
        <v/>
      </c>
      <c r="O784" t="str">
        <f t="array" ref="O784">IFERROR(INDEX('Player Raw Data'!AB:AB,Match($A784,'Player Raw Data'!$B:$B,0)),"")</f>
        <v/>
      </c>
      <c r="P784" t="str">
        <f t="array" ref="P784">IFERROR(INDEX('Player Raw Data'!AD:AD,Match($A784,'Player Raw Data'!$B:$B,0)),"")</f>
        <v/>
      </c>
      <c r="Q784">
        <f t="shared" si="1"/>
        <v>0</v>
      </c>
      <c r="R784" s="9">
        <f t="shared" si="2"/>
        <v>0</v>
      </c>
      <c r="S784" s="14">
        <f t="shared" si="3"/>
        <v>0</v>
      </c>
      <c r="T784" s="15">
        <f>IFERROR(__xludf.DUMMYFUNCTION("IFERROR(PERCENTRANK.INC(FILTER(Q:Q,$F:$F&lt;&gt;""""),Q784)*100,"""")"),1.5)</f>
        <v>1.5</v>
      </c>
      <c r="U784" s="15">
        <f>IFERROR(__xludf.DUMMYFUNCTION("IFERROR(PERCENTRANK.INC(FILTER(R:R,$F:$F&lt;&gt;""""),R784)*100,"""")"),1.5)</f>
        <v>1.5</v>
      </c>
      <c r="V784" s="15">
        <f>IFERROR(__xludf.DUMMYFUNCTION("IFERROR(PERCENTRANK.INC(FILTER(S:S,$F:$F&lt;&gt;""""),S784)*100,"""")"),1.5)</f>
        <v>1.5</v>
      </c>
      <c r="W784" s="15" t="str">
        <f t="shared" si="4"/>
        <v/>
      </c>
      <c r="X784" s="16"/>
      <c r="Y784" s="9"/>
      <c r="Z784" s="9"/>
    </row>
    <row r="785">
      <c r="B785" t="str">
        <f t="array" ref="B785">IFERROR(INDEX('Player Raw Data'!C:C,Match($A785,'Player Raw Data'!$B:$B,0)),"")</f>
        <v/>
      </c>
      <c r="C785" t="str">
        <f t="array" ref="C785">IFERROR(INDEX('Player Raw Data'!D:D,Match($A785,'Player Raw Data'!$B:$B,0)),"")</f>
        <v/>
      </c>
      <c r="D785" t="str">
        <f t="array" ref="D785">IFERROR(IF(A785=A784, INDEX('Player Raw Data'!E:E,Match($A785,'Player Raw Data'!$B:$B,0)+2),INDEX('Player Raw Data'!E:E,Match($A785,'Player Raw Data'!$B:$B,0))),"")</f>
        <v/>
      </c>
      <c r="E785" t="str">
        <f t="array" ref="E785">IFERROR(INDEX('Player Raw Data'!F:F,Match($A785,'Player Raw Data'!$B:$B,0)),"")</f>
        <v/>
      </c>
      <c r="F785" t="str">
        <f t="array" ref="F785">IFERROR(INDEX('Player Raw Data'!H:H,Match($A785,'Player Raw Data'!$B:$B,0)),"")</f>
        <v/>
      </c>
      <c r="G785" t="str">
        <f t="array" ref="G785">IFERROR(INDEX('Player Raw Data'!I:I,Match($A785,'Player Raw Data'!$B:$B,0)),"")</f>
        <v/>
      </c>
      <c r="H785" t="str">
        <f t="array" ref="H785">IFERROR(INDEX('Player Raw Data'!J:J,Match($A785,'Player Raw Data'!$B:$B,0)),"")</f>
        <v/>
      </c>
      <c r="I785" t="str">
        <f t="array" ref="I785">IFERROR(INDEX('Player Raw Data'!S:S,Match($A785,'Player Raw Data'!$B:$B,0)),"")</f>
        <v/>
      </c>
      <c r="J785" t="str">
        <f t="array" ref="J785">IFERROR(INDEX('Player Raw Data'!T:T,Match($A785,'Player Raw Data'!$B:$B,0)),"")</f>
        <v/>
      </c>
      <c r="K785" t="str">
        <f t="array" ref="K785">IFERROR(INDEX('Player Raw Data'!X:X,Match($A785,'Player Raw Data'!$B:$B,0)),"")</f>
        <v/>
      </c>
      <c r="L785" t="str">
        <f t="array" ref="L785">IFERROR(INDEX('Player Raw Data'!Y:Y,Match($A785,'Player Raw Data'!$B:$B,0)),"")</f>
        <v/>
      </c>
      <c r="M785" t="str">
        <f t="array" ref="M785">IFERROR(INDEX('Player Raw Data'!Z:Z,Match($A785,'Player Raw Data'!$B:$B,0)),"")</f>
        <v/>
      </c>
      <c r="N785" t="str">
        <f t="array" ref="N785">IFERROR(INDEX('Player Raw Data'!AA:AA,Match($A785,'Player Raw Data'!$B:$B,0)),"")</f>
        <v/>
      </c>
      <c r="O785" t="str">
        <f t="array" ref="O785">IFERROR(INDEX('Player Raw Data'!AB:AB,Match($A785,'Player Raw Data'!$B:$B,0)),"")</f>
        <v/>
      </c>
      <c r="P785" t="str">
        <f t="array" ref="P785">IFERROR(INDEX('Player Raw Data'!AD:AD,Match($A785,'Player Raw Data'!$B:$B,0)),"")</f>
        <v/>
      </c>
      <c r="Q785">
        <f t="shared" si="1"/>
        <v>0</v>
      </c>
      <c r="R785" s="9">
        <f t="shared" si="2"/>
        <v>0</v>
      </c>
      <c r="S785" s="14">
        <f t="shared" si="3"/>
        <v>0</v>
      </c>
      <c r="T785" s="15">
        <f>IFERROR(__xludf.DUMMYFUNCTION("IFERROR(PERCENTRANK.INC(FILTER(Q:Q,$F:$F&lt;&gt;""""),Q785)*100,"""")"),1.5)</f>
        <v>1.5</v>
      </c>
      <c r="U785" s="15">
        <f>IFERROR(__xludf.DUMMYFUNCTION("IFERROR(PERCENTRANK.INC(FILTER(R:R,$F:$F&lt;&gt;""""),R785)*100,"""")"),1.5)</f>
        <v>1.5</v>
      </c>
      <c r="V785" s="15">
        <f>IFERROR(__xludf.DUMMYFUNCTION("IFERROR(PERCENTRANK.INC(FILTER(S:S,$F:$F&lt;&gt;""""),S785)*100,"""")"),1.5)</f>
        <v>1.5</v>
      </c>
      <c r="W785" s="15" t="str">
        <f t="shared" si="4"/>
        <v/>
      </c>
      <c r="X785" s="16"/>
      <c r="Y785" s="9"/>
      <c r="Z785" s="9"/>
    </row>
    <row r="786">
      <c r="B786" t="str">
        <f t="array" ref="B786">IFERROR(INDEX('Player Raw Data'!C:C,Match($A786,'Player Raw Data'!$B:$B,0)),"")</f>
        <v/>
      </c>
      <c r="C786" t="str">
        <f t="array" ref="C786">IFERROR(INDEX('Player Raw Data'!D:D,Match($A786,'Player Raw Data'!$B:$B,0)),"")</f>
        <v/>
      </c>
      <c r="D786" t="str">
        <f t="array" ref="D786">IFERROR(IF(A786=A785, INDEX('Player Raw Data'!E:E,Match($A786,'Player Raw Data'!$B:$B,0)+2),INDEX('Player Raw Data'!E:E,Match($A786,'Player Raw Data'!$B:$B,0))),"")</f>
        <v/>
      </c>
      <c r="E786" t="str">
        <f t="array" ref="E786">IFERROR(INDEX('Player Raw Data'!F:F,Match($A786,'Player Raw Data'!$B:$B,0)),"")</f>
        <v/>
      </c>
      <c r="F786" t="str">
        <f t="array" ref="F786">IFERROR(INDEX('Player Raw Data'!H:H,Match($A786,'Player Raw Data'!$B:$B,0)),"")</f>
        <v/>
      </c>
      <c r="G786" t="str">
        <f t="array" ref="G786">IFERROR(INDEX('Player Raw Data'!I:I,Match($A786,'Player Raw Data'!$B:$B,0)),"")</f>
        <v/>
      </c>
      <c r="H786" t="str">
        <f t="array" ref="H786">IFERROR(INDEX('Player Raw Data'!J:J,Match($A786,'Player Raw Data'!$B:$B,0)),"")</f>
        <v/>
      </c>
      <c r="I786" t="str">
        <f t="array" ref="I786">IFERROR(INDEX('Player Raw Data'!S:S,Match($A786,'Player Raw Data'!$B:$B,0)),"")</f>
        <v/>
      </c>
      <c r="J786" t="str">
        <f t="array" ref="J786">IFERROR(INDEX('Player Raw Data'!T:T,Match($A786,'Player Raw Data'!$B:$B,0)),"")</f>
        <v/>
      </c>
      <c r="K786" t="str">
        <f t="array" ref="K786">IFERROR(INDEX('Player Raw Data'!X:X,Match($A786,'Player Raw Data'!$B:$B,0)),"")</f>
        <v/>
      </c>
      <c r="L786" t="str">
        <f t="array" ref="L786">IFERROR(INDEX('Player Raw Data'!Y:Y,Match($A786,'Player Raw Data'!$B:$B,0)),"")</f>
        <v/>
      </c>
      <c r="M786" t="str">
        <f t="array" ref="M786">IFERROR(INDEX('Player Raw Data'!Z:Z,Match($A786,'Player Raw Data'!$B:$B,0)),"")</f>
        <v/>
      </c>
      <c r="N786" t="str">
        <f t="array" ref="N786">IFERROR(INDEX('Player Raw Data'!AA:AA,Match($A786,'Player Raw Data'!$B:$B,0)),"")</f>
        <v/>
      </c>
      <c r="O786" t="str">
        <f t="array" ref="O786">IFERROR(INDEX('Player Raw Data'!AB:AB,Match($A786,'Player Raw Data'!$B:$B,0)),"")</f>
        <v/>
      </c>
      <c r="P786" t="str">
        <f t="array" ref="P786">IFERROR(INDEX('Player Raw Data'!AD:AD,Match($A786,'Player Raw Data'!$B:$B,0)),"")</f>
        <v/>
      </c>
      <c r="Q786">
        <f t="shared" si="1"/>
        <v>0</v>
      </c>
      <c r="R786" s="9">
        <f t="shared" si="2"/>
        <v>0</v>
      </c>
      <c r="S786" s="14">
        <f t="shared" si="3"/>
        <v>0</v>
      </c>
      <c r="T786" s="15">
        <f>IFERROR(__xludf.DUMMYFUNCTION("IFERROR(PERCENTRANK.INC(FILTER(Q:Q,$F:$F&lt;&gt;""""),Q786)*100,"""")"),1.5)</f>
        <v>1.5</v>
      </c>
      <c r="U786" s="15">
        <f>IFERROR(__xludf.DUMMYFUNCTION("IFERROR(PERCENTRANK.INC(FILTER(R:R,$F:$F&lt;&gt;""""),R786)*100,"""")"),1.5)</f>
        <v>1.5</v>
      </c>
      <c r="V786" s="15">
        <f>IFERROR(__xludf.DUMMYFUNCTION("IFERROR(PERCENTRANK.INC(FILTER(S:S,$F:$F&lt;&gt;""""),S786)*100,"""")"),1.5)</f>
        <v>1.5</v>
      </c>
      <c r="W786" s="15" t="str">
        <f t="shared" si="4"/>
        <v/>
      </c>
      <c r="X786" s="16"/>
      <c r="Y786" s="9"/>
      <c r="Z786" s="9"/>
    </row>
    <row r="787">
      <c r="B787" t="str">
        <f t="array" ref="B787">IFERROR(INDEX('Player Raw Data'!C:C,Match($A787,'Player Raw Data'!$B:$B,0)),"")</f>
        <v/>
      </c>
      <c r="C787" t="str">
        <f t="array" ref="C787">IFERROR(INDEX('Player Raw Data'!D:D,Match($A787,'Player Raw Data'!$B:$B,0)),"")</f>
        <v/>
      </c>
      <c r="D787" t="str">
        <f t="array" ref="D787">IFERROR(IF(A787=A786, INDEX('Player Raw Data'!E:E,Match($A787,'Player Raw Data'!$B:$B,0)+2),INDEX('Player Raw Data'!E:E,Match($A787,'Player Raw Data'!$B:$B,0))),"")</f>
        <v/>
      </c>
      <c r="E787" t="str">
        <f t="array" ref="E787">IFERROR(INDEX('Player Raw Data'!F:F,Match($A787,'Player Raw Data'!$B:$B,0)),"")</f>
        <v/>
      </c>
      <c r="F787" t="str">
        <f t="array" ref="F787">IFERROR(INDEX('Player Raw Data'!H:H,Match($A787,'Player Raw Data'!$B:$B,0)),"")</f>
        <v/>
      </c>
      <c r="G787" t="str">
        <f t="array" ref="G787">IFERROR(INDEX('Player Raw Data'!I:I,Match($A787,'Player Raw Data'!$B:$B,0)),"")</f>
        <v/>
      </c>
      <c r="H787" t="str">
        <f t="array" ref="H787">IFERROR(INDEX('Player Raw Data'!J:J,Match($A787,'Player Raw Data'!$B:$B,0)),"")</f>
        <v/>
      </c>
      <c r="I787" t="str">
        <f t="array" ref="I787">IFERROR(INDEX('Player Raw Data'!S:S,Match($A787,'Player Raw Data'!$B:$B,0)),"")</f>
        <v/>
      </c>
      <c r="J787" t="str">
        <f t="array" ref="J787">IFERROR(INDEX('Player Raw Data'!T:T,Match($A787,'Player Raw Data'!$B:$B,0)),"")</f>
        <v/>
      </c>
      <c r="K787" t="str">
        <f t="array" ref="K787">IFERROR(INDEX('Player Raw Data'!X:X,Match($A787,'Player Raw Data'!$B:$B,0)),"")</f>
        <v/>
      </c>
      <c r="L787" t="str">
        <f t="array" ref="L787">IFERROR(INDEX('Player Raw Data'!Y:Y,Match($A787,'Player Raw Data'!$B:$B,0)),"")</f>
        <v/>
      </c>
      <c r="M787" t="str">
        <f t="array" ref="M787">IFERROR(INDEX('Player Raw Data'!Z:Z,Match($A787,'Player Raw Data'!$B:$B,0)),"")</f>
        <v/>
      </c>
      <c r="N787" t="str">
        <f t="array" ref="N787">IFERROR(INDEX('Player Raw Data'!AA:AA,Match($A787,'Player Raw Data'!$B:$B,0)),"")</f>
        <v/>
      </c>
      <c r="O787" t="str">
        <f t="array" ref="O787">IFERROR(INDEX('Player Raw Data'!AB:AB,Match($A787,'Player Raw Data'!$B:$B,0)),"")</f>
        <v/>
      </c>
      <c r="P787" t="str">
        <f t="array" ref="P787">IFERROR(INDEX('Player Raw Data'!AD:AD,Match($A787,'Player Raw Data'!$B:$B,0)),"")</f>
        <v/>
      </c>
      <c r="Q787">
        <f t="shared" si="1"/>
        <v>0</v>
      </c>
      <c r="R787" s="9">
        <f t="shared" si="2"/>
        <v>0</v>
      </c>
      <c r="S787" s="14">
        <f t="shared" si="3"/>
        <v>0</v>
      </c>
      <c r="T787" s="15">
        <f>IFERROR(__xludf.DUMMYFUNCTION("IFERROR(PERCENTRANK.INC(FILTER(Q:Q,$F:$F&lt;&gt;""""),Q787)*100,"""")"),1.5)</f>
        <v>1.5</v>
      </c>
      <c r="U787" s="15">
        <f>IFERROR(__xludf.DUMMYFUNCTION("IFERROR(PERCENTRANK.INC(FILTER(R:R,$F:$F&lt;&gt;""""),R787)*100,"""")"),1.5)</f>
        <v>1.5</v>
      </c>
      <c r="V787" s="15">
        <f>IFERROR(__xludf.DUMMYFUNCTION("IFERROR(PERCENTRANK.INC(FILTER(S:S,$F:$F&lt;&gt;""""),S787)*100,"""")"),1.5)</f>
        <v>1.5</v>
      </c>
      <c r="W787" s="15" t="str">
        <f t="shared" si="4"/>
        <v/>
      </c>
      <c r="X787" s="16"/>
      <c r="Y787" s="9"/>
      <c r="Z787" s="9"/>
    </row>
    <row r="788">
      <c r="B788" t="str">
        <f t="array" ref="B788">IFERROR(INDEX('Player Raw Data'!C:C,Match($A788,'Player Raw Data'!$B:$B,0)),"")</f>
        <v/>
      </c>
      <c r="C788" t="str">
        <f t="array" ref="C788">IFERROR(INDEX('Player Raw Data'!D:D,Match($A788,'Player Raw Data'!$B:$B,0)),"")</f>
        <v/>
      </c>
      <c r="D788" t="str">
        <f t="array" ref="D788">IFERROR(IF(A788=A787, INDEX('Player Raw Data'!E:E,Match($A788,'Player Raw Data'!$B:$B,0)+2),INDEX('Player Raw Data'!E:E,Match($A788,'Player Raw Data'!$B:$B,0))),"")</f>
        <v/>
      </c>
      <c r="E788" t="str">
        <f t="array" ref="E788">IFERROR(INDEX('Player Raw Data'!F:F,Match($A788,'Player Raw Data'!$B:$B,0)),"")</f>
        <v/>
      </c>
      <c r="F788" t="str">
        <f t="array" ref="F788">IFERROR(INDEX('Player Raw Data'!H:H,Match($A788,'Player Raw Data'!$B:$B,0)),"")</f>
        <v/>
      </c>
      <c r="G788" t="str">
        <f t="array" ref="G788">IFERROR(INDEX('Player Raw Data'!I:I,Match($A788,'Player Raw Data'!$B:$B,0)),"")</f>
        <v/>
      </c>
      <c r="H788" t="str">
        <f t="array" ref="H788">IFERROR(INDEX('Player Raw Data'!J:J,Match($A788,'Player Raw Data'!$B:$B,0)),"")</f>
        <v/>
      </c>
      <c r="I788" t="str">
        <f t="array" ref="I788">IFERROR(INDEX('Player Raw Data'!S:S,Match($A788,'Player Raw Data'!$B:$B,0)),"")</f>
        <v/>
      </c>
      <c r="J788" t="str">
        <f t="array" ref="J788">IFERROR(INDEX('Player Raw Data'!T:T,Match($A788,'Player Raw Data'!$B:$B,0)),"")</f>
        <v/>
      </c>
      <c r="K788" t="str">
        <f t="array" ref="K788">IFERROR(INDEX('Player Raw Data'!X:X,Match($A788,'Player Raw Data'!$B:$B,0)),"")</f>
        <v/>
      </c>
      <c r="L788" t="str">
        <f t="array" ref="L788">IFERROR(INDEX('Player Raw Data'!Y:Y,Match($A788,'Player Raw Data'!$B:$B,0)),"")</f>
        <v/>
      </c>
      <c r="M788" t="str">
        <f t="array" ref="M788">IFERROR(INDEX('Player Raw Data'!Z:Z,Match($A788,'Player Raw Data'!$B:$B,0)),"")</f>
        <v/>
      </c>
      <c r="N788" t="str">
        <f t="array" ref="N788">IFERROR(INDEX('Player Raw Data'!AA:AA,Match($A788,'Player Raw Data'!$B:$B,0)),"")</f>
        <v/>
      </c>
      <c r="O788" t="str">
        <f t="array" ref="O788">IFERROR(INDEX('Player Raw Data'!AB:AB,Match($A788,'Player Raw Data'!$B:$B,0)),"")</f>
        <v/>
      </c>
      <c r="P788" t="str">
        <f t="array" ref="P788">IFERROR(INDEX('Player Raw Data'!AD:AD,Match($A788,'Player Raw Data'!$B:$B,0)),"")</f>
        <v/>
      </c>
      <c r="Q788">
        <f t="shared" si="1"/>
        <v>0</v>
      </c>
      <c r="R788" s="9">
        <f t="shared" si="2"/>
        <v>0</v>
      </c>
      <c r="S788" s="14">
        <f t="shared" si="3"/>
        <v>0</v>
      </c>
      <c r="T788" s="15">
        <f>IFERROR(__xludf.DUMMYFUNCTION("IFERROR(PERCENTRANK.INC(FILTER(Q:Q,$F:$F&lt;&gt;""""),Q788)*100,"""")"),1.5)</f>
        <v>1.5</v>
      </c>
      <c r="U788" s="15">
        <f>IFERROR(__xludf.DUMMYFUNCTION("IFERROR(PERCENTRANK.INC(FILTER(R:R,$F:$F&lt;&gt;""""),R788)*100,"""")"),1.5)</f>
        <v>1.5</v>
      </c>
      <c r="V788" s="15">
        <f>IFERROR(__xludf.DUMMYFUNCTION("IFERROR(PERCENTRANK.INC(FILTER(S:S,$F:$F&lt;&gt;""""),S788)*100,"""")"),1.5)</f>
        <v>1.5</v>
      </c>
      <c r="W788" s="15" t="str">
        <f t="shared" si="4"/>
        <v/>
      </c>
      <c r="X788" s="16"/>
      <c r="Y788" s="9"/>
      <c r="Z788" s="9"/>
    </row>
    <row r="789">
      <c r="B789" t="str">
        <f t="array" ref="B789">IFERROR(INDEX('Player Raw Data'!C:C,Match($A789,'Player Raw Data'!$B:$B,0)),"")</f>
        <v/>
      </c>
      <c r="C789" t="str">
        <f t="array" ref="C789">IFERROR(INDEX('Player Raw Data'!D:D,Match($A789,'Player Raw Data'!$B:$B,0)),"")</f>
        <v/>
      </c>
      <c r="D789" t="str">
        <f t="array" ref="D789">IFERROR(IF(A789=A788, INDEX('Player Raw Data'!E:E,Match($A789,'Player Raw Data'!$B:$B,0)+2),INDEX('Player Raw Data'!E:E,Match($A789,'Player Raw Data'!$B:$B,0))),"")</f>
        <v/>
      </c>
      <c r="E789" t="str">
        <f t="array" ref="E789">IFERROR(INDEX('Player Raw Data'!F:F,Match($A789,'Player Raw Data'!$B:$B,0)),"")</f>
        <v/>
      </c>
      <c r="F789" t="str">
        <f t="array" ref="F789">IFERROR(INDEX('Player Raw Data'!H:H,Match($A789,'Player Raw Data'!$B:$B,0)),"")</f>
        <v/>
      </c>
      <c r="G789" t="str">
        <f t="array" ref="G789">IFERROR(INDEX('Player Raw Data'!I:I,Match($A789,'Player Raw Data'!$B:$B,0)),"")</f>
        <v/>
      </c>
      <c r="H789" t="str">
        <f t="array" ref="H789">IFERROR(INDEX('Player Raw Data'!J:J,Match($A789,'Player Raw Data'!$B:$B,0)),"")</f>
        <v/>
      </c>
      <c r="I789" t="str">
        <f t="array" ref="I789">IFERROR(INDEX('Player Raw Data'!S:S,Match($A789,'Player Raw Data'!$B:$B,0)),"")</f>
        <v/>
      </c>
      <c r="J789" t="str">
        <f t="array" ref="J789">IFERROR(INDEX('Player Raw Data'!T:T,Match($A789,'Player Raw Data'!$B:$B,0)),"")</f>
        <v/>
      </c>
      <c r="K789" t="str">
        <f t="array" ref="K789">IFERROR(INDEX('Player Raw Data'!X:X,Match($A789,'Player Raw Data'!$B:$B,0)),"")</f>
        <v/>
      </c>
      <c r="L789" t="str">
        <f t="array" ref="L789">IFERROR(INDEX('Player Raw Data'!Y:Y,Match($A789,'Player Raw Data'!$B:$B,0)),"")</f>
        <v/>
      </c>
      <c r="M789" t="str">
        <f t="array" ref="M789">IFERROR(INDEX('Player Raw Data'!Z:Z,Match($A789,'Player Raw Data'!$B:$B,0)),"")</f>
        <v/>
      </c>
      <c r="N789" t="str">
        <f t="array" ref="N789">IFERROR(INDEX('Player Raw Data'!AA:AA,Match($A789,'Player Raw Data'!$B:$B,0)),"")</f>
        <v/>
      </c>
      <c r="O789" t="str">
        <f t="array" ref="O789">IFERROR(INDEX('Player Raw Data'!AB:AB,Match($A789,'Player Raw Data'!$B:$B,0)),"")</f>
        <v/>
      </c>
      <c r="P789" t="str">
        <f t="array" ref="P789">IFERROR(INDEX('Player Raw Data'!AD:AD,Match($A789,'Player Raw Data'!$B:$B,0)),"")</f>
        <v/>
      </c>
      <c r="Q789">
        <f t="shared" si="1"/>
        <v>0</v>
      </c>
      <c r="R789" s="9">
        <f t="shared" si="2"/>
        <v>0</v>
      </c>
      <c r="S789" s="14">
        <f t="shared" si="3"/>
        <v>0</v>
      </c>
      <c r="T789" s="15">
        <f>IFERROR(__xludf.DUMMYFUNCTION("IFERROR(PERCENTRANK.INC(FILTER(Q:Q,$F:$F&lt;&gt;""""),Q789)*100,"""")"),1.5)</f>
        <v>1.5</v>
      </c>
      <c r="U789" s="15">
        <f>IFERROR(__xludf.DUMMYFUNCTION("IFERROR(PERCENTRANK.INC(FILTER(R:R,$F:$F&lt;&gt;""""),R789)*100,"""")"),1.5)</f>
        <v>1.5</v>
      </c>
      <c r="V789" s="15">
        <f>IFERROR(__xludf.DUMMYFUNCTION("IFERROR(PERCENTRANK.INC(FILTER(S:S,$F:$F&lt;&gt;""""),S789)*100,"""")"),1.5)</f>
        <v>1.5</v>
      </c>
      <c r="W789" s="15" t="str">
        <f t="shared" si="4"/>
        <v/>
      </c>
      <c r="X789" s="16"/>
      <c r="Y789" s="9"/>
      <c r="Z789" s="9"/>
    </row>
    <row r="790">
      <c r="B790" t="str">
        <f t="array" ref="B790">IFERROR(INDEX('Player Raw Data'!C:C,Match($A790,'Player Raw Data'!$B:$B,0)),"")</f>
        <v/>
      </c>
      <c r="C790" t="str">
        <f t="array" ref="C790">IFERROR(INDEX('Player Raw Data'!D:D,Match($A790,'Player Raw Data'!$B:$B,0)),"")</f>
        <v/>
      </c>
      <c r="D790" t="str">
        <f t="array" ref="D790">IFERROR(IF(A790=A789, INDEX('Player Raw Data'!E:E,Match($A790,'Player Raw Data'!$B:$B,0)+2),INDEX('Player Raw Data'!E:E,Match($A790,'Player Raw Data'!$B:$B,0))),"")</f>
        <v/>
      </c>
      <c r="E790" t="str">
        <f t="array" ref="E790">IFERROR(INDEX('Player Raw Data'!F:F,Match($A790,'Player Raw Data'!$B:$B,0)),"")</f>
        <v/>
      </c>
      <c r="F790" t="str">
        <f t="array" ref="F790">IFERROR(INDEX('Player Raw Data'!H:H,Match($A790,'Player Raw Data'!$B:$B,0)),"")</f>
        <v/>
      </c>
      <c r="G790" t="str">
        <f t="array" ref="G790">IFERROR(INDEX('Player Raw Data'!I:I,Match($A790,'Player Raw Data'!$B:$B,0)),"")</f>
        <v/>
      </c>
      <c r="H790" t="str">
        <f t="array" ref="H790">IFERROR(INDEX('Player Raw Data'!J:J,Match($A790,'Player Raw Data'!$B:$B,0)),"")</f>
        <v/>
      </c>
      <c r="I790" t="str">
        <f t="array" ref="I790">IFERROR(INDEX('Player Raw Data'!S:S,Match($A790,'Player Raw Data'!$B:$B,0)),"")</f>
        <v/>
      </c>
      <c r="J790" t="str">
        <f t="array" ref="J790">IFERROR(INDEX('Player Raw Data'!T:T,Match($A790,'Player Raw Data'!$B:$B,0)),"")</f>
        <v/>
      </c>
      <c r="K790" t="str">
        <f t="array" ref="K790">IFERROR(INDEX('Player Raw Data'!X:X,Match($A790,'Player Raw Data'!$B:$B,0)),"")</f>
        <v/>
      </c>
      <c r="L790" t="str">
        <f t="array" ref="L790">IFERROR(INDEX('Player Raw Data'!Y:Y,Match($A790,'Player Raw Data'!$B:$B,0)),"")</f>
        <v/>
      </c>
      <c r="M790" t="str">
        <f t="array" ref="M790">IFERROR(INDEX('Player Raw Data'!Z:Z,Match($A790,'Player Raw Data'!$B:$B,0)),"")</f>
        <v/>
      </c>
      <c r="N790" t="str">
        <f t="array" ref="N790">IFERROR(INDEX('Player Raw Data'!AA:AA,Match($A790,'Player Raw Data'!$B:$B,0)),"")</f>
        <v/>
      </c>
      <c r="O790" t="str">
        <f t="array" ref="O790">IFERROR(INDEX('Player Raw Data'!AB:AB,Match($A790,'Player Raw Data'!$B:$B,0)),"")</f>
        <v/>
      </c>
      <c r="P790" t="str">
        <f t="array" ref="P790">IFERROR(INDEX('Player Raw Data'!AD:AD,Match($A790,'Player Raw Data'!$B:$B,0)),"")</f>
        <v/>
      </c>
      <c r="Q790">
        <f t="shared" si="1"/>
        <v>0</v>
      </c>
      <c r="R790" s="9">
        <f t="shared" si="2"/>
        <v>0</v>
      </c>
      <c r="S790" s="14">
        <f t="shared" si="3"/>
        <v>0</v>
      </c>
      <c r="T790" s="15">
        <f>IFERROR(__xludf.DUMMYFUNCTION("IFERROR(PERCENTRANK.INC(FILTER(Q:Q,$F:$F&lt;&gt;""""),Q790)*100,"""")"),1.5)</f>
        <v>1.5</v>
      </c>
      <c r="U790" s="15">
        <f>IFERROR(__xludf.DUMMYFUNCTION("IFERROR(PERCENTRANK.INC(FILTER(R:R,$F:$F&lt;&gt;""""),R790)*100,"""")"),1.5)</f>
        <v>1.5</v>
      </c>
      <c r="V790" s="15">
        <f>IFERROR(__xludf.DUMMYFUNCTION("IFERROR(PERCENTRANK.INC(FILTER(S:S,$F:$F&lt;&gt;""""),S790)*100,"""")"),1.5)</f>
        <v>1.5</v>
      </c>
      <c r="W790" s="15" t="str">
        <f t="shared" si="4"/>
        <v/>
      </c>
      <c r="X790" s="16"/>
      <c r="Y790" s="9"/>
      <c r="Z790" s="9"/>
    </row>
    <row r="791">
      <c r="B791" t="str">
        <f t="array" ref="B791">IFERROR(INDEX('Player Raw Data'!C:C,Match($A791,'Player Raw Data'!$B:$B,0)),"")</f>
        <v/>
      </c>
      <c r="C791" t="str">
        <f t="array" ref="C791">IFERROR(INDEX('Player Raw Data'!D:D,Match($A791,'Player Raw Data'!$B:$B,0)),"")</f>
        <v/>
      </c>
      <c r="D791" t="str">
        <f t="array" ref="D791">IFERROR(IF(A791=A790, INDEX('Player Raw Data'!E:E,Match($A791,'Player Raw Data'!$B:$B,0)+2),INDEX('Player Raw Data'!E:E,Match($A791,'Player Raw Data'!$B:$B,0))),"")</f>
        <v/>
      </c>
      <c r="E791" t="str">
        <f t="array" ref="E791">IFERROR(INDEX('Player Raw Data'!F:F,Match($A791,'Player Raw Data'!$B:$B,0)),"")</f>
        <v/>
      </c>
      <c r="F791" t="str">
        <f t="array" ref="F791">IFERROR(INDEX('Player Raw Data'!H:H,Match($A791,'Player Raw Data'!$B:$B,0)),"")</f>
        <v/>
      </c>
      <c r="G791" t="str">
        <f t="array" ref="G791">IFERROR(INDEX('Player Raw Data'!I:I,Match($A791,'Player Raw Data'!$B:$B,0)),"")</f>
        <v/>
      </c>
      <c r="H791" t="str">
        <f t="array" ref="H791">IFERROR(INDEX('Player Raw Data'!J:J,Match($A791,'Player Raw Data'!$B:$B,0)),"")</f>
        <v/>
      </c>
      <c r="I791" t="str">
        <f t="array" ref="I791">IFERROR(INDEX('Player Raw Data'!S:S,Match($A791,'Player Raw Data'!$B:$B,0)),"")</f>
        <v/>
      </c>
      <c r="J791" t="str">
        <f t="array" ref="J791">IFERROR(INDEX('Player Raw Data'!T:T,Match($A791,'Player Raw Data'!$B:$B,0)),"")</f>
        <v/>
      </c>
      <c r="K791" t="str">
        <f t="array" ref="K791">IFERROR(INDEX('Player Raw Data'!X:X,Match($A791,'Player Raw Data'!$B:$B,0)),"")</f>
        <v/>
      </c>
      <c r="L791" t="str">
        <f t="array" ref="L791">IFERROR(INDEX('Player Raw Data'!Y:Y,Match($A791,'Player Raw Data'!$B:$B,0)),"")</f>
        <v/>
      </c>
      <c r="M791" t="str">
        <f t="array" ref="M791">IFERROR(INDEX('Player Raw Data'!Z:Z,Match($A791,'Player Raw Data'!$B:$B,0)),"")</f>
        <v/>
      </c>
      <c r="N791" t="str">
        <f t="array" ref="N791">IFERROR(INDEX('Player Raw Data'!AA:AA,Match($A791,'Player Raw Data'!$B:$B,0)),"")</f>
        <v/>
      </c>
      <c r="O791" t="str">
        <f t="array" ref="O791">IFERROR(INDEX('Player Raw Data'!AB:AB,Match($A791,'Player Raw Data'!$B:$B,0)),"")</f>
        <v/>
      </c>
      <c r="P791" t="str">
        <f t="array" ref="P791">IFERROR(INDEX('Player Raw Data'!AD:AD,Match($A791,'Player Raw Data'!$B:$B,0)),"")</f>
        <v/>
      </c>
      <c r="Q791">
        <f t="shared" si="1"/>
        <v>0</v>
      </c>
      <c r="R791" s="9">
        <f t="shared" si="2"/>
        <v>0</v>
      </c>
      <c r="S791" s="14">
        <f t="shared" si="3"/>
        <v>0</v>
      </c>
      <c r="T791" s="15">
        <f>IFERROR(__xludf.DUMMYFUNCTION("IFERROR(PERCENTRANK.INC(FILTER(Q:Q,$F:$F&lt;&gt;""""),Q791)*100,"""")"),1.5)</f>
        <v>1.5</v>
      </c>
      <c r="U791" s="15">
        <f>IFERROR(__xludf.DUMMYFUNCTION("IFERROR(PERCENTRANK.INC(FILTER(R:R,$F:$F&lt;&gt;""""),R791)*100,"""")"),1.5)</f>
        <v>1.5</v>
      </c>
      <c r="V791" s="15">
        <f>IFERROR(__xludf.DUMMYFUNCTION("IFERROR(PERCENTRANK.INC(FILTER(S:S,$F:$F&lt;&gt;""""),S791)*100,"""")"),1.5)</f>
        <v>1.5</v>
      </c>
      <c r="W791" s="15" t="str">
        <f t="shared" si="4"/>
        <v/>
      </c>
      <c r="X791" s="16"/>
      <c r="Y791" s="9"/>
      <c r="Z791" s="9"/>
    </row>
    <row r="792">
      <c r="B792" t="str">
        <f t="array" ref="B792">IFERROR(INDEX('Player Raw Data'!C:C,Match($A792,'Player Raw Data'!$B:$B,0)),"")</f>
        <v/>
      </c>
      <c r="C792" t="str">
        <f t="array" ref="C792">IFERROR(INDEX('Player Raw Data'!D:D,Match($A792,'Player Raw Data'!$B:$B,0)),"")</f>
        <v/>
      </c>
      <c r="D792" t="str">
        <f t="array" ref="D792">IFERROR(IF(A792=A791, INDEX('Player Raw Data'!E:E,Match($A792,'Player Raw Data'!$B:$B,0)+2),INDEX('Player Raw Data'!E:E,Match($A792,'Player Raw Data'!$B:$B,0))),"")</f>
        <v/>
      </c>
      <c r="E792" t="str">
        <f t="array" ref="E792">IFERROR(INDEX('Player Raw Data'!F:F,Match($A792,'Player Raw Data'!$B:$B,0)),"")</f>
        <v/>
      </c>
      <c r="F792" t="str">
        <f t="array" ref="F792">IFERROR(INDEX('Player Raw Data'!H:H,Match($A792,'Player Raw Data'!$B:$B,0)),"")</f>
        <v/>
      </c>
      <c r="G792" t="str">
        <f t="array" ref="G792">IFERROR(INDEX('Player Raw Data'!I:I,Match($A792,'Player Raw Data'!$B:$B,0)),"")</f>
        <v/>
      </c>
      <c r="H792" t="str">
        <f t="array" ref="H792">IFERROR(INDEX('Player Raw Data'!J:J,Match($A792,'Player Raw Data'!$B:$B,0)),"")</f>
        <v/>
      </c>
      <c r="I792" t="str">
        <f t="array" ref="I792">IFERROR(INDEX('Player Raw Data'!S:S,Match($A792,'Player Raw Data'!$B:$B,0)),"")</f>
        <v/>
      </c>
      <c r="J792" t="str">
        <f t="array" ref="J792">IFERROR(INDEX('Player Raw Data'!T:T,Match($A792,'Player Raw Data'!$B:$B,0)),"")</f>
        <v/>
      </c>
      <c r="K792" t="str">
        <f t="array" ref="K792">IFERROR(INDEX('Player Raw Data'!X:X,Match($A792,'Player Raw Data'!$B:$B,0)),"")</f>
        <v/>
      </c>
      <c r="L792" t="str">
        <f t="array" ref="L792">IFERROR(INDEX('Player Raw Data'!Y:Y,Match($A792,'Player Raw Data'!$B:$B,0)),"")</f>
        <v/>
      </c>
      <c r="M792" t="str">
        <f t="array" ref="M792">IFERROR(INDEX('Player Raw Data'!Z:Z,Match($A792,'Player Raw Data'!$B:$B,0)),"")</f>
        <v/>
      </c>
      <c r="N792" t="str">
        <f t="array" ref="N792">IFERROR(INDEX('Player Raw Data'!AA:AA,Match($A792,'Player Raw Data'!$B:$B,0)),"")</f>
        <v/>
      </c>
      <c r="O792" t="str">
        <f t="array" ref="O792">IFERROR(INDEX('Player Raw Data'!AB:AB,Match($A792,'Player Raw Data'!$B:$B,0)),"")</f>
        <v/>
      </c>
      <c r="P792" t="str">
        <f t="array" ref="P792">IFERROR(INDEX('Player Raw Data'!AD:AD,Match($A792,'Player Raw Data'!$B:$B,0)),"")</f>
        <v/>
      </c>
      <c r="Q792">
        <f t="shared" si="1"/>
        <v>0</v>
      </c>
      <c r="R792" s="9">
        <f t="shared" si="2"/>
        <v>0</v>
      </c>
      <c r="S792" s="14">
        <f t="shared" si="3"/>
        <v>0</v>
      </c>
      <c r="T792" s="15">
        <f>IFERROR(__xludf.DUMMYFUNCTION("IFERROR(PERCENTRANK.INC(FILTER(Q:Q,$F:$F&lt;&gt;""""),Q792)*100,"""")"),1.5)</f>
        <v>1.5</v>
      </c>
      <c r="U792" s="15">
        <f>IFERROR(__xludf.DUMMYFUNCTION("IFERROR(PERCENTRANK.INC(FILTER(R:R,$F:$F&lt;&gt;""""),R792)*100,"""")"),1.5)</f>
        <v>1.5</v>
      </c>
      <c r="V792" s="15">
        <f>IFERROR(__xludf.DUMMYFUNCTION("IFERROR(PERCENTRANK.INC(FILTER(S:S,$F:$F&lt;&gt;""""),S792)*100,"""")"),1.5)</f>
        <v>1.5</v>
      </c>
      <c r="W792" s="15" t="str">
        <f t="shared" si="4"/>
        <v/>
      </c>
      <c r="X792" s="16"/>
      <c r="Y792" s="9"/>
      <c r="Z792" s="9"/>
    </row>
    <row r="793">
      <c r="B793" t="str">
        <f t="array" ref="B793">IFERROR(INDEX('Player Raw Data'!C:C,Match($A793,'Player Raw Data'!$B:$B,0)),"")</f>
        <v/>
      </c>
      <c r="C793" t="str">
        <f t="array" ref="C793">IFERROR(INDEX('Player Raw Data'!D:D,Match($A793,'Player Raw Data'!$B:$B,0)),"")</f>
        <v/>
      </c>
      <c r="D793" t="str">
        <f t="array" ref="D793">IFERROR(IF(A793=A792, INDEX('Player Raw Data'!E:E,Match($A793,'Player Raw Data'!$B:$B,0)+2),INDEX('Player Raw Data'!E:E,Match($A793,'Player Raw Data'!$B:$B,0))),"")</f>
        <v/>
      </c>
      <c r="E793" t="str">
        <f t="array" ref="E793">IFERROR(INDEX('Player Raw Data'!F:F,Match($A793,'Player Raw Data'!$B:$B,0)),"")</f>
        <v/>
      </c>
      <c r="F793" t="str">
        <f t="array" ref="F793">IFERROR(INDEX('Player Raw Data'!H:H,Match($A793,'Player Raw Data'!$B:$B,0)),"")</f>
        <v/>
      </c>
      <c r="G793" t="str">
        <f t="array" ref="G793">IFERROR(INDEX('Player Raw Data'!I:I,Match($A793,'Player Raw Data'!$B:$B,0)),"")</f>
        <v/>
      </c>
      <c r="H793" t="str">
        <f t="array" ref="H793">IFERROR(INDEX('Player Raw Data'!J:J,Match($A793,'Player Raw Data'!$B:$B,0)),"")</f>
        <v/>
      </c>
      <c r="I793" t="str">
        <f t="array" ref="I793">IFERROR(INDEX('Player Raw Data'!S:S,Match($A793,'Player Raw Data'!$B:$B,0)),"")</f>
        <v/>
      </c>
      <c r="J793" t="str">
        <f t="array" ref="J793">IFERROR(INDEX('Player Raw Data'!T:T,Match($A793,'Player Raw Data'!$B:$B,0)),"")</f>
        <v/>
      </c>
      <c r="K793" t="str">
        <f t="array" ref="K793">IFERROR(INDEX('Player Raw Data'!X:X,Match($A793,'Player Raw Data'!$B:$B,0)),"")</f>
        <v/>
      </c>
      <c r="L793" t="str">
        <f t="array" ref="L793">IFERROR(INDEX('Player Raw Data'!Y:Y,Match($A793,'Player Raw Data'!$B:$B,0)),"")</f>
        <v/>
      </c>
      <c r="M793" t="str">
        <f t="array" ref="M793">IFERROR(INDEX('Player Raw Data'!Z:Z,Match($A793,'Player Raw Data'!$B:$B,0)),"")</f>
        <v/>
      </c>
      <c r="N793" t="str">
        <f t="array" ref="N793">IFERROR(INDEX('Player Raw Data'!AA:AA,Match($A793,'Player Raw Data'!$B:$B,0)),"")</f>
        <v/>
      </c>
      <c r="O793" t="str">
        <f t="array" ref="O793">IFERROR(INDEX('Player Raw Data'!AB:AB,Match($A793,'Player Raw Data'!$B:$B,0)),"")</f>
        <v/>
      </c>
      <c r="P793" t="str">
        <f t="array" ref="P793">IFERROR(INDEX('Player Raw Data'!AD:AD,Match($A793,'Player Raw Data'!$B:$B,0)),"")</f>
        <v/>
      </c>
      <c r="Q793">
        <f t="shared" si="1"/>
        <v>0</v>
      </c>
      <c r="R793" s="9">
        <f t="shared" si="2"/>
        <v>0</v>
      </c>
      <c r="S793" s="14">
        <f t="shared" si="3"/>
        <v>0</v>
      </c>
      <c r="T793" s="15">
        <f>IFERROR(__xludf.DUMMYFUNCTION("IFERROR(PERCENTRANK.INC(FILTER(Q:Q,$F:$F&lt;&gt;""""),Q793)*100,"""")"),1.5)</f>
        <v>1.5</v>
      </c>
      <c r="U793" s="15">
        <f>IFERROR(__xludf.DUMMYFUNCTION("IFERROR(PERCENTRANK.INC(FILTER(R:R,$F:$F&lt;&gt;""""),R793)*100,"""")"),1.5)</f>
        <v>1.5</v>
      </c>
      <c r="V793" s="15">
        <f>IFERROR(__xludf.DUMMYFUNCTION("IFERROR(PERCENTRANK.INC(FILTER(S:S,$F:$F&lt;&gt;""""),S793)*100,"""")"),1.5)</f>
        <v>1.5</v>
      </c>
      <c r="W793" s="15" t="str">
        <f t="shared" si="4"/>
        <v/>
      </c>
      <c r="X793" s="16"/>
      <c r="Y793" s="9"/>
      <c r="Z793" s="9"/>
    </row>
    <row r="794">
      <c r="B794" t="str">
        <f t="array" ref="B794">IFERROR(INDEX('Player Raw Data'!C:C,Match($A794,'Player Raw Data'!$B:$B,0)),"")</f>
        <v/>
      </c>
      <c r="C794" t="str">
        <f t="array" ref="C794">IFERROR(INDEX('Player Raw Data'!D:D,Match($A794,'Player Raw Data'!$B:$B,0)),"")</f>
        <v/>
      </c>
      <c r="D794" t="str">
        <f t="array" ref="D794">IFERROR(IF(A794=A793, INDEX('Player Raw Data'!E:E,Match($A794,'Player Raw Data'!$B:$B,0)+2),INDEX('Player Raw Data'!E:E,Match($A794,'Player Raw Data'!$B:$B,0))),"")</f>
        <v/>
      </c>
      <c r="E794" t="str">
        <f t="array" ref="E794">IFERROR(INDEX('Player Raw Data'!F:F,Match($A794,'Player Raw Data'!$B:$B,0)),"")</f>
        <v/>
      </c>
      <c r="F794" t="str">
        <f t="array" ref="F794">IFERROR(INDEX('Player Raw Data'!H:H,Match($A794,'Player Raw Data'!$B:$B,0)),"")</f>
        <v/>
      </c>
      <c r="G794" t="str">
        <f t="array" ref="G794">IFERROR(INDEX('Player Raw Data'!I:I,Match($A794,'Player Raw Data'!$B:$B,0)),"")</f>
        <v/>
      </c>
      <c r="H794" t="str">
        <f t="array" ref="H794">IFERROR(INDEX('Player Raw Data'!J:J,Match($A794,'Player Raw Data'!$B:$B,0)),"")</f>
        <v/>
      </c>
      <c r="I794" t="str">
        <f t="array" ref="I794">IFERROR(INDEX('Player Raw Data'!S:S,Match($A794,'Player Raw Data'!$B:$B,0)),"")</f>
        <v/>
      </c>
      <c r="J794" t="str">
        <f t="array" ref="J794">IFERROR(INDEX('Player Raw Data'!T:T,Match($A794,'Player Raw Data'!$B:$B,0)),"")</f>
        <v/>
      </c>
      <c r="K794" t="str">
        <f t="array" ref="K794">IFERROR(INDEX('Player Raw Data'!X:X,Match($A794,'Player Raw Data'!$B:$B,0)),"")</f>
        <v/>
      </c>
      <c r="L794" t="str">
        <f t="array" ref="L794">IFERROR(INDEX('Player Raw Data'!Y:Y,Match($A794,'Player Raw Data'!$B:$B,0)),"")</f>
        <v/>
      </c>
      <c r="M794" t="str">
        <f t="array" ref="M794">IFERROR(INDEX('Player Raw Data'!Z:Z,Match($A794,'Player Raw Data'!$B:$B,0)),"")</f>
        <v/>
      </c>
      <c r="N794" t="str">
        <f t="array" ref="N794">IFERROR(INDEX('Player Raw Data'!AA:AA,Match($A794,'Player Raw Data'!$B:$B,0)),"")</f>
        <v/>
      </c>
      <c r="O794" t="str">
        <f t="array" ref="O794">IFERROR(INDEX('Player Raw Data'!AB:AB,Match($A794,'Player Raw Data'!$B:$B,0)),"")</f>
        <v/>
      </c>
      <c r="P794" t="str">
        <f t="array" ref="P794">IFERROR(INDEX('Player Raw Data'!AD:AD,Match($A794,'Player Raw Data'!$B:$B,0)),"")</f>
        <v/>
      </c>
      <c r="Q794">
        <f t="shared" si="1"/>
        <v>0</v>
      </c>
      <c r="R794" s="9">
        <f t="shared" si="2"/>
        <v>0</v>
      </c>
      <c r="S794" s="14">
        <f t="shared" si="3"/>
        <v>0</v>
      </c>
      <c r="T794" s="15">
        <f>IFERROR(__xludf.DUMMYFUNCTION("IFERROR(PERCENTRANK.INC(FILTER(Q:Q,$F:$F&lt;&gt;""""),Q794)*100,"""")"),1.5)</f>
        <v>1.5</v>
      </c>
      <c r="U794" s="15">
        <f>IFERROR(__xludf.DUMMYFUNCTION("IFERROR(PERCENTRANK.INC(FILTER(R:R,$F:$F&lt;&gt;""""),R794)*100,"""")"),1.5)</f>
        <v>1.5</v>
      </c>
      <c r="V794" s="15">
        <f>IFERROR(__xludf.DUMMYFUNCTION("IFERROR(PERCENTRANK.INC(FILTER(S:S,$F:$F&lt;&gt;""""),S794)*100,"""")"),1.5)</f>
        <v>1.5</v>
      </c>
      <c r="W794" s="15" t="str">
        <f t="shared" si="4"/>
        <v/>
      </c>
      <c r="X794" s="16"/>
      <c r="Y794" s="9"/>
      <c r="Z794" s="9"/>
    </row>
    <row r="795">
      <c r="B795" t="str">
        <f t="array" ref="B795">IFERROR(INDEX('Player Raw Data'!C:C,Match($A795,'Player Raw Data'!$B:$B,0)),"")</f>
        <v/>
      </c>
      <c r="C795" t="str">
        <f t="array" ref="C795">IFERROR(INDEX('Player Raw Data'!D:D,Match($A795,'Player Raw Data'!$B:$B,0)),"")</f>
        <v/>
      </c>
      <c r="D795" t="str">
        <f t="array" ref="D795">IFERROR(IF(A795=A794, INDEX('Player Raw Data'!E:E,Match($A795,'Player Raw Data'!$B:$B,0)+2),INDEX('Player Raw Data'!E:E,Match($A795,'Player Raw Data'!$B:$B,0))),"")</f>
        <v/>
      </c>
      <c r="E795" t="str">
        <f t="array" ref="E795">IFERROR(INDEX('Player Raw Data'!F:F,Match($A795,'Player Raw Data'!$B:$B,0)),"")</f>
        <v/>
      </c>
      <c r="F795" t="str">
        <f t="array" ref="F795">IFERROR(INDEX('Player Raw Data'!H:H,Match($A795,'Player Raw Data'!$B:$B,0)),"")</f>
        <v/>
      </c>
      <c r="G795" t="str">
        <f t="array" ref="G795">IFERROR(INDEX('Player Raw Data'!I:I,Match($A795,'Player Raw Data'!$B:$B,0)),"")</f>
        <v/>
      </c>
      <c r="H795" t="str">
        <f t="array" ref="H795">IFERROR(INDEX('Player Raw Data'!J:J,Match($A795,'Player Raw Data'!$B:$B,0)),"")</f>
        <v/>
      </c>
      <c r="I795" t="str">
        <f t="array" ref="I795">IFERROR(INDEX('Player Raw Data'!S:S,Match($A795,'Player Raw Data'!$B:$B,0)),"")</f>
        <v/>
      </c>
      <c r="J795" t="str">
        <f t="array" ref="J795">IFERROR(INDEX('Player Raw Data'!T:T,Match($A795,'Player Raw Data'!$B:$B,0)),"")</f>
        <v/>
      </c>
      <c r="K795" t="str">
        <f t="array" ref="K795">IFERROR(INDEX('Player Raw Data'!X:X,Match($A795,'Player Raw Data'!$B:$B,0)),"")</f>
        <v/>
      </c>
      <c r="L795" t="str">
        <f t="array" ref="L795">IFERROR(INDEX('Player Raw Data'!Y:Y,Match($A795,'Player Raw Data'!$B:$B,0)),"")</f>
        <v/>
      </c>
      <c r="M795" t="str">
        <f t="array" ref="M795">IFERROR(INDEX('Player Raw Data'!Z:Z,Match($A795,'Player Raw Data'!$B:$B,0)),"")</f>
        <v/>
      </c>
      <c r="N795" t="str">
        <f t="array" ref="N795">IFERROR(INDEX('Player Raw Data'!AA:AA,Match($A795,'Player Raw Data'!$B:$B,0)),"")</f>
        <v/>
      </c>
      <c r="O795" t="str">
        <f t="array" ref="O795">IFERROR(INDEX('Player Raw Data'!AB:AB,Match($A795,'Player Raw Data'!$B:$B,0)),"")</f>
        <v/>
      </c>
      <c r="P795" t="str">
        <f t="array" ref="P795">IFERROR(INDEX('Player Raw Data'!AD:AD,Match($A795,'Player Raw Data'!$B:$B,0)),"")</f>
        <v/>
      </c>
      <c r="Q795">
        <f t="shared" si="1"/>
        <v>0</v>
      </c>
      <c r="R795" s="9">
        <f t="shared" si="2"/>
        <v>0</v>
      </c>
      <c r="S795" s="14">
        <f t="shared" si="3"/>
        <v>0</v>
      </c>
      <c r="T795" s="15">
        <f>IFERROR(__xludf.DUMMYFUNCTION("IFERROR(PERCENTRANK.INC(FILTER(Q:Q,$F:$F&lt;&gt;""""),Q795)*100,"""")"),1.5)</f>
        <v>1.5</v>
      </c>
      <c r="U795" s="15">
        <f>IFERROR(__xludf.DUMMYFUNCTION("IFERROR(PERCENTRANK.INC(FILTER(R:R,$F:$F&lt;&gt;""""),R795)*100,"""")"),1.5)</f>
        <v>1.5</v>
      </c>
      <c r="V795" s="15">
        <f>IFERROR(__xludf.DUMMYFUNCTION("IFERROR(PERCENTRANK.INC(FILTER(S:S,$F:$F&lt;&gt;""""),S795)*100,"""")"),1.5)</f>
        <v>1.5</v>
      </c>
      <c r="W795" s="15" t="str">
        <f t="shared" si="4"/>
        <v/>
      </c>
      <c r="X795" s="16"/>
      <c r="Y795" s="9"/>
      <c r="Z795" s="9"/>
    </row>
    <row r="796">
      <c r="B796" t="str">
        <f t="array" ref="B796">IFERROR(INDEX('Player Raw Data'!C:C,Match($A796,'Player Raw Data'!$B:$B,0)),"")</f>
        <v/>
      </c>
      <c r="C796" t="str">
        <f t="array" ref="C796">IFERROR(INDEX('Player Raw Data'!D:D,Match($A796,'Player Raw Data'!$B:$B,0)),"")</f>
        <v/>
      </c>
      <c r="D796" t="str">
        <f t="array" ref="D796">IFERROR(IF(A796=A795, INDEX('Player Raw Data'!E:E,Match($A796,'Player Raw Data'!$B:$B,0)+2),INDEX('Player Raw Data'!E:E,Match($A796,'Player Raw Data'!$B:$B,0))),"")</f>
        <v/>
      </c>
      <c r="E796" t="str">
        <f t="array" ref="E796">IFERROR(INDEX('Player Raw Data'!F:F,Match($A796,'Player Raw Data'!$B:$B,0)),"")</f>
        <v/>
      </c>
      <c r="F796" t="str">
        <f t="array" ref="F796">IFERROR(INDEX('Player Raw Data'!H:H,Match($A796,'Player Raw Data'!$B:$B,0)),"")</f>
        <v/>
      </c>
      <c r="G796" t="str">
        <f t="array" ref="G796">IFERROR(INDEX('Player Raw Data'!I:I,Match($A796,'Player Raw Data'!$B:$B,0)),"")</f>
        <v/>
      </c>
      <c r="H796" t="str">
        <f t="array" ref="H796">IFERROR(INDEX('Player Raw Data'!J:J,Match($A796,'Player Raw Data'!$B:$B,0)),"")</f>
        <v/>
      </c>
      <c r="I796" t="str">
        <f t="array" ref="I796">IFERROR(INDEX('Player Raw Data'!S:S,Match($A796,'Player Raw Data'!$B:$B,0)),"")</f>
        <v/>
      </c>
      <c r="J796" t="str">
        <f t="array" ref="J796">IFERROR(INDEX('Player Raw Data'!T:T,Match($A796,'Player Raw Data'!$B:$B,0)),"")</f>
        <v/>
      </c>
      <c r="K796" t="str">
        <f t="array" ref="K796">IFERROR(INDEX('Player Raw Data'!X:X,Match($A796,'Player Raw Data'!$B:$B,0)),"")</f>
        <v/>
      </c>
      <c r="L796" t="str">
        <f t="array" ref="L796">IFERROR(INDEX('Player Raw Data'!Y:Y,Match($A796,'Player Raw Data'!$B:$B,0)),"")</f>
        <v/>
      </c>
      <c r="M796" t="str">
        <f t="array" ref="M796">IFERROR(INDEX('Player Raw Data'!Z:Z,Match($A796,'Player Raw Data'!$B:$B,0)),"")</f>
        <v/>
      </c>
      <c r="N796" t="str">
        <f t="array" ref="N796">IFERROR(INDEX('Player Raw Data'!AA:AA,Match($A796,'Player Raw Data'!$B:$B,0)),"")</f>
        <v/>
      </c>
      <c r="O796" t="str">
        <f t="array" ref="O796">IFERROR(INDEX('Player Raw Data'!AB:AB,Match($A796,'Player Raw Data'!$B:$B,0)),"")</f>
        <v/>
      </c>
      <c r="P796" t="str">
        <f t="array" ref="P796">IFERROR(INDEX('Player Raw Data'!AD:AD,Match($A796,'Player Raw Data'!$B:$B,0)),"")</f>
        <v/>
      </c>
      <c r="Q796">
        <f t="shared" si="1"/>
        <v>0</v>
      </c>
      <c r="R796" s="9">
        <f t="shared" si="2"/>
        <v>0</v>
      </c>
      <c r="S796" s="14">
        <f t="shared" si="3"/>
        <v>0</v>
      </c>
      <c r="T796" s="15">
        <f>IFERROR(__xludf.DUMMYFUNCTION("IFERROR(PERCENTRANK.INC(FILTER(Q:Q,$F:$F&lt;&gt;""""),Q796)*100,"""")"),1.5)</f>
        <v>1.5</v>
      </c>
      <c r="U796" s="15">
        <f>IFERROR(__xludf.DUMMYFUNCTION("IFERROR(PERCENTRANK.INC(FILTER(R:R,$F:$F&lt;&gt;""""),R796)*100,"""")"),1.5)</f>
        <v>1.5</v>
      </c>
      <c r="V796" s="15">
        <f>IFERROR(__xludf.DUMMYFUNCTION("IFERROR(PERCENTRANK.INC(FILTER(S:S,$F:$F&lt;&gt;""""),S796)*100,"""")"),1.5)</f>
        <v>1.5</v>
      </c>
      <c r="W796" s="15" t="str">
        <f t="shared" si="4"/>
        <v/>
      </c>
      <c r="X796" s="16"/>
      <c r="Y796" s="9"/>
      <c r="Z796" s="9"/>
    </row>
    <row r="797">
      <c r="B797" t="str">
        <f t="array" ref="B797">IFERROR(INDEX('Player Raw Data'!C:C,Match($A797,'Player Raw Data'!$B:$B,0)),"")</f>
        <v/>
      </c>
      <c r="C797" t="str">
        <f t="array" ref="C797">IFERROR(INDEX('Player Raw Data'!D:D,Match($A797,'Player Raw Data'!$B:$B,0)),"")</f>
        <v/>
      </c>
      <c r="D797" t="str">
        <f t="array" ref="D797">IFERROR(IF(A797=A796, INDEX('Player Raw Data'!E:E,Match($A797,'Player Raw Data'!$B:$B,0)+2),INDEX('Player Raw Data'!E:E,Match($A797,'Player Raw Data'!$B:$B,0))),"")</f>
        <v/>
      </c>
      <c r="E797" t="str">
        <f t="array" ref="E797">IFERROR(INDEX('Player Raw Data'!F:F,Match($A797,'Player Raw Data'!$B:$B,0)),"")</f>
        <v/>
      </c>
      <c r="F797" t="str">
        <f t="array" ref="F797">IFERROR(INDEX('Player Raw Data'!H:H,Match($A797,'Player Raw Data'!$B:$B,0)),"")</f>
        <v/>
      </c>
      <c r="G797" t="str">
        <f t="array" ref="G797">IFERROR(INDEX('Player Raw Data'!I:I,Match($A797,'Player Raw Data'!$B:$B,0)),"")</f>
        <v/>
      </c>
      <c r="H797" t="str">
        <f t="array" ref="H797">IFERROR(INDEX('Player Raw Data'!J:J,Match($A797,'Player Raw Data'!$B:$B,0)),"")</f>
        <v/>
      </c>
      <c r="I797" t="str">
        <f t="array" ref="I797">IFERROR(INDEX('Player Raw Data'!S:S,Match($A797,'Player Raw Data'!$B:$B,0)),"")</f>
        <v/>
      </c>
      <c r="J797" t="str">
        <f t="array" ref="J797">IFERROR(INDEX('Player Raw Data'!T:T,Match($A797,'Player Raw Data'!$B:$B,0)),"")</f>
        <v/>
      </c>
      <c r="K797" t="str">
        <f t="array" ref="K797">IFERROR(INDEX('Player Raw Data'!X:X,Match($A797,'Player Raw Data'!$B:$B,0)),"")</f>
        <v/>
      </c>
      <c r="L797" t="str">
        <f t="array" ref="L797">IFERROR(INDEX('Player Raw Data'!Y:Y,Match($A797,'Player Raw Data'!$B:$B,0)),"")</f>
        <v/>
      </c>
      <c r="M797" t="str">
        <f t="array" ref="M797">IFERROR(INDEX('Player Raw Data'!Z:Z,Match($A797,'Player Raw Data'!$B:$B,0)),"")</f>
        <v/>
      </c>
      <c r="N797" t="str">
        <f t="array" ref="N797">IFERROR(INDEX('Player Raw Data'!AA:AA,Match($A797,'Player Raw Data'!$B:$B,0)),"")</f>
        <v/>
      </c>
      <c r="O797" t="str">
        <f t="array" ref="O797">IFERROR(INDEX('Player Raw Data'!AB:AB,Match($A797,'Player Raw Data'!$B:$B,0)),"")</f>
        <v/>
      </c>
      <c r="P797" t="str">
        <f t="array" ref="P797">IFERROR(INDEX('Player Raw Data'!AD:AD,Match($A797,'Player Raw Data'!$B:$B,0)),"")</f>
        <v/>
      </c>
      <c r="Q797">
        <f t="shared" si="1"/>
        <v>0</v>
      </c>
      <c r="R797" s="9">
        <f t="shared" si="2"/>
        <v>0</v>
      </c>
      <c r="S797" s="14">
        <f t="shared" si="3"/>
        <v>0</v>
      </c>
      <c r="T797" s="15">
        <f>IFERROR(__xludf.DUMMYFUNCTION("IFERROR(PERCENTRANK.INC(FILTER(Q:Q,$F:$F&lt;&gt;""""),Q797)*100,"""")"),1.5)</f>
        <v>1.5</v>
      </c>
      <c r="U797" s="15">
        <f>IFERROR(__xludf.DUMMYFUNCTION("IFERROR(PERCENTRANK.INC(FILTER(R:R,$F:$F&lt;&gt;""""),R797)*100,"""")"),1.5)</f>
        <v>1.5</v>
      </c>
      <c r="V797" s="15">
        <f>IFERROR(__xludf.DUMMYFUNCTION("IFERROR(PERCENTRANK.INC(FILTER(S:S,$F:$F&lt;&gt;""""),S797)*100,"""")"),1.5)</f>
        <v>1.5</v>
      </c>
      <c r="W797" s="15" t="str">
        <f t="shared" si="4"/>
        <v/>
      </c>
      <c r="X797" s="16"/>
      <c r="Y797" s="9"/>
      <c r="Z797" s="9"/>
    </row>
    <row r="798">
      <c r="B798" t="str">
        <f t="array" ref="B798">IFERROR(INDEX('Player Raw Data'!C:C,Match($A798,'Player Raw Data'!$B:$B,0)),"")</f>
        <v/>
      </c>
      <c r="C798" t="str">
        <f t="array" ref="C798">IFERROR(INDEX('Player Raw Data'!D:D,Match($A798,'Player Raw Data'!$B:$B,0)),"")</f>
        <v/>
      </c>
      <c r="D798" t="str">
        <f t="array" ref="D798">IFERROR(IF(A798=A797, INDEX('Player Raw Data'!E:E,Match($A798,'Player Raw Data'!$B:$B,0)+2),INDEX('Player Raw Data'!E:E,Match($A798,'Player Raw Data'!$B:$B,0))),"")</f>
        <v/>
      </c>
      <c r="E798" t="str">
        <f t="array" ref="E798">IFERROR(INDEX('Player Raw Data'!F:F,Match($A798,'Player Raw Data'!$B:$B,0)),"")</f>
        <v/>
      </c>
      <c r="F798" t="str">
        <f t="array" ref="F798">IFERROR(INDEX('Player Raw Data'!H:H,Match($A798,'Player Raw Data'!$B:$B,0)),"")</f>
        <v/>
      </c>
      <c r="G798" t="str">
        <f t="array" ref="G798">IFERROR(INDEX('Player Raw Data'!I:I,Match($A798,'Player Raw Data'!$B:$B,0)),"")</f>
        <v/>
      </c>
      <c r="H798" t="str">
        <f t="array" ref="H798">IFERROR(INDEX('Player Raw Data'!J:J,Match($A798,'Player Raw Data'!$B:$B,0)),"")</f>
        <v/>
      </c>
      <c r="I798" t="str">
        <f t="array" ref="I798">IFERROR(INDEX('Player Raw Data'!S:S,Match($A798,'Player Raw Data'!$B:$B,0)),"")</f>
        <v/>
      </c>
      <c r="J798" t="str">
        <f t="array" ref="J798">IFERROR(INDEX('Player Raw Data'!T:T,Match($A798,'Player Raw Data'!$B:$B,0)),"")</f>
        <v/>
      </c>
      <c r="K798" t="str">
        <f t="array" ref="K798">IFERROR(INDEX('Player Raw Data'!X:X,Match($A798,'Player Raw Data'!$B:$B,0)),"")</f>
        <v/>
      </c>
      <c r="L798" t="str">
        <f t="array" ref="L798">IFERROR(INDEX('Player Raw Data'!Y:Y,Match($A798,'Player Raw Data'!$B:$B,0)),"")</f>
        <v/>
      </c>
      <c r="M798" t="str">
        <f t="array" ref="M798">IFERROR(INDEX('Player Raw Data'!Z:Z,Match($A798,'Player Raw Data'!$B:$B,0)),"")</f>
        <v/>
      </c>
      <c r="N798" t="str">
        <f t="array" ref="N798">IFERROR(INDEX('Player Raw Data'!AA:AA,Match($A798,'Player Raw Data'!$B:$B,0)),"")</f>
        <v/>
      </c>
      <c r="O798" t="str">
        <f t="array" ref="O798">IFERROR(INDEX('Player Raw Data'!AB:AB,Match($A798,'Player Raw Data'!$B:$B,0)),"")</f>
        <v/>
      </c>
      <c r="P798" t="str">
        <f t="array" ref="P798">IFERROR(INDEX('Player Raw Data'!AD:AD,Match($A798,'Player Raw Data'!$B:$B,0)),"")</f>
        <v/>
      </c>
      <c r="Q798">
        <f t="shared" si="1"/>
        <v>0</v>
      </c>
      <c r="R798" s="9">
        <f t="shared" si="2"/>
        <v>0</v>
      </c>
      <c r="S798" s="14">
        <f t="shared" si="3"/>
        <v>0</v>
      </c>
      <c r="T798" s="15">
        <f>IFERROR(__xludf.DUMMYFUNCTION("IFERROR(PERCENTRANK.INC(FILTER(Q:Q,$F:$F&lt;&gt;""""),Q798)*100,"""")"),1.5)</f>
        <v>1.5</v>
      </c>
      <c r="U798" s="15">
        <f>IFERROR(__xludf.DUMMYFUNCTION("IFERROR(PERCENTRANK.INC(FILTER(R:R,$F:$F&lt;&gt;""""),R798)*100,"""")"),1.5)</f>
        <v>1.5</v>
      </c>
      <c r="V798" s="15">
        <f>IFERROR(__xludf.DUMMYFUNCTION("IFERROR(PERCENTRANK.INC(FILTER(S:S,$F:$F&lt;&gt;""""),S798)*100,"""")"),1.5)</f>
        <v>1.5</v>
      </c>
      <c r="W798" s="15" t="str">
        <f t="shared" si="4"/>
        <v/>
      </c>
      <c r="X798" s="16"/>
      <c r="Y798" s="9"/>
      <c r="Z798" s="9"/>
    </row>
    <row r="799">
      <c r="B799" t="str">
        <f t="array" ref="B799">IFERROR(INDEX('Player Raw Data'!C:C,Match($A799,'Player Raw Data'!$B:$B,0)),"")</f>
        <v/>
      </c>
      <c r="C799" t="str">
        <f t="array" ref="C799">IFERROR(INDEX('Player Raw Data'!D:D,Match($A799,'Player Raw Data'!$B:$B,0)),"")</f>
        <v/>
      </c>
      <c r="D799" t="str">
        <f t="array" ref="D799">IFERROR(IF(A799=A798, INDEX('Player Raw Data'!E:E,Match($A799,'Player Raw Data'!$B:$B,0)+2),INDEX('Player Raw Data'!E:E,Match($A799,'Player Raw Data'!$B:$B,0))),"")</f>
        <v/>
      </c>
      <c r="E799" t="str">
        <f t="array" ref="E799">IFERROR(INDEX('Player Raw Data'!F:F,Match($A799,'Player Raw Data'!$B:$B,0)),"")</f>
        <v/>
      </c>
      <c r="F799" t="str">
        <f t="array" ref="F799">IFERROR(INDEX('Player Raw Data'!H:H,Match($A799,'Player Raw Data'!$B:$B,0)),"")</f>
        <v/>
      </c>
      <c r="G799" t="str">
        <f t="array" ref="G799">IFERROR(INDEX('Player Raw Data'!I:I,Match($A799,'Player Raw Data'!$B:$B,0)),"")</f>
        <v/>
      </c>
      <c r="H799" t="str">
        <f t="array" ref="H799">IFERROR(INDEX('Player Raw Data'!J:J,Match($A799,'Player Raw Data'!$B:$B,0)),"")</f>
        <v/>
      </c>
      <c r="I799" t="str">
        <f t="array" ref="I799">IFERROR(INDEX('Player Raw Data'!S:S,Match($A799,'Player Raw Data'!$B:$B,0)),"")</f>
        <v/>
      </c>
      <c r="J799" t="str">
        <f t="array" ref="J799">IFERROR(INDEX('Player Raw Data'!T:T,Match($A799,'Player Raw Data'!$B:$B,0)),"")</f>
        <v/>
      </c>
      <c r="K799" t="str">
        <f t="array" ref="K799">IFERROR(INDEX('Player Raw Data'!X:X,Match($A799,'Player Raw Data'!$B:$B,0)),"")</f>
        <v/>
      </c>
      <c r="L799" t="str">
        <f t="array" ref="L799">IFERROR(INDEX('Player Raw Data'!Y:Y,Match($A799,'Player Raw Data'!$B:$B,0)),"")</f>
        <v/>
      </c>
      <c r="M799" t="str">
        <f t="array" ref="M799">IFERROR(INDEX('Player Raw Data'!Z:Z,Match($A799,'Player Raw Data'!$B:$B,0)),"")</f>
        <v/>
      </c>
      <c r="N799" t="str">
        <f t="array" ref="N799">IFERROR(INDEX('Player Raw Data'!AA:AA,Match($A799,'Player Raw Data'!$B:$B,0)),"")</f>
        <v/>
      </c>
      <c r="O799" t="str">
        <f t="array" ref="O799">IFERROR(INDEX('Player Raw Data'!AB:AB,Match($A799,'Player Raw Data'!$B:$B,0)),"")</f>
        <v/>
      </c>
      <c r="P799" t="str">
        <f t="array" ref="P799">IFERROR(INDEX('Player Raw Data'!AD:AD,Match($A799,'Player Raw Data'!$B:$B,0)),"")</f>
        <v/>
      </c>
      <c r="Q799">
        <f t="shared" si="1"/>
        <v>0</v>
      </c>
      <c r="R799" s="9">
        <f t="shared" si="2"/>
        <v>0</v>
      </c>
      <c r="S799" s="14">
        <f t="shared" si="3"/>
        <v>0</v>
      </c>
      <c r="T799" s="15">
        <f>IFERROR(__xludf.DUMMYFUNCTION("IFERROR(PERCENTRANK.INC(FILTER(Q:Q,$F:$F&lt;&gt;""""),Q799)*100,"""")"),1.5)</f>
        <v>1.5</v>
      </c>
      <c r="U799" s="15">
        <f>IFERROR(__xludf.DUMMYFUNCTION("IFERROR(PERCENTRANK.INC(FILTER(R:R,$F:$F&lt;&gt;""""),R799)*100,"""")"),1.5)</f>
        <v>1.5</v>
      </c>
      <c r="V799" s="15">
        <f>IFERROR(__xludf.DUMMYFUNCTION("IFERROR(PERCENTRANK.INC(FILTER(S:S,$F:$F&lt;&gt;""""),S799)*100,"""")"),1.5)</f>
        <v>1.5</v>
      </c>
      <c r="W799" s="15" t="str">
        <f t="shared" si="4"/>
        <v/>
      </c>
      <c r="X799" s="16"/>
      <c r="Y799" s="9"/>
      <c r="Z799" s="9"/>
    </row>
    <row r="800">
      <c r="B800" t="str">
        <f t="array" ref="B800">IFERROR(INDEX('Player Raw Data'!C:C,Match($A800,'Player Raw Data'!$B:$B,0)),"")</f>
        <v/>
      </c>
      <c r="C800" t="str">
        <f t="array" ref="C800">IFERROR(INDEX('Player Raw Data'!D:D,Match($A800,'Player Raw Data'!$B:$B,0)),"")</f>
        <v/>
      </c>
      <c r="D800" t="str">
        <f t="array" ref="D800">IFERROR(IF(A800=A799, INDEX('Player Raw Data'!E:E,Match($A800,'Player Raw Data'!$B:$B,0)+2),INDEX('Player Raw Data'!E:E,Match($A800,'Player Raw Data'!$B:$B,0))),"")</f>
        <v/>
      </c>
      <c r="E800" t="str">
        <f t="array" ref="E800">IFERROR(INDEX('Player Raw Data'!F:F,Match($A800,'Player Raw Data'!$B:$B,0)),"")</f>
        <v/>
      </c>
      <c r="F800" t="str">
        <f t="array" ref="F800">IFERROR(INDEX('Player Raw Data'!H:H,Match($A800,'Player Raw Data'!$B:$B,0)),"")</f>
        <v/>
      </c>
      <c r="G800" t="str">
        <f t="array" ref="G800">IFERROR(INDEX('Player Raw Data'!I:I,Match($A800,'Player Raw Data'!$B:$B,0)),"")</f>
        <v/>
      </c>
      <c r="H800" t="str">
        <f t="array" ref="H800">IFERROR(INDEX('Player Raw Data'!J:J,Match($A800,'Player Raw Data'!$B:$B,0)),"")</f>
        <v/>
      </c>
      <c r="I800" t="str">
        <f t="array" ref="I800">IFERROR(INDEX('Player Raw Data'!S:S,Match($A800,'Player Raw Data'!$B:$B,0)),"")</f>
        <v/>
      </c>
      <c r="J800" t="str">
        <f t="array" ref="J800">IFERROR(INDEX('Player Raw Data'!T:T,Match($A800,'Player Raw Data'!$B:$B,0)),"")</f>
        <v/>
      </c>
      <c r="K800" t="str">
        <f t="array" ref="K800">IFERROR(INDEX('Player Raw Data'!X:X,Match($A800,'Player Raw Data'!$B:$B,0)),"")</f>
        <v/>
      </c>
      <c r="L800" t="str">
        <f t="array" ref="L800">IFERROR(INDEX('Player Raw Data'!Y:Y,Match($A800,'Player Raw Data'!$B:$B,0)),"")</f>
        <v/>
      </c>
      <c r="M800" t="str">
        <f t="array" ref="M800">IFERROR(INDEX('Player Raw Data'!Z:Z,Match($A800,'Player Raw Data'!$B:$B,0)),"")</f>
        <v/>
      </c>
      <c r="N800" t="str">
        <f t="array" ref="N800">IFERROR(INDEX('Player Raw Data'!AA:AA,Match($A800,'Player Raw Data'!$B:$B,0)),"")</f>
        <v/>
      </c>
      <c r="O800" t="str">
        <f t="array" ref="O800">IFERROR(INDEX('Player Raw Data'!AB:AB,Match($A800,'Player Raw Data'!$B:$B,0)),"")</f>
        <v/>
      </c>
      <c r="P800" t="str">
        <f t="array" ref="P800">IFERROR(INDEX('Player Raw Data'!AD:AD,Match($A800,'Player Raw Data'!$B:$B,0)),"")</f>
        <v/>
      </c>
      <c r="Q800">
        <f t="shared" si="1"/>
        <v>0</v>
      </c>
      <c r="R800" s="9">
        <f t="shared" si="2"/>
        <v>0</v>
      </c>
      <c r="S800" s="14">
        <f t="shared" si="3"/>
        <v>0</v>
      </c>
      <c r="T800" s="15">
        <f>IFERROR(__xludf.DUMMYFUNCTION("IFERROR(PERCENTRANK.INC(FILTER(Q:Q,$F:$F&lt;&gt;""""),Q800)*100,"""")"),1.5)</f>
        <v>1.5</v>
      </c>
      <c r="U800" s="15">
        <f>IFERROR(__xludf.DUMMYFUNCTION("IFERROR(PERCENTRANK.INC(FILTER(R:R,$F:$F&lt;&gt;""""),R800)*100,"""")"),1.5)</f>
        <v>1.5</v>
      </c>
      <c r="V800" s="15">
        <f>IFERROR(__xludf.DUMMYFUNCTION("IFERROR(PERCENTRANK.INC(FILTER(S:S,$F:$F&lt;&gt;""""),S800)*100,"""")"),1.5)</f>
        <v>1.5</v>
      </c>
      <c r="W800" s="15" t="str">
        <f t="shared" si="4"/>
        <v/>
      </c>
      <c r="X800" s="16"/>
      <c r="Y800" s="9"/>
      <c r="Z800" s="9"/>
    </row>
    <row r="801">
      <c r="B801" t="str">
        <f t="array" ref="B801">IFERROR(INDEX('Player Raw Data'!C:C,Match($A801,'Player Raw Data'!$B:$B,0)),"")</f>
        <v/>
      </c>
      <c r="C801" t="str">
        <f t="array" ref="C801">IFERROR(INDEX('Player Raw Data'!D:D,Match($A801,'Player Raw Data'!$B:$B,0)),"")</f>
        <v/>
      </c>
      <c r="D801" t="str">
        <f t="array" ref="D801">IFERROR(IF(A801=A800, INDEX('Player Raw Data'!E:E,Match($A801,'Player Raw Data'!$B:$B,0)+2),INDEX('Player Raw Data'!E:E,Match($A801,'Player Raw Data'!$B:$B,0))),"")</f>
        <v/>
      </c>
      <c r="E801" t="str">
        <f t="array" ref="E801">IFERROR(INDEX('Player Raw Data'!F:F,Match($A801,'Player Raw Data'!$B:$B,0)),"")</f>
        <v/>
      </c>
      <c r="F801" t="str">
        <f t="array" ref="F801">IFERROR(INDEX('Player Raw Data'!H:H,Match($A801,'Player Raw Data'!$B:$B,0)),"")</f>
        <v/>
      </c>
      <c r="G801" t="str">
        <f t="array" ref="G801">IFERROR(INDEX('Player Raw Data'!I:I,Match($A801,'Player Raw Data'!$B:$B,0)),"")</f>
        <v/>
      </c>
      <c r="H801" t="str">
        <f t="array" ref="H801">IFERROR(INDEX('Player Raw Data'!J:J,Match($A801,'Player Raw Data'!$B:$B,0)),"")</f>
        <v/>
      </c>
      <c r="I801" t="str">
        <f t="array" ref="I801">IFERROR(INDEX('Player Raw Data'!S:S,Match($A801,'Player Raw Data'!$B:$B,0)),"")</f>
        <v/>
      </c>
      <c r="J801" t="str">
        <f t="array" ref="J801">IFERROR(INDEX('Player Raw Data'!T:T,Match($A801,'Player Raw Data'!$B:$B,0)),"")</f>
        <v/>
      </c>
      <c r="K801" t="str">
        <f t="array" ref="K801">IFERROR(INDEX('Player Raw Data'!X:X,Match($A801,'Player Raw Data'!$B:$B,0)),"")</f>
        <v/>
      </c>
      <c r="L801" t="str">
        <f t="array" ref="L801">IFERROR(INDEX('Player Raw Data'!Y:Y,Match($A801,'Player Raw Data'!$B:$B,0)),"")</f>
        <v/>
      </c>
      <c r="M801" t="str">
        <f t="array" ref="M801">IFERROR(INDEX('Player Raw Data'!Z:Z,Match($A801,'Player Raw Data'!$B:$B,0)),"")</f>
        <v/>
      </c>
      <c r="N801" t="str">
        <f t="array" ref="N801">IFERROR(INDEX('Player Raw Data'!AA:AA,Match($A801,'Player Raw Data'!$B:$B,0)),"")</f>
        <v/>
      </c>
      <c r="O801" t="str">
        <f t="array" ref="O801">IFERROR(INDEX('Player Raw Data'!AB:AB,Match($A801,'Player Raw Data'!$B:$B,0)),"")</f>
        <v/>
      </c>
      <c r="P801" t="str">
        <f t="array" ref="P801">IFERROR(INDEX('Player Raw Data'!AD:AD,Match($A801,'Player Raw Data'!$B:$B,0)),"")</f>
        <v/>
      </c>
      <c r="Q801">
        <f t="shared" si="1"/>
        <v>0</v>
      </c>
      <c r="R801" s="9">
        <f t="shared" si="2"/>
        <v>0</v>
      </c>
      <c r="S801" s="14">
        <f t="shared" si="3"/>
        <v>0</v>
      </c>
      <c r="T801" s="15">
        <f>IFERROR(__xludf.DUMMYFUNCTION("IFERROR(PERCENTRANK.INC(FILTER(Q:Q,$F:$F&lt;&gt;""""),Q801)*100,"""")"),1.5)</f>
        <v>1.5</v>
      </c>
      <c r="U801" s="15">
        <f>IFERROR(__xludf.DUMMYFUNCTION("IFERROR(PERCENTRANK.INC(FILTER(R:R,$F:$F&lt;&gt;""""),R801)*100,"""")"),1.5)</f>
        <v>1.5</v>
      </c>
      <c r="V801" s="15">
        <f>IFERROR(__xludf.DUMMYFUNCTION("IFERROR(PERCENTRANK.INC(FILTER(S:S,$F:$F&lt;&gt;""""),S801)*100,"""")"),1.5)</f>
        <v>1.5</v>
      </c>
      <c r="W801" s="15" t="str">
        <f t="shared" si="4"/>
        <v/>
      </c>
      <c r="X801" s="16"/>
      <c r="Y801" s="9"/>
      <c r="Z801" s="9"/>
    </row>
    <row r="802">
      <c r="B802" t="str">
        <f t="array" ref="B802">IFERROR(INDEX('Player Raw Data'!C:C,Match($A802,'Player Raw Data'!$B:$B,0)),"")</f>
        <v/>
      </c>
      <c r="C802" t="str">
        <f t="array" ref="C802">IFERROR(INDEX('Player Raw Data'!D:D,Match($A802,'Player Raw Data'!$B:$B,0)),"")</f>
        <v/>
      </c>
      <c r="D802" t="str">
        <f t="array" ref="D802">IFERROR(IF(A802=A801, INDEX('Player Raw Data'!E:E,Match($A802,'Player Raw Data'!$B:$B,0)+2),INDEX('Player Raw Data'!E:E,Match($A802,'Player Raw Data'!$B:$B,0))),"")</f>
        <v/>
      </c>
      <c r="E802" t="str">
        <f t="array" ref="E802">IFERROR(INDEX('Player Raw Data'!F:F,Match($A802,'Player Raw Data'!$B:$B,0)),"")</f>
        <v/>
      </c>
      <c r="F802" t="str">
        <f t="array" ref="F802">IFERROR(INDEX('Player Raw Data'!H:H,Match($A802,'Player Raw Data'!$B:$B,0)),"")</f>
        <v/>
      </c>
      <c r="G802" t="str">
        <f t="array" ref="G802">IFERROR(INDEX('Player Raw Data'!I:I,Match($A802,'Player Raw Data'!$B:$B,0)),"")</f>
        <v/>
      </c>
      <c r="H802" t="str">
        <f t="array" ref="H802">IFERROR(INDEX('Player Raw Data'!J:J,Match($A802,'Player Raw Data'!$B:$B,0)),"")</f>
        <v/>
      </c>
      <c r="I802" t="str">
        <f t="array" ref="I802">IFERROR(INDEX('Player Raw Data'!S:S,Match($A802,'Player Raw Data'!$B:$B,0)),"")</f>
        <v/>
      </c>
      <c r="J802" t="str">
        <f t="array" ref="J802">IFERROR(INDEX('Player Raw Data'!T:T,Match($A802,'Player Raw Data'!$B:$B,0)),"")</f>
        <v/>
      </c>
      <c r="K802" t="str">
        <f t="array" ref="K802">IFERROR(INDEX('Player Raw Data'!X:X,Match($A802,'Player Raw Data'!$B:$B,0)),"")</f>
        <v/>
      </c>
      <c r="L802" t="str">
        <f t="array" ref="L802">IFERROR(INDEX('Player Raw Data'!Y:Y,Match($A802,'Player Raw Data'!$B:$B,0)),"")</f>
        <v/>
      </c>
      <c r="M802" t="str">
        <f t="array" ref="M802">IFERROR(INDEX('Player Raw Data'!Z:Z,Match($A802,'Player Raw Data'!$B:$B,0)),"")</f>
        <v/>
      </c>
      <c r="N802" t="str">
        <f t="array" ref="N802">IFERROR(INDEX('Player Raw Data'!AA:AA,Match($A802,'Player Raw Data'!$B:$B,0)),"")</f>
        <v/>
      </c>
      <c r="O802" t="str">
        <f t="array" ref="O802">IFERROR(INDEX('Player Raw Data'!AB:AB,Match($A802,'Player Raw Data'!$B:$B,0)),"")</f>
        <v/>
      </c>
      <c r="P802" t="str">
        <f t="array" ref="P802">IFERROR(INDEX('Player Raw Data'!AD:AD,Match($A802,'Player Raw Data'!$B:$B,0)),"")</f>
        <v/>
      </c>
      <c r="Q802">
        <f t="shared" si="1"/>
        <v>0</v>
      </c>
      <c r="R802" s="9">
        <f t="shared" si="2"/>
        <v>0</v>
      </c>
      <c r="S802" s="14">
        <f t="shared" si="3"/>
        <v>0</v>
      </c>
      <c r="T802" s="15">
        <f>IFERROR(__xludf.DUMMYFUNCTION("IFERROR(PERCENTRANK.INC(FILTER(Q:Q,$F:$F&lt;&gt;""""),Q802)*100,"""")"),1.5)</f>
        <v>1.5</v>
      </c>
      <c r="U802" s="15">
        <f>IFERROR(__xludf.DUMMYFUNCTION("IFERROR(PERCENTRANK.INC(FILTER(R:R,$F:$F&lt;&gt;""""),R802)*100,"""")"),1.5)</f>
        <v>1.5</v>
      </c>
      <c r="V802" s="15">
        <f>IFERROR(__xludf.DUMMYFUNCTION("IFERROR(PERCENTRANK.INC(FILTER(S:S,$F:$F&lt;&gt;""""),S802)*100,"""")"),1.5)</f>
        <v>1.5</v>
      </c>
      <c r="W802" s="15" t="str">
        <f t="shared" si="4"/>
        <v/>
      </c>
      <c r="X802" s="16"/>
      <c r="Y802" s="9"/>
      <c r="Z802" s="9"/>
    </row>
    <row r="803">
      <c r="B803" t="str">
        <f t="array" ref="B803">IFERROR(INDEX('Player Raw Data'!C:C,Match($A803,'Player Raw Data'!$B:$B,0)),"")</f>
        <v/>
      </c>
      <c r="C803" t="str">
        <f t="array" ref="C803">IFERROR(INDEX('Player Raw Data'!D:D,Match($A803,'Player Raw Data'!$B:$B,0)),"")</f>
        <v/>
      </c>
      <c r="D803" t="str">
        <f t="array" ref="D803">IFERROR(IF(A803=A802, INDEX('Player Raw Data'!E:E,Match($A803,'Player Raw Data'!$B:$B,0)+2),INDEX('Player Raw Data'!E:E,Match($A803,'Player Raw Data'!$B:$B,0))),"")</f>
        <v/>
      </c>
      <c r="E803" t="str">
        <f t="array" ref="E803">IFERROR(INDEX('Player Raw Data'!F:F,Match($A803,'Player Raw Data'!$B:$B,0)),"")</f>
        <v/>
      </c>
      <c r="F803" t="str">
        <f t="array" ref="F803">IFERROR(INDEX('Player Raw Data'!H:H,Match($A803,'Player Raw Data'!$B:$B,0)),"")</f>
        <v/>
      </c>
      <c r="G803" t="str">
        <f t="array" ref="G803">IFERROR(INDEX('Player Raw Data'!I:I,Match($A803,'Player Raw Data'!$B:$B,0)),"")</f>
        <v/>
      </c>
      <c r="H803" t="str">
        <f t="array" ref="H803">IFERROR(INDEX('Player Raw Data'!J:J,Match($A803,'Player Raw Data'!$B:$B,0)),"")</f>
        <v/>
      </c>
      <c r="I803" t="str">
        <f t="array" ref="I803">IFERROR(INDEX('Player Raw Data'!S:S,Match($A803,'Player Raw Data'!$B:$B,0)),"")</f>
        <v/>
      </c>
      <c r="J803" t="str">
        <f t="array" ref="J803">IFERROR(INDEX('Player Raw Data'!T:T,Match($A803,'Player Raw Data'!$B:$B,0)),"")</f>
        <v/>
      </c>
      <c r="K803" t="str">
        <f t="array" ref="K803">IFERROR(INDEX('Player Raw Data'!X:X,Match($A803,'Player Raw Data'!$B:$B,0)),"")</f>
        <v/>
      </c>
      <c r="L803" t="str">
        <f t="array" ref="L803">IFERROR(INDEX('Player Raw Data'!Y:Y,Match($A803,'Player Raw Data'!$B:$B,0)),"")</f>
        <v/>
      </c>
      <c r="M803" t="str">
        <f t="array" ref="M803">IFERROR(INDEX('Player Raw Data'!Z:Z,Match($A803,'Player Raw Data'!$B:$B,0)),"")</f>
        <v/>
      </c>
      <c r="N803" t="str">
        <f t="array" ref="N803">IFERROR(INDEX('Player Raw Data'!AA:AA,Match($A803,'Player Raw Data'!$B:$B,0)),"")</f>
        <v/>
      </c>
      <c r="O803" t="str">
        <f t="array" ref="O803">IFERROR(INDEX('Player Raw Data'!AB:AB,Match($A803,'Player Raw Data'!$B:$B,0)),"")</f>
        <v/>
      </c>
      <c r="P803" t="str">
        <f t="array" ref="P803">IFERROR(INDEX('Player Raw Data'!AD:AD,Match($A803,'Player Raw Data'!$B:$B,0)),"")</f>
        <v/>
      </c>
      <c r="Q803">
        <f t="shared" si="1"/>
        <v>0</v>
      </c>
      <c r="R803" s="9">
        <f t="shared" si="2"/>
        <v>0</v>
      </c>
      <c r="S803" s="14">
        <f t="shared" si="3"/>
        <v>0</v>
      </c>
      <c r="T803" s="15">
        <f>IFERROR(__xludf.DUMMYFUNCTION("IFERROR(PERCENTRANK.INC(FILTER(Q:Q,$F:$F&lt;&gt;""""),Q803)*100,"""")"),1.5)</f>
        <v>1.5</v>
      </c>
      <c r="U803" s="15">
        <f>IFERROR(__xludf.DUMMYFUNCTION("IFERROR(PERCENTRANK.INC(FILTER(R:R,$F:$F&lt;&gt;""""),R803)*100,"""")"),1.5)</f>
        <v>1.5</v>
      </c>
      <c r="V803" s="15">
        <f>IFERROR(__xludf.DUMMYFUNCTION("IFERROR(PERCENTRANK.INC(FILTER(S:S,$F:$F&lt;&gt;""""),S803)*100,"""")"),1.5)</f>
        <v>1.5</v>
      </c>
      <c r="W803" s="15" t="str">
        <f t="shared" si="4"/>
        <v/>
      </c>
      <c r="X803" s="16"/>
      <c r="Y803" s="9"/>
      <c r="Z803" s="9"/>
    </row>
    <row r="804">
      <c r="B804" t="str">
        <f t="array" ref="B804">IFERROR(INDEX('Player Raw Data'!C:C,Match($A804,'Player Raw Data'!$B:$B,0)),"")</f>
        <v/>
      </c>
      <c r="C804" t="str">
        <f t="array" ref="C804">IFERROR(INDEX('Player Raw Data'!D:D,Match($A804,'Player Raw Data'!$B:$B,0)),"")</f>
        <v/>
      </c>
      <c r="D804" t="str">
        <f t="array" ref="D804">IFERROR(IF(A804=A803, INDEX('Player Raw Data'!E:E,Match($A804,'Player Raw Data'!$B:$B,0)+2),INDEX('Player Raw Data'!E:E,Match($A804,'Player Raw Data'!$B:$B,0))),"")</f>
        <v/>
      </c>
      <c r="E804" t="str">
        <f t="array" ref="E804">IFERROR(INDEX('Player Raw Data'!F:F,Match($A804,'Player Raw Data'!$B:$B,0)),"")</f>
        <v/>
      </c>
      <c r="F804" t="str">
        <f t="array" ref="F804">IFERROR(INDEX('Player Raw Data'!H:H,Match($A804,'Player Raw Data'!$B:$B,0)),"")</f>
        <v/>
      </c>
      <c r="G804" t="str">
        <f t="array" ref="G804">IFERROR(INDEX('Player Raw Data'!I:I,Match($A804,'Player Raw Data'!$B:$B,0)),"")</f>
        <v/>
      </c>
      <c r="H804" t="str">
        <f t="array" ref="H804">IFERROR(INDEX('Player Raw Data'!J:J,Match($A804,'Player Raw Data'!$B:$B,0)),"")</f>
        <v/>
      </c>
      <c r="I804" t="str">
        <f t="array" ref="I804">IFERROR(INDEX('Player Raw Data'!S:S,Match($A804,'Player Raw Data'!$B:$B,0)),"")</f>
        <v/>
      </c>
      <c r="J804" t="str">
        <f t="array" ref="J804">IFERROR(INDEX('Player Raw Data'!T:T,Match($A804,'Player Raw Data'!$B:$B,0)),"")</f>
        <v/>
      </c>
      <c r="K804" t="str">
        <f t="array" ref="K804">IFERROR(INDEX('Player Raw Data'!X:X,Match($A804,'Player Raw Data'!$B:$B,0)),"")</f>
        <v/>
      </c>
      <c r="L804" t="str">
        <f t="array" ref="L804">IFERROR(INDEX('Player Raw Data'!Y:Y,Match($A804,'Player Raw Data'!$B:$B,0)),"")</f>
        <v/>
      </c>
      <c r="M804" t="str">
        <f t="array" ref="M804">IFERROR(INDEX('Player Raw Data'!Z:Z,Match($A804,'Player Raw Data'!$B:$B,0)),"")</f>
        <v/>
      </c>
      <c r="N804" t="str">
        <f t="array" ref="N804">IFERROR(INDEX('Player Raw Data'!AA:AA,Match($A804,'Player Raw Data'!$B:$B,0)),"")</f>
        <v/>
      </c>
      <c r="O804" t="str">
        <f t="array" ref="O804">IFERROR(INDEX('Player Raw Data'!AB:AB,Match($A804,'Player Raw Data'!$B:$B,0)),"")</f>
        <v/>
      </c>
      <c r="P804" t="str">
        <f t="array" ref="P804">IFERROR(INDEX('Player Raw Data'!AD:AD,Match($A804,'Player Raw Data'!$B:$B,0)),"")</f>
        <v/>
      </c>
      <c r="Q804">
        <f t="shared" si="1"/>
        <v>0</v>
      </c>
      <c r="R804" s="9">
        <f t="shared" si="2"/>
        <v>0</v>
      </c>
      <c r="S804" s="14">
        <f t="shared" si="3"/>
        <v>0</v>
      </c>
      <c r="T804" s="15">
        <f>IFERROR(__xludf.DUMMYFUNCTION("IFERROR(PERCENTRANK.INC(FILTER(Q:Q,$F:$F&lt;&gt;""""),Q804)*100,"""")"),1.5)</f>
        <v>1.5</v>
      </c>
      <c r="U804" s="15">
        <f>IFERROR(__xludf.DUMMYFUNCTION("IFERROR(PERCENTRANK.INC(FILTER(R:R,$F:$F&lt;&gt;""""),R804)*100,"""")"),1.5)</f>
        <v>1.5</v>
      </c>
      <c r="V804" s="15">
        <f>IFERROR(__xludf.DUMMYFUNCTION("IFERROR(PERCENTRANK.INC(FILTER(S:S,$F:$F&lt;&gt;""""),S804)*100,"""")"),1.5)</f>
        <v>1.5</v>
      </c>
      <c r="W804" s="15" t="str">
        <f t="shared" si="4"/>
        <v/>
      </c>
      <c r="X804" s="16"/>
      <c r="Y804" s="9"/>
      <c r="Z804" s="9"/>
    </row>
    <row r="805">
      <c r="B805" t="str">
        <f t="array" ref="B805">IFERROR(INDEX('Player Raw Data'!C:C,Match($A805,'Player Raw Data'!$B:$B,0)),"")</f>
        <v/>
      </c>
      <c r="C805" t="str">
        <f t="array" ref="C805">IFERROR(INDEX('Player Raw Data'!D:D,Match($A805,'Player Raw Data'!$B:$B,0)),"")</f>
        <v/>
      </c>
      <c r="D805" t="str">
        <f t="array" ref="D805">IFERROR(IF(A805=A804, INDEX('Player Raw Data'!E:E,Match($A805,'Player Raw Data'!$B:$B,0)+2),INDEX('Player Raw Data'!E:E,Match($A805,'Player Raw Data'!$B:$B,0))),"")</f>
        <v/>
      </c>
      <c r="E805" t="str">
        <f t="array" ref="E805">IFERROR(INDEX('Player Raw Data'!F:F,Match($A805,'Player Raw Data'!$B:$B,0)),"")</f>
        <v/>
      </c>
      <c r="F805" t="str">
        <f t="array" ref="F805">IFERROR(INDEX('Player Raw Data'!H:H,Match($A805,'Player Raw Data'!$B:$B,0)),"")</f>
        <v/>
      </c>
      <c r="G805" t="str">
        <f t="array" ref="G805">IFERROR(INDEX('Player Raw Data'!I:I,Match($A805,'Player Raw Data'!$B:$B,0)),"")</f>
        <v/>
      </c>
      <c r="H805" t="str">
        <f t="array" ref="H805">IFERROR(INDEX('Player Raw Data'!J:J,Match($A805,'Player Raw Data'!$B:$B,0)),"")</f>
        <v/>
      </c>
      <c r="I805" t="str">
        <f t="array" ref="I805">IFERROR(INDEX('Player Raw Data'!S:S,Match($A805,'Player Raw Data'!$B:$B,0)),"")</f>
        <v/>
      </c>
      <c r="J805" t="str">
        <f t="array" ref="J805">IFERROR(INDEX('Player Raw Data'!T:T,Match($A805,'Player Raw Data'!$B:$B,0)),"")</f>
        <v/>
      </c>
      <c r="K805" t="str">
        <f t="array" ref="K805">IFERROR(INDEX('Player Raw Data'!X:X,Match($A805,'Player Raw Data'!$B:$B,0)),"")</f>
        <v/>
      </c>
      <c r="L805" t="str">
        <f t="array" ref="L805">IFERROR(INDEX('Player Raw Data'!Y:Y,Match($A805,'Player Raw Data'!$B:$B,0)),"")</f>
        <v/>
      </c>
      <c r="M805" t="str">
        <f t="array" ref="M805">IFERROR(INDEX('Player Raw Data'!Z:Z,Match($A805,'Player Raw Data'!$B:$B,0)),"")</f>
        <v/>
      </c>
      <c r="N805" t="str">
        <f t="array" ref="N805">IFERROR(INDEX('Player Raw Data'!AA:AA,Match($A805,'Player Raw Data'!$B:$B,0)),"")</f>
        <v/>
      </c>
      <c r="O805" t="str">
        <f t="array" ref="O805">IFERROR(INDEX('Player Raw Data'!AB:AB,Match($A805,'Player Raw Data'!$B:$B,0)),"")</f>
        <v/>
      </c>
      <c r="P805" t="str">
        <f t="array" ref="P805">IFERROR(INDEX('Player Raw Data'!AD:AD,Match($A805,'Player Raw Data'!$B:$B,0)),"")</f>
        <v/>
      </c>
      <c r="Q805">
        <f t="shared" si="1"/>
        <v>0</v>
      </c>
      <c r="R805" s="9">
        <f t="shared" si="2"/>
        <v>0</v>
      </c>
      <c r="S805" s="14">
        <f t="shared" si="3"/>
        <v>0</v>
      </c>
      <c r="T805" s="15">
        <f>IFERROR(__xludf.DUMMYFUNCTION("IFERROR(PERCENTRANK.INC(FILTER(Q:Q,$F:$F&lt;&gt;""""),Q805)*100,"""")"),1.5)</f>
        <v>1.5</v>
      </c>
      <c r="U805" s="15">
        <f>IFERROR(__xludf.DUMMYFUNCTION("IFERROR(PERCENTRANK.INC(FILTER(R:R,$F:$F&lt;&gt;""""),R805)*100,"""")"),1.5)</f>
        <v>1.5</v>
      </c>
      <c r="V805" s="15">
        <f>IFERROR(__xludf.DUMMYFUNCTION("IFERROR(PERCENTRANK.INC(FILTER(S:S,$F:$F&lt;&gt;""""),S805)*100,"""")"),1.5)</f>
        <v>1.5</v>
      </c>
      <c r="W805" s="15" t="str">
        <f t="shared" si="4"/>
        <v/>
      </c>
      <c r="X805" s="16"/>
      <c r="Y805" s="9"/>
      <c r="Z805" s="9"/>
    </row>
    <row r="806">
      <c r="B806" t="str">
        <f t="array" ref="B806">IFERROR(INDEX('Player Raw Data'!C:C,Match($A806,'Player Raw Data'!$B:$B,0)),"")</f>
        <v/>
      </c>
      <c r="C806" t="str">
        <f t="array" ref="C806">IFERROR(INDEX('Player Raw Data'!D:D,Match($A806,'Player Raw Data'!$B:$B,0)),"")</f>
        <v/>
      </c>
      <c r="D806" t="str">
        <f t="array" ref="D806">IFERROR(IF(A806=A805, INDEX('Player Raw Data'!E:E,Match($A806,'Player Raw Data'!$B:$B,0)+2),INDEX('Player Raw Data'!E:E,Match($A806,'Player Raw Data'!$B:$B,0))),"")</f>
        <v/>
      </c>
      <c r="E806" t="str">
        <f t="array" ref="E806">IFERROR(INDEX('Player Raw Data'!F:F,Match($A806,'Player Raw Data'!$B:$B,0)),"")</f>
        <v/>
      </c>
      <c r="F806" t="str">
        <f t="array" ref="F806">IFERROR(INDEX('Player Raw Data'!H:H,Match($A806,'Player Raw Data'!$B:$B,0)),"")</f>
        <v/>
      </c>
      <c r="G806" t="str">
        <f t="array" ref="G806">IFERROR(INDEX('Player Raw Data'!I:I,Match($A806,'Player Raw Data'!$B:$B,0)),"")</f>
        <v/>
      </c>
      <c r="H806" t="str">
        <f t="array" ref="H806">IFERROR(INDEX('Player Raw Data'!J:J,Match($A806,'Player Raw Data'!$B:$B,0)),"")</f>
        <v/>
      </c>
      <c r="I806" t="str">
        <f t="array" ref="I806">IFERROR(INDEX('Player Raw Data'!S:S,Match($A806,'Player Raw Data'!$B:$B,0)),"")</f>
        <v/>
      </c>
      <c r="J806" t="str">
        <f t="array" ref="J806">IFERROR(INDEX('Player Raw Data'!T:T,Match($A806,'Player Raw Data'!$B:$B,0)),"")</f>
        <v/>
      </c>
      <c r="K806" t="str">
        <f t="array" ref="K806">IFERROR(INDEX('Player Raw Data'!X:X,Match($A806,'Player Raw Data'!$B:$B,0)),"")</f>
        <v/>
      </c>
      <c r="L806" t="str">
        <f t="array" ref="L806">IFERROR(INDEX('Player Raw Data'!Y:Y,Match($A806,'Player Raw Data'!$B:$B,0)),"")</f>
        <v/>
      </c>
      <c r="M806" t="str">
        <f t="array" ref="M806">IFERROR(INDEX('Player Raw Data'!Z:Z,Match($A806,'Player Raw Data'!$B:$B,0)),"")</f>
        <v/>
      </c>
      <c r="N806" t="str">
        <f t="array" ref="N806">IFERROR(INDEX('Player Raw Data'!AA:AA,Match($A806,'Player Raw Data'!$B:$B,0)),"")</f>
        <v/>
      </c>
      <c r="O806" t="str">
        <f t="array" ref="O806">IFERROR(INDEX('Player Raw Data'!AB:AB,Match($A806,'Player Raw Data'!$B:$B,0)),"")</f>
        <v/>
      </c>
      <c r="P806" t="str">
        <f t="array" ref="P806">IFERROR(INDEX('Player Raw Data'!AD:AD,Match($A806,'Player Raw Data'!$B:$B,0)),"")</f>
        <v/>
      </c>
      <c r="Q806">
        <f t="shared" si="1"/>
        <v>0</v>
      </c>
      <c r="R806" s="9">
        <f t="shared" si="2"/>
        <v>0</v>
      </c>
      <c r="S806" s="14">
        <f t="shared" si="3"/>
        <v>0</v>
      </c>
      <c r="T806" s="15">
        <f>IFERROR(__xludf.DUMMYFUNCTION("IFERROR(PERCENTRANK.INC(FILTER(Q:Q,$F:$F&lt;&gt;""""),Q806)*100,"""")"),1.5)</f>
        <v>1.5</v>
      </c>
      <c r="U806" s="15">
        <f>IFERROR(__xludf.DUMMYFUNCTION("IFERROR(PERCENTRANK.INC(FILTER(R:R,$F:$F&lt;&gt;""""),R806)*100,"""")"),1.5)</f>
        <v>1.5</v>
      </c>
      <c r="V806" s="15">
        <f>IFERROR(__xludf.DUMMYFUNCTION("IFERROR(PERCENTRANK.INC(FILTER(S:S,$F:$F&lt;&gt;""""),S806)*100,"""")"),1.5)</f>
        <v>1.5</v>
      </c>
      <c r="W806" s="15" t="str">
        <f t="shared" si="4"/>
        <v/>
      </c>
      <c r="X806" s="16"/>
      <c r="Y806" s="9"/>
      <c r="Z806" s="9"/>
    </row>
    <row r="807">
      <c r="B807" t="str">
        <f t="array" ref="B807">IFERROR(INDEX('Player Raw Data'!C:C,Match($A807,'Player Raw Data'!$B:$B,0)),"")</f>
        <v/>
      </c>
      <c r="C807" t="str">
        <f t="array" ref="C807">IFERROR(INDEX('Player Raw Data'!D:D,Match($A807,'Player Raw Data'!$B:$B,0)),"")</f>
        <v/>
      </c>
      <c r="D807" t="str">
        <f t="array" ref="D807">IFERROR(IF(A807=A806, INDEX('Player Raw Data'!E:E,Match($A807,'Player Raw Data'!$B:$B,0)+2),INDEX('Player Raw Data'!E:E,Match($A807,'Player Raw Data'!$B:$B,0))),"")</f>
        <v/>
      </c>
      <c r="E807" t="str">
        <f t="array" ref="E807">IFERROR(INDEX('Player Raw Data'!F:F,Match($A807,'Player Raw Data'!$B:$B,0)),"")</f>
        <v/>
      </c>
      <c r="F807" t="str">
        <f t="array" ref="F807">IFERROR(INDEX('Player Raw Data'!H:H,Match($A807,'Player Raw Data'!$B:$B,0)),"")</f>
        <v/>
      </c>
      <c r="G807" t="str">
        <f t="array" ref="G807">IFERROR(INDEX('Player Raw Data'!I:I,Match($A807,'Player Raw Data'!$B:$B,0)),"")</f>
        <v/>
      </c>
      <c r="H807" t="str">
        <f t="array" ref="H807">IFERROR(INDEX('Player Raw Data'!J:J,Match($A807,'Player Raw Data'!$B:$B,0)),"")</f>
        <v/>
      </c>
      <c r="I807" t="str">
        <f t="array" ref="I807">IFERROR(INDEX('Player Raw Data'!S:S,Match($A807,'Player Raw Data'!$B:$B,0)),"")</f>
        <v/>
      </c>
      <c r="J807" t="str">
        <f t="array" ref="J807">IFERROR(INDEX('Player Raw Data'!T:T,Match($A807,'Player Raw Data'!$B:$B,0)),"")</f>
        <v/>
      </c>
      <c r="K807" t="str">
        <f t="array" ref="K807">IFERROR(INDEX('Player Raw Data'!X:X,Match($A807,'Player Raw Data'!$B:$B,0)),"")</f>
        <v/>
      </c>
      <c r="L807" t="str">
        <f t="array" ref="L807">IFERROR(INDEX('Player Raw Data'!Y:Y,Match($A807,'Player Raw Data'!$B:$B,0)),"")</f>
        <v/>
      </c>
      <c r="M807" t="str">
        <f t="array" ref="M807">IFERROR(INDEX('Player Raw Data'!Z:Z,Match($A807,'Player Raw Data'!$B:$B,0)),"")</f>
        <v/>
      </c>
      <c r="N807" t="str">
        <f t="array" ref="N807">IFERROR(INDEX('Player Raw Data'!AA:AA,Match($A807,'Player Raw Data'!$B:$B,0)),"")</f>
        <v/>
      </c>
      <c r="O807" t="str">
        <f t="array" ref="O807">IFERROR(INDEX('Player Raw Data'!AB:AB,Match($A807,'Player Raw Data'!$B:$B,0)),"")</f>
        <v/>
      </c>
      <c r="P807" t="str">
        <f t="array" ref="P807">IFERROR(INDEX('Player Raw Data'!AD:AD,Match($A807,'Player Raw Data'!$B:$B,0)),"")</f>
        <v/>
      </c>
      <c r="Q807">
        <f t="shared" si="1"/>
        <v>0</v>
      </c>
      <c r="R807" s="9">
        <f t="shared" si="2"/>
        <v>0</v>
      </c>
      <c r="S807" s="14">
        <f t="shared" si="3"/>
        <v>0</v>
      </c>
      <c r="T807" s="15">
        <f>IFERROR(__xludf.DUMMYFUNCTION("IFERROR(PERCENTRANK.INC(FILTER(Q:Q,$F:$F&lt;&gt;""""),Q807)*100,"""")"),1.5)</f>
        <v>1.5</v>
      </c>
      <c r="U807" s="15">
        <f>IFERROR(__xludf.DUMMYFUNCTION("IFERROR(PERCENTRANK.INC(FILTER(R:R,$F:$F&lt;&gt;""""),R807)*100,"""")"),1.5)</f>
        <v>1.5</v>
      </c>
      <c r="V807" s="15">
        <f>IFERROR(__xludf.DUMMYFUNCTION("IFERROR(PERCENTRANK.INC(FILTER(S:S,$F:$F&lt;&gt;""""),S807)*100,"""")"),1.5)</f>
        <v>1.5</v>
      </c>
      <c r="W807" s="15" t="str">
        <f t="shared" si="4"/>
        <v/>
      </c>
      <c r="X807" s="16"/>
      <c r="Y807" s="9"/>
      <c r="Z807" s="9"/>
    </row>
    <row r="808">
      <c r="B808" t="str">
        <f t="array" ref="B808">IFERROR(INDEX('Player Raw Data'!C:C,Match($A808,'Player Raw Data'!$B:$B,0)),"")</f>
        <v/>
      </c>
      <c r="C808" t="str">
        <f t="array" ref="C808">IFERROR(INDEX('Player Raw Data'!D:D,Match($A808,'Player Raw Data'!$B:$B,0)),"")</f>
        <v/>
      </c>
      <c r="D808" t="str">
        <f t="array" ref="D808">IFERROR(IF(A808=A807, INDEX('Player Raw Data'!E:E,Match($A808,'Player Raw Data'!$B:$B,0)+2),INDEX('Player Raw Data'!E:E,Match($A808,'Player Raw Data'!$B:$B,0))),"")</f>
        <v/>
      </c>
      <c r="E808" t="str">
        <f t="array" ref="E808">IFERROR(INDEX('Player Raw Data'!F:F,Match($A808,'Player Raw Data'!$B:$B,0)),"")</f>
        <v/>
      </c>
      <c r="F808" t="str">
        <f t="array" ref="F808">IFERROR(INDEX('Player Raw Data'!H:H,Match($A808,'Player Raw Data'!$B:$B,0)),"")</f>
        <v/>
      </c>
      <c r="G808" t="str">
        <f t="array" ref="G808">IFERROR(INDEX('Player Raw Data'!I:I,Match($A808,'Player Raw Data'!$B:$B,0)),"")</f>
        <v/>
      </c>
      <c r="H808" t="str">
        <f t="array" ref="H808">IFERROR(INDEX('Player Raw Data'!J:J,Match($A808,'Player Raw Data'!$B:$B,0)),"")</f>
        <v/>
      </c>
      <c r="I808" t="str">
        <f t="array" ref="I808">IFERROR(INDEX('Player Raw Data'!S:S,Match($A808,'Player Raw Data'!$B:$B,0)),"")</f>
        <v/>
      </c>
      <c r="J808" t="str">
        <f t="array" ref="J808">IFERROR(INDEX('Player Raw Data'!T:T,Match($A808,'Player Raw Data'!$B:$B,0)),"")</f>
        <v/>
      </c>
      <c r="K808" t="str">
        <f t="array" ref="K808">IFERROR(INDEX('Player Raw Data'!X:X,Match($A808,'Player Raw Data'!$B:$B,0)),"")</f>
        <v/>
      </c>
      <c r="L808" t="str">
        <f t="array" ref="L808">IFERROR(INDEX('Player Raw Data'!Y:Y,Match($A808,'Player Raw Data'!$B:$B,0)),"")</f>
        <v/>
      </c>
      <c r="M808" t="str">
        <f t="array" ref="M808">IFERROR(INDEX('Player Raw Data'!Z:Z,Match($A808,'Player Raw Data'!$B:$B,0)),"")</f>
        <v/>
      </c>
      <c r="N808" t="str">
        <f t="array" ref="N808">IFERROR(INDEX('Player Raw Data'!AA:AA,Match($A808,'Player Raw Data'!$B:$B,0)),"")</f>
        <v/>
      </c>
      <c r="O808" t="str">
        <f t="array" ref="O808">IFERROR(INDEX('Player Raw Data'!AB:AB,Match($A808,'Player Raw Data'!$B:$B,0)),"")</f>
        <v/>
      </c>
      <c r="P808" t="str">
        <f t="array" ref="P808">IFERROR(INDEX('Player Raw Data'!AD:AD,Match($A808,'Player Raw Data'!$B:$B,0)),"")</f>
        <v/>
      </c>
      <c r="Q808">
        <f t="shared" si="1"/>
        <v>0</v>
      </c>
      <c r="R808" s="9">
        <f t="shared" si="2"/>
        <v>0</v>
      </c>
      <c r="S808" s="14">
        <f t="shared" si="3"/>
        <v>0</v>
      </c>
      <c r="T808" s="15">
        <f>IFERROR(__xludf.DUMMYFUNCTION("IFERROR(PERCENTRANK.INC(FILTER(Q:Q,$F:$F&lt;&gt;""""),Q808)*100,"""")"),1.5)</f>
        <v>1.5</v>
      </c>
      <c r="U808" s="15">
        <f>IFERROR(__xludf.DUMMYFUNCTION("IFERROR(PERCENTRANK.INC(FILTER(R:R,$F:$F&lt;&gt;""""),R808)*100,"""")"),1.5)</f>
        <v>1.5</v>
      </c>
      <c r="V808" s="15">
        <f>IFERROR(__xludf.DUMMYFUNCTION("IFERROR(PERCENTRANK.INC(FILTER(S:S,$F:$F&lt;&gt;""""),S808)*100,"""")"),1.5)</f>
        <v>1.5</v>
      </c>
      <c r="W808" s="15" t="str">
        <f t="shared" si="4"/>
        <v/>
      </c>
      <c r="X808" s="16"/>
      <c r="Y808" s="9"/>
      <c r="Z808" s="9"/>
    </row>
    <row r="809">
      <c r="B809" t="str">
        <f t="array" ref="B809">IFERROR(INDEX('Player Raw Data'!C:C,Match($A809,'Player Raw Data'!$B:$B,0)),"")</f>
        <v/>
      </c>
      <c r="C809" t="str">
        <f t="array" ref="C809">IFERROR(INDEX('Player Raw Data'!D:D,Match($A809,'Player Raw Data'!$B:$B,0)),"")</f>
        <v/>
      </c>
      <c r="D809" t="str">
        <f t="array" ref="D809">IFERROR(IF(A809=A808, INDEX('Player Raw Data'!E:E,Match($A809,'Player Raw Data'!$B:$B,0)+2),INDEX('Player Raw Data'!E:E,Match($A809,'Player Raw Data'!$B:$B,0))),"")</f>
        <v/>
      </c>
      <c r="E809" t="str">
        <f t="array" ref="E809">IFERROR(INDEX('Player Raw Data'!F:F,Match($A809,'Player Raw Data'!$B:$B,0)),"")</f>
        <v/>
      </c>
      <c r="F809" t="str">
        <f t="array" ref="F809">IFERROR(INDEX('Player Raw Data'!H:H,Match($A809,'Player Raw Data'!$B:$B,0)),"")</f>
        <v/>
      </c>
      <c r="G809" t="str">
        <f t="array" ref="G809">IFERROR(INDEX('Player Raw Data'!I:I,Match($A809,'Player Raw Data'!$B:$B,0)),"")</f>
        <v/>
      </c>
      <c r="H809" t="str">
        <f t="array" ref="H809">IFERROR(INDEX('Player Raw Data'!J:J,Match($A809,'Player Raw Data'!$B:$B,0)),"")</f>
        <v/>
      </c>
      <c r="I809" t="str">
        <f t="array" ref="I809">IFERROR(INDEX('Player Raw Data'!S:S,Match($A809,'Player Raw Data'!$B:$B,0)),"")</f>
        <v/>
      </c>
      <c r="J809" t="str">
        <f t="array" ref="J809">IFERROR(INDEX('Player Raw Data'!T:T,Match($A809,'Player Raw Data'!$B:$B,0)),"")</f>
        <v/>
      </c>
      <c r="K809" t="str">
        <f t="array" ref="K809">IFERROR(INDEX('Player Raw Data'!X:X,Match($A809,'Player Raw Data'!$B:$B,0)),"")</f>
        <v/>
      </c>
      <c r="L809" t="str">
        <f t="array" ref="L809">IFERROR(INDEX('Player Raw Data'!Y:Y,Match($A809,'Player Raw Data'!$B:$B,0)),"")</f>
        <v/>
      </c>
      <c r="M809" t="str">
        <f t="array" ref="M809">IFERROR(INDEX('Player Raw Data'!Z:Z,Match($A809,'Player Raw Data'!$B:$B,0)),"")</f>
        <v/>
      </c>
      <c r="N809" t="str">
        <f t="array" ref="N809">IFERROR(INDEX('Player Raw Data'!AA:AA,Match($A809,'Player Raw Data'!$B:$B,0)),"")</f>
        <v/>
      </c>
      <c r="O809" t="str">
        <f t="array" ref="O809">IFERROR(INDEX('Player Raw Data'!AB:AB,Match($A809,'Player Raw Data'!$B:$B,0)),"")</f>
        <v/>
      </c>
      <c r="P809" t="str">
        <f t="array" ref="P809">IFERROR(INDEX('Player Raw Data'!AD:AD,Match($A809,'Player Raw Data'!$B:$B,0)),"")</f>
        <v/>
      </c>
      <c r="Q809">
        <f t="shared" si="1"/>
        <v>0</v>
      </c>
      <c r="R809" s="9">
        <f t="shared" si="2"/>
        <v>0</v>
      </c>
      <c r="S809" s="14">
        <f t="shared" si="3"/>
        <v>0</v>
      </c>
      <c r="T809" s="15">
        <f>IFERROR(__xludf.DUMMYFUNCTION("IFERROR(PERCENTRANK.INC(FILTER(Q:Q,$F:$F&lt;&gt;""""),Q809)*100,"""")"),1.5)</f>
        <v>1.5</v>
      </c>
      <c r="U809" s="15">
        <f>IFERROR(__xludf.DUMMYFUNCTION("IFERROR(PERCENTRANK.INC(FILTER(R:R,$F:$F&lt;&gt;""""),R809)*100,"""")"),1.5)</f>
        <v>1.5</v>
      </c>
      <c r="V809" s="15">
        <f>IFERROR(__xludf.DUMMYFUNCTION("IFERROR(PERCENTRANK.INC(FILTER(S:S,$F:$F&lt;&gt;""""),S809)*100,"""")"),1.5)</f>
        <v>1.5</v>
      </c>
      <c r="W809" s="15" t="str">
        <f t="shared" si="4"/>
        <v/>
      </c>
      <c r="X809" s="16"/>
      <c r="Y809" s="9"/>
      <c r="Z809" s="9"/>
    </row>
    <row r="810">
      <c r="B810" t="str">
        <f t="array" ref="B810">IFERROR(INDEX('Player Raw Data'!C:C,Match($A810,'Player Raw Data'!$B:$B,0)),"")</f>
        <v/>
      </c>
      <c r="C810" t="str">
        <f t="array" ref="C810">IFERROR(INDEX('Player Raw Data'!D:D,Match($A810,'Player Raw Data'!$B:$B,0)),"")</f>
        <v/>
      </c>
      <c r="D810" t="str">
        <f t="array" ref="D810">IFERROR(IF(A810=A809, INDEX('Player Raw Data'!E:E,Match($A810,'Player Raw Data'!$B:$B,0)+2),INDEX('Player Raw Data'!E:E,Match($A810,'Player Raw Data'!$B:$B,0))),"")</f>
        <v/>
      </c>
      <c r="E810" t="str">
        <f t="array" ref="E810">IFERROR(INDEX('Player Raw Data'!F:F,Match($A810,'Player Raw Data'!$B:$B,0)),"")</f>
        <v/>
      </c>
      <c r="F810" t="str">
        <f t="array" ref="F810">IFERROR(INDEX('Player Raw Data'!H:H,Match($A810,'Player Raw Data'!$B:$B,0)),"")</f>
        <v/>
      </c>
      <c r="G810" t="str">
        <f t="array" ref="G810">IFERROR(INDEX('Player Raw Data'!I:I,Match($A810,'Player Raw Data'!$B:$B,0)),"")</f>
        <v/>
      </c>
      <c r="H810" t="str">
        <f t="array" ref="H810">IFERROR(INDEX('Player Raw Data'!J:J,Match($A810,'Player Raw Data'!$B:$B,0)),"")</f>
        <v/>
      </c>
      <c r="I810" t="str">
        <f t="array" ref="I810">IFERROR(INDEX('Player Raw Data'!S:S,Match($A810,'Player Raw Data'!$B:$B,0)),"")</f>
        <v/>
      </c>
      <c r="J810" t="str">
        <f t="array" ref="J810">IFERROR(INDEX('Player Raw Data'!T:T,Match($A810,'Player Raw Data'!$B:$B,0)),"")</f>
        <v/>
      </c>
      <c r="K810" t="str">
        <f t="array" ref="K810">IFERROR(INDEX('Player Raw Data'!X:X,Match($A810,'Player Raw Data'!$B:$B,0)),"")</f>
        <v/>
      </c>
      <c r="L810" t="str">
        <f t="array" ref="L810">IFERROR(INDEX('Player Raw Data'!Y:Y,Match($A810,'Player Raw Data'!$B:$B,0)),"")</f>
        <v/>
      </c>
      <c r="M810" t="str">
        <f t="array" ref="M810">IFERROR(INDEX('Player Raw Data'!Z:Z,Match($A810,'Player Raw Data'!$B:$B,0)),"")</f>
        <v/>
      </c>
      <c r="N810" t="str">
        <f t="array" ref="N810">IFERROR(INDEX('Player Raw Data'!AA:AA,Match($A810,'Player Raw Data'!$B:$B,0)),"")</f>
        <v/>
      </c>
      <c r="O810" t="str">
        <f t="array" ref="O810">IFERROR(INDEX('Player Raw Data'!AB:AB,Match($A810,'Player Raw Data'!$B:$B,0)),"")</f>
        <v/>
      </c>
      <c r="P810" t="str">
        <f t="array" ref="P810">IFERROR(INDEX('Player Raw Data'!AD:AD,Match($A810,'Player Raw Data'!$B:$B,0)),"")</f>
        <v/>
      </c>
      <c r="Q810">
        <f t="shared" si="1"/>
        <v>0</v>
      </c>
      <c r="R810" s="9">
        <f t="shared" si="2"/>
        <v>0</v>
      </c>
      <c r="S810" s="14">
        <f t="shared" si="3"/>
        <v>0</v>
      </c>
      <c r="T810" s="15">
        <f>IFERROR(__xludf.DUMMYFUNCTION("IFERROR(PERCENTRANK.INC(FILTER(Q:Q,$F:$F&lt;&gt;""""),Q810)*100,"""")"),1.5)</f>
        <v>1.5</v>
      </c>
      <c r="U810" s="15">
        <f>IFERROR(__xludf.DUMMYFUNCTION("IFERROR(PERCENTRANK.INC(FILTER(R:R,$F:$F&lt;&gt;""""),R810)*100,"""")"),1.5)</f>
        <v>1.5</v>
      </c>
      <c r="V810" s="15">
        <f>IFERROR(__xludf.DUMMYFUNCTION("IFERROR(PERCENTRANK.INC(FILTER(S:S,$F:$F&lt;&gt;""""),S810)*100,"""")"),1.5)</f>
        <v>1.5</v>
      </c>
      <c r="W810" s="15" t="str">
        <f t="shared" si="4"/>
        <v/>
      </c>
      <c r="X810" s="16"/>
      <c r="Y810" s="9"/>
      <c r="Z810" s="9"/>
    </row>
    <row r="811">
      <c r="B811" t="str">
        <f t="array" ref="B811">IFERROR(INDEX('Player Raw Data'!C:C,Match($A811,'Player Raw Data'!$B:$B,0)),"")</f>
        <v/>
      </c>
      <c r="C811" t="str">
        <f t="array" ref="C811">IFERROR(INDEX('Player Raw Data'!D:D,Match($A811,'Player Raw Data'!$B:$B,0)),"")</f>
        <v/>
      </c>
      <c r="D811" t="str">
        <f t="array" ref="D811">IFERROR(IF(A811=A810, INDEX('Player Raw Data'!E:E,Match($A811,'Player Raw Data'!$B:$B,0)+2),INDEX('Player Raw Data'!E:E,Match($A811,'Player Raw Data'!$B:$B,0))),"")</f>
        <v/>
      </c>
      <c r="E811" t="str">
        <f t="array" ref="E811">IFERROR(INDEX('Player Raw Data'!F:F,Match($A811,'Player Raw Data'!$B:$B,0)),"")</f>
        <v/>
      </c>
      <c r="F811" t="str">
        <f t="array" ref="F811">IFERROR(INDEX('Player Raw Data'!H:H,Match($A811,'Player Raw Data'!$B:$B,0)),"")</f>
        <v/>
      </c>
      <c r="G811" t="str">
        <f t="array" ref="G811">IFERROR(INDEX('Player Raw Data'!I:I,Match($A811,'Player Raw Data'!$B:$B,0)),"")</f>
        <v/>
      </c>
      <c r="H811" t="str">
        <f t="array" ref="H811">IFERROR(INDEX('Player Raw Data'!J:J,Match($A811,'Player Raw Data'!$B:$B,0)),"")</f>
        <v/>
      </c>
      <c r="I811" t="str">
        <f t="array" ref="I811">IFERROR(INDEX('Player Raw Data'!S:S,Match($A811,'Player Raw Data'!$B:$B,0)),"")</f>
        <v/>
      </c>
      <c r="J811" t="str">
        <f t="array" ref="J811">IFERROR(INDEX('Player Raw Data'!T:T,Match($A811,'Player Raw Data'!$B:$B,0)),"")</f>
        <v/>
      </c>
      <c r="K811" t="str">
        <f t="array" ref="K811">IFERROR(INDEX('Player Raw Data'!X:X,Match($A811,'Player Raw Data'!$B:$B,0)),"")</f>
        <v/>
      </c>
      <c r="L811" t="str">
        <f t="array" ref="L811">IFERROR(INDEX('Player Raw Data'!Y:Y,Match($A811,'Player Raw Data'!$B:$B,0)),"")</f>
        <v/>
      </c>
      <c r="M811" t="str">
        <f t="array" ref="M811">IFERROR(INDEX('Player Raw Data'!Z:Z,Match($A811,'Player Raw Data'!$B:$B,0)),"")</f>
        <v/>
      </c>
      <c r="N811" t="str">
        <f t="array" ref="N811">IFERROR(INDEX('Player Raw Data'!AA:AA,Match($A811,'Player Raw Data'!$B:$B,0)),"")</f>
        <v/>
      </c>
      <c r="O811" t="str">
        <f t="array" ref="O811">IFERROR(INDEX('Player Raw Data'!AB:AB,Match($A811,'Player Raw Data'!$B:$B,0)),"")</f>
        <v/>
      </c>
      <c r="P811" t="str">
        <f t="array" ref="P811">IFERROR(INDEX('Player Raw Data'!AD:AD,Match($A811,'Player Raw Data'!$B:$B,0)),"")</f>
        <v/>
      </c>
      <c r="Q811">
        <f t="shared" si="1"/>
        <v>0</v>
      </c>
      <c r="R811" s="9">
        <f t="shared" si="2"/>
        <v>0</v>
      </c>
      <c r="S811" s="14">
        <f t="shared" si="3"/>
        <v>0</v>
      </c>
      <c r="T811" s="15">
        <f>IFERROR(__xludf.DUMMYFUNCTION("IFERROR(PERCENTRANK.INC(FILTER(Q:Q,$F:$F&lt;&gt;""""),Q811)*100,"""")"),1.5)</f>
        <v>1.5</v>
      </c>
      <c r="U811" s="15">
        <f>IFERROR(__xludf.DUMMYFUNCTION("IFERROR(PERCENTRANK.INC(FILTER(R:R,$F:$F&lt;&gt;""""),R811)*100,"""")"),1.5)</f>
        <v>1.5</v>
      </c>
      <c r="V811" s="15">
        <f>IFERROR(__xludf.DUMMYFUNCTION("IFERROR(PERCENTRANK.INC(FILTER(S:S,$F:$F&lt;&gt;""""),S811)*100,"""")"),1.5)</f>
        <v>1.5</v>
      </c>
      <c r="W811" s="15" t="str">
        <f t="shared" si="4"/>
        <v/>
      </c>
      <c r="X811" s="16"/>
      <c r="Y811" s="9"/>
      <c r="Z811" s="9"/>
    </row>
    <row r="812">
      <c r="B812" t="str">
        <f t="array" ref="B812">IFERROR(INDEX('Player Raw Data'!C:C,Match($A812,'Player Raw Data'!$B:$B,0)),"")</f>
        <v/>
      </c>
      <c r="C812" t="str">
        <f t="array" ref="C812">IFERROR(INDEX('Player Raw Data'!D:D,Match($A812,'Player Raw Data'!$B:$B,0)),"")</f>
        <v/>
      </c>
      <c r="D812" t="str">
        <f t="array" ref="D812">IFERROR(IF(A812=A811, INDEX('Player Raw Data'!E:E,Match($A812,'Player Raw Data'!$B:$B,0)+2),INDEX('Player Raw Data'!E:E,Match($A812,'Player Raw Data'!$B:$B,0))),"")</f>
        <v/>
      </c>
      <c r="E812" t="str">
        <f t="array" ref="E812">IFERROR(INDEX('Player Raw Data'!F:F,Match($A812,'Player Raw Data'!$B:$B,0)),"")</f>
        <v/>
      </c>
      <c r="F812" t="str">
        <f t="array" ref="F812">IFERROR(INDEX('Player Raw Data'!H:H,Match($A812,'Player Raw Data'!$B:$B,0)),"")</f>
        <v/>
      </c>
      <c r="G812" t="str">
        <f t="array" ref="G812">IFERROR(INDEX('Player Raw Data'!I:I,Match($A812,'Player Raw Data'!$B:$B,0)),"")</f>
        <v/>
      </c>
      <c r="H812" t="str">
        <f t="array" ref="H812">IFERROR(INDEX('Player Raw Data'!J:J,Match($A812,'Player Raw Data'!$B:$B,0)),"")</f>
        <v/>
      </c>
      <c r="I812" t="str">
        <f t="array" ref="I812">IFERROR(INDEX('Player Raw Data'!S:S,Match($A812,'Player Raw Data'!$B:$B,0)),"")</f>
        <v/>
      </c>
      <c r="J812" t="str">
        <f t="array" ref="J812">IFERROR(INDEX('Player Raw Data'!T:T,Match($A812,'Player Raw Data'!$B:$B,0)),"")</f>
        <v/>
      </c>
      <c r="K812" t="str">
        <f t="array" ref="K812">IFERROR(INDEX('Player Raw Data'!X:X,Match($A812,'Player Raw Data'!$B:$B,0)),"")</f>
        <v/>
      </c>
      <c r="L812" t="str">
        <f t="array" ref="L812">IFERROR(INDEX('Player Raw Data'!Y:Y,Match($A812,'Player Raw Data'!$B:$B,0)),"")</f>
        <v/>
      </c>
      <c r="M812" t="str">
        <f t="array" ref="M812">IFERROR(INDEX('Player Raw Data'!Z:Z,Match($A812,'Player Raw Data'!$B:$B,0)),"")</f>
        <v/>
      </c>
      <c r="N812" t="str">
        <f t="array" ref="N812">IFERROR(INDEX('Player Raw Data'!AA:AA,Match($A812,'Player Raw Data'!$B:$B,0)),"")</f>
        <v/>
      </c>
      <c r="O812" t="str">
        <f t="array" ref="O812">IFERROR(INDEX('Player Raw Data'!AB:AB,Match($A812,'Player Raw Data'!$B:$B,0)),"")</f>
        <v/>
      </c>
      <c r="P812" t="str">
        <f t="array" ref="P812">IFERROR(INDEX('Player Raw Data'!AD:AD,Match($A812,'Player Raw Data'!$B:$B,0)),"")</f>
        <v/>
      </c>
      <c r="Q812">
        <f t="shared" si="1"/>
        <v>0</v>
      </c>
      <c r="R812" s="9">
        <f t="shared" si="2"/>
        <v>0</v>
      </c>
      <c r="S812" s="14">
        <f t="shared" si="3"/>
        <v>0</v>
      </c>
      <c r="T812" s="15">
        <f>IFERROR(__xludf.DUMMYFUNCTION("IFERROR(PERCENTRANK.INC(FILTER(Q:Q,$F:$F&lt;&gt;""""),Q812)*100,"""")"),1.5)</f>
        <v>1.5</v>
      </c>
      <c r="U812" s="15">
        <f>IFERROR(__xludf.DUMMYFUNCTION("IFERROR(PERCENTRANK.INC(FILTER(R:R,$F:$F&lt;&gt;""""),R812)*100,"""")"),1.5)</f>
        <v>1.5</v>
      </c>
      <c r="V812" s="15">
        <f>IFERROR(__xludf.DUMMYFUNCTION("IFERROR(PERCENTRANK.INC(FILTER(S:S,$F:$F&lt;&gt;""""),S812)*100,"""")"),1.5)</f>
        <v>1.5</v>
      </c>
      <c r="W812" s="15" t="str">
        <f t="shared" si="4"/>
        <v/>
      </c>
      <c r="X812" s="16"/>
      <c r="Y812" s="9"/>
      <c r="Z812" s="9"/>
    </row>
    <row r="813">
      <c r="B813" t="str">
        <f t="array" ref="B813">IFERROR(INDEX('Player Raw Data'!C:C,Match($A813,'Player Raw Data'!$B:$B,0)),"")</f>
        <v/>
      </c>
      <c r="C813" t="str">
        <f t="array" ref="C813">IFERROR(INDEX('Player Raw Data'!D:D,Match($A813,'Player Raw Data'!$B:$B,0)),"")</f>
        <v/>
      </c>
      <c r="D813" t="str">
        <f t="array" ref="D813">IFERROR(IF(A813=A812, INDEX('Player Raw Data'!E:E,Match($A813,'Player Raw Data'!$B:$B,0)+2),INDEX('Player Raw Data'!E:E,Match($A813,'Player Raw Data'!$B:$B,0))),"")</f>
        <v/>
      </c>
      <c r="E813" t="str">
        <f t="array" ref="E813">IFERROR(INDEX('Player Raw Data'!F:F,Match($A813,'Player Raw Data'!$B:$B,0)),"")</f>
        <v/>
      </c>
      <c r="F813" t="str">
        <f t="array" ref="F813">IFERROR(INDEX('Player Raw Data'!H:H,Match($A813,'Player Raw Data'!$B:$B,0)),"")</f>
        <v/>
      </c>
      <c r="G813" t="str">
        <f t="array" ref="G813">IFERROR(INDEX('Player Raw Data'!I:I,Match($A813,'Player Raw Data'!$B:$B,0)),"")</f>
        <v/>
      </c>
      <c r="H813" t="str">
        <f t="array" ref="H813">IFERROR(INDEX('Player Raw Data'!J:J,Match($A813,'Player Raw Data'!$B:$B,0)),"")</f>
        <v/>
      </c>
      <c r="I813" t="str">
        <f t="array" ref="I813">IFERROR(INDEX('Player Raw Data'!S:S,Match($A813,'Player Raw Data'!$B:$B,0)),"")</f>
        <v/>
      </c>
      <c r="J813" t="str">
        <f t="array" ref="J813">IFERROR(INDEX('Player Raw Data'!T:T,Match($A813,'Player Raw Data'!$B:$B,0)),"")</f>
        <v/>
      </c>
      <c r="K813" t="str">
        <f t="array" ref="K813">IFERROR(INDEX('Player Raw Data'!X:X,Match($A813,'Player Raw Data'!$B:$B,0)),"")</f>
        <v/>
      </c>
      <c r="L813" t="str">
        <f t="array" ref="L813">IFERROR(INDEX('Player Raw Data'!Y:Y,Match($A813,'Player Raw Data'!$B:$B,0)),"")</f>
        <v/>
      </c>
      <c r="M813" t="str">
        <f t="array" ref="M813">IFERROR(INDEX('Player Raw Data'!Z:Z,Match($A813,'Player Raw Data'!$B:$B,0)),"")</f>
        <v/>
      </c>
      <c r="N813" t="str">
        <f t="array" ref="N813">IFERROR(INDEX('Player Raw Data'!AA:AA,Match($A813,'Player Raw Data'!$B:$B,0)),"")</f>
        <v/>
      </c>
      <c r="O813" t="str">
        <f t="array" ref="O813">IFERROR(INDEX('Player Raw Data'!AB:AB,Match($A813,'Player Raw Data'!$B:$B,0)),"")</f>
        <v/>
      </c>
      <c r="P813" t="str">
        <f t="array" ref="P813">IFERROR(INDEX('Player Raw Data'!AD:AD,Match($A813,'Player Raw Data'!$B:$B,0)),"")</f>
        <v/>
      </c>
      <c r="Q813">
        <f t="shared" si="1"/>
        <v>0</v>
      </c>
      <c r="R813" s="9">
        <f t="shared" si="2"/>
        <v>0</v>
      </c>
      <c r="S813" s="14">
        <f t="shared" si="3"/>
        <v>0</v>
      </c>
      <c r="T813" s="15">
        <f>IFERROR(__xludf.DUMMYFUNCTION("IFERROR(PERCENTRANK.INC(FILTER(Q:Q,$F:$F&lt;&gt;""""),Q813)*100,"""")"),1.5)</f>
        <v>1.5</v>
      </c>
      <c r="U813" s="15">
        <f>IFERROR(__xludf.DUMMYFUNCTION("IFERROR(PERCENTRANK.INC(FILTER(R:R,$F:$F&lt;&gt;""""),R813)*100,"""")"),1.5)</f>
        <v>1.5</v>
      </c>
      <c r="V813" s="15">
        <f>IFERROR(__xludf.DUMMYFUNCTION("IFERROR(PERCENTRANK.INC(FILTER(S:S,$F:$F&lt;&gt;""""),S813)*100,"""")"),1.5)</f>
        <v>1.5</v>
      </c>
      <c r="W813" s="15" t="str">
        <f t="shared" si="4"/>
        <v/>
      </c>
      <c r="X813" s="16"/>
      <c r="Y813" s="9"/>
      <c r="Z813" s="9"/>
    </row>
    <row r="814">
      <c r="B814" t="str">
        <f t="array" ref="B814">IFERROR(INDEX('Player Raw Data'!C:C,Match($A814,'Player Raw Data'!$B:$B,0)),"")</f>
        <v/>
      </c>
      <c r="C814" t="str">
        <f t="array" ref="C814">IFERROR(INDEX('Player Raw Data'!D:D,Match($A814,'Player Raw Data'!$B:$B,0)),"")</f>
        <v/>
      </c>
      <c r="D814" t="str">
        <f t="array" ref="D814">IFERROR(IF(A814=A813, INDEX('Player Raw Data'!E:E,Match($A814,'Player Raw Data'!$B:$B,0)+2),INDEX('Player Raw Data'!E:E,Match($A814,'Player Raw Data'!$B:$B,0))),"")</f>
        <v/>
      </c>
      <c r="E814" t="str">
        <f t="array" ref="E814">IFERROR(INDEX('Player Raw Data'!F:F,Match($A814,'Player Raw Data'!$B:$B,0)),"")</f>
        <v/>
      </c>
      <c r="F814" t="str">
        <f t="array" ref="F814">IFERROR(INDEX('Player Raw Data'!H:H,Match($A814,'Player Raw Data'!$B:$B,0)),"")</f>
        <v/>
      </c>
      <c r="G814" t="str">
        <f t="array" ref="G814">IFERROR(INDEX('Player Raw Data'!I:I,Match($A814,'Player Raw Data'!$B:$B,0)),"")</f>
        <v/>
      </c>
      <c r="H814" t="str">
        <f t="array" ref="H814">IFERROR(INDEX('Player Raw Data'!J:J,Match($A814,'Player Raw Data'!$B:$B,0)),"")</f>
        <v/>
      </c>
      <c r="I814" t="str">
        <f t="array" ref="I814">IFERROR(INDEX('Player Raw Data'!S:S,Match($A814,'Player Raw Data'!$B:$B,0)),"")</f>
        <v/>
      </c>
      <c r="J814" t="str">
        <f t="array" ref="J814">IFERROR(INDEX('Player Raw Data'!T:T,Match($A814,'Player Raw Data'!$B:$B,0)),"")</f>
        <v/>
      </c>
      <c r="K814" t="str">
        <f t="array" ref="K814">IFERROR(INDEX('Player Raw Data'!X:X,Match($A814,'Player Raw Data'!$B:$B,0)),"")</f>
        <v/>
      </c>
      <c r="L814" t="str">
        <f t="array" ref="L814">IFERROR(INDEX('Player Raw Data'!Y:Y,Match($A814,'Player Raw Data'!$B:$B,0)),"")</f>
        <v/>
      </c>
      <c r="M814" t="str">
        <f t="array" ref="M814">IFERROR(INDEX('Player Raw Data'!Z:Z,Match($A814,'Player Raw Data'!$B:$B,0)),"")</f>
        <v/>
      </c>
      <c r="N814" t="str">
        <f t="array" ref="N814">IFERROR(INDEX('Player Raw Data'!AA:AA,Match($A814,'Player Raw Data'!$B:$B,0)),"")</f>
        <v/>
      </c>
      <c r="O814" t="str">
        <f t="array" ref="O814">IFERROR(INDEX('Player Raw Data'!AB:AB,Match($A814,'Player Raw Data'!$B:$B,0)),"")</f>
        <v/>
      </c>
      <c r="P814" t="str">
        <f t="array" ref="P814">IFERROR(INDEX('Player Raw Data'!AD:AD,Match($A814,'Player Raw Data'!$B:$B,0)),"")</f>
        <v/>
      </c>
      <c r="Q814">
        <f t="shared" si="1"/>
        <v>0</v>
      </c>
      <c r="R814" s="9">
        <f t="shared" si="2"/>
        <v>0</v>
      </c>
      <c r="S814" s="14">
        <f t="shared" si="3"/>
        <v>0</v>
      </c>
      <c r="T814" s="15">
        <f>IFERROR(__xludf.DUMMYFUNCTION("IFERROR(PERCENTRANK.INC(FILTER(Q:Q,$F:$F&lt;&gt;""""),Q814)*100,"""")"),1.5)</f>
        <v>1.5</v>
      </c>
      <c r="U814" s="15">
        <f>IFERROR(__xludf.DUMMYFUNCTION("IFERROR(PERCENTRANK.INC(FILTER(R:R,$F:$F&lt;&gt;""""),R814)*100,"""")"),1.5)</f>
        <v>1.5</v>
      </c>
      <c r="V814" s="15">
        <f>IFERROR(__xludf.DUMMYFUNCTION("IFERROR(PERCENTRANK.INC(FILTER(S:S,$F:$F&lt;&gt;""""),S814)*100,"""")"),1.5)</f>
        <v>1.5</v>
      </c>
      <c r="W814" s="15" t="str">
        <f t="shared" si="4"/>
        <v/>
      </c>
      <c r="X814" s="16"/>
      <c r="Y814" s="9"/>
      <c r="Z814" s="9"/>
    </row>
    <row r="815">
      <c r="B815" t="str">
        <f t="array" ref="B815">IFERROR(INDEX('Player Raw Data'!C:C,Match($A815,'Player Raw Data'!$B:$B,0)),"")</f>
        <v/>
      </c>
      <c r="C815" t="str">
        <f t="array" ref="C815">IFERROR(INDEX('Player Raw Data'!D:D,Match($A815,'Player Raw Data'!$B:$B,0)),"")</f>
        <v/>
      </c>
      <c r="D815" t="str">
        <f t="array" ref="D815">IFERROR(IF(A815=A814, INDEX('Player Raw Data'!E:E,Match($A815,'Player Raw Data'!$B:$B,0)+2),INDEX('Player Raw Data'!E:E,Match($A815,'Player Raw Data'!$B:$B,0))),"")</f>
        <v/>
      </c>
      <c r="E815" t="str">
        <f t="array" ref="E815">IFERROR(INDEX('Player Raw Data'!F:F,Match($A815,'Player Raw Data'!$B:$B,0)),"")</f>
        <v/>
      </c>
      <c r="F815" t="str">
        <f t="array" ref="F815">IFERROR(INDEX('Player Raw Data'!H:H,Match($A815,'Player Raw Data'!$B:$B,0)),"")</f>
        <v/>
      </c>
      <c r="G815" t="str">
        <f t="array" ref="G815">IFERROR(INDEX('Player Raw Data'!I:I,Match($A815,'Player Raw Data'!$B:$B,0)),"")</f>
        <v/>
      </c>
      <c r="H815" t="str">
        <f t="array" ref="H815">IFERROR(INDEX('Player Raw Data'!J:J,Match($A815,'Player Raw Data'!$B:$B,0)),"")</f>
        <v/>
      </c>
      <c r="I815" t="str">
        <f t="array" ref="I815">IFERROR(INDEX('Player Raw Data'!S:S,Match($A815,'Player Raw Data'!$B:$B,0)),"")</f>
        <v/>
      </c>
      <c r="J815" t="str">
        <f t="array" ref="J815">IFERROR(INDEX('Player Raw Data'!T:T,Match($A815,'Player Raw Data'!$B:$B,0)),"")</f>
        <v/>
      </c>
      <c r="K815" t="str">
        <f t="array" ref="K815">IFERROR(INDEX('Player Raw Data'!X:X,Match($A815,'Player Raw Data'!$B:$B,0)),"")</f>
        <v/>
      </c>
      <c r="L815" t="str">
        <f t="array" ref="L815">IFERROR(INDEX('Player Raw Data'!Y:Y,Match($A815,'Player Raw Data'!$B:$B,0)),"")</f>
        <v/>
      </c>
      <c r="M815" t="str">
        <f t="array" ref="M815">IFERROR(INDEX('Player Raw Data'!Z:Z,Match($A815,'Player Raw Data'!$B:$B,0)),"")</f>
        <v/>
      </c>
      <c r="N815" t="str">
        <f t="array" ref="N815">IFERROR(INDEX('Player Raw Data'!AA:AA,Match($A815,'Player Raw Data'!$B:$B,0)),"")</f>
        <v/>
      </c>
      <c r="O815" t="str">
        <f t="array" ref="O815">IFERROR(INDEX('Player Raw Data'!AB:AB,Match($A815,'Player Raw Data'!$B:$B,0)),"")</f>
        <v/>
      </c>
      <c r="P815" t="str">
        <f t="array" ref="P815">IFERROR(INDEX('Player Raw Data'!AD:AD,Match($A815,'Player Raw Data'!$B:$B,0)),"")</f>
        <v/>
      </c>
      <c r="Q815">
        <f t="shared" si="1"/>
        <v>0</v>
      </c>
      <c r="R815" s="9">
        <f t="shared" si="2"/>
        <v>0</v>
      </c>
      <c r="S815" s="14">
        <f t="shared" si="3"/>
        <v>0</v>
      </c>
      <c r="T815" s="15">
        <f>IFERROR(__xludf.DUMMYFUNCTION("IFERROR(PERCENTRANK.INC(FILTER(Q:Q,$F:$F&lt;&gt;""""),Q815)*100,"""")"),1.5)</f>
        <v>1.5</v>
      </c>
      <c r="U815" s="15">
        <f>IFERROR(__xludf.DUMMYFUNCTION("IFERROR(PERCENTRANK.INC(FILTER(R:R,$F:$F&lt;&gt;""""),R815)*100,"""")"),1.5)</f>
        <v>1.5</v>
      </c>
      <c r="V815" s="15">
        <f>IFERROR(__xludf.DUMMYFUNCTION("IFERROR(PERCENTRANK.INC(FILTER(S:S,$F:$F&lt;&gt;""""),S815)*100,"""")"),1.5)</f>
        <v>1.5</v>
      </c>
      <c r="W815" s="15" t="str">
        <f t="shared" si="4"/>
        <v/>
      </c>
      <c r="X815" s="16"/>
      <c r="Y815" s="9"/>
      <c r="Z815" s="9"/>
    </row>
    <row r="816">
      <c r="B816" t="str">
        <f t="array" ref="B816">IFERROR(INDEX('Player Raw Data'!C:C,Match($A816,'Player Raw Data'!$B:$B,0)),"")</f>
        <v/>
      </c>
      <c r="C816" t="str">
        <f t="array" ref="C816">IFERROR(INDEX('Player Raw Data'!D:D,Match($A816,'Player Raw Data'!$B:$B,0)),"")</f>
        <v/>
      </c>
      <c r="D816" t="str">
        <f t="array" ref="D816">IFERROR(IF(A816=A815, INDEX('Player Raw Data'!E:E,Match($A816,'Player Raw Data'!$B:$B,0)+2),INDEX('Player Raw Data'!E:E,Match($A816,'Player Raw Data'!$B:$B,0))),"")</f>
        <v/>
      </c>
      <c r="E816" t="str">
        <f t="array" ref="E816">IFERROR(INDEX('Player Raw Data'!F:F,Match($A816,'Player Raw Data'!$B:$B,0)),"")</f>
        <v/>
      </c>
      <c r="F816" t="str">
        <f t="array" ref="F816">IFERROR(INDEX('Player Raw Data'!H:H,Match($A816,'Player Raw Data'!$B:$B,0)),"")</f>
        <v/>
      </c>
      <c r="G816" t="str">
        <f t="array" ref="G816">IFERROR(INDEX('Player Raw Data'!I:I,Match($A816,'Player Raw Data'!$B:$B,0)),"")</f>
        <v/>
      </c>
      <c r="H816" t="str">
        <f t="array" ref="H816">IFERROR(INDEX('Player Raw Data'!J:J,Match($A816,'Player Raw Data'!$B:$B,0)),"")</f>
        <v/>
      </c>
      <c r="I816" t="str">
        <f t="array" ref="I816">IFERROR(INDEX('Player Raw Data'!S:S,Match($A816,'Player Raw Data'!$B:$B,0)),"")</f>
        <v/>
      </c>
      <c r="J816" t="str">
        <f t="array" ref="J816">IFERROR(INDEX('Player Raw Data'!T:T,Match($A816,'Player Raw Data'!$B:$B,0)),"")</f>
        <v/>
      </c>
      <c r="K816" t="str">
        <f t="array" ref="K816">IFERROR(INDEX('Player Raw Data'!X:X,Match($A816,'Player Raw Data'!$B:$B,0)),"")</f>
        <v/>
      </c>
      <c r="L816" t="str">
        <f t="array" ref="L816">IFERROR(INDEX('Player Raw Data'!Y:Y,Match($A816,'Player Raw Data'!$B:$B,0)),"")</f>
        <v/>
      </c>
      <c r="M816" t="str">
        <f t="array" ref="M816">IFERROR(INDEX('Player Raw Data'!Z:Z,Match($A816,'Player Raw Data'!$B:$B,0)),"")</f>
        <v/>
      </c>
      <c r="N816" t="str">
        <f t="array" ref="N816">IFERROR(INDEX('Player Raw Data'!AA:AA,Match($A816,'Player Raw Data'!$B:$B,0)),"")</f>
        <v/>
      </c>
      <c r="O816" t="str">
        <f t="array" ref="O816">IFERROR(INDEX('Player Raw Data'!AB:AB,Match($A816,'Player Raw Data'!$B:$B,0)),"")</f>
        <v/>
      </c>
      <c r="P816" t="str">
        <f t="array" ref="P816">IFERROR(INDEX('Player Raw Data'!AD:AD,Match($A816,'Player Raw Data'!$B:$B,0)),"")</f>
        <v/>
      </c>
      <c r="Q816">
        <f t="shared" si="1"/>
        <v>0</v>
      </c>
      <c r="R816" s="9">
        <f t="shared" si="2"/>
        <v>0</v>
      </c>
      <c r="S816" s="14">
        <f t="shared" si="3"/>
        <v>0</v>
      </c>
      <c r="T816" s="15">
        <f>IFERROR(__xludf.DUMMYFUNCTION("IFERROR(PERCENTRANK.INC(FILTER(Q:Q,$F:$F&lt;&gt;""""),Q816)*100,"""")"),1.5)</f>
        <v>1.5</v>
      </c>
      <c r="U816" s="15">
        <f>IFERROR(__xludf.DUMMYFUNCTION("IFERROR(PERCENTRANK.INC(FILTER(R:R,$F:$F&lt;&gt;""""),R816)*100,"""")"),1.5)</f>
        <v>1.5</v>
      </c>
      <c r="V816" s="15">
        <f>IFERROR(__xludf.DUMMYFUNCTION("IFERROR(PERCENTRANK.INC(FILTER(S:S,$F:$F&lt;&gt;""""),S816)*100,"""")"),1.5)</f>
        <v>1.5</v>
      </c>
      <c r="W816" s="15" t="str">
        <f t="shared" si="4"/>
        <v/>
      </c>
      <c r="X816" s="16"/>
      <c r="Y816" s="9"/>
      <c r="Z816" s="9"/>
    </row>
    <row r="817">
      <c r="B817" t="str">
        <f t="array" ref="B817">IFERROR(INDEX('Player Raw Data'!C:C,Match($A817,'Player Raw Data'!$B:$B,0)),"")</f>
        <v/>
      </c>
      <c r="C817" t="str">
        <f t="array" ref="C817">IFERROR(INDEX('Player Raw Data'!D:D,Match($A817,'Player Raw Data'!$B:$B,0)),"")</f>
        <v/>
      </c>
      <c r="D817" t="str">
        <f t="array" ref="D817">IFERROR(IF(A817=A816, INDEX('Player Raw Data'!E:E,Match($A817,'Player Raw Data'!$B:$B,0)+2),INDEX('Player Raw Data'!E:E,Match($A817,'Player Raw Data'!$B:$B,0))),"")</f>
        <v/>
      </c>
      <c r="E817" t="str">
        <f t="array" ref="E817">IFERROR(INDEX('Player Raw Data'!F:F,Match($A817,'Player Raw Data'!$B:$B,0)),"")</f>
        <v/>
      </c>
      <c r="F817" t="str">
        <f t="array" ref="F817">IFERROR(INDEX('Player Raw Data'!H:H,Match($A817,'Player Raw Data'!$B:$B,0)),"")</f>
        <v/>
      </c>
      <c r="G817" t="str">
        <f t="array" ref="G817">IFERROR(INDEX('Player Raw Data'!I:I,Match($A817,'Player Raw Data'!$B:$B,0)),"")</f>
        <v/>
      </c>
      <c r="H817" t="str">
        <f t="array" ref="H817">IFERROR(INDEX('Player Raw Data'!J:J,Match($A817,'Player Raw Data'!$B:$B,0)),"")</f>
        <v/>
      </c>
      <c r="I817" t="str">
        <f t="array" ref="I817">IFERROR(INDEX('Player Raw Data'!S:S,Match($A817,'Player Raw Data'!$B:$B,0)),"")</f>
        <v/>
      </c>
      <c r="J817" t="str">
        <f t="array" ref="J817">IFERROR(INDEX('Player Raw Data'!T:T,Match($A817,'Player Raw Data'!$B:$B,0)),"")</f>
        <v/>
      </c>
      <c r="K817" t="str">
        <f t="array" ref="K817">IFERROR(INDEX('Player Raw Data'!X:X,Match($A817,'Player Raw Data'!$B:$B,0)),"")</f>
        <v/>
      </c>
      <c r="L817" t="str">
        <f t="array" ref="L817">IFERROR(INDEX('Player Raw Data'!Y:Y,Match($A817,'Player Raw Data'!$B:$B,0)),"")</f>
        <v/>
      </c>
      <c r="M817" t="str">
        <f t="array" ref="M817">IFERROR(INDEX('Player Raw Data'!Z:Z,Match($A817,'Player Raw Data'!$B:$B,0)),"")</f>
        <v/>
      </c>
      <c r="N817" t="str">
        <f t="array" ref="N817">IFERROR(INDEX('Player Raw Data'!AA:AA,Match($A817,'Player Raw Data'!$B:$B,0)),"")</f>
        <v/>
      </c>
      <c r="O817" t="str">
        <f t="array" ref="O817">IFERROR(INDEX('Player Raw Data'!AB:AB,Match($A817,'Player Raw Data'!$B:$B,0)),"")</f>
        <v/>
      </c>
      <c r="P817" t="str">
        <f t="array" ref="P817">IFERROR(INDEX('Player Raw Data'!AD:AD,Match($A817,'Player Raw Data'!$B:$B,0)),"")</f>
        <v/>
      </c>
      <c r="Q817">
        <f t="shared" si="1"/>
        <v>0</v>
      </c>
      <c r="R817" s="9">
        <f t="shared" si="2"/>
        <v>0</v>
      </c>
      <c r="S817" s="14">
        <f t="shared" si="3"/>
        <v>0</v>
      </c>
      <c r="T817" s="15">
        <f>IFERROR(__xludf.DUMMYFUNCTION("IFERROR(PERCENTRANK.INC(FILTER(Q:Q,$F:$F&lt;&gt;""""),Q817)*100,"""")"),1.5)</f>
        <v>1.5</v>
      </c>
      <c r="U817" s="15">
        <f>IFERROR(__xludf.DUMMYFUNCTION("IFERROR(PERCENTRANK.INC(FILTER(R:R,$F:$F&lt;&gt;""""),R817)*100,"""")"),1.5)</f>
        <v>1.5</v>
      </c>
      <c r="V817" s="15">
        <f>IFERROR(__xludf.DUMMYFUNCTION("IFERROR(PERCENTRANK.INC(FILTER(S:S,$F:$F&lt;&gt;""""),S817)*100,"""")"),1.5)</f>
        <v>1.5</v>
      </c>
      <c r="W817" s="15" t="str">
        <f t="shared" si="4"/>
        <v/>
      </c>
      <c r="X817" s="16"/>
      <c r="Y817" s="9"/>
      <c r="Z817" s="9"/>
    </row>
    <row r="818">
      <c r="B818" t="str">
        <f t="array" ref="B818">IFERROR(INDEX('Player Raw Data'!C:C,Match($A818,'Player Raw Data'!$B:$B,0)),"")</f>
        <v/>
      </c>
      <c r="C818" t="str">
        <f t="array" ref="C818">IFERROR(INDEX('Player Raw Data'!D:D,Match($A818,'Player Raw Data'!$B:$B,0)),"")</f>
        <v/>
      </c>
      <c r="D818" t="str">
        <f t="array" ref="D818">IFERROR(IF(A818=A817, INDEX('Player Raw Data'!E:E,Match($A818,'Player Raw Data'!$B:$B,0)+2),INDEX('Player Raw Data'!E:E,Match($A818,'Player Raw Data'!$B:$B,0))),"")</f>
        <v/>
      </c>
      <c r="E818" t="str">
        <f t="array" ref="E818">IFERROR(INDEX('Player Raw Data'!F:F,Match($A818,'Player Raw Data'!$B:$B,0)),"")</f>
        <v/>
      </c>
      <c r="F818" t="str">
        <f t="array" ref="F818">IFERROR(INDEX('Player Raw Data'!H:H,Match($A818,'Player Raw Data'!$B:$B,0)),"")</f>
        <v/>
      </c>
      <c r="G818" t="str">
        <f t="array" ref="G818">IFERROR(INDEX('Player Raw Data'!I:I,Match($A818,'Player Raw Data'!$B:$B,0)),"")</f>
        <v/>
      </c>
      <c r="H818" t="str">
        <f t="array" ref="H818">IFERROR(INDEX('Player Raw Data'!J:J,Match($A818,'Player Raw Data'!$B:$B,0)),"")</f>
        <v/>
      </c>
      <c r="I818" t="str">
        <f t="array" ref="I818">IFERROR(INDEX('Player Raw Data'!S:S,Match($A818,'Player Raw Data'!$B:$B,0)),"")</f>
        <v/>
      </c>
      <c r="J818" t="str">
        <f t="array" ref="J818">IFERROR(INDEX('Player Raw Data'!T:T,Match($A818,'Player Raw Data'!$B:$B,0)),"")</f>
        <v/>
      </c>
      <c r="K818" t="str">
        <f t="array" ref="K818">IFERROR(INDEX('Player Raw Data'!X:X,Match($A818,'Player Raw Data'!$B:$B,0)),"")</f>
        <v/>
      </c>
      <c r="L818" t="str">
        <f t="array" ref="L818">IFERROR(INDEX('Player Raw Data'!Y:Y,Match($A818,'Player Raw Data'!$B:$B,0)),"")</f>
        <v/>
      </c>
      <c r="M818" t="str">
        <f t="array" ref="M818">IFERROR(INDEX('Player Raw Data'!Z:Z,Match($A818,'Player Raw Data'!$B:$B,0)),"")</f>
        <v/>
      </c>
      <c r="N818" t="str">
        <f t="array" ref="N818">IFERROR(INDEX('Player Raw Data'!AA:AA,Match($A818,'Player Raw Data'!$B:$B,0)),"")</f>
        <v/>
      </c>
      <c r="O818" t="str">
        <f t="array" ref="O818">IFERROR(INDEX('Player Raw Data'!AB:AB,Match($A818,'Player Raw Data'!$B:$B,0)),"")</f>
        <v/>
      </c>
      <c r="P818" t="str">
        <f t="array" ref="P818">IFERROR(INDEX('Player Raw Data'!AD:AD,Match($A818,'Player Raw Data'!$B:$B,0)),"")</f>
        <v/>
      </c>
      <c r="Q818">
        <f t="shared" si="1"/>
        <v>0</v>
      </c>
      <c r="R818" s="9">
        <f t="shared" si="2"/>
        <v>0</v>
      </c>
      <c r="S818" s="14">
        <f t="shared" si="3"/>
        <v>0</v>
      </c>
      <c r="T818" s="15">
        <f>IFERROR(__xludf.DUMMYFUNCTION("IFERROR(PERCENTRANK.INC(FILTER(Q:Q,$F:$F&lt;&gt;""""),Q818)*100,"""")"),1.5)</f>
        <v>1.5</v>
      </c>
      <c r="U818" s="15">
        <f>IFERROR(__xludf.DUMMYFUNCTION("IFERROR(PERCENTRANK.INC(FILTER(R:R,$F:$F&lt;&gt;""""),R818)*100,"""")"),1.5)</f>
        <v>1.5</v>
      </c>
      <c r="V818" s="15">
        <f>IFERROR(__xludf.DUMMYFUNCTION("IFERROR(PERCENTRANK.INC(FILTER(S:S,$F:$F&lt;&gt;""""),S818)*100,"""")"),1.5)</f>
        <v>1.5</v>
      </c>
      <c r="W818" s="15" t="str">
        <f t="shared" si="4"/>
        <v/>
      </c>
      <c r="X818" s="16"/>
      <c r="Y818" s="9"/>
      <c r="Z818" s="9"/>
    </row>
    <row r="819">
      <c r="B819" t="str">
        <f t="array" ref="B819">IFERROR(INDEX('Player Raw Data'!C:C,Match($A819,'Player Raw Data'!$B:$B,0)),"")</f>
        <v/>
      </c>
      <c r="C819" t="str">
        <f t="array" ref="C819">IFERROR(INDEX('Player Raw Data'!D:D,Match($A819,'Player Raw Data'!$B:$B,0)),"")</f>
        <v/>
      </c>
      <c r="D819" t="str">
        <f t="array" ref="D819">IFERROR(IF(A819=A818, INDEX('Player Raw Data'!E:E,Match($A819,'Player Raw Data'!$B:$B,0)+2),INDEX('Player Raw Data'!E:E,Match($A819,'Player Raw Data'!$B:$B,0))),"")</f>
        <v/>
      </c>
      <c r="E819" t="str">
        <f t="array" ref="E819">IFERROR(INDEX('Player Raw Data'!F:F,Match($A819,'Player Raw Data'!$B:$B,0)),"")</f>
        <v/>
      </c>
      <c r="F819" t="str">
        <f t="array" ref="F819">IFERROR(INDEX('Player Raw Data'!H:H,Match($A819,'Player Raw Data'!$B:$B,0)),"")</f>
        <v/>
      </c>
      <c r="G819" t="str">
        <f t="array" ref="G819">IFERROR(INDEX('Player Raw Data'!I:I,Match($A819,'Player Raw Data'!$B:$B,0)),"")</f>
        <v/>
      </c>
      <c r="H819" t="str">
        <f t="array" ref="H819">IFERROR(INDEX('Player Raw Data'!J:J,Match($A819,'Player Raw Data'!$B:$B,0)),"")</f>
        <v/>
      </c>
      <c r="I819" t="str">
        <f t="array" ref="I819">IFERROR(INDEX('Player Raw Data'!S:S,Match($A819,'Player Raw Data'!$B:$B,0)),"")</f>
        <v/>
      </c>
      <c r="J819" t="str">
        <f t="array" ref="J819">IFERROR(INDEX('Player Raw Data'!T:T,Match($A819,'Player Raw Data'!$B:$B,0)),"")</f>
        <v/>
      </c>
      <c r="K819" t="str">
        <f t="array" ref="K819">IFERROR(INDEX('Player Raw Data'!X:X,Match($A819,'Player Raw Data'!$B:$B,0)),"")</f>
        <v/>
      </c>
      <c r="L819" t="str">
        <f t="array" ref="L819">IFERROR(INDEX('Player Raw Data'!Y:Y,Match($A819,'Player Raw Data'!$B:$B,0)),"")</f>
        <v/>
      </c>
      <c r="M819" t="str">
        <f t="array" ref="M819">IFERROR(INDEX('Player Raw Data'!Z:Z,Match($A819,'Player Raw Data'!$B:$B,0)),"")</f>
        <v/>
      </c>
      <c r="N819" t="str">
        <f t="array" ref="N819">IFERROR(INDEX('Player Raw Data'!AA:AA,Match($A819,'Player Raw Data'!$B:$B,0)),"")</f>
        <v/>
      </c>
      <c r="O819" t="str">
        <f t="array" ref="O819">IFERROR(INDEX('Player Raw Data'!AB:AB,Match($A819,'Player Raw Data'!$B:$B,0)),"")</f>
        <v/>
      </c>
      <c r="P819" t="str">
        <f t="array" ref="P819">IFERROR(INDEX('Player Raw Data'!AD:AD,Match($A819,'Player Raw Data'!$B:$B,0)),"")</f>
        <v/>
      </c>
      <c r="Q819">
        <f t="shared" si="1"/>
        <v>0</v>
      </c>
      <c r="R819" s="9">
        <f t="shared" si="2"/>
        <v>0</v>
      </c>
      <c r="S819" s="14">
        <f t="shared" si="3"/>
        <v>0</v>
      </c>
      <c r="T819" s="15">
        <f>IFERROR(__xludf.DUMMYFUNCTION("IFERROR(PERCENTRANK.INC(FILTER(Q:Q,$F:$F&lt;&gt;""""),Q819)*100,"""")"),1.5)</f>
        <v>1.5</v>
      </c>
      <c r="U819" s="15">
        <f>IFERROR(__xludf.DUMMYFUNCTION("IFERROR(PERCENTRANK.INC(FILTER(R:R,$F:$F&lt;&gt;""""),R819)*100,"""")"),1.5)</f>
        <v>1.5</v>
      </c>
      <c r="V819" s="15">
        <f>IFERROR(__xludf.DUMMYFUNCTION("IFERROR(PERCENTRANK.INC(FILTER(S:S,$F:$F&lt;&gt;""""),S819)*100,"""")"),1.5)</f>
        <v>1.5</v>
      </c>
      <c r="W819" s="15" t="str">
        <f t="shared" si="4"/>
        <v/>
      </c>
      <c r="X819" s="16"/>
      <c r="Y819" s="9"/>
      <c r="Z819" s="9"/>
    </row>
    <row r="820">
      <c r="B820" t="str">
        <f t="array" ref="B820">IFERROR(INDEX('Player Raw Data'!C:C,Match($A820,'Player Raw Data'!$B:$B,0)),"")</f>
        <v/>
      </c>
      <c r="C820" t="str">
        <f t="array" ref="C820">IFERROR(INDEX('Player Raw Data'!D:D,Match($A820,'Player Raw Data'!$B:$B,0)),"")</f>
        <v/>
      </c>
      <c r="D820" t="str">
        <f t="array" ref="D820">IFERROR(IF(A820=A819, INDEX('Player Raw Data'!E:E,Match($A820,'Player Raw Data'!$B:$B,0)+2),INDEX('Player Raw Data'!E:E,Match($A820,'Player Raw Data'!$B:$B,0))),"")</f>
        <v/>
      </c>
      <c r="E820" t="str">
        <f t="array" ref="E820">IFERROR(INDEX('Player Raw Data'!F:F,Match($A820,'Player Raw Data'!$B:$B,0)),"")</f>
        <v/>
      </c>
      <c r="F820" t="str">
        <f t="array" ref="F820">IFERROR(INDEX('Player Raw Data'!H:H,Match($A820,'Player Raw Data'!$B:$B,0)),"")</f>
        <v/>
      </c>
      <c r="G820" t="str">
        <f t="array" ref="G820">IFERROR(INDEX('Player Raw Data'!I:I,Match($A820,'Player Raw Data'!$B:$B,0)),"")</f>
        <v/>
      </c>
      <c r="H820" t="str">
        <f t="array" ref="H820">IFERROR(INDEX('Player Raw Data'!J:J,Match($A820,'Player Raw Data'!$B:$B,0)),"")</f>
        <v/>
      </c>
      <c r="I820" t="str">
        <f t="array" ref="I820">IFERROR(INDEX('Player Raw Data'!S:S,Match($A820,'Player Raw Data'!$B:$B,0)),"")</f>
        <v/>
      </c>
      <c r="J820" t="str">
        <f t="array" ref="J820">IFERROR(INDEX('Player Raw Data'!T:T,Match($A820,'Player Raw Data'!$B:$B,0)),"")</f>
        <v/>
      </c>
      <c r="K820" t="str">
        <f t="array" ref="K820">IFERROR(INDEX('Player Raw Data'!X:X,Match($A820,'Player Raw Data'!$B:$B,0)),"")</f>
        <v/>
      </c>
      <c r="L820" t="str">
        <f t="array" ref="L820">IFERROR(INDEX('Player Raw Data'!Y:Y,Match($A820,'Player Raw Data'!$B:$B,0)),"")</f>
        <v/>
      </c>
      <c r="M820" t="str">
        <f t="array" ref="M820">IFERROR(INDEX('Player Raw Data'!Z:Z,Match($A820,'Player Raw Data'!$B:$B,0)),"")</f>
        <v/>
      </c>
      <c r="N820" t="str">
        <f t="array" ref="N820">IFERROR(INDEX('Player Raw Data'!AA:AA,Match($A820,'Player Raw Data'!$B:$B,0)),"")</f>
        <v/>
      </c>
      <c r="O820" t="str">
        <f t="array" ref="O820">IFERROR(INDEX('Player Raw Data'!AB:AB,Match($A820,'Player Raw Data'!$B:$B,0)),"")</f>
        <v/>
      </c>
      <c r="P820" t="str">
        <f t="array" ref="P820">IFERROR(INDEX('Player Raw Data'!AD:AD,Match($A820,'Player Raw Data'!$B:$B,0)),"")</f>
        <v/>
      </c>
      <c r="Q820">
        <f t="shared" si="1"/>
        <v>0</v>
      </c>
      <c r="R820" s="9">
        <f t="shared" si="2"/>
        <v>0</v>
      </c>
      <c r="S820" s="14">
        <f t="shared" si="3"/>
        <v>0</v>
      </c>
      <c r="T820" s="15">
        <f>IFERROR(__xludf.DUMMYFUNCTION("IFERROR(PERCENTRANK.INC(FILTER(Q:Q,$F:$F&lt;&gt;""""),Q820)*100,"""")"),1.5)</f>
        <v>1.5</v>
      </c>
      <c r="U820" s="15">
        <f>IFERROR(__xludf.DUMMYFUNCTION("IFERROR(PERCENTRANK.INC(FILTER(R:R,$F:$F&lt;&gt;""""),R820)*100,"""")"),1.5)</f>
        <v>1.5</v>
      </c>
      <c r="V820" s="15">
        <f>IFERROR(__xludf.DUMMYFUNCTION("IFERROR(PERCENTRANK.INC(FILTER(S:S,$F:$F&lt;&gt;""""),S820)*100,"""")"),1.5)</f>
        <v>1.5</v>
      </c>
      <c r="W820" s="15" t="str">
        <f t="shared" si="4"/>
        <v/>
      </c>
      <c r="X820" s="16"/>
      <c r="Y820" s="9"/>
      <c r="Z820" s="9"/>
    </row>
    <row r="821">
      <c r="B821" t="str">
        <f t="array" ref="B821">IFERROR(INDEX('Player Raw Data'!C:C,Match($A821,'Player Raw Data'!$B:$B,0)),"")</f>
        <v/>
      </c>
      <c r="C821" t="str">
        <f t="array" ref="C821">IFERROR(INDEX('Player Raw Data'!D:D,Match($A821,'Player Raw Data'!$B:$B,0)),"")</f>
        <v/>
      </c>
      <c r="D821" t="str">
        <f t="array" ref="D821">IFERROR(IF(A821=A820, INDEX('Player Raw Data'!E:E,Match($A821,'Player Raw Data'!$B:$B,0)+2),INDEX('Player Raw Data'!E:E,Match($A821,'Player Raw Data'!$B:$B,0))),"")</f>
        <v/>
      </c>
      <c r="E821" t="str">
        <f t="array" ref="E821">IFERROR(INDEX('Player Raw Data'!F:F,Match($A821,'Player Raw Data'!$B:$B,0)),"")</f>
        <v/>
      </c>
      <c r="F821" t="str">
        <f t="array" ref="F821">IFERROR(INDEX('Player Raw Data'!H:H,Match($A821,'Player Raw Data'!$B:$B,0)),"")</f>
        <v/>
      </c>
      <c r="G821" t="str">
        <f t="array" ref="G821">IFERROR(INDEX('Player Raw Data'!I:I,Match($A821,'Player Raw Data'!$B:$B,0)),"")</f>
        <v/>
      </c>
      <c r="H821" t="str">
        <f t="array" ref="H821">IFERROR(INDEX('Player Raw Data'!J:J,Match($A821,'Player Raw Data'!$B:$B,0)),"")</f>
        <v/>
      </c>
      <c r="I821" t="str">
        <f t="array" ref="I821">IFERROR(INDEX('Player Raw Data'!S:S,Match($A821,'Player Raw Data'!$B:$B,0)),"")</f>
        <v/>
      </c>
      <c r="J821" t="str">
        <f t="array" ref="J821">IFERROR(INDEX('Player Raw Data'!T:T,Match($A821,'Player Raw Data'!$B:$B,0)),"")</f>
        <v/>
      </c>
      <c r="K821" t="str">
        <f t="array" ref="K821">IFERROR(INDEX('Player Raw Data'!X:X,Match($A821,'Player Raw Data'!$B:$B,0)),"")</f>
        <v/>
      </c>
      <c r="L821" t="str">
        <f t="array" ref="L821">IFERROR(INDEX('Player Raw Data'!Y:Y,Match($A821,'Player Raw Data'!$B:$B,0)),"")</f>
        <v/>
      </c>
      <c r="M821" t="str">
        <f t="array" ref="M821">IFERROR(INDEX('Player Raw Data'!Z:Z,Match($A821,'Player Raw Data'!$B:$B,0)),"")</f>
        <v/>
      </c>
      <c r="N821" t="str">
        <f t="array" ref="N821">IFERROR(INDEX('Player Raw Data'!AA:AA,Match($A821,'Player Raw Data'!$B:$B,0)),"")</f>
        <v/>
      </c>
      <c r="O821" t="str">
        <f t="array" ref="O821">IFERROR(INDEX('Player Raw Data'!AB:AB,Match($A821,'Player Raw Data'!$B:$B,0)),"")</f>
        <v/>
      </c>
      <c r="P821" t="str">
        <f t="array" ref="P821">IFERROR(INDEX('Player Raw Data'!AD:AD,Match($A821,'Player Raw Data'!$B:$B,0)),"")</f>
        <v/>
      </c>
      <c r="Q821">
        <f t="shared" si="1"/>
        <v>0</v>
      </c>
      <c r="R821" s="9">
        <f t="shared" si="2"/>
        <v>0</v>
      </c>
      <c r="S821" s="14">
        <f t="shared" si="3"/>
        <v>0</v>
      </c>
      <c r="T821" s="15">
        <f>IFERROR(__xludf.DUMMYFUNCTION("IFERROR(PERCENTRANK.INC(FILTER(Q:Q,$F:$F&lt;&gt;""""),Q821)*100,"""")"),1.5)</f>
        <v>1.5</v>
      </c>
      <c r="U821" s="15">
        <f>IFERROR(__xludf.DUMMYFUNCTION("IFERROR(PERCENTRANK.INC(FILTER(R:R,$F:$F&lt;&gt;""""),R821)*100,"""")"),1.5)</f>
        <v>1.5</v>
      </c>
      <c r="V821" s="15">
        <f>IFERROR(__xludf.DUMMYFUNCTION("IFERROR(PERCENTRANK.INC(FILTER(S:S,$F:$F&lt;&gt;""""),S821)*100,"""")"),1.5)</f>
        <v>1.5</v>
      </c>
      <c r="W821" s="15" t="str">
        <f t="shared" si="4"/>
        <v/>
      </c>
      <c r="X821" s="16"/>
      <c r="Y821" s="9"/>
      <c r="Z821" s="9"/>
    </row>
    <row r="822">
      <c r="B822" t="str">
        <f t="array" ref="B822">IFERROR(INDEX('Player Raw Data'!C:C,Match($A822,'Player Raw Data'!$B:$B,0)),"")</f>
        <v/>
      </c>
      <c r="C822" t="str">
        <f t="array" ref="C822">IFERROR(INDEX('Player Raw Data'!D:D,Match($A822,'Player Raw Data'!$B:$B,0)),"")</f>
        <v/>
      </c>
      <c r="D822" t="str">
        <f t="array" ref="D822">IFERROR(IF(A822=A821, INDEX('Player Raw Data'!E:E,Match($A822,'Player Raw Data'!$B:$B,0)+2),INDEX('Player Raw Data'!E:E,Match($A822,'Player Raw Data'!$B:$B,0))),"")</f>
        <v/>
      </c>
      <c r="E822" t="str">
        <f t="array" ref="E822">IFERROR(INDEX('Player Raw Data'!F:F,Match($A822,'Player Raw Data'!$B:$B,0)),"")</f>
        <v/>
      </c>
      <c r="F822" t="str">
        <f t="array" ref="F822">IFERROR(INDEX('Player Raw Data'!H:H,Match($A822,'Player Raw Data'!$B:$B,0)),"")</f>
        <v/>
      </c>
      <c r="G822" t="str">
        <f t="array" ref="G822">IFERROR(INDEX('Player Raw Data'!I:I,Match($A822,'Player Raw Data'!$B:$B,0)),"")</f>
        <v/>
      </c>
      <c r="H822" t="str">
        <f t="array" ref="H822">IFERROR(INDEX('Player Raw Data'!J:J,Match($A822,'Player Raw Data'!$B:$B,0)),"")</f>
        <v/>
      </c>
      <c r="I822" t="str">
        <f t="array" ref="I822">IFERROR(INDEX('Player Raw Data'!S:S,Match($A822,'Player Raw Data'!$B:$B,0)),"")</f>
        <v/>
      </c>
      <c r="J822" t="str">
        <f t="array" ref="J822">IFERROR(INDEX('Player Raw Data'!T:T,Match($A822,'Player Raw Data'!$B:$B,0)),"")</f>
        <v/>
      </c>
      <c r="K822" t="str">
        <f t="array" ref="K822">IFERROR(INDEX('Player Raw Data'!X:X,Match($A822,'Player Raw Data'!$B:$B,0)),"")</f>
        <v/>
      </c>
      <c r="L822" t="str">
        <f t="array" ref="L822">IFERROR(INDEX('Player Raw Data'!Y:Y,Match($A822,'Player Raw Data'!$B:$B,0)),"")</f>
        <v/>
      </c>
      <c r="M822" t="str">
        <f t="array" ref="M822">IFERROR(INDEX('Player Raw Data'!Z:Z,Match($A822,'Player Raw Data'!$B:$B,0)),"")</f>
        <v/>
      </c>
      <c r="N822" t="str">
        <f t="array" ref="N822">IFERROR(INDEX('Player Raw Data'!AA:AA,Match($A822,'Player Raw Data'!$B:$B,0)),"")</f>
        <v/>
      </c>
      <c r="O822" t="str">
        <f t="array" ref="O822">IFERROR(INDEX('Player Raw Data'!AB:AB,Match($A822,'Player Raw Data'!$B:$B,0)),"")</f>
        <v/>
      </c>
      <c r="P822" t="str">
        <f t="array" ref="P822">IFERROR(INDEX('Player Raw Data'!AD:AD,Match($A822,'Player Raw Data'!$B:$B,0)),"")</f>
        <v/>
      </c>
      <c r="Q822">
        <f t="shared" si="1"/>
        <v>0</v>
      </c>
      <c r="R822" s="9">
        <f t="shared" si="2"/>
        <v>0</v>
      </c>
      <c r="S822" s="14">
        <f t="shared" si="3"/>
        <v>0</v>
      </c>
      <c r="T822" s="15">
        <f>IFERROR(__xludf.DUMMYFUNCTION("IFERROR(PERCENTRANK.INC(FILTER(Q:Q,$F:$F&lt;&gt;""""),Q822)*100,"""")"),1.5)</f>
        <v>1.5</v>
      </c>
      <c r="U822" s="15">
        <f>IFERROR(__xludf.DUMMYFUNCTION("IFERROR(PERCENTRANK.INC(FILTER(R:R,$F:$F&lt;&gt;""""),R822)*100,"""")"),1.5)</f>
        <v>1.5</v>
      </c>
      <c r="V822" s="15">
        <f>IFERROR(__xludf.DUMMYFUNCTION("IFERROR(PERCENTRANK.INC(FILTER(S:S,$F:$F&lt;&gt;""""),S822)*100,"""")"),1.5)</f>
        <v>1.5</v>
      </c>
      <c r="W822" s="15" t="str">
        <f t="shared" si="4"/>
        <v/>
      </c>
      <c r="X822" s="16"/>
      <c r="Y822" s="9"/>
      <c r="Z822" s="9"/>
    </row>
    <row r="823">
      <c r="B823" t="str">
        <f t="array" ref="B823">IFERROR(INDEX('Player Raw Data'!C:C,Match($A823,'Player Raw Data'!$B:$B,0)),"")</f>
        <v/>
      </c>
      <c r="C823" t="str">
        <f t="array" ref="C823">IFERROR(INDEX('Player Raw Data'!D:D,Match($A823,'Player Raw Data'!$B:$B,0)),"")</f>
        <v/>
      </c>
      <c r="D823" t="str">
        <f t="array" ref="D823">IFERROR(IF(A823=A822, INDEX('Player Raw Data'!E:E,Match($A823,'Player Raw Data'!$B:$B,0)+2),INDEX('Player Raw Data'!E:E,Match($A823,'Player Raw Data'!$B:$B,0))),"")</f>
        <v/>
      </c>
      <c r="E823" t="str">
        <f t="array" ref="E823">IFERROR(INDEX('Player Raw Data'!F:F,Match($A823,'Player Raw Data'!$B:$B,0)),"")</f>
        <v/>
      </c>
      <c r="F823" t="str">
        <f t="array" ref="F823">IFERROR(INDEX('Player Raw Data'!H:H,Match($A823,'Player Raw Data'!$B:$B,0)),"")</f>
        <v/>
      </c>
      <c r="G823" t="str">
        <f t="array" ref="G823">IFERROR(INDEX('Player Raw Data'!I:I,Match($A823,'Player Raw Data'!$B:$B,0)),"")</f>
        <v/>
      </c>
      <c r="H823" t="str">
        <f t="array" ref="H823">IFERROR(INDEX('Player Raw Data'!J:J,Match($A823,'Player Raw Data'!$B:$B,0)),"")</f>
        <v/>
      </c>
      <c r="I823" t="str">
        <f t="array" ref="I823">IFERROR(INDEX('Player Raw Data'!S:S,Match($A823,'Player Raw Data'!$B:$B,0)),"")</f>
        <v/>
      </c>
      <c r="J823" t="str">
        <f t="array" ref="J823">IFERROR(INDEX('Player Raw Data'!T:T,Match($A823,'Player Raw Data'!$B:$B,0)),"")</f>
        <v/>
      </c>
      <c r="K823" t="str">
        <f t="array" ref="K823">IFERROR(INDEX('Player Raw Data'!X:X,Match($A823,'Player Raw Data'!$B:$B,0)),"")</f>
        <v/>
      </c>
      <c r="L823" t="str">
        <f t="array" ref="L823">IFERROR(INDEX('Player Raw Data'!Y:Y,Match($A823,'Player Raw Data'!$B:$B,0)),"")</f>
        <v/>
      </c>
      <c r="M823" t="str">
        <f t="array" ref="M823">IFERROR(INDEX('Player Raw Data'!Z:Z,Match($A823,'Player Raw Data'!$B:$B,0)),"")</f>
        <v/>
      </c>
      <c r="N823" t="str">
        <f t="array" ref="N823">IFERROR(INDEX('Player Raw Data'!AA:AA,Match($A823,'Player Raw Data'!$B:$B,0)),"")</f>
        <v/>
      </c>
      <c r="O823" t="str">
        <f t="array" ref="O823">IFERROR(INDEX('Player Raw Data'!AB:AB,Match($A823,'Player Raw Data'!$B:$B,0)),"")</f>
        <v/>
      </c>
      <c r="P823" t="str">
        <f t="array" ref="P823">IFERROR(INDEX('Player Raw Data'!AD:AD,Match($A823,'Player Raw Data'!$B:$B,0)),"")</f>
        <v/>
      </c>
      <c r="Q823">
        <f t="shared" si="1"/>
        <v>0</v>
      </c>
      <c r="R823" s="9">
        <f t="shared" si="2"/>
        <v>0</v>
      </c>
      <c r="S823" s="14">
        <f t="shared" si="3"/>
        <v>0</v>
      </c>
      <c r="T823" s="15">
        <f>IFERROR(__xludf.DUMMYFUNCTION("IFERROR(PERCENTRANK.INC(FILTER(Q:Q,$F:$F&lt;&gt;""""),Q823)*100,"""")"),1.5)</f>
        <v>1.5</v>
      </c>
      <c r="U823" s="15">
        <f>IFERROR(__xludf.DUMMYFUNCTION("IFERROR(PERCENTRANK.INC(FILTER(R:R,$F:$F&lt;&gt;""""),R823)*100,"""")"),1.5)</f>
        <v>1.5</v>
      </c>
      <c r="V823" s="15">
        <f>IFERROR(__xludf.DUMMYFUNCTION("IFERROR(PERCENTRANK.INC(FILTER(S:S,$F:$F&lt;&gt;""""),S823)*100,"""")"),1.5)</f>
        <v>1.5</v>
      </c>
      <c r="W823" s="15" t="str">
        <f t="shared" si="4"/>
        <v/>
      </c>
      <c r="X823" s="16"/>
      <c r="Y823" s="9"/>
      <c r="Z823" s="9"/>
    </row>
    <row r="824">
      <c r="B824" t="str">
        <f t="array" ref="B824">IFERROR(INDEX('Player Raw Data'!C:C,Match($A824,'Player Raw Data'!$B:$B,0)),"")</f>
        <v/>
      </c>
      <c r="C824" t="str">
        <f t="array" ref="C824">IFERROR(INDEX('Player Raw Data'!D:D,Match($A824,'Player Raw Data'!$B:$B,0)),"")</f>
        <v/>
      </c>
      <c r="D824" t="str">
        <f t="array" ref="D824">IFERROR(IF(A824=A823, INDEX('Player Raw Data'!E:E,Match($A824,'Player Raw Data'!$B:$B,0)+2),INDEX('Player Raw Data'!E:E,Match($A824,'Player Raw Data'!$B:$B,0))),"")</f>
        <v/>
      </c>
      <c r="E824" t="str">
        <f t="array" ref="E824">IFERROR(INDEX('Player Raw Data'!F:F,Match($A824,'Player Raw Data'!$B:$B,0)),"")</f>
        <v/>
      </c>
      <c r="F824" t="str">
        <f t="array" ref="F824">IFERROR(INDEX('Player Raw Data'!H:H,Match($A824,'Player Raw Data'!$B:$B,0)),"")</f>
        <v/>
      </c>
      <c r="G824" t="str">
        <f t="array" ref="G824">IFERROR(INDEX('Player Raw Data'!I:I,Match($A824,'Player Raw Data'!$B:$B,0)),"")</f>
        <v/>
      </c>
      <c r="H824" t="str">
        <f t="array" ref="H824">IFERROR(INDEX('Player Raw Data'!J:J,Match($A824,'Player Raw Data'!$B:$B,0)),"")</f>
        <v/>
      </c>
      <c r="I824" t="str">
        <f t="array" ref="I824">IFERROR(INDEX('Player Raw Data'!S:S,Match($A824,'Player Raw Data'!$B:$B,0)),"")</f>
        <v/>
      </c>
      <c r="J824" t="str">
        <f t="array" ref="J824">IFERROR(INDEX('Player Raw Data'!T:T,Match($A824,'Player Raw Data'!$B:$B,0)),"")</f>
        <v/>
      </c>
      <c r="K824" t="str">
        <f t="array" ref="K824">IFERROR(INDEX('Player Raw Data'!X:X,Match($A824,'Player Raw Data'!$B:$B,0)),"")</f>
        <v/>
      </c>
      <c r="L824" t="str">
        <f t="array" ref="L824">IFERROR(INDEX('Player Raw Data'!Y:Y,Match($A824,'Player Raw Data'!$B:$B,0)),"")</f>
        <v/>
      </c>
      <c r="M824" t="str">
        <f t="array" ref="M824">IFERROR(INDEX('Player Raw Data'!Z:Z,Match($A824,'Player Raw Data'!$B:$B,0)),"")</f>
        <v/>
      </c>
      <c r="N824" t="str">
        <f t="array" ref="N824">IFERROR(INDEX('Player Raw Data'!AA:AA,Match($A824,'Player Raw Data'!$B:$B,0)),"")</f>
        <v/>
      </c>
      <c r="O824" t="str">
        <f t="array" ref="O824">IFERROR(INDEX('Player Raw Data'!AB:AB,Match($A824,'Player Raw Data'!$B:$B,0)),"")</f>
        <v/>
      </c>
      <c r="P824" t="str">
        <f t="array" ref="P824">IFERROR(INDEX('Player Raw Data'!AD:AD,Match($A824,'Player Raw Data'!$B:$B,0)),"")</f>
        <v/>
      </c>
      <c r="Q824">
        <f t="shared" si="1"/>
        <v>0</v>
      </c>
      <c r="R824" s="9">
        <f t="shared" si="2"/>
        <v>0</v>
      </c>
      <c r="S824" s="14">
        <f t="shared" si="3"/>
        <v>0</v>
      </c>
      <c r="T824" s="15">
        <f>IFERROR(__xludf.DUMMYFUNCTION("IFERROR(PERCENTRANK.INC(FILTER(Q:Q,$F:$F&lt;&gt;""""),Q824)*100,"""")"),1.5)</f>
        <v>1.5</v>
      </c>
      <c r="U824" s="15">
        <f>IFERROR(__xludf.DUMMYFUNCTION("IFERROR(PERCENTRANK.INC(FILTER(R:R,$F:$F&lt;&gt;""""),R824)*100,"""")"),1.5)</f>
        <v>1.5</v>
      </c>
      <c r="V824" s="15">
        <f>IFERROR(__xludf.DUMMYFUNCTION("IFERROR(PERCENTRANK.INC(FILTER(S:S,$F:$F&lt;&gt;""""),S824)*100,"""")"),1.5)</f>
        <v>1.5</v>
      </c>
      <c r="W824" s="15" t="str">
        <f t="shared" si="4"/>
        <v/>
      </c>
      <c r="X824" s="16"/>
      <c r="Y824" s="9"/>
      <c r="Z824" s="9"/>
    </row>
    <row r="825">
      <c r="B825" t="str">
        <f t="array" ref="B825">IFERROR(INDEX('Player Raw Data'!C:C,Match($A825,'Player Raw Data'!$B:$B,0)),"")</f>
        <v/>
      </c>
      <c r="C825" t="str">
        <f t="array" ref="C825">IFERROR(INDEX('Player Raw Data'!D:D,Match($A825,'Player Raw Data'!$B:$B,0)),"")</f>
        <v/>
      </c>
      <c r="D825" t="str">
        <f t="array" ref="D825">IFERROR(IF(A825=A824, INDEX('Player Raw Data'!E:E,Match($A825,'Player Raw Data'!$B:$B,0)+2),INDEX('Player Raw Data'!E:E,Match($A825,'Player Raw Data'!$B:$B,0))),"")</f>
        <v/>
      </c>
      <c r="E825" t="str">
        <f t="array" ref="E825">IFERROR(INDEX('Player Raw Data'!F:F,Match($A825,'Player Raw Data'!$B:$B,0)),"")</f>
        <v/>
      </c>
      <c r="F825" t="str">
        <f t="array" ref="F825">IFERROR(INDEX('Player Raw Data'!H:H,Match($A825,'Player Raw Data'!$B:$B,0)),"")</f>
        <v/>
      </c>
      <c r="G825" t="str">
        <f t="array" ref="G825">IFERROR(INDEX('Player Raw Data'!I:I,Match($A825,'Player Raw Data'!$B:$B,0)),"")</f>
        <v/>
      </c>
      <c r="H825" t="str">
        <f t="array" ref="H825">IFERROR(INDEX('Player Raw Data'!J:J,Match($A825,'Player Raw Data'!$B:$B,0)),"")</f>
        <v/>
      </c>
      <c r="I825" t="str">
        <f t="array" ref="I825">IFERROR(INDEX('Player Raw Data'!S:S,Match($A825,'Player Raw Data'!$B:$B,0)),"")</f>
        <v/>
      </c>
      <c r="J825" t="str">
        <f t="array" ref="J825">IFERROR(INDEX('Player Raw Data'!T:T,Match($A825,'Player Raw Data'!$B:$B,0)),"")</f>
        <v/>
      </c>
      <c r="K825" t="str">
        <f t="array" ref="K825">IFERROR(INDEX('Player Raw Data'!X:X,Match($A825,'Player Raw Data'!$B:$B,0)),"")</f>
        <v/>
      </c>
      <c r="L825" t="str">
        <f t="array" ref="L825">IFERROR(INDEX('Player Raw Data'!Y:Y,Match($A825,'Player Raw Data'!$B:$B,0)),"")</f>
        <v/>
      </c>
      <c r="M825" t="str">
        <f t="array" ref="M825">IFERROR(INDEX('Player Raw Data'!Z:Z,Match($A825,'Player Raw Data'!$B:$B,0)),"")</f>
        <v/>
      </c>
      <c r="N825" t="str">
        <f t="array" ref="N825">IFERROR(INDEX('Player Raw Data'!AA:AA,Match($A825,'Player Raw Data'!$B:$B,0)),"")</f>
        <v/>
      </c>
      <c r="O825" t="str">
        <f t="array" ref="O825">IFERROR(INDEX('Player Raw Data'!AB:AB,Match($A825,'Player Raw Data'!$B:$B,0)),"")</f>
        <v/>
      </c>
      <c r="P825" t="str">
        <f t="array" ref="P825">IFERROR(INDEX('Player Raw Data'!AD:AD,Match($A825,'Player Raw Data'!$B:$B,0)),"")</f>
        <v/>
      </c>
      <c r="Q825">
        <f t="shared" si="1"/>
        <v>0</v>
      </c>
      <c r="R825" s="9">
        <f t="shared" si="2"/>
        <v>0</v>
      </c>
      <c r="S825" s="14">
        <f t="shared" si="3"/>
        <v>0</v>
      </c>
      <c r="T825" s="15">
        <f>IFERROR(__xludf.DUMMYFUNCTION("IFERROR(PERCENTRANK.INC(FILTER(Q:Q,$F:$F&lt;&gt;""""),Q825)*100,"""")"),1.5)</f>
        <v>1.5</v>
      </c>
      <c r="U825" s="15">
        <f>IFERROR(__xludf.DUMMYFUNCTION("IFERROR(PERCENTRANK.INC(FILTER(R:R,$F:$F&lt;&gt;""""),R825)*100,"""")"),1.5)</f>
        <v>1.5</v>
      </c>
      <c r="V825" s="15">
        <f>IFERROR(__xludf.DUMMYFUNCTION("IFERROR(PERCENTRANK.INC(FILTER(S:S,$F:$F&lt;&gt;""""),S825)*100,"""")"),1.5)</f>
        <v>1.5</v>
      </c>
      <c r="W825" s="15" t="str">
        <f t="shared" si="4"/>
        <v/>
      </c>
      <c r="X825" s="16"/>
      <c r="Y825" s="9"/>
      <c r="Z825" s="9"/>
    </row>
    <row r="826">
      <c r="B826" t="str">
        <f t="array" ref="B826">IFERROR(INDEX('Player Raw Data'!C:C,Match($A826,'Player Raw Data'!$B:$B,0)),"")</f>
        <v/>
      </c>
      <c r="C826" t="str">
        <f t="array" ref="C826">IFERROR(INDEX('Player Raw Data'!D:D,Match($A826,'Player Raw Data'!$B:$B,0)),"")</f>
        <v/>
      </c>
      <c r="D826" t="str">
        <f t="array" ref="D826">IFERROR(IF(A826=A825, INDEX('Player Raw Data'!E:E,Match($A826,'Player Raw Data'!$B:$B,0)+2),INDEX('Player Raw Data'!E:E,Match($A826,'Player Raw Data'!$B:$B,0))),"")</f>
        <v/>
      </c>
      <c r="E826" t="str">
        <f t="array" ref="E826">IFERROR(INDEX('Player Raw Data'!F:F,Match($A826,'Player Raw Data'!$B:$B,0)),"")</f>
        <v/>
      </c>
      <c r="F826" t="str">
        <f t="array" ref="F826">IFERROR(INDEX('Player Raw Data'!H:H,Match($A826,'Player Raw Data'!$B:$B,0)),"")</f>
        <v/>
      </c>
      <c r="G826" t="str">
        <f t="array" ref="G826">IFERROR(INDEX('Player Raw Data'!I:I,Match($A826,'Player Raw Data'!$B:$B,0)),"")</f>
        <v/>
      </c>
      <c r="H826" t="str">
        <f t="array" ref="H826">IFERROR(INDEX('Player Raw Data'!J:J,Match($A826,'Player Raw Data'!$B:$B,0)),"")</f>
        <v/>
      </c>
      <c r="I826" t="str">
        <f t="array" ref="I826">IFERROR(INDEX('Player Raw Data'!S:S,Match($A826,'Player Raw Data'!$B:$B,0)),"")</f>
        <v/>
      </c>
      <c r="J826" t="str">
        <f t="array" ref="J826">IFERROR(INDEX('Player Raw Data'!T:T,Match($A826,'Player Raw Data'!$B:$B,0)),"")</f>
        <v/>
      </c>
      <c r="K826" t="str">
        <f t="array" ref="K826">IFERROR(INDEX('Player Raw Data'!X:X,Match($A826,'Player Raw Data'!$B:$B,0)),"")</f>
        <v/>
      </c>
      <c r="L826" t="str">
        <f t="array" ref="L826">IFERROR(INDEX('Player Raw Data'!Y:Y,Match($A826,'Player Raw Data'!$B:$B,0)),"")</f>
        <v/>
      </c>
      <c r="M826" t="str">
        <f t="array" ref="M826">IFERROR(INDEX('Player Raw Data'!Z:Z,Match($A826,'Player Raw Data'!$B:$B,0)),"")</f>
        <v/>
      </c>
      <c r="N826" t="str">
        <f t="array" ref="N826">IFERROR(INDEX('Player Raw Data'!AA:AA,Match($A826,'Player Raw Data'!$B:$B,0)),"")</f>
        <v/>
      </c>
      <c r="O826" t="str">
        <f t="array" ref="O826">IFERROR(INDEX('Player Raw Data'!AB:AB,Match($A826,'Player Raw Data'!$B:$B,0)),"")</f>
        <v/>
      </c>
      <c r="P826" t="str">
        <f t="array" ref="P826">IFERROR(INDEX('Player Raw Data'!AD:AD,Match($A826,'Player Raw Data'!$B:$B,0)),"")</f>
        <v/>
      </c>
      <c r="Q826">
        <f t="shared" si="1"/>
        <v>0</v>
      </c>
      <c r="R826" s="9">
        <f t="shared" si="2"/>
        <v>0</v>
      </c>
      <c r="S826" s="14">
        <f t="shared" si="3"/>
        <v>0</v>
      </c>
      <c r="T826" s="15">
        <f>IFERROR(__xludf.DUMMYFUNCTION("IFERROR(PERCENTRANK.INC(FILTER(Q:Q,$F:$F&lt;&gt;""""),Q826)*100,"""")"),1.5)</f>
        <v>1.5</v>
      </c>
      <c r="U826" s="15">
        <f>IFERROR(__xludf.DUMMYFUNCTION("IFERROR(PERCENTRANK.INC(FILTER(R:R,$F:$F&lt;&gt;""""),R826)*100,"""")"),1.5)</f>
        <v>1.5</v>
      </c>
      <c r="V826" s="15">
        <f>IFERROR(__xludf.DUMMYFUNCTION("IFERROR(PERCENTRANK.INC(FILTER(S:S,$F:$F&lt;&gt;""""),S826)*100,"""")"),1.5)</f>
        <v>1.5</v>
      </c>
      <c r="W826" s="15" t="str">
        <f t="shared" si="4"/>
        <v/>
      </c>
      <c r="X826" s="16"/>
      <c r="Y826" s="9"/>
      <c r="Z826" s="9"/>
    </row>
    <row r="827">
      <c r="B827" t="str">
        <f t="array" ref="B827">IFERROR(INDEX('Player Raw Data'!C:C,Match($A827,'Player Raw Data'!$B:$B,0)),"")</f>
        <v/>
      </c>
      <c r="C827" t="str">
        <f t="array" ref="C827">IFERROR(INDEX('Player Raw Data'!D:D,Match($A827,'Player Raw Data'!$B:$B,0)),"")</f>
        <v/>
      </c>
      <c r="D827" t="str">
        <f t="array" ref="D827">IFERROR(IF(A827=A826, INDEX('Player Raw Data'!E:E,Match($A827,'Player Raw Data'!$B:$B,0)+2),INDEX('Player Raw Data'!E:E,Match($A827,'Player Raw Data'!$B:$B,0))),"")</f>
        <v/>
      </c>
      <c r="E827" t="str">
        <f t="array" ref="E827">IFERROR(INDEX('Player Raw Data'!F:F,Match($A827,'Player Raw Data'!$B:$B,0)),"")</f>
        <v/>
      </c>
      <c r="F827" t="str">
        <f t="array" ref="F827">IFERROR(INDEX('Player Raw Data'!H:H,Match($A827,'Player Raw Data'!$B:$B,0)),"")</f>
        <v/>
      </c>
      <c r="G827" t="str">
        <f t="array" ref="G827">IFERROR(INDEX('Player Raw Data'!I:I,Match($A827,'Player Raw Data'!$B:$B,0)),"")</f>
        <v/>
      </c>
      <c r="H827" t="str">
        <f t="array" ref="H827">IFERROR(INDEX('Player Raw Data'!J:J,Match($A827,'Player Raw Data'!$B:$B,0)),"")</f>
        <v/>
      </c>
      <c r="I827" t="str">
        <f t="array" ref="I827">IFERROR(INDEX('Player Raw Data'!S:S,Match($A827,'Player Raw Data'!$B:$B,0)),"")</f>
        <v/>
      </c>
      <c r="J827" t="str">
        <f t="array" ref="J827">IFERROR(INDEX('Player Raw Data'!T:T,Match($A827,'Player Raw Data'!$B:$B,0)),"")</f>
        <v/>
      </c>
      <c r="K827" t="str">
        <f t="array" ref="K827">IFERROR(INDEX('Player Raw Data'!X:X,Match($A827,'Player Raw Data'!$B:$B,0)),"")</f>
        <v/>
      </c>
      <c r="L827" t="str">
        <f t="array" ref="L827">IFERROR(INDEX('Player Raw Data'!Y:Y,Match($A827,'Player Raw Data'!$B:$B,0)),"")</f>
        <v/>
      </c>
      <c r="M827" t="str">
        <f t="array" ref="M827">IFERROR(INDEX('Player Raw Data'!Z:Z,Match($A827,'Player Raw Data'!$B:$B,0)),"")</f>
        <v/>
      </c>
      <c r="N827" t="str">
        <f t="array" ref="N827">IFERROR(INDEX('Player Raw Data'!AA:AA,Match($A827,'Player Raw Data'!$B:$B,0)),"")</f>
        <v/>
      </c>
      <c r="O827" t="str">
        <f t="array" ref="O827">IFERROR(INDEX('Player Raw Data'!AB:AB,Match($A827,'Player Raw Data'!$B:$B,0)),"")</f>
        <v/>
      </c>
      <c r="P827" t="str">
        <f t="array" ref="P827">IFERROR(INDEX('Player Raw Data'!AD:AD,Match($A827,'Player Raw Data'!$B:$B,0)),"")</f>
        <v/>
      </c>
      <c r="Q827">
        <f t="shared" si="1"/>
        <v>0</v>
      </c>
      <c r="R827" s="9">
        <f t="shared" si="2"/>
        <v>0</v>
      </c>
      <c r="S827" s="14">
        <f t="shared" si="3"/>
        <v>0</v>
      </c>
      <c r="T827" s="15">
        <f>IFERROR(__xludf.DUMMYFUNCTION("IFERROR(PERCENTRANK.INC(FILTER(Q:Q,$F:$F&lt;&gt;""""),Q827)*100,"""")"),1.5)</f>
        <v>1.5</v>
      </c>
      <c r="U827" s="15">
        <f>IFERROR(__xludf.DUMMYFUNCTION("IFERROR(PERCENTRANK.INC(FILTER(R:R,$F:$F&lt;&gt;""""),R827)*100,"""")"),1.5)</f>
        <v>1.5</v>
      </c>
      <c r="V827" s="15">
        <f>IFERROR(__xludf.DUMMYFUNCTION("IFERROR(PERCENTRANK.INC(FILTER(S:S,$F:$F&lt;&gt;""""),S827)*100,"""")"),1.5)</f>
        <v>1.5</v>
      </c>
      <c r="W827" s="15" t="str">
        <f t="shared" si="4"/>
        <v/>
      </c>
      <c r="X827" s="16"/>
      <c r="Y827" s="9"/>
      <c r="Z827" s="9"/>
    </row>
    <row r="828">
      <c r="B828" t="str">
        <f t="array" ref="B828">IFERROR(INDEX('Player Raw Data'!C:C,Match($A828,'Player Raw Data'!$B:$B,0)),"")</f>
        <v/>
      </c>
      <c r="C828" t="str">
        <f t="array" ref="C828">IFERROR(INDEX('Player Raw Data'!D:D,Match($A828,'Player Raw Data'!$B:$B,0)),"")</f>
        <v/>
      </c>
      <c r="D828" t="str">
        <f t="array" ref="D828">IFERROR(IF(A828=A827, INDEX('Player Raw Data'!E:E,Match($A828,'Player Raw Data'!$B:$B,0)+2),INDEX('Player Raw Data'!E:E,Match($A828,'Player Raw Data'!$B:$B,0))),"")</f>
        <v/>
      </c>
      <c r="E828" t="str">
        <f t="array" ref="E828">IFERROR(INDEX('Player Raw Data'!F:F,Match($A828,'Player Raw Data'!$B:$B,0)),"")</f>
        <v/>
      </c>
      <c r="F828" t="str">
        <f t="array" ref="F828">IFERROR(INDEX('Player Raw Data'!H:H,Match($A828,'Player Raw Data'!$B:$B,0)),"")</f>
        <v/>
      </c>
      <c r="G828" t="str">
        <f t="array" ref="G828">IFERROR(INDEX('Player Raw Data'!I:I,Match($A828,'Player Raw Data'!$B:$B,0)),"")</f>
        <v/>
      </c>
      <c r="H828" t="str">
        <f t="array" ref="H828">IFERROR(INDEX('Player Raw Data'!J:J,Match($A828,'Player Raw Data'!$B:$B,0)),"")</f>
        <v/>
      </c>
      <c r="I828" t="str">
        <f t="array" ref="I828">IFERROR(INDEX('Player Raw Data'!S:S,Match($A828,'Player Raw Data'!$B:$B,0)),"")</f>
        <v/>
      </c>
      <c r="J828" t="str">
        <f t="array" ref="J828">IFERROR(INDEX('Player Raw Data'!T:T,Match($A828,'Player Raw Data'!$B:$B,0)),"")</f>
        <v/>
      </c>
      <c r="K828" t="str">
        <f t="array" ref="K828">IFERROR(INDEX('Player Raw Data'!X:X,Match($A828,'Player Raw Data'!$B:$B,0)),"")</f>
        <v/>
      </c>
      <c r="L828" t="str">
        <f t="array" ref="L828">IFERROR(INDEX('Player Raw Data'!Y:Y,Match($A828,'Player Raw Data'!$B:$B,0)),"")</f>
        <v/>
      </c>
      <c r="M828" t="str">
        <f t="array" ref="M828">IFERROR(INDEX('Player Raw Data'!Z:Z,Match($A828,'Player Raw Data'!$B:$B,0)),"")</f>
        <v/>
      </c>
      <c r="N828" t="str">
        <f t="array" ref="N828">IFERROR(INDEX('Player Raw Data'!AA:AA,Match($A828,'Player Raw Data'!$B:$B,0)),"")</f>
        <v/>
      </c>
      <c r="O828" t="str">
        <f t="array" ref="O828">IFERROR(INDEX('Player Raw Data'!AB:AB,Match($A828,'Player Raw Data'!$B:$B,0)),"")</f>
        <v/>
      </c>
      <c r="P828" t="str">
        <f t="array" ref="P828">IFERROR(INDEX('Player Raw Data'!AD:AD,Match($A828,'Player Raw Data'!$B:$B,0)),"")</f>
        <v/>
      </c>
      <c r="Q828">
        <f t="shared" si="1"/>
        <v>0</v>
      </c>
      <c r="R828" s="9">
        <f t="shared" si="2"/>
        <v>0</v>
      </c>
      <c r="S828" s="14">
        <f t="shared" si="3"/>
        <v>0</v>
      </c>
      <c r="T828" s="15">
        <f>IFERROR(__xludf.DUMMYFUNCTION("IFERROR(PERCENTRANK.INC(FILTER(Q:Q,$F:$F&lt;&gt;""""),Q828)*100,"""")"),1.5)</f>
        <v>1.5</v>
      </c>
      <c r="U828" s="15">
        <f>IFERROR(__xludf.DUMMYFUNCTION("IFERROR(PERCENTRANK.INC(FILTER(R:R,$F:$F&lt;&gt;""""),R828)*100,"""")"),1.5)</f>
        <v>1.5</v>
      </c>
      <c r="V828" s="15">
        <f>IFERROR(__xludf.DUMMYFUNCTION("IFERROR(PERCENTRANK.INC(FILTER(S:S,$F:$F&lt;&gt;""""),S828)*100,"""")"),1.5)</f>
        <v>1.5</v>
      </c>
      <c r="W828" s="15" t="str">
        <f t="shared" si="4"/>
        <v/>
      </c>
      <c r="X828" s="16"/>
      <c r="Y828" s="9"/>
      <c r="Z828" s="9"/>
    </row>
    <row r="829">
      <c r="B829" t="str">
        <f t="array" ref="B829">IFERROR(INDEX('Player Raw Data'!C:C,Match($A829,'Player Raw Data'!$B:$B,0)),"")</f>
        <v/>
      </c>
      <c r="C829" t="str">
        <f t="array" ref="C829">IFERROR(INDEX('Player Raw Data'!D:D,Match($A829,'Player Raw Data'!$B:$B,0)),"")</f>
        <v/>
      </c>
      <c r="D829" t="str">
        <f t="array" ref="D829">IFERROR(IF(A829=A828, INDEX('Player Raw Data'!E:E,Match($A829,'Player Raw Data'!$B:$B,0)+2),INDEX('Player Raw Data'!E:E,Match($A829,'Player Raw Data'!$B:$B,0))),"")</f>
        <v/>
      </c>
      <c r="E829" t="str">
        <f t="array" ref="E829">IFERROR(INDEX('Player Raw Data'!F:F,Match($A829,'Player Raw Data'!$B:$B,0)),"")</f>
        <v/>
      </c>
      <c r="F829" t="str">
        <f t="array" ref="F829">IFERROR(INDEX('Player Raw Data'!H:H,Match($A829,'Player Raw Data'!$B:$B,0)),"")</f>
        <v/>
      </c>
      <c r="G829" t="str">
        <f t="array" ref="G829">IFERROR(INDEX('Player Raw Data'!I:I,Match($A829,'Player Raw Data'!$B:$B,0)),"")</f>
        <v/>
      </c>
      <c r="H829" t="str">
        <f t="array" ref="H829">IFERROR(INDEX('Player Raw Data'!J:J,Match($A829,'Player Raw Data'!$B:$B,0)),"")</f>
        <v/>
      </c>
      <c r="I829" t="str">
        <f t="array" ref="I829">IFERROR(INDEX('Player Raw Data'!S:S,Match($A829,'Player Raw Data'!$B:$B,0)),"")</f>
        <v/>
      </c>
      <c r="J829" t="str">
        <f t="array" ref="J829">IFERROR(INDEX('Player Raw Data'!T:T,Match($A829,'Player Raw Data'!$B:$B,0)),"")</f>
        <v/>
      </c>
      <c r="K829" t="str">
        <f t="array" ref="K829">IFERROR(INDEX('Player Raw Data'!X:X,Match($A829,'Player Raw Data'!$B:$B,0)),"")</f>
        <v/>
      </c>
      <c r="L829" t="str">
        <f t="array" ref="L829">IFERROR(INDEX('Player Raw Data'!Y:Y,Match($A829,'Player Raw Data'!$B:$B,0)),"")</f>
        <v/>
      </c>
      <c r="M829" t="str">
        <f t="array" ref="M829">IFERROR(INDEX('Player Raw Data'!Z:Z,Match($A829,'Player Raw Data'!$B:$B,0)),"")</f>
        <v/>
      </c>
      <c r="N829" t="str">
        <f t="array" ref="N829">IFERROR(INDEX('Player Raw Data'!AA:AA,Match($A829,'Player Raw Data'!$B:$B,0)),"")</f>
        <v/>
      </c>
      <c r="O829" t="str">
        <f t="array" ref="O829">IFERROR(INDEX('Player Raw Data'!AB:AB,Match($A829,'Player Raw Data'!$B:$B,0)),"")</f>
        <v/>
      </c>
      <c r="P829" t="str">
        <f t="array" ref="P829">IFERROR(INDEX('Player Raw Data'!AD:AD,Match($A829,'Player Raw Data'!$B:$B,0)),"")</f>
        <v/>
      </c>
      <c r="Q829">
        <f t="shared" si="1"/>
        <v>0</v>
      </c>
      <c r="R829" s="9">
        <f t="shared" si="2"/>
        <v>0</v>
      </c>
      <c r="S829" s="14">
        <f t="shared" si="3"/>
        <v>0</v>
      </c>
      <c r="T829" s="15">
        <f>IFERROR(__xludf.DUMMYFUNCTION("IFERROR(PERCENTRANK.INC(FILTER(Q:Q,$F:$F&lt;&gt;""""),Q829)*100,"""")"),1.5)</f>
        <v>1.5</v>
      </c>
      <c r="U829" s="15">
        <f>IFERROR(__xludf.DUMMYFUNCTION("IFERROR(PERCENTRANK.INC(FILTER(R:R,$F:$F&lt;&gt;""""),R829)*100,"""")"),1.5)</f>
        <v>1.5</v>
      </c>
      <c r="V829" s="15">
        <f>IFERROR(__xludf.DUMMYFUNCTION("IFERROR(PERCENTRANK.INC(FILTER(S:S,$F:$F&lt;&gt;""""),S829)*100,"""")"),1.5)</f>
        <v>1.5</v>
      </c>
      <c r="W829" s="15" t="str">
        <f t="shared" si="4"/>
        <v/>
      </c>
      <c r="X829" s="16"/>
      <c r="Y829" s="9"/>
      <c r="Z829" s="9"/>
    </row>
    <row r="830">
      <c r="B830" t="str">
        <f t="array" ref="B830">IFERROR(INDEX('Player Raw Data'!C:C,Match($A830,'Player Raw Data'!$B:$B,0)),"")</f>
        <v/>
      </c>
      <c r="C830" t="str">
        <f t="array" ref="C830">IFERROR(INDEX('Player Raw Data'!D:D,Match($A830,'Player Raw Data'!$B:$B,0)),"")</f>
        <v/>
      </c>
      <c r="D830" t="str">
        <f t="array" ref="D830">IFERROR(IF(A830=A829, INDEX('Player Raw Data'!E:E,Match($A830,'Player Raw Data'!$B:$B,0)+2),INDEX('Player Raw Data'!E:E,Match($A830,'Player Raw Data'!$B:$B,0))),"")</f>
        <v/>
      </c>
      <c r="E830" t="str">
        <f t="array" ref="E830">IFERROR(INDEX('Player Raw Data'!F:F,Match($A830,'Player Raw Data'!$B:$B,0)),"")</f>
        <v/>
      </c>
      <c r="F830" t="str">
        <f t="array" ref="F830">IFERROR(INDEX('Player Raw Data'!H:H,Match($A830,'Player Raw Data'!$B:$B,0)),"")</f>
        <v/>
      </c>
      <c r="G830" t="str">
        <f t="array" ref="G830">IFERROR(INDEX('Player Raw Data'!I:I,Match($A830,'Player Raw Data'!$B:$B,0)),"")</f>
        <v/>
      </c>
      <c r="H830" t="str">
        <f t="array" ref="H830">IFERROR(INDEX('Player Raw Data'!J:J,Match($A830,'Player Raw Data'!$B:$B,0)),"")</f>
        <v/>
      </c>
      <c r="I830" t="str">
        <f t="array" ref="I830">IFERROR(INDEX('Player Raw Data'!S:S,Match($A830,'Player Raw Data'!$B:$B,0)),"")</f>
        <v/>
      </c>
      <c r="J830" t="str">
        <f t="array" ref="J830">IFERROR(INDEX('Player Raw Data'!T:T,Match($A830,'Player Raw Data'!$B:$B,0)),"")</f>
        <v/>
      </c>
      <c r="K830" t="str">
        <f t="array" ref="K830">IFERROR(INDEX('Player Raw Data'!X:X,Match($A830,'Player Raw Data'!$B:$B,0)),"")</f>
        <v/>
      </c>
      <c r="L830" t="str">
        <f t="array" ref="L830">IFERROR(INDEX('Player Raw Data'!Y:Y,Match($A830,'Player Raw Data'!$B:$B,0)),"")</f>
        <v/>
      </c>
      <c r="M830" t="str">
        <f t="array" ref="M830">IFERROR(INDEX('Player Raw Data'!Z:Z,Match($A830,'Player Raw Data'!$B:$B,0)),"")</f>
        <v/>
      </c>
      <c r="N830" t="str">
        <f t="array" ref="N830">IFERROR(INDEX('Player Raw Data'!AA:AA,Match($A830,'Player Raw Data'!$B:$B,0)),"")</f>
        <v/>
      </c>
      <c r="O830" t="str">
        <f t="array" ref="O830">IFERROR(INDEX('Player Raw Data'!AB:AB,Match($A830,'Player Raw Data'!$B:$B,0)),"")</f>
        <v/>
      </c>
      <c r="P830" t="str">
        <f t="array" ref="P830">IFERROR(INDEX('Player Raw Data'!AD:AD,Match($A830,'Player Raw Data'!$B:$B,0)),"")</f>
        <v/>
      </c>
      <c r="Q830">
        <f t="shared" si="1"/>
        <v>0</v>
      </c>
      <c r="R830" s="9">
        <f t="shared" si="2"/>
        <v>0</v>
      </c>
      <c r="S830" s="14">
        <f t="shared" si="3"/>
        <v>0</v>
      </c>
      <c r="T830" s="15">
        <f>IFERROR(__xludf.DUMMYFUNCTION("IFERROR(PERCENTRANK.INC(FILTER(Q:Q,$F:$F&lt;&gt;""""),Q830)*100,"""")"),1.5)</f>
        <v>1.5</v>
      </c>
      <c r="U830" s="15">
        <f>IFERROR(__xludf.DUMMYFUNCTION("IFERROR(PERCENTRANK.INC(FILTER(R:R,$F:$F&lt;&gt;""""),R830)*100,"""")"),1.5)</f>
        <v>1.5</v>
      </c>
      <c r="V830" s="15">
        <f>IFERROR(__xludf.DUMMYFUNCTION("IFERROR(PERCENTRANK.INC(FILTER(S:S,$F:$F&lt;&gt;""""),S830)*100,"""")"),1.5)</f>
        <v>1.5</v>
      </c>
      <c r="W830" s="15" t="str">
        <f t="shared" si="4"/>
        <v/>
      </c>
      <c r="X830" s="16"/>
      <c r="Y830" s="9"/>
      <c r="Z830" s="9"/>
    </row>
    <row r="831">
      <c r="B831" t="str">
        <f t="array" ref="B831">IFERROR(INDEX('Player Raw Data'!C:C,Match($A831,'Player Raw Data'!$B:$B,0)),"")</f>
        <v/>
      </c>
      <c r="C831" t="str">
        <f t="array" ref="C831">IFERROR(INDEX('Player Raw Data'!D:D,Match($A831,'Player Raw Data'!$B:$B,0)),"")</f>
        <v/>
      </c>
      <c r="D831" t="str">
        <f t="array" ref="D831">IFERROR(IF(A831=A830, INDEX('Player Raw Data'!E:E,Match($A831,'Player Raw Data'!$B:$B,0)+2),INDEX('Player Raw Data'!E:E,Match($A831,'Player Raw Data'!$B:$B,0))),"")</f>
        <v/>
      </c>
      <c r="E831" t="str">
        <f t="array" ref="E831">IFERROR(INDEX('Player Raw Data'!F:F,Match($A831,'Player Raw Data'!$B:$B,0)),"")</f>
        <v/>
      </c>
      <c r="F831" t="str">
        <f t="array" ref="F831">IFERROR(INDEX('Player Raw Data'!H:H,Match($A831,'Player Raw Data'!$B:$B,0)),"")</f>
        <v/>
      </c>
      <c r="G831" t="str">
        <f t="array" ref="G831">IFERROR(INDEX('Player Raw Data'!I:I,Match($A831,'Player Raw Data'!$B:$B,0)),"")</f>
        <v/>
      </c>
      <c r="H831" t="str">
        <f t="array" ref="H831">IFERROR(INDEX('Player Raw Data'!J:J,Match($A831,'Player Raw Data'!$B:$B,0)),"")</f>
        <v/>
      </c>
      <c r="I831" t="str">
        <f t="array" ref="I831">IFERROR(INDEX('Player Raw Data'!S:S,Match($A831,'Player Raw Data'!$B:$B,0)),"")</f>
        <v/>
      </c>
      <c r="J831" t="str">
        <f t="array" ref="J831">IFERROR(INDEX('Player Raw Data'!T:T,Match($A831,'Player Raw Data'!$B:$B,0)),"")</f>
        <v/>
      </c>
      <c r="K831" t="str">
        <f t="array" ref="K831">IFERROR(INDEX('Player Raw Data'!X:X,Match($A831,'Player Raw Data'!$B:$B,0)),"")</f>
        <v/>
      </c>
      <c r="L831" t="str">
        <f t="array" ref="L831">IFERROR(INDEX('Player Raw Data'!Y:Y,Match($A831,'Player Raw Data'!$B:$B,0)),"")</f>
        <v/>
      </c>
      <c r="M831" t="str">
        <f t="array" ref="M831">IFERROR(INDEX('Player Raw Data'!Z:Z,Match($A831,'Player Raw Data'!$B:$B,0)),"")</f>
        <v/>
      </c>
      <c r="N831" t="str">
        <f t="array" ref="N831">IFERROR(INDEX('Player Raw Data'!AA:AA,Match($A831,'Player Raw Data'!$B:$B,0)),"")</f>
        <v/>
      </c>
      <c r="O831" t="str">
        <f t="array" ref="O831">IFERROR(INDEX('Player Raw Data'!AB:AB,Match($A831,'Player Raw Data'!$B:$B,0)),"")</f>
        <v/>
      </c>
      <c r="P831" t="str">
        <f t="array" ref="P831">IFERROR(INDEX('Player Raw Data'!AD:AD,Match($A831,'Player Raw Data'!$B:$B,0)),"")</f>
        <v/>
      </c>
      <c r="Q831">
        <f t="shared" si="1"/>
        <v>0</v>
      </c>
      <c r="R831" s="9">
        <f t="shared" si="2"/>
        <v>0</v>
      </c>
      <c r="S831" s="14">
        <f t="shared" si="3"/>
        <v>0</v>
      </c>
      <c r="T831" s="15">
        <f>IFERROR(__xludf.DUMMYFUNCTION("IFERROR(PERCENTRANK.INC(FILTER(Q:Q,$F:$F&lt;&gt;""""),Q831)*100,"""")"),1.5)</f>
        <v>1.5</v>
      </c>
      <c r="U831" s="15">
        <f>IFERROR(__xludf.DUMMYFUNCTION("IFERROR(PERCENTRANK.INC(FILTER(R:R,$F:$F&lt;&gt;""""),R831)*100,"""")"),1.5)</f>
        <v>1.5</v>
      </c>
      <c r="V831" s="15">
        <f>IFERROR(__xludf.DUMMYFUNCTION("IFERROR(PERCENTRANK.INC(FILTER(S:S,$F:$F&lt;&gt;""""),S831)*100,"""")"),1.5)</f>
        <v>1.5</v>
      </c>
      <c r="W831" s="15" t="str">
        <f t="shared" si="4"/>
        <v/>
      </c>
      <c r="X831" s="16"/>
      <c r="Y831" s="9"/>
      <c r="Z831" s="9"/>
    </row>
    <row r="832">
      <c r="B832" t="str">
        <f t="array" ref="B832">IFERROR(INDEX('Player Raw Data'!C:C,Match($A832,'Player Raw Data'!$B:$B,0)),"")</f>
        <v/>
      </c>
      <c r="C832" t="str">
        <f t="array" ref="C832">IFERROR(INDEX('Player Raw Data'!D:D,Match($A832,'Player Raw Data'!$B:$B,0)),"")</f>
        <v/>
      </c>
      <c r="D832" t="str">
        <f t="array" ref="D832">IFERROR(IF(A832=A831, INDEX('Player Raw Data'!E:E,Match($A832,'Player Raw Data'!$B:$B,0)+2),INDEX('Player Raw Data'!E:E,Match($A832,'Player Raw Data'!$B:$B,0))),"")</f>
        <v/>
      </c>
      <c r="E832" t="str">
        <f t="array" ref="E832">IFERROR(INDEX('Player Raw Data'!F:F,Match($A832,'Player Raw Data'!$B:$B,0)),"")</f>
        <v/>
      </c>
      <c r="F832" t="str">
        <f t="array" ref="F832">IFERROR(INDEX('Player Raw Data'!H:H,Match($A832,'Player Raw Data'!$B:$B,0)),"")</f>
        <v/>
      </c>
      <c r="G832" t="str">
        <f t="array" ref="G832">IFERROR(INDEX('Player Raw Data'!I:I,Match($A832,'Player Raw Data'!$B:$B,0)),"")</f>
        <v/>
      </c>
      <c r="H832" t="str">
        <f t="array" ref="H832">IFERROR(INDEX('Player Raw Data'!J:J,Match($A832,'Player Raw Data'!$B:$B,0)),"")</f>
        <v/>
      </c>
      <c r="I832" t="str">
        <f t="array" ref="I832">IFERROR(INDEX('Player Raw Data'!S:S,Match($A832,'Player Raw Data'!$B:$B,0)),"")</f>
        <v/>
      </c>
      <c r="J832" t="str">
        <f t="array" ref="J832">IFERROR(INDEX('Player Raw Data'!T:T,Match($A832,'Player Raw Data'!$B:$B,0)),"")</f>
        <v/>
      </c>
      <c r="K832" t="str">
        <f t="array" ref="K832">IFERROR(INDEX('Player Raw Data'!X:X,Match($A832,'Player Raw Data'!$B:$B,0)),"")</f>
        <v/>
      </c>
      <c r="L832" t="str">
        <f t="array" ref="L832">IFERROR(INDEX('Player Raw Data'!Y:Y,Match($A832,'Player Raw Data'!$B:$B,0)),"")</f>
        <v/>
      </c>
      <c r="M832" t="str">
        <f t="array" ref="M832">IFERROR(INDEX('Player Raw Data'!Z:Z,Match($A832,'Player Raw Data'!$B:$B,0)),"")</f>
        <v/>
      </c>
      <c r="N832" t="str">
        <f t="array" ref="N832">IFERROR(INDEX('Player Raw Data'!AA:AA,Match($A832,'Player Raw Data'!$B:$B,0)),"")</f>
        <v/>
      </c>
      <c r="O832" t="str">
        <f t="array" ref="O832">IFERROR(INDEX('Player Raw Data'!AB:AB,Match($A832,'Player Raw Data'!$B:$B,0)),"")</f>
        <v/>
      </c>
      <c r="P832" t="str">
        <f t="array" ref="P832">IFERROR(INDEX('Player Raw Data'!AD:AD,Match($A832,'Player Raw Data'!$B:$B,0)),"")</f>
        <v/>
      </c>
      <c r="Q832">
        <f t="shared" si="1"/>
        <v>0</v>
      </c>
      <c r="R832" s="9">
        <f t="shared" si="2"/>
        <v>0</v>
      </c>
      <c r="S832" s="14">
        <f t="shared" si="3"/>
        <v>0</v>
      </c>
      <c r="T832" s="15">
        <f>IFERROR(__xludf.DUMMYFUNCTION("IFERROR(PERCENTRANK.INC(FILTER(Q:Q,$F:$F&lt;&gt;""""),Q832)*100,"""")"),1.5)</f>
        <v>1.5</v>
      </c>
      <c r="U832" s="15">
        <f>IFERROR(__xludf.DUMMYFUNCTION("IFERROR(PERCENTRANK.INC(FILTER(R:R,$F:$F&lt;&gt;""""),R832)*100,"""")"),1.5)</f>
        <v>1.5</v>
      </c>
      <c r="V832" s="15">
        <f>IFERROR(__xludf.DUMMYFUNCTION("IFERROR(PERCENTRANK.INC(FILTER(S:S,$F:$F&lt;&gt;""""),S832)*100,"""")"),1.5)</f>
        <v>1.5</v>
      </c>
      <c r="W832" s="15" t="str">
        <f t="shared" si="4"/>
        <v/>
      </c>
      <c r="X832" s="16"/>
      <c r="Y832" s="9"/>
      <c r="Z832" s="9"/>
    </row>
    <row r="833">
      <c r="B833" t="str">
        <f t="array" ref="B833">IFERROR(INDEX('Player Raw Data'!C:C,Match($A833,'Player Raw Data'!$B:$B,0)),"")</f>
        <v/>
      </c>
      <c r="C833" t="str">
        <f t="array" ref="C833">IFERROR(INDEX('Player Raw Data'!D:D,Match($A833,'Player Raw Data'!$B:$B,0)),"")</f>
        <v/>
      </c>
      <c r="D833" t="str">
        <f t="array" ref="D833">IFERROR(IF(A833=A832, INDEX('Player Raw Data'!E:E,Match($A833,'Player Raw Data'!$B:$B,0)+2),INDEX('Player Raw Data'!E:E,Match($A833,'Player Raw Data'!$B:$B,0))),"")</f>
        <v/>
      </c>
      <c r="E833" t="str">
        <f t="array" ref="E833">IFERROR(INDEX('Player Raw Data'!F:F,Match($A833,'Player Raw Data'!$B:$B,0)),"")</f>
        <v/>
      </c>
      <c r="F833" t="str">
        <f t="array" ref="F833">IFERROR(INDEX('Player Raw Data'!H:H,Match($A833,'Player Raw Data'!$B:$B,0)),"")</f>
        <v/>
      </c>
      <c r="G833" t="str">
        <f t="array" ref="G833">IFERROR(INDEX('Player Raw Data'!I:I,Match($A833,'Player Raw Data'!$B:$B,0)),"")</f>
        <v/>
      </c>
      <c r="H833" t="str">
        <f t="array" ref="H833">IFERROR(INDEX('Player Raw Data'!J:J,Match($A833,'Player Raw Data'!$B:$B,0)),"")</f>
        <v/>
      </c>
      <c r="I833" t="str">
        <f t="array" ref="I833">IFERROR(INDEX('Player Raw Data'!S:S,Match($A833,'Player Raw Data'!$B:$B,0)),"")</f>
        <v/>
      </c>
      <c r="J833" t="str">
        <f t="array" ref="J833">IFERROR(INDEX('Player Raw Data'!T:T,Match($A833,'Player Raw Data'!$B:$B,0)),"")</f>
        <v/>
      </c>
      <c r="K833" t="str">
        <f t="array" ref="K833">IFERROR(INDEX('Player Raw Data'!X:X,Match($A833,'Player Raw Data'!$B:$B,0)),"")</f>
        <v/>
      </c>
      <c r="L833" t="str">
        <f t="array" ref="L833">IFERROR(INDEX('Player Raw Data'!Y:Y,Match($A833,'Player Raw Data'!$B:$B,0)),"")</f>
        <v/>
      </c>
      <c r="M833" t="str">
        <f t="array" ref="M833">IFERROR(INDEX('Player Raw Data'!Z:Z,Match($A833,'Player Raw Data'!$B:$B,0)),"")</f>
        <v/>
      </c>
      <c r="N833" t="str">
        <f t="array" ref="N833">IFERROR(INDEX('Player Raw Data'!AA:AA,Match($A833,'Player Raw Data'!$B:$B,0)),"")</f>
        <v/>
      </c>
      <c r="O833" t="str">
        <f t="array" ref="O833">IFERROR(INDEX('Player Raw Data'!AB:AB,Match($A833,'Player Raw Data'!$B:$B,0)),"")</f>
        <v/>
      </c>
      <c r="P833" t="str">
        <f t="array" ref="P833">IFERROR(INDEX('Player Raw Data'!AD:AD,Match($A833,'Player Raw Data'!$B:$B,0)),"")</f>
        <v/>
      </c>
      <c r="Q833">
        <f t="shared" si="1"/>
        <v>0</v>
      </c>
      <c r="R833" s="9">
        <f t="shared" si="2"/>
        <v>0</v>
      </c>
      <c r="S833" s="14">
        <f t="shared" si="3"/>
        <v>0</v>
      </c>
      <c r="T833" s="15">
        <f>IFERROR(__xludf.DUMMYFUNCTION("IFERROR(PERCENTRANK.INC(FILTER(Q:Q,$F:$F&lt;&gt;""""),Q833)*100,"""")"),1.5)</f>
        <v>1.5</v>
      </c>
      <c r="U833" s="15">
        <f>IFERROR(__xludf.DUMMYFUNCTION("IFERROR(PERCENTRANK.INC(FILTER(R:R,$F:$F&lt;&gt;""""),R833)*100,"""")"),1.5)</f>
        <v>1.5</v>
      </c>
      <c r="V833" s="15">
        <f>IFERROR(__xludf.DUMMYFUNCTION("IFERROR(PERCENTRANK.INC(FILTER(S:S,$F:$F&lt;&gt;""""),S833)*100,"""")"),1.5)</f>
        <v>1.5</v>
      </c>
      <c r="W833" s="15" t="str">
        <f t="shared" si="4"/>
        <v/>
      </c>
      <c r="X833" s="16"/>
      <c r="Y833" s="9"/>
      <c r="Z833" s="9"/>
    </row>
    <row r="834">
      <c r="B834" t="str">
        <f t="array" ref="B834">IFERROR(INDEX('Player Raw Data'!C:C,Match($A834,'Player Raw Data'!$B:$B,0)),"")</f>
        <v/>
      </c>
      <c r="C834" t="str">
        <f t="array" ref="C834">IFERROR(INDEX('Player Raw Data'!D:D,Match($A834,'Player Raw Data'!$B:$B,0)),"")</f>
        <v/>
      </c>
      <c r="D834" t="str">
        <f t="array" ref="D834">IFERROR(IF(A834=A833, INDEX('Player Raw Data'!E:E,Match($A834,'Player Raw Data'!$B:$B,0)+2),INDEX('Player Raw Data'!E:E,Match($A834,'Player Raw Data'!$B:$B,0))),"")</f>
        <v/>
      </c>
      <c r="E834" t="str">
        <f t="array" ref="E834">IFERROR(INDEX('Player Raw Data'!F:F,Match($A834,'Player Raw Data'!$B:$B,0)),"")</f>
        <v/>
      </c>
      <c r="F834" t="str">
        <f t="array" ref="F834">IFERROR(INDEX('Player Raw Data'!H:H,Match($A834,'Player Raw Data'!$B:$B,0)),"")</f>
        <v/>
      </c>
      <c r="G834" t="str">
        <f t="array" ref="G834">IFERROR(INDEX('Player Raw Data'!I:I,Match($A834,'Player Raw Data'!$B:$B,0)),"")</f>
        <v/>
      </c>
      <c r="H834" t="str">
        <f t="array" ref="H834">IFERROR(INDEX('Player Raw Data'!J:J,Match($A834,'Player Raw Data'!$B:$B,0)),"")</f>
        <v/>
      </c>
      <c r="I834" t="str">
        <f t="array" ref="I834">IFERROR(INDEX('Player Raw Data'!S:S,Match($A834,'Player Raw Data'!$B:$B,0)),"")</f>
        <v/>
      </c>
      <c r="J834" t="str">
        <f t="array" ref="J834">IFERROR(INDEX('Player Raw Data'!T:T,Match($A834,'Player Raw Data'!$B:$B,0)),"")</f>
        <v/>
      </c>
      <c r="K834" t="str">
        <f t="array" ref="K834">IFERROR(INDEX('Player Raw Data'!X:X,Match($A834,'Player Raw Data'!$B:$B,0)),"")</f>
        <v/>
      </c>
      <c r="L834" t="str">
        <f t="array" ref="L834">IFERROR(INDEX('Player Raw Data'!Y:Y,Match($A834,'Player Raw Data'!$B:$B,0)),"")</f>
        <v/>
      </c>
      <c r="M834" t="str">
        <f t="array" ref="M834">IFERROR(INDEX('Player Raw Data'!Z:Z,Match($A834,'Player Raw Data'!$B:$B,0)),"")</f>
        <v/>
      </c>
      <c r="N834" t="str">
        <f t="array" ref="N834">IFERROR(INDEX('Player Raw Data'!AA:AA,Match($A834,'Player Raw Data'!$B:$B,0)),"")</f>
        <v/>
      </c>
      <c r="O834" t="str">
        <f t="array" ref="O834">IFERROR(INDEX('Player Raw Data'!AB:AB,Match($A834,'Player Raw Data'!$B:$B,0)),"")</f>
        <v/>
      </c>
      <c r="P834" t="str">
        <f t="array" ref="P834">IFERROR(INDEX('Player Raw Data'!AD:AD,Match($A834,'Player Raw Data'!$B:$B,0)),"")</f>
        <v/>
      </c>
      <c r="Q834">
        <f t="shared" si="1"/>
        <v>0</v>
      </c>
      <c r="R834" s="9">
        <f t="shared" si="2"/>
        <v>0</v>
      </c>
      <c r="S834" s="14">
        <f t="shared" si="3"/>
        <v>0</v>
      </c>
      <c r="T834" s="15">
        <f>IFERROR(__xludf.DUMMYFUNCTION("IFERROR(PERCENTRANK.INC(FILTER(Q:Q,$F:$F&lt;&gt;""""),Q834)*100,"""")"),1.5)</f>
        <v>1.5</v>
      </c>
      <c r="U834" s="15">
        <f>IFERROR(__xludf.DUMMYFUNCTION("IFERROR(PERCENTRANK.INC(FILTER(R:R,$F:$F&lt;&gt;""""),R834)*100,"""")"),1.5)</f>
        <v>1.5</v>
      </c>
      <c r="V834" s="15">
        <f>IFERROR(__xludf.DUMMYFUNCTION("IFERROR(PERCENTRANK.INC(FILTER(S:S,$F:$F&lt;&gt;""""),S834)*100,"""")"),1.5)</f>
        <v>1.5</v>
      </c>
      <c r="W834" s="15" t="str">
        <f t="shared" si="4"/>
        <v/>
      </c>
      <c r="X834" s="16"/>
      <c r="Y834" s="9"/>
      <c r="Z834" s="9"/>
    </row>
    <row r="835">
      <c r="B835" t="str">
        <f t="array" ref="B835">IFERROR(INDEX('Player Raw Data'!C:C,Match($A835,'Player Raw Data'!$B:$B,0)),"")</f>
        <v/>
      </c>
      <c r="C835" t="str">
        <f t="array" ref="C835">IFERROR(INDEX('Player Raw Data'!D:D,Match($A835,'Player Raw Data'!$B:$B,0)),"")</f>
        <v/>
      </c>
      <c r="D835" t="str">
        <f t="array" ref="D835">IFERROR(IF(A835=A834, INDEX('Player Raw Data'!E:E,Match($A835,'Player Raw Data'!$B:$B,0)+2),INDEX('Player Raw Data'!E:E,Match($A835,'Player Raw Data'!$B:$B,0))),"")</f>
        <v/>
      </c>
      <c r="E835" t="str">
        <f t="array" ref="E835">IFERROR(INDEX('Player Raw Data'!F:F,Match($A835,'Player Raw Data'!$B:$B,0)),"")</f>
        <v/>
      </c>
      <c r="F835" t="str">
        <f t="array" ref="F835">IFERROR(INDEX('Player Raw Data'!H:H,Match($A835,'Player Raw Data'!$B:$B,0)),"")</f>
        <v/>
      </c>
      <c r="G835" t="str">
        <f t="array" ref="G835">IFERROR(INDEX('Player Raw Data'!I:I,Match($A835,'Player Raw Data'!$B:$B,0)),"")</f>
        <v/>
      </c>
      <c r="H835" t="str">
        <f t="array" ref="H835">IFERROR(INDEX('Player Raw Data'!J:J,Match($A835,'Player Raw Data'!$B:$B,0)),"")</f>
        <v/>
      </c>
      <c r="I835" t="str">
        <f t="array" ref="I835">IFERROR(INDEX('Player Raw Data'!S:S,Match($A835,'Player Raw Data'!$B:$B,0)),"")</f>
        <v/>
      </c>
      <c r="J835" t="str">
        <f t="array" ref="J835">IFERROR(INDEX('Player Raw Data'!T:T,Match($A835,'Player Raw Data'!$B:$B,0)),"")</f>
        <v/>
      </c>
      <c r="K835" t="str">
        <f t="array" ref="K835">IFERROR(INDEX('Player Raw Data'!X:X,Match($A835,'Player Raw Data'!$B:$B,0)),"")</f>
        <v/>
      </c>
      <c r="L835" t="str">
        <f t="array" ref="L835">IFERROR(INDEX('Player Raw Data'!Y:Y,Match($A835,'Player Raw Data'!$B:$B,0)),"")</f>
        <v/>
      </c>
      <c r="M835" t="str">
        <f t="array" ref="M835">IFERROR(INDEX('Player Raw Data'!Z:Z,Match($A835,'Player Raw Data'!$B:$B,0)),"")</f>
        <v/>
      </c>
      <c r="N835" t="str">
        <f t="array" ref="N835">IFERROR(INDEX('Player Raw Data'!AA:AA,Match($A835,'Player Raw Data'!$B:$B,0)),"")</f>
        <v/>
      </c>
      <c r="O835" t="str">
        <f t="array" ref="O835">IFERROR(INDEX('Player Raw Data'!AB:AB,Match($A835,'Player Raw Data'!$B:$B,0)),"")</f>
        <v/>
      </c>
      <c r="P835" t="str">
        <f t="array" ref="P835">IFERROR(INDEX('Player Raw Data'!AD:AD,Match($A835,'Player Raw Data'!$B:$B,0)),"")</f>
        <v/>
      </c>
      <c r="Q835">
        <f t="shared" si="1"/>
        <v>0</v>
      </c>
      <c r="R835" s="9">
        <f t="shared" si="2"/>
        <v>0</v>
      </c>
      <c r="S835" s="14">
        <f t="shared" si="3"/>
        <v>0</v>
      </c>
      <c r="T835" s="15">
        <f>IFERROR(__xludf.DUMMYFUNCTION("IFERROR(PERCENTRANK.INC(FILTER(Q:Q,$F:$F&lt;&gt;""""),Q835)*100,"""")"),1.5)</f>
        <v>1.5</v>
      </c>
      <c r="U835" s="15">
        <f>IFERROR(__xludf.DUMMYFUNCTION("IFERROR(PERCENTRANK.INC(FILTER(R:R,$F:$F&lt;&gt;""""),R835)*100,"""")"),1.5)</f>
        <v>1.5</v>
      </c>
      <c r="V835" s="15">
        <f>IFERROR(__xludf.DUMMYFUNCTION("IFERROR(PERCENTRANK.INC(FILTER(S:S,$F:$F&lt;&gt;""""),S835)*100,"""")"),1.5)</f>
        <v>1.5</v>
      </c>
      <c r="W835" s="15" t="str">
        <f t="shared" si="4"/>
        <v/>
      </c>
      <c r="X835" s="16"/>
      <c r="Y835" s="9"/>
      <c r="Z835" s="9"/>
    </row>
    <row r="836">
      <c r="B836" t="str">
        <f t="array" ref="B836">IFERROR(INDEX('Player Raw Data'!C:C,Match($A836,'Player Raw Data'!$B:$B,0)),"")</f>
        <v/>
      </c>
      <c r="C836" t="str">
        <f t="array" ref="C836">IFERROR(INDEX('Player Raw Data'!D:D,Match($A836,'Player Raw Data'!$B:$B,0)),"")</f>
        <v/>
      </c>
      <c r="D836" t="str">
        <f t="array" ref="D836">IFERROR(IF(A836=A835, INDEX('Player Raw Data'!E:E,Match($A836,'Player Raw Data'!$B:$B,0)+2),INDEX('Player Raw Data'!E:E,Match($A836,'Player Raw Data'!$B:$B,0))),"")</f>
        <v/>
      </c>
      <c r="E836" t="str">
        <f t="array" ref="E836">IFERROR(INDEX('Player Raw Data'!F:F,Match($A836,'Player Raw Data'!$B:$B,0)),"")</f>
        <v/>
      </c>
      <c r="F836" t="str">
        <f t="array" ref="F836">IFERROR(INDEX('Player Raw Data'!H:H,Match($A836,'Player Raw Data'!$B:$B,0)),"")</f>
        <v/>
      </c>
      <c r="G836" t="str">
        <f t="array" ref="G836">IFERROR(INDEX('Player Raw Data'!I:I,Match($A836,'Player Raw Data'!$B:$B,0)),"")</f>
        <v/>
      </c>
      <c r="H836" t="str">
        <f t="array" ref="H836">IFERROR(INDEX('Player Raw Data'!J:J,Match($A836,'Player Raw Data'!$B:$B,0)),"")</f>
        <v/>
      </c>
      <c r="I836" t="str">
        <f t="array" ref="I836">IFERROR(INDEX('Player Raw Data'!S:S,Match($A836,'Player Raw Data'!$B:$B,0)),"")</f>
        <v/>
      </c>
      <c r="J836" t="str">
        <f t="array" ref="J836">IFERROR(INDEX('Player Raw Data'!T:T,Match($A836,'Player Raw Data'!$B:$B,0)),"")</f>
        <v/>
      </c>
      <c r="K836" t="str">
        <f t="array" ref="K836">IFERROR(INDEX('Player Raw Data'!X:X,Match($A836,'Player Raw Data'!$B:$B,0)),"")</f>
        <v/>
      </c>
      <c r="L836" t="str">
        <f t="array" ref="L836">IFERROR(INDEX('Player Raw Data'!Y:Y,Match($A836,'Player Raw Data'!$B:$B,0)),"")</f>
        <v/>
      </c>
      <c r="M836" t="str">
        <f t="array" ref="M836">IFERROR(INDEX('Player Raw Data'!Z:Z,Match($A836,'Player Raw Data'!$B:$B,0)),"")</f>
        <v/>
      </c>
      <c r="N836" t="str">
        <f t="array" ref="N836">IFERROR(INDEX('Player Raw Data'!AA:AA,Match($A836,'Player Raw Data'!$B:$B,0)),"")</f>
        <v/>
      </c>
      <c r="O836" t="str">
        <f t="array" ref="O836">IFERROR(INDEX('Player Raw Data'!AB:AB,Match($A836,'Player Raw Data'!$B:$B,0)),"")</f>
        <v/>
      </c>
      <c r="P836" t="str">
        <f t="array" ref="P836">IFERROR(INDEX('Player Raw Data'!AD:AD,Match($A836,'Player Raw Data'!$B:$B,0)),"")</f>
        <v/>
      </c>
      <c r="Q836">
        <f t="shared" si="1"/>
        <v>0</v>
      </c>
      <c r="R836" s="9">
        <f t="shared" si="2"/>
        <v>0</v>
      </c>
      <c r="S836" s="14">
        <f t="shared" si="3"/>
        <v>0</v>
      </c>
      <c r="T836" s="15">
        <f>IFERROR(__xludf.DUMMYFUNCTION("IFERROR(PERCENTRANK.INC(FILTER(Q:Q,$F:$F&lt;&gt;""""),Q836)*100,"""")"),1.5)</f>
        <v>1.5</v>
      </c>
      <c r="U836" s="15">
        <f>IFERROR(__xludf.DUMMYFUNCTION("IFERROR(PERCENTRANK.INC(FILTER(R:R,$F:$F&lt;&gt;""""),R836)*100,"""")"),1.5)</f>
        <v>1.5</v>
      </c>
      <c r="V836" s="15">
        <f>IFERROR(__xludf.DUMMYFUNCTION("IFERROR(PERCENTRANK.INC(FILTER(S:S,$F:$F&lt;&gt;""""),S836)*100,"""")"),1.5)</f>
        <v>1.5</v>
      </c>
      <c r="W836" s="15" t="str">
        <f t="shared" si="4"/>
        <v/>
      </c>
      <c r="X836" s="16"/>
      <c r="Y836" s="9"/>
      <c r="Z836" s="9"/>
    </row>
    <row r="837">
      <c r="B837" t="str">
        <f t="array" ref="B837">IFERROR(INDEX('Player Raw Data'!C:C,Match($A837,'Player Raw Data'!$B:$B,0)),"")</f>
        <v/>
      </c>
      <c r="C837" t="str">
        <f t="array" ref="C837">IFERROR(INDEX('Player Raw Data'!D:D,Match($A837,'Player Raw Data'!$B:$B,0)),"")</f>
        <v/>
      </c>
      <c r="D837" t="str">
        <f t="array" ref="D837">IFERROR(IF(A837=A836, INDEX('Player Raw Data'!E:E,Match($A837,'Player Raw Data'!$B:$B,0)+2),INDEX('Player Raw Data'!E:E,Match($A837,'Player Raw Data'!$B:$B,0))),"")</f>
        <v/>
      </c>
      <c r="E837" t="str">
        <f t="array" ref="E837">IFERROR(INDEX('Player Raw Data'!F:F,Match($A837,'Player Raw Data'!$B:$B,0)),"")</f>
        <v/>
      </c>
      <c r="F837" t="str">
        <f t="array" ref="F837">IFERROR(INDEX('Player Raw Data'!H:H,Match($A837,'Player Raw Data'!$B:$B,0)),"")</f>
        <v/>
      </c>
      <c r="G837" t="str">
        <f t="array" ref="G837">IFERROR(INDEX('Player Raw Data'!I:I,Match($A837,'Player Raw Data'!$B:$B,0)),"")</f>
        <v/>
      </c>
      <c r="H837" t="str">
        <f t="array" ref="H837">IFERROR(INDEX('Player Raw Data'!J:J,Match($A837,'Player Raw Data'!$B:$B,0)),"")</f>
        <v/>
      </c>
      <c r="I837" t="str">
        <f t="array" ref="I837">IFERROR(INDEX('Player Raw Data'!S:S,Match($A837,'Player Raw Data'!$B:$B,0)),"")</f>
        <v/>
      </c>
      <c r="J837" t="str">
        <f t="array" ref="J837">IFERROR(INDEX('Player Raw Data'!T:T,Match($A837,'Player Raw Data'!$B:$B,0)),"")</f>
        <v/>
      </c>
      <c r="K837" t="str">
        <f t="array" ref="K837">IFERROR(INDEX('Player Raw Data'!X:X,Match($A837,'Player Raw Data'!$B:$B,0)),"")</f>
        <v/>
      </c>
      <c r="L837" t="str">
        <f t="array" ref="L837">IFERROR(INDEX('Player Raw Data'!Y:Y,Match($A837,'Player Raw Data'!$B:$B,0)),"")</f>
        <v/>
      </c>
      <c r="M837" t="str">
        <f t="array" ref="M837">IFERROR(INDEX('Player Raw Data'!Z:Z,Match($A837,'Player Raw Data'!$B:$B,0)),"")</f>
        <v/>
      </c>
      <c r="N837" t="str">
        <f t="array" ref="N837">IFERROR(INDEX('Player Raw Data'!AA:AA,Match($A837,'Player Raw Data'!$B:$B,0)),"")</f>
        <v/>
      </c>
      <c r="O837" t="str">
        <f t="array" ref="O837">IFERROR(INDEX('Player Raw Data'!AB:AB,Match($A837,'Player Raw Data'!$B:$B,0)),"")</f>
        <v/>
      </c>
      <c r="P837" t="str">
        <f t="array" ref="P837">IFERROR(INDEX('Player Raw Data'!AD:AD,Match($A837,'Player Raw Data'!$B:$B,0)),"")</f>
        <v/>
      </c>
      <c r="Q837">
        <f t="shared" si="1"/>
        <v>0</v>
      </c>
      <c r="R837" s="9">
        <f t="shared" si="2"/>
        <v>0</v>
      </c>
      <c r="S837" s="14">
        <f t="shared" si="3"/>
        <v>0</v>
      </c>
      <c r="T837" s="15">
        <f>IFERROR(__xludf.DUMMYFUNCTION("IFERROR(PERCENTRANK.INC(FILTER(Q:Q,$F:$F&lt;&gt;""""),Q837)*100,"""")"),1.5)</f>
        <v>1.5</v>
      </c>
      <c r="U837" s="15">
        <f>IFERROR(__xludf.DUMMYFUNCTION("IFERROR(PERCENTRANK.INC(FILTER(R:R,$F:$F&lt;&gt;""""),R837)*100,"""")"),1.5)</f>
        <v>1.5</v>
      </c>
      <c r="V837" s="15">
        <f>IFERROR(__xludf.DUMMYFUNCTION("IFERROR(PERCENTRANK.INC(FILTER(S:S,$F:$F&lt;&gt;""""),S837)*100,"""")"),1.5)</f>
        <v>1.5</v>
      </c>
      <c r="W837" s="15" t="str">
        <f t="shared" si="4"/>
        <v/>
      </c>
      <c r="X837" s="16"/>
      <c r="Y837" s="9"/>
      <c r="Z837" s="9"/>
    </row>
    <row r="838">
      <c r="B838" t="str">
        <f t="array" ref="B838">IFERROR(INDEX('Player Raw Data'!C:C,Match($A838,'Player Raw Data'!$B:$B,0)),"")</f>
        <v/>
      </c>
      <c r="C838" t="str">
        <f t="array" ref="C838">IFERROR(INDEX('Player Raw Data'!D:D,Match($A838,'Player Raw Data'!$B:$B,0)),"")</f>
        <v/>
      </c>
      <c r="D838" t="str">
        <f t="array" ref="D838">IFERROR(IF(A838=A837, INDEX('Player Raw Data'!E:E,Match($A838,'Player Raw Data'!$B:$B,0)+2),INDEX('Player Raw Data'!E:E,Match($A838,'Player Raw Data'!$B:$B,0))),"")</f>
        <v/>
      </c>
      <c r="E838" t="str">
        <f t="array" ref="E838">IFERROR(INDEX('Player Raw Data'!F:F,Match($A838,'Player Raw Data'!$B:$B,0)),"")</f>
        <v/>
      </c>
      <c r="F838" t="str">
        <f t="array" ref="F838">IFERROR(INDEX('Player Raw Data'!H:H,Match($A838,'Player Raw Data'!$B:$B,0)),"")</f>
        <v/>
      </c>
      <c r="G838" t="str">
        <f t="array" ref="G838">IFERROR(INDEX('Player Raw Data'!I:I,Match($A838,'Player Raw Data'!$B:$B,0)),"")</f>
        <v/>
      </c>
      <c r="H838" t="str">
        <f t="array" ref="H838">IFERROR(INDEX('Player Raw Data'!J:J,Match($A838,'Player Raw Data'!$B:$B,0)),"")</f>
        <v/>
      </c>
      <c r="I838" t="str">
        <f t="array" ref="I838">IFERROR(INDEX('Player Raw Data'!S:S,Match($A838,'Player Raw Data'!$B:$B,0)),"")</f>
        <v/>
      </c>
      <c r="J838" t="str">
        <f t="array" ref="J838">IFERROR(INDEX('Player Raw Data'!T:T,Match($A838,'Player Raw Data'!$B:$B,0)),"")</f>
        <v/>
      </c>
      <c r="K838" t="str">
        <f t="array" ref="K838">IFERROR(INDEX('Player Raw Data'!X:X,Match($A838,'Player Raw Data'!$B:$B,0)),"")</f>
        <v/>
      </c>
      <c r="L838" t="str">
        <f t="array" ref="L838">IFERROR(INDEX('Player Raw Data'!Y:Y,Match($A838,'Player Raw Data'!$B:$B,0)),"")</f>
        <v/>
      </c>
      <c r="M838" t="str">
        <f t="array" ref="M838">IFERROR(INDEX('Player Raw Data'!Z:Z,Match($A838,'Player Raw Data'!$B:$B,0)),"")</f>
        <v/>
      </c>
      <c r="N838" t="str">
        <f t="array" ref="N838">IFERROR(INDEX('Player Raw Data'!AA:AA,Match($A838,'Player Raw Data'!$B:$B,0)),"")</f>
        <v/>
      </c>
      <c r="O838" t="str">
        <f t="array" ref="O838">IFERROR(INDEX('Player Raw Data'!AB:AB,Match($A838,'Player Raw Data'!$B:$B,0)),"")</f>
        <v/>
      </c>
      <c r="P838" t="str">
        <f t="array" ref="P838">IFERROR(INDEX('Player Raw Data'!AD:AD,Match($A838,'Player Raw Data'!$B:$B,0)),"")</f>
        <v/>
      </c>
      <c r="Q838">
        <f t="shared" si="1"/>
        <v>0</v>
      </c>
      <c r="R838" s="9">
        <f t="shared" si="2"/>
        <v>0</v>
      </c>
      <c r="S838" s="14">
        <f t="shared" si="3"/>
        <v>0</v>
      </c>
      <c r="T838" s="15">
        <f>IFERROR(__xludf.DUMMYFUNCTION("IFERROR(PERCENTRANK.INC(FILTER(Q:Q,$F:$F&lt;&gt;""""),Q838)*100,"""")"),1.5)</f>
        <v>1.5</v>
      </c>
      <c r="U838" s="15">
        <f>IFERROR(__xludf.DUMMYFUNCTION("IFERROR(PERCENTRANK.INC(FILTER(R:R,$F:$F&lt;&gt;""""),R838)*100,"""")"),1.5)</f>
        <v>1.5</v>
      </c>
      <c r="V838" s="15">
        <f>IFERROR(__xludf.DUMMYFUNCTION("IFERROR(PERCENTRANK.INC(FILTER(S:S,$F:$F&lt;&gt;""""),S838)*100,"""")"),1.5)</f>
        <v>1.5</v>
      </c>
      <c r="W838" s="15" t="str">
        <f t="shared" si="4"/>
        <v/>
      </c>
      <c r="X838" s="16"/>
      <c r="Y838" s="9"/>
      <c r="Z838" s="9"/>
    </row>
    <row r="839">
      <c r="B839" t="str">
        <f t="array" ref="B839">IFERROR(INDEX('Player Raw Data'!C:C,Match($A839,'Player Raw Data'!$B:$B,0)),"")</f>
        <v/>
      </c>
      <c r="C839" t="str">
        <f t="array" ref="C839">IFERROR(INDEX('Player Raw Data'!D:D,Match($A839,'Player Raw Data'!$B:$B,0)),"")</f>
        <v/>
      </c>
      <c r="D839" t="str">
        <f t="array" ref="D839">IFERROR(IF(A839=A838, INDEX('Player Raw Data'!E:E,Match($A839,'Player Raw Data'!$B:$B,0)+2),INDEX('Player Raw Data'!E:E,Match($A839,'Player Raw Data'!$B:$B,0))),"")</f>
        <v/>
      </c>
      <c r="E839" t="str">
        <f t="array" ref="E839">IFERROR(INDEX('Player Raw Data'!F:F,Match($A839,'Player Raw Data'!$B:$B,0)),"")</f>
        <v/>
      </c>
      <c r="F839" t="str">
        <f t="array" ref="F839">IFERROR(INDEX('Player Raw Data'!H:H,Match($A839,'Player Raw Data'!$B:$B,0)),"")</f>
        <v/>
      </c>
      <c r="G839" t="str">
        <f t="array" ref="G839">IFERROR(INDEX('Player Raw Data'!I:I,Match($A839,'Player Raw Data'!$B:$B,0)),"")</f>
        <v/>
      </c>
      <c r="H839" t="str">
        <f t="array" ref="H839">IFERROR(INDEX('Player Raw Data'!J:J,Match($A839,'Player Raw Data'!$B:$B,0)),"")</f>
        <v/>
      </c>
      <c r="I839" t="str">
        <f t="array" ref="I839">IFERROR(INDEX('Player Raw Data'!S:S,Match($A839,'Player Raw Data'!$B:$B,0)),"")</f>
        <v/>
      </c>
      <c r="J839" t="str">
        <f t="array" ref="J839">IFERROR(INDEX('Player Raw Data'!T:T,Match($A839,'Player Raw Data'!$B:$B,0)),"")</f>
        <v/>
      </c>
      <c r="K839" t="str">
        <f t="array" ref="K839">IFERROR(INDEX('Player Raw Data'!X:X,Match($A839,'Player Raw Data'!$B:$B,0)),"")</f>
        <v/>
      </c>
      <c r="L839" t="str">
        <f t="array" ref="L839">IFERROR(INDEX('Player Raw Data'!Y:Y,Match($A839,'Player Raw Data'!$B:$B,0)),"")</f>
        <v/>
      </c>
      <c r="M839" t="str">
        <f t="array" ref="M839">IFERROR(INDEX('Player Raw Data'!Z:Z,Match($A839,'Player Raw Data'!$B:$B,0)),"")</f>
        <v/>
      </c>
      <c r="N839" t="str">
        <f t="array" ref="N839">IFERROR(INDEX('Player Raw Data'!AA:AA,Match($A839,'Player Raw Data'!$B:$B,0)),"")</f>
        <v/>
      </c>
      <c r="O839" t="str">
        <f t="array" ref="O839">IFERROR(INDEX('Player Raw Data'!AB:AB,Match($A839,'Player Raw Data'!$B:$B,0)),"")</f>
        <v/>
      </c>
      <c r="P839" t="str">
        <f t="array" ref="P839">IFERROR(INDEX('Player Raw Data'!AD:AD,Match($A839,'Player Raw Data'!$B:$B,0)),"")</f>
        <v/>
      </c>
      <c r="Q839">
        <f t="shared" si="1"/>
        <v>0</v>
      </c>
      <c r="R839" s="9">
        <f t="shared" si="2"/>
        <v>0</v>
      </c>
      <c r="S839" s="14">
        <f t="shared" si="3"/>
        <v>0</v>
      </c>
      <c r="T839" s="15">
        <f>IFERROR(__xludf.DUMMYFUNCTION("IFERROR(PERCENTRANK.INC(FILTER(Q:Q,$F:$F&lt;&gt;""""),Q839)*100,"""")"),1.5)</f>
        <v>1.5</v>
      </c>
      <c r="U839" s="15">
        <f>IFERROR(__xludf.DUMMYFUNCTION("IFERROR(PERCENTRANK.INC(FILTER(R:R,$F:$F&lt;&gt;""""),R839)*100,"""")"),1.5)</f>
        <v>1.5</v>
      </c>
      <c r="V839" s="15">
        <f>IFERROR(__xludf.DUMMYFUNCTION("IFERROR(PERCENTRANK.INC(FILTER(S:S,$F:$F&lt;&gt;""""),S839)*100,"""")"),1.5)</f>
        <v>1.5</v>
      </c>
      <c r="W839" s="15" t="str">
        <f t="shared" si="4"/>
        <v/>
      </c>
      <c r="X839" s="16"/>
      <c r="Y839" s="9"/>
      <c r="Z839" s="9"/>
    </row>
    <row r="840">
      <c r="B840" t="str">
        <f t="array" ref="B840">IFERROR(INDEX('Player Raw Data'!C:C,Match($A840,'Player Raw Data'!$B:$B,0)),"")</f>
        <v/>
      </c>
      <c r="C840" t="str">
        <f t="array" ref="C840">IFERROR(INDEX('Player Raw Data'!D:D,Match($A840,'Player Raw Data'!$B:$B,0)),"")</f>
        <v/>
      </c>
      <c r="D840" t="str">
        <f t="array" ref="D840">IFERROR(IF(A840=A839, INDEX('Player Raw Data'!E:E,Match($A840,'Player Raw Data'!$B:$B,0)+2),INDEX('Player Raw Data'!E:E,Match($A840,'Player Raw Data'!$B:$B,0))),"")</f>
        <v/>
      </c>
      <c r="E840" t="str">
        <f t="array" ref="E840">IFERROR(INDEX('Player Raw Data'!F:F,Match($A840,'Player Raw Data'!$B:$B,0)),"")</f>
        <v/>
      </c>
      <c r="F840" t="str">
        <f t="array" ref="F840">IFERROR(INDEX('Player Raw Data'!H:H,Match($A840,'Player Raw Data'!$B:$B,0)),"")</f>
        <v/>
      </c>
      <c r="G840" t="str">
        <f t="array" ref="G840">IFERROR(INDEX('Player Raw Data'!I:I,Match($A840,'Player Raw Data'!$B:$B,0)),"")</f>
        <v/>
      </c>
      <c r="H840" t="str">
        <f t="array" ref="H840">IFERROR(INDEX('Player Raw Data'!J:J,Match($A840,'Player Raw Data'!$B:$B,0)),"")</f>
        <v/>
      </c>
      <c r="I840" t="str">
        <f t="array" ref="I840">IFERROR(INDEX('Player Raw Data'!S:S,Match($A840,'Player Raw Data'!$B:$B,0)),"")</f>
        <v/>
      </c>
      <c r="J840" t="str">
        <f t="array" ref="J840">IFERROR(INDEX('Player Raw Data'!T:T,Match($A840,'Player Raw Data'!$B:$B,0)),"")</f>
        <v/>
      </c>
      <c r="K840" t="str">
        <f t="array" ref="K840">IFERROR(INDEX('Player Raw Data'!X:X,Match($A840,'Player Raw Data'!$B:$B,0)),"")</f>
        <v/>
      </c>
      <c r="L840" t="str">
        <f t="array" ref="L840">IFERROR(INDEX('Player Raw Data'!Y:Y,Match($A840,'Player Raw Data'!$B:$B,0)),"")</f>
        <v/>
      </c>
      <c r="M840" t="str">
        <f t="array" ref="M840">IFERROR(INDEX('Player Raw Data'!Z:Z,Match($A840,'Player Raw Data'!$B:$B,0)),"")</f>
        <v/>
      </c>
      <c r="N840" t="str">
        <f t="array" ref="N840">IFERROR(INDEX('Player Raw Data'!AA:AA,Match($A840,'Player Raw Data'!$B:$B,0)),"")</f>
        <v/>
      </c>
      <c r="O840" t="str">
        <f t="array" ref="O840">IFERROR(INDEX('Player Raw Data'!AB:AB,Match($A840,'Player Raw Data'!$B:$B,0)),"")</f>
        <v/>
      </c>
      <c r="P840" t="str">
        <f t="array" ref="P840">IFERROR(INDEX('Player Raw Data'!AD:AD,Match($A840,'Player Raw Data'!$B:$B,0)),"")</f>
        <v/>
      </c>
      <c r="Q840">
        <f t="shared" si="1"/>
        <v>0</v>
      </c>
      <c r="R840" s="9">
        <f t="shared" si="2"/>
        <v>0</v>
      </c>
      <c r="S840" s="14">
        <f t="shared" si="3"/>
        <v>0</v>
      </c>
      <c r="T840" s="15">
        <f>IFERROR(__xludf.DUMMYFUNCTION("IFERROR(PERCENTRANK.INC(FILTER(Q:Q,$F:$F&lt;&gt;""""),Q840)*100,"""")"),1.5)</f>
        <v>1.5</v>
      </c>
      <c r="U840" s="15">
        <f>IFERROR(__xludf.DUMMYFUNCTION("IFERROR(PERCENTRANK.INC(FILTER(R:R,$F:$F&lt;&gt;""""),R840)*100,"""")"),1.5)</f>
        <v>1.5</v>
      </c>
      <c r="V840" s="15">
        <f>IFERROR(__xludf.DUMMYFUNCTION("IFERROR(PERCENTRANK.INC(FILTER(S:S,$F:$F&lt;&gt;""""),S840)*100,"""")"),1.5)</f>
        <v>1.5</v>
      </c>
      <c r="W840" s="15" t="str">
        <f t="shared" si="4"/>
        <v/>
      </c>
      <c r="X840" s="16"/>
      <c r="Y840" s="9"/>
      <c r="Z840" s="9"/>
    </row>
    <row r="841">
      <c r="B841" t="str">
        <f t="array" ref="B841">IFERROR(INDEX('Player Raw Data'!C:C,Match($A841,'Player Raw Data'!$B:$B,0)),"")</f>
        <v/>
      </c>
      <c r="C841" t="str">
        <f t="array" ref="C841">IFERROR(INDEX('Player Raw Data'!D:D,Match($A841,'Player Raw Data'!$B:$B,0)),"")</f>
        <v/>
      </c>
      <c r="D841" t="str">
        <f t="array" ref="D841">IFERROR(IF(A841=A840, INDEX('Player Raw Data'!E:E,Match($A841,'Player Raw Data'!$B:$B,0)+2),INDEX('Player Raw Data'!E:E,Match($A841,'Player Raw Data'!$B:$B,0))),"")</f>
        <v/>
      </c>
      <c r="E841" t="str">
        <f t="array" ref="E841">IFERROR(INDEX('Player Raw Data'!F:F,Match($A841,'Player Raw Data'!$B:$B,0)),"")</f>
        <v/>
      </c>
      <c r="F841" t="str">
        <f t="array" ref="F841">IFERROR(INDEX('Player Raw Data'!H:H,Match($A841,'Player Raw Data'!$B:$B,0)),"")</f>
        <v/>
      </c>
      <c r="G841" t="str">
        <f t="array" ref="G841">IFERROR(INDEX('Player Raw Data'!I:I,Match($A841,'Player Raw Data'!$B:$B,0)),"")</f>
        <v/>
      </c>
      <c r="H841" t="str">
        <f t="array" ref="H841">IFERROR(INDEX('Player Raw Data'!J:J,Match($A841,'Player Raw Data'!$B:$B,0)),"")</f>
        <v/>
      </c>
      <c r="I841" t="str">
        <f t="array" ref="I841">IFERROR(INDEX('Player Raw Data'!S:S,Match($A841,'Player Raw Data'!$B:$B,0)),"")</f>
        <v/>
      </c>
      <c r="J841" t="str">
        <f t="array" ref="J841">IFERROR(INDEX('Player Raw Data'!T:T,Match($A841,'Player Raw Data'!$B:$B,0)),"")</f>
        <v/>
      </c>
      <c r="K841" t="str">
        <f t="array" ref="K841">IFERROR(INDEX('Player Raw Data'!X:X,Match($A841,'Player Raw Data'!$B:$B,0)),"")</f>
        <v/>
      </c>
      <c r="L841" t="str">
        <f t="array" ref="L841">IFERROR(INDEX('Player Raw Data'!Y:Y,Match($A841,'Player Raw Data'!$B:$B,0)),"")</f>
        <v/>
      </c>
      <c r="M841" t="str">
        <f t="array" ref="M841">IFERROR(INDEX('Player Raw Data'!Z:Z,Match($A841,'Player Raw Data'!$B:$B,0)),"")</f>
        <v/>
      </c>
      <c r="N841" t="str">
        <f t="array" ref="N841">IFERROR(INDEX('Player Raw Data'!AA:AA,Match($A841,'Player Raw Data'!$B:$B,0)),"")</f>
        <v/>
      </c>
      <c r="O841" t="str">
        <f t="array" ref="O841">IFERROR(INDEX('Player Raw Data'!AB:AB,Match($A841,'Player Raw Data'!$B:$B,0)),"")</f>
        <v/>
      </c>
      <c r="P841" t="str">
        <f t="array" ref="P841">IFERROR(INDEX('Player Raw Data'!AD:AD,Match($A841,'Player Raw Data'!$B:$B,0)),"")</f>
        <v/>
      </c>
      <c r="Q841">
        <f t="shared" si="1"/>
        <v>0</v>
      </c>
      <c r="R841" s="9">
        <f t="shared" si="2"/>
        <v>0</v>
      </c>
      <c r="S841" s="14">
        <f t="shared" si="3"/>
        <v>0</v>
      </c>
      <c r="T841" s="15">
        <f>IFERROR(__xludf.DUMMYFUNCTION("IFERROR(PERCENTRANK.INC(FILTER(Q:Q,$F:$F&lt;&gt;""""),Q841)*100,"""")"),1.5)</f>
        <v>1.5</v>
      </c>
      <c r="U841" s="15">
        <f>IFERROR(__xludf.DUMMYFUNCTION("IFERROR(PERCENTRANK.INC(FILTER(R:R,$F:$F&lt;&gt;""""),R841)*100,"""")"),1.5)</f>
        <v>1.5</v>
      </c>
      <c r="V841" s="15">
        <f>IFERROR(__xludf.DUMMYFUNCTION("IFERROR(PERCENTRANK.INC(FILTER(S:S,$F:$F&lt;&gt;""""),S841)*100,"""")"),1.5)</f>
        <v>1.5</v>
      </c>
      <c r="W841" s="15" t="str">
        <f t="shared" si="4"/>
        <v/>
      </c>
      <c r="X841" s="16"/>
      <c r="Y841" s="9"/>
      <c r="Z841" s="9"/>
    </row>
    <row r="842">
      <c r="B842" t="str">
        <f t="array" ref="B842">IFERROR(INDEX('Player Raw Data'!C:C,Match($A842,'Player Raw Data'!$B:$B,0)),"")</f>
        <v/>
      </c>
      <c r="C842" t="str">
        <f t="array" ref="C842">IFERROR(INDEX('Player Raw Data'!D:D,Match($A842,'Player Raw Data'!$B:$B,0)),"")</f>
        <v/>
      </c>
      <c r="D842" t="str">
        <f t="array" ref="D842">IFERROR(IF(A842=A841, INDEX('Player Raw Data'!E:E,Match($A842,'Player Raw Data'!$B:$B,0)+2),INDEX('Player Raw Data'!E:E,Match($A842,'Player Raw Data'!$B:$B,0))),"")</f>
        <v/>
      </c>
      <c r="E842" t="str">
        <f t="array" ref="E842">IFERROR(INDEX('Player Raw Data'!F:F,Match($A842,'Player Raw Data'!$B:$B,0)),"")</f>
        <v/>
      </c>
      <c r="F842" t="str">
        <f t="array" ref="F842">IFERROR(INDEX('Player Raw Data'!H:H,Match($A842,'Player Raw Data'!$B:$B,0)),"")</f>
        <v/>
      </c>
      <c r="G842" t="str">
        <f t="array" ref="G842">IFERROR(INDEX('Player Raw Data'!I:I,Match($A842,'Player Raw Data'!$B:$B,0)),"")</f>
        <v/>
      </c>
      <c r="H842" t="str">
        <f t="array" ref="H842">IFERROR(INDEX('Player Raw Data'!J:J,Match($A842,'Player Raw Data'!$B:$B,0)),"")</f>
        <v/>
      </c>
      <c r="I842" t="str">
        <f t="array" ref="I842">IFERROR(INDEX('Player Raw Data'!S:S,Match($A842,'Player Raw Data'!$B:$B,0)),"")</f>
        <v/>
      </c>
      <c r="J842" t="str">
        <f t="array" ref="J842">IFERROR(INDEX('Player Raw Data'!T:T,Match($A842,'Player Raw Data'!$B:$B,0)),"")</f>
        <v/>
      </c>
      <c r="K842" t="str">
        <f t="array" ref="K842">IFERROR(INDEX('Player Raw Data'!X:X,Match($A842,'Player Raw Data'!$B:$B,0)),"")</f>
        <v/>
      </c>
      <c r="L842" t="str">
        <f t="array" ref="L842">IFERROR(INDEX('Player Raw Data'!Y:Y,Match($A842,'Player Raw Data'!$B:$B,0)),"")</f>
        <v/>
      </c>
      <c r="M842" t="str">
        <f t="array" ref="M842">IFERROR(INDEX('Player Raw Data'!Z:Z,Match($A842,'Player Raw Data'!$B:$B,0)),"")</f>
        <v/>
      </c>
      <c r="N842" t="str">
        <f t="array" ref="N842">IFERROR(INDEX('Player Raw Data'!AA:AA,Match($A842,'Player Raw Data'!$B:$B,0)),"")</f>
        <v/>
      </c>
      <c r="O842" t="str">
        <f t="array" ref="O842">IFERROR(INDEX('Player Raw Data'!AB:AB,Match($A842,'Player Raw Data'!$B:$B,0)),"")</f>
        <v/>
      </c>
      <c r="P842" t="str">
        <f t="array" ref="P842">IFERROR(INDEX('Player Raw Data'!AD:AD,Match($A842,'Player Raw Data'!$B:$B,0)),"")</f>
        <v/>
      </c>
      <c r="Q842">
        <f t="shared" si="1"/>
        <v>0</v>
      </c>
      <c r="R842" s="9">
        <f t="shared" si="2"/>
        <v>0</v>
      </c>
      <c r="S842" s="14">
        <f t="shared" si="3"/>
        <v>0</v>
      </c>
      <c r="T842" s="15">
        <f>IFERROR(__xludf.DUMMYFUNCTION("IFERROR(PERCENTRANK.INC(FILTER(Q:Q,$F:$F&lt;&gt;""""),Q842)*100,"""")"),1.5)</f>
        <v>1.5</v>
      </c>
      <c r="U842" s="15">
        <f>IFERROR(__xludf.DUMMYFUNCTION("IFERROR(PERCENTRANK.INC(FILTER(R:R,$F:$F&lt;&gt;""""),R842)*100,"""")"),1.5)</f>
        <v>1.5</v>
      </c>
      <c r="V842" s="15">
        <f>IFERROR(__xludf.DUMMYFUNCTION("IFERROR(PERCENTRANK.INC(FILTER(S:S,$F:$F&lt;&gt;""""),S842)*100,"""")"),1.5)</f>
        <v>1.5</v>
      </c>
      <c r="W842" s="15" t="str">
        <f t="shared" si="4"/>
        <v/>
      </c>
      <c r="X842" s="16"/>
      <c r="Y842" s="9"/>
      <c r="Z842" s="9"/>
    </row>
    <row r="843">
      <c r="B843" t="str">
        <f t="array" ref="B843">IFERROR(INDEX('Player Raw Data'!C:C,Match($A843,'Player Raw Data'!$B:$B,0)),"")</f>
        <v/>
      </c>
      <c r="C843" t="str">
        <f t="array" ref="C843">IFERROR(INDEX('Player Raw Data'!D:D,Match($A843,'Player Raw Data'!$B:$B,0)),"")</f>
        <v/>
      </c>
      <c r="D843" t="str">
        <f t="array" ref="D843">IFERROR(IF(A843=A842, INDEX('Player Raw Data'!E:E,Match($A843,'Player Raw Data'!$B:$B,0)+2),INDEX('Player Raw Data'!E:E,Match($A843,'Player Raw Data'!$B:$B,0))),"")</f>
        <v/>
      </c>
      <c r="E843" t="str">
        <f t="array" ref="E843">IFERROR(INDEX('Player Raw Data'!F:F,Match($A843,'Player Raw Data'!$B:$B,0)),"")</f>
        <v/>
      </c>
      <c r="F843" t="str">
        <f t="array" ref="F843">IFERROR(INDEX('Player Raw Data'!H:H,Match($A843,'Player Raw Data'!$B:$B,0)),"")</f>
        <v/>
      </c>
      <c r="G843" t="str">
        <f t="array" ref="G843">IFERROR(INDEX('Player Raw Data'!I:I,Match($A843,'Player Raw Data'!$B:$B,0)),"")</f>
        <v/>
      </c>
      <c r="H843" t="str">
        <f t="array" ref="H843">IFERROR(INDEX('Player Raw Data'!J:J,Match($A843,'Player Raw Data'!$B:$B,0)),"")</f>
        <v/>
      </c>
      <c r="I843" t="str">
        <f t="array" ref="I843">IFERROR(INDEX('Player Raw Data'!S:S,Match($A843,'Player Raw Data'!$B:$B,0)),"")</f>
        <v/>
      </c>
      <c r="J843" t="str">
        <f t="array" ref="J843">IFERROR(INDEX('Player Raw Data'!T:T,Match($A843,'Player Raw Data'!$B:$B,0)),"")</f>
        <v/>
      </c>
      <c r="K843" t="str">
        <f t="array" ref="K843">IFERROR(INDEX('Player Raw Data'!X:X,Match($A843,'Player Raw Data'!$B:$B,0)),"")</f>
        <v/>
      </c>
      <c r="L843" t="str">
        <f t="array" ref="L843">IFERROR(INDEX('Player Raw Data'!Y:Y,Match($A843,'Player Raw Data'!$B:$B,0)),"")</f>
        <v/>
      </c>
      <c r="M843" t="str">
        <f t="array" ref="M843">IFERROR(INDEX('Player Raw Data'!Z:Z,Match($A843,'Player Raw Data'!$B:$B,0)),"")</f>
        <v/>
      </c>
      <c r="N843" t="str">
        <f t="array" ref="N843">IFERROR(INDEX('Player Raw Data'!AA:AA,Match($A843,'Player Raw Data'!$B:$B,0)),"")</f>
        <v/>
      </c>
      <c r="O843" t="str">
        <f t="array" ref="O843">IFERROR(INDEX('Player Raw Data'!AB:AB,Match($A843,'Player Raw Data'!$B:$B,0)),"")</f>
        <v/>
      </c>
      <c r="P843" t="str">
        <f t="array" ref="P843">IFERROR(INDEX('Player Raw Data'!AD:AD,Match($A843,'Player Raw Data'!$B:$B,0)),"")</f>
        <v/>
      </c>
      <c r="Q843">
        <f t="shared" si="1"/>
        <v>0</v>
      </c>
      <c r="R843" s="9">
        <f t="shared" si="2"/>
        <v>0</v>
      </c>
      <c r="S843" s="14">
        <f t="shared" si="3"/>
        <v>0</v>
      </c>
      <c r="T843" s="15">
        <f>IFERROR(__xludf.DUMMYFUNCTION("IFERROR(PERCENTRANK.INC(FILTER(Q:Q,$F:$F&lt;&gt;""""),Q843)*100,"""")"),1.5)</f>
        <v>1.5</v>
      </c>
      <c r="U843" s="15">
        <f>IFERROR(__xludf.DUMMYFUNCTION("IFERROR(PERCENTRANK.INC(FILTER(R:R,$F:$F&lt;&gt;""""),R843)*100,"""")"),1.5)</f>
        <v>1.5</v>
      </c>
      <c r="V843" s="15">
        <f>IFERROR(__xludf.DUMMYFUNCTION("IFERROR(PERCENTRANK.INC(FILTER(S:S,$F:$F&lt;&gt;""""),S843)*100,"""")"),1.5)</f>
        <v>1.5</v>
      </c>
      <c r="W843" s="15" t="str">
        <f t="shared" si="4"/>
        <v/>
      </c>
      <c r="X843" s="16"/>
      <c r="Y843" s="9"/>
      <c r="Z843" s="9"/>
    </row>
    <row r="844">
      <c r="B844" t="str">
        <f t="array" ref="B844">IFERROR(INDEX('Player Raw Data'!C:C,Match($A844,'Player Raw Data'!$B:$B,0)),"")</f>
        <v/>
      </c>
      <c r="C844" t="str">
        <f t="array" ref="C844">IFERROR(INDEX('Player Raw Data'!D:D,Match($A844,'Player Raw Data'!$B:$B,0)),"")</f>
        <v/>
      </c>
      <c r="D844" t="str">
        <f t="array" ref="D844">IFERROR(IF(A844=A843, INDEX('Player Raw Data'!E:E,Match($A844,'Player Raw Data'!$B:$B,0)+2),INDEX('Player Raw Data'!E:E,Match($A844,'Player Raw Data'!$B:$B,0))),"")</f>
        <v/>
      </c>
      <c r="E844" t="str">
        <f t="array" ref="E844">IFERROR(INDEX('Player Raw Data'!F:F,Match($A844,'Player Raw Data'!$B:$B,0)),"")</f>
        <v/>
      </c>
      <c r="F844" t="str">
        <f t="array" ref="F844">IFERROR(INDEX('Player Raw Data'!H:H,Match($A844,'Player Raw Data'!$B:$B,0)),"")</f>
        <v/>
      </c>
      <c r="G844" t="str">
        <f t="array" ref="G844">IFERROR(INDEX('Player Raw Data'!I:I,Match($A844,'Player Raw Data'!$B:$B,0)),"")</f>
        <v/>
      </c>
      <c r="H844" t="str">
        <f t="array" ref="H844">IFERROR(INDEX('Player Raw Data'!J:J,Match($A844,'Player Raw Data'!$B:$B,0)),"")</f>
        <v/>
      </c>
      <c r="I844" t="str">
        <f t="array" ref="I844">IFERROR(INDEX('Player Raw Data'!S:S,Match($A844,'Player Raw Data'!$B:$B,0)),"")</f>
        <v/>
      </c>
      <c r="J844" t="str">
        <f t="array" ref="J844">IFERROR(INDEX('Player Raw Data'!T:T,Match($A844,'Player Raw Data'!$B:$B,0)),"")</f>
        <v/>
      </c>
      <c r="K844" t="str">
        <f t="array" ref="K844">IFERROR(INDEX('Player Raw Data'!X:X,Match($A844,'Player Raw Data'!$B:$B,0)),"")</f>
        <v/>
      </c>
      <c r="L844" t="str">
        <f t="array" ref="L844">IFERROR(INDEX('Player Raw Data'!Y:Y,Match($A844,'Player Raw Data'!$B:$B,0)),"")</f>
        <v/>
      </c>
      <c r="M844" t="str">
        <f t="array" ref="M844">IFERROR(INDEX('Player Raw Data'!Z:Z,Match($A844,'Player Raw Data'!$B:$B,0)),"")</f>
        <v/>
      </c>
      <c r="N844" t="str">
        <f t="array" ref="N844">IFERROR(INDEX('Player Raw Data'!AA:AA,Match($A844,'Player Raw Data'!$B:$B,0)),"")</f>
        <v/>
      </c>
      <c r="O844" t="str">
        <f t="array" ref="O844">IFERROR(INDEX('Player Raw Data'!AB:AB,Match($A844,'Player Raw Data'!$B:$B,0)),"")</f>
        <v/>
      </c>
      <c r="P844" t="str">
        <f t="array" ref="P844">IFERROR(INDEX('Player Raw Data'!AD:AD,Match($A844,'Player Raw Data'!$B:$B,0)),"")</f>
        <v/>
      </c>
      <c r="Q844">
        <f t="shared" si="1"/>
        <v>0</v>
      </c>
      <c r="R844" s="9">
        <f t="shared" si="2"/>
        <v>0</v>
      </c>
      <c r="S844" s="14">
        <f t="shared" si="3"/>
        <v>0</v>
      </c>
      <c r="T844" s="15">
        <f>IFERROR(__xludf.DUMMYFUNCTION("IFERROR(PERCENTRANK.INC(FILTER(Q:Q,$F:$F&lt;&gt;""""),Q844)*100,"""")"),1.5)</f>
        <v>1.5</v>
      </c>
      <c r="U844" s="15">
        <f>IFERROR(__xludf.DUMMYFUNCTION("IFERROR(PERCENTRANK.INC(FILTER(R:R,$F:$F&lt;&gt;""""),R844)*100,"""")"),1.5)</f>
        <v>1.5</v>
      </c>
      <c r="V844" s="15">
        <f>IFERROR(__xludf.DUMMYFUNCTION("IFERROR(PERCENTRANK.INC(FILTER(S:S,$F:$F&lt;&gt;""""),S844)*100,"""")"),1.5)</f>
        <v>1.5</v>
      </c>
      <c r="W844" s="15" t="str">
        <f t="shared" si="4"/>
        <v/>
      </c>
      <c r="X844" s="16"/>
      <c r="Y844" s="9"/>
      <c r="Z844" s="9"/>
    </row>
    <row r="845">
      <c r="B845" t="str">
        <f t="array" ref="B845">IFERROR(INDEX('Player Raw Data'!C:C,Match($A845,'Player Raw Data'!$B:$B,0)),"")</f>
        <v/>
      </c>
      <c r="C845" t="str">
        <f t="array" ref="C845">IFERROR(INDEX('Player Raw Data'!D:D,Match($A845,'Player Raw Data'!$B:$B,0)),"")</f>
        <v/>
      </c>
      <c r="D845" t="str">
        <f t="array" ref="D845">IFERROR(IF(A845=A844, INDEX('Player Raw Data'!E:E,Match($A845,'Player Raw Data'!$B:$B,0)+2),INDEX('Player Raw Data'!E:E,Match($A845,'Player Raw Data'!$B:$B,0))),"")</f>
        <v/>
      </c>
      <c r="E845" t="str">
        <f t="array" ref="E845">IFERROR(INDEX('Player Raw Data'!F:F,Match($A845,'Player Raw Data'!$B:$B,0)),"")</f>
        <v/>
      </c>
      <c r="F845" t="str">
        <f t="array" ref="F845">IFERROR(INDEX('Player Raw Data'!H:H,Match($A845,'Player Raw Data'!$B:$B,0)),"")</f>
        <v/>
      </c>
      <c r="G845" t="str">
        <f t="array" ref="G845">IFERROR(INDEX('Player Raw Data'!I:I,Match($A845,'Player Raw Data'!$B:$B,0)),"")</f>
        <v/>
      </c>
      <c r="H845" t="str">
        <f t="array" ref="H845">IFERROR(INDEX('Player Raw Data'!J:J,Match($A845,'Player Raw Data'!$B:$B,0)),"")</f>
        <v/>
      </c>
      <c r="I845" t="str">
        <f t="array" ref="I845">IFERROR(INDEX('Player Raw Data'!S:S,Match($A845,'Player Raw Data'!$B:$B,0)),"")</f>
        <v/>
      </c>
      <c r="J845" t="str">
        <f t="array" ref="J845">IFERROR(INDEX('Player Raw Data'!T:T,Match($A845,'Player Raw Data'!$B:$B,0)),"")</f>
        <v/>
      </c>
      <c r="K845" t="str">
        <f t="array" ref="K845">IFERROR(INDEX('Player Raw Data'!X:X,Match($A845,'Player Raw Data'!$B:$B,0)),"")</f>
        <v/>
      </c>
      <c r="L845" t="str">
        <f t="array" ref="L845">IFERROR(INDEX('Player Raw Data'!Y:Y,Match($A845,'Player Raw Data'!$B:$B,0)),"")</f>
        <v/>
      </c>
      <c r="M845" t="str">
        <f t="array" ref="M845">IFERROR(INDEX('Player Raw Data'!Z:Z,Match($A845,'Player Raw Data'!$B:$B,0)),"")</f>
        <v/>
      </c>
      <c r="N845" t="str">
        <f t="array" ref="N845">IFERROR(INDEX('Player Raw Data'!AA:AA,Match($A845,'Player Raw Data'!$B:$B,0)),"")</f>
        <v/>
      </c>
      <c r="O845" t="str">
        <f t="array" ref="O845">IFERROR(INDEX('Player Raw Data'!AB:AB,Match($A845,'Player Raw Data'!$B:$B,0)),"")</f>
        <v/>
      </c>
      <c r="P845" t="str">
        <f t="array" ref="P845">IFERROR(INDEX('Player Raw Data'!AD:AD,Match($A845,'Player Raw Data'!$B:$B,0)),"")</f>
        <v/>
      </c>
      <c r="Q845">
        <f t="shared" si="1"/>
        <v>0</v>
      </c>
      <c r="R845" s="9">
        <f t="shared" si="2"/>
        <v>0</v>
      </c>
      <c r="S845" s="14">
        <f t="shared" si="3"/>
        <v>0</v>
      </c>
      <c r="T845" s="15">
        <f>IFERROR(__xludf.DUMMYFUNCTION("IFERROR(PERCENTRANK.INC(FILTER(Q:Q,$F:$F&lt;&gt;""""),Q845)*100,"""")"),1.5)</f>
        <v>1.5</v>
      </c>
      <c r="U845" s="15">
        <f>IFERROR(__xludf.DUMMYFUNCTION("IFERROR(PERCENTRANK.INC(FILTER(R:R,$F:$F&lt;&gt;""""),R845)*100,"""")"),1.5)</f>
        <v>1.5</v>
      </c>
      <c r="V845" s="15">
        <f>IFERROR(__xludf.DUMMYFUNCTION("IFERROR(PERCENTRANK.INC(FILTER(S:S,$F:$F&lt;&gt;""""),S845)*100,"""")"),1.5)</f>
        <v>1.5</v>
      </c>
      <c r="W845" s="15" t="str">
        <f t="shared" si="4"/>
        <v/>
      </c>
      <c r="X845" s="16"/>
      <c r="Y845" s="9"/>
      <c r="Z845" s="9"/>
    </row>
    <row r="846">
      <c r="B846" t="str">
        <f t="array" ref="B846">IFERROR(INDEX('Player Raw Data'!C:C,Match($A846,'Player Raw Data'!$B:$B,0)),"")</f>
        <v/>
      </c>
      <c r="C846" t="str">
        <f t="array" ref="C846">IFERROR(INDEX('Player Raw Data'!D:D,Match($A846,'Player Raw Data'!$B:$B,0)),"")</f>
        <v/>
      </c>
      <c r="D846" t="str">
        <f t="array" ref="D846">IFERROR(IF(A846=A845, INDEX('Player Raw Data'!E:E,Match($A846,'Player Raw Data'!$B:$B,0)+2),INDEX('Player Raw Data'!E:E,Match($A846,'Player Raw Data'!$B:$B,0))),"")</f>
        <v/>
      </c>
      <c r="E846" t="str">
        <f t="array" ref="E846">IFERROR(INDEX('Player Raw Data'!F:F,Match($A846,'Player Raw Data'!$B:$B,0)),"")</f>
        <v/>
      </c>
      <c r="F846" t="str">
        <f t="array" ref="F846">IFERROR(INDEX('Player Raw Data'!H:H,Match($A846,'Player Raw Data'!$B:$B,0)),"")</f>
        <v/>
      </c>
      <c r="G846" t="str">
        <f t="array" ref="G846">IFERROR(INDEX('Player Raw Data'!I:I,Match($A846,'Player Raw Data'!$B:$B,0)),"")</f>
        <v/>
      </c>
      <c r="H846" t="str">
        <f t="array" ref="H846">IFERROR(INDEX('Player Raw Data'!J:J,Match($A846,'Player Raw Data'!$B:$B,0)),"")</f>
        <v/>
      </c>
      <c r="I846" t="str">
        <f t="array" ref="I846">IFERROR(INDEX('Player Raw Data'!S:S,Match($A846,'Player Raw Data'!$B:$B,0)),"")</f>
        <v/>
      </c>
      <c r="J846" t="str">
        <f t="array" ref="J846">IFERROR(INDEX('Player Raw Data'!T:T,Match($A846,'Player Raw Data'!$B:$B,0)),"")</f>
        <v/>
      </c>
      <c r="K846" t="str">
        <f t="array" ref="K846">IFERROR(INDEX('Player Raw Data'!X:X,Match($A846,'Player Raw Data'!$B:$B,0)),"")</f>
        <v/>
      </c>
      <c r="L846" t="str">
        <f t="array" ref="L846">IFERROR(INDEX('Player Raw Data'!Y:Y,Match($A846,'Player Raw Data'!$B:$B,0)),"")</f>
        <v/>
      </c>
      <c r="M846" t="str">
        <f t="array" ref="M846">IFERROR(INDEX('Player Raw Data'!Z:Z,Match($A846,'Player Raw Data'!$B:$B,0)),"")</f>
        <v/>
      </c>
      <c r="N846" t="str">
        <f t="array" ref="N846">IFERROR(INDEX('Player Raw Data'!AA:AA,Match($A846,'Player Raw Data'!$B:$B,0)),"")</f>
        <v/>
      </c>
      <c r="O846" t="str">
        <f t="array" ref="O846">IFERROR(INDEX('Player Raw Data'!AB:AB,Match($A846,'Player Raw Data'!$B:$B,0)),"")</f>
        <v/>
      </c>
      <c r="P846" t="str">
        <f t="array" ref="P846">IFERROR(INDEX('Player Raw Data'!AD:AD,Match($A846,'Player Raw Data'!$B:$B,0)),"")</f>
        <v/>
      </c>
      <c r="Q846">
        <f t="shared" si="1"/>
        <v>0</v>
      </c>
      <c r="R846" s="9">
        <f t="shared" si="2"/>
        <v>0</v>
      </c>
      <c r="S846" s="14">
        <f t="shared" si="3"/>
        <v>0</v>
      </c>
      <c r="T846" s="15">
        <f>IFERROR(__xludf.DUMMYFUNCTION("IFERROR(PERCENTRANK.INC(FILTER(Q:Q,$F:$F&lt;&gt;""""),Q846)*100,"""")"),1.5)</f>
        <v>1.5</v>
      </c>
      <c r="U846" s="15">
        <f>IFERROR(__xludf.DUMMYFUNCTION("IFERROR(PERCENTRANK.INC(FILTER(R:R,$F:$F&lt;&gt;""""),R846)*100,"""")"),1.5)</f>
        <v>1.5</v>
      </c>
      <c r="V846" s="15">
        <f>IFERROR(__xludf.DUMMYFUNCTION("IFERROR(PERCENTRANK.INC(FILTER(S:S,$F:$F&lt;&gt;""""),S846)*100,"""")"),1.5)</f>
        <v>1.5</v>
      </c>
      <c r="W846" s="15" t="str">
        <f t="shared" si="4"/>
        <v/>
      </c>
      <c r="X846" s="16"/>
      <c r="Y846" s="9"/>
      <c r="Z846" s="9"/>
    </row>
    <row r="847">
      <c r="B847" t="str">
        <f t="array" ref="B847">IFERROR(INDEX('Player Raw Data'!C:C,Match($A847,'Player Raw Data'!$B:$B,0)),"")</f>
        <v/>
      </c>
      <c r="C847" t="str">
        <f t="array" ref="C847">IFERROR(INDEX('Player Raw Data'!D:D,Match($A847,'Player Raw Data'!$B:$B,0)),"")</f>
        <v/>
      </c>
      <c r="D847" t="str">
        <f t="array" ref="D847">IFERROR(IF(A847=A846, INDEX('Player Raw Data'!E:E,Match($A847,'Player Raw Data'!$B:$B,0)+2),INDEX('Player Raw Data'!E:E,Match($A847,'Player Raw Data'!$B:$B,0))),"")</f>
        <v/>
      </c>
      <c r="E847" t="str">
        <f t="array" ref="E847">IFERROR(INDEX('Player Raw Data'!F:F,Match($A847,'Player Raw Data'!$B:$B,0)),"")</f>
        <v/>
      </c>
      <c r="F847" t="str">
        <f t="array" ref="F847">IFERROR(INDEX('Player Raw Data'!H:H,Match($A847,'Player Raw Data'!$B:$B,0)),"")</f>
        <v/>
      </c>
      <c r="G847" t="str">
        <f t="array" ref="G847">IFERROR(INDEX('Player Raw Data'!I:I,Match($A847,'Player Raw Data'!$B:$B,0)),"")</f>
        <v/>
      </c>
      <c r="H847" t="str">
        <f t="array" ref="H847">IFERROR(INDEX('Player Raw Data'!J:J,Match($A847,'Player Raw Data'!$B:$B,0)),"")</f>
        <v/>
      </c>
      <c r="I847" t="str">
        <f t="array" ref="I847">IFERROR(INDEX('Player Raw Data'!S:S,Match($A847,'Player Raw Data'!$B:$B,0)),"")</f>
        <v/>
      </c>
      <c r="J847" t="str">
        <f t="array" ref="J847">IFERROR(INDEX('Player Raw Data'!T:T,Match($A847,'Player Raw Data'!$B:$B,0)),"")</f>
        <v/>
      </c>
      <c r="K847" t="str">
        <f t="array" ref="K847">IFERROR(INDEX('Player Raw Data'!X:X,Match($A847,'Player Raw Data'!$B:$B,0)),"")</f>
        <v/>
      </c>
      <c r="L847" t="str">
        <f t="array" ref="L847">IFERROR(INDEX('Player Raw Data'!Y:Y,Match($A847,'Player Raw Data'!$B:$B,0)),"")</f>
        <v/>
      </c>
      <c r="M847" t="str">
        <f t="array" ref="M847">IFERROR(INDEX('Player Raw Data'!Z:Z,Match($A847,'Player Raw Data'!$B:$B,0)),"")</f>
        <v/>
      </c>
      <c r="N847" t="str">
        <f t="array" ref="N847">IFERROR(INDEX('Player Raw Data'!AA:AA,Match($A847,'Player Raw Data'!$B:$B,0)),"")</f>
        <v/>
      </c>
      <c r="O847" t="str">
        <f t="array" ref="O847">IFERROR(INDEX('Player Raw Data'!AB:AB,Match($A847,'Player Raw Data'!$B:$B,0)),"")</f>
        <v/>
      </c>
      <c r="P847" t="str">
        <f t="array" ref="P847">IFERROR(INDEX('Player Raw Data'!AD:AD,Match($A847,'Player Raw Data'!$B:$B,0)),"")</f>
        <v/>
      </c>
      <c r="Q847">
        <f t="shared" si="1"/>
        <v>0</v>
      </c>
      <c r="R847" s="9">
        <f t="shared" si="2"/>
        <v>0</v>
      </c>
      <c r="S847" s="14">
        <f t="shared" si="3"/>
        <v>0</v>
      </c>
      <c r="T847" s="15">
        <f>IFERROR(__xludf.DUMMYFUNCTION("IFERROR(PERCENTRANK.INC(FILTER(Q:Q,$F:$F&lt;&gt;""""),Q847)*100,"""")"),1.5)</f>
        <v>1.5</v>
      </c>
      <c r="U847" s="15">
        <f>IFERROR(__xludf.DUMMYFUNCTION("IFERROR(PERCENTRANK.INC(FILTER(R:R,$F:$F&lt;&gt;""""),R847)*100,"""")"),1.5)</f>
        <v>1.5</v>
      </c>
      <c r="V847" s="15">
        <f>IFERROR(__xludf.DUMMYFUNCTION("IFERROR(PERCENTRANK.INC(FILTER(S:S,$F:$F&lt;&gt;""""),S847)*100,"""")"),1.5)</f>
        <v>1.5</v>
      </c>
      <c r="W847" s="15" t="str">
        <f t="shared" si="4"/>
        <v/>
      </c>
      <c r="X847" s="16"/>
      <c r="Y847" s="9"/>
      <c r="Z847" s="9"/>
    </row>
    <row r="848">
      <c r="B848" t="str">
        <f t="array" ref="B848">IFERROR(INDEX('Player Raw Data'!C:C,Match($A848,'Player Raw Data'!$B:$B,0)),"")</f>
        <v/>
      </c>
      <c r="C848" t="str">
        <f t="array" ref="C848">IFERROR(INDEX('Player Raw Data'!D:D,Match($A848,'Player Raw Data'!$B:$B,0)),"")</f>
        <v/>
      </c>
      <c r="D848" t="str">
        <f t="array" ref="D848">IFERROR(IF(A848=A847, INDEX('Player Raw Data'!E:E,Match($A848,'Player Raw Data'!$B:$B,0)+2),INDEX('Player Raw Data'!E:E,Match($A848,'Player Raw Data'!$B:$B,0))),"")</f>
        <v/>
      </c>
      <c r="E848" t="str">
        <f t="array" ref="E848">IFERROR(INDEX('Player Raw Data'!F:F,Match($A848,'Player Raw Data'!$B:$B,0)),"")</f>
        <v/>
      </c>
      <c r="F848" t="str">
        <f t="array" ref="F848">IFERROR(INDEX('Player Raw Data'!H:H,Match($A848,'Player Raw Data'!$B:$B,0)),"")</f>
        <v/>
      </c>
      <c r="G848" t="str">
        <f t="array" ref="G848">IFERROR(INDEX('Player Raw Data'!I:I,Match($A848,'Player Raw Data'!$B:$B,0)),"")</f>
        <v/>
      </c>
      <c r="H848" t="str">
        <f t="array" ref="H848">IFERROR(INDEX('Player Raw Data'!J:J,Match($A848,'Player Raw Data'!$B:$B,0)),"")</f>
        <v/>
      </c>
      <c r="I848" t="str">
        <f t="array" ref="I848">IFERROR(INDEX('Player Raw Data'!S:S,Match($A848,'Player Raw Data'!$B:$B,0)),"")</f>
        <v/>
      </c>
      <c r="J848" t="str">
        <f t="array" ref="J848">IFERROR(INDEX('Player Raw Data'!T:T,Match($A848,'Player Raw Data'!$B:$B,0)),"")</f>
        <v/>
      </c>
      <c r="K848" t="str">
        <f t="array" ref="K848">IFERROR(INDEX('Player Raw Data'!X:X,Match($A848,'Player Raw Data'!$B:$B,0)),"")</f>
        <v/>
      </c>
      <c r="L848" t="str">
        <f t="array" ref="L848">IFERROR(INDEX('Player Raw Data'!Y:Y,Match($A848,'Player Raw Data'!$B:$B,0)),"")</f>
        <v/>
      </c>
      <c r="M848" t="str">
        <f t="array" ref="M848">IFERROR(INDEX('Player Raw Data'!Z:Z,Match($A848,'Player Raw Data'!$B:$B,0)),"")</f>
        <v/>
      </c>
      <c r="N848" t="str">
        <f t="array" ref="N848">IFERROR(INDEX('Player Raw Data'!AA:AA,Match($A848,'Player Raw Data'!$B:$B,0)),"")</f>
        <v/>
      </c>
      <c r="O848" t="str">
        <f t="array" ref="O848">IFERROR(INDEX('Player Raw Data'!AB:AB,Match($A848,'Player Raw Data'!$B:$B,0)),"")</f>
        <v/>
      </c>
      <c r="P848" t="str">
        <f t="array" ref="P848">IFERROR(INDEX('Player Raw Data'!AD:AD,Match($A848,'Player Raw Data'!$B:$B,0)),"")</f>
        <v/>
      </c>
      <c r="Q848">
        <f t="shared" si="1"/>
        <v>0</v>
      </c>
      <c r="R848" s="9">
        <f t="shared" si="2"/>
        <v>0</v>
      </c>
      <c r="S848" s="14">
        <f t="shared" si="3"/>
        <v>0</v>
      </c>
      <c r="T848" s="15">
        <f>IFERROR(__xludf.DUMMYFUNCTION("IFERROR(PERCENTRANK.INC(FILTER(Q:Q,$F:$F&lt;&gt;""""),Q848)*100,"""")"),1.5)</f>
        <v>1.5</v>
      </c>
      <c r="U848" s="15">
        <f>IFERROR(__xludf.DUMMYFUNCTION("IFERROR(PERCENTRANK.INC(FILTER(R:R,$F:$F&lt;&gt;""""),R848)*100,"""")"),1.5)</f>
        <v>1.5</v>
      </c>
      <c r="V848" s="15">
        <f>IFERROR(__xludf.DUMMYFUNCTION("IFERROR(PERCENTRANK.INC(FILTER(S:S,$F:$F&lt;&gt;""""),S848)*100,"""")"),1.5)</f>
        <v>1.5</v>
      </c>
      <c r="W848" s="15" t="str">
        <f t="shared" si="4"/>
        <v/>
      </c>
      <c r="X848" s="16"/>
      <c r="Y848" s="9"/>
      <c r="Z848" s="9"/>
    </row>
    <row r="849">
      <c r="B849" t="str">
        <f t="array" ref="B849">IFERROR(INDEX('Player Raw Data'!C:C,Match($A849,'Player Raw Data'!$B:$B,0)),"")</f>
        <v/>
      </c>
      <c r="C849" t="str">
        <f t="array" ref="C849">IFERROR(INDEX('Player Raw Data'!D:D,Match($A849,'Player Raw Data'!$B:$B,0)),"")</f>
        <v/>
      </c>
      <c r="D849" t="str">
        <f t="array" ref="D849">IFERROR(IF(A849=A848, INDEX('Player Raw Data'!E:E,Match($A849,'Player Raw Data'!$B:$B,0)+2),INDEX('Player Raw Data'!E:E,Match($A849,'Player Raw Data'!$B:$B,0))),"")</f>
        <v/>
      </c>
      <c r="E849" t="str">
        <f t="array" ref="E849">IFERROR(INDEX('Player Raw Data'!F:F,Match($A849,'Player Raw Data'!$B:$B,0)),"")</f>
        <v/>
      </c>
      <c r="F849" t="str">
        <f t="array" ref="F849">IFERROR(INDEX('Player Raw Data'!H:H,Match($A849,'Player Raw Data'!$B:$B,0)),"")</f>
        <v/>
      </c>
      <c r="G849" t="str">
        <f t="array" ref="G849">IFERROR(INDEX('Player Raw Data'!I:I,Match($A849,'Player Raw Data'!$B:$B,0)),"")</f>
        <v/>
      </c>
      <c r="H849" t="str">
        <f t="array" ref="H849">IFERROR(INDEX('Player Raw Data'!J:J,Match($A849,'Player Raw Data'!$B:$B,0)),"")</f>
        <v/>
      </c>
      <c r="I849" t="str">
        <f t="array" ref="I849">IFERROR(INDEX('Player Raw Data'!S:S,Match($A849,'Player Raw Data'!$B:$B,0)),"")</f>
        <v/>
      </c>
      <c r="J849" t="str">
        <f t="array" ref="J849">IFERROR(INDEX('Player Raw Data'!T:T,Match($A849,'Player Raw Data'!$B:$B,0)),"")</f>
        <v/>
      </c>
      <c r="K849" t="str">
        <f t="array" ref="K849">IFERROR(INDEX('Player Raw Data'!X:X,Match($A849,'Player Raw Data'!$B:$B,0)),"")</f>
        <v/>
      </c>
      <c r="L849" t="str">
        <f t="array" ref="L849">IFERROR(INDEX('Player Raw Data'!Y:Y,Match($A849,'Player Raw Data'!$B:$B,0)),"")</f>
        <v/>
      </c>
      <c r="M849" t="str">
        <f t="array" ref="M849">IFERROR(INDEX('Player Raw Data'!Z:Z,Match($A849,'Player Raw Data'!$B:$B,0)),"")</f>
        <v/>
      </c>
      <c r="N849" t="str">
        <f t="array" ref="N849">IFERROR(INDEX('Player Raw Data'!AA:AA,Match($A849,'Player Raw Data'!$B:$B,0)),"")</f>
        <v/>
      </c>
      <c r="O849" t="str">
        <f t="array" ref="O849">IFERROR(INDEX('Player Raw Data'!AB:AB,Match($A849,'Player Raw Data'!$B:$B,0)),"")</f>
        <v/>
      </c>
      <c r="P849" t="str">
        <f t="array" ref="P849">IFERROR(INDEX('Player Raw Data'!AD:AD,Match($A849,'Player Raw Data'!$B:$B,0)),"")</f>
        <v/>
      </c>
      <c r="Q849">
        <f t="shared" si="1"/>
        <v>0</v>
      </c>
      <c r="R849" s="9">
        <f t="shared" si="2"/>
        <v>0</v>
      </c>
      <c r="S849" s="14">
        <f t="shared" si="3"/>
        <v>0</v>
      </c>
      <c r="T849" s="15">
        <f>IFERROR(__xludf.DUMMYFUNCTION("IFERROR(PERCENTRANK.INC(FILTER(Q:Q,$F:$F&lt;&gt;""""),Q849)*100,"""")"),1.5)</f>
        <v>1.5</v>
      </c>
      <c r="U849" s="15">
        <f>IFERROR(__xludf.DUMMYFUNCTION("IFERROR(PERCENTRANK.INC(FILTER(R:R,$F:$F&lt;&gt;""""),R849)*100,"""")"),1.5)</f>
        <v>1.5</v>
      </c>
      <c r="V849" s="15">
        <f>IFERROR(__xludf.DUMMYFUNCTION("IFERROR(PERCENTRANK.INC(FILTER(S:S,$F:$F&lt;&gt;""""),S849)*100,"""")"),1.5)</f>
        <v>1.5</v>
      </c>
      <c r="W849" s="15" t="str">
        <f t="shared" si="4"/>
        <v/>
      </c>
      <c r="X849" s="16"/>
      <c r="Y849" s="9"/>
      <c r="Z849" s="9"/>
    </row>
    <row r="850">
      <c r="B850" t="str">
        <f t="array" ref="B850">IFERROR(INDEX('Player Raw Data'!C:C,Match($A850,'Player Raw Data'!$B:$B,0)),"")</f>
        <v/>
      </c>
      <c r="C850" t="str">
        <f t="array" ref="C850">IFERROR(INDEX('Player Raw Data'!D:D,Match($A850,'Player Raw Data'!$B:$B,0)),"")</f>
        <v/>
      </c>
      <c r="D850" t="str">
        <f t="array" ref="D850">IFERROR(IF(A850=A849, INDEX('Player Raw Data'!E:E,Match($A850,'Player Raw Data'!$B:$B,0)+2),INDEX('Player Raw Data'!E:E,Match($A850,'Player Raw Data'!$B:$B,0))),"")</f>
        <v/>
      </c>
      <c r="E850" t="str">
        <f t="array" ref="E850">IFERROR(INDEX('Player Raw Data'!F:F,Match($A850,'Player Raw Data'!$B:$B,0)),"")</f>
        <v/>
      </c>
      <c r="F850" t="str">
        <f t="array" ref="F850">IFERROR(INDEX('Player Raw Data'!H:H,Match($A850,'Player Raw Data'!$B:$B,0)),"")</f>
        <v/>
      </c>
      <c r="G850" t="str">
        <f t="array" ref="G850">IFERROR(INDEX('Player Raw Data'!I:I,Match($A850,'Player Raw Data'!$B:$B,0)),"")</f>
        <v/>
      </c>
      <c r="H850" t="str">
        <f t="array" ref="H850">IFERROR(INDEX('Player Raw Data'!J:J,Match($A850,'Player Raw Data'!$B:$B,0)),"")</f>
        <v/>
      </c>
      <c r="I850" t="str">
        <f t="array" ref="I850">IFERROR(INDEX('Player Raw Data'!S:S,Match($A850,'Player Raw Data'!$B:$B,0)),"")</f>
        <v/>
      </c>
      <c r="J850" t="str">
        <f t="array" ref="J850">IFERROR(INDEX('Player Raw Data'!T:T,Match($A850,'Player Raw Data'!$B:$B,0)),"")</f>
        <v/>
      </c>
      <c r="K850" t="str">
        <f t="array" ref="K850">IFERROR(INDEX('Player Raw Data'!X:X,Match($A850,'Player Raw Data'!$B:$B,0)),"")</f>
        <v/>
      </c>
      <c r="L850" t="str">
        <f t="array" ref="L850">IFERROR(INDEX('Player Raw Data'!Y:Y,Match($A850,'Player Raw Data'!$B:$B,0)),"")</f>
        <v/>
      </c>
      <c r="M850" t="str">
        <f t="array" ref="M850">IFERROR(INDEX('Player Raw Data'!Z:Z,Match($A850,'Player Raw Data'!$B:$B,0)),"")</f>
        <v/>
      </c>
      <c r="N850" t="str">
        <f t="array" ref="N850">IFERROR(INDEX('Player Raw Data'!AA:AA,Match($A850,'Player Raw Data'!$B:$B,0)),"")</f>
        <v/>
      </c>
      <c r="O850" t="str">
        <f t="array" ref="O850">IFERROR(INDEX('Player Raw Data'!AB:AB,Match($A850,'Player Raw Data'!$B:$B,0)),"")</f>
        <v/>
      </c>
      <c r="P850" t="str">
        <f t="array" ref="P850">IFERROR(INDEX('Player Raw Data'!AD:AD,Match($A850,'Player Raw Data'!$B:$B,0)),"")</f>
        <v/>
      </c>
      <c r="Q850">
        <f t="shared" si="1"/>
        <v>0</v>
      </c>
      <c r="R850" s="9">
        <f t="shared" si="2"/>
        <v>0</v>
      </c>
      <c r="S850" s="14">
        <f t="shared" si="3"/>
        <v>0</v>
      </c>
      <c r="T850" s="15">
        <f>IFERROR(__xludf.DUMMYFUNCTION("IFERROR(PERCENTRANK.INC(FILTER(Q:Q,$F:$F&lt;&gt;""""),Q850)*100,"""")"),1.5)</f>
        <v>1.5</v>
      </c>
      <c r="U850" s="15">
        <f>IFERROR(__xludf.DUMMYFUNCTION("IFERROR(PERCENTRANK.INC(FILTER(R:R,$F:$F&lt;&gt;""""),R850)*100,"""")"),1.5)</f>
        <v>1.5</v>
      </c>
      <c r="V850" s="15">
        <f>IFERROR(__xludf.DUMMYFUNCTION("IFERROR(PERCENTRANK.INC(FILTER(S:S,$F:$F&lt;&gt;""""),S850)*100,"""")"),1.5)</f>
        <v>1.5</v>
      </c>
      <c r="W850" s="15" t="str">
        <f t="shared" si="4"/>
        <v/>
      </c>
      <c r="X850" s="16"/>
      <c r="Y850" s="9"/>
      <c r="Z850" s="9"/>
    </row>
    <row r="851">
      <c r="B851" t="str">
        <f t="array" ref="B851">IFERROR(INDEX('Player Raw Data'!C:C,Match($A851,'Player Raw Data'!$B:$B,0)),"")</f>
        <v/>
      </c>
      <c r="C851" t="str">
        <f t="array" ref="C851">IFERROR(INDEX('Player Raw Data'!D:D,Match($A851,'Player Raw Data'!$B:$B,0)),"")</f>
        <v/>
      </c>
      <c r="D851" t="str">
        <f t="array" ref="D851">IFERROR(IF(A851=A850, INDEX('Player Raw Data'!E:E,Match($A851,'Player Raw Data'!$B:$B,0)+2),INDEX('Player Raw Data'!E:E,Match($A851,'Player Raw Data'!$B:$B,0))),"")</f>
        <v/>
      </c>
      <c r="E851" t="str">
        <f t="array" ref="E851">IFERROR(INDEX('Player Raw Data'!F:F,Match($A851,'Player Raw Data'!$B:$B,0)),"")</f>
        <v/>
      </c>
      <c r="F851" t="str">
        <f t="array" ref="F851">IFERROR(INDEX('Player Raw Data'!H:H,Match($A851,'Player Raw Data'!$B:$B,0)),"")</f>
        <v/>
      </c>
      <c r="G851" t="str">
        <f t="array" ref="G851">IFERROR(INDEX('Player Raw Data'!I:I,Match($A851,'Player Raw Data'!$B:$B,0)),"")</f>
        <v/>
      </c>
      <c r="H851" t="str">
        <f t="array" ref="H851">IFERROR(INDEX('Player Raw Data'!J:J,Match($A851,'Player Raw Data'!$B:$B,0)),"")</f>
        <v/>
      </c>
      <c r="I851" t="str">
        <f t="array" ref="I851">IFERROR(INDEX('Player Raw Data'!S:S,Match($A851,'Player Raw Data'!$B:$B,0)),"")</f>
        <v/>
      </c>
      <c r="J851" t="str">
        <f t="array" ref="J851">IFERROR(INDEX('Player Raw Data'!T:T,Match($A851,'Player Raw Data'!$B:$B,0)),"")</f>
        <v/>
      </c>
      <c r="K851" t="str">
        <f t="array" ref="K851">IFERROR(INDEX('Player Raw Data'!X:X,Match($A851,'Player Raw Data'!$B:$B,0)),"")</f>
        <v/>
      </c>
      <c r="L851" t="str">
        <f t="array" ref="L851">IFERROR(INDEX('Player Raw Data'!Y:Y,Match($A851,'Player Raw Data'!$B:$B,0)),"")</f>
        <v/>
      </c>
      <c r="M851" t="str">
        <f t="array" ref="M851">IFERROR(INDEX('Player Raw Data'!Z:Z,Match($A851,'Player Raw Data'!$B:$B,0)),"")</f>
        <v/>
      </c>
      <c r="N851" t="str">
        <f t="array" ref="N851">IFERROR(INDEX('Player Raw Data'!AA:AA,Match($A851,'Player Raw Data'!$B:$B,0)),"")</f>
        <v/>
      </c>
      <c r="O851" t="str">
        <f t="array" ref="O851">IFERROR(INDEX('Player Raw Data'!AB:AB,Match($A851,'Player Raw Data'!$B:$B,0)),"")</f>
        <v/>
      </c>
      <c r="P851" t="str">
        <f t="array" ref="P851">IFERROR(INDEX('Player Raw Data'!AD:AD,Match($A851,'Player Raw Data'!$B:$B,0)),"")</f>
        <v/>
      </c>
      <c r="Q851">
        <f t="shared" si="1"/>
        <v>0</v>
      </c>
      <c r="R851" s="9">
        <f t="shared" si="2"/>
        <v>0</v>
      </c>
      <c r="S851" s="14">
        <f t="shared" si="3"/>
        <v>0</v>
      </c>
      <c r="T851" s="15">
        <f>IFERROR(__xludf.DUMMYFUNCTION("IFERROR(PERCENTRANK.INC(FILTER(Q:Q,$F:$F&lt;&gt;""""),Q851)*100,"""")"),1.5)</f>
        <v>1.5</v>
      </c>
      <c r="U851" s="15">
        <f>IFERROR(__xludf.DUMMYFUNCTION("IFERROR(PERCENTRANK.INC(FILTER(R:R,$F:$F&lt;&gt;""""),R851)*100,"""")"),1.5)</f>
        <v>1.5</v>
      </c>
      <c r="V851" s="15">
        <f>IFERROR(__xludf.DUMMYFUNCTION("IFERROR(PERCENTRANK.INC(FILTER(S:S,$F:$F&lt;&gt;""""),S851)*100,"""")"),1.5)</f>
        <v>1.5</v>
      </c>
      <c r="W851" s="15" t="str">
        <f t="shared" si="4"/>
        <v/>
      </c>
      <c r="X851" s="16"/>
      <c r="Y851" s="9"/>
      <c r="Z851" s="9"/>
    </row>
    <row r="852">
      <c r="B852" t="str">
        <f t="array" ref="B852">IFERROR(INDEX('Player Raw Data'!C:C,Match($A852,'Player Raw Data'!$B:$B,0)),"")</f>
        <v/>
      </c>
      <c r="C852" t="str">
        <f t="array" ref="C852">IFERROR(INDEX('Player Raw Data'!D:D,Match($A852,'Player Raw Data'!$B:$B,0)),"")</f>
        <v/>
      </c>
      <c r="D852" t="str">
        <f t="array" ref="D852">IFERROR(IF(A852=A851, INDEX('Player Raw Data'!E:E,Match($A852,'Player Raw Data'!$B:$B,0)+2),INDEX('Player Raw Data'!E:E,Match($A852,'Player Raw Data'!$B:$B,0))),"")</f>
        <v/>
      </c>
      <c r="E852" t="str">
        <f t="array" ref="E852">IFERROR(INDEX('Player Raw Data'!F:F,Match($A852,'Player Raw Data'!$B:$B,0)),"")</f>
        <v/>
      </c>
      <c r="F852" t="str">
        <f t="array" ref="F852">IFERROR(INDEX('Player Raw Data'!H:H,Match($A852,'Player Raw Data'!$B:$B,0)),"")</f>
        <v/>
      </c>
      <c r="G852" t="str">
        <f t="array" ref="G852">IFERROR(INDEX('Player Raw Data'!I:I,Match($A852,'Player Raw Data'!$B:$B,0)),"")</f>
        <v/>
      </c>
      <c r="H852" t="str">
        <f t="array" ref="H852">IFERROR(INDEX('Player Raw Data'!J:J,Match($A852,'Player Raw Data'!$B:$B,0)),"")</f>
        <v/>
      </c>
      <c r="I852" t="str">
        <f t="array" ref="I852">IFERROR(INDEX('Player Raw Data'!S:S,Match($A852,'Player Raw Data'!$B:$B,0)),"")</f>
        <v/>
      </c>
      <c r="J852" t="str">
        <f t="array" ref="J852">IFERROR(INDEX('Player Raw Data'!T:T,Match($A852,'Player Raw Data'!$B:$B,0)),"")</f>
        <v/>
      </c>
      <c r="K852" t="str">
        <f t="array" ref="K852">IFERROR(INDEX('Player Raw Data'!X:X,Match($A852,'Player Raw Data'!$B:$B,0)),"")</f>
        <v/>
      </c>
      <c r="L852" t="str">
        <f t="array" ref="L852">IFERROR(INDEX('Player Raw Data'!Y:Y,Match($A852,'Player Raw Data'!$B:$B,0)),"")</f>
        <v/>
      </c>
      <c r="M852" t="str">
        <f t="array" ref="M852">IFERROR(INDEX('Player Raw Data'!Z:Z,Match($A852,'Player Raw Data'!$B:$B,0)),"")</f>
        <v/>
      </c>
      <c r="N852" t="str">
        <f t="array" ref="N852">IFERROR(INDEX('Player Raw Data'!AA:AA,Match($A852,'Player Raw Data'!$B:$B,0)),"")</f>
        <v/>
      </c>
      <c r="O852" t="str">
        <f t="array" ref="O852">IFERROR(INDEX('Player Raw Data'!AB:AB,Match($A852,'Player Raw Data'!$B:$B,0)),"")</f>
        <v/>
      </c>
      <c r="P852" t="str">
        <f t="array" ref="P852">IFERROR(INDEX('Player Raw Data'!AD:AD,Match($A852,'Player Raw Data'!$B:$B,0)),"")</f>
        <v/>
      </c>
      <c r="Q852">
        <f t="shared" si="1"/>
        <v>0</v>
      </c>
      <c r="R852" s="9">
        <f t="shared" si="2"/>
        <v>0</v>
      </c>
      <c r="S852" s="14">
        <f t="shared" si="3"/>
        <v>0</v>
      </c>
      <c r="T852" s="15">
        <f>IFERROR(__xludf.DUMMYFUNCTION("IFERROR(PERCENTRANK.INC(FILTER(Q:Q,$F:$F&lt;&gt;""""),Q852)*100,"""")"),1.5)</f>
        <v>1.5</v>
      </c>
      <c r="U852" s="15">
        <f>IFERROR(__xludf.DUMMYFUNCTION("IFERROR(PERCENTRANK.INC(FILTER(R:R,$F:$F&lt;&gt;""""),R852)*100,"""")"),1.5)</f>
        <v>1.5</v>
      </c>
      <c r="V852" s="15">
        <f>IFERROR(__xludf.DUMMYFUNCTION("IFERROR(PERCENTRANK.INC(FILTER(S:S,$F:$F&lt;&gt;""""),S852)*100,"""")"),1.5)</f>
        <v>1.5</v>
      </c>
      <c r="W852" s="15" t="str">
        <f t="shared" si="4"/>
        <v/>
      </c>
      <c r="X852" s="16"/>
      <c r="Y852" s="9"/>
      <c r="Z852" s="9"/>
    </row>
    <row r="853">
      <c r="B853" t="str">
        <f t="array" ref="B853">IFERROR(INDEX('Player Raw Data'!C:C,Match($A853,'Player Raw Data'!$B:$B,0)),"")</f>
        <v/>
      </c>
      <c r="C853" t="str">
        <f t="array" ref="C853">IFERROR(INDEX('Player Raw Data'!D:D,Match($A853,'Player Raw Data'!$B:$B,0)),"")</f>
        <v/>
      </c>
      <c r="D853" t="str">
        <f t="array" ref="D853">IFERROR(IF(A853=A852, INDEX('Player Raw Data'!E:E,Match($A853,'Player Raw Data'!$B:$B,0)+2),INDEX('Player Raw Data'!E:E,Match($A853,'Player Raw Data'!$B:$B,0))),"")</f>
        <v/>
      </c>
      <c r="E853" t="str">
        <f t="array" ref="E853">IFERROR(INDEX('Player Raw Data'!F:F,Match($A853,'Player Raw Data'!$B:$B,0)),"")</f>
        <v/>
      </c>
      <c r="F853" t="str">
        <f t="array" ref="F853">IFERROR(INDEX('Player Raw Data'!H:H,Match($A853,'Player Raw Data'!$B:$B,0)),"")</f>
        <v/>
      </c>
      <c r="G853" t="str">
        <f t="array" ref="G853">IFERROR(INDEX('Player Raw Data'!I:I,Match($A853,'Player Raw Data'!$B:$B,0)),"")</f>
        <v/>
      </c>
      <c r="H853" t="str">
        <f t="array" ref="H853">IFERROR(INDEX('Player Raw Data'!J:J,Match($A853,'Player Raw Data'!$B:$B,0)),"")</f>
        <v/>
      </c>
      <c r="I853" t="str">
        <f t="array" ref="I853">IFERROR(INDEX('Player Raw Data'!S:S,Match($A853,'Player Raw Data'!$B:$B,0)),"")</f>
        <v/>
      </c>
      <c r="J853" t="str">
        <f t="array" ref="J853">IFERROR(INDEX('Player Raw Data'!T:T,Match($A853,'Player Raw Data'!$B:$B,0)),"")</f>
        <v/>
      </c>
      <c r="K853" t="str">
        <f t="array" ref="K853">IFERROR(INDEX('Player Raw Data'!X:X,Match($A853,'Player Raw Data'!$B:$B,0)),"")</f>
        <v/>
      </c>
      <c r="L853" t="str">
        <f t="array" ref="L853">IFERROR(INDEX('Player Raw Data'!Y:Y,Match($A853,'Player Raw Data'!$B:$B,0)),"")</f>
        <v/>
      </c>
      <c r="M853" t="str">
        <f t="array" ref="M853">IFERROR(INDEX('Player Raw Data'!Z:Z,Match($A853,'Player Raw Data'!$B:$B,0)),"")</f>
        <v/>
      </c>
      <c r="N853" t="str">
        <f t="array" ref="N853">IFERROR(INDEX('Player Raw Data'!AA:AA,Match($A853,'Player Raw Data'!$B:$B,0)),"")</f>
        <v/>
      </c>
      <c r="O853" t="str">
        <f t="array" ref="O853">IFERROR(INDEX('Player Raw Data'!AB:AB,Match($A853,'Player Raw Data'!$B:$B,0)),"")</f>
        <v/>
      </c>
      <c r="P853" t="str">
        <f t="array" ref="P853">IFERROR(INDEX('Player Raw Data'!AD:AD,Match($A853,'Player Raw Data'!$B:$B,0)),"")</f>
        <v/>
      </c>
      <c r="Q853">
        <f t="shared" si="1"/>
        <v>0</v>
      </c>
      <c r="R853" s="9">
        <f t="shared" si="2"/>
        <v>0</v>
      </c>
      <c r="S853" s="14">
        <f t="shared" si="3"/>
        <v>0</v>
      </c>
      <c r="T853" s="15">
        <f>IFERROR(__xludf.DUMMYFUNCTION("IFERROR(PERCENTRANK.INC(FILTER(Q:Q,$F:$F&lt;&gt;""""),Q853)*100,"""")"),1.5)</f>
        <v>1.5</v>
      </c>
      <c r="U853" s="15">
        <f>IFERROR(__xludf.DUMMYFUNCTION("IFERROR(PERCENTRANK.INC(FILTER(R:R,$F:$F&lt;&gt;""""),R853)*100,"""")"),1.5)</f>
        <v>1.5</v>
      </c>
      <c r="V853" s="15">
        <f>IFERROR(__xludf.DUMMYFUNCTION("IFERROR(PERCENTRANK.INC(FILTER(S:S,$F:$F&lt;&gt;""""),S853)*100,"""")"),1.5)</f>
        <v>1.5</v>
      </c>
      <c r="W853" s="15" t="str">
        <f t="shared" si="4"/>
        <v/>
      </c>
      <c r="X853" s="16"/>
      <c r="Y853" s="9"/>
      <c r="Z853" s="9"/>
    </row>
    <row r="854">
      <c r="B854" t="str">
        <f t="array" ref="B854">IFERROR(INDEX('Player Raw Data'!C:C,Match($A854,'Player Raw Data'!$B:$B,0)),"")</f>
        <v/>
      </c>
      <c r="C854" t="str">
        <f t="array" ref="C854">IFERROR(INDEX('Player Raw Data'!D:D,Match($A854,'Player Raw Data'!$B:$B,0)),"")</f>
        <v/>
      </c>
      <c r="D854" t="str">
        <f t="array" ref="D854">IFERROR(IF(A854=A853, INDEX('Player Raw Data'!E:E,Match($A854,'Player Raw Data'!$B:$B,0)+2),INDEX('Player Raw Data'!E:E,Match($A854,'Player Raw Data'!$B:$B,0))),"")</f>
        <v/>
      </c>
      <c r="E854" t="str">
        <f t="array" ref="E854">IFERROR(INDEX('Player Raw Data'!F:F,Match($A854,'Player Raw Data'!$B:$B,0)),"")</f>
        <v/>
      </c>
      <c r="F854" t="str">
        <f t="array" ref="F854">IFERROR(INDEX('Player Raw Data'!H:H,Match($A854,'Player Raw Data'!$B:$B,0)),"")</f>
        <v/>
      </c>
      <c r="G854" t="str">
        <f t="array" ref="G854">IFERROR(INDEX('Player Raw Data'!I:I,Match($A854,'Player Raw Data'!$B:$B,0)),"")</f>
        <v/>
      </c>
      <c r="H854" t="str">
        <f t="array" ref="H854">IFERROR(INDEX('Player Raw Data'!J:J,Match($A854,'Player Raw Data'!$B:$B,0)),"")</f>
        <v/>
      </c>
      <c r="I854" t="str">
        <f t="array" ref="I854">IFERROR(INDEX('Player Raw Data'!S:S,Match($A854,'Player Raw Data'!$B:$B,0)),"")</f>
        <v/>
      </c>
      <c r="J854" t="str">
        <f t="array" ref="J854">IFERROR(INDEX('Player Raw Data'!T:T,Match($A854,'Player Raw Data'!$B:$B,0)),"")</f>
        <v/>
      </c>
      <c r="K854" t="str">
        <f t="array" ref="K854">IFERROR(INDEX('Player Raw Data'!X:X,Match($A854,'Player Raw Data'!$B:$B,0)),"")</f>
        <v/>
      </c>
      <c r="L854" t="str">
        <f t="array" ref="L854">IFERROR(INDEX('Player Raw Data'!Y:Y,Match($A854,'Player Raw Data'!$B:$B,0)),"")</f>
        <v/>
      </c>
      <c r="M854" t="str">
        <f t="array" ref="M854">IFERROR(INDEX('Player Raw Data'!Z:Z,Match($A854,'Player Raw Data'!$B:$B,0)),"")</f>
        <v/>
      </c>
      <c r="N854" t="str">
        <f t="array" ref="N854">IFERROR(INDEX('Player Raw Data'!AA:AA,Match($A854,'Player Raw Data'!$B:$B,0)),"")</f>
        <v/>
      </c>
      <c r="O854" t="str">
        <f t="array" ref="O854">IFERROR(INDEX('Player Raw Data'!AB:AB,Match($A854,'Player Raw Data'!$B:$B,0)),"")</f>
        <v/>
      </c>
      <c r="P854" t="str">
        <f t="array" ref="P854">IFERROR(INDEX('Player Raw Data'!AD:AD,Match($A854,'Player Raw Data'!$B:$B,0)),"")</f>
        <v/>
      </c>
      <c r="Q854">
        <f t="shared" si="1"/>
        <v>0</v>
      </c>
      <c r="R854" s="9">
        <f t="shared" si="2"/>
        <v>0</v>
      </c>
      <c r="S854" s="14">
        <f t="shared" si="3"/>
        <v>0</v>
      </c>
      <c r="T854" s="15">
        <f>IFERROR(__xludf.DUMMYFUNCTION("IFERROR(PERCENTRANK.INC(FILTER(Q:Q,$F:$F&lt;&gt;""""),Q854)*100,"""")"),1.5)</f>
        <v>1.5</v>
      </c>
      <c r="U854" s="15">
        <f>IFERROR(__xludf.DUMMYFUNCTION("IFERROR(PERCENTRANK.INC(FILTER(R:R,$F:$F&lt;&gt;""""),R854)*100,"""")"),1.5)</f>
        <v>1.5</v>
      </c>
      <c r="V854" s="15">
        <f>IFERROR(__xludf.DUMMYFUNCTION("IFERROR(PERCENTRANK.INC(FILTER(S:S,$F:$F&lt;&gt;""""),S854)*100,"""")"),1.5)</f>
        <v>1.5</v>
      </c>
      <c r="W854" s="15" t="str">
        <f t="shared" si="4"/>
        <v/>
      </c>
      <c r="X854" s="16"/>
      <c r="Y854" s="9"/>
      <c r="Z854" s="9"/>
    </row>
    <row r="855">
      <c r="B855" t="str">
        <f t="array" ref="B855">IFERROR(INDEX('Player Raw Data'!C:C,Match($A855,'Player Raw Data'!$B:$B,0)),"")</f>
        <v/>
      </c>
      <c r="C855" t="str">
        <f t="array" ref="C855">IFERROR(INDEX('Player Raw Data'!D:D,Match($A855,'Player Raw Data'!$B:$B,0)),"")</f>
        <v/>
      </c>
      <c r="D855" t="str">
        <f t="array" ref="D855">IFERROR(IF(A855=A854, INDEX('Player Raw Data'!E:E,Match($A855,'Player Raw Data'!$B:$B,0)+2),INDEX('Player Raw Data'!E:E,Match($A855,'Player Raw Data'!$B:$B,0))),"")</f>
        <v/>
      </c>
      <c r="E855" t="str">
        <f t="array" ref="E855">IFERROR(INDEX('Player Raw Data'!F:F,Match($A855,'Player Raw Data'!$B:$B,0)),"")</f>
        <v/>
      </c>
      <c r="F855" t="str">
        <f t="array" ref="F855">IFERROR(INDEX('Player Raw Data'!H:H,Match($A855,'Player Raw Data'!$B:$B,0)),"")</f>
        <v/>
      </c>
      <c r="G855" t="str">
        <f t="array" ref="G855">IFERROR(INDEX('Player Raw Data'!I:I,Match($A855,'Player Raw Data'!$B:$B,0)),"")</f>
        <v/>
      </c>
      <c r="H855" t="str">
        <f t="array" ref="H855">IFERROR(INDEX('Player Raw Data'!J:J,Match($A855,'Player Raw Data'!$B:$B,0)),"")</f>
        <v/>
      </c>
      <c r="I855" t="str">
        <f t="array" ref="I855">IFERROR(INDEX('Player Raw Data'!S:S,Match($A855,'Player Raw Data'!$B:$B,0)),"")</f>
        <v/>
      </c>
      <c r="J855" t="str">
        <f t="array" ref="J855">IFERROR(INDEX('Player Raw Data'!T:T,Match($A855,'Player Raw Data'!$B:$B,0)),"")</f>
        <v/>
      </c>
      <c r="K855" t="str">
        <f t="array" ref="K855">IFERROR(INDEX('Player Raw Data'!X:X,Match($A855,'Player Raw Data'!$B:$B,0)),"")</f>
        <v/>
      </c>
      <c r="L855" t="str">
        <f t="array" ref="L855">IFERROR(INDEX('Player Raw Data'!Y:Y,Match($A855,'Player Raw Data'!$B:$B,0)),"")</f>
        <v/>
      </c>
      <c r="M855" t="str">
        <f t="array" ref="M855">IFERROR(INDEX('Player Raw Data'!Z:Z,Match($A855,'Player Raw Data'!$B:$B,0)),"")</f>
        <v/>
      </c>
      <c r="N855" t="str">
        <f t="array" ref="N855">IFERROR(INDEX('Player Raw Data'!AA:AA,Match($A855,'Player Raw Data'!$B:$B,0)),"")</f>
        <v/>
      </c>
      <c r="O855" t="str">
        <f t="array" ref="O855">IFERROR(INDEX('Player Raw Data'!AB:AB,Match($A855,'Player Raw Data'!$B:$B,0)),"")</f>
        <v/>
      </c>
      <c r="P855" t="str">
        <f t="array" ref="P855">IFERROR(INDEX('Player Raw Data'!AD:AD,Match($A855,'Player Raw Data'!$B:$B,0)),"")</f>
        <v/>
      </c>
      <c r="Q855">
        <f t="shared" si="1"/>
        <v>0</v>
      </c>
      <c r="R855" s="9">
        <f t="shared" si="2"/>
        <v>0</v>
      </c>
      <c r="S855" s="14">
        <f t="shared" si="3"/>
        <v>0</v>
      </c>
      <c r="T855" s="15">
        <f>IFERROR(__xludf.DUMMYFUNCTION("IFERROR(PERCENTRANK.INC(FILTER(Q:Q,$F:$F&lt;&gt;""""),Q855)*100,"""")"),1.5)</f>
        <v>1.5</v>
      </c>
      <c r="U855" s="15">
        <f>IFERROR(__xludf.DUMMYFUNCTION("IFERROR(PERCENTRANK.INC(FILTER(R:R,$F:$F&lt;&gt;""""),R855)*100,"""")"),1.5)</f>
        <v>1.5</v>
      </c>
      <c r="V855" s="15">
        <f>IFERROR(__xludf.DUMMYFUNCTION("IFERROR(PERCENTRANK.INC(FILTER(S:S,$F:$F&lt;&gt;""""),S855)*100,"""")"),1.5)</f>
        <v>1.5</v>
      </c>
      <c r="W855" s="15" t="str">
        <f t="shared" si="4"/>
        <v/>
      </c>
      <c r="X855" s="16"/>
      <c r="Y855" s="9"/>
      <c r="Z855" s="9"/>
    </row>
    <row r="856">
      <c r="B856" t="str">
        <f t="array" ref="B856">IFERROR(INDEX('Player Raw Data'!C:C,Match($A856,'Player Raw Data'!$B:$B,0)),"")</f>
        <v/>
      </c>
      <c r="C856" t="str">
        <f t="array" ref="C856">IFERROR(INDEX('Player Raw Data'!D:D,Match($A856,'Player Raw Data'!$B:$B,0)),"")</f>
        <v/>
      </c>
      <c r="D856" t="str">
        <f t="array" ref="D856">IFERROR(IF(A856=A855, INDEX('Player Raw Data'!E:E,Match($A856,'Player Raw Data'!$B:$B,0)+2),INDEX('Player Raw Data'!E:E,Match($A856,'Player Raw Data'!$B:$B,0))),"")</f>
        <v/>
      </c>
      <c r="E856" t="str">
        <f t="array" ref="E856">IFERROR(INDEX('Player Raw Data'!F:F,Match($A856,'Player Raw Data'!$B:$B,0)),"")</f>
        <v/>
      </c>
      <c r="F856" t="str">
        <f t="array" ref="F856">IFERROR(INDEX('Player Raw Data'!H:H,Match($A856,'Player Raw Data'!$B:$B,0)),"")</f>
        <v/>
      </c>
      <c r="G856" t="str">
        <f t="array" ref="G856">IFERROR(INDEX('Player Raw Data'!I:I,Match($A856,'Player Raw Data'!$B:$B,0)),"")</f>
        <v/>
      </c>
      <c r="H856" t="str">
        <f t="array" ref="H856">IFERROR(INDEX('Player Raw Data'!J:J,Match($A856,'Player Raw Data'!$B:$B,0)),"")</f>
        <v/>
      </c>
      <c r="I856" t="str">
        <f t="array" ref="I856">IFERROR(INDEX('Player Raw Data'!S:S,Match($A856,'Player Raw Data'!$B:$B,0)),"")</f>
        <v/>
      </c>
      <c r="J856" t="str">
        <f t="array" ref="J856">IFERROR(INDEX('Player Raw Data'!T:T,Match($A856,'Player Raw Data'!$B:$B,0)),"")</f>
        <v/>
      </c>
      <c r="K856" t="str">
        <f t="array" ref="K856">IFERROR(INDEX('Player Raw Data'!X:X,Match($A856,'Player Raw Data'!$B:$B,0)),"")</f>
        <v/>
      </c>
      <c r="L856" t="str">
        <f t="array" ref="L856">IFERROR(INDEX('Player Raw Data'!Y:Y,Match($A856,'Player Raw Data'!$B:$B,0)),"")</f>
        <v/>
      </c>
      <c r="M856" t="str">
        <f t="array" ref="M856">IFERROR(INDEX('Player Raw Data'!Z:Z,Match($A856,'Player Raw Data'!$B:$B,0)),"")</f>
        <v/>
      </c>
      <c r="N856" t="str">
        <f t="array" ref="N856">IFERROR(INDEX('Player Raw Data'!AA:AA,Match($A856,'Player Raw Data'!$B:$B,0)),"")</f>
        <v/>
      </c>
      <c r="O856" t="str">
        <f t="array" ref="O856">IFERROR(INDEX('Player Raw Data'!AB:AB,Match($A856,'Player Raw Data'!$B:$B,0)),"")</f>
        <v/>
      </c>
      <c r="P856" t="str">
        <f t="array" ref="P856">IFERROR(INDEX('Player Raw Data'!AD:AD,Match($A856,'Player Raw Data'!$B:$B,0)),"")</f>
        <v/>
      </c>
      <c r="Q856">
        <f t="shared" si="1"/>
        <v>0</v>
      </c>
      <c r="R856" s="9">
        <f t="shared" si="2"/>
        <v>0</v>
      </c>
      <c r="S856" s="14">
        <f t="shared" si="3"/>
        <v>0</v>
      </c>
      <c r="T856" s="15">
        <f>IFERROR(__xludf.DUMMYFUNCTION("IFERROR(PERCENTRANK.INC(FILTER(Q:Q,$F:$F&lt;&gt;""""),Q856)*100,"""")"),1.5)</f>
        <v>1.5</v>
      </c>
      <c r="U856" s="15">
        <f>IFERROR(__xludf.DUMMYFUNCTION("IFERROR(PERCENTRANK.INC(FILTER(R:R,$F:$F&lt;&gt;""""),R856)*100,"""")"),1.5)</f>
        <v>1.5</v>
      </c>
      <c r="V856" s="15">
        <f>IFERROR(__xludf.DUMMYFUNCTION("IFERROR(PERCENTRANK.INC(FILTER(S:S,$F:$F&lt;&gt;""""),S856)*100,"""")"),1.5)</f>
        <v>1.5</v>
      </c>
      <c r="W856" s="15" t="str">
        <f t="shared" si="4"/>
        <v/>
      </c>
      <c r="X856" s="16"/>
      <c r="Y856" s="9"/>
      <c r="Z856" s="9"/>
    </row>
    <row r="857">
      <c r="B857" t="str">
        <f t="array" ref="B857">IFERROR(INDEX('Player Raw Data'!C:C,Match($A857,'Player Raw Data'!$B:$B,0)),"")</f>
        <v/>
      </c>
      <c r="C857" t="str">
        <f t="array" ref="C857">IFERROR(INDEX('Player Raw Data'!D:D,Match($A857,'Player Raw Data'!$B:$B,0)),"")</f>
        <v/>
      </c>
      <c r="D857" t="str">
        <f t="array" ref="D857">IFERROR(IF(A857=A856, INDEX('Player Raw Data'!E:E,Match($A857,'Player Raw Data'!$B:$B,0)+2),INDEX('Player Raw Data'!E:E,Match($A857,'Player Raw Data'!$B:$B,0))),"")</f>
        <v/>
      </c>
      <c r="E857" t="str">
        <f t="array" ref="E857">IFERROR(INDEX('Player Raw Data'!F:F,Match($A857,'Player Raw Data'!$B:$B,0)),"")</f>
        <v/>
      </c>
      <c r="F857" t="str">
        <f t="array" ref="F857">IFERROR(INDEX('Player Raw Data'!H:H,Match($A857,'Player Raw Data'!$B:$B,0)),"")</f>
        <v/>
      </c>
      <c r="G857" t="str">
        <f t="array" ref="G857">IFERROR(INDEX('Player Raw Data'!I:I,Match($A857,'Player Raw Data'!$B:$B,0)),"")</f>
        <v/>
      </c>
      <c r="H857" t="str">
        <f t="array" ref="H857">IFERROR(INDEX('Player Raw Data'!J:J,Match($A857,'Player Raw Data'!$B:$B,0)),"")</f>
        <v/>
      </c>
      <c r="I857" t="str">
        <f t="array" ref="I857">IFERROR(INDEX('Player Raw Data'!S:S,Match($A857,'Player Raw Data'!$B:$B,0)),"")</f>
        <v/>
      </c>
      <c r="J857" t="str">
        <f t="array" ref="J857">IFERROR(INDEX('Player Raw Data'!T:T,Match($A857,'Player Raw Data'!$B:$B,0)),"")</f>
        <v/>
      </c>
      <c r="K857" t="str">
        <f t="array" ref="K857">IFERROR(INDEX('Player Raw Data'!X:X,Match($A857,'Player Raw Data'!$B:$B,0)),"")</f>
        <v/>
      </c>
      <c r="L857" t="str">
        <f t="array" ref="L857">IFERROR(INDEX('Player Raw Data'!Y:Y,Match($A857,'Player Raw Data'!$B:$B,0)),"")</f>
        <v/>
      </c>
      <c r="M857" t="str">
        <f t="array" ref="M857">IFERROR(INDEX('Player Raw Data'!Z:Z,Match($A857,'Player Raw Data'!$B:$B,0)),"")</f>
        <v/>
      </c>
      <c r="N857" t="str">
        <f t="array" ref="N857">IFERROR(INDEX('Player Raw Data'!AA:AA,Match($A857,'Player Raw Data'!$B:$B,0)),"")</f>
        <v/>
      </c>
      <c r="O857" t="str">
        <f t="array" ref="O857">IFERROR(INDEX('Player Raw Data'!AB:AB,Match($A857,'Player Raw Data'!$B:$B,0)),"")</f>
        <v/>
      </c>
      <c r="P857" t="str">
        <f t="array" ref="P857">IFERROR(INDEX('Player Raw Data'!AD:AD,Match($A857,'Player Raw Data'!$B:$B,0)),"")</f>
        <v/>
      </c>
      <c r="Q857">
        <f t="shared" si="1"/>
        <v>0</v>
      </c>
      <c r="R857" s="9">
        <f t="shared" si="2"/>
        <v>0</v>
      </c>
      <c r="S857" s="14">
        <f t="shared" si="3"/>
        <v>0</v>
      </c>
      <c r="T857" s="15">
        <f>IFERROR(__xludf.DUMMYFUNCTION("IFERROR(PERCENTRANK.INC(FILTER(Q:Q,$F:$F&lt;&gt;""""),Q857)*100,"""")"),1.5)</f>
        <v>1.5</v>
      </c>
      <c r="U857" s="15">
        <f>IFERROR(__xludf.DUMMYFUNCTION("IFERROR(PERCENTRANK.INC(FILTER(R:R,$F:$F&lt;&gt;""""),R857)*100,"""")"),1.5)</f>
        <v>1.5</v>
      </c>
      <c r="V857" s="15">
        <f>IFERROR(__xludf.DUMMYFUNCTION("IFERROR(PERCENTRANK.INC(FILTER(S:S,$F:$F&lt;&gt;""""),S857)*100,"""")"),1.5)</f>
        <v>1.5</v>
      </c>
      <c r="W857" s="15" t="str">
        <f t="shared" si="4"/>
        <v/>
      </c>
      <c r="X857" s="16"/>
      <c r="Y857" s="9"/>
      <c r="Z857" s="9"/>
    </row>
    <row r="858">
      <c r="B858" t="str">
        <f t="array" ref="B858">IFERROR(INDEX('Player Raw Data'!C:C,Match($A858,'Player Raw Data'!$B:$B,0)),"")</f>
        <v/>
      </c>
      <c r="C858" t="str">
        <f t="array" ref="C858">IFERROR(INDEX('Player Raw Data'!D:D,Match($A858,'Player Raw Data'!$B:$B,0)),"")</f>
        <v/>
      </c>
      <c r="D858" t="str">
        <f t="array" ref="D858">IFERROR(IF(A858=A857, INDEX('Player Raw Data'!E:E,Match($A858,'Player Raw Data'!$B:$B,0)+2),INDEX('Player Raw Data'!E:E,Match($A858,'Player Raw Data'!$B:$B,0))),"")</f>
        <v/>
      </c>
      <c r="E858" t="str">
        <f t="array" ref="E858">IFERROR(INDEX('Player Raw Data'!F:F,Match($A858,'Player Raw Data'!$B:$B,0)),"")</f>
        <v/>
      </c>
      <c r="F858" t="str">
        <f t="array" ref="F858">IFERROR(INDEX('Player Raw Data'!H:H,Match($A858,'Player Raw Data'!$B:$B,0)),"")</f>
        <v/>
      </c>
      <c r="G858" t="str">
        <f t="array" ref="G858">IFERROR(INDEX('Player Raw Data'!I:I,Match($A858,'Player Raw Data'!$B:$B,0)),"")</f>
        <v/>
      </c>
      <c r="H858" t="str">
        <f t="array" ref="H858">IFERROR(INDEX('Player Raw Data'!J:J,Match($A858,'Player Raw Data'!$B:$B,0)),"")</f>
        <v/>
      </c>
      <c r="I858" t="str">
        <f t="array" ref="I858">IFERROR(INDEX('Player Raw Data'!S:S,Match($A858,'Player Raw Data'!$B:$B,0)),"")</f>
        <v/>
      </c>
      <c r="J858" t="str">
        <f t="array" ref="J858">IFERROR(INDEX('Player Raw Data'!T:T,Match($A858,'Player Raw Data'!$B:$B,0)),"")</f>
        <v/>
      </c>
      <c r="K858" t="str">
        <f t="array" ref="K858">IFERROR(INDEX('Player Raw Data'!X:X,Match($A858,'Player Raw Data'!$B:$B,0)),"")</f>
        <v/>
      </c>
      <c r="L858" t="str">
        <f t="array" ref="L858">IFERROR(INDEX('Player Raw Data'!Y:Y,Match($A858,'Player Raw Data'!$B:$B,0)),"")</f>
        <v/>
      </c>
      <c r="M858" t="str">
        <f t="array" ref="M858">IFERROR(INDEX('Player Raw Data'!Z:Z,Match($A858,'Player Raw Data'!$B:$B,0)),"")</f>
        <v/>
      </c>
      <c r="N858" t="str">
        <f t="array" ref="N858">IFERROR(INDEX('Player Raw Data'!AA:AA,Match($A858,'Player Raw Data'!$B:$B,0)),"")</f>
        <v/>
      </c>
      <c r="O858" t="str">
        <f t="array" ref="O858">IFERROR(INDEX('Player Raw Data'!AB:AB,Match($A858,'Player Raw Data'!$B:$B,0)),"")</f>
        <v/>
      </c>
      <c r="P858" t="str">
        <f t="array" ref="P858">IFERROR(INDEX('Player Raw Data'!AD:AD,Match($A858,'Player Raw Data'!$B:$B,0)),"")</f>
        <v/>
      </c>
      <c r="Q858">
        <f t="shared" si="1"/>
        <v>0</v>
      </c>
      <c r="R858" s="9">
        <f t="shared" si="2"/>
        <v>0</v>
      </c>
      <c r="S858" s="14">
        <f t="shared" si="3"/>
        <v>0</v>
      </c>
      <c r="T858" s="15">
        <f>IFERROR(__xludf.DUMMYFUNCTION("IFERROR(PERCENTRANK.INC(FILTER(Q:Q,$F:$F&lt;&gt;""""),Q858)*100,"""")"),1.5)</f>
        <v>1.5</v>
      </c>
      <c r="U858" s="15">
        <f>IFERROR(__xludf.DUMMYFUNCTION("IFERROR(PERCENTRANK.INC(FILTER(R:R,$F:$F&lt;&gt;""""),R858)*100,"""")"),1.5)</f>
        <v>1.5</v>
      </c>
      <c r="V858" s="15">
        <f>IFERROR(__xludf.DUMMYFUNCTION("IFERROR(PERCENTRANK.INC(FILTER(S:S,$F:$F&lt;&gt;""""),S858)*100,"""")"),1.5)</f>
        <v>1.5</v>
      </c>
      <c r="W858" s="15" t="str">
        <f t="shared" si="4"/>
        <v/>
      </c>
      <c r="X858" s="16"/>
      <c r="Y858" s="9"/>
      <c r="Z858" s="9"/>
    </row>
    <row r="859">
      <c r="B859" t="str">
        <f t="array" ref="B859">IFERROR(INDEX('Player Raw Data'!C:C,Match($A859,'Player Raw Data'!$B:$B,0)),"")</f>
        <v/>
      </c>
      <c r="C859" t="str">
        <f t="array" ref="C859">IFERROR(INDEX('Player Raw Data'!D:D,Match($A859,'Player Raw Data'!$B:$B,0)),"")</f>
        <v/>
      </c>
      <c r="D859" t="str">
        <f t="array" ref="D859">IFERROR(IF(A859=A858, INDEX('Player Raw Data'!E:E,Match($A859,'Player Raw Data'!$B:$B,0)+2),INDEX('Player Raw Data'!E:E,Match($A859,'Player Raw Data'!$B:$B,0))),"")</f>
        <v/>
      </c>
      <c r="E859" t="str">
        <f t="array" ref="E859">IFERROR(INDEX('Player Raw Data'!F:F,Match($A859,'Player Raw Data'!$B:$B,0)),"")</f>
        <v/>
      </c>
      <c r="F859" t="str">
        <f t="array" ref="F859">IFERROR(INDEX('Player Raw Data'!H:H,Match($A859,'Player Raw Data'!$B:$B,0)),"")</f>
        <v/>
      </c>
      <c r="G859" t="str">
        <f t="array" ref="G859">IFERROR(INDEX('Player Raw Data'!I:I,Match($A859,'Player Raw Data'!$B:$B,0)),"")</f>
        <v/>
      </c>
      <c r="H859" t="str">
        <f t="array" ref="H859">IFERROR(INDEX('Player Raw Data'!J:J,Match($A859,'Player Raw Data'!$B:$B,0)),"")</f>
        <v/>
      </c>
      <c r="I859" t="str">
        <f t="array" ref="I859">IFERROR(INDEX('Player Raw Data'!S:S,Match($A859,'Player Raw Data'!$B:$B,0)),"")</f>
        <v/>
      </c>
      <c r="J859" t="str">
        <f t="array" ref="J859">IFERROR(INDEX('Player Raw Data'!T:T,Match($A859,'Player Raw Data'!$B:$B,0)),"")</f>
        <v/>
      </c>
      <c r="K859" t="str">
        <f t="array" ref="K859">IFERROR(INDEX('Player Raw Data'!X:X,Match($A859,'Player Raw Data'!$B:$B,0)),"")</f>
        <v/>
      </c>
      <c r="L859" t="str">
        <f t="array" ref="L859">IFERROR(INDEX('Player Raw Data'!Y:Y,Match($A859,'Player Raw Data'!$B:$B,0)),"")</f>
        <v/>
      </c>
      <c r="M859" t="str">
        <f t="array" ref="M859">IFERROR(INDEX('Player Raw Data'!Z:Z,Match($A859,'Player Raw Data'!$B:$B,0)),"")</f>
        <v/>
      </c>
      <c r="N859" t="str">
        <f t="array" ref="N859">IFERROR(INDEX('Player Raw Data'!AA:AA,Match($A859,'Player Raw Data'!$B:$B,0)),"")</f>
        <v/>
      </c>
      <c r="O859" t="str">
        <f t="array" ref="O859">IFERROR(INDEX('Player Raw Data'!AB:AB,Match($A859,'Player Raw Data'!$B:$B,0)),"")</f>
        <v/>
      </c>
      <c r="P859" t="str">
        <f t="array" ref="P859">IFERROR(INDEX('Player Raw Data'!AD:AD,Match($A859,'Player Raw Data'!$B:$B,0)),"")</f>
        <v/>
      </c>
      <c r="Q859">
        <f t="shared" si="1"/>
        <v>0</v>
      </c>
      <c r="R859" s="9">
        <f t="shared" si="2"/>
        <v>0</v>
      </c>
      <c r="S859" s="14">
        <f t="shared" si="3"/>
        <v>0</v>
      </c>
      <c r="T859" s="15">
        <f>IFERROR(__xludf.DUMMYFUNCTION("IFERROR(PERCENTRANK.INC(FILTER(Q:Q,$F:$F&lt;&gt;""""),Q859)*100,"""")"),1.5)</f>
        <v>1.5</v>
      </c>
      <c r="U859" s="15">
        <f>IFERROR(__xludf.DUMMYFUNCTION("IFERROR(PERCENTRANK.INC(FILTER(R:R,$F:$F&lt;&gt;""""),R859)*100,"""")"),1.5)</f>
        <v>1.5</v>
      </c>
      <c r="V859" s="15">
        <f>IFERROR(__xludf.DUMMYFUNCTION("IFERROR(PERCENTRANK.INC(FILTER(S:S,$F:$F&lt;&gt;""""),S859)*100,"""")"),1.5)</f>
        <v>1.5</v>
      </c>
      <c r="W859" s="15" t="str">
        <f t="shared" si="4"/>
        <v/>
      </c>
      <c r="X859" s="16"/>
      <c r="Y859" s="9"/>
      <c r="Z859" s="9"/>
    </row>
    <row r="860">
      <c r="B860" t="str">
        <f t="array" ref="B860">IFERROR(INDEX('Player Raw Data'!C:C,Match($A860,'Player Raw Data'!$B:$B,0)),"")</f>
        <v/>
      </c>
      <c r="C860" t="str">
        <f t="array" ref="C860">IFERROR(INDEX('Player Raw Data'!D:D,Match($A860,'Player Raw Data'!$B:$B,0)),"")</f>
        <v/>
      </c>
      <c r="D860" t="str">
        <f t="array" ref="D860">IFERROR(IF(A860=A859, INDEX('Player Raw Data'!E:E,Match($A860,'Player Raw Data'!$B:$B,0)+2),INDEX('Player Raw Data'!E:E,Match($A860,'Player Raw Data'!$B:$B,0))),"")</f>
        <v/>
      </c>
      <c r="E860" t="str">
        <f t="array" ref="E860">IFERROR(INDEX('Player Raw Data'!F:F,Match($A860,'Player Raw Data'!$B:$B,0)),"")</f>
        <v/>
      </c>
      <c r="F860" t="str">
        <f t="array" ref="F860">IFERROR(INDEX('Player Raw Data'!H:H,Match($A860,'Player Raw Data'!$B:$B,0)),"")</f>
        <v/>
      </c>
      <c r="G860" t="str">
        <f t="array" ref="G860">IFERROR(INDEX('Player Raw Data'!I:I,Match($A860,'Player Raw Data'!$B:$B,0)),"")</f>
        <v/>
      </c>
      <c r="H860" t="str">
        <f t="array" ref="H860">IFERROR(INDEX('Player Raw Data'!J:J,Match($A860,'Player Raw Data'!$B:$B,0)),"")</f>
        <v/>
      </c>
      <c r="I860" t="str">
        <f t="array" ref="I860">IFERROR(INDEX('Player Raw Data'!S:S,Match($A860,'Player Raw Data'!$B:$B,0)),"")</f>
        <v/>
      </c>
      <c r="J860" t="str">
        <f t="array" ref="J860">IFERROR(INDEX('Player Raw Data'!T:T,Match($A860,'Player Raw Data'!$B:$B,0)),"")</f>
        <v/>
      </c>
      <c r="K860" t="str">
        <f t="array" ref="K860">IFERROR(INDEX('Player Raw Data'!X:X,Match($A860,'Player Raw Data'!$B:$B,0)),"")</f>
        <v/>
      </c>
      <c r="L860" t="str">
        <f t="array" ref="L860">IFERROR(INDEX('Player Raw Data'!Y:Y,Match($A860,'Player Raw Data'!$B:$B,0)),"")</f>
        <v/>
      </c>
      <c r="M860" t="str">
        <f t="array" ref="M860">IFERROR(INDEX('Player Raw Data'!Z:Z,Match($A860,'Player Raw Data'!$B:$B,0)),"")</f>
        <v/>
      </c>
      <c r="N860" t="str">
        <f t="array" ref="N860">IFERROR(INDEX('Player Raw Data'!AA:AA,Match($A860,'Player Raw Data'!$B:$B,0)),"")</f>
        <v/>
      </c>
      <c r="O860" t="str">
        <f t="array" ref="O860">IFERROR(INDEX('Player Raw Data'!AB:AB,Match($A860,'Player Raw Data'!$B:$B,0)),"")</f>
        <v/>
      </c>
      <c r="P860" t="str">
        <f t="array" ref="P860">IFERROR(INDEX('Player Raw Data'!AD:AD,Match($A860,'Player Raw Data'!$B:$B,0)),"")</f>
        <v/>
      </c>
      <c r="Q860">
        <f t="shared" si="1"/>
        <v>0</v>
      </c>
      <c r="R860" s="9">
        <f t="shared" si="2"/>
        <v>0</v>
      </c>
      <c r="S860" s="14">
        <f t="shared" si="3"/>
        <v>0</v>
      </c>
      <c r="T860" s="15">
        <f>IFERROR(__xludf.DUMMYFUNCTION("IFERROR(PERCENTRANK.INC(FILTER(Q:Q,$F:$F&lt;&gt;""""),Q860)*100,"""")"),1.5)</f>
        <v>1.5</v>
      </c>
      <c r="U860" s="15">
        <f>IFERROR(__xludf.DUMMYFUNCTION("IFERROR(PERCENTRANK.INC(FILTER(R:R,$F:$F&lt;&gt;""""),R860)*100,"""")"),1.5)</f>
        <v>1.5</v>
      </c>
      <c r="V860" s="15">
        <f>IFERROR(__xludf.DUMMYFUNCTION("IFERROR(PERCENTRANK.INC(FILTER(S:S,$F:$F&lt;&gt;""""),S860)*100,"""")"),1.5)</f>
        <v>1.5</v>
      </c>
      <c r="W860" s="15" t="str">
        <f t="shared" si="4"/>
        <v/>
      </c>
      <c r="X860" s="16"/>
      <c r="Y860" s="9"/>
      <c r="Z860" s="9"/>
    </row>
    <row r="861">
      <c r="B861" t="str">
        <f t="array" ref="B861">IFERROR(INDEX('Player Raw Data'!C:C,Match($A861,'Player Raw Data'!$B:$B,0)),"")</f>
        <v/>
      </c>
      <c r="C861" t="str">
        <f t="array" ref="C861">IFERROR(INDEX('Player Raw Data'!D:D,Match($A861,'Player Raw Data'!$B:$B,0)),"")</f>
        <v/>
      </c>
      <c r="D861" t="str">
        <f t="array" ref="D861">IFERROR(IF(A861=A860, INDEX('Player Raw Data'!E:E,Match($A861,'Player Raw Data'!$B:$B,0)+2),INDEX('Player Raw Data'!E:E,Match($A861,'Player Raw Data'!$B:$B,0))),"")</f>
        <v/>
      </c>
      <c r="E861" t="str">
        <f t="array" ref="E861">IFERROR(INDEX('Player Raw Data'!F:F,Match($A861,'Player Raw Data'!$B:$B,0)),"")</f>
        <v/>
      </c>
      <c r="F861" t="str">
        <f t="array" ref="F861">IFERROR(INDEX('Player Raw Data'!H:H,Match($A861,'Player Raw Data'!$B:$B,0)),"")</f>
        <v/>
      </c>
      <c r="G861" t="str">
        <f t="array" ref="G861">IFERROR(INDEX('Player Raw Data'!I:I,Match($A861,'Player Raw Data'!$B:$B,0)),"")</f>
        <v/>
      </c>
      <c r="H861" t="str">
        <f t="array" ref="H861">IFERROR(INDEX('Player Raw Data'!J:J,Match($A861,'Player Raw Data'!$B:$B,0)),"")</f>
        <v/>
      </c>
      <c r="I861" t="str">
        <f t="array" ref="I861">IFERROR(INDEX('Player Raw Data'!S:S,Match($A861,'Player Raw Data'!$B:$B,0)),"")</f>
        <v/>
      </c>
      <c r="J861" t="str">
        <f t="array" ref="J861">IFERROR(INDEX('Player Raw Data'!T:T,Match($A861,'Player Raw Data'!$B:$B,0)),"")</f>
        <v/>
      </c>
      <c r="K861" t="str">
        <f t="array" ref="K861">IFERROR(INDEX('Player Raw Data'!X:X,Match($A861,'Player Raw Data'!$B:$B,0)),"")</f>
        <v/>
      </c>
      <c r="L861" t="str">
        <f t="array" ref="L861">IFERROR(INDEX('Player Raw Data'!Y:Y,Match($A861,'Player Raw Data'!$B:$B,0)),"")</f>
        <v/>
      </c>
      <c r="M861" t="str">
        <f t="array" ref="M861">IFERROR(INDEX('Player Raw Data'!Z:Z,Match($A861,'Player Raw Data'!$B:$B,0)),"")</f>
        <v/>
      </c>
      <c r="N861" t="str">
        <f t="array" ref="N861">IFERROR(INDEX('Player Raw Data'!AA:AA,Match($A861,'Player Raw Data'!$B:$B,0)),"")</f>
        <v/>
      </c>
      <c r="O861" t="str">
        <f t="array" ref="O861">IFERROR(INDEX('Player Raw Data'!AB:AB,Match($A861,'Player Raw Data'!$B:$B,0)),"")</f>
        <v/>
      </c>
      <c r="P861" t="str">
        <f t="array" ref="P861">IFERROR(INDEX('Player Raw Data'!AD:AD,Match($A861,'Player Raw Data'!$B:$B,0)),"")</f>
        <v/>
      </c>
      <c r="Q861">
        <f t="shared" si="1"/>
        <v>0</v>
      </c>
      <c r="R861" s="9">
        <f t="shared" si="2"/>
        <v>0</v>
      </c>
      <c r="S861" s="14">
        <f t="shared" si="3"/>
        <v>0</v>
      </c>
      <c r="T861" s="15">
        <f>IFERROR(__xludf.DUMMYFUNCTION("IFERROR(PERCENTRANK.INC(FILTER(Q:Q,$F:$F&lt;&gt;""""),Q861)*100,"""")"),1.5)</f>
        <v>1.5</v>
      </c>
      <c r="U861" s="15">
        <f>IFERROR(__xludf.DUMMYFUNCTION("IFERROR(PERCENTRANK.INC(FILTER(R:R,$F:$F&lt;&gt;""""),R861)*100,"""")"),1.5)</f>
        <v>1.5</v>
      </c>
      <c r="V861" s="15">
        <f>IFERROR(__xludf.DUMMYFUNCTION("IFERROR(PERCENTRANK.INC(FILTER(S:S,$F:$F&lt;&gt;""""),S861)*100,"""")"),1.5)</f>
        <v>1.5</v>
      </c>
      <c r="W861" s="15" t="str">
        <f t="shared" si="4"/>
        <v/>
      </c>
      <c r="X861" s="16"/>
      <c r="Y861" s="9"/>
      <c r="Z861" s="9"/>
    </row>
    <row r="862">
      <c r="B862" t="str">
        <f t="array" ref="B862">IFERROR(INDEX('Player Raw Data'!C:C,Match($A862,'Player Raw Data'!$B:$B,0)),"")</f>
        <v/>
      </c>
      <c r="C862" t="str">
        <f t="array" ref="C862">IFERROR(INDEX('Player Raw Data'!D:D,Match($A862,'Player Raw Data'!$B:$B,0)),"")</f>
        <v/>
      </c>
      <c r="D862" t="str">
        <f t="array" ref="D862">IFERROR(IF(A862=A861, INDEX('Player Raw Data'!E:E,Match($A862,'Player Raw Data'!$B:$B,0)+2),INDEX('Player Raw Data'!E:E,Match($A862,'Player Raw Data'!$B:$B,0))),"")</f>
        <v/>
      </c>
      <c r="E862" t="str">
        <f t="array" ref="E862">IFERROR(INDEX('Player Raw Data'!F:F,Match($A862,'Player Raw Data'!$B:$B,0)),"")</f>
        <v/>
      </c>
      <c r="F862" t="str">
        <f t="array" ref="F862">IFERROR(INDEX('Player Raw Data'!H:H,Match($A862,'Player Raw Data'!$B:$B,0)),"")</f>
        <v/>
      </c>
      <c r="G862" t="str">
        <f t="array" ref="G862">IFERROR(INDEX('Player Raw Data'!I:I,Match($A862,'Player Raw Data'!$B:$B,0)),"")</f>
        <v/>
      </c>
      <c r="H862" t="str">
        <f t="array" ref="H862">IFERROR(INDEX('Player Raw Data'!J:J,Match($A862,'Player Raw Data'!$B:$B,0)),"")</f>
        <v/>
      </c>
      <c r="I862" t="str">
        <f t="array" ref="I862">IFERROR(INDEX('Player Raw Data'!S:S,Match($A862,'Player Raw Data'!$B:$B,0)),"")</f>
        <v/>
      </c>
      <c r="J862" t="str">
        <f t="array" ref="J862">IFERROR(INDEX('Player Raw Data'!T:T,Match($A862,'Player Raw Data'!$B:$B,0)),"")</f>
        <v/>
      </c>
      <c r="K862" t="str">
        <f t="array" ref="K862">IFERROR(INDEX('Player Raw Data'!X:X,Match($A862,'Player Raw Data'!$B:$B,0)),"")</f>
        <v/>
      </c>
      <c r="L862" t="str">
        <f t="array" ref="L862">IFERROR(INDEX('Player Raw Data'!Y:Y,Match($A862,'Player Raw Data'!$B:$B,0)),"")</f>
        <v/>
      </c>
      <c r="M862" t="str">
        <f t="array" ref="M862">IFERROR(INDEX('Player Raw Data'!Z:Z,Match($A862,'Player Raw Data'!$B:$B,0)),"")</f>
        <v/>
      </c>
      <c r="N862" t="str">
        <f t="array" ref="N862">IFERROR(INDEX('Player Raw Data'!AA:AA,Match($A862,'Player Raw Data'!$B:$B,0)),"")</f>
        <v/>
      </c>
      <c r="O862" t="str">
        <f t="array" ref="O862">IFERROR(INDEX('Player Raw Data'!AB:AB,Match($A862,'Player Raw Data'!$B:$B,0)),"")</f>
        <v/>
      </c>
      <c r="P862" t="str">
        <f t="array" ref="P862">IFERROR(INDEX('Player Raw Data'!AD:AD,Match($A862,'Player Raw Data'!$B:$B,0)),"")</f>
        <v/>
      </c>
      <c r="Q862">
        <f t="shared" si="1"/>
        <v>0</v>
      </c>
      <c r="R862" s="9">
        <f t="shared" si="2"/>
        <v>0</v>
      </c>
      <c r="S862" s="14">
        <f t="shared" si="3"/>
        <v>0</v>
      </c>
      <c r="T862" s="15">
        <f>IFERROR(__xludf.DUMMYFUNCTION("IFERROR(PERCENTRANK.INC(FILTER(Q:Q,$F:$F&lt;&gt;""""),Q862)*100,"""")"),1.5)</f>
        <v>1.5</v>
      </c>
      <c r="U862" s="15">
        <f>IFERROR(__xludf.DUMMYFUNCTION("IFERROR(PERCENTRANK.INC(FILTER(R:R,$F:$F&lt;&gt;""""),R862)*100,"""")"),1.5)</f>
        <v>1.5</v>
      </c>
      <c r="V862" s="15">
        <f>IFERROR(__xludf.DUMMYFUNCTION("IFERROR(PERCENTRANK.INC(FILTER(S:S,$F:$F&lt;&gt;""""),S862)*100,"""")"),1.5)</f>
        <v>1.5</v>
      </c>
      <c r="W862" s="15" t="str">
        <f t="shared" si="4"/>
        <v/>
      </c>
      <c r="X862" s="16"/>
      <c r="Y862" s="9"/>
      <c r="Z862" s="9"/>
    </row>
    <row r="863">
      <c r="B863" t="str">
        <f t="array" ref="B863">IFERROR(INDEX('Player Raw Data'!C:C,Match($A863,'Player Raw Data'!$B:$B,0)),"")</f>
        <v/>
      </c>
      <c r="C863" t="str">
        <f t="array" ref="C863">IFERROR(INDEX('Player Raw Data'!D:D,Match($A863,'Player Raw Data'!$B:$B,0)),"")</f>
        <v/>
      </c>
      <c r="D863" t="str">
        <f t="array" ref="D863">IFERROR(IF(A863=A862, INDEX('Player Raw Data'!E:E,Match($A863,'Player Raw Data'!$B:$B,0)+2),INDEX('Player Raw Data'!E:E,Match($A863,'Player Raw Data'!$B:$B,0))),"")</f>
        <v/>
      </c>
      <c r="E863" t="str">
        <f t="array" ref="E863">IFERROR(INDEX('Player Raw Data'!F:F,Match($A863,'Player Raw Data'!$B:$B,0)),"")</f>
        <v/>
      </c>
      <c r="F863" t="str">
        <f t="array" ref="F863">IFERROR(INDEX('Player Raw Data'!H:H,Match($A863,'Player Raw Data'!$B:$B,0)),"")</f>
        <v/>
      </c>
      <c r="G863" t="str">
        <f t="array" ref="G863">IFERROR(INDEX('Player Raw Data'!I:I,Match($A863,'Player Raw Data'!$B:$B,0)),"")</f>
        <v/>
      </c>
      <c r="H863" t="str">
        <f t="array" ref="H863">IFERROR(INDEX('Player Raw Data'!J:J,Match($A863,'Player Raw Data'!$B:$B,0)),"")</f>
        <v/>
      </c>
      <c r="I863" t="str">
        <f t="array" ref="I863">IFERROR(INDEX('Player Raw Data'!S:S,Match($A863,'Player Raw Data'!$B:$B,0)),"")</f>
        <v/>
      </c>
      <c r="J863" t="str">
        <f t="array" ref="J863">IFERROR(INDEX('Player Raw Data'!T:T,Match($A863,'Player Raw Data'!$B:$B,0)),"")</f>
        <v/>
      </c>
      <c r="K863" t="str">
        <f t="array" ref="K863">IFERROR(INDEX('Player Raw Data'!X:X,Match($A863,'Player Raw Data'!$B:$B,0)),"")</f>
        <v/>
      </c>
      <c r="L863" t="str">
        <f t="array" ref="L863">IFERROR(INDEX('Player Raw Data'!Y:Y,Match($A863,'Player Raw Data'!$B:$B,0)),"")</f>
        <v/>
      </c>
      <c r="M863" t="str">
        <f t="array" ref="M863">IFERROR(INDEX('Player Raw Data'!Z:Z,Match($A863,'Player Raw Data'!$B:$B,0)),"")</f>
        <v/>
      </c>
      <c r="N863" t="str">
        <f t="array" ref="N863">IFERROR(INDEX('Player Raw Data'!AA:AA,Match($A863,'Player Raw Data'!$B:$B,0)),"")</f>
        <v/>
      </c>
      <c r="O863" t="str">
        <f t="array" ref="O863">IFERROR(INDEX('Player Raw Data'!AB:AB,Match($A863,'Player Raw Data'!$B:$B,0)),"")</f>
        <v/>
      </c>
      <c r="P863" t="str">
        <f t="array" ref="P863">IFERROR(INDEX('Player Raw Data'!AD:AD,Match($A863,'Player Raw Data'!$B:$B,0)),"")</f>
        <v/>
      </c>
      <c r="Q863">
        <f t="shared" si="1"/>
        <v>0</v>
      </c>
      <c r="R863" s="9">
        <f t="shared" si="2"/>
        <v>0</v>
      </c>
      <c r="S863" s="14">
        <f t="shared" si="3"/>
        <v>0</v>
      </c>
      <c r="T863" s="15">
        <f>IFERROR(__xludf.DUMMYFUNCTION("IFERROR(PERCENTRANK.INC(FILTER(Q:Q,$F:$F&lt;&gt;""""),Q863)*100,"""")"),1.5)</f>
        <v>1.5</v>
      </c>
      <c r="U863" s="15">
        <f>IFERROR(__xludf.DUMMYFUNCTION("IFERROR(PERCENTRANK.INC(FILTER(R:R,$F:$F&lt;&gt;""""),R863)*100,"""")"),1.5)</f>
        <v>1.5</v>
      </c>
      <c r="V863" s="15">
        <f>IFERROR(__xludf.DUMMYFUNCTION("IFERROR(PERCENTRANK.INC(FILTER(S:S,$F:$F&lt;&gt;""""),S863)*100,"""")"),1.5)</f>
        <v>1.5</v>
      </c>
      <c r="W863" s="15" t="str">
        <f t="shared" si="4"/>
        <v/>
      </c>
      <c r="X863" s="16"/>
      <c r="Y863" s="9"/>
      <c r="Z863" s="9"/>
    </row>
    <row r="864">
      <c r="B864" t="str">
        <f t="array" ref="B864">IFERROR(INDEX('Player Raw Data'!C:C,Match($A864,'Player Raw Data'!$B:$B,0)),"")</f>
        <v/>
      </c>
      <c r="C864" t="str">
        <f t="array" ref="C864">IFERROR(INDEX('Player Raw Data'!D:D,Match($A864,'Player Raw Data'!$B:$B,0)),"")</f>
        <v/>
      </c>
      <c r="D864" t="str">
        <f t="array" ref="D864">IFERROR(IF(A864=A863, INDEX('Player Raw Data'!E:E,Match($A864,'Player Raw Data'!$B:$B,0)+2),INDEX('Player Raw Data'!E:E,Match($A864,'Player Raw Data'!$B:$B,0))),"")</f>
        <v/>
      </c>
      <c r="E864" t="str">
        <f t="array" ref="E864">IFERROR(INDEX('Player Raw Data'!F:F,Match($A864,'Player Raw Data'!$B:$B,0)),"")</f>
        <v/>
      </c>
      <c r="F864" t="str">
        <f t="array" ref="F864">IFERROR(INDEX('Player Raw Data'!H:H,Match($A864,'Player Raw Data'!$B:$B,0)),"")</f>
        <v/>
      </c>
      <c r="G864" t="str">
        <f t="array" ref="G864">IFERROR(INDEX('Player Raw Data'!I:I,Match($A864,'Player Raw Data'!$B:$B,0)),"")</f>
        <v/>
      </c>
      <c r="H864" t="str">
        <f t="array" ref="H864">IFERROR(INDEX('Player Raw Data'!J:J,Match($A864,'Player Raw Data'!$B:$B,0)),"")</f>
        <v/>
      </c>
      <c r="I864" t="str">
        <f t="array" ref="I864">IFERROR(INDEX('Player Raw Data'!S:S,Match($A864,'Player Raw Data'!$B:$B,0)),"")</f>
        <v/>
      </c>
      <c r="J864" t="str">
        <f t="array" ref="J864">IFERROR(INDEX('Player Raw Data'!T:T,Match($A864,'Player Raw Data'!$B:$B,0)),"")</f>
        <v/>
      </c>
      <c r="K864" t="str">
        <f t="array" ref="K864">IFERROR(INDEX('Player Raw Data'!X:X,Match($A864,'Player Raw Data'!$B:$B,0)),"")</f>
        <v/>
      </c>
      <c r="L864" t="str">
        <f t="array" ref="L864">IFERROR(INDEX('Player Raw Data'!Y:Y,Match($A864,'Player Raw Data'!$B:$B,0)),"")</f>
        <v/>
      </c>
      <c r="M864" t="str">
        <f t="array" ref="M864">IFERROR(INDEX('Player Raw Data'!Z:Z,Match($A864,'Player Raw Data'!$B:$B,0)),"")</f>
        <v/>
      </c>
      <c r="N864" t="str">
        <f t="array" ref="N864">IFERROR(INDEX('Player Raw Data'!AA:AA,Match($A864,'Player Raw Data'!$B:$B,0)),"")</f>
        <v/>
      </c>
      <c r="O864" t="str">
        <f t="array" ref="O864">IFERROR(INDEX('Player Raw Data'!AB:AB,Match($A864,'Player Raw Data'!$B:$B,0)),"")</f>
        <v/>
      </c>
      <c r="P864" t="str">
        <f t="array" ref="P864">IFERROR(INDEX('Player Raw Data'!AD:AD,Match($A864,'Player Raw Data'!$B:$B,0)),"")</f>
        <v/>
      </c>
      <c r="Q864">
        <f t="shared" si="1"/>
        <v>0</v>
      </c>
      <c r="R864" s="9">
        <f t="shared" si="2"/>
        <v>0</v>
      </c>
      <c r="S864" s="14">
        <f t="shared" si="3"/>
        <v>0</v>
      </c>
      <c r="T864" s="15">
        <f>IFERROR(__xludf.DUMMYFUNCTION("IFERROR(PERCENTRANK.INC(FILTER(Q:Q,$F:$F&lt;&gt;""""),Q864)*100,"""")"),1.5)</f>
        <v>1.5</v>
      </c>
      <c r="U864" s="15">
        <f>IFERROR(__xludf.DUMMYFUNCTION("IFERROR(PERCENTRANK.INC(FILTER(R:R,$F:$F&lt;&gt;""""),R864)*100,"""")"),1.5)</f>
        <v>1.5</v>
      </c>
      <c r="V864" s="15">
        <f>IFERROR(__xludf.DUMMYFUNCTION("IFERROR(PERCENTRANK.INC(FILTER(S:S,$F:$F&lt;&gt;""""),S864)*100,"""")"),1.5)</f>
        <v>1.5</v>
      </c>
      <c r="W864" s="15" t="str">
        <f t="shared" si="4"/>
        <v/>
      </c>
      <c r="X864" s="16"/>
      <c r="Y864" s="9"/>
      <c r="Z864" s="9"/>
    </row>
    <row r="865">
      <c r="B865" t="str">
        <f t="array" ref="B865">IFERROR(INDEX('Player Raw Data'!C:C,Match($A865,'Player Raw Data'!$B:$B,0)),"")</f>
        <v/>
      </c>
      <c r="C865" t="str">
        <f t="array" ref="C865">IFERROR(INDEX('Player Raw Data'!D:D,Match($A865,'Player Raw Data'!$B:$B,0)),"")</f>
        <v/>
      </c>
      <c r="D865" t="str">
        <f t="array" ref="D865">IFERROR(IF(A865=A864, INDEX('Player Raw Data'!E:E,Match($A865,'Player Raw Data'!$B:$B,0)+2),INDEX('Player Raw Data'!E:E,Match($A865,'Player Raw Data'!$B:$B,0))),"")</f>
        <v/>
      </c>
      <c r="E865" t="str">
        <f t="array" ref="E865">IFERROR(INDEX('Player Raw Data'!F:F,Match($A865,'Player Raw Data'!$B:$B,0)),"")</f>
        <v/>
      </c>
      <c r="F865" t="str">
        <f t="array" ref="F865">IFERROR(INDEX('Player Raw Data'!H:H,Match($A865,'Player Raw Data'!$B:$B,0)),"")</f>
        <v/>
      </c>
      <c r="G865" t="str">
        <f t="array" ref="G865">IFERROR(INDEX('Player Raw Data'!I:I,Match($A865,'Player Raw Data'!$B:$B,0)),"")</f>
        <v/>
      </c>
      <c r="H865" t="str">
        <f t="array" ref="H865">IFERROR(INDEX('Player Raw Data'!J:J,Match($A865,'Player Raw Data'!$B:$B,0)),"")</f>
        <v/>
      </c>
      <c r="I865" t="str">
        <f t="array" ref="I865">IFERROR(INDEX('Player Raw Data'!S:S,Match($A865,'Player Raw Data'!$B:$B,0)),"")</f>
        <v/>
      </c>
      <c r="J865" t="str">
        <f t="array" ref="J865">IFERROR(INDEX('Player Raw Data'!T:T,Match($A865,'Player Raw Data'!$B:$B,0)),"")</f>
        <v/>
      </c>
      <c r="K865" t="str">
        <f t="array" ref="K865">IFERROR(INDEX('Player Raw Data'!X:X,Match($A865,'Player Raw Data'!$B:$B,0)),"")</f>
        <v/>
      </c>
      <c r="L865" t="str">
        <f t="array" ref="L865">IFERROR(INDEX('Player Raw Data'!Y:Y,Match($A865,'Player Raw Data'!$B:$B,0)),"")</f>
        <v/>
      </c>
      <c r="M865" t="str">
        <f t="array" ref="M865">IFERROR(INDEX('Player Raw Data'!Z:Z,Match($A865,'Player Raw Data'!$B:$B,0)),"")</f>
        <v/>
      </c>
      <c r="N865" t="str">
        <f t="array" ref="N865">IFERROR(INDEX('Player Raw Data'!AA:AA,Match($A865,'Player Raw Data'!$B:$B,0)),"")</f>
        <v/>
      </c>
      <c r="O865" t="str">
        <f t="array" ref="O865">IFERROR(INDEX('Player Raw Data'!AB:AB,Match($A865,'Player Raw Data'!$B:$B,0)),"")</f>
        <v/>
      </c>
      <c r="P865" t="str">
        <f t="array" ref="P865">IFERROR(INDEX('Player Raw Data'!AD:AD,Match($A865,'Player Raw Data'!$B:$B,0)),"")</f>
        <v/>
      </c>
      <c r="Q865">
        <f t="shared" si="1"/>
        <v>0</v>
      </c>
      <c r="R865" s="9">
        <f t="shared" si="2"/>
        <v>0</v>
      </c>
      <c r="S865" s="14">
        <f t="shared" si="3"/>
        <v>0</v>
      </c>
      <c r="T865" s="15">
        <f>IFERROR(__xludf.DUMMYFUNCTION("IFERROR(PERCENTRANK.INC(FILTER(Q:Q,$F:$F&lt;&gt;""""),Q865)*100,"""")"),1.5)</f>
        <v>1.5</v>
      </c>
      <c r="U865" s="15">
        <f>IFERROR(__xludf.DUMMYFUNCTION("IFERROR(PERCENTRANK.INC(FILTER(R:R,$F:$F&lt;&gt;""""),R865)*100,"""")"),1.5)</f>
        <v>1.5</v>
      </c>
      <c r="V865" s="15">
        <f>IFERROR(__xludf.DUMMYFUNCTION("IFERROR(PERCENTRANK.INC(FILTER(S:S,$F:$F&lt;&gt;""""),S865)*100,"""")"),1.5)</f>
        <v>1.5</v>
      </c>
      <c r="W865" s="15" t="str">
        <f t="shared" si="4"/>
        <v/>
      </c>
      <c r="X865" s="16"/>
      <c r="Y865" s="9"/>
      <c r="Z865" s="9"/>
    </row>
    <row r="866">
      <c r="B866" t="str">
        <f t="array" ref="B866">IFERROR(INDEX('Player Raw Data'!C:C,Match($A866,'Player Raw Data'!$B:$B,0)),"")</f>
        <v/>
      </c>
      <c r="C866" t="str">
        <f t="array" ref="C866">IFERROR(INDEX('Player Raw Data'!D:D,Match($A866,'Player Raw Data'!$B:$B,0)),"")</f>
        <v/>
      </c>
      <c r="D866" t="str">
        <f t="array" ref="D866">IFERROR(IF(A866=A865, INDEX('Player Raw Data'!E:E,Match($A866,'Player Raw Data'!$B:$B,0)+2),INDEX('Player Raw Data'!E:E,Match($A866,'Player Raw Data'!$B:$B,0))),"")</f>
        <v/>
      </c>
      <c r="E866" t="str">
        <f t="array" ref="E866">IFERROR(INDEX('Player Raw Data'!F:F,Match($A866,'Player Raw Data'!$B:$B,0)),"")</f>
        <v/>
      </c>
      <c r="F866" t="str">
        <f t="array" ref="F866">IFERROR(INDEX('Player Raw Data'!H:H,Match($A866,'Player Raw Data'!$B:$B,0)),"")</f>
        <v/>
      </c>
      <c r="G866" t="str">
        <f t="array" ref="G866">IFERROR(INDEX('Player Raw Data'!I:I,Match($A866,'Player Raw Data'!$B:$B,0)),"")</f>
        <v/>
      </c>
      <c r="H866" t="str">
        <f t="array" ref="H866">IFERROR(INDEX('Player Raw Data'!J:J,Match($A866,'Player Raw Data'!$B:$B,0)),"")</f>
        <v/>
      </c>
      <c r="I866" t="str">
        <f t="array" ref="I866">IFERROR(INDEX('Player Raw Data'!S:S,Match($A866,'Player Raw Data'!$B:$B,0)),"")</f>
        <v/>
      </c>
      <c r="J866" t="str">
        <f t="array" ref="J866">IFERROR(INDEX('Player Raw Data'!T:T,Match($A866,'Player Raw Data'!$B:$B,0)),"")</f>
        <v/>
      </c>
      <c r="K866" t="str">
        <f t="array" ref="K866">IFERROR(INDEX('Player Raw Data'!X:X,Match($A866,'Player Raw Data'!$B:$B,0)),"")</f>
        <v/>
      </c>
      <c r="L866" t="str">
        <f t="array" ref="L866">IFERROR(INDEX('Player Raw Data'!Y:Y,Match($A866,'Player Raw Data'!$B:$B,0)),"")</f>
        <v/>
      </c>
      <c r="M866" t="str">
        <f t="array" ref="M866">IFERROR(INDEX('Player Raw Data'!Z:Z,Match($A866,'Player Raw Data'!$B:$B,0)),"")</f>
        <v/>
      </c>
      <c r="N866" t="str">
        <f t="array" ref="N866">IFERROR(INDEX('Player Raw Data'!AA:AA,Match($A866,'Player Raw Data'!$B:$B,0)),"")</f>
        <v/>
      </c>
      <c r="O866" t="str">
        <f t="array" ref="O866">IFERROR(INDEX('Player Raw Data'!AB:AB,Match($A866,'Player Raw Data'!$B:$B,0)),"")</f>
        <v/>
      </c>
      <c r="P866" t="str">
        <f t="array" ref="P866">IFERROR(INDEX('Player Raw Data'!AD:AD,Match($A866,'Player Raw Data'!$B:$B,0)),"")</f>
        <v/>
      </c>
      <c r="Q866">
        <f t="shared" si="1"/>
        <v>0</v>
      </c>
      <c r="R866" s="9">
        <f t="shared" si="2"/>
        <v>0</v>
      </c>
      <c r="S866" s="14">
        <f t="shared" si="3"/>
        <v>0</v>
      </c>
      <c r="T866" s="15">
        <f>IFERROR(__xludf.DUMMYFUNCTION("IFERROR(PERCENTRANK.INC(FILTER(Q:Q,$F:$F&lt;&gt;""""),Q866)*100,"""")"),1.5)</f>
        <v>1.5</v>
      </c>
      <c r="U866" s="15">
        <f>IFERROR(__xludf.DUMMYFUNCTION("IFERROR(PERCENTRANK.INC(FILTER(R:R,$F:$F&lt;&gt;""""),R866)*100,"""")"),1.5)</f>
        <v>1.5</v>
      </c>
      <c r="V866" s="15">
        <f>IFERROR(__xludf.DUMMYFUNCTION("IFERROR(PERCENTRANK.INC(FILTER(S:S,$F:$F&lt;&gt;""""),S866)*100,"""")"),1.5)</f>
        <v>1.5</v>
      </c>
      <c r="W866" s="15" t="str">
        <f t="shared" si="4"/>
        <v/>
      </c>
      <c r="X866" s="16"/>
      <c r="Y866" s="9"/>
      <c r="Z866" s="9"/>
    </row>
    <row r="867">
      <c r="B867" t="str">
        <f t="array" ref="B867">IFERROR(INDEX('Player Raw Data'!C:C,Match($A867,'Player Raw Data'!$B:$B,0)),"")</f>
        <v/>
      </c>
      <c r="C867" t="str">
        <f t="array" ref="C867">IFERROR(INDEX('Player Raw Data'!D:D,Match($A867,'Player Raw Data'!$B:$B,0)),"")</f>
        <v/>
      </c>
      <c r="D867" t="str">
        <f t="array" ref="D867">IFERROR(IF(A867=A866, INDEX('Player Raw Data'!E:E,Match($A867,'Player Raw Data'!$B:$B,0)+2),INDEX('Player Raw Data'!E:E,Match($A867,'Player Raw Data'!$B:$B,0))),"")</f>
        <v/>
      </c>
      <c r="E867" t="str">
        <f t="array" ref="E867">IFERROR(INDEX('Player Raw Data'!F:F,Match($A867,'Player Raw Data'!$B:$B,0)),"")</f>
        <v/>
      </c>
      <c r="F867" t="str">
        <f t="array" ref="F867">IFERROR(INDEX('Player Raw Data'!H:H,Match($A867,'Player Raw Data'!$B:$B,0)),"")</f>
        <v/>
      </c>
      <c r="G867" t="str">
        <f t="array" ref="G867">IFERROR(INDEX('Player Raw Data'!I:I,Match($A867,'Player Raw Data'!$B:$B,0)),"")</f>
        <v/>
      </c>
      <c r="H867" t="str">
        <f t="array" ref="H867">IFERROR(INDEX('Player Raw Data'!J:J,Match($A867,'Player Raw Data'!$B:$B,0)),"")</f>
        <v/>
      </c>
      <c r="I867" t="str">
        <f t="array" ref="I867">IFERROR(INDEX('Player Raw Data'!S:S,Match($A867,'Player Raw Data'!$B:$B,0)),"")</f>
        <v/>
      </c>
      <c r="J867" t="str">
        <f t="array" ref="J867">IFERROR(INDEX('Player Raw Data'!T:T,Match($A867,'Player Raw Data'!$B:$B,0)),"")</f>
        <v/>
      </c>
      <c r="K867" t="str">
        <f t="array" ref="K867">IFERROR(INDEX('Player Raw Data'!X:X,Match($A867,'Player Raw Data'!$B:$B,0)),"")</f>
        <v/>
      </c>
      <c r="L867" t="str">
        <f t="array" ref="L867">IFERROR(INDEX('Player Raw Data'!Y:Y,Match($A867,'Player Raw Data'!$B:$B,0)),"")</f>
        <v/>
      </c>
      <c r="M867" t="str">
        <f t="array" ref="M867">IFERROR(INDEX('Player Raw Data'!Z:Z,Match($A867,'Player Raw Data'!$B:$B,0)),"")</f>
        <v/>
      </c>
      <c r="N867" t="str">
        <f t="array" ref="N867">IFERROR(INDEX('Player Raw Data'!AA:AA,Match($A867,'Player Raw Data'!$B:$B,0)),"")</f>
        <v/>
      </c>
      <c r="O867" t="str">
        <f t="array" ref="O867">IFERROR(INDEX('Player Raw Data'!AB:AB,Match($A867,'Player Raw Data'!$B:$B,0)),"")</f>
        <v/>
      </c>
      <c r="P867" t="str">
        <f t="array" ref="P867">IFERROR(INDEX('Player Raw Data'!AD:AD,Match($A867,'Player Raw Data'!$B:$B,0)),"")</f>
        <v/>
      </c>
      <c r="Q867">
        <f t="shared" si="1"/>
        <v>0</v>
      </c>
      <c r="R867" s="9">
        <f t="shared" si="2"/>
        <v>0</v>
      </c>
      <c r="S867" s="14">
        <f t="shared" si="3"/>
        <v>0</v>
      </c>
      <c r="T867" s="15">
        <f>IFERROR(__xludf.DUMMYFUNCTION("IFERROR(PERCENTRANK.INC(FILTER(Q:Q,$F:$F&lt;&gt;""""),Q867)*100,"""")"),1.5)</f>
        <v>1.5</v>
      </c>
      <c r="U867" s="15">
        <f>IFERROR(__xludf.DUMMYFUNCTION("IFERROR(PERCENTRANK.INC(FILTER(R:R,$F:$F&lt;&gt;""""),R867)*100,"""")"),1.5)</f>
        <v>1.5</v>
      </c>
      <c r="V867" s="15">
        <f>IFERROR(__xludf.DUMMYFUNCTION("IFERROR(PERCENTRANK.INC(FILTER(S:S,$F:$F&lt;&gt;""""),S867)*100,"""")"),1.5)</f>
        <v>1.5</v>
      </c>
      <c r="W867" s="15" t="str">
        <f t="shared" si="4"/>
        <v/>
      </c>
      <c r="X867" s="16"/>
      <c r="Y867" s="9"/>
      <c r="Z867" s="9"/>
    </row>
    <row r="868">
      <c r="B868" t="str">
        <f t="array" ref="B868">IFERROR(INDEX('Player Raw Data'!C:C,Match($A868,'Player Raw Data'!$B:$B,0)),"")</f>
        <v/>
      </c>
      <c r="C868" t="str">
        <f t="array" ref="C868">IFERROR(INDEX('Player Raw Data'!D:D,Match($A868,'Player Raw Data'!$B:$B,0)),"")</f>
        <v/>
      </c>
      <c r="D868" t="str">
        <f t="array" ref="D868">IFERROR(IF(A868=A867, INDEX('Player Raw Data'!E:E,Match($A868,'Player Raw Data'!$B:$B,0)+2),INDEX('Player Raw Data'!E:E,Match($A868,'Player Raw Data'!$B:$B,0))),"")</f>
        <v/>
      </c>
      <c r="E868" t="str">
        <f t="array" ref="E868">IFERROR(INDEX('Player Raw Data'!F:F,Match($A868,'Player Raw Data'!$B:$B,0)),"")</f>
        <v/>
      </c>
      <c r="F868" t="str">
        <f t="array" ref="F868">IFERROR(INDEX('Player Raw Data'!H:H,Match($A868,'Player Raw Data'!$B:$B,0)),"")</f>
        <v/>
      </c>
      <c r="G868" t="str">
        <f t="array" ref="G868">IFERROR(INDEX('Player Raw Data'!I:I,Match($A868,'Player Raw Data'!$B:$B,0)),"")</f>
        <v/>
      </c>
      <c r="H868" t="str">
        <f t="array" ref="H868">IFERROR(INDEX('Player Raw Data'!J:J,Match($A868,'Player Raw Data'!$B:$B,0)),"")</f>
        <v/>
      </c>
      <c r="I868" t="str">
        <f t="array" ref="I868">IFERROR(INDEX('Player Raw Data'!S:S,Match($A868,'Player Raw Data'!$B:$B,0)),"")</f>
        <v/>
      </c>
      <c r="J868" t="str">
        <f t="array" ref="J868">IFERROR(INDEX('Player Raw Data'!T:T,Match($A868,'Player Raw Data'!$B:$B,0)),"")</f>
        <v/>
      </c>
      <c r="K868" t="str">
        <f t="array" ref="K868">IFERROR(INDEX('Player Raw Data'!X:X,Match($A868,'Player Raw Data'!$B:$B,0)),"")</f>
        <v/>
      </c>
      <c r="L868" t="str">
        <f t="array" ref="L868">IFERROR(INDEX('Player Raw Data'!Y:Y,Match($A868,'Player Raw Data'!$B:$B,0)),"")</f>
        <v/>
      </c>
      <c r="M868" t="str">
        <f t="array" ref="M868">IFERROR(INDEX('Player Raw Data'!Z:Z,Match($A868,'Player Raw Data'!$B:$B,0)),"")</f>
        <v/>
      </c>
      <c r="N868" t="str">
        <f t="array" ref="N868">IFERROR(INDEX('Player Raw Data'!AA:AA,Match($A868,'Player Raw Data'!$B:$B,0)),"")</f>
        <v/>
      </c>
      <c r="O868" t="str">
        <f t="array" ref="O868">IFERROR(INDEX('Player Raw Data'!AB:AB,Match($A868,'Player Raw Data'!$B:$B,0)),"")</f>
        <v/>
      </c>
      <c r="P868" t="str">
        <f t="array" ref="P868">IFERROR(INDEX('Player Raw Data'!AD:AD,Match($A868,'Player Raw Data'!$B:$B,0)),"")</f>
        <v/>
      </c>
      <c r="Q868">
        <f t="shared" si="1"/>
        <v>0</v>
      </c>
      <c r="R868" s="9">
        <f t="shared" si="2"/>
        <v>0</v>
      </c>
      <c r="S868" s="14">
        <f t="shared" si="3"/>
        <v>0</v>
      </c>
      <c r="T868" s="15">
        <f>IFERROR(__xludf.DUMMYFUNCTION("IFERROR(PERCENTRANK.INC(FILTER(Q:Q,$F:$F&lt;&gt;""""),Q868)*100,"""")"),1.5)</f>
        <v>1.5</v>
      </c>
      <c r="U868" s="15">
        <f>IFERROR(__xludf.DUMMYFUNCTION("IFERROR(PERCENTRANK.INC(FILTER(R:R,$F:$F&lt;&gt;""""),R868)*100,"""")"),1.5)</f>
        <v>1.5</v>
      </c>
      <c r="V868" s="15">
        <f>IFERROR(__xludf.DUMMYFUNCTION("IFERROR(PERCENTRANK.INC(FILTER(S:S,$F:$F&lt;&gt;""""),S868)*100,"""")"),1.5)</f>
        <v>1.5</v>
      </c>
      <c r="W868" s="15" t="str">
        <f t="shared" si="4"/>
        <v/>
      </c>
      <c r="X868" s="16"/>
      <c r="Y868" s="9"/>
      <c r="Z868" s="9"/>
    </row>
    <row r="869">
      <c r="B869" t="str">
        <f t="array" ref="B869">IFERROR(INDEX('Player Raw Data'!C:C,Match($A869,'Player Raw Data'!$B:$B,0)),"")</f>
        <v/>
      </c>
      <c r="C869" t="str">
        <f t="array" ref="C869">IFERROR(INDEX('Player Raw Data'!D:D,Match($A869,'Player Raw Data'!$B:$B,0)),"")</f>
        <v/>
      </c>
      <c r="D869" t="str">
        <f t="array" ref="D869">IFERROR(IF(A869=A868, INDEX('Player Raw Data'!E:E,Match($A869,'Player Raw Data'!$B:$B,0)+2),INDEX('Player Raw Data'!E:E,Match($A869,'Player Raw Data'!$B:$B,0))),"")</f>
        <v/>
      </c>
      <c r="E869" t="str">
        <f t="array" ref="E869">IFERROR(INDEX('Player Raw Data'!F:F,Match($A869,'Player Raw Data'!$B:$B,0)),"")</f>
        <v/>
      </c>
      <c r="F869" t="str">
        <f t="array" ref="F869">IFERROR(INDEX('Player Raw Data'!H:H,Match($A869,'Player Raw Data'!$B:$B,0)),"")</f>
        <v/>
      </c>
      <c r="G869" t="str">
        <f t="array" ref="G869">IFERROR(INDEX('Player Raw Data'!I:I,Match($A869,'Player Raw Data'!$B:$B,0)),"")</f>
        <v/>
      </c>
      <c r="H869" t="str">
        <f t="array" ref="H869">IFERROR(INDEX('Player Raw Data'!J:J,Match($A869,'Player Raw Data'!$B:$B,0)),"")</f>
        <v/>
      </c>
      <c r="I869" t="str">
        <f t="array" ref="I869">IFERROR(INDEX('Player Raw Data'!S:S,Match($A869,'Player Raw Data'!$B:$B,0)),"")</f>
        <v/>
      </c>
      <c r="J869" t="str">
        <f t="array" ref="J869">IFERROR(INDEX('Player Raw Data'!T:T,Match($A869,'Player Raw Data'!$B:$B,0)),"")</f>
        <v/>
      </c>
      <c r="K869" t="str">
        <f t="array" ref="K869">IFERROR(INDEX('Player Raw Data'!X:X,Match($A869,'Player Raw Data'!$B:$B,0)),"")</f>
        <v/>
      </c>
      <c r="L869" t="str">
        <f t="array" ref="L869">IFERROR(INDEX('Player Raw Data'!Y:Y,Match($A869,'Player Raw Data'!$B:$B,0)),"")</f>
        <v/>
      </c>
      <c r="M869" t="str">
        <f t="array" ref="M869">IFERROR(INDEX('Player Raw Data'!Z:Z,Match($A869,'Player Raw Data'!$B:$B,0)),"")</f>
        <v/>
      </c>
      <c r="N869" t="str">
        <f t="array" ref="N869">IFERROR(INDEX('Player Raw Data'!AA:AA,Match($A869,'Player Raw Data'!$B:$B,0)),"")</f>
        <v/>
      </c>
      <c r="O869" t="str">
        <f t="array" ref="O869">IFERROR(INDEX('Player Raw Data'!AB:AB,Match($A869,'Player Raw Data'!$B:$B,0)),"")</f>
        <v/>
      </c>
      <c r="P869" t="str">
        <f t="array" ref="P869">IFERROR(INDEX('Player Raw Data'!AD:AD,Match($A869,'Player Raw Data'!$B:$B,0)),"")</f>
        <v/>
      </c>
      <c r="Q869">
        <f t="shared" si="1"/>
        <v>0</v>
      </c>
      <c r="R869" s="9">
        <f t="shared" si="2"/>
        <v>0</v>
      </c>
      <c r="S869" s="14">
        <f t="shared" si="3"/>
        <v>0</v>
      </c>
      <c r="T869" s="15">
        <f>IFERROR(__xludf.DUMMYFUNCTION("IFERROR(PERCENTRANK.INC(FILTER(Q:Q,$F:$F&lt;&gt;""""),Q869)*100,"""")"),1.5)</f>
        <v>1.5</v>
      </c>
      <c r="U869" s="15">
        <f>IFERROR(__xludf.DUMMYFUNCTION("IFERROR(PERCENTRANK.INC(FILTER(R:R,$F:$F&lt;&gt;""""),R869)*100,"""")"),1.5)</f>
        <v>1.5</v>
      </c>
      <c r="V869" s="15">
        <f>IFERROR(__xludf.DUMMYFUNCTION("IFERROR(PERCENTRANK.INC(FILTER(S:S,$F:$F&lt;&gt;""""),S869)*100,"""")"),1.5)</f>
        <v>1.5</v>
      </c>
      <c r="W869" s="15" t="str">
        <f t="shared" si="4"/>
        <v/>
      </c>
      <c r="X869" s="16"/>
      <c r="Y869" s="9"/>
      <c r="Z869" s="9"/>
    </row>
    <row r="870">
      <c r="B870" t="str">
        <f t="array" ref="B870">IFERROR(INDEX('Player Raw Data'!C:C,Match($A870,'Player Raw Data'!$B:$B,0)),"")</f>
        <v/>
      </c>
      <c r="C870" t="str">
        <f t="array" ref="C870">IFERROR(INDEX('Player Raw Data'!D:D,Match($A870,'Player Raw Data'!$B:$B,0)),"")</f>
        <v/>
      </c>
      <c r="D870" t="str">
        <f t="array" ref="D870">IFERROR(IF(A870=A869, INDEX('Player Raw Data'!E:E,Match($A870,'Player Raw Data'!$B:$B,0)+2),INDEX('Player Raw Data'!E:E,Match($A870,'Player Raw Data'!$B:$B,0))),"")</f>
        <v/>
      </c>
      <c r="E870" t="str">
        <f t="array" ref="E870">IFERROR(INDEX('Player Raw Data'!F:F,Match($A870,'Player Raw Data'!$B:$B,0)),"")</f>
        <v/>
      </c>
      <c r="F870" t="str">
        <f t="array" ref="F870">IFERROR(INDEX('Player Raw Data'!H:H,Match($A870,'Player Raw Data'!$B:$B,0)),"")</f>
        <v/>
      </c>
      <c r="G870" t="str">
        <f t="array" ref="G870">IFERROR(INDEX('Player Raw Data'!I:I,Match($A870,'Player Raw Data'!$B:$B,0)),"")</f>
        <v/>
      </c>
      <c r="H870" t="str">
        <f t="array" ref="H870">IFERROR(INDEX('Player Raw Data'!J:J,Match($A870,'Player Raw Data'!$B:$B,0)),"")</f>
        <v/>
      </c>
      <c r="I870" t="str">
        <f t="array" ref="I870">IFERROR(INDEX('Player Raw Data'!S:S,Match($A870,'Player Raw Data'!$B:$B,0)),"")</f>
        <v/>
      </c>
      <c r="J870" t="str">
        <f t="array" ref="J870">IFERROR(INDEX('Player Raw Data'!T:T,Match($A870,'Player Raw Data'!$B:$B,0)),"")</f>
        <v/>
      </c>
      <c r="K870" t="str">
        <f t="array" ref="K870">IFERROR(INDEX('Player Raw Data'!X:X,Match($A870,'Player Raw Data'!$B:$B,0)),"")</f>
        <v/>
      </c>
      <c r="L870" t="str">
        <f t="array" ref="L870">IFERROR(INDEX('Player Raw Data'!Y:Y,Match($A870,'Player Raw Data'!$B:$B,0)),"")</f>
        <v/>
      </c>
      <c r="M870" t="str">
        <f t="array" ref="M870">IFERROR(INDEX('Player Raw Data'!Z:Z,Match($A870,'Player Raw Data'!$B:$B,0)),"")</f>
        <v/>
      </c>
      <c r="N870" t="str">
        <f t="array" ref="N870">IFERROR(INDEX('Player Raw Data'!AA:AA,Match($A870,'Player Raw Data'!$B:$B,0)),"")</f>
        <v/>
      </c>
      <c r="O870" t="str">
        <f t="array" ref="O870">IFERROR(INDEX('Player Raw Data'!AB:AB,Match($A870,'Player Raw Data'!$B:$B,0)),"")</f>
        <v/>
      </c>
      <c r="P870" t="str">
        <f t="array" ref="P870">IFERROR(INDEX('Player Raw Data'!AD:AD,Match($A870,'Player Raw Data'!$B:$B,0)),"")</f>
        <v/>
      </c>
      <c r="Q870">
        <f t="shared" si="1"/>
        <v>0</v>
      </c>
      <c r="R870" s="9">
        <f t="shared" si="2"/>
        <v>0</v>
      </c>
      <c r="S870" s="14">
        <f t="shared" si="3"/>
        <v>0</v>
      </c>
      <c r="T870" s="15">
        <f>IFERROR(__xludf.DUMMYFUNCTION("IFERROR(PERCENTRANK.INC(FILTER(Q:Q,$F:$F&lt;&gt;""""),Q870)*100,"""")"),1.5)</f>
        <v>1.5</v>
      </c>
      <c r="U870" s="15">
        <f>IFERROR(__xludf.DUMMYFUNCTION("IFERROR(PERCENTRANK.INC(FILTER(R:R,$F:$F&lt;&gt;""""),R870)*100,"""")"),1.5)</f>
        <v>1.5</v>
      </c>
      <c r="V870" s="15">
        <f>IFERROR(__xludf.DUMMYFUNCTION("IFERROR(PERCENTRANK.INC(FILTER(S:S,$F:$F&lt;&gt;""""),S870)*100,"""")"),1.5)</f>
        <v>1.5</v>
      </c>
      <c r="W870" s="15" t="str">
        <f t="shared" si="4"/>
        <v/>
      </c>
      <c r="X870" s="16"/>
      <c r="Y870" s="9"/>
      <c r="Z870" s="9"/>
    </row>
    <row r="871">
      <c r="B871" t="str">
        <f t="array" ref="B871">IFERROR(INDEX('Player Raw Data'!C:C,Match($A871,'Player Raw Data'!$B:$B,0)),"")</f>
        <v/>
      </c>
      <c r="C871" t="str">
        <f t="array" ref="C871">IFERROR(INDEX('Player Raw Data'!D:D,Match($A871,'Player Raw Data'!$B:$B,0)),"")</f>
        <v/>
      </c>
      <c r="D871" t="str">
        <f t="array" ref="D871">IFERROR(IF(A871=A870, INDEX('Player Raw Data'!E:E,Match($A871,'Player Raw Data'!$B:$B,0)+2),INDEX('Player Raw Data'!E:E,Match($A871,'Player Raw Data'!$B:$B,0))),"")</f>
        <v/>
      </c>
      <c r="E871" t="str">
        <f t="array" ref="E871">IFERROR(INDEX('Player Raw Data'!F:F,Match($A871,'Player Raw Data'!$B:$B,0)),"")</f>
        <v/>
      </c>
      <c r="F871" t="str">
        <f t="array" ref="F871">IFERROR(INDEX('Player Raw Data'!H:H,Match($A871,'Player Raw Data'!$B:$B,0)),"")</f>
        <v/>
      </c>
      <c r="G871" t="str">
        <f t="array" ref="G871">IFERROR(INDEX('Player Raw Data'!I:I,Match($A871,'Player Raw Data'!$B:$B,0)),"")</f>
        <v/>
      </c>
      <c r="H871" t="str">
        <f t="array" ref="H871">IFERROR(INDEX('Player Raw Data'!J:J,Match($A871,'Player Raw Data'!$B:$B,0)),"")</f>
        <v/>
      </c>
      <c r="I871" t="str">
        <f t="array" ref="I871">IFERROR(INDEX('Player Raw Data'!S:S,Match($A871,'Player Raw Data'!$B:$B,0)),"")</f>
        <v/>
      </c>
      <c r="J871" t="str">
        <f t="array" ref="J871">IFERROR(INDEX('Player Raw Data'!T:T,Match($A871,'Player Raw Data'!$B:$B,0)),"")</f>
        <v/>
      </c>
      <c r="K871" t="str">
        <f t="array" ref="K871">IFERROR(INDEX('Player Raw Data'!X:X,Match($A871,'Player Raw Data'!$B:$B,0)),"")</f>
        <v/>
      </c>
      <c r="L871" t="str">
        <f t="array" ref="L871">IFERROR(INDEX('Player Raw Data'!Y:Y,Match($A871,'Player Raw Data'!$B:$B,0)),"")</f>
        <v/>
      </c>
      <c r="M871" t="str">
        <f t="array" ref="M871">IFERROR(INDEX('Player Raw Data'!Z:Z,Match($A871,'Player Raw Data'!$B:$B,0)),"")</f>
        <v/>
      </c>
      <c r="N871" t="str">
        <f t="array" ref="N871">IFERROR(INDEX('Player Raw Data'!AA:AA,Match($A871,'Player Raw Data'!$B:$B,0)),"")</f>
        <v/>
      </c>
      <c r="O871" t="str">
        <f t="array" ref="O871">IFERROR(INDEX('Player Raw Data'!AB:AB,Match($A871,'Player Raw Data'!$B:$B,0)),"")</f>
        <v/>
      </c>
      <c r="P871" t="str">
        <f t="array" ref="P871">IFERROR(INDEX('Player Raw Data'!AD:AD,Match($A871,'Player Raw Data'!$B:$B,0)),"")</f>
        <v/>
      </c>
      <c r="Q871">
        <f t="shared" si="1"/>
        <v>0</v>
      </c>
      <c r="R871" s="9">
        <f t="shared" si="2"/>
        <v>0</v>
      </c>
      <c r="S871" s="14">
        <f t="shared" si="3"/>
        <v>0</v>
      </c>
      <c r="T871" s="15">
        <f>IFERROR(__xludf.DUMMYFUNCTION("IFERROR(PERCENTRANK.INC(FILTER(Q:Q,$F:$F&lt;&gt;""""),Q871)*100,"""")"),1.5)</f>
        <v>1.5</v>
      </c>
      <c r="U871" s="15">
        <f>IFERROR(__xludf.DUMMYFUNCTION("IFERROR(PERCENTRANK.INC(FILTER(R:R,$F:$F&lt;&gt;""""),R871)*100,"""")"),1.5)</f>
        <v>1.5</v>
      </c>
      <c r="V871" s="15">
        <f>IFERROR(__xludf.DUMMYFUNCTION("IFERROR(PERCENTRANK.INC(FILTER(S:S,$F:$F&lt;&gt;""""),S871)*100,"""")"),1.5)</f>
        <v>1.5</v>
      </c>
      <c r="W871" s="15" t="str">
        <f t="shared" si="4"/>
        <v/>
      </c>
      <c r="X871" s="16"/>
      <c r="Y871" s="9"/>
      <c r="Z871" s="9"/>
    </row>
    <row r="872">
      <c r="B872" t="str">
        <f t="array" ref="B872">IFERROR(INDEX('Player Raw Data'!C:C,Match($A872,'Player Raw Data'!$B:$B,0)),"")</f>
        <v/>
      </c>
      <c r="C872" t="str">
        <f t="array" ref="C872">IFERROR(INDEX('Player Raw Data'!D:D,Match($A872,'Player Raw Data'!$B:$B,0)),"")</f>
        <v/>
      </c>
      <c r="D872" t="str">
        <f t="array" ref="D872">IFERROR(IF(A872=A871, INDEX('Player Raw Data'!E:E,Match($A872,'Player Raw Data'!$B:$B,0)+2),INDEX('Player Raw Data'!E:E,Match($A872,'Player Raw Data'!$B:$B,0))),"")</f>
        <v/>
      </c>
      <c r="E872" t="str">
        <f t="array" ref="E872">IFERROR(INDEX('Player Raw Data'!F:F,Match($A872,'Player Raw Data'!$B:$B,0)),"")</f>
        <v/>
      </c>
      <c r="F872" t="str">
        <f t="array" ref="F872">IFERROR(INDEX('Player Raw Data'!H:H,Match($A872,'Player Raw Data'!$B:$B,0)),"")</f>
        <v/>
      </c>
      <c r="G872" t="str">
        <f t="array" ref="G872">IFERROR(INDEX('Player Raw Data'!I:I,Match($A872,'Player Raw Data'!$B:$B,0)),"")</f>
        <v/>
      </c>
      <c r="H872" t="str">
        <f t="array" ref="H872">IFERROR(INDEX('Player Raw Data'!J:J,Match($A872,'Player Raw Data'!$B:$B,0)),"")</f>
        <v/>
      </c>
      <c r="I872" t="str">
        <f t="array" ref="I872">IFERROR(INDEX('Player Raw Data'!S:S,Match($A872,'Player Raw Data'!$B:$B,0)),"")</f>
        <v/>
      </c>
      <c r="J872" t="str">
        <f t="array" ref="J872">IFERROR(INDEX('Player Raw Data'!T:T,Match($A872,'Player Raw Data'!$B:$B,0)),"")</f>
        <v/>
      </c>
      <c r="K872" t="str">
        <f t="array" ref="K872">IFERROR(INDEX('Player Raw Data'!X:X,Match($A872,'Player Raw Data'!$B:$B,0)),"")</f>
        <v/>
      </c>
      <c r="L872" t="str">
        <f t="array" ref="L872">IFERROR(INDEX('Player Raw Data'!Y:Y,Match($A872,'Player Raw Data'!$B:$B,0)),"")</f>
        <v/>
      </c>
      <c r="M872" t="str">
        <f t="array" ref="M872">IFERROR(INDEX('Player Raw Data'!Z:Z,Match($A872,'Player Raw Data'!$B:$B,0)),"")</f>
        <v/>
      </c>
      <c r="N872" t="str">
        <f t="array" ref="N872">IFERROR(INDEX('Player Raw Data'!AA:AA,Match($A872,'Player Raw Data'!$B:$B,0)),"")</f>
        <v/>
      </c>
      <c r="O872" t="str">
        <f t="array" ref="O872">IFERROR(INDEX('Player Raw Data'!AB:AB,Match($A872,'Player Raw Data'!$B:$B,0)),"")</f>
        <v/>
      </c>
      <c r="P872" t="str">
        <f t="array" ref="P872">IFERROR(INDEX('Player Raw Data'!AD:AD,Match($A872,'Player Raw Data'!$B:$B,0)),"")</f>
        <v/>
      </c>
      <c r="Q872">
        <f t="shared" si="1"/>
        <v>0</v>
      </c>
      <c r="R872" s="9">
        <f t="shared" si="2"/>
        <v>0</v>
      </c>
      <c r="S872" s="14">
        <f t="shared" si="3"/>
        <v>0</v>
      </c>
      <c r="T872" s="15">
        <f>IFERROR(__xludf.DUMMYFUNCTION("IFERROR(PERCENTRANK.INC(FILTER(Q:Q,$F:$F&lt;&gt;""""),Q872)*100,"""")"),1.5)</f>
        <v>1.5</v>
      </c>
      <c r="U872" s="15">
        <f>IFERROR(__xludf.DUMMYFUNCTION("IFERROR(PERCENTRANK.INC(FILTER(R:R,$F:$F&lt;&gt;""""),R872)*100,"""")"),1.5)</f>
        <v>1.5</v>
      </c>
      <c r="V872" s="15">
        <f>IFERROR(__xludf.DUMMYFUNCTION("IFERROR(PERCENTRANK.INC(FILTER(S:S,$F:$F&lt;&gt;""""),S872)*100,"""")"),1.5)</f>
        <v>1.5</v>
      </c>
      <c r="W872" s="15" t="str">
        <f t="shared" si="4"/>
        <v/>
      </c>
      <c r="X872" s="16"/>
      <c r="Y872" s="9"/>
      <c r="Z872" s="9"/>
    </row>
    <row r="873">
      <c r="B873" t="str">
        <f t="array" ref="B873">IFERROR(INDEX('Player Raw Data'!C:C,Match($A873,'Player Raw Data'!$B:$B,0)),"")</f>
        <v/>
      </c>
      <c r="C873" t="str">
        <f t="array" ref="C873">IFERROR(INDEX('Player Raw Data'!D:D,Match($A873,'Player Raw Data'!$B:$B,0)),"")</f>
        <v/>
      </c>
      <c r="D873" t="str">
        <f t="array" ref="D873">IFERROR(IF(A873=A872, INDEX('Player Raw Data'!E:E,Match($A873,'Player Raw Data'!$B:$B,0)+2),INDEX('Player Raw Data'!E:E,Match($A873,'Player Raw Data'!$B:$B,0))),"")</f>
        <v/>
      </c>
      <c r="E873" t="str">
        <f t="array" ref="E873">IFERROR(INDEX('Player Raw Data'!F:F,Match($A873,'Player Raw Data'!$B:$B,0)),"")</f>
        <v/>
      </c>
      <c r="F873" t="str">
        <f t="array" ref="F873">IFERROR(INDEX('Player Raw Data'!H:H,Match($A873,'Player Raw Data'!$B:$B,0)),"")</f>
        <v/>
      </c>
      <c r="G873" t="str">
        <f t="array" ref="G873">IFERROR(INDEX('Player Raw Data'!I:I,Match($A873,'Player Raw Data'!$B:$B,0)),"")</f>
        <v/>
      </c>
      <c r="H873" t="str">
        <f t="array" ref="H873">IFERROR(INDEX('Player Raw Data'!J:J,Match($A873,'Player Raw Data'!$B:$B,0)),"")</f>
        <v/>
      </c>
      <c r="I873" t="str">
        <f t="array" ref="I873">IFERROR(INDEX('Player Raw Data'!S:S,Match($A873,'Player Raw Data'!$B:$B,0)),"")</f>
        <v/>
      </c>
      <c r="J873" t="str">
        <f t="array" ref="J873">IFERROR(INDEX('Player Raw Data'!T:T,Match($A873,'Player Raw Data'!$B:$B,0)),"")</f>
        <v/>
      </c>
      <c r="K873" t="str">
        <f t="array" ref="K873">IFERROR(INDEX('Player Raw Data'!X:X,Match($A873,'Player Raw Data'!$B:$B,0)),"")</f>
        <v/>
      </c>
      <c r="L873" t="str">
        <f t="array" ref="L873">IFERROR(INDEX('Player Raw Data'!Y:Y,Match($A873,'Player Raw Data'!$B:$B,0)),"")</f>
        <v/>
      </c>
      <c r="M873" t="str">
        <f t="array" ref="M873">IFERROR(INDEX('Player Raw Data'!Z:Z,Match($A873,'Player Raw Data'!$B:$B,0)),"")</f>
        <v/>
      </c>
      <c r="N873" t="str">
        <f t="array" ref="N873">IFERROR(INDEX('Player Raw Data'!AA:AA,Match($A873,'Player Raw Data'!$B:$B,0)),"")</f>
        <v/>
      </c>
      <c r="O873" t="str">
        <f t="array" ref="O873">IFERROR(INDEX('Player Raw Data'!AB:AB,Match($A873,'Player Raw Data'!$B:$B,0)),"")</f>
        <v/>
      </c>
      <c r="P873" t="str">
        <f t="array" ref="P873">IFERROR(INDEX('Player Raw Data'!AD:AD,Match($A873,'Player Raw Data'!$B:$B,0)),"")</f>
        <v/>
      </c>
      <c r="Q873">
        <f t="shared" si="1"/>
        <v>0</v>
      </c>
      <c r="R873" s="9">
        <f t="shared" si="2"/>
        <v>0</v>
      </c>
      <c r="S873" s="14">
        <f t="shared" si="3"/>
        <v>0</v>
      </c>
      <c r="T873" s="15">
        <f>IFERROR(__xludf.DUMMYFUNCTION("IFERROR(PERCENTRANK.INC(FILTER(Q:Q,$F:$F&lt;&gt;""""),Q873)*100,"""")"),1.5)</f>
        <v>1.5</v>
      </c>
      <c r="U873" s="15">
        <f>IFERROR(__xludf.DUMMYFUNCTION("IFERROR(PERCENTRANK.INC(FILTER(R:R,$F:$F&lt;&gt;""""),R873)*100,"""")"),1.5)</f>
        <v>1.5</v>
      </c>
      <c r="V873" s="15">
        <f>IFERROR(__xludf.DUMMYFUNCTION("IFERROR(PERCENTRANK.INC(FILTER(S:S,$F:$F&lt;&gt;""""),S873)*100,"""")"),1.5)</f>
        <v>1.5</v>
      </c>
      <c r="W873" s="15" t="str">
        <f t="shared" si="4"/>
        <v/>
      </c>
      <c r="X873" s="16"/>
      <c r="Y873" s="9"/>
      <c r="Z873" s="9"/>
    </row>
    <row r="874">
      <c r="B874" t="str">
        <f t="array" ref="B874">IFERROR(INDEX('Player Raw Data'!C:C,Match($A874,'Player Raw Data'!$B:$B,0)),"")</f>
        <v/>
      </c>
      <c r="C874" t="str">
        <f t="array" ref="C874">IFERROR(INDEX('Player Raw Data'!D:D,Match($A874,'Player Raw Data'!$B:$B,0)),"")</f>
        <v/>
      </c>
      <c r="D874" t="str">
        <f t="array" ref="D874">IFERROR(IF(A874=A873, INDEX('Player Raw Data'!E:E,Match($A874,'Player Raw Data'!$B:$B,0)+2),INDEX('Player Raw Data'!E:E,Match($A874,'Player Raw Data'!$B:$B,0))),"")</f>
        <v/>
      </c>
      <c r="E874" t="str">
        <f t="array" ref="E874">IFERROR(INDEX('Player Raw Data'!F:F,Match($A874,'Player Raw Data'!$B:$B,0)),"")</f>
        <v/>
      </c>
      <c r="F874" t="str">
        <f t="array" ref="F874">IFERROR(INDEX('Player Raw Data'!H:H,Match($A874,'Player Raw Data'!$B:$B,0)),"")</f>
        <v/>
      </c>
      <c r="G874" t="str">
        <f t="array" ref="G874">IFERROR(INDEX('Player Raw Data'!I:I,Match($A874,'Player Raw Data'!$B:$B,0)),"")</f>
        <v/>
      </c>
      <c r="H874" t="str">
        <f t="array" ref="H874">IFERROR(INDEX('Player Raw Data'!J:J,Match($A874,'Player Raw Data'!$B:$B,0)),"")</f>
        <v/>
      </c>
      <c r="I874" t="str">
        <f t="array" ref="I874">IFERROR(INDEX('Player Raw Data'!S:S,Match($A874,'Player Raw Data'!$B:$B,0)),"")</f>
        <v/>
      </c>
      <c r="J874" t="str">
        <f t="array" ref="J874">IFERROR(INDEX('Player Raw Data'!T:T,Match($A874,'Player Raw Data'!$B:$B,0)),"")</f>
        <v/>
      </c>
      <c r="K874" t="str">
        <f t="array" ref="K874">IFERROR(INDEX('Player Raw Data'!X:X,Match($A874,'Player Raw Data'!$B:$B,0)),"")</f>
        <v/>
      </c>
      <c r="L874" t="str">
        <f t="array" ref="L874">IFERROR(INDEX('Player Raw Data'!Y:Y,Match($A874,'Player Raw Data'!$B:$B,0)),"")</f>
        <v/>
      </c>
      <c r="M874" t="str">
        <f t="array" ref="M874">IFERROR(INDEX('Player Raw Data'!Z:Z,Match($A874,'Player Raw Data'!$B:$B,0)),"")</f>
        <v/>
      </c>
      <c r="N874" t="str">
        <f t="array" ref="N874">IFERROR(INDEX('Player Raw Data'!AA:AA,Match($A874,'Player Raw Data'!$B:$B,0)),"")</f>
        <v/>
      </c>
      <c r="O874" t="str">
        <f t="array" ref="O874">IFERROR(INDEX('Player Raw Data'!AB:AB,Match($A874,'Player Raw Data'!$B:$B,0)),"")</f>
        <v/>
      </c>
      <c r="P874" t="str">
        <f t="array" ref="P874">IFERROR(INDEX('Player Raw Data'!AD:AD,Match($A874,'Player Raw Data'!$B:$B,0)),"")</f>
        <v/>
      </c>
      <c r="Q874">
        <f t="shared" si="1"/>
        <v>0</v>
      </c>
      <c r="R874" s="9">
        <f t="shared" si="2"/>
        <v>0</v>
      </c>
      <c r="S874" s="14">
        <f t="shared" si="3"/>
        <v>0</v>
      </c>
      <c r="T874" s="15">
        <f>IFERROR(__xludf.DUMMYFUNCTION("IFERROR(PERCENTRANK.INC(FILTER(Q:Q,$F:$F&lt;&gt;""""),Q874)*100,"""")"),1.5)</f>
        <v>1.5</v>
      </c>
      <c r="U874" s="15">
        <f>IFERROR(__xludf.DUMMYFUNCTION("IFERROR(PERCENTRANK.INC(FILTER(R:R,$F:$F&lt;&gt;""""),R874)*100,"""")"),1.5)</f>
        <v>1.5</v>
      </c>
      <c r="V874" s="15">
        <f>IFERROR(__xludf.DUMMYFUNCTION("IFERROR(PERCENTRANK.INC(FILTER(S:S,$F:$F&lt;&gt;""""),S874)*100,"""")"),1.5)</f>
        <v>1.5</v>
      </c>
      <c r="W874" s="15" t="str">
        <f t="shared" si="4"/>
        <v/>
      </c>
      <c r="X874" s="16"/>
      <c r="Y874" s="9"/>
      <c r="Z874" s="9"/>
    </row>
    <row r="875">
      <c r="B875" t="str">
        <f t="array" ref="B875">IFERROR(INDEX('Player Raw Data'!C:C,Match($A875,'Player Raw Data'!$B:$B,0)),"")</f>
        <v/>
      </c>
      <c r="C875" t="str">
        <f t="array" ref="C875">IFERROR(INDEX('Player Raw Data'!D:D,Match($A875,'Player Raw Data'!$B:$B,0)),"")</f>
        <v/>
      </c>
      <c r="D875" t="str">
        <f t="array" ref="D875">IFERROR(IF(A875=A874, INDEX('Player Raw Data'!E:E,Match($A875,'Player Raw Data'!$B:$B,0)+2),INDEX('Player Raw Data'!E:E,Match($A875,'Player Raw Data'!$B:$B,0))),"")</f>
        <v/>
      </c>
      <c r="E875" t="str">
        <f t="array" ref="E875">IFERROR(INDEX('Player Raw Data'!F:F,Match($A875,'Player Raw Data'!$B:$B,0)),"")</f>
        <v/>
      </c>
      <c r="F875" t="str">
        <f t="array" ref="F875">IFERROR(INDEX('Player Raw Data'!H:H,Match($A875,'Player Raw Data'!$B:$B,0)),"")</f>
        <v/>
      </c>
      <c r="G875" t="str">
        <f t="array" ref="G875">IFERROR(INDEX('Player Raw Data'!I:I,Match($A875,'Player Raw Data'!$B:$B,0)),"")</f>
        <v/>
      </c>
      <c r="H875" t="str">
        <f t="array" ref="H875">IFERROR(INDEX('Player Raw Data'!J:J,Match($A875,'Player Raw Data'!$B:$B,0)),"")</f>
        <v/>
      </c>
      <c r="I875" t="str">
        <f t="array" ref="I875">IFERROR(INDEX('Player Raw Data'!S:S,Match($A875,'Player Raw Data'!$B:$B,0)),"")</f>
        <v/>
      </c>
      <c r="J875" t="str">
        <f t="array" ref="J875">IFERROR(INDEX('Player Raw Data'!T:T,Match($A875,'Player Raw Data'!$B:$B,0)),"")</f>
        <v/>
      </c>
      <c r="K875" t="str">
        <f t="array" ref="K875">IFERROR(INDEX('Player Raw Data'!X:X,Match($A875,'Player Raw Data'!$B:$B,0)),"")</f>
        <v/>
      </c>
      <c r="L875" t="str">
        <f t="array" ref="L875">IFERROR(INDEX('Player Raw Data'!Y:Y,Match($A875,'Player Raw Data'!$B:$B,0)),"")</f>
        <v/>
      </c>
      <c r="M875" t="str">
        <f t="array" ref="M875">IFERROR(INDEX('Player Raw Data'!Z:Z,Match($A875,'Player Raw Data'!$B:$B,0)),"")</f>
        <v/>
      </c>
      <c r="N875" t="str">
        <f t="array" ref="N875">IFERROR(INDEX('Player Raw Data'!AA:AA,Match($A875,'Player Raw Data'!$B:$B,0)),"")</f>
        <v/>
      </c>
      <c r="O875" t="str">
        <f t="array" ref="O875">IFERROR(INDEX('Player Raw Data'!AB:AB,Match($A875,'Player Raw Data'!$B:$B,0)),"")</f>
        <v/>
      </c>
      <c r="P875" t="str">
        <f t="array" ref="P875">IFERROR(INDEX('Player Raw Data'!AD:AD,Match($A875,'Player Raw Data'!$B:$B,0)),"")</f>
        <v/>
      </c>
      <c r="Q875">
        <f t="shared" si="1"/>
        <v>0</v>
      </c>
      <c r="R875" s="9">
        <f t="shared" si="2"/>
        <v>0</v>
      </c>
      <c r="S875" s="14">
        <f t="shared" si="3"/>
        <v>0</v>
      </c>
      <c r="T875" s="15">
        <f>IFERROR(__xludf.DUMMYFUNCTION("IFERROR(PERCENTRANK.INC(FILTER(Q:Q,$F:$F&lt;&gt;""""),Q875)*100,"""")"),1.5)</f>
        <v>1.5</v>
      </c>
      <c r="U875" s="15">
        <f>IFERROR(__xludf.DUMMYFUNCTION("IFERROR(PERCENTRANK.INC(FILTER(R:R,$F:$F&lt;&gt;""""),R875)*100,"""")"),1.5)</f>
        <v>1.5</v>
      </c>
      <c r="V875" s="15">
        <f>IFERROR(__xludf.DUMMYFUNCTION("IFERROR(PERCENTRANK.INC(FILTER(S:S,$F:$F&lt;&gt;""""),S875)*100,"""")"),1.5)</f>
        <v>1.5</v>
      </c>
      <c r="W875" s="15" t="str">
        <f t="shared" si="4"/>
        <v/>
      </c>
      <c r="X875" s="16"/>
      <c r="Y875" s="9"/>
      <c r="Z875" s="9"/>
    </row>
    <row r="876">
      <c r="B876" t="str">
        <f t="array" ref="B876">IFERROR(INDEX('Player Raw Data'!C:C,Match($A876,'Player Raw Data'!$B:$B,0)),"")</f>
        <v/>
      </c>
      <c r="C876" t="str">
        <f t="array" ref="C876">IFERROR(INDEX('Player Raw Data'!D:D,Match($A876,'Player Raw Data'!$B:$B,0)),"")</f>
        <v/>
      </c>
      <c r="D876" t="str">
        <f t="array" ref="D876">IFERROR(IF(A876=A875, INDEX('Player Raw Data'!E:E,Match($A876,'Player Raw Data'!$B:$B,0)+2),INDEX('Player Raw Data'!E:E,Match($A876,'Player Raw Data'!$B:$B,0))),"")</f>
        <v/>
      </c>
      <c r="E876" t="str">
        <f t="array" ref="E876">IFERROR(INDEX('Player Raw Data'!F:F,Match($A876,'Player Raw Data'!$B:$B,0)),"")</f>
        <v/>
      </c>
      <c r="F876" t="str">
        <f t="array" ref="F876">IFERROR(INDEX('Player Raw Data'!H:H,Match($A876,'Player Raw Data'!$B:$B,0)),"")</f>
        <v/>
      </c>
      <c r="G876" t="str">
        <f t="array" ref="G876">IFERROR(INDEX('Player Raw Data'!I:I,Match($A876,'Player Raw Data'!$B:$B,0)),"")</f>
        <v/>
      </c>
      <c r="H876" t="str">
        <f t="array" ref="H876">IFERROR(INDEX('Player Raw Data'!J:J,Match($A876,'Player Raw Data'!$B:$B,0)),"")</f>
        <v/>
      </c>
      <c r="I876" t="str">
        <f t="array" ref="I876">IFERROR(INDEX('Player Raw Data'!S:S,Match($A876,'Player Raw Data'!$B:$B,0)),"")</f>
        <v/>
      </c>
      <c r="J876" t="str">
        <f t="array" ref="J876">IFERROR(INDEX('Player Raw Data'!T:T,Match($A876,'Player Raw Data'!$B:$B,0)),"")</f>
        <v/>
      </c>
      <c r="K876" t="str">
        <f t="array" ref="K876">IFERROR(INDEX('Player Raw Data'!X:X,Match($A876,'Player Raw Data'!$B:$B,0)),"")</f>
        <v/>
      </c>
      <c r="L876" t="str">
        <f t="array" ref="L876">IFERROR(INDEX('Player Raw Data'!Y:Y,Match($A876,'Player Raw Data'!$B:$B,0)),"")</f>
        <v/>
      </c>
      <c r="M876" t="str">
        <f t="array" ref="M876">IFERROR(INDEX('Player Raw Data'!Z:Z,Match($A876,'Player Raw Data'!$B:$B,0)),"")</f>
        <v/>
      </c>
      <c r="N876" t="str">
        <f t="array" ref="N876">IFERROR(INDEX('Player Raw Data'!AA:AA,Match($A876,'Player Raw Data'!$B:$B,0)),"")</f>
        <v/>
      </c>
      <c r="O876" t="str">
        <f t="array" ref="O876">IFERROR(INDEX('Player Raw Data'!AB:AB,Match($A876,'Player Raw Data'!$B:$B,0)),"")</f>
        <v/>
      </c>
      <c r="P876" t="str">
        <f t="array" ref="P876">IFERROR(INDEX('Player Raw Data'!AD:AD,Match($A876,'Player Raw Data'!$B:$B,0)),"")</f>
        <v/>
      </c>
      <c r="Q876">
        <f t="shared" si="1"/>
        <v>0</v>
      </c>
      <c r="R876" s="9">
        <f t="shared" si="2"/>
        <v>0</v>
      </c>
      <c r="S876" s="14">
        <f t="shared" si="3"/>
        <v>0</v>
      </c>
      <c r="T876" s="15">
        <f>IFERROR(__xludf.DUMMYFUNCTION("IFERROR(PERCENTRANK.INC(FILTER(Q:Q,$F:$F&lt;&gt;""""),Q876)*100,"""")"),1.5)</f>
        <v>1.5</v>
      </c>
      <c r="U876" s="15">
        <f>IFERROR(__xludf.DUMMYFUNCTION("IFERROR(PERCENTRANK.INC(FILTER(R:R,$F:$F&lt;&gt;""""),R876)*100,"""")"),1.5)</f>
        <v>1.5</v>
      </c>
      <c r="V876" s="15">
        <f>IFERROR(__xludf.DUMMYFUNCTION("IFERROR(PERCENTRANK.INC(FILTER(S:S,$F:$F&lt;&gt;""""),S876)*100,"""")"),1.5)</f>
        <v>1.5</v>
      </c>
      <c r="W876" s="15" t="str">
        <f t="shared" si="4"/>
        <v/>
      </c>
      <c r="X876" s="16"/>
      <c r="Y876" s="9"/>
      <c r="Z876" s="9"/>
    </row>
    <row r="877">
      <c r="B877" t="str">
        <f t="array" ref="B877">IFERROR(INDEX('Player Raw Data'!C:C,Match($A877,'Player Raw Data'!$B:$B,0)),"")</f>
        <v/>
      </c>
      <c r="C877" t="str">
        <f t="array" ref="C877">IFERROR(INDEX('Player Raw Data'!D:D,Match($A877,'Player Raw Data'!$B:$B,0)),"")</f>
        <v/>
      </c>
      <c r="D877" t="str">
        <f t="array" ref="D877">IFERROR(IF(A877=A876, INDEX('Player Raw Data'!E:E,Match($A877,'Player Raw Data'!$B:$B,0)+2),INDEX('Player Raw Data'!E:E,Match($A877,'Player Raw Data'!$B:$B,0))),"")</f>
        <v/>
      </c>
      <c r="E877" t="str">
        <f t="array" ref="E877">IFERROR(INDEX('Player Raw Data'!F:F,Match($A877,'Player Raw Data'!$B:$B,0)),"")</f>
        <v/>
      </c>
      <c r="F877" t="str">
        <f t="array" ref="F877">IFERROR(INDEX('Player Raw Data'!H:H,Match($A877,'Player Raw Data'!$B:$B,0)),"")</f>
        <v/>
      </c>
      <c r="G877" t="str">
        <f t="array" ref="G877">IFERROR(INDEX('Player Raw Data'!I:I,Match($A877,'Player Raw Data'!$B:$B,0)),"")</f>
        <v/>
      </c>
      <c r="H877" t="str">
        <f t="array" ref="H877">IFERROR(INDEX('Player Raw Data'!J:J,Match($A877,'Player Raw Data'!$B:$B,0)),"")</f>
        <v/>
      </c>
      <c r="I877" t="str">
        <f t="array" ref="I877">IFERROR(INDEX('Player Raw Data'!S:S,Match($A877,'Player Raw Data'!$B:$B,0)),"")</f>
        <v/>
      </c>
      <c r="J877" t="str">
        <f t="array" ref="J877">IFERROR(INDEX('Player Raw Data'!T:T,Match($A877,'Player Raw Data'!$B:$B,0)),"")</f>
        <v/>
      </c>
      <c r="K877" t="str">
        <f t="array" ref="K877">IFERROR(INDEX('Player Raw Data'!X:X,Match($A877,'Player Raw Data'!$B:$B,0)),"")</f>
        <v/>
      </c>
      <c r="L877" t="str">
        <f t="array" ref="L877">IFERROR(INDEX('Player Raw Data'!Y:Y,Match($A877,'Player Raw Data'!$B:$B,0)),"")</f>
        <v/>
      </c>
      <c r="M877" t="str">
        <f t="array" ref="M877">IFERROR(INDEX('Player Raw Data'!Z:Z,Match($A877,'Player Raw Data'!$B:$B,0)),"")</f>
        <v/>
      </c>
      <c r="N877" t="str">
        <f t="array" ref="N877">IFERROR(INDEX('Player Raw Data'!AA:AA,Match($A877,'Player Raw Data'!$B:$B,0)),"")</f>
        <v/>
      </c>
      <c r="O877" t="str">
        <f t="array" ref="O877">IFERROR(INDEX('Player Raw Data'!AB:AB,Match($A877,'Player Raw Data'!$B:$B,0)),"")</f>
        <v/>
      </c>
      <c r="P877" t="str">
        <f t="array" ref="P877">IFERROR(INDEX('Player Raw Data'!AD:AD,Match($A877,'Player Raw Data'!$B:$B,0)),"")</f>
        <v/>
      </c>
      <c r="Q877">
        <f t="shared" si="1"/>
        <v>0</v>
      </c>
      <c r="R877" s="9">
        <f t="shared" si="2"/>
        <v>0</v>
      </c>
      <c r="S877" s="14">
        <f t="shared" si="3"/>
        <v>0</v>
      </c>
      <c r="T877" s="15">
        <f>IFERROR(__xludf.DUMMYFUNCTION("IFERROR(PERCENTRANK.INC(FILTER(Q:Q,$F:$F&lt;&gt;""""),Q877)*100,"""")"),1.5)</f>
        <v>1.5</v>
      </c>
      <c r="U877" s="15">
        <f>IFERROR(__xludf.DUMMYFUNCTION("IFERROR(PERCENTRANK.INC(FILTER(R:R,$F:$F&lt;&gt;""""),R877)*100,"""")"),1.5)</f>
        <v>1.5</v>
      </c>
      <c r="V877" s="15">
        <f>IFERROR(__xludf.DUMMYFUNCTION("IFERROR(PERCENTRANK.INC(FILTER(S:S,$F:$F&lt;&gt;""""),S877)*100,"""")"),1.5)</f>
        <v>1.5</v>
      </c>
      <c r="W877" s="15" t="str">
        <f t="shared" si="4"/>
        <v/>
      </c>
      <c r="X877" s="16"/>
      <c r="Y877" s="9"/>
      <c r="Z877" s="9"/>
    </row>
    <row r="878">
      <c r="B878" t="str">
        <f t="array" ref="B878">IFERROR(INDEX('Player Raw Data'!C:C,Match($A878,'Player Raw Data'!$B:$B,0)),"")</f>
        <v/>
      </c>
      <c r="C878" t="str">
        <f t="array" ref="C878">IFERROR(INDEX('Player Raw Data'!D:D,Match($A878,'Player Raw Data'!$B:$B,0)),"")</f>
        <v/>
      </c>
      <c r="D878" t="str">
        <f t="array" ref="D878">IFERROR(IF(A878=A877, INDEX('Player Raw Data'!E:E,Match($A878,'Player Raw Data'!$B:$B,0)+2),INDEX('Player Raw Data'!E:E,Match($A878,'Player Raw Data'!$B:$B,0))),"")</f>
        <v/>
      </c>
      <c r="E878" t="str">
        <f t="array" ref="E878">IFERROR(INDEX('Player Raw Data'!F:F,Match($A878,'Player Raw Data'!$B:$B,0)),"")</f>
        <v/>
      </c>
      <c r="F878" t="str">
        <f t="array" ref="F878">IFERROR(INDEX('Player Raw Data'!H:H,Match($A878,'Player Raw Data'!$B:$B,0)),"")</f>
        <v/>
      </c>
      <c r="G878" t="str">
        <f t="array" ref="G878">IFERROR(INDEX('Player Raw Data'!I:I,Match($A878,'Player Raw Data'!$B:$B,0)),"")</f>
        <v/>
      </c>
      <c r="H878" t="str">
        <f t="array" ref="H878">IFERROR(INDEX('Player Raw Data'!J:J,Match($A878,'Player Raw Data'!$B:$B,0)),"")</f>
        <v/>
      </c>
      <c r="I878" t="str">
        <f t="array" ref="I878">IFERROR(INDEX('Player Raw Data'!S:S,Match($A878,'Player Raw Data'!$B:$B,0)),"")</f>
        <v/>
      </c>
      <c r="J878" t="str">
        <f t="array" ref="J878">IFERROR(INDEX('Player Raw Data'!T:T,Match($A878,'Player Raw Data'!$B:$B,0)),"")</f>
        <v/>
      </c>
      <c r="K878" t="str">
        <f t="array" ref="K878">IFERROR(INDEX('Player Raw Data'!X:X,Match($A878,'Player Raw Data'!$B:$B,0)),"")</f>
        <v/>
      </c>
      <c r="L878" t="str">
        <f t="array" ref="L878">IFERROR(INDEX('Player Raw Data'!Y:Y,Match($A878,'Player Raw Data'!$B:$B,0)),"")</f>
        <v/>
      </c>
      <c r="M878" t="str">
        <f t="array" ref="M878">IFERROR(INDEX('Player Raw Data'!Z:Z,Match($A878,'Player Raw Data'!$B:$B,0)),"")</f>
        <v/>
      </c>
      <c r="N878" t="str">
        <f t="array" ref="N878">IFERROR(INDEX('Player Raw Data'!AA:AA,Match($A878,'Player Raw Data'!$B:$B,0)),"")</f>
        <v/>
      </c>
      <c r="O878" t="str">
        <f t="array" ref="O878">IFERROR(INDEX('Player Raw Data'!AB:AB,Match($A878,'Player Raw Data'!$B:$B,0)),"")</f>
        <v/>
      </c>
      <c r="P878" t="str">
        <f t="array" ref="P878">IFERROR(INDEX('Player Raw Data'!AD:AD,Match($A878,'Player Raw Data'!$B:$B,0)),"")</f>
        <v/>
      </c>
      <c r="Q878">
        <f t="shared" si="1"/>
        <v>0</v>
      </c>
      <c r="R878" s="9">
        <f t="shared" si="2"/>
        <v>0</v>
      </c>
      <c r="S878" s="14">
        <f t="shared" si="3"/>
        <v>0</v>
      </c>
      <c r="T878" s="15">
        <f>IFERROR(__xludf.DUMMYFUNCTION("IFERROR(PERCENTRANK.INC(FILTER(Q:Q,$F:$F&lt;&gt;""""),Q878)*100,"""")"),1.5)</f>
        <v>1.5</v>
      </c>
      <c r="U878" s="15">
        <f>IFERROR(__xludf.DUMMYFUNCTION("IFERROR(PERCENTRANK.INC(FILTER(R:R,$F:$F&lt;&gt;""""),R878)*100,"""")"),1.5)</f>
        <v>1.5</v>
      </c>
      <c r="V878" s="15">
        <f>IFERROR(__xludf.DUMMYFUNCTION("IFERROR(PERCENTRANK.INC(FILTER(S:S,$F:$F&lt;&gt;""""),S878)*100,"""")"),1.5)</f>
        <v>1.5</v>
      </c>
      <c r="W878" s="15" t="str">
        <f t="shared" si="4"/>
        <v/>
      </c>
      <c r="X878" s="16"/>
      <c r="Y878" s="9"/>
      <c r="Z878" s="9"/>
    </row>
    <row r="879">
      <c r="B879" t="str">
        <f t="array" ref="B879">IFERROR(INDEX('Player Raw Data'!C:C,Match($A879,'Player Raw Data'!$B:$B,0)),"")</f>
        <v/>
      </c>
      <c r="C879" t="str">
        <f t="array" ref="C879">IFERROR(INDEX('Player Raw Data'!D:D,Match($A879,'Player Raw Data'!$B:$B,0)),"")</f>
        <v/>
      </c>
      <c r="D879" t="str">
        <f t="array" ref="D879">IFERROR(IF(A879=A878, INDEX('Player Raw Data'!E:E,Match($A879,'Player Raw Data'!$B:$B,0)+2),INDEX('Player Raw Data'!E:E,Match($A879,'Player Raw Data'!$B:$B,0))),"")</f>
        <v/>
      </c>
      <c r="E879" t="str">
        <f t="array" ref="E879">IFERROR(INDEX('Player Raw Data'!F:F,Match($A879,'Player Raw Data'!$B:$B,0)),"")</f>
        <v/>
      </c>
      <c r="F879" t="str">
        <f t="array" ref="F879">IFERROR(INDEX('Player Raw Data'!H:H,Match($A879,'Player Raw Data'!$B:$B,0)),"")</f>
        <v/>
      </c>
      <c r="G879" t="str">
        <f t="array" ref="G879">IFERROR(INDEX('Player Raw Data'!I:I,Match($A879,'Player Raw Data'!$B:$B,0)),"")</f>
        <v/>
      </c>
      <c r="H879" t="str">
        <f t="array" ref="H879">IFERROR(INDEX('Player Raw Data'!J:J,Match($A879,'Player Raw Data'!$B:$B,0)),"")</f>
        <v/>
      </c>
      <c r="I879" t="str">
        <f t="array" ref="I879">IFERROR(INDEX('Player Raw Data'!S:S,Match($A879,'Player Raw Data'!$B:$B,0)),"")</f>
        <v/>
      </c>
      <c r="J879" t="str">
        <f t="array" ref="J879">IFERROR(INDEX('Player Raw Data'!T:T,Match($A879,'Player Raw Data'!$B:$B,0)),"")</f>
        <v/>
      </c>
      <c r="K879" t="str">
        <f t="array" ref="K879">IFERROR(INDEX('Player Raw Data'!X:X,Match($A879,'Player Raw Data'!$B:$B,0)),"")</f>
        <v/>
      </c>
      <c r="L879" t="str">
        <f t="array" ref="L879">IFERROR(INDEX('Player Raw Data'!Y:Y,Match($A879,'Player Raw Data'!$B:$B,0)),"")</f>
        <v/>
      </c>
      <c r="M879" t="str">
        <f t="array" ref="M879">IFERROR(INDEX('Player Raw Data'!Z:Z,Match($A879,'Player Raw Data'!$B:$B,0)),"")</f>
        <v/>
      </c>
      <c r="N879" t="str">
        <f t="array" ref="N879">IFERROR(INDEX('Player Raw Data'!AA:AA,Match($A879,'Player Raw Data'!$B:$B,0)),"")</f>
        <v/>
      </c>
      <c r="O879" t="str">
        <f t="array" ref="O879">IFERROR(INDEX('Player Raw Data'!AB:AB,Match($A879,'Player Raw Data'!$B:$B,0)),"")</f>
        <v/>
      </c>
      <c r="P879" t="str">
        <f t="array" ref="P879">IFERROR(INDEX('Player Raw Data'!AD:AD,Match($A879,'Player Raw Data'!$B:$B,0)),"")</f>
        <v/>
      </c>
      <c r="Q879">
        <f t="shared" si="1"/>
        <v>0</v>
      </c>
      <c r="R879" s="9">
        <f t="shared" si="2"/>
        <v>0</v>
      </c>
      <c r="S879" s="14">
        <f t="shared" si="3"/>
        <v>0</v>
      </c>
      <c r="T879" s="15">
        <f>IFERROR(__xludf.DUMMYFUNCTION("IFERROR(PERCENTRANK.INC(FILTER(Q:Q,$F:$F&lt;&gt;""""),Q879)*100,"""")"),1.5)</f>
        <v>1.5</v>
      </c>
      <c r="U879" s="15">
        <f>IFERROR(__xludf.DUMMYFUNCTION("IFERROR(PERCENTRANK.INC(FILTER(R:R,$F:$F&lt;&gt;""""),R879)*100,"""")"),1.5)</f>
        <v>1.5</v>
      </c>
      <c r="V879" s="15">
        <f>IFERROR(__xludf.DUMMYFUNCTION("IFERROR(PERCENTRANK.INC(FILTER(S:S,$F:$F&lt;&gt;""""),S879)*100,"""")"),1.5)</f>
        <v>1.5</v>
      </c>
      <c r="W879" s="15" t="str">
        <f t="shared" si="4"/>
        <v/>
      </c>
      <c r="X879" s="16"/>
      <c r="Y879" s="9"/>
      <c r="Z879" s="9"/>
    </row>
    <row r="880">
      <c r="B880" t="str">
        <f t="array" ref="B880">IFERROR(INDEX('Player Raw Data'!C:C,Match($A880,'Player Raw Data'!$B:$B,0)),"")</f>
        <v/>
      </c>
      <c r="C880" t="str">
        <f t="array" ref="C880">IFERROR(INDEX('Player Raw Data'!D:D,Match($A880,'Player Raw Data'!$B:$B,0)),"")</f>
        <v/>
      </c>
      <c r="D880" t="str">
        <f t="array" ref="D880">IFERROR(IF(A880=A879, INDEX('Player Raw Data'!E:E,Match($A880,'Player Raw Data'!$B:$B,0)+2),INDEX('Player Raw Data'!E:E,Match($A880,'Player Raw Data'!$B:$B,0))),"")</f>
        <v/>
      </c>
      <c r="E880" t="str">
        <f t="array" ref="E880">IFERROR(INDEX('Player Raw Data'!F:F,Match($A880,'Player Raw Data'!$B:$B,0)),"")</f>
        <v/>
      </c>
      <c r="F880" t="str">
        <f t="array" ref="F880">IFERROR(INDEX('Player Raw Data'!H:H,Match($A880,'Player Raw Data'!$B:$B,0)),"")</f>
        <v/>
      </c>
      <c r="G880" t="str">
        <f t="array" ref="G880">IFERROR(INDEX('Player Raw Data'!I:I,Match($A880,'Player Raw Data'!$B:$B,0)),"")</f>
        <v/>
      </c>
      <c r="H880" t="str">
        <f t="array" ref="H880">IFERROR(INDEX('Player Raw Data'!J:J,Match($A880,'Player Raw Data'!$B:$B,0)),"")</f>
        <v/>
      </c>
      <c r="I880" t="str">
        <f t="array" ref="I880">IFERROR(INDEX('Player Raw Data'!S:S,Match($A880,'Player Raw Data'!$B:$B,0)),"")</f>
        <v/>
      </c>
      <c r="J880" t="str">
        <f t="array" ref="J880">IFERROR(INDEX('Player Raw Data'!T:T,Match($A880,'Player Raw Data'!$B:$B,0)),"")</f>
        <v/>
      </c>
      <c r="K880" t="str">
        <f t="array" ref="K880">IFERROR(INDEX('Player Raw Data'!X:X,Match($A880,'Player Raw Data'!$B:$B,0)),"")</f>
        <v/>
      </c>
      <c r="L880" t="str">
        <f t="array" ref="L880">IFERROR(INDEX('Player Raw Data'!Y:Y,Match($A880,'Player Raw Data'!$B:$B,0)),"")</f>
        <v/>
      </c>
      <c r="M880" t="str">
        <f t="array" ref="M880">IFERROR(INDEX('Player Raw Data'!Z:Z,Match($A880,'Player Raw Data'!$B:$B,0)),"")</f>
        <v/>
      </c>
      <c r="N880" t="str">
        <f t="array" ref="N880">IFERROR(INDEX('Player Raw Data'!AA:AA,Match($A880,'Player Raw Data'!$B:$B,0)),"")</f>
        <v/>
      </c>
      <c r="O880" t="str">
        <f t="array" ref="O880">IFERROR(INDEX('Player Raw Data'!AB:AB,Match($A880,'Player Raw Data'!$B:$B,0)),"")</f>
        <v/>
      </c>
      <c r="P880" t="str">
        <f t="array" ref="P880">IFERROR(INDEX('Player Raw Data'!AD:AD,Match($A880,'Player Raw Data'!$B:$B,0)),"")</f>
        <v/>
      </c>
      <c r="Q880">
        <f t="shared" si="1"/>
        <v>0</v>
      </c>
      <c r="R880" s="9">
        <f t="shared" si="2"/>
        <v>0</v>
      </c>
      <c r="S880" s="14">
        <f t="shared" si="3"/>
        <v>0</v>
      </c>
      <c r="T880" s="15">
        <f>IFERROR(__xludf.DUMMYFUNCTION("IFERROR(PERCENTRANK.INC(FILTER(Q:Q,$F:$F&lt;&gt;""""),Q880)*100,"""")"),1.5)</f>
        <v>1.5</v>
      </c>
      <c r="U880" s="15">
        <f>IFERROR(__xludf.DUMMYFUNCTION("IFERROR(PERCENTRANK.INC(FILTER(R:R,$F:$F&lt;&gt;""""),R880)*100,"""")"),1.5)</f>
        <v>1.5</v>
      </c>
      <c r="V880" s="15">
        <f>IFERROR(__xludf.DUMMYFUNCTION("IFERROR(PERCENTRANK.INC(FILTER(S:S,$F:$F&lt;&gt;""""),S880)*100,"""")"),1.5)</f>
        <v>1.5</v>
      </c>
      <c r="W880" s="15" t="str">
        <f t="shared" si="4"/>
        <v/>
      </c>
      <c r="X880" s="16"/>
      <c r="Y880" s="9"/>
      <c r="Z880" s="9"/>
    </row>
    <row r="881">
      <c r="B881" t="str">
        <f t="array" ref="B881">IFERROR(INDEX('Player Raw Data'!C:C,Match($A881,'Player Raw Data'!$B:$B,0)),"")</f>
        <v/>
      </c>
      <c r="C881" t="str">
        <f t="array" ref="C881">IFERROR(INDEX('Player Raw Data'!D:D,Match($A881,'Player Raw Data'!$B:$B,0)),"")</f>
        <v/>
      </c>
      <c r="D881" t="str">
        <f t="array" ref="D881">IFERROR(IF(A881=A880, INDEX('Player Raw Data'!E:E,Match($A881,'Player Raw Data'!$B:$B,0)+2),INDEX('Player Raw Data'!E:E,Match($A881,'Player Raw Data'!$B:$B,0))),"")</f>
        <v/>
      </c>
      <c r="E881" t="str">
        <f t="array" ref="E881">IFERROR(INDEX('Player Raw Data'!F:F,Match($A881,'Player Raw Data'!$B:$B,0)),"")</f>
        <v/>
      </c>
      <c r="F881" t="str">
        <f t="array" ref="F881">IFERROR(INDEX('Player Raw Data'!H:H,Match($A881,'Player Raw Data'!$B:$B,0)),"")</f>
        <v/>
      </c>
      <c r="G881" t="str">
        <f t="array" ref="G881">IFERROR(INDEX('Player Raw Data'!I:I,Match($A881,'Player Raw Data'!$B:$B,0)),"")</f>
        <v/>
      </c>
      <c r="H881" t="str">
        <f t="array" ref="H881">IFERROR(INDEX('Player Raw Data'!J:J,Match($A881,'Player Raw Data'!$B:$B,0)),"")</f>
        <v/>
      </c>
      <c r="I881" t="str">
        <f t="array" ref="I881">IFERROR(INDEX('Player Raw Data'!S:S,Match($A881,'Player Raw Data'!$B:$B,0)),"")</f>
        <v/>
      </c>
      <c r="J881" t="str">
        <f t="array" ref="J881">IFERROR(INDEX('Player Raw Data'!T:T,Match($A881,'Player Raw Data'!$B:$B,0)),"")</f>
        <v/>
      </c>
      <c r="K881" t="str">
        <f t="array" ref="K881">IFERROR(INDEX('Player Raw Data'!X:X,Match($A881,'Player Raw Data'!$B:$B,0)),"")</f>
        <v/>
      </c>
      <c r="L881" t="str">
        <f t="array" ref="L881">IFERROR(INDEX('Player Raw Data'!Y:Y,Match($A881,'Player Raw Data'!$B:$B,0)),"")</f>
        <v/>
      </c>
      <c r="M881" t="str">
        <f t="array" ref="M881">IFERROR(INDEX('Player Raw Data'!Z:Z,Match($A881,'Player Raw Data'!$B:$B,0)),"")</f>
        <v/>
      </c>
      <c r="N881" t="str">
        <f t="array" ref="N881">IFERROR(INDEX('Player Raw Data'!AA:AA,Match($A881,'Player Raw Data'!$B:$B,0)),"")</f>
        <v/>
      </c>
      <c r="O881" t="str">
        <f t="array" ref="O881">IFERROR(INDEX('Player Raw Data'!AB:AB,Match($A881,'Player Raw Data'!$B:$B,0)),"")</f>
        <v/>
      </c>
      <c r="P881" t="str">
        <f t="array" ref="P881">IFERROR(INDEX('Player Raw Data'!AD:AD,Match($A881,'Player Raw Data'!$B:$B,0)),"")</f>
        <v/>
      </c>
      <c r="Q881">
        <f t="shared" si="1"/>
        <v>0</v>
      </c>
      <c r="R881" s="9">
        <f t="shared" si="2"/>
        <v>0</v>
      </c>
      <c r="S881" s="14">
        <f t="shared" si="3"/>
        <v>0</v>
      </c>
      <c r="T881" s="15">
        <f>IFERROR(__xludf.DUMMYFUNCTION("IFERROR(PERCENTRANK.INC(FILTER(Q:Q,$F:$F&lt;&gt;""""),Q881)*100,"""")"),1.5)</f>
        <v>1.5</v>
      </c>
      <c r="U881" s="15">
        <f>IFERROR(__xludf.DUMMYFUNCTION("IFERROR(PERCENTRANK.INC(FILTER(R:R,$F:$F&lt;&gt;""""),R881)*100,"""")"),1.5)</f>
        <v>1.5</v>
      </c>
      <c r="V881" s="15">
        <f>IFERROR(__xludf.DUMMYFUNCTION("IFERROR(PERCENTRANK.INC(FILTER(S:S,$F:$F&lt;&gt;""""),S881)*100,"""")"),1.5)</f>
        <v>1.5</v>
      </c>
      <c r="W881" s="15" t="str">
        <f t="shared" si="4"/>
        <v/>
      </c>
      <c r="X881" s="16"/>
      <c r="Y881" s="9"/>
      <c r="Z881" s="9"/>
    </row>
    <row r="882">
      <c r="B882" t="str">
        <f t="array" ref="B882">IFERROR(INDEX('Player Raw Data'!C:C,Match($A882,'Player Raw Data'!$B:$B,0)),"")</f>
        <v/>
      </c>
      <c r="C882" t="str">
        <f t="array" ref="C882">IFERROR(INDEX('Player Raw Data'!D:D,Match($A882,'Player Raw Data'!$B:$B,0)),"")</f>
        <v/>
      </c>
      <c r="D882" t="str">
        <f t="array" ref="D882">IFERROR(IF(A882=A881, INDEX('Player Raw Data'!E:E,Match($A882,'Player Raw Data'!$B:$B,0)+2),INDEX('Player Raw Data'!E:E,Match($A882,'Player Raw Data'!$B:$B,0))),"")</f>
        <v/>
      </c>
      <c r="E882" t="str">
        <f t="array" ref="E882">IFERROR(INDEX('Player Raw Data'!F:F,Match($A882,'Player Raw Data'!$B:$B,0)),"")</f>
        <v/>
      </c>
      <c r="F882" t="str">
        <f t="array" ref="F882">IFERROR(INDEX('Player Raw Data'!H:H,Match($A882,'Player Raw Data'!$B:$B,0)),"")</f>
        <v/>
      </c>
      <c r="G882" t="str">
        <f t="array" ref="G882">IFERROR(INDEX('Player Raw Data'!I:I,Match($A882,'Player Raw Data'!$B:$B,0)),"")</f>
        <v/>
      </c>
      <c r="H882" t="str">
        <f t="array" ref="H882">IFERROR(INDEX('Player Raw Data'!J:J,Match($A882,'Player Raw Data'!$B:$B,0)),"")</f>
        <v/>
      </c>
      <c r="I882" t="str">
        <f t="array" ref="I882">IFERROR(INDEX('Player Raw Data'!S:S,Match($A882,'Player Raw Data'!$B:$B,0)),"")</f>
        <v/>
      </c>
      <c r="J882" t="str">
        <f t="array" ref="J882">IFERROR(INDEX('Player Raw Data'!T:T,Match($A882,'Player Raw Data'!$B:$B,0)),"")</f>
        <v/>
      </c>
      <c r="K882" t="str">
        <f t="array" ref="K882">IFERROR(INDEX('Player Raw Data'!X:X,Match($A882,'Player Raw Data'!$B:$B,0)),"")</f>
        <v/>
      </c>
      <c r="L882" t="str">
        <f t="array" ref="L882">IFERROR(INDEX('Player Raw Data'!Y:Y,Match($A882,'Player Raw Data'!$B:$B,0)),"")</f>
        <v/>
      </c>
      <c r="M882" t="str">
        <f t="array" ref="M882">IFERROR(INDEX('Player Raw Data'!Z:Z,Match($A882,'Player Raw Data'!$B:$B,0)),"")</f>
        <v/>
      </c>
      <c r="N882" t="str">
        <f t="array" ref="N882">IFERROR(INDEX('Player Raw Data'!AA:AA,Match($A882,'Player Raw Data'!$B:$B,0)),"")</f>
        <v/>
      </c>
      <c r="O882" t="str">
        <f t="array" ref="O882">IFERROR(INDEX('Player Raw Data'!AB:AB,Match($A882,'Player Raw Data'!$B:$B,0)),"")</f>
        <v/>
      </c>
      <c r="P882" t="str">
        <f t="array" ref="P882">IFERROR(INDEX('Player Raw Data'!AD:AD,Match($A882,'Player Raw Data'!$B:$B,0)),"")</f>
        <v/>
      </c>
      <c r="Q882">
        <f t="shared" si="1"/>
        <v>0</v>
      </c>
      <c r="R882" s="9">
        <f t="shared" si="2"/>
        <v>0</v>
      </c>
      <c r="S882" s="14">
        <f t="shared" si="3"/>
        <v>0</v>
      </c>
      <c r="T882" s="15">
        <f>IFERROR(__xludf.DUMMYFUNCTION("IFERROR(PERCENTRANK.INC(FILTER(Q:Q,$F:$F&lt;&gt;""""),Q882)*100,"""")"),1.5)</f>
        <v>1.5</v>
      </c>
      <c r="U882" s="15">
        <f>IFERROR(__xludf.DUMMYFUNCTION("IFERROR(PERCENTRANK.INC(FILTER(R:R,$F:$F&lt;&gt;""""),R882)*100,"""")"),1.5)</f>
        <v>1.5</v>
      </c>
      <c r="V882" s="15">
        <f>IFERROR(__xludf.DUMMYFUNCTION("IFERROR(PERCENTRANK.INC(FILTER(S:S,$F:$F&lt;&gt;""""),S882)*100,"""")"),1.5)</f>
        <v>1.5</v>
      </c>
      <c r="W882" s="15" t="str">
        <f t="shared" si="4"/>
        <v/>
      </c>
      <c r="X882" s="16"/>
      <c r="Y882" s="9"/>
      <c r="Z882" s="9"/>
    </row>
    <row r="883">
      <c r="B883" t="str">
        <f t="array" ref="B883">IFERROR(INDEX('Player Raw Data'!C:C,Match($A883,'Player Raw Data'!$B:$B,0)),"")</f>
        <v/>
      </c>
      <c r="C883" t="str">
        <f t="array" ref="C883">IFERROR(INDEX('Player Raw Data'!D:D,Match($A883,'Player Raw Data'!$B:$B,0)),"")</f>
        <v/>
      </c>
      <c r="D883" t="str">
        <f t="array" ref="D883">IFERROR(IF(A883=A882, INDEX('Player Raw Data'!E:E,Match($A883,'Player Raw Data'!$B:$B,0)+2),INDEX('Player Raw Data'!E:E,Match($A883,'Player Raw Data'!$B:$B,0))),"")</f>
        <v/>
      </c>
      <c r="E883" t="str">
        <f t="array" ref="E883">IFERROR(INDEX('Player Raw Data'!F:F,Match($A883,'Player Raw Data'!$B:$B,0)),"")</f>
        <v/>
      </c>
      <c r="F883" t="str">
        <f t="array" ref="F883">IFERROR(INDEX('Player Raw Data'!H:H,Match($A883,'Player Raw Data'!$B:$B,0)),"")</f>
        <v/>
      </c>
      <c r="G883" t="str">
        <f t="array" ref="G883">IFERROR(INDEX('Player Raw Data'!I:I,Match($A883,'Player Raw Data'!$B:$B,0)),"")</f>
        <v/>
      </c>
      <c r="H883" t="str">
        <f t="array" ref="H883">IFERROR(INDEX('Player Raw Data'!J:J,Match($A883,'Player Raw Data'!$B:$B,0)),"")</f>
        <v/>
      </c>
      <c r="I883" t="str">
        <f t="array" ref="I883">IFERROR(INDEX('Player Raw Data'!S:S,Match($A883,'Player Raw Data'!$B:$B,0)),"")</f>
        <v/>
      </c>
      <c r="J883" t="str">
        <f t="array" ref="J883">IFERROR(INDEX('Player Raw Data'!T:T,Match($A883,'Player Raw Data'!$B:$B,0)),"")</f>
        <v/>
      </c>
      <c r="K883" t="str">
        <f t="array" ref="K883">IFERROR(INDEX('Player Raw Data'!X:X,Match($A883,'Player Raw Data'!$B:$B,0)),"")</f>
        <v/>
      </c>
      <c r="L883" t="str">
        <f t="array" ref="L883">IFERROR(INDEX('Player Raw Data'!Y:Y,Match($A883,'Player Raw Data'!$B:$B,0)),"")</f>
        <v/>
      </c>
      <c r="M883" t="str">
        <f t="array" ref="M883">IFERROR(INDEX('Player Raw Data'!Z:Z,Match($A883,'Player Raw Data'!$B:$B,0)),"")</f>
        <v/>
      </c>
      <c r="N883" t="str">
        <f t="array" ref="N883">IFERROR(INDEX('Player Raw Data'!AA:AA,Match($A883,'Player Raw Data'!$B:$B,0)),"")</f>
        <v/>
      </c>
      <c r="O883" t="str">
        <f t="array" ref="O883">IFERROR(INDEX('Player Raw Data'!AB:AB,Match($A883,'Player Raw Data'!$B:$B,0)),"")</f>
        <v/>
      </c>
      <c r="P883" t="str">
        <f t="array" ref="P883">IFERROR(INDEX('Player Raw Data'!AD:AD,Match($A883,'Player Raw Data'!$B:$B,0)),"")</f>
        <v/>
      </c>
      <c r="Q883">
        <f t="shared" si="1"/>
        <v>0</v>
      </c>
      <c r="R883" s="9">
        <f t="shared" si="2"/>
        <v>0</v>
      </c>
      <c r="S883" s="14">
        <f t="shared" si="3"/>
        <v>0</v>
      </c>
      <c r="T883" s="15">
        <f>IFERROR(__xludf.DUMMYFUNCTION("IFERROR(PERCENTRANK.INC(FILTER(Q:Q,$F:$F&lt;&gt;""""),Q883)*100,"""")"),1.5)</f>
        <v>1.5</v>
      </c>
      <c r="U883" s="15">
        <f>IFERROR(__xludf.DUMMYFUNCTION("IFERROR(PERCENTRANK.INC(FILTER(R:R,$F:$F&lt;&gt;""""),R883)*100,"""")"),1.5)</f>
        <v>1.5</v>
      </c>
      <c r="V883" s="15">
        <f>IFERROR(__xludf.DUMMYFUNCTION("IFERROR(PERCENTRANK.INC(FILTER(S:S,$F:$F&lt;&gt;""""),S883)*100,"""")"),1.5)</f>
        <v>1.5</v>
      </c>
      <c r="W883" s="15" t="str">
        <f t="shared" si="4"/>
        <v/>
      </c>
      <c r="X883" s="16"/>
      <c r="Y883" s="9"/>
      <c r="Z883" s="9"/>
    </row>
    <row r="884">
      <c r="B884" t="str">
        <f t="array" ref="B884">IFERROR(INDEX('Player Raw Data'!C:C,Match($A884,'Player Raw Data'!$B:$B,0)),"")</f>
        <v/>
      </c>
      <c r="C884" t="str">
        <f t="array" ref="C884">IFERROR(INDEX('Player Raw Data'!D:D,Match($A884,'Player Raw Data'!$B:$B,0)),"")</f>
        <v/>
      </c>
      <c r="D884" t="str">
        <f t="array" ref="D884">IFERROR(IF(A884=A883, INDEX('Player Raw Data'!E:E,Match($A884,'Player Raw Data'!$B:$B,0)+2),INDEX('Player Raw Data'!E:E,Match($A884,'Player Raw Data'!$B:$B,0))),"")</f>
        <v/>
      </c>
      <c r="E884" t="str">
        <f t="array" ref="E884">IFERROR(INDEX('Player Raw Data'!F:F,Match($A884,'Player Raw Data'!$B:$B,0)),"")</f>
        <v/>
      </c>
      <c r="F884" t="str">
        <f t="array" ref="F884">IFERROR(INDEX('Player Raw Data'!H:H,Match($A884,'Player Raw Data'!$B:$B,0)),"")</f>
        <v/>
      </c>
      <c r="G884" t="str">
        <f t="array" ref="G884">IFERROR(INDEX('Player Raw Data'!I:I,Match($A884,'Player Raw Data'!$B:$B,0)),"")</f>
        <v/>
      </c>
      <c r="H884" t="str">
        <f t="array" ref="H884">IFERROR(INDEX('Player Raw Data'!J:J,Match($A884,'Player Raw Data'!$B:$B,0)),"")</f>
        <v/>
      </c>
      <c r="I884" t="str">
        <f t="array" ref="I884">IFERROR(INDEX('Player Raw Data'!S:S,Match($A884,'Player Raw Data'!$B:$B,0)),"")</f>
        <v/>
      </c>
      <c r="J884" t="str">
        <f t="array" ref="J884">IFERROR(INDEX('Player Raw Data'!T:T,Match($A884,'Player Raw Data'!$B:$B,0)),"")</f>
        <v/>
      </c>
      <c r="K884" t="str">
        <f t="array" ref="K884">IFERROR(INDEX('Player Raw Data'!X:X,Match($A884,'Player Raw Data'!$B:$B,0)),"")</f>
        <v/>
      </c>
      <c r="L884" t="str">
        <f t="array" ref="L884">IFERROR(INDEX('Player Raw Data'!Y:Y,Match($A884,'Player Raw Data'!$B:$B,0)),"")</f>
        <v/>
      </c>
      <c r="M884" t="str">
        <f t="array" ref="M884">IFERROR(INDEX('Player Raw Data'!Z:Z,Match($A884,'Player Raw Data'!$B:$B,0)),"")</f>
        <v/>
      </c>
      <c r="N884" t="str">
        <f t="array" ref="N884">IFERROR(INDEX('Player Raw Data'!AA:AA,Match($A884,'Player Raw Data'!$B:$B,0)),"")</f>
        <v/>
      </c>
      <c r="O884" t="str">
        <f t="array" ref="O884">IFERROR(INDEX('Player Raw Data'!AB:AB,Match($A884,'Player Raw Data'!$B:$B,0)),"")</f>
        <v/>
      </c>
      <c r="P884" t="str">
        <f t="array" ref="P884">IFERROR(INDEX('Player Raw Data'!AD:AD,Match($A884,'Player Raw Data'!$B:$B,0)),"")</f>
        <v/>
      </c>
      <c r="Q884">
        <f t="shared" si="1"/>
        <v>0</v>
      </c>
      <c r="R884" s="9">
        <f t="shared" si="2"/>
        <v>0</v>
      </c>
      <c r="S884" s="14">
        <f t="shared" si="3"/>
        <v>0</v>
      </c>
      <c r="T884" s="15">
        <f>IFERROR(__xludf.DUMMYFUNCTION("IFERROR(PERCENTRANK.INC(FILTER(Q:Q,$F:$F&lt;&gt;""""),Q884)*100,"""")"),1.5)</f>
        <v>1.5</v>
      </c>
      <c r="U884" s="15">
        <f>IFERROR(__xludf.DUMMYFUNCTION("IFERROR(PERCENTRANK.INC(FILTER(R:R,$F:$F&lt;&gt;""""),R884)*100,"""")"),1.5)</f>
        <v>1.5</v>
      </c>
      <c r="V884" s="15">
        <f>IFERROR(__xludf.DUMMYFUNCTION("IFERROR(PERCENTRANK.INC(FILTER(S:S,$F:$F&lt;&gt;""""),S884)*100,"""")"),1.5)</f>
        <v>1.5</v>
      </c>
      <c r="W884" s="15" t="str">
        <f t="shared" si="4"/>
        <v/>
      </c>
      <c r="X884" s="16"/>
      <c r="Y884" s="9"/>
      <c r="Z884" s="9"/>
    </row>
    <row r="885">
      <c r="B885" t="str">
        <f t="array" ref="B885">IFERROR(INDEX('Player Raw Data'!C:C,Match($A885,'Player Raw Data'!$B:$B,0)),"")</f>
        <v/>
      </c>
      <c r="C885" t="str">
        <f t="array" ref="C885">IFERROR(INDEX('Player Raw Data'!D:D,Match($A885,'Player Raw Data'!$B:$B,0)),"")</f>
        <v/>
      </c>
      <c r="D885" t="str">
        <f t="array" ref="D885">IFERROR(IF(A885=A884, INDEX('Player Raw Data'!E:E,Match($A885,'Player Raw Data'!$B:$B,0)+2),INDEX('Player Raw Data'!E:E,Match($A885,'Player Raw Data'!$B:$B,0))),"")</f>
        <v/>
      </c>
      <c r="E885" t="str">
        <f t="array" ref="E885">IFERROR(INDEX('Player Raw Data'!F:F,Match($A885,'Player Raw Data'!$B:$B,0)),"")</f>
        <v/>
      </c>
      <c r="F885" t="str">
        <f t="array" ref="F885">IFERROR(INDEX('Player Raw Data'!H:H,Match($A885,'Player Raw Data'!$B:$B,0)),"")</f>
        <v/>
      </c>
      <c r="G885" t="str">
        <f t="array" ref="G885">IFERROR(INDEX('Player Raw Data'!I:I,Match($A885,'Player Raw Data'!$B:$B,0)),"")</f>
        <v/>
      </c>
      <c r="H885" t="str">
        <f t="array" ref="H885">IFERROR(INDEX('Player Raw Data'!J:J,Match($A885,'Player Raw Data'!$B:$B,0)),"")</f>
        <v/>
      </c>
      <c r="I885" t="str">
        <f t="array" ref="I885">IFERROR(INDEX('Player Raw Data'!S:S,Match($A885,'Player Raw Data'!$B:$B,0)),"")</f>
        <v/>
      </c>
      <c r="J885" t="str">
        <f t="array" ref="J885">IFERROR(INDEX('Player Raw Data'!T:T,Match($A885,'Player Raw Data'!$B:$B,0)),"")</f>
        <v/>
      </c>
      <c r="K885" t="str">
        <f t="array" ref="K885">IFERROR(INDEX('Player Raw Data'!X:X,Match($A885,'Player Raw Data'!$B:$B,0)),"")</f>
        <v/>
      </c>
      <c r="L885" t="str">
        <f t="array" ref="L885">IFERROR(INDEX('Player Raw Data'!Y:Y,Match($A885,'Player Raw Data'!$B:$B,0)),"")</f>
        <v/>
      </c>
      <c r="M885" t="str">
        <f t="array" ref="M885">IFERROR(INDEX('Player Raw Data'!Z:Z,Match($A885,'Player Raw Data'!$B:$B,0)),"")</f>
        <v/>
      </c>
      <c r="N885" t="str">
        <f t="array" ref="N885">IFERROR(INDEX('Player Raw Data'!AA:AA,Match($A885,'Player Raw Data'!$B:$B,0)),"")</f>
        <v/>
      </c>
      <c r="O885" t="str">
        <f t="array" ref="O885">IFERROR(INDEX('Player Raw Data'!AB:AB,Match($A885,'Player Raw Data'!$B:$B,0)),"")</f>
        <v/>
      </c>
      <c r="P885" t="str">
        <f t="array" ref="P885">IFERROR(INDEX('Player Raw Data'!AD:AD,Match($A885,'Player Raw Data'!$B:$B,0)),"")</f>
        <v/>
      </c>
      <c r="Q885">
        <f t="shared" si="1"/>
        <v>0</v>
      </c>
      <c r="R885" s="9">
        <f t="shared" si="2"/>
        <v>0</v>
      </c>
      <c r="S885" s="14">
        <f t="shared" si="3"/>
        <v>0</v>
      </c>
      <c r="T885" s="15">
        <f>IFERROR(__xludf.DUMMYFUNCTION("IFERROR(PERCENTRANK.INC(FILTER(Q:Q,$F:$F&lt;&gt;""""),Q885)*100,"""")"),1.5)</f>
        <v>1.5</v>
      </c>
      <c r="U885" s="15">
        <f>IFERROR(__xludf.DUMMYFUNCTION("IFERROR(PERCENTRANK.INC(FILTER(R:R,$F:$F&lt;&gt;""""),R885)*100,"""")"),1.5)</f>
        <v>1.5</v>
      </c>
      <c r="V885" s="15">
        <f>IFERROR(__xludf.DUMMYFUNCTION("IFERROR(PERCENTRANK.INC(FILTER(S:S,$F:$F&lt;&gt;""""),S885)*100,"""")"),1.5)</f>
        <v>1.5</v>
      </c>
      <c r="W885" s="15" t="str">
        <f t="shared" si="4"/>
        <v/>
      </c>
      <c r="X885" s="16"/>
      <c r="Y885" s="9"/>
      <c r="Z885" s="9"/>
    </row>
    <row r="886">
      <c r="B886" t="str">
        <f t="array" ref="B886">IFERROR(INDEX('Player Raw Data'!C:C,Match($A886,'Player Raw Data'!$B:$B,0)),"")</f>
        <v/>
      </c>
      <c r="C886" t="str">
        <f t="array" ref="C886">IFERROR(INDEX('Player Raw Data'!D:D,Match($A886,'Player Raw Data'!$B:$B,0)),"")</f>
        <v/>
      </c>
      <c r="D886" t="str">
        <f t="array" ref="D886">IFERROR(IF(A886=A885, INDEX('Player Raw Data'!E:E,Match($A886,'Player Raw Data'!$B:$B,0)+2),INDEX('Player Raw Data'!E:E,Match($A886,'Player Raw Data'!$B:$B,0))),"")</f>
        <v/>
      </c>
      <c r="E886" t="str">
        <f t="array" ref="E886">IFERROR(INDEX('Player Raw Data'!F:F,Match($A886,'Player Raw Data'!$B:$B,0)),"")</f>
        <v/>
      </c>
      <c r="F886" t="str">
        <f t="array" ref="F886">IFERROR(INDEX('Player Raw Data'!H:H,Match($A886,'Player Raw Data'!$B:$B,0)),"")</f>
        <v/>
      </c>
      <c r="G886" t="str">
        <f t="array" ref="G886">IFERROR(INDEX('Player Raw Data'!I:I,Match($A886,'Player Raw Data'!$B:$B,0)),"")</f>
        <v/>
      </c>
      <c r="H886" t="str">
        <f t="array" ref="H886">IFERROR(INDEX('Player Raw Data'!J:J,Match($A886,'Player Raw Data'!$B:$B,0)),"")</f>
        <v/>
      </c>
      <c r="I886" t="str">
        <f t="array" ref="I886">IFERROR(INDEX('Player Raw Data'!S:S,Match($A886,'Player Raw Data'!$B:$B,0)),"")</f>
        <v/>
      </c>
      <c r="J886" t="str">
        <f t="array" ref="J886">IFERROR(INDEX('Player Raw Data'!T:T,Match($A886,'Player Raw Data'!$B:$B,0)),"")</f>
        <v/>
      </c>
      <c r="K886" t="str">
        <f t="array" ref="K886">IFERROR(INDEX('Player Raw Data'!X:X,Match($A886,'Player Raw Data'!$B:$B,0)),"")</f>
        <v/>
      </c>
      <c r="L886" t="str">
        <f t="array" ref="L886">IFERROR(INDEX('Player Raw Data'!Y:Y,Match($A886,'Player Raw Data'!$B:$B,0)),"")</f>
        <v/>
      </c>
      <c r="M886" t="str">
        <f t="array" ref="M886">IFERROR(INDEX('Player Raw Data'!Z:Z,Match($A886,'Player Raw Data'!$B:$B,0)),"")</f>
        <v/>
      </c>
      <c r="N886" t="str">
        <f t="array" ref="N886">IFERROR(INDEX('Player Raw Data'!AA:AA,Match($A886,'Player Raw Data'!$B:$B,0)),"")</f>
        <v/>
      </c>
      <c r="O886" t="str">
        <f t="array" ref="O886">IFERROR(INDEX('Player Raw Data'!AB:AB,Match($A886,'Player Raw Data'!$B:$B,0)),"")</f>
        <v/>
      </c>
      <c r="P886" t="str">
        <f t="array" ref="P886">IFERROR(INDEX('Player Raw Data'!AD:AD,Match($A886,'Player Raw Data'!$B:$B,0)),"")</f>
        <v/>
      </c>
      <c r="Q886">
        <f t="shared" si="1"/>
        <v>0</v>
      </c>
      <c r="R886" s="9">
        <f t="shared" si="2"/>
        <v>0</v>
      </c>
      <c r="S886" s="14">
        <f t="shared" si="3"/>
        <v>0</v>
      </c>
      <c r="T886" s="15">
        <f>IFERROR(__xludf.DUMMYFUNCTION("IFERROR(PERCENTRANK.INC(FILTER(Q:Q,$F:$F&lt;&gt;""""),Q886)*100,"""")"),1.5)</f>
        <v>1.5</v>
      </c>
      <c r="U886" s="15">
        <f>IFERROR(__xludf.DUMMYFUNCTION("IFERROR(PERCENTRANK.INC(FILTER(R:R,$F:$F&lt;&gt;""""),R886)*100,"""")"),1.5)</f>
        <v>1.5</v>
      </c>
      <c r="V886" s="15">
        <f>IFERROR(__xludf.DUMMYFUNCTION("IFERROR(PERCENTRANK.INC(FILTER(S:S,$F:$F&lt;&gt;""""),S886)*100,"""")"),1.5)</f>
        <v>1.5</v>
      </c>
      <c r="W886" s="15" t="str">
        <f t="shared" si="4"/>
        <v/>
      </c>
      <c r="X886" s="16"/>
      <c r="Y886" s="9"/>
      <c r="Z886" s="9"/>
    </row>
    <row r="887">
      <c r="B887" t="str">
        <f t="array" ref="B887">IFERROR(INDEX('Player Raw Data'!C:C,Match($A887,'Player Raw Data'!$B:$B,0)),"")</f>
        <v/>
      </c>
      <c r="C887" t="str">
        <f t="array" ref="C887">IFERROR(INDEX('Player Raw Data'!D:D,Match($A887,'Player Raw Data'!$B:$B,0)),"")</f>
        <v/>
      </c>
      <c r="D887" t="str">
        <f t="array" ref="D887">IFERROR(IF(A887=A886, INDEX('Player Raw Data'!E:E,Match($A887,'Player Raw Data'!$B:$B,0)+2),INDEX('Player Raw Data'!E:E,Match($A887,'Player Raw Data'!$B:$B,0))),"")</f>
        <v/>
      </c>
      <c r="E887" t="str">
        <f t="array" ref="E887">IFERROR(INDEX('Player Raw Data'!F:F,Match($A887,'Player Raw Data'!$B:$B,0)),"")</f>
        <v/>
      </c>
      <c r="F887" t="str">
        <f t="array" ref="F887">IFERROR(INDEX('Player Raw Data'!H:H,Match($A887,'Player Raw Data'!$B:$B,0)),"")</f>
        <v/>
      </c>
      <c r="G887" t="str">
        <f t="array" ref="G887">IFERROR(INDEX('Player Raw Data'!I:I,Match($A887,'Player Raw Data'!$B:$B,0)),"")</f>
        <v/>
      </c>
      <c r="H887" t="str">
        <f t="array" ref="H887">IFERROR(INDEX('Player Raw Data'!J:J,Match($A887,'Player Raw Data'!$B:$B,0)),"")</f>
        <v/>
      </c>
      <c r="I887" t="str">
        <f t="array" ref="I887">IFERROR(INDEX('Player Raw Data'!S:S,Match($A887,'Player Raw Data'!$B:$B,0)),"")</f>
        <v/>
      </c>
      <c r="J887" t="str">
        <f t="array" ref="J887">IFERROR(INDEX('Player Raw Data'!T:T,Match($A887,'Player Raw Data'!$B:$B,0)),"")</f>
        <v/>
      </c>
      <c r="K887" t="str">
        <f t="array" ref="K887">IFERROR(INDEX('Player Raw Data'!X:X,Match($A887,'Player Raw Data'!$B:$B,0)),"")</f>
        <v/>
      </c>
      <c r="L887" t="str">
        <f t="array" ref="L887">IFERROR(INDEX('Player Raw Data'!Y:Y,Match($A887,'Player Raw Data'!$B:$B,0)),"")</f>
        <v/>
      </c>
      <c r="M887" t="str">
        <f t="array" ref="M887">IFERROR(INDEX('Player Raw Data'!Z:Z,Match($A887,'Player Raw Data'!$B:$B,0)),"")</f>
        <v/>
      </c>
      <c r="N887" t="str">
        <f t="array" ref="N887">IFERROR(INDEX('Player Raw Data'!AA:AA,Match($A887,'Player Raw Data'!$B:$B,0)),"")</f>
        <v/>
      </c>
      <c r="O887" t="str">
        <f t="array" ref="O887">IFERROR(INDEX('Player Raw Data'!AB:AB,Match($A887,'Player Raw Data'!$B:$B,0)),"")</f>
        <v/>
      </c>
      <c r="P887" t="str">
        <f t="array" ref="P887">IFERROR(INDEX('Player Raw Data'!AD:AD,Match($A887,'Player Raw Data'!$B:$B,0)),"")</f>
        <v/>
      </c>
      <c r="Q887">
        <f t="shared" si="1"/>
        <v>0</v>
      </c>
      <c r="R887" s="9">
        <f t="shared" si="2"/>
        <v>0</v>
      </c>
      <c r="S887" s="14">
        <f t="shared" si="3"/>
        <v>0</v>
      </c>
      <c r="T887" s="15">
        <f>IFERROR(__xludf.DUMMYFUNCTION("IFERROR(PERCENTRANK.INC(FILTER(Q:Q,$F:$F&lt;&gt;""""),Q887)*100,"""")"),1.5)</f>
        <v>1.5</v>
      </c>
      <c r="U887" s="15">
        <f>IFERROR(__xludf.DUMMYFUNCTION("IFERROR(PERCENTRANK.INC(FILTER(R:R,$F:$F&lt;&gt;""""),R887)*100,"""")"),1.5)</f>
        <v>1.5</v>
      </c>
      <c r="V887" s="15">
        <f>IFERROR(__xludf.DUMMYFUNCTION("IFERROR(PERCENTRANK.INC(FILTER(S:S,$F:$F&lt;&gt;""""),S887)*100,"""")"),1.5)</f>
        <v>1.5</v>
      </c>
      <c r="W887" s="15" t="str">
        <f t="shared" si="4"/>
        <v/>
      </c>
      <c r="X887" s="16"/>
      <c r="Y887" s="9"/>
      <c r="Z887" s="9"/>
    </row>
    <row r="888">
      <c r="B888" t="str">
        <f t="array" ref="B888">IFERROR(INDEX('Player Raw Data'!C:C,Match($A888,'Player Raw Data'!$B:$B,0)),"")</f>
        <v/>
      </c>
      <c r="C888" t="str">
        <f t="array" ref="C888">IFERROR(INDEX('Player Raw Data'!D:D,Match($A888,'Player Raw Data'!$B:$B,0)),"")</f>
        <v/>
      </c>
      <c r="D888" t="str">
        <f t="array" ref="D888">IFERROR(IF(A888=A887, INDEX('Player Raw Data'!E:E,Match($A888,'Player Raw Data'!$B:$B,0)+2),INDEX('Player Raw Data'!E:E,Match($A888,'Player Raw Data'!$B:$B,0))),"")</f>
        <v/>
      </c>
      <c r="E888" t="str">
        <f t="array" ref="E888">IFERROR(INDEX('Player Raw Data'!F:F,Match($A888,'Player Raw Data'!$B:$B,0)),"")</f>
        <v/>
      </c>
      <c r="F888" t="str">
        <f t="array" ref="F888">IFERROR(INDEX('Player Raw Data'!H:H,Match($A888,'Player Raw Data'!$B:$B,0)),"")</f>
        <v/>
      </c>
      <c r="G888" t="str">
        <f t="array" ref="G888">IFERROR(INDEX('Player Raw Data'!I:I,Match($A888,'Player Raw Data'!$B:$B,0)),"")</f>
        <v/>
      </c>
      <c r="H888" t="str">
        <f t="array" ref="H888">IFERROR(INDEX('Player Raw Data'!J:J,Match($A888,'Player Raw Data'!$B:$B,0)),"")</f>
        <v/>
      </c>
      <c r="I888" t="str">
        <f t="array" ref="I888">IFERROR(INDEX('Player Raw Data'!S:S,Match($A888,'Player Raw Data'!$B:$B,0)),"")</f>
        <v/>
      </c>
      <c r="J888" t="str">
        <f t="array" ref="J888">IFERROR(INDEX('Player Raw Data'!T:T,Match($A888,'Player Raw Data'!$B:$B,0)),"")</f>
        <v/>
      </c>
      <c r="K888" t="str">
        <f t="array" ref="K888">IFERROR(INDEX('Player Raw Data'!X:X,Match($A888,'Player Raw Data'!$B:$B,0)),"")</f>
        <v/>
      </c>
      <c r="L888" t="str">
        <f t="array" ref="L888">IFERROR(INDEX('Player Raw Data'!Y:Y,Match($A888,'Player Raw Data'!$B:$B,0)),"")</f>
        <v/>
      </c>
      <c r="M888" t="str">
        <f t="array" ref="M888">IFERROR(INDEX('Player Raw Data'!Z:Z,Match($A888,'Player Raw Data'!$B:$B,0)),"")</f>
        <v/>
      </c>
      <c r="N888" t="str">
        <f t="array" ref="N888">IFERROR(INDEX('Player Raw Data'!AA:AA,Match($A888,'Player Raw Data'!$B:$B,0)),"")</f>
        <v/>
      </c>
      <c r="O888" t="str">
        <f t="array" ref="O888">IFERROR(INDEX('Player Raw Data'!AB:AB,Match($A888,'Player Raw Data'!$B:$B,0)),"")</f>
        <v/>
      </c>
      <c r="P888" t="str">
        <f t="array" ref="P888">IFERROR(INDEX('Player Raw Data'!AD:AD,Match($A888,'Player Raw Data'!$B:$B,0)),"")</f>
        <v/>
      </c>
      <c r="Q888">
        <f t="shared" si="1"/>
        <v>0</v>
      </c>
      <c r="R888" s="9">
        <f t="shared" si="2"/>
        <v>0</v>
      </c>
      <c r="S888" s="14">
        <f t="shared" si="3"/>
        <v>0</v>
      </c>
      <c r="T888" s="15">
        <f>IFERROR(__xludf.DUMMYFUNCTION("IFERROR(PERCENTRANK.INC(FILTER(Q:Q,$F:$F&lt;&gt;""""),Q888)*100,"""")"),1.5)</f>
        <v>1.5</v>
      </c>
      <c r="U888" s="15">
        <f>IFERROR(__xludf.DUMMYFUNCTION("IFERROR(PERCENTRANK.INC(FILTER(R:R,$F:$F&lt;&gt;""""),R888)*100,"""")"),1.5)</f>
        <v>1.5</v>
      </c>
      <c r="V888" s="15">
        <f>IFERROR(__xludf.DUMMYFUNCTION("IFERROR(PERCENTRANK.INC(FILTER(S:S,$F:$F&lt;&gt;""""),S888)*100,"""")"),1.5)</f>
        <v>1.5</v>
      </c>
      <c r="W888" s="15" t="str">
        <f t="shared" si="4"/>
        <v/>
      </c>
      <c r="X888" s="16"/>
      <c r="Y888" s="9"/>
      <c r="Z888" s="9"/>
    </row>
    <row r="889">
      <c r="B889" t="str">
        <f t="array" ref="B889">IFERROR(INDEX('Player Raw Data'!C:C,Match($A889,'Player Raw Data'!$B:$B,0)),"")</f>
        <v/>
      </c>
      <c r="C889" t="str">
        <f t="array" ref="C889">IFERROR(INDEX('Player Raw Data'!D:D,Match($A889,'Player Raw Data'!$B:$B,0)),"")</f>
        <v/>
      </c>
      <c r="D889" t="str">
        <f t="array" ref="D889">IFERROR(IF(A889=A888, INDEX('Player Raw Data'!E:E,Match($A889,'Player Raw Data'!$B:$B,0)+2),INDEX('Player Raw Data'!E:E,Match($A889,'Player Raw Data'!$B:$B,0))),"")</f>
        <v/>
      </c>
      <c r="E889" t="str">
        <f t="array" ref="E889">IFERROR(INDEX('Player Raw Data'!F:F,Match($A889,'Player Raw Data'!$B:$B,0)),"")</f>
        <v/>
      </c>
      <c r="F889" t="str">
        <f t="array" ref="F889">IFERROR(INDEX('Player Raw Data'!H:H,Match($A889,'Player Raw Data'!$B:$B,0)),"")</f>
        <v/>
      </c>
      <c r="G889" t="str">
        <f t="array" ref="G889">IFERROR(INDEX('Player Raw Data'!I:I,Match($A889,'Player Raw Data'!$B:$B,0)),"")</f>
        <v/>
      </c>
      <c r="H889" t="str">
        <f t="array" ref="H889">IFERROR(INDEX('Player Raw Data'!J:J,Match($A889,'Player Raw Data'!$B:$B,0)),"")</f>
        <v/>
      </c>
      <c r="I889" t="str">
        <f t="array" ref="I889">IFERROR(INDEX('Player Raw Data'!S:S,Match($A889,'Player Raw Data'!$B:$B,0)),"")</f>
        <v/>
      </c>
      <c r="J889" t="str">
        <f t="array" ref="J889">IFERROR(INDEX('Player Raw Data'!T:T,Match($A889,'Player Raw Data'!$B:$B,0)),"")</f>
        <v/>
      </c>
      <c r="K889" t="str">
        <f t="array" ref="K889">IFERROR(INDEX('Player Raw Data'!X:X,Match($A889,'Player Raw Data'!$B:$B,0)),"")</f>
        <v/>
      </c>
      <c r="L889" t="str">
        <f t="array" ref="L889">IFERROR(INDEX('Player Raw Data'!Y:Y,Match($A889,'Player Raw Data'!$B:$B,0)),"")</f>
        <v/>
      </c>
      <c r="M889" t="str">
        <f t="array" ref="M889">IFERROR(INDEX('Player Raw Data'!Z:Z,Match($A889,'Player Raw Data'!$B:$B,0)),"")</f>
        <v/>
      </c>
      <c r="N889" t="str">
        <f t="array" ref="N889">IFERROR(INDEX('Player Raw Data'!AA:AA,Match($A889,'Player Raw Data'!$B:$B,0)),"")</f>
        <v/>
      </c>
      <c r="O889" t="str">
        <f t="array" ref="O889">IFERROR(INDEX('Player Raw Data'!AB:AB,Match($A889,'Player Raw Data'!$B:$B,0)),"")</f>
        <v/>
      </c>
      <c r="P889" t="str">
        <f t="array" ref="P889">IFERROR(INDEX('Player Raw Data'!AD:AD,Match($A889,'Player Raw Data'!$B:$B,0)),"")</f>
        <v/>
      </c>
      <c r="Q889">
        <f t="shared" si="1"/>
        <v>0</v>
      </c>
      <c r="R889" s="9">
        <f t="shared" si="2"/>
        <v>0</v>
      </c>
      <c r="S889" s="14">
        <f t="shared" si="3"/>
        <v>0</v>
      </c>
      <c r="T889" s="15">
        <f>IFERROR(__xludf.DUMMYFUNCTION("IFERROR(PERCENTRANK.INC(FILTER(Q:Q,$F:$F&lt;&gt;""""),Q889)*100,"""")"),1.5)</f>
        <v>1.5</v>
      </c>
      <c r="U889" s="15">
        <f>IFERROR(__xludf.DUMMYFUNCTION("IFERROR(PERCENTRANK.INC(FILTER(R:R,$F:$F&lt;&gt;""""),R889)*100,"""")"),1.5)</f>
        <v>1.5</v>
      </c>
      <c r="V889" s="15">
        <f>IFERROR(__xludf.DUMMYFUNCTION("IFERROR(PERCENTRANK.INC(FILTER(S:S,$F:$F&lt;&gt;""""),S889)*100,"""")"),1.5)</f>
        <v>1.5</v>
      </c>
      <c r="W889" s="15" t="str">
        <f t="shared" si="4"/>
        <v/>
      </c>
      <c r="X889" s="16"/>
      <c r="Y889" s="9"/>
      <c r="Z889" s="9"/>
    </row>
    <row r="890">
      <c r="B890" t="str">
        <f t="array" ref="B890">IFERROR(INDEX('Player Raw Data'!C:C,Match($A890,'Player Raw Data'!$B:$B,0)),"")</f>
        <v/>
      </c>
      <c r="C890" t="str">
        <f t="array" ref="C890">IFERROR(INDEX('Player Raw Data'!D:D,Match($A890,'Player Raw Data'!$B:$B,0)),"")</f>
        <v/>
      </c>
      <c r="D890" t="str">
        <f t="array" ref="D890">IFERROR(IF(A890=A889, INDEX('Player Raw Data'!E:E,Match($A890,'Player Raw Data'!$B:$B,0)+2),INDEX('Player Raw Data'!E:E,Match($A890,'Player Raw Data'!$B:$B,0))),"")</f>
        <v/>
      </c>
      <c r="E890" t="str">
        <f t="array" ref="E890">IFERROR(INDEX('Player Raw Data'!F:F,Match($A890,'Player Raw Data'!$B:$B,0)),"")</f>
        <v/>
      </c>
      <c r="F890" t="str">
        <f t="array" ref="F890">IFERROR(INDEX('Player Raw Data'!H:H,Match($A890,'Player Raw Data'!$B:$B,0)),"")</f>
        <v/>
      </c>
      <c r="G890" t="str">
        <f t="array" ref="G890">IFERROR(INDEX('Player Raw Data'!I:I,Match($A890,'Player Raw Data'!$B:$B,0)),"")</f>
        <v/>
      </c>
      <c r="H890" t="str">
        <f t="array" ref="H890">IFERROR(INDEX('Player Raw Data'!J:J,Match($A890,'Player Raw Data'!$B:$B,0)),"")</f>
        <v/>
      </c>
      <c r="I890" t="str">
        <f t="array" ref="I890">IFERROR(INDEX('Player Raw Data'!S:S,Match($A890,'Player Raw Data'!$B:$B,0)),"")</f>
        <v/>
      </c>
      <c r="J890" t="str">
        <f t="array" ref="J890">IFERROR(INDEX('Player Raw Data'!T:T,Match($A890,'Player Raw Data'!$B:$B,0)),"")</f>
        <v/>
      </c>
      <c r="K890" t="str">
        <f t="array" ref="K890">IFERROR(INDEX('Player Raw Data'!X:X,Match($A890,'Player Raw Data'!$B:$B,0)),"")</f>
        <v/>
      </c>
      <c r="L890" t="str">
        <f t="array" ref="L890">IFERROR(INDEX('Player Raw Data'!Y:Y,Match($A890,'Player Raw Data'!$B:$B,0)),"")</f>
        <v/>
      </c>
      <c r="M890" t="str">
        <f t="array" ref="M890">IFERROR(INDEX('Player Raw Data'!Z:Z,Match($A890,'Player Raw Data'!$B:$B,0)),"")</f>
        <v/>
      </c>
      <c r="N890" t="str">
        <f t="array" ref="N890">IFERROR(INDEX('Player Raw Data'!AA:AA,Match($A890,'Player Raw Data'!$B:$B,0)),"")</f>
        <v/>
      </c>
      <c r="O890" t="str">
        <f t="array" ref="O890">IFERROR(INDEX('Player Raw Data'!AB:AB,Match($A890,'Player Raw Data'!$B:$B,0)),"")</f>
        <v/>
      </c>
      <c r="P890" t="str">
        <f t="array" ref="P890">IFERROR(INDEX('Player Raw Data'!AD:AD,Match($A890,'Player Raw Data'!$B:$B,0)),"")</f>
        <v/>
      </c>
      <c r="Q890">
        <f t="shared" si="1"/>
        <v>0</v>
      </c>
      <c r="R890" s="9">
        <f t="shared" si="2"/>
        <v>0</v>
      </c>
      <c r="S890" s="14">
        <f t="shared" si="3"/>
        <v>0</v>
      </c>
      <c r="T890" s="15">
        <f>IFERROR(__xludf.DUMMYFUNCTION("IFERROR(PERCENTRANK.INC(FILTER(Q:Q,$F:$F&lt;&gt;""""),Q890)*100,"""")"),1.5)</f>
        <v>1.5</v>
      </c>
      <c r="U890" s="15">
        <f>IFERROR(__xludf.DUMMYFUNCTION("IFERROR(PERCENTRANK.INC(FILTER(R:R,$F:$F&lt;&gt;""""),R890)*100,"""")"),1.5)</f>
        <v>1.5</v>
      </c>
      <c r="V890" s="15">
        <f>IFERROR(__xludf.DUMMYFUNCTION("IFERROR(PERCENTRANK.INC(FILTER(S:S,$F:$F&lt;&gt;""""),S890)*100,"""")"),1.5)</f>
        <v>1.5</v>
      </c>
      <c r="W890" s="15" t="str">
        <f t="shared" si="4"/>
        <v/>
      </c>
      <c r="X890" s="16"/>
      <c r="Y890" s="9"/>
      <c r="Z890" s="9"/>
    </row>
    <row r="891">
      <c r="B891" t="str">
        <f t="array" ref="B891">IFERROR(INDEX('Player Raw Data'!C:C,Match($A891,'Player Raw Data'!$B:$B,0)),"")</f>
        <v/>
      </c>
      <c r="C891" t="str">
        <f t="array" ref="C891">IFERROR(INDEX('Player Raw Data'!D:D,Match($A891,'Player Raw Data'!$B:$B,0)),"")</f>
        <v/>
      </c>
      <c r="D891" t="str">
        <f t="array" ref="D891">IFERROR(IF(A891=A890, INDEX('Player Raw Data'!E:E,Match($A891,'Player Raw Data'!$B:$B,0)+2),INDEX('Player Raw Data'!E:E,Match($A891,'Player Raw Data'!$B:$B,0))),"")</f>
        <v/>
      </c>
      <c r="E891" t="str">
        <f t="array" ref="E891">IFERROR(INDEX('Player Raw Data'!F:F,Match($A891,'Player Raw Data'!$B:$B,0)),"")</f>
        <v/>
      </c>
      <c r="F891" t="str">
        <f t="array" ref="F891">IFERROR(INDEX('Player Raw Data'!H:H,Match($A891,'Player Raw Data'!$B:$B,0)),"")</f>
        <v/>
      </c>
      <c r="G891" t="str">
        <f t="array" ref="G891">IFERROR(INDEX('Player Raw Data'!I:I,Match($A891,'Player Raw Data'!$B:$B,0)),"")</f>
        <v/>
      </c>
      <c r="H891" t="str">
        <f t="array" ref="H891">IFERROR(INDEX('Player Raw Data'!J:J,Match($A891,'Player Raw Data'!$B:$B,0)),"")</f>
        <v/>
      </c>
      <c r="I891" t="str">
        <f t="array" ref="I891">IFERROR(INDEX('Player Raw Data'!S:S,Match($A891,'Player Raw Data'!$B:$B,0)),"")</f>
        <v/>
      </c>
      <c r="J891" t="str">
        <f t="array" ref="J891">IFERROR(INDEX('Player Raw Data'!T:T,Match($A891,'Player Raw Data'!$B:$B,0)),"")</f>
        <v/>
      </c>
      <c r="K891" t="str">
        <f t="array" ref="K891">IFERROR(INDEX('Player Raw Data'!X:X,Match($A891,'Player Raw Data'!$B:$B,0)),"")</f>
        <v/>
      </c>
      <c r="L891" t="str">
        <f t="array" ref="L891">IFERROR(INDEX('Player Raw Data'!Y:Y,Match($A891,'Player Raw Data'!$B:$B,0)),"")</f>
        <v/>
      </c>
      <c r="M891" t="str">
        <f t="array" ref="M891">IFERROR(INDEX('Player Raw Data'!Z:Z,Match($A891,'Player Raw Data'!$B:$B,0)),"")</f>
        <v/>
      </c>
      <c r="N891" t="str">
        <f t="array" ref="N891">IFERROR(INDEX('Player Raw Data'!AA:AA,Match($A891,'Player Raw Data'!$B:$B,0)),"")</f>
        <v/>
      </c>
      <c r="O891" t="str">
        <f t="array" ref="O891">IFERROR(INDEX('Player Raw Data'!AB:AB,Match($A891,'Player Raw Data'!$B:$B,0)),"")</f>
        <v/>
      </c>
      <c r="P891" t="str">
        <f t="array" ref="P891">IFERROR(INDEX('Player Raw Data'!AD:AD,Match($A891,'Player Raw Data'!$B:$B,0)),"")</f>
        <v/>
      </c>
      <c r="Q891">
        <f t="shared" si="1"/>
        <v>0</v>
      </c>
      <c r="R891" s="9">
        <f t="shared" si="2"/>
        <v>0</v>
      </c>
      <c r="S891" s="14">
        <f t="shared" si="3"/>
        <v>0</v>
      </c>
      <c r="T891" s="15">
        <f>IFERROR(__xludf.DUMMYFUNCTION("IFERROR(PERCENTRANK.INC(FILTER(Q:Q,$F:$F&lt;&gt;""""),Q891)*100,"""")"),1.5)</f>
        <v>1.5</v>
      </c>
      <c r="U891" s="15">
        <f>IFERROR(__xludf.DUMMYFUNCTION("IFERROR(PERCENTRANK.INC(FILTER(R:R,$F:$F&lt;&gt;""""),R891)*100,"""")"),1.5)</f>
        <v>1.5</v>
      </c>
      <c r="V891" s="15">
        <f>IFERROR(__xludf.DUMMYFUNCTION("IFERROR(PERCENTRANK.INC(FILTER(S:S,$F:$F&lt;&gt;""""),S891)*100,"""")"),1.5)</f>
        <v>1.5</v>
      </c>
      <c r="W891" s="15" t="str">
        <f t="shared" si="4"/>
        <v/>
      </c>
      <c r="X891" s="16"/>
      <c r="Y891" s="9"/>
      <c r="Z891" s="9"/>
    </row>
    <row r="892">
      <c r="B892" t="str">
        <f t="array" ref="B892">IFERROR(INDEX('Player Raw Data'!C:C,Match($A892,'Player Raw Data'!$B:$B,0)),"")</f>
        <v/>
      </c>
      <c r="C892" t="str">
        <f t="array" ref="C892">IFERROR(INDEX('Player Raw Data'!D:D,Match($A892,'Player Raw Data'!$B:$B,0)),"")</f>
        <v/>
      </c>
      <c r="D892" t="str">
        <f t="array" ref="D892">IFERROR(IF(A892=A891, INDEX('Player Raw Data'!E:E,Match($A892,'Player Raw Data'!$B:$B,0)+2),INDEX('Player Raw Data'!E:E,Match($A892,'Player Raw Data'!$B:$B,0))),"")</f>
        <v/>
      </c>
      <c r="E892" t="str">
        <f t="array" ref="E892">IFERROR(INDEX('Player Raw Data'!F:F,Match($A892,'Player Raw Data'!$B:$B,0)),"")</f>
        <v/>
      </c>
      <c r="F892" t="str">
        <f t="array" ref="F892">IFERROR(INDEX('Player Raw Data'!H:H,Match($A892,'Player Raw Data'!$B:$B,0)),"")</f>
        <v/>
      </c>
      <c r="G892" t="str">
        <f t="array" ref="G892">IFERROR(INDEX('Player Raw Data'!I:I,Match($A892,'Player Raw Data'!$B:$B,0)),"")</f>
        <v/>
      </c>
      <c r="H892" t="str">
        <f t="array" ref="H892">IFERROR(INDEX('Player Raw Data'!J:J,Match($A892,'Player Raw Data'!$B:$B,0)),"")</f>
        <v/>
      </c>
      <c r="I892" t="str">
        <f t="array" ref="I892">IFERROR(INDEX('Player Raw Data'!S:S,Match($A892,'Player Raw Data'!$B:$B,0)),"")</f>
        <v/>
      </c>
      <c r="J892" t="str">
        <f t="array" ref="J892">IFERROR(INDEX('Player Raw Data'!T:T,Match($A892,'Player Raw Data'!$B:$B,0)),"")</f>
        <v/>
      </c>
      <c r="K892" t="str">
        <f t="array" ref="K892">IFERROR(INDEX('Player Raw Data'!X:X,Match($A892,'Player Raw Data'!$B:$B,0)),"")</f>
        <v/>
      </c>
      <c r="L892" t="str">
        <f t="array" ref="L892">IFERROR(INDEX('Player Raw Data'!Y:Y,Match($A892,'Player Raw Data'!$B:$B,0)),"")</f>
        <v/>
      </c>
      <c r="M892" t="str">
        <f t="array" ref="M892">IFERROR(INDEX('Player Raw Data'!Z:Z,Match($A892,'Player Raw Data'!$B:$B,0)),"")</f>
        <v/>
      </c>
      <c r="N892" t="str">
        <f t="array" ref="N892">IFERROR(INDEX('Player Raw Data'!AA:AA,Match($A892,'Player Raw Data'!$B:$B,0)),"")</f>
        <v/>
      </c>
      <c r="O892" t="str">
        <f t="array" ref="O892">IFERROR(INDEX('Player Raw Data'!AB:AB,Match($A892,'Player Raw Data'!$B:$B,0)),"")</f>
        <v/>
      </c>
      <c r="P892" t="str">
        <f t="array" ref="P892">IFERROR(INDEX('Player Raw Data'!AD:AD,Match($A892,'Player Raw Data'!$B:$B,0)),"")</f>
        <v/>
      </c>
      <c r="Q892">
        <f t="shared" si="1"/>
        <v>0</v>
      </c>
      <c r="R892" s="9">
        <f t="shared" si="2"/>
        <v>0</v>
      </c>
      <c r="S892" s="14">
        <f t="shared" si="3"/>
        <v>0</v>
      </c>
      <c r="T892" s="15">
        <f>IFERROR(__xludf.DUMMYFUNCTION("IFERROR(PERCENTRANK.INC(FILTER(Q:Q,$F:$F&lt;&gt;""""),Q892)*100,"""")"),1.5)</f>
        <v>1.5</v>
      </c>
      <c r="U892" s="15">
        <f>IFERROR(__xludf.DUMMYFUNCTION("IFERROR(PERCENTRANK.INC(FILTER(R:R,$F:$F&lt;&gt;""""),R892)*100,"""")"),1.5)</f>
        <v>1.5</v>
      </c>
      <c r="V892" s="15">
        <f>IFERROR(__xludf.DUMMYFUNCTION("IFERROR(PERCENTRANK.INC(FILTER(S:S,$F:$F&lt;&gt;""""),S892)*100,"""")"),1.5)</f>
        <v>1.5</v>
      </c>
      <c r="W892" s="15" t="str">
        <f t="shared" si="4"/>
        <v/>
      </c>
      <c r="X892" s="16"/>
      <c r="Y892" s="9"/>
      <c r="Z892" s="9"/>
    </row>
    <row r="893">
      <c r="B893" t="str">
        <f t="array" ref="B893">IFERROR(INDEX('Player Raw Data'!C:C,Match($A893,'Player Raw Data'!$B:$B,0)),"")</f>
        <v/>
      </c>
      <c r="C893" t="str">
        <f t="array" ref="C893">IFERROR(INDEX('Player Raw Data'!D:D,Match($A893,'Player Raw Data'!$B:$B,0)),"")</f>
        <v/>
      </c>
      <c r="D893" t="str">
        <f t="array" ref="D893">IFERROR(IF(A893=A892, INDEX('Player Raw Data'!E:E,Match($A893,'Player Raw Data'!$B:$B,0)+2),INDEX('Player Raw Data'!E:E,Match($A893,'Player Raw Data'!$B:$B,0))),"")</f>
        <v/>
      </c>
      <c r="E893" t="str">
        <f t="array" ref="E893">IFERROR(INDEX('Player Raw Data'!F:F,Match($A893,'Player Raw Data'!$B:$B,0)),"")</f>
        <v/>
      </c>
      <c r="F893" t="str">
        <f t="array" ref="F893">IFERROR(INDEX('Player Raw Data'!H:H,Match($A893,'Player Raw Data'!$B:$B,0)),"")</f>
        <v/>
      </c>
      <c r="G893" t="str">
        <f t="array" ref="G893">IFERROR(INDEX('Player Raw Data'!I:I,Match($A893,'Player Raw Data'!$B:$B,0)),"")</f>
        <v/>
      </c>
      <c r="H893" t="str">
        <f t="array" ref="H893">IFERROR(INDEX('Player Raw Data'!J:J,Match($A893,'Player Raw Data'!$B:$B,0)),"")</f>
        <v/>
      </c>
      <c r="I893" t="str">
        <f t="array" ref="I893">IFERROR(INDEX('Player Raw Data'!S:S,Match($A893,'Player Raw Data'!$B:$B,0)),"")</f>
        <v/>
      </c>
      <c r="J893" t="str">
        <f t="array" ref="J893">IFERROR(INDEX('Player Raw Data'!T:T,Match($A893,'Player Raw Data'!$B:$B,0)),"")</f>
        <v/>
      </c>
      <c r="K893" t="str">
        <f t="array" ref="K893">IFERROR(INDEX('Player Raw Data'!X:X,Match($A893,'Player Raw Data'!$B:$B,0)),"")</f>
        <v/>
      </c>
      <c r="L893" t="str">
        <f t="array" ref="L893">IFERROR(INDEX('Player Raw Data'!Y:Y,Match($A893,'Player Raw Data'!$B:$B,0)),"")</f>
        <v/>
      </c>
      <c r="M893" t="str">
        <f t="array" ref="M893">IFERROR(INDEX('Player Raw Data'!Z:Z,Match($A893,'Player Raw Data'!$B:$B,0)),"")</f>
        <v/>
      </c>
      <c r="N893" t="str">
        <f t="array" ref="N893">IFERROR(INDEX('Player Raw Data'!AA:AA,Match($A893,'Player Raw Data'!$B:$B,0)),"")</f>
        <v/>
      </c>
      <c r="O893" t="str">
        <f t="array" ref="O893">IFERROR(INDEX('Player Raw Data'!AB:AB,Match($A893,'Player Raw Data'!$B:$B,0)),"")</f>
        <v/>
      </c>
      <c r="P893" t="str">
        <f t="array" ref="P893">IFERROR(INDEX('Player Raw Data'!AD:AD,Match($A893,'Player Raw Data'!$B:$B,0)),"")</f>
        <v/>
      </c>
      <c r="Q893">
        <f t="shared" si="1"/>
        <v>0</v>
      </c>
      <c r="R893" s="9">
        <f t="shared" si="2"/>
        <v>0</v>
      </c>
      <c r="S893" s="14">
        <f t="shared" si="3"/>
        <v>0</v>
      </c>
      <c r="T893" s="15">
        <f>IFERROR(__xludf.DUMMYFUNCTION("IFERROR(PERCENTRANK.INC(FILTER(Q:Q,$F:$F&lt;&gt;""""),Q893)*100,"""")"),1.5)</f>
        <v>1.5</v>
      </c>
      <c r="U893" s="15">
        <f>IFERROR(__xludf.DUMMYFUNCTION("IFERROR(PERCENTRANK.INC(FILTER(R:R,$F:$F&lt;&gt;""""),R893)*100,"""")"),1.5)</f>
        <v>1.5</v>
      </c>
      <c r="V893" s="15">
        <f>IFERROR(__xludf.DUMMYFUNCTION("IFERROR(PERCENTRANK.INC(FILTER(S:S,$F:$F&lt;&gt;""""),S893)*100,"""")"),1.5)</f>
        <v>1.5</v>
      </c>
      <c r="W893" s="15" t="str">
        <f t="shared" si="4"/>
        <v/>
      </c>
      <c r="X893" s="16"/>
      <c r="Y893" s="9"/>
      <c r="Z893" s="9"/>
    </row>
    <row r="894">
      <c r="B894" t="str">
        <f t="array" ref="B894">IFERROR(INDEX('Player Raw Data'!C:C,Match($A894,'Player Raw Data'!$B:$B,0)),"")</f>
        <v/>
      </c>
      <c r="C894" t="str">
        <f t="array" ref="C894">IFERROR(INDEX('Player Raw Data'!D:D,Match($A894,'Player Raw Data'!$B:$B,0)),"")</f>
        <v/>
      </c>
      <c r="D894" t="str">
        <f t="array" ref="D894">IFERROR(IF(A894=A893, INDEX('Player Raw Data'!E:E,Match($A894,'Player Raw Data'!$B:$B,0)+2),INDEX('Player Raw Data'!E:E,Match($A894,'Player Raw Data'!$B:$B,0))),"")</f>
        <v/>
      </c>
      <c r="E894" t="str">
        <f t="array" ref="E894">IFERROR(INDEX('Player Raw Data'!F:F,Match($A894,'Player Raw Data'!$B:$B,0)),"")</f>
        <v/>
      </c>
      <c r="F894" t="str">
        <f t="array" ref="F894">IFERROR(INDEX('Player Raw Data'!H:H,Match($A894,'Player Raw Data'!$B:$B,0)),"")</f>
        <v/>
      </c>
      <c r="G894" t="str">
        <f t="array" ref="G894">IFERROR(INDEX('Player Raw Data'!I:I,Match($A894,'Player Raw Data'!$B:$B,0)),"")</f>
        <v/>
      </c>
      <c r="H894" t="str">
        <f t="array" ref="H894">IFERROR(INDEX('Player Raw Data'!J:J,Match($A894,'Player Raw Data'!$B:$B,0)),"")</f>
        <v/>
      </c>
      <c r="I894" t="str">
        <f t="array" ref="I894">IFERROR(INDEX('Player Raw Data'!S:S,Match($A894,'Player Raw Data'!$B:$B,0)),"")</f>
        <v/>
      </c>
      <c r="J894" t="str">
        <f t="array" ref="J894">IFERROR(INDEX('Player Raw Data'!T:T,Match($A894,'Player Raw Data'!$B:$B,0)),"")</f>
        <v/>
      </c>
      <c r="K894" t="str">
        <f t="array" ref="K894">IFERROR(INDEX('Player Raw Data'!X:X,Match($A894,'Player Raw Data'!$B:$B,0)),"")</f>
        <v/>
      </c>
      <c r="L894" t="str">
        <f t="array" ref="L894">IFERROR(INDEX('Player Raw Data'!Y:Y,Match($A894,'Player Raw Data'!$B:$B,0)),"")</f>
        <v/>
      </c>
      <c r="M894" t="str">
        <f t="array" ref="M894">IFERROR(INDEX('Player Raw Data'!Z:Z,Match($A894,'Player Raw Data'!$B:$B,0)),"")</f>
        <v/>
      </c>
      <c r="N894" t="str">
        <f t="array" ref="N894">IFERROR(INDEX('Player Raw Data'!AA:AA,Match($A894,'Player Raw Data'!$B:$B,0)),"")</f>
        <v/>
      </c>
      <c r="O894" t="str">
        <f t="array" ref="O894">IFERROR(INDEX('Player Raw Data'!AB:AB,Match($A894,'Player Raw Data'!$B:$B,0)),"")</f>
        <v/>
      </c>
      <c r="P894" t="str">
        <f t="array" ref="P894">IFERROR(INDEX('Player Raw Data'!AD:AD,Match($A894,'Player Raw Data'!$B:$B,0)),"")</f>
        <v/>
      </c>
      <c r="Q894">
        <f t="shared" si="1"/>
        <v>0</v>
      </c>
      <c r="R894" s="9">
        <f t="shared" si="2"/>
        <v>0</v>
      </c>
      <c r="S894" s="14">
        <f t="shared" si="3"/>
        <v>0</v>
      </c>
      <c r="T894" s="15">
        <f>IFERROR(__xludf.DUMMYFUNCTION("IFERROR(PERCENTRANK.INC(FILTER(Q:Q,$F:$F&lt;&gt;""""),Q894)*100,"""")"),1.5)</f>
        <v>1.5</v>
      </c>
      <c r="U894" s="15">
        <f>IFERROR(__xludf.DUMMYFUNCTION("IFERROR(PERCENTRANK.INC(FILTER(R:R,$F:$F&lt;&gt;""""),R894)*100,"""")"),1.5)</f>
        <v>1.5</v>
      </c>
      <c r="V894" s="15">
        <f>IFERROR(__xludf.DUMMYFUNCTION("IFERROR(PERCENTRANK.INC(FILTER(S:S,$F:$F&lt;&gt;""""),S894)*100,"""")"),1.5)</f>
        <v>1.5</v>
      </c>
      <c r="W894" s="15" t="str">
        <f t="shared" si="4"/>
        <v/>
      </c>
      <c r="X894" s="16"/>
      <c r="Y894" s="9"/>
      <c r="Z894" s="9"/>
    </row>
    <row r="895">
      <c r="B895" t="str">
        <f t="array" ref="B895">IFERROR(INDEX('Player Raw Data'!C:C,Match($A895,'Player Raw Data'!$B:$B,0)),"")</f>
        <v/>
      </c>
      <c r="C895" t="str">
        <f t="array" ref="C895">IFERROR(INDEX('Player Raw Data'!D:D,Match($A895,'Player Raw Data'!$B:$B,0)),"")</f>
        <v/>
      </c>
      <c r="D895" t="str">
        <f t="array" ref="D895">IFERROR(IF(A895=A894, INDEX('Player Raw Data'!E:E,Match($A895,'Player Raw Data'!$B:$B,0)+2),INDEX('Player Raw Data'!E:E,Match($A895,'Player Raw Data'!$B:$B,0))),"")</f>
        <v/>
      </c>
      <c r="E895" t="str">
        <f t="array" ref="E895">IFERROR(INDEX('Player Raw Data'!F:F,Match($A895,'Player Raw Data'!$B:$B,0)),"")</f>
        <v/>
      </c>
      <c r="F895" t="str">
        <f t="array" ref="F895">IFERROR(INDEX('Player Raw Data'!H:H,Match($A895,'Player Raw Data'!$B:$B,0)),"")</f>
        <v/>
      </c>
      <c r="G895" t="str">
        <f t="array" ref="G895">IFERROR(INDEX('Player Raw Data'!I:I,Match($A895,'Player Raw Data'!$B:$B,0)),"")</f>
        <v/>
      </c>
      <c r="H895" t="str">
        <f t="array" ref="H895">IFERROR(INDEX('Player Raw Data'!J:J,Match($A895,'Player Raw Data'!$B:$B,0)),"")</f>
        <v/>
      </c>
      <c r="I895" t="str">
        <f t="array" ref="I895">IFERROR(INDEX('Player Raw Data'!S:S,Match($A895,'Player Raw Data'!$B:$B,0)),"")</f>
        <v/>
      </c>
      <c r="J895" t="str">
        <f t="array" ref="J895">IFERROR(INDEX('Player Raw Data'!T:T,Match($A895,'Player Raw Data'!$B:$B,0)),"")</f>
        <v/>
      </c>
      <c r="K895" t="str">
        <f t="array" ref="K895">IFERROR(INDEX('Player Raw Data'!X:X,Match($A895,'Player Raw Data'!$B:$B,0)),"")</f>
        <v/>
      </c>
      <c r="L895" t="str">
        <f t="array" ref="L895">IFERROR(INDEX('Player Raw Data'!Y:Y,Match($A895,'Player Raw Data'!$B:$B,0)),"")</f>
        <v/>
      </c>
      <c r="M895" t="str">
        <f t="array" ref="M895">IFERROR(INDEX('Player Raw Data'!Z:Z,Match($A895,'Player Raw Data'!$B:$B,0)),"")</f>
        <v/>
      </c>
      <c r="N895" t="str">
        <f t="array" ref="N895">IFERROR(INDEX('Player Raw Data'!AA:AA,Match($A895,'Player Raw Data'!$B:$B,0)),"")</f>
        <v/>
      </c>
      <c r="O895" t="str">
        <f t="array" ref="O895">IFERROR(INDEX('Player Raw Data'!AB:AB,Match($A895,'Player Raw Data'!$B:$B,0)),"")</f>
        <v/>
      </c>
      <c r="P895" t="str">
        <f t="array" ref="P895">IFERROR(INDEX('Player Raw Data'!AD:AD,Match($A895,'Player Raw Data'!$B:$B,0)),"")</f>
        <v/>
      </c>
      <c r="Q895">
        <f t="shared" si="1"/>
        <v>0</v>
      </c>
      <c r="R895" s="9">
        <f t="shared" si="2"/>
        <v>0</v>
      </c>
      <c r="S895" s="14">
        <f t="shared" si="3"/>
        <v>0</v>
      </c>
      <c r="T895" s="15">
        <f>IFERROR(__xludf.DUMMYFUNCTION("IFERROR(PERCENTRANK.INC(FILTER(Q:Q,$F:$F&lt;&gt;""""),Q895)*100,"""")"),1.5)</f>
        <v>1.5</v>
      </c>
      <c r="U895" s="15">
        <f>IFERROR(__xludf.DUMMYFUNCTION("IFERROR(PERCENTRANK.INC(FILTER(R:R,$F:$F&lt;&gt;""""),R895)*100,"""")"),1.5)</f>
        <v>1.5</v>
      </c>
      <c r="V895" s="15">
        <f>IFERROR(__xludf.DUMMYFUNCTION("IFERROR(PERCENTRANK.INC(FILTER(S:S,$F:$F&lt;&gt;""""),S895)*100,"""")"),1.5)</f>
        <v>1.5</v>
      </c>
      <c r="W895" s="15" t="str">
        <f t="shared" si="4"/>
        <v/>
      </c>
      <c r="X895" s="16"/>
      <c r="Y895" s="9"/>
      <c r="Z895" s="9"/>
    </row>
    <row r="896">
      <c r="B896" t="str">
        <f t="array" ref="B896">IFERROR(INDEX('Player Raw Data'!C:C,Match($A896,'Player Raw Data'!$B:$B,0)),"")</f>
        <v/>
      </c>
      <c r="C896" t="str">
        <f t="array" ref="C896">IFERROR(INDEX('Player Raw Data'!D:D,Match($A896,'Player Raw Data'!$B:$B,0)),"")</f>
        <v/>
      </c>
      <c r="D896" t="str">
        <f t="array" ref="D896">IFERROR(IF(A896=A895, INDEX('Player Raw Data'!E:E,Match($A896,'Player Raw Data'!$B:$B,0)+2),INDEX('Player Raw Data'!E:E,Match($A896,'Player Raw Data'!$B:$B,0))),"")</f>
        <v/>
      </c>
      <c r="E896" t="str">
        <f t="array" ref="E896">IFERROR(INDEX('Player Raw Data'!F:F,Match($A896,'Player Raw Data'!$B:$B,0)),"")</f>
        <v/>
      </c>
      <c r="F896" t="str">
        <f t="array" ref="F896">IFERROR(INDEX('Player Raw Data'!H:H,Match($A896,'Player Raw Data'!$B:$B,0)),"")</f>
        <v/>
      </c>
      <c r="G896" t="str">
        <f t="array" ref="G896">IFERROR(INDEX('Player Raw Data'!I:I,Match($A896,'Player Raw Data'!$B:$B,0)),"")</f>
        <v/>
      </c>
      <c r="H896" t="str">
        <f t="array" ref="H896">IFERROR(INDEX('Player Raw Data'!J:J,Match($A896,'Player Raw Data'!$B:$B,0)),"")</f>
        <v/>
      </c>
      <c r="I896" t="str">
        <f t="array" ref="I896">IFERROR(INDEX('Player Raw Data'!S:S,Match($A896,'Player Raw Data'!$B:$B,0)),"")</f>
        <v/>
      </c>
      <c r="J896" t="str">
        <f t="array" ref="J896">IFERROR(INDEX('Player Raw Data'!T:T,Match($A896,'Player Raw Data'!$B:$B,0)),"")</f>
        <v/>
      </c>
      <c r="K896" t="str">
        <f t="array" ref="K896">IFERROR(INDEX('Player Raw Data'!X:X,Match($A896,'Player Raw Data'!$B:$B,0)),"")</f>
        <v/>
      </c>
      <c r="L896" t="str">
        <f t="array" ref="L896">IFERROR(INDEX('Player Raw Data'!Y:Y,Match($A896,'Player Raw Data'!$B:$B,0)),"")</f>
        <v/>
      </c>
      <c r="M896" t="str">
        <f t="array" ref="M896">IFERROR(INDEX('Player Raw Data'!Z:Z,Match($A896,'Player Raw Data'!$B:$B,0)),"")</f>
        <v/>
      </c>
      <c r="N896" t="str">
        <f t="array" ref="N896">IFERROR(INDEX('Player Raw Data'!AA:AA,Match($A896,'Player Raw Data'!$B:$B,0)),"")</f>
        <v/>
      </c>
      <c r="O896" t="str">
        <f t="array" ref="O896">IFERROR(INDEX('Player Raw Data'!AB:AB,Match($A896,'Player Raw Data'!$B:$B,0)),"")</f>
        <v/>
      </c>
      <c r="P896" t="str">
        <f t="array" ref="P896">IFERROR(INDEX('Player Raw Data'!AD:AD,Match($A896,'Player Raw Data'!$B:$B,0)),"")</f>
        <v/>
      </c>
      <c r="Q896">
        <f t="shared" si="1"/>
        <v>0</v>
      </c>
      <c r="R896" s="9">
        <f t="shared" si="2"/>
        <v>0</v>
      </c>
      <c r="S896" s="14">
        <f t="shared" si="3"/>
        <v>0</v>
      </c>
      <c r="T896" s="15">
        <f>IFERROR(__xludf.DUMMYFUNCTION("IFERROR(PERCENTRANK.INC(FILTER(Q:Q,$F:$F&lt;&gt;""""),Q896)*100,"""")"),1.5)</f>
        <v>1.5</v>
      </c>
      <c r="U896" s="15">
        <f>IFERROR(__xludf.DUMMYFUNCTION("IFERROR(PERCENTRANK.INC(FILTER(R:R,$F:$F&lt;&gt;""""),R896)*100,"""")"),1.5)</f>
        <v>1.5</v>
      </c>
      <c r="V896" s="15">
        <f>IFERROR(__xludf.DUMMYFUNCTION("IFERROR(PERCENTRANK.INC(FILTER(S:S,$F:$F&lt;&gt;""""),S896)*100,"""")"),1.5)</f>
        <v>1.5</v>
      </c>
      <c r="W896" s="15" t="str">
        <f t="shared" si="4"/>
        <v/>
      </c>
      <c r="X896" s="16"/>
      <c r="Y896" s="9"/>
      <c r="Z896" s="9"/>
    </row>
    <row r="897">
      <c r="B897" t="str">
        <f t="array" ref="B897">IFERROR(INDEX('Player Raw Data'!C:C,Match($A897,'Player Raw Data'!$B:$B,0)),"")</f>
        <v/>
      </c>
      <c r="C897" t="str">
        <f t="array" ref="C897">IFERROR(INDEX('Player Raw Data'!D:D,Match($A897,'Player Raw Data'!$B:$B,0)),"")</f>
        <v/>
      </c>
      <c r="D897" t="str">
        <f t="array" ref="D897">IFERROR(IF(A897=A896, INDEX('Player Raw Data'!E:E,Match($A897,'Player Raw Data'!$B:$B,0)+2),INDEX('Player Raw Data'!E:E,Match($A897,'Player Raw Data'!$B:$B,0))),"")</f>
        <v/>
      </c>
      <c r="E897" t="str">
        <f t="array" ref="E897">IFERROR(INDEX('Player Raw Data'!F:F,Match($A897,'Player Raw Data'!$B:$B,0)),"")</f>
        <v/>
      </c>
      <c r="F897" t="str">
        <f t="array" ref="F897">IFERROR(INDEX('Player Raw Data'!H:H,Match($A897,'Player Raw Data'!$B:$B,0)),"")</f>
        <v/>
      </c>
      <c r="G897" t="str">
        <f t="array" ref="G897">IFERROR(INDEX('Player Raw Data'!I:I,Match($A897,'Player Raw Data'!$B:$B,0)),"")</f>
        <v/>
      </c>
      <c r="H897" t="str">
        <f t="array" ref="H897">IFERROR(INDEX('Player Raw Data'!J:J,Match($A897,'Player Raw Data'!$B:$B,0)),"")</f>
        <v/>
      </c>
      <c r="I897" t="str">
        <f t="array" ref="I897">IFERROR(INDEX('Player Raw Data'!S:S,Match($A897,'Player Raw Data'!$B:$B,0)),"")</f>
        <v/>
      </c>
      <c r="J897" t="str">
        <f t="array" ref="J897">IFERROR(INDEX('Player Raw Data'!T:T,Match($A897,'Player Raw Data'!$B:$B,0)),"")</f>
        <v/>
      </c>
      <c r="K897" t="str">
        <f t="array" ref="K897">IFERROR(INDEX('Player Raw Data'!X:X,Match($A897,'Player Raw Data'!$B:$B,0)),"")</f>
        <v/>
      </c>
      <c r="L897" t="str">
        <f t="array" ref="L897">IFERROR(INDEX('Player Raw Data'!Y:Y,Match($A897,'Player Raw Data'!$B:$B,0)),"")</f>
        <v/>
      </c>
      <c r="M897" t="str">
        <f t="array" ref="M897">IFERROR(INDEX('Player Raw Data'!Z:Z,Match($A897,'Player Raw Data'!$B:$B,0)),"")</f>
        <v/>
      </c>
      <c r="N897" t="str">
        <f t="array" ref="N897">IFERROR(INDEX('Player Raw Data'!AA:AA,Match($A897,'Player Raw Data'!$B:$B,0)),"")</f>
        <v/>
      </c>
      <c r="O897" t="str">
        <f t="array" ref="O897">IFERROR(INDEX('Player Raw Data'!AB:AB,Match($A897,'Player Raw Data'!$B:$B,0)),"")</f>
        <v/>
      </c>
      <c r="P897" t="str">
        <f t="array" ref="P897">IFERROR(INDEX('Player Raw Data'!AD:AD,Match($A897,'Player Raw Data'!$B:$B,0)),"")</f>
        <v/>
      </c>
      <c r="Q897">
        <f t="shared" si="1"/>
        <v>0</v>
      </c>
      <c r="R897" s="9">
        <f t="shared" si="2"/>
        <v>0</v>
      </c>
      <c r="S897" s="14">
        <f t="shared" si="3"/>
        <v>0</v>
      </c>
      <c r="T897" s="15">
        <f>IFERROR(__xludf.DUMMYFUNCTION("IFERROR(PERCENTRANK.INC(FILTER(Q:Q,$F:$F&lt;&gt;""""),Q897)*100,"""")"),1.5)</f>
        <v>1.5</v>
      </c>
      <c r="U897" s="15">
        <f>IFERROR(__xludf.DUMMYFUNCTION("IFERROR(PERCENTRANK.INC(FILTER(R:R,$F:$F&lt;&gt;""""),R897)*100,"""")"),1.5)</f>
        <v>1.5</v>
      </c>
      <c r="V897" s="15">
        <f>IFERROR(__xludf.DUMMYFUNCTION("IFERROR(PERCENTRANK.INC(FILTER(S:S,$F:$F&lt;&gt;""""),S897)*100,"""")"),1.5)</f>
        <v>1.5</v>
      </c>
      <c r="W897" s="15" t="str">
        <f t="shared" si="4"/>
        <v/>
      </c>
      <c r="X897" s="16"/>
      <c r="Y897" s="9"/>
      <c r="Z897" s="9"/>
    </row>
    <row r="898">
      <c r="B898" t="str">
        <f t="array" ref="B898">IFERROR(INDEX('Player Raw Data'!C:C,Match($A898,'Player Raw Data'!$B:$B,0)),"")</f>
        <v/>
      </c>
      <c r="C898" t="str">
        <f t="array" ref="C898">IFERROR(INDEX('Player Raw Data'!D:D,Match($A898,'Player Raw Data'!$B:$B,0)),"")</f>
        <v/>
      </c>
      <c r="D898" t="str">
        <f t="array" ref="D898">IFERROR(IF(A898=A897, INDEX('Player Raw Data'!E:E,Match($A898,'Player Raw Data'!$B:$B,0)+2),INDEX('Player Raw Data'!E:E,Match($A898,'Player Raw Data'!$B:$B,0))),"")</f>
        <v/>
      </c>
      <c r="E898" t="str">
        <f t="array" ref="E898">IFERROR(INDEX('Player Raw Data'!F:F,Match($A898,'Player Raw Data'!$B:$B,0)),"")</f>
        <v/>
      </c>
      <c r="F898" t="str">
        <f t="array" ref="F898">IFERROR(INDEX('Player Raw Data'!H:H,Match($A898,'Player Raw Data'!$B:$B,0)),"")</f>
        <v/>
      </c>
      <c r="G898" t="str">
        <f t="array" ref="G898">IFERROR(INDEX('Player Raw Data'!I:I,Match($A898,'Player Raw Data'!$B:$B,0)),"")</f>
        <v/>
      </c>
      <c r="H898" t="str">
        <f t="array" ref="H898">IFERROR(INDEX('Player Raw Data'!J:J,Match($A898,'Player Raw Data'!$B:$B,0)),"")</f>
        <v/>
      </c>
      <c r="I898" t="str">
        <f t="array" ref="I898">IFERROR(INDEX('Player Raw Data'!S:S,Match($A898,'Player Raw Data'!$B:$B,0)),"")</f>
        <v/>
      </c>
      <c r="J898" t="str">
        <f t="array" ref="J898">IFERROR(INDEX('Player Raw Data'!T:T,Match($A898,'Player Raw Data'!$B:$B,0)),"")</f>
        <v/>
      </c>
      <c r="K898" t="str">
        <f t="array" ref="K898">IFERROR(INDEX('Player Raw Data'!X:X,Match($A898,'Player Raw Data'!$B:$B,0)),"")</f>
        <v/>
      </c>
      <c r="L898" t="str">
        <f t="array" ref="L898">IFERROR(INDEX('Player Raw Data'!Y:Y,Match($A898,'Player Raw Data'!$B:$B,0)),"")</f>
        <v/>
      </c>
      <c r="M898" t="str">
        <f t="array" ref="M898">IFERROR(INDEX('Player Raw Data'!Z:Z,Match($A898,'Player Raw Data'!$B:$B,0)),"")</f>
        <v/>
      </c>
      <c r="N898" t="str">
        <f t="array" ref="N898">IFERROR(INDEX('Player Raw Data'!AA:AA,Match($A898,'Player Raw Data'!$B:$B,0)),"")</f>
        <v/>
      </c>
      <c r="O898" t="str">
        <f t="array" ref="O898">IFERROR(INDEX('Player Raw Data'!AB:AB,Match($A898,'Player Raw Data'!$B:$B,0)),"")</f>
        <v/>
      </c>
      <c r="P898" t="str">
        <f t="array" ref="P898">IFERROR(INDEX('Player Raw Data'!AD:AD,Match($A898,'Player Raw Data'!$B:$B,0)),"")</f>
        <v/>
      </c>
      <c r="Q898">
        <f t="shared" si="1"/>
        <v>0</v>
      </c>
      <c r="R898" s="9">
        <f t="shared" si="2"/>
        <v>0</v>
      </c>
      <c r="S898" s="14">
        <f t="shared" si="3"/>
        <v>0</v>
      </c>
      <c r="T898" s="15">
        <f>IFERROR(__xludf.DUMMYFUNCTION("IFERROR(PERCENTRANK.INC(FILTER(Q:Q,$F:$F&lt;&gt;""""),Q898)*100,"""")"),1.5)</f>
        <v>1.5</v>
      </c>
      <c r="U898" s="15">
        <f>IFERROR(__xludf.DUMMYFUNCTION("IFERROR(PERCENTRANK.INC(FILTER(R:R,$F:$F&lt;&gt;""""),R898)*100,"""")"),1.5)</f>
        <v>1.5</v>
      </c>
      <c r="V898" s="15">
        <f>IFERROR(__xludf.DUMMYFUNCTION("IFERROR(PERCENTRANK.INC(FILTER(S:S,$F:$F&lt;&gt;""""),S898)*100,"""")"),1.5)</f>
        <v>1.5</v>
      </c>
      <c r="W898" s="15" t="str">
        <f t="shared" si="4"/>
        <v/>
      </c>
      <c r="X898" s="16"/>
      <c r="Y898" s="9"/>
      <c r="Z898" s="9"/>
    </row>
    <row r="899">
      <c r="B899" t="str">
        <f t="array" ref="B899">IFERROR(INDEX('Player Raw Data'!C:C,Match($A899,'Player Raw Data'!$B:$B,0)),"")</f>
        <v/>
      </c>
      <c r="C899" t="str">
        <f t="array" ref="C899">IFERROR(INDEX('Player Raw Data'!D:D,Match($A899,'Player Raw Data'!$B:$B,0)),"")</f>
        <v/>
      </c>
      <c r="D899" t="str">
        <f t="array" ref="D899">IFERROR(IF(A899=A898, INDEX('Player Raw Data'!E:E,Match($A899,'Player Raw Data'!$B:$B,0)+2),INDEX('Player Raw Data'!E:E,Match($A899,'Player Raw Data'!$B:$B,0))),"")</f>
        <v/>
      </c>
      <c r="E899" t="str">
        <f t="array" ref="E899">IFERROR(INDEX('Player Raw Data'!F:F,Match($A899,'Player Raw Data'!$B:$B,0)),"")</f>
        <v/>
      </c>
      <c r="F899" t="str">
        <f t="array" ref="F899">IFERROR(INDEX('Player Raw Data'!H:H,Match($A899,'Player Raw Data'!$B:$B,0)),"")</f>
        <v/>
      </c>
      <c r="G899" t="str">
        <f t="array" ref="G899">IFERROR(INDEX('Player Raw Data'!I:I,Match($A899,'Player Raw Data'!$B:$B,0)),"")</f>
        <v/>
      </c>
      <c r="H899" t="str">
        <f t="array" ref="H899">IFERROR(INDEX('Player Raw Data'!J:J,Match($A899,'Player Raw Data'!$B:$B,0)),"")</f>
        <v/>
      </c>
      <c r="I899" t="str">
        <f t="array" ref="I899">IFERROR(INDEX('Player Raw Data'!S:S,Match($A899,'Player Raw Data'!$B:$B,0)),"")</f>
        <v/>
      </c>
      <c r="J899" t="str">
        <f t="array" ref="J899">IFERROR(INDEX('Player Raw Data'!T:T,Match($A899,'Player Raw Data'!$B:$B,0)),"")</f>
        <v/>
      </c>
      <c r="K899" t="str">
        <f t="array" ref="K899">IFERROR(INDEX('Player Raw Data'!X:X,Match($A899,'Player Raw Data'!$B:$B,0)),"")</f>
        <v/>
      </c>
      <c r="L899" t="str">
        <f t="array" ref="L899">IFERROR(INDEX('Player Raw Data'!Y:Y,Match($A899,'Player Raw Data'!$B:$B,0)),"")</f>
        <v/>
      </c>
      <c r="M899" t="str">
        <f t="array" ref="M899">IFERROR(INDEX('Player Raw Data'!Z:Z,Match($A899,'Player Raw Data'!$B:$B,0)),"")</f>
        <v/>
      </c>
      <c r="N899" t="str">
        <f t="array" ref="N899">IFERROR(INDEX('Player Raw Data'!AA:AA,Match($A899,'Player Raw Data'!$B:$B,0)),"")</f>
        <v/>
      </c>
      <c r="O899" t="str">
        <f t="array" ref="O899">IFERROR(INDEX('Player Raw Data'!AB:AB,Match($A899,'Player Raw Data'!$B:$B,0)),"")</f>
        <v/>
      </c>
      <c r="P899" t="str">
        <f t="array" ref="P899">IFERROR(INDEX('Player Raw Data'!AD:AD,Match($A899,'Player Raw Data'!$B:$B,0)),"")</f>
        <v/>
      </c>
      <c r="Q899">
        <f t="shared" si="1"/>
        <v>0</v>
      </c>
      <c r="R899" s="9">
        <f t="shared" si="2"/>
        <v>0</v>
      </c>
      <c r="S899" s="14">
        <f t="shared" si="3"/>
        <v>0</v>
      </c>
      <c r="T899" s="15">
        <f>IFERROR(__xludf.DUMMYFUNCTION("IFERROR(PERCENTRANK.INC(FILTER(Q:Q,$F:$F&lt;&gt;""""),Q899)*100,"""")"),1.5)</f>
        <v>1.5</v>
      </c>
      <c r="U899" s="15">
        <f>IFERROR(__xludf.DUMMYFUNCTION("IFERROR(PERCENTRANK.INC(FILTER(R:R,$F:$F&lt;&gt;""""),R899)*100,"""")"),1.5)</f>
        <v>1.5</v>
      </c>
      <c r="V899" s="15">
        <f>IFERROR(__xludf.DUMMYFUNCTION("IFERROR(PERCENTRANK.INC(FILTER(S:S,$F:$F&lt;&gt;""""),S899)*100,"""")"),1.5)</f>
        <v>1.5</v>
      </c>
      <c r="W899" s="15" t="str">
        <f t="shared" si="4"/>
        <v/>
      </c>
      <c r="X899" s="16"/>
      <c r="Y899" s="9"/>
      <c r="Z899" s="9"/>
    </row>
    <row r="900">
      <c r="B900" t="str">
        <f t="array" ref="B900">IFERROR(INDEX('Player Raw Data'!C:C,Match($A900,'Player Raw Data'!$B:$B,0)),"")</f>
        <v/>
      </c>
      <c r="C900" t="str">
        <f t="array" ref="C900">IFERROR(INDEX('Player Raw Data'!D:D,Match($A900,'Player Raw Data'!$B:$B,0)),"")</f>
        <v/>
      </c>
      <c r="D900" t="str">
        <f t="array" ref="D900">IFERROR(IF(A900=A899, INDEX('Player Raw Data'!E:E,Match($A900,'Player Raw Data'!$B:$B,0)+2),INDEX('Player Raw Data'!E:E,Match($A900,'Player Raw Data'!$B:$B,0))),"")</f>
        <v/>
      </c>
      <c r="E900" t="str">
        <f t="array" ref="E900">IFERROR(INDEX('Player Raw Data'!F:F,Match($A900,'Player Raw Data'!$B:$B,0)),"")</f>
        <v/>
      </c>
      <c r="F900" t="str">
        <f t="array" ref="F900">IFERROR(INDEX('Player Raw Data'!H:H,Match($A900,'Player Raw Data'!$B:$B,0)),"")</f>
        <v/>
      </c>
      <c r="G900" t="str">
        <f t="array" ref="G900">IFERROR(INDEX('Player Raw Data'!I:I,Match($A900,'Player Raw Data'!$B:$B,0)),"")</f>
        <v/>
      </c>
      <c r="H900" t="str">
        <f t="array" ref="H900">IFERROR(INDEX('Player Raw Data'!J:J,Match($A900,'Player Raw Data'!$B:$B,0)),"")</f>
        <v/>
      </c>
      <c r="I900" t="str">
        <f t="array" ref="I900">IFERROR(INDEX('Player Raw Data'!S:S,Match($A900,'Player Raw Data'!$B:$B,0)),"")</f>
        <v/>
      </c>
      <c r="J900" t="str">
        <f t="array" ref="J900">IFERROR(INDEX('Player Raw Data'!T:T,Match($A900,'Player Raw Data'!$B:$B,0)),"")</f>
        <v/>
      </c>
      <c r="K900" t="str">
        <f t="array" ref="K900">IFERROR(INDEX('Player Raw Data'!X:X,Match($A900,'Player Raw Data'!$B:$B,0)),"")</f>
        <v/>
      </c>
      <c r="L900" t="str">
        <f t="array" ref="L900">IFERROR(INDEX('Player Raw Data'!Y:Y,Match($A900,'Player Raw Data'!$B:$B,0)),"")</f>
        <v/>
      </c>
      <c r="M900" t="str">
        <f t="array" ref="M900">IFERROR(INDEX('Player Raw Data'!Z:Z,Match($A900,'Player Raw Data'!$B:$B,0)),"")</f>
        <v/>
      </c>
      <c r="N900" t="str">
        <f t="array" ref="N900">IFERROR(INDEX('Player Raw Data'!AA:AA,Match($A900,'Player Raw Data'!$B:$B,0)),"")</f>
        <v/>
      </c>
      <c r="O900" t="str">
        <f t="array" ref="O900">IFERROR(INDEX('Player Raw Data'!AB:AB,Match($A900,'Player Raw Data'!$B:$B,0)),"")</f>
        <v/>
      </c>
      <c r="P900" t="str">
        <f t="array" ref="P900">IFERROR(INDEX('Player Raw Data'!AD:AD,Match($A900,'Player Raw Data'!$B:$B,0)),"")</f>
        <v/>
      </c>
      <c r="Q900">
        <f t="shared" si="1"/>
        <v>0</v>
      </c>
      <c r="R900" s="9">
        <f t="shared" si="2"/>
        <v>0</v>
      </c>
      <c r="S900" s="14">
        <f t="shared" si="3"/>
        <v>0</v>
      </c>
      <c r="T900" s="15">
        <f>IFERROR(__xludf.DUMMYFUNCTION("IFERROR(PERCENTRANK.INC(FILTER(Q:Q,$F:$F&lt;&gt;""""),Q900)*100,"""")"),1.5)</f>
        <v>1.5</v>
      </c>
      <c r="U900" s="15">
        <f>IFERROR(__xludf.DUMMYFUNCTION("IFERROR(PERCENTRANK.INC(FILTER(R:R,$F:$F&lt;&gt;""""),R900)*100,"""")"),1.5)</f>
        <v>1.5</v>
      </c>
      <c r="V900" s="15">
        <f>IFERROR(__xludf.DUMMYFUNCTION("IFERROR(PERCENTRANK.INC(FILTER(S:S,$F:$F&lt;&gt;""""),S900)*100,"""")"),1.5)</f>
        <v>1.5</v>
      </c>
      <c r="W900" s="15" t="str">
        <f t="shared" si="4"/>
        <v/>
      </c>
      <c r="X900" s="16"/>
      <c r="Y900" s="9"/>
      <c r="Z900" s="9"/>
    </row>
    <row r="901">
      <c r="B901" t="str">
        <f t="array" ref="B901">IFERROR(INDEX('Player Raw Data'!C:C,Match($A901,'Player Raw Data'!$B:$B,0)),"")</f>
        <v/>
      </c>
      <c r="C901" t="str">
        <f t="array" ref="C901">IFERROR(INDEX('Player Raw Data'!D:D,Match($A901,'Player Raw Data'!$B:$B,0)),"")</f>
        <v/>
      </c>
      <c r="D901" t="str">
        <f t="array" ref="D901">IFERROR(IF(A901=A900, INDEX('Player Raw Data'!E:E,Match($A901,'Player Raw Data'!$B:$B,0)+2),INDEX('Player Raw Data'!E:E,Match($A901,'Player Raw Data'!$B:$B,0))),"")</f>
        <v/>
      </c>
      <c r="E901" t="str">
        <f t="array" ref="E901">IFERROR(INDEX('Player Raw Data'!F:F,Match($A901,'Player Raw Data'!$B:$B,0)),"")</f>
        <v/>
      </c>
      <c r="F901" t="str">
        <f t="array" ref="F901">IFERROR(INDEX('Player Raw Data'!H:H,Match($A901,'Player Raw Data'!$B:$B,0)),"")</f>
        <v/>
      </c>
      <c r="G901" t="str">
        <f t="array" ref="G901">IFERROR(INDEX('Player Raw Data'!I:I,Match($A901,'Player Raw Data'!$B:$B,0)),"")</f>
        <v/>
      </c>
      <c r="H901" t="str">
        <f t="array" ref="H901">IFERROR(INDEX('Player Raw Data'!J:J,Match($A901,'Player Raw Data'!$B:$B,0)),"")</f>
        <v/>
      </c>
      <c r="I901" t="str">
        <f t="array" ref="I901">IFERROR(INDEX('Player Raw Data'!S:S,Match($A901,'Player Raw Data'!$B:$B,0)),"")</f>
        <v/>
      </c>
      <c r="J901" t="str">
        <f t="array" ref="J901">IFERROR(INDEX('Player Raw Data'!T:T,Match($A901,'Player Raw Data'!$B:$B,0)),"")</f>
        <v/>
      </c>
      <c r="K901" t="str">
        <f t="array" ref="K901">IFERROR(INDEX('Player Raw Data'!X:X,Match($A901,'Player Raw Data'!$B:$B,0)),"")</f>
        <v/>
      </c>
      <c r="L901" t="str">
        <f t="array" ref="L901">IFERROR(INDEX('Player Raw Data'!Y:Y,Match($A901,'Player Raw Data'!$B:$B,0)),"")</f>
        <v/>
      </c>
      <c r="M901" t="str">
        <f t="array" ref="M901">IFERROR(INDEX('Player Raw Data'!Z:Z,Match($A901,'Player Raw Data'!$B:$B,0)),"")</f>
        <v/>
      </c>
      <c r="N901" t="str">
        <f t="array" ref="N901">IFERROR(INDEX('Player Raw Data'!AA:AA,Match($A901,'Player Raw Data'!$B:$B,0)),"")</f>
        <v/>
      </c>
      <c r="O901" t="str">
        <f t="array" ref="O901">IFERROR(INDEX('Player Raw Data'!AB:AB,Match($A901,'Player Raw Data'!$B:$B,0)),"")</f>
        <v/>
      </c>
      <c r="P901" t="str">
        <f t="array" ref="P901">IFERROR(INDEX('Player Raw Data'!AD:AD,Match($A901,'Player Raw Data'!$B:$B,0)),"")</f>
        <v/>
      </c>
      <c r="Q901">
        <f t="shared" si="1"/>
        <v>0</v>
      </c>
      <c r="R901" s="9">
        <f t="shared" si="2"/>
        <v>0</v>
      </c>
      <c r="S901" s="14">
        <f t="shared" si="3"/>
        <v>0</v>
      </c>
      <c r="T901" s="15">
        <f>IFERROR(__xludf.DUMMYFUNCTION("IFERROR(PERCENTRANK.INC(FILTER(Q:Q,$F:$F&lt;&gt;""""),Q901)*100,"""")"),1.5)</f>
        <v>1.5</v>
      </c>
      <c r="U901" s="15">
        <f>IFERROR(__xludf.DUMMYFUNCTION("IFERROR(PERCENTRANK.INC(FILTER(R:R,$F:$F&lt;&gt;""""),R901)*100,"""")"),1.5)</f>
        <v>1.5</v>
      </c>
      <c r="V901" s="15">
        <f>IFERROR(__xludf.DUMMYFUNCTION("IFERROR(PERCENTRANK.INC(FILTER(S:S,$F:$F&lt;&gt;""""),S901)*100,"""")"),1.5)</f>
        <v>1.5</v>
      </c>
      <c r="W901" s="15" t="str">
        <f t="shared" si="4"/>
        <v/>
      </c>
      <c r="X901" s="16"/>
      <c r="Y901" s="9"/>
      <c r="Z901" s="9"/>
    </row>
    <row r="902">
      <c r="B902" t="str">
        <f t="array" ref="B902">IFERROR(INDEX('Player Raw Data'!C:C,Match($A902,'Player Raw Data'!$B:$B,0)),"")</f>
        <v/>
      </c>
      <c r="C902" t="str">
        <f t="array" ref="C902">IFERROR(INDEX('Player Raw Data'!D:D,Match($A902,'Player Raw Data'!$B:$B,0)),"")</f>
        <v/>
      </c>
      <c r="D902" t="str">
        <f t="array" ref="D902">IFERROR(IF(A902=A901, INDEX('Player Raw Data'!E:E,Match($A902,'Player Raw Data'!$B:$B,0)+2),INDEX('Player Raw Data'!E:E,Match($A902,'Player Raw Data'!$B:$B,0))),"")</f>
        <v/>
      </c>
      <c r="E902" t="str">
        <f t="array" ref="E902">IFERROR(INDEX('Player Raw Data'!F:F,Match($A902,'Player Raw Data'!$B:$B,0)),"")</f>
        <v/>
      </c>
      <c r="F902" t="str">
        <f t="array" ref="F902">IFERROR(INDEX('Player Raw Data'!H:H,Match($A902,'Player Raw Data'!$B:$B,0)),"")</f>
        <v/>
      </c>
      <c r="G902" t="str">
        <f t="array" ref="G902">IFERROR(INDEX('Player Raw Data'!I:I,Match($A902,'Player Raw Data'!$B:$B,0)),"")</f>
        <v/>
      </c>
      <c r="H902" t="str">
        <f t="array" ref="H902">IFERROR(INDEX('Player Raw Data'!J:J,Match($A902,'Player Raw Data'!$B:$B,0)),"")</f>
        <v/>
      </c>
      <c r="I902" t="str">
        <f t="array" ref="I902">IFERROR(INDEX('Player Raw Data'!S:S,Match($A902,'Player Raw Data'!$B:$B,0)),"")</f>
        <v/>
      </c>
      <c r="J902" t="str">
        <f t="array" ref="J902">IFERROR(INDEX('Player Raw Data'!T:T,Match($A902,'Player Raw Data'!$B:$B,0)),"")</f>
        <v/>
      </c>
      <c r="K902" t="str">
        <f t="array" ref="K902">IFERROR(INDEX('Player Raw Data'!X:X,Match($A902,'Player Raw Data'!$B:$B,0)),"")</f>
        <v/>
      </c>
      <c r="L902" t="str">
        <f t="array" ref="L902">IFERROR(INDEX('Player Raw Data'!Y:Y,Match($A902,'Player Raw Data'!$B:$B,0)),"")</f>
        <v/>
      </c>
      <c r="M902" t="str">
        <f t="array" ref="M902">IFERROR(INDEX('Player Raw Data'!Z:Z,Match($A902,'Player Raw Data'!$B:$B,0)),"")</f>
        <v/>
      </c>
      <c r="N902" t="str">
        <f t="array" ref="N902">IFERROR(INDEX('Player Raw Data'!AA:AA,Match($A902,'Player Raw Data'!$B:$B,0)),"")</f>
        <v/>
      </c>
      <c r="O902" t="str">
        <f t="array" ref="O902">IFERROR(INDEX('Player Raw Data'!AB:AB,Match($A902,'Player Raw Data'!$B:$B,0)),"")</f>
        <v/>
      </c>
      <c r="P902" t="str">
        <f t="array" ref="P902">IFERROR(INDEX('Player Raw Data'!AD:AD,Match($A902,'Player Raw Data'!$B:$B,0)),"")</f>
        <v/>
      </c>
      <c r="Q902">
        <f t="shared" si="1"/>
        <v>0</v>
      </c>
      <c r="R902" s="9">
        <f t="shared" si="2"/>
        <v>0</v>
      </c>
      <c r="S902" s="14">
        <f t="shared" si="3"/>
        <v>0</v>
      </c>
      <c r="T902" s="15">
        <f>IFERROR(__xludf.DUMMYFUNCTION("IFERROR(PERCENTRANK.INC(FILTER(Q:Q,$F:$F&lt;&gt;""""),Q902)*100,"""")"),1.5)</f>
        <v>1.5</v>
      </c>
      <c r="U902" s="15">
        <f>IFERROR(__xludf.DUMMYFUNCTION("IFERROR(PERCENTRANK.INC(FILTER(R:R,$F:$F&lt;&gt;""""),R902)*100,"""")"),1.5)</f>
        <v>1.5</v>
      </c>
      <c r="V902" s="15">
        <f>IFERROR(__xludf.DUMMYFUNCTION("IFERROR(PERCENTRANK.INC(FILTER(S:S,$F:$F&lt;&gt;""""),S902)*100,"""")"),1.5)</f>
        <v>1.5</v>
      </c>
      <c r="W902" s="15" t="str">
        <f t="shared" si="4"/>
        <v/>
      </c>
      <c r="X902" s="16"/>
      <c r="Y902" s="9"/>
      <c r="Z902" s="9"/>
    </row>
    <row r="903">
      <c r="B903" t="str">
        <f t="array" ref="B903">IFERROR(INDEX('Player Raw Data'!C:C,Match($A903,'Player Raw Data'!$B:$B,0)),"")</f>
        <v/>
      </c>
      <c r="C903" t="str">
        <f t="array" ref="C903">IFERROR(INDEX('Player Raw Data'!D:D,Match($A903,'Player Raw Data'!$B:$B,0)),"")</f>
        <v/>
      </c>
      <c r="D903" t="str">
        <f t="array" ref="D903">IFERROR(IF(A903=A902, INDEX('Player Raw Data'!E:E,Match($A903,'Player Raw Data'!$B:$B,0)+2),INDEX('Player Raw Data'!E:E,Match($A903,'Player Raw Data'!$B:$B,0))),"")</f>
        <v/>
      </c>
      <c r="E903" t="str">
        <f t="array" ref="E903">IFERROR(INDEX('Player Raw Data'!F:F,Match($A903,'Player Raw Data'!$B:$B,0)),"")</f>
        <v/>
      </c>
      <c r="F903" t="str">
        <f t="array" ref="F903">IFERROR(INDEX('Player Raw Data'!H:H,Match($A903,'Player Raw Data'!$B:$B,0)),"")</f>
        <v/>
      </c>
      <c r="G903" t="str">
        <f t="array" ref="G903">IFERROR(INDEX('Player Raw Data'!I:I,Match($A903,'Player Raw Data'!$B:$B,0)),"")</f>
        <v/>
      </c>
      <c r="H903" t="str">
        <f t="array" ref="H903">IFERROR(INDEX('Player Raw Data'!J:J,Match($A903,'Player Raw Data'!$B:$B,0)),"")</f>
        <v/>
      </c>
      <c r="I903" t="str">
        <f t="array" ref="I903">IFERROR(INDEX('Player Raw Data'!S:S,Match($A903,'Player Raw Data'!$B:$B,0)),"")</f>
        <v/>
      </c>
      <c r="J903" t="str">
        <f t="array" ref="J903">IFERROR(INDEX('Player Raw Data'!T:T,Match($A903,'Player Raw Data'!$B:$B,0)),"")</f>
        <v/>
      </c>
      <c r="K903" t="str">
        <f t="array" ref="K903">IFERROR(INDEX('Player Raw Data'!X:X,Match($A903,'Player Raw Data'!$B:$B,0)),"")</f>
        <v/>
      </c>
      <c r="L903" t="str">
        <f t="array" ref="L903">IFERROR(INDEX('Player Raw Data'!Y:Y,Match($A903,'Player Raw Data'!$B:$B,0)),"")</f>
        <v/>
      </c>
      <c r="M903" t="str">
        <f t="array" ref="M903">IFERROR(INDEX('Player Raw Data'!Z:Z,Match($A903,'Player Raw Data'!$B:$B,0)),"")</f>
        <v/>
      </c>
      <c r="N903" t="str">
        <f t="array" ref="N903">IFERROR(INDEX('Player Raw Data'!AA:AA,Match($A903,'Player Raw Data'!$B:$B,0)),"")</f>
        <v/>
      </c>
      <c r="O903" t="str">
        <f t="array" ref="O903">IFERROR(INDEX('Player Raw Data'!AB:AB,Match($A903,'Player Raw Data'!$B:$B,0)),"")</f>
        <v/>
      </c>
      <c r="P903" t="str">
        <f t="array" ref="P903">IFERROR(INDEX('Player Raw Data'!AD:AD,Match($A903,'Player Raw Data'!$B:$B,0)),"")</f>
        <v/>
      </c>
      <c r="Q903">
        <f t="shared" si="1"/>
        <v>0</v>
      </c>
      <c r="R903" s="9">
        <f t="shared" si="2"/>
        <v>0</v>
      </c>
      <c r="S903" s="14">
        <f t="shared" si="3"/>
        <v>0</v>
      </c>
      <c r="T903" s="15">
        <f>IFERROR(__xludf.DUMMYFUNCTION("IFERROR(PERCENTRANK.INC(FILTER(Q:Q,$F:$F&lt;&gt;""""),Q903)*100,"""")"),1.5)</f>
        <v>1.5</v>
      </c>
      <c r="U903" s="15">
        <f>IFERROR(__xludf.DUMMYFUNCTION("IFERROR(PERCENTRANK.INC(FILTER(R:R,$F:$F&lt;&gt;""""),R903)*100,"""")"),1.5)</f>
        <v>1.5</v>
      </c>
      <c r="V903" s="15">
        <f>IFERROR(__xludf.DUMMYFUNCTION("IFERROR(PERCENTRANK.INC(FILTER(S:S,$F:$F&lt;&gt;""""),S903)*100,"""")"),1.5)</f>
        <v>1.5</v>
      </c>
      <c r="W903" s="15" t="str">
        <f t="shared" si="4"/>
        <v/>
      </c>
      <c r="X903" s="16"/>
      <c r="Y903" s="9"/>
      <c r="Z903" s="9"/>
    </row>
    <row r="904">
      <c r="B904" t="str">
        <f t="array" ref="B904">IFERROR(INDEX('Player Raw Data'!C:C,Match($A904,'Player Raw Data'!$B:$B,0)),"")</f>
        <v/>
      </c>
      <c r="C904" t="str">
        <f t="array" ref="C904">IFERROR(INDEX('Player Raw Data'!D:D,Match($A904,'Player Raw Data'!$B:$B,0)),"")</f>
        <v/>
      </c>
      <c r="D904" t="str">
        <f t="array" ref="D904">IFERROR(IF(A904=A903, INDEX('Player Raw Data'!E:E,Match($A904,'Player Raw Data'!$B:$B,0)+2),INDEX('Player Raw Data'!E:E,Match($A904,'Player Raw Data'!$B:$B,0))),"")</f>
        <v/>
      </c>
      <c r="E904" t="str">
        <f t="array" ref="E904">IFERROR(INDEX('Player Raw Data'!F:F,Match($A904,'Player Raw Data'!$B:$B,0)),"")</f>
        <v/>
      </c>
      <c r="F904" t="str">
        <f t="array" ref="F904">IFERROR(INDEX('Player Raw Data'!H:H,Match($A904,'Player Raw Data'!$B:$B,0)),"")</f>
        <v/>
      </c>
      <c r="G904" t="str">
        <f t="array" ref="G904">IFERROR(INDEX('Player Raw Data'!I:I,Match($A904,'Player Raw Data'!$B:$B,0)),"")</f>
        <v/>
      </c>
      <c r="H904" t="str">
        <f t="array" ref="H904">IFERROR(INDEX('Player Raw Data'!J:J,Match($A904,'Player Raw Data'!$B:$B,0)),"")</f>
        <v/>
      </c>
      <c r="I904" t="str">
        <f t="array" ref="I904">IFERROR(INDEX('Player Raw Data'!S:S,Match($A904,'Player Raw Data'!$B:$B,0)),"")</f>
        <v/>
      </c>
      <c r="J904" t="str">
        <f t="array" ref="J904">IFERROR(INDEX('Player Raw Data'!T:T,Match($A904,'Player Raw Data'!$B:$B,0)),"")</f>
        <v/>
      </c>
      <c r="K904" t="str">
        <f t="array" ref="K904">IFERROR(INDEX('Player Raw Data'!X:X,Match($A904,'Player Raw Data'!$B:$B,0)),"")</f>
        <v/>
      </c>
      <c r="L904" t="str">
        <f t="array" ref="L904">IFERROR(INDEX('Player Raw Data'!Y:Y,Match($A904,'Player Raw Data'!$B:$B,0)),"")</f>
        <v/>
      </c>
      <c r="M904" t="str">
        <f t="array" ref="M904">IFERROR(INDEX('Player Raw Data'!Z:Z,Match($A904,'Player Raw Data'!$B:$B,0)),"")</f>
        <v/>
      </c>
      <c r="N904" t="str">
        <f t="array" ref="N904">IFERROR(INDEX('Player Raw Data'!AA:AA,Match($A904,'Player Raw Data'!$B:$B,0)),"")</f>
        <v/>
      </c>
      <c r="O904" t="str">
        <f t="array" ref="O904">IFERROR(INDEX('Player Raw Data'!AB:AB,Match($A904,'Player Raw Data'!$B:$B,0)),"")</f>
        <v/>
      </c>
      <c r="P904" t="str">
        <f t="array" ref="P904">IFERROR(INDEX('Player Raw Data'!AD:AD,Match($A904,'Player Raw Data'!$B:$B,0)),"")</f>
        <v/>
      </c>
      <c r="Q904">
        <f t="shared" si="1"/>
        <v>0</v>
      </c>
      <c r="R904" s="9">
        <f t="shared" si="2"/>
        <v>0</v>
      </c>
      <c r="S904" s="14">
        <f t="shared" si="3"/>
        <v>0</v>
      </c>
      <c r="T904" s="15">
        <f>IFERROR(__xludf.DUMMYFUNCTION("IFERROR(PERCENTRANK.INC(FILTER(Q:Q,$F:$F&lt;&gt;""""),Q904)*100,"""")"),1.5)</f>
        <v>1.5</v>
      </c>
      <c r="U904" s="15">
        <f>IFERROR(__xludf.DUMMYFUNCTION("IFERROR(PERCENTRANK.INC(FILTER(R:R,$F:$F&lt;&gt;""""),R904)*100,"""")"),1.5)</f>
        <v>1.5</v>
      </c>
      <c r="V904" s="15">
        <f>IFERROR(__xludf.DUMMYFUNCTION("IFERROR(PERCENTRANK.INC(FILTER(S:S,$F:$F&lt;&gt;""""),S904)*100,"""")"),1.5)</f>
        <v>1.5</v>
      </c>
      <c r="W904" s="15" t="str">
        <f t="shared" si="4"/>
        <v/>
      </c>
      <c r="X904" s="16"/>
      <c r="Y904" s="9"/>
      <c r="Z904" s="9"/>
    </row>
    <row r="905">
      <c r="B905" t="str">
        <f t="array" ref="B905">IFERROR(INDEX('Player Raw Data'!C:C,Match($A905,'Player Raw Data'!$B:$B,0)),"")</f>
        <v/>
      </c>
      <c r="C905" t="str">
        <f t="array" ref="C905">IFERROR(INDEX('Player Raw Data'!D:D,Match($A905,'Player Raw Data'!$B:$B,0)),"")</f>
        <v/>
      </c>
      <c r="D905" t="str">
        <f t="array" ref="D905">IFERROR(IF(A905=A904, INDEX('Player Raw Data'!E:E,Match($A905,'Player Raw Data'!$B:$B,0)+2),INDEX('Player Raw Data'!E:E,Match($A905,'Player Raw Data'!$B:$B,0))),"")</f>
        <v/>
      </c>
      <c r="E905" t="str">
        <f t="array" ref="E905">IFERROR(INDEX('Player Raw Data'!F:F,Match($A905,'Player Raw Data'!$B:$B,0)),"")</f>
        <v/>
      </c>
      <c r="F905" t="str">
        <f t="array" ref="F905">IFERROR(INDEX('Player Raw Data'!H:H,Match($A905,'Player Raw Data'!$B:$B,0)),"")</f>
        <v/>
      </c>
      <c r="G905" t="str">
        <f t="array" ref="G905">IFERROR(INDEX('Player Raw Data'!I:I,Match($A905,'Player Raw Data'!$B:$B,0)),"")</f>
        <v/>
      </c>
      <c r="H905" t="str">
        <f t="array" ref="H905">IFERROR(INDEX('Player Raw Data'!J:J,Match($A905,'Player Raw Data'!$B:$B,0)),"")</f>
        <v/>
      </c>
      <c r="I905" t="str">
        <f t="array" ref="I905">IFERROR(INDEX('Player Raw Data'!S:S,Match($A905,'Player Raw Data'!$B:$B,0)),"")</f>
        <v/>
      </c>
      <c r="J905" t="str">
        <f t="array" ref="J905">IFERROR(INDEX('Player Raw Data'!T:T,Match($A905,'Player Raw Data'!$B:$B,0)),"")</f>
        <v/>
      </c>
      <c r="K905" t="str">
        <f t="array" ref="K905">IFERROR(INDEX('Player Raw Data'!X:X,Match($A905,'Player Raw Data'!$B:$B,0)),"")</f>
        <v/>
      </c>
      <c r="L905" t="str">
        <f t="array" ref="L905">IFERROR(INDEX('Player Raw Data'!Y:Y,Match($A905,'Player Raw Data'!$B:$B,0)),"")</f>
        <v/>
      </c>
      <c r="M905" t="str">
        <f t="array" ref="M905">IFERROR(INDEX('Player Raw Data'!Z:Z,Match($A905,'Player Raw Data'!$B:$B,0)),"")</f>
        <v/>
      </c>
      <c r="N905" t="str">
        <f t="array" ref="N905">IFERROR(INDEX('Player Raw Data'!AA:AA,Match($A905,'Player Raw Data'!$B:$B,0)),"")</f>
        <v/>
      </c>
      <c r="O905" t="str">
        <f t="array" ref="O905">IFERROR(INDEX('Player Raw Data'!AB:AB,Match($A905,'Player Raw Data'!$B:$B,0)),"")</f>
        <v/>
      </c>
      <c r="P905" t="str">
        <f t="array" ref="P905">IFERROR(INDEX('Player Raw Data'!AD:AD,Match($A905,'Player Raw Data'!$B:$B,0)),"")</f>
        <v/>
      </c>
      <c r="Q905">
        <f t="shared" si="1"/>
        <v>0</v>
      </c>
      <c r="R905" s="9">
        <f t="shared" si="2"/>
        <v>0</v>
      </c>
      <c r="S905" s="14">
        <f t="shared" si="3"/>
        <v>0</v>
      </c>
      <c r="T905" s="15">
        <f>IFERROR(__xludf.DUMMYFUNCTION("IFERROR(PERCENTRANK.INC(FILTER(Q:Q,$F:$F&lt;&gt;""""),Q905)*100,"""")"),1.5)</f>
        <v>1.5</v>
      </c>
      <c r="U905" s="15">
        <f>IFERROR(__xludf.DUMMYFUNCTION("IFERROR(PERCENTRANK.INC(FILTER(R:R,$F:$F&lt;&gt;""""),R905)*100,"""")"),1.5)</f>
        <v>1.5</v>
      </c>
      <c r="V905" s="15">
        <f>IFERROR(__xludf.DUMMYFUNCTION("IFERROR(PERCENTRANK.INC(FILTER(S:S,$F:$F&lt;&gt;""""),S905)*100,"""")"),1.5)</f>
        <v>1.5</v>
      </c>
      <c r="W905" s="15" t="str">
        <f t="shared" si="4"/>
        <v/>
      </c>
      <c r="X905" s="16"/>
      <c r="Y905" s="9"/>
      <c r="Z905" s="9"/>
    </row>
    <row r="906">
      <c r="B906" t="str">
        <f t="array" ref="B906">IFERROR(INDEX('Player Raw Data'!C:C,Match($A906,'Player Raw Data'!$B:$B,0)),"")</f>
        <v/>
      </c>
      <c r="C906" t="str">
        <f t="array" ref="C906">IFERROR(INDEX('Player Raw Data'!D:D,Match($A906,'Player Raw Data'!$B:$B,0)),"")</f>
        <v/>
      </c>
      <c r="D906" t="str">
        <f t="array" ref="D906">IFERROR(IF(A906=A905, INDEX('Player Raw Data'!E:E,Match($A906,'Player Raw Data'!$B:$B,0)+2),INDEX('Player Raw Data'!E:E,Match($A906,'Player Raw Data'!$B:$B,0))),"")</f>
        <v/>
      </c>
      <c r="E906" t="str">
        <f t="array" ref="E906">IFERROR(INDEX('Player Raw Data'!F:F,Match($A906,'Player Raw Data'!$B:$B,0)),"")</f>
        <v/>
      </c>
      <c r="F906" t="str">
        <f t="array" ref="F906">IFERROR(INDEX('Player Raw Data'!H:H,Match($A906,'Player Raw Data'!$B:$B,0)),"")</f>
        <v/>
      </c>
      <c r="G906" t="str">
        <f t="array" ref="G906">IFERROR(INDEX('Player Raw Data'!I:I,Match($A906,'Player Raw Data'!$B:$B,0)),"")</f>
        <v/>
      </c>
      <c r="H906" t="str">
        <f t="array" ref="H906">IFERROR(INDEX('Player Raw Data'!J:J,Match($A906,'Player Raw Data'!$B:$B,0)),"")</f>
        <v/>
      </c>
      <c r="I906" t="str">
        <f t="array" ref="I906">IFERROR(INDEX('Player Raw Data'!S:S,Match($A906,'Player Raw Data'!$B:$B,0)),"")</f>
        <v/>
      </c>
      <c r="J906" t="str">
        <f t="array" ref="J906">IFERROR(INDEX('Player Raw Data'!T:T,Match($A906,'Player Raw Data'!$B:$B,0)),"")</f>
        <v/>
      </c>
      <c r="K906" t="str">
        <f t="array" ref="K906">IFERROR(INDEX('Player Raw Data'!X:X,Match($A906,'Player Raw Data'!$B:$B,0)),"")</f>
        <v/>
      </c>
      <c r="L906" t="str">
        <f t="array" ref="L906">IFERROR(INDEX('Player Raw Data'!Y:Y,Match($A906,'Player Raw Data'!$B:$B,0)),"")</f>
        <v/>
      </c>
      <c r="M906" t="str">
        <f t="array" ref="M906">IFERROR(INDEX('Player Raw Data'!Z:Z,Match($A906,'Player Raw Data'!$B:$B,0)),"")</f>
        <v/>
      </c>
      <c r="N906" t="str">
        <f t="array" ref="N906">IFERROR(INDEX('Player Raw Data'!AA:AA,Match($A906,'Player Raw Data'!$B:$B,0)),"")</f>
        <v/>
      </c>
      <c r="O906" t="str">
        <f t="array" ref="O906">IFERROR(INDEX('Player Raw Data'!AB:AB,Match($A906,'Player Raw Data'!$B:$B,0)),"")</f>
        <v/>
      </c>
      <c r="P906" t="str">
        <f t="array" ref="P906">IFERROR(INDEX('Player Raw Data'!AD:AD,Match($A906,'Player Raw Data'!$B:$B,0)),"")</f>
        <v/>
      </c>
      <c r="Q906">
        <f t="shared" si="1"/>
        <v>0</v>
      </c>
      <c r="R906" s="9">
        <f t="shared" si="2"/>
        <v>0</v>
      </c>
      <c r="S906" s="14">
        <f t="shared" si="3"/>
        <v>0</v>
      </c>
      <c r="T906" s="15">
        <f>IFERROR(__xludf.DUMMYFUNCTION("IFERROR(PERCENTRANK.INC(FILTER(Q:Q,$F:$F&lt;&gt;""""),Q906)*100,"""")"),1.5)</f>
        <v>1.5</v>
      </c>
      <c r="U906" s="15">
        <f>IFERROR(__xludf.DUMMYFUNCTION("IFERROR(PERCENTRANK.INC(FILTER(R:R,$F:$F&lt;&gt;""""),R906)*100,"""")"),1.5)</f>
        <v>1.5</v>
      </c>
      <c r="V906" s="15">
        <f>IFERROR(__xludf.DUMMYFUNCTION("IFERROR(PERCENTRANK.INC(FILTER(S:S,$F:$F&lt;&gt;""""),S906)*100,"""")"),1.5)</f>
        <v>1.5</v>
      </c>
      <c r="W906" s="15" t="str">
        <f t="shared" si="4"/>
        <v/>
      </c>
      <c r="X906" s="16"/>
      <c r="Y906" s="9"/>
      <c r="Z906" s="9"/>
    </row>
    <row r="907">
      <c r="B907" t="str">
        <f t="array" ref="B907">IFERROR(INDEX('Player Raw Data'!C:C,Match($A907,'Player Raw Data'!$B:$B,0)),"")</f>
        <v/>
      </c>
      <c r="C907" t="str">
        <f t="array" ref="C907">IFERROR(INDEX('Player Raw Data'!D:D,Match($A907,'Player Raw Data'!$B:$B,0)),"")</f>
        <v/>
      </c>
      <c r="D907" t="str">
        <f t="array" ref="D907">IFERROR(IF(A907=A906, INDEX('Player Raw Data'!E:E,Match($A907,'Player Raw Data'!$B:$B,0)+2),INDEX('Player Raw Data'!E:E,Match($A907,'Player Raw Data'!$B:$B,0))),"")</f>
        <v/>
      </c>
      <c r="E907" t="str">
        <f t="array" ref="E907">IFERROR(INDEX('Player Raw Data'!F:F,Match($A907,'Player Raw Data'!$B:$B,0)),"")</f>
        <v/>
      </c>
      <c r="F907" t="str">
        <f t="array" ref="F907">IFERROR(INDEX('Player Raw Data'!H:H,Match($A907,'Player Raw Data'!$B:$B,0)),"")</f>
        <v/>
      </c>
      <c r="G907" t="str">
        <f t="array" ref="G907">IFERROR(INDEX('Player Raw Data'!I:I,Match($A907,'Player Raw Data'!$B:$B,0)),"")</f>
        <v/>
      </c>
      <c r="H907" t="str">
        <f t="array" ref="H907">IFERROR(INDEX('Player Raw Data'!J:J,Match($A907,'Player Raw Data'!$B:$B,0)),"")</f>
        <v/>
      </c>
      <c r="I907" t="str">
        <f t="array" ref="I907">IFERROR(INDEX('Player Raw Data'!S:S,Match($A907,'Player Raw Data'!$B:$B,0)),"")</f>
        <v/>
      </c>
      <c r="J907" t="str">
        <f t="array" ref="J907">IFERROR(INDEX('Player Raw Data'!T:T,Match($A907,'Player Raw Data'!$B:$B,0)),"")</f>
        <v/>
      </c>
      <c r="K907" t="str">
        <f t="array" ref="K907">IFERROR(INDEX('Player Raw Data'!X:X,Match($A907,'Player Raw Data'!$B:$B,0)),"")</f>
        <v/>
      </c>
      <c r="L907" t="str">
        <f t="array" ref="L907">IFERROR(INDEX('Player Raw Data'!Y:Y,Match($A907,'Player Raw Data'!$B:$B,0)),"")</f>
        <v/>
      </c>
      <c r="M907" t="str">
        <f t="array" ref="M907">IFERROR(INDEX('Player Raw Data'!Z:Z,Match($A907,'Player Raw Data'!$B:$B,0)),"")</f>
        <v/>
      </c>
      <c r="N907" t="str">
        <f t="array" ref="N907">IFERROR(INDEX('Player Raw Data'!AA:AA,Match($A907,'Player Raw Data'!$B:$B,0)),"")</f>
        <v/>
      </c>
      <c r="O907" t="str">
        <f t="array" ref="O907">IFERROR(INDEX('Player Raw Data'!AB:AB,Match($A907,'Player Raw Data'!$B:$B,0)),"")</f>
        <v/>
      </c>
      <c r="P907" t="str">
        <f t="array" ref="P907">IFERROR(INDEX('Player Raw Data'!AD:AD,Match($A907,'Player Raw Data'!$B:$B,0)),"")</f>
        <v/>
      </c>
      <c r="Q907">
        <f t="shared" si="1"/>
        <v>0</v>
      </c>
      <c r="R907" s="9">
        <f t="shared" si="2"/>
        <v>0</v>
      </c>
      <c r="S907" s="14">
        <f t="shared" si="3"/>
        <v>0</v>
      </c>
      <c r="T907" s="15">
        <f>IFERROR(__xludf.DUMMYFUNCTION("IFERROR(PERCENTRANK.INC(FILTER(Q:Q,$F:$F&lt;&gt;""""),Q907)*100,"""")"),1.5)</f>
        <v>1.5</v>
      </c>
      <c r="U907" s="15">
        <f>IFERROR(__xludf.DUMMYFUNCTION("IFERROR(PERCENTRANK.INC(FILTER(R:R,$F:$F&lt;&gt;""""),R907)*100,"""")"),1.5)</f>
        <v>1.5</v>
      </c>
      <c r="V907" s="15">
        <f>IFERROR(__xludf.DUMMYFUNCTION("IFERROR(PERCENTRANK.INC(FILTER(S:S,$F:$F&lt;&gt;""""),S907)*100,"""")"),1.5)</f>
        <v>1.5</v>
      </c>
      <c r="W907" s="15" t="str">
        <f t="shared" si="4"/>
        <v/>
      </c>
      <c r="X907" s="16"/>
      <c r="Y907" s="9"/>
      <c r="Z907" s="9"/>
    </row>
    <row r="908">
      <c r="B908" t="str">
        <f t="array" ref="B908">IFERROR(INDEX('Player Raw Data'!C:C,Match($A908,'Player Raw Data'!$B:$B,0)),"")</f>
        <v/>
      </c>
      <c r="C908" t="str">
        <f t="array" ref="C908">IFERROR(INDEX('Player Raw Data'!D:D,Match($A908,'Player Raw Data'!$B:$B,0)),"")</f>
        <v/>
      </c>
      <c r="D908" t="str">
        <f t="array" ref="D908">IFERROR(IF(A908=A907, INDEX('Player Raw Data'!E:E,Match($A908,'Player Raw Data'!$B:$B,0)+2),INDEX('Player Raw Data'!E:E,Match($A908,'Player Raw Data'!$B:$B,0))),"")</f>
        <v/>
      </c>
      <c r="E908" t="str">
        <f t="array" ref="E908">IFERROR(INDEX('Player Raw Data'!F:F,Match($A908,'Player Raw Data'!$B:$B,0)),"")</f>
        <v/>
      </c>
      <c r="F908" t="str">
        <f t="array" ref="F908">IFERROR(INDEX('Player Raw Data'!H:H,Match($A908,'Player Raw Data'!$B:$B,0)),"")</f>
        <v/>
      </c>
      <c r="G908" t="str">
        <f t="array" ref="G908">IFERROR(INDEX('Player Raw Data'!I:I,Match($A908,'Player Raw Data'!$B:$B,0)),"")</f>
        <v/>
      </c>
      <c r="H908" t="str">
        <f t="array" ref="H908">IFERROR(INDEX('Player Raw Data'!J:J,Match($A908,'Player Raw Data'!$B:$B,0)),"")</f>
        <v/>
      </c>
      <c r="I908" t="str">
        <f t="array" ref="I908">IFERROR(INDEX('Player Raw Data'!S:S,Match($A908,'Player Raw Data'!$B:$B,0)),"")</f>
        <v/>
      </c>
      <c r="J908" t="str">
        <f t="array" ref="J908">IFERROR(INDEX('Player Raw Data'!T:T,Match($A908,'Player Raw Data'!$B:$B,0)),"")</f>
        <v/>
      </c>
      <c r="K908" t="str">
        <f t="array" ref="K908">IFERROR(INDEX('Player Raw Data'!X:X,Match($A908,'Player Raw Data'!$B:$B,0)),"")</f>
        <v/>
      </c>
      <c r="L908" t="str">
        <f t="array" ref="L908">IFERROR(INDEX('Player Raw Data'!Y:Y,Match($A908,'Player Raw Data'!$B:$B,0)),"")</f>
        <v/>
      </c>
      <c r="M908" t="str">
        <f t="array" ref="M908">IFERROR(INDEX('Player Raw Data'!Z:Z,Match($A908,'Player Raw Data'!$B:$B,0)),"")</f>
        <v/>
      </c>
      <c r="N908" t="str">
        <f t="array" ref="N908">IFERROR(INDEX('Player Raw Data'!AA:AA,Match($A908,'Player Raw Data'!$B:$B,0)),"")</f>
        <v/>
      </c>
      <c r="O908" t="str">
        <f t="array" ref="O908">IFERROR(INDEX('Player Raw Data'!AB:AB,Match($A908,'Player Raw Data'!$B:$B,0)),"")</f>
        <v/>
      </c>
      <c r="P908" t="str">
        <f t="array" ref="P908">IFERROR(INDEX('Player Raw Data'!AD:AD,Match($A908,'Player Raw Data'!$B:$B,0)),"")</f>
        <v/>
      </c>
      <c r="Q908">
        <f t="shared" si="1"/>
        <v>0</v>
      </c>
      <c r="R908" s="9">
        <f t="shared" si="2"/>
        <v>0</v>
      </c>
      <c r="S908" s="14">
        <f t="shared" si="3"/>
        <v>0</v>
      </c>
      <c r="T908" s="15">
        <f>IFERROR(__xludf.DUMMYFUNCTION("IFERROR(PERCENTRANK.INC(FILTER(Q:Q,$F:$F&lt;&gt;""""),Q908)*100,"""")"),1.5)</f>
        <v>1.5</v>
      </c>
      <c r="U908" s="15">
        <f>IFERROR(__xludf.DUMMYFUNCTION("IFERROR(PERCENTRANK.INC(FILTER(R:R,$F:$F&lt;&gt;""""),R908)*100,"""")"),1.5)</f>
        <v>1.5</v>
      </c>
      <c r="V908" s="15">
        <f>IFERROR(__xludf.DUMMYFUNCTION("IFERROR(PERCENTRANK.INC(FILTER(S:S,$F:$F&lt;&gt;""""),S908)*100,"""")"),1.5)</f>
        <v>1.5</v>
      </c>
      <c r="W908" s="15" t="str">
        <f t="shared" si="4"/>
        <v/>
      </c>
      <c r="X908" s="16"/>
      <c r="Y908" s="9"/>
      <c r="Z908" s="9"/>
    </row>
    <row r="909">
      <c r="B909" t="str">
        <f t="array" ref="B909">IFERROR(INDEX('Player Raw Data'!C:C,Match($A909,'Player Raw Data'!$B:$B,0)),"")</f>
        <v/>
      </c>
      <c r="C909" t="str">
        <f t="array" ref="C909">IFERROR(INDEX('Player Raw Data'!D:D,Match($A909,'Player Raw Data'!$B:$B,0)),"")</f>
        <v/>
      </c>
      <c r="D909" t="str">
        <f t="array" ref="D909">IFERROR(IF(A909=A908, INDEX('Player Raw Data'!E:E,Match($A909,'Player Raw Data'!$B:$B,0)+2),INDEX('Player Raw Data'!E:E,Match($A909,'Player Raw Data'!$B:$B,0))),"")</f>
        <v/>
      </c>
      <c r="E909" t="str">
        <f t="array" ref="E909">IFERROR(INDEX('Player Raw Data'!F:F,Match($A909,'Player Raw Data'!$B:$B,0)),"")</f>
        <v/>
      </c>
      <c r="F909" t="str">
        <f t="array" ref="F909">IFERROR(INDEX('Player Raw Data'!H:H,Match($A909,'Player Raw Data'!$B:$B,0)),"")</f>
        <v/>
      </c>
      <c r="G909" t="str">
        <f t="array" ref="G909">IFERROR(INDEX('Player Raw Data'!I:I,Match($A909,'Player Raw Data'!$B:$B,0)),"")</f>
        <v/>
      </c>
      <c r="H909" t="str">
        <f t="array" ref="H909">IFERROR(INDEX('Player Raw Data'!J:J,Match($A909,'Player Raw Data'!$B:$B,0)),"")</f>
        <v/>
      </c>
      <c r="I909" t="str">
        <f t="array" ref="I909">IFERROR(INDEX('Player Raw Data'!S:S,Match($A909,'Player Raw Data'!$B:$B,0)),"")</f>
        <v/>
      </c>
      <c r="J909" t="str">
        <f t="array" ref="J909">IFERROR(INDEX('Player Raw Data'!T:T,Match($A909,'Player Raw Data'!$B:$B,0)),"")</f>
        <v/>
      </c>
      <c r="K909" t="str">
        <f t="array" ref="K909">IFERROR(INDEX('Player Raw Data'!X:X,Match($A909,'Player Raw Data'!$B:$B,0)),"")</f>
        <v/>
      </c>
      <c r="L909" t="str">
        <f t="array" ref="L909">IFERROR(INDEX('Player Raw Data'!Y:Y,Match($A909,'Player Raw Data'!$B:$B,0)),"")</f>
        <v/>
      </c>
      <c r="M909" t="str">
        <f t="array" ref="M909">IFERROR(INDEX('Player Raw Data'!Z:Z,Match($A909,'Player Raw Data'!$B:$B,0)),"")</f>
        <v/>
      </c>
      <c r="N909" t="str">
        <f t="array" ref="N909">IFERROR(INDEX('Player Raw Data'!AA:AA,Match($A909,'Player Raw Data'!$B:$B,0)),"")</f>
        <v/>
      </c>
      <c r="O909" t="str">
        <f t="array" ref="O909">IFERROR(INDEX('Player Raw Data'!AB:AB,Match($A909,'Player Raw Data'!$B:$B,0)),"")</f>
        <v/>
      </c>
      <c r="P909" t="str">
        <f t="array" ref="P909">IFERROR(INDEX('Player Raw Data'!AD:AD,Match($A909,'Player Raw Data'!$B:$B,0)),"")</f>
        <v/>
      </c>
      <c r="Q909">
        <f t="shared" si="1"/>
        <v>0</v>
      </c>
      <c r="R909" s="9">
        <f t="shared" si="2"/>
        <v>0</v>
      </c>
      <c r="S909" s="14">
        <f t="shared" si="3"/>
        <v>0</v>
      </c>
      <c r="T909" s="15">
        <f>IFERROR(__xludf.DUMMYFUNCTION("IFERROR(PERCENTRANK.INC(FILTER(Q:Q,$F:$F&lt;&gt;""""),Q909)*100,"""")"),1.5)</f>
        <v>1.5</v>
      </c>
      <c r="U909" s="15">
        <f>IFERROR(__xludf.DUMMYFUNCTION("IFERROR(PERCENTRANK.INC(FILTER(R:R,$F:$F&lt;&gt;""""),R909)*100,"""")"),1.5)</f>
        <v>1.5</v>
      </c>
      <c r="V909" s="15">
        <f>IFERROR(__xludf.DUMMYFUNCTION("IFERROR(PERCENTRANK.INC(FILTER(S:S,$F:$F&lt;&gt;""""),S909)*100,"""")"),1.5)</f>
        <v>1.5</v>
      </c>
      <c r="W909" s="15" t="str">
        <f t="shared" si="4"/>
        <v/>
      </c>
      <c r="X909" s="16"/>
      <c r="Y909" s="9"/>
      <c r="Z909" s="9"/>
    </row>
    <row r="910">
      <c r="B910" t="str">
        <f t="array" ref="B910">IFERROR(INDEX('Player Raw Data'!C:C,Match($A910,'Player Raw Data'!$B:$B,0)),"")</f>
        <v/>
      </c>
      <c r="C910" t="str">
        <f t="array" ref="C910">IFERROR(INDEX('Player Raw Data'!D:D,Match($A910,'Player Raw Data'!$B:$B,0)),"")</f>
        <v/>
      </c>
      <c r="D910" t="str">
        <f t="array" ref="D910">IFERROR(IF(A910=A909, INDEX('Player Raw Data'!E:E,Match($A910,'Player Raw Data'!$B:$B,0)+2),INDEX('Player Raw Data'!E:E,Match($A910,'Player Raw Data'!$B:$B,0))),"")</f>
        <v/>
      </c>
      <c r="E910" t="str">
        <f t="array" ref="E910">IFERROR(INDEX('Player Raw Data'!F:F,Match($A910,'Player Raw Data'!$B:$B,0)),"")</f>
        <v/>
      </c>
      <c r="F910" t="str">
        <f t="array" ref="F910">IFERROR(INDEX('Player Raw Data'!H:H,Match($A910,'Player Raw Data'!$B:$B,0)),"")</f>
        <v/>
      </c>
      <c r="G910" t="str">
        <f t="array" ref="G910">IFERROR(INDEX('Player Raw Data'!I:I,Match($A910,'Player Raw Data'!$B:$B,0)),"")</f>
        <v/>
      </c>
      <c r="H910" t="str">
        <f t="array" ref="H910">IFERROR(INDEX('Player Raw Data'!J:J,Match($A910,'Player Raw Data'!$B:$B,0)),"")</f>
        <v/>
      </c>
      <c r="I910" t="str">
        <f t="array" ref="I910">IFERROR(INDEX('Player Raw Data'!S:S,Match($A910,'Player Raw Data'!$B:$B,0)),"")</f>
        <v/>
      </c>
      <c r="J910" t="str">
        <f t="array" ref="J910">IFERROR(INDEX('Player Raw Data'!T:T,Match($A910,'Player Raw Data'!$B:$B,0)),"")</f>
        <v/>
      </c>
      <c r="K910" t="str">
        <f t="array" ref="K910">IFERROR(INDEX('Player Raw Data'!X:X,Match($A910,'Player Raw Data'!$B:$B,0)),"")</f>
        <v/>
      </c>
      <c r="L910" t="str">
        <f t="array" ref="L910">IFERROR(INDEX('Player Raw Data'!Y:Y,Match($A910,'Player Raw Data'!$B:$B,0)),"")</f>
        <v/>
      </c>
      <c r="M910" t="str">
        <f t="array" ref="M910">IFERROR(INDEX('Player Raw Data'!Z:Z,Match($A910,'Player Raw Data'!$B:$B,0)),"")</f>
        <v/>
      </c>
      <c r="N910" t="str">
        <f t="array" ref="N910">IFERROR(INDEX('Player Raw Data'!AA:AA,Match($A910,'Player Raw Data'!$B:$B,0)),"")</f>
        <v/>
      </c>
      <c r="O910" t="str">
        <f t="array" ref="O910">IFERROR(INDEX('Player Raw Data'!AB:AB,Match($A910,'Player Raw Data'!$B:$B,0)),"")</f>
        <v/>
      </c>
      <c r="P910" t="str">
        <f t="array" ref="P910">IFERROR(INDEX('Player Raw Data'!AD:AD,Match($A910,'Player Raw Data'!$B:$B,0)),"")</f>
        <v/>
      </c>
      <c r="Q910">
        <f t="shared" si="1"/>
        <v>0</v>
      </c>
      <c r="R910" s="9">
        <f t="shared" si="2"/>
        <v>0</v>
      </c>
      <c r="S910" s="14">
        <f t="shared" si="3"/>
        <v>0</v>
      </c>
      <c r="T910" s="15">
        <f>IFERROR(__xludf.DUMMYFUNCTION("IFERROR(PERCENTRANK.INC(FILTER(Q:Q,$F:$F&lt;&gt;""""),Q910)*100,"""")"),1.5)</f>
        <v>1.5</v>
      </c>
      <c r="U910" s="15">
        <f>IFERROR(__xludf.DUMMYFUNCTION("IFERROR(PERCENTRANK.INC(FILTER(R:R,$F:$F&lt;&gt;""""),R910)*100,"""")"),1.5)</f>
        <v>1.5</v>
      </c>
      <c r="V910" s="15">
        <f>IFERROR(__xludf.DUMMYFUNCTION("IFERROR(PERCENTRANK.INC(FILTER(S:S,$F:$F&lt;&gt;""""),S910)*100,"""")"),1.5)</f>
        <v>1.5</v>
      </c>
      <c r="W910" s="15" t="str">
        <f t="shared" si="4"/>
        <v/>
      </c>
      <c r="X910" s="16"/>
      <c r="Y910" s="9"/>
      <c r="Z910" s="9"/>
    </row>
    <row r="911">
      <c r="B911" t="str">
        <f t="array" ref="B911">IFERROR(INDEX('Player Raw Data'!C:C,Match($A911,'Player Raw Data'!$B:$B,0)),"")</f>
        <v/>
      </c>
      <c r="C911" t="str">
        <f t="array" ref="C911">IFERROR(INDEX('Player Raw Data'!D:D,Match($A911,'Player Raw Data'!$B:$B,0)),"")</f>
        <v/>
      </c>
      <c r="D911" t="str">
        <f t="array" ref="D911">IFERROR(IF(A911=A910, INDEX('Player Raw Data'!E:E,Match($A911,'Player Raw Data'!$B:$B,0)+2),INDEX('Player Raw Data'!E:E,Match($A911,'Player Raw Data'!$B:$B,0))),"")</f>
        <v/>
      </c>
      <c r="E911" t="str">
        <f t="array" ref="E911">IFERROR(INDEX('Player Raw Data'!F:F,Match($A911,'Player Raw Data'!$B:$B,0)),"")</f>
        <v/>
      </c>
      <c r="F911" t="str">
        <f t="array" ref="F911">IFERROR(INDEX('Player Raw Data'!H:H,Match($A911,'Player Raw Data'!$B:$B,0)),"")</f>
        <v/>
      </c>
      <c r="G911" t="str">
        <f t="array" ref="G911">IFERROR(INDEX('Player Raw Data'!I:I,Match($A911,'Player Raw Data'!$B:$B,0)),"")</f>
        <v/>
      </c>
      <c r="H911" t="str">
        <f t="array" ref="H911">IFERROR(INDEX('Player Raw Data'!J:J,Match($A911,'Player Raw Data'!$B:$B,0)),"")</f>
        <v/>
      </c>
      <c r="I911" t="str">
        <f t="array" ref="I911">IFERROR(INDEX('Player Raw Data'!S:S,Match($A911,'Player Raw Data'!$B:$B,0)),"")</f>
        <v/>
      </c>
      <c r="J911" t="str">
        <f t="array" ref="J911">IFERROR(INDEX('Player Raw Data'!T:T,Match($A911,'Player Raw Data'!$B:$B,0)),"")</f>
        <v/>
      </c>
      <c r="K911" t="str">
        <f t="array" ref="K911">IFERROR(INDEX('Player Raw Data'!X:X,Match($A911,'Player Raw Data'!$B:$B,0)),"")</f>
        <v/>
      </c>
      <c r="L911" t="str">
        <f t="array" ref="L911">IFERROR(INDEX('Player Raw Data'!Y:Y,Match($A911,'Player Raw Data'!$B:$B,0)),"")</f>
        <v/>
      </c>
      <c r="M911" t="str">
        <f t="array" ref="M911">IFERROR(INDEX('Player Raw Data'!Z:Z,Match($A911,'Player Raw Data'!$B:$B,0)),"")</f>
        <v/>
      </c>
      <c r="N911" t="str">
        <f t="array" ref="N911">IFERROR(INDEX('Player Raw Data'!AA:AA,Match($A911,'Player Raw Data'!$B:$B,0)),"")</f>
        <v/>
      </c>
      <c r="O911" t="str">
        <f t="array" ref="O911">IFERROR(INDEX('Player Raw Data'!AB:AB,Match($A911,'Player Raw Data'!$B:$B,0)),"")</f>
        <v/>
      </c>
      <c r="P911" t="str">
        <f t="array" ref="P911">IFERROR(INDEX('Player Raw Data'!AD:AD,Match($A911,'Player Raw Data'!$B:$B,0)),"")</f>
        <v/>
      </c>
      <c r="Q911">
        <f t="shared" si="1"/>
        <v>0</v>
      </c>
      <c r="R911" s="9">
        <f t="shared" si="2"/>
        <v>0</v>
      </c>
      <c r="S911" s="14">
        <f t="shared" si="3"/>
        <v>0</v>
      </c>
      <c r="T911" s="15">
        <f>IFERROR(__xludf.DUMMYFUNCTION("IFERROR(PERCENTRANK.INC(FILTER(Q:Q,$F:$F&lt;&gt;""""),Q911)*100,"""")"),1.5)</f>
        <v>1.5</v>
      </c>
      <c r="U911" s="15">
        <f>IFERROR(__xludf.DUMMYFUNCTION("IFERROR(PERCENTRANK.INC(FILTER(R:R,$F:$F&lt;&gt;""""),R911)*100,"""")"),1.5)</f>
        <v>1.5</v>
      </c>
      <c r="V911" s="15">
        <f>IFERROR(__xludf.DUMMYFUNCTION("IFERROR(PERCENTRANK.INC(FILTER(S:S,$F:$F&lt;&gt;""""),S911)*100,"""")"),1.5)</f>
        <v>1.5</v>
      </c>
      <c r="W911" s="15" t="str">
        <f t="shared" si="4"/>
        <v/>
      </c>
      <c r="X911" s="16"/>
      <c r="Y911" s="9"/>
      <c r="Z911" s="9"/>
    </row>
    <row r="912">
      <c r="B912" t="str">
        <f t="array" ref="B912">IFERROR(INDEX('Player Raw Data'!C:C,Match($A912,'Player Raw Data'!$B:$B,0)),"")</f>
        <v/>
      </c>
      <c r="C912" t="str">
        <f t="array" ref="C912">IFERROR(INDEX('Player Raw Data'!D:D,Match($A912,'Player Raw Data'!$B:$B,0)),"")</f>
        <v/>
      </c>
      <c r="D912" t="str">
        <f t="array" ref="D912">IFERROR(IF(A912=A911, INDEX('Player Raw Data'!E:E,Match($A912,'Player Raw Data'!$B:$B,0)+2),INDEX('Player Raw Data'!E:E,Match($A912,'Player Raw Data'!$B:$B,0))),"")</f>
        <v/>
      </c>
      <c r="E912" t="str">
        <f t="array" ref="E912">IFERROR(INDEX('Player Raw Data'!F:F,Match($A912,'Player Raw Data'!$B:$B,0)),"")</f>
        <v/>
      </c>
      <c r="F912" t="str">
        <f t="array" ref="F912">IFERROR(INDEX('Player Raw Data'!H:H,Match($A912,'Player Raw Data'!$B:$B,0)),"")</f>
        <v/>
      </c>
      <c r="G912" t="str">
        <f t="array" ref="G912">IFERROR(INDEX('Player Raw Data'!I:I,Match($A912,'Player Raw Data'!$B:$B,0)),"")</f>
        <v/>
      </c>
      <c r="H912" t="str">
        <f t="array" ref="H912">IFERROR(INDEX('Player Raw Data'!J:J,Match($A912,'Player Raw Data'!$B:$B,0)),"")</f>
        <v/>
      </c>
      <c r="I912" t="str">
        <f t="array" ref="I912">IFERROR(INDEX('Player Raw Data'!S:S,Match($A912,'Player Raw Data'!$B:$B,0)),"")</f>
        <v/>
      </c>
      <c r="J912" t="str">
        <f t="array" ref="J912">IFERROR(INDEX('Player Raw Data'!T:T,Match($A912,'Player Raw Data'!$B:$B,0)),"")</f>
        <v/>
      </c>
      <c r="K912" t="str">
        <f t="array" ref="K912">IFERROR(INDEX('Player Raw Data'!X:X,Match($A912,'Player Raw Data'!$B:$B,0)),"")</f>
        <v/>
      </c>
      <c r="L912" t="str">
        <f t="array" ref="L912">IFERROR(INDEX('Player Raw Data'!Y:Y,Match($A912,'Player Raw Data'!$B:$B,0)),"")</f>
        <v/>
      </c>
      <c r="M912" t="str">
        <f t="array" ref="M912">IFERROR(INDEX('Player Raw Data'!Z:Z,Match($A912,'Player Raw Data'!$B:$B,0)),"")</f>
        <v/>
      </c>
      <c r="N912" t="str">
        <f t="array" ref="N912">IFERROR(INDEX('Player Raw Data'!AA:AA,Match($A912,'Player Raw Data'!$B:$B,0)),"")</f>
        <v/>
      </c>
      <c r="O912" t="str">
        <f t="array" ref="O912">IFERROR(INDEX('Player Raw Data'!AB:AB,Match($A912,'Player Raw Data'!$B:$B,0)),"")</f>
        <v/>
      </c>
      <c r="P912" t="str">
        <f t="array" ref="P912">IFERROR(INDEX('Player Raw Data'!AD:AD,Match($A912,'Player Raw Data'!$B:$B,0)),"")</f>
        <v/>
      </c>
      <c r="Q912">
        <f t="shared" si="1"/>
        <v>0</v>
      </c>
      <c r="R912" s="9">
        <f t="shared" si="2"/>
        <v>0</v>
      </c>
      <c r="S912" s="14">
        <f t="shared" si="3"/>
        <v>0</v>
      </c>
      <c r="T912" s="15">
        <f>IFERROR(__xludf.DUMMYFUNCTION("IFERROR(PERCENTRANK.INC(FILTER(Q:Q,$F:$F&lt;&gt;""""),Q912)*100,"""")"),1.5)</f>
        <v>1.5</v>
      </c>
      <c r="U912" s="15">
        <f>IFERROR(__xludf.DUMMYFUNCTION("IFERROR(PERCENTRANK.INC(FILTER(R:R,$F:$F&lt;&gt;""""),R912)*100,"""")"),1.5)</f>
        <v>1.5</v>
      </c>
      <c r="V912" s="15">
        <f>IFERROR(__xludf.DUMMYFUNCTION("IFERROR(PERCENTRANK.INC(FILTER(S:S,$F:$F&lt;&gt;""""),S912)*100,"""")"),1.5)</f>
        <v>1.5</v>
      </c>
      <c r="W912" s="15" t="str">
        <f t="shared" si="4"/>
        <v/>
      </c>
      <c r="X912" s="16"/>
      <c r="Y912" s="9"/>
      <c r="Z912" s="9"/>
    </row>
    <row r="913">
      <c r="B913" t="str">
        <f t="array" ref="B913">IFERROR(INDEX('Player Raw Data'!C:C,Match($A913,'Player Raw Data'!$B:$B,0)),"")</f>
        <v/>
      </c>
      <c r="C913" t="str">
        <f t="array" ref="C913">IFERROR(INDEX('Player Raw Data'!D:D,Match($A913,'Player Raw Data'!$B:$B,0)),"")</f>
        <v/>
      </c>
      <c r="D913" t="str">
        <f t="array" ref="D913">IFERROR(IF(A913=A912, INDEX('Player Raw Data'!E:E,Match($A913,'Player Raw Data'!$B:$B,0)+2),INDEX('Player Raw Data'!E:E,Match($A913,'Player Raw Data'!$B:$B,0))),"")</f>
        <v/>
      </c>
      <c r="E913" t="str">
        <f t="array" ref="E913">IFERROR(INDEX('Player Raw Data'!F:F,Match($A913,'Player Raw Data'!$B:$B,0)),"")</f>
        <v/>
      </c>
      <c r="F913" t="str">
        <f t="array" ref="F913">IFERROR(INDEX('Player Raw Data'!H:H,Match($A913,'Player Raw Data'!$B:$B,0)),"")</f>
        <v/>
      </c>
      <c r="G913" t="str">
        <f t="array" ref="G913">IFERROR(INDEX('Player Raw Data'!I:I,Match($A913,'Player Raw Data'!$B:$B,0)),"")</f>
        <v/>
      </c>
      <c r="H913" t="str">
        <f t="array" ref="H913">IFERROR(INDEX('Player Raw Data'!J:J,Match($A913,'Player Raw Data'!$B:$B,0)),"")</f>
        <v/>
      </c>
      <c r="I913" t="str">
        <f t="array" ref="I913">IFERROR(INDEX('Player Raw Data'!S:S,Match($A913,'Player Raw Data'!$B:$B,0)),"")</f>
        <v/>
      </c>
      <c r="J913" t="str">
        <f t="array" ref="J913">IFERROR(INDEX('Player Raw Data'!T:T,Match($A913,'Player Raw Data'!$B:$B,0)),"")</f>
        <v/>
      </c>
      <c r="K913" t="str">
        <f t="array" ref="K913">IFERROR(INDEX('Player Raw Data'!X:X,Match($A913,'Player Raw Data'!$B:$B,0)),"")</f>
        <v/>
      </c>
      <c r="L913" t="str">
        <f t="array" ref="L913">IFERROR(INDEX('Player Raw Data'!Y:Y,Match($A913,'Player Raw Data'!$B:$B,0)),"")</f>
        <v/>
      </c>
      <c r="M913" t="str">
        <f t="array" ref="M913">IFERROR(INDEX('Player Raw Data'!Z:Z,Match($A913,'Player Raw Data'!$B:$B,0)),"")</f>
        <v/>
      </c>
      <c r="N913" t="str">
        <f t="array" ref="N913">IFERROR(INDEX('Player Raw Data'!AA:AA,Match($A913,'Player Raw Data'!$B:$B,0)),"")</f>
        <v/>
      </c>
      <c r="O913" t="str">
        <f t="array" ref="O913">IFERROR(INDEX('Player Raw Data'!AB:AB,Match($A913,'Player Raw Data'!$B:$B,0)),"")</f>
        <v/>
      </c>
      <c r="P913" t="str">
        <f t="array" ref="P913">IFERROR(INDEX('Player Raw Data'!AD:AD,Match($A913,'Player Raw Data'!$B:$B,0)),"")</f>
        <v/>
      </c>
      <c r="Q913">
        <f t="shared" si="1"/>
        <v>0</v>
      </c>
      <c r="R913" s="9">
        <f t="shared" si="2"/>
        <v>0</v>
      </c>
      <c r="S913" s="14">
        <f t="shared" si="3"/>
        <v>0</v>
      </c>
      <c r="T913" s="15">
        <f>IFERROR(__xludf.DUMMYFUNCTION("IFERROR(PERCENTRANK.INC(FILTER(Q:Q,$F:$F&lt;&gt;""""),Q913)*100,"""")"),1.5)</f>
        <v>1.5</v>
      </c>
      <c r="U913" s="15">
        <f>IFERROR(__xludf.DUMMYFUNCTION("IFERROR(PERCENTRANK.INC(FILTER(R:R,$F:$F&lt;&gt;""""),R913)*100,"""")"),1.5)</f>
        <v>1.5</v>
      </c>
      <c r="V913" s="15">
        <f>IFERROR(__xludf.DUMMYFUNCTION("IFERROR(PERCENTRANK.INC(FILTER(S:S,$F:$F&lt;&gt;""""),S913)*100,"""")"),1.5)</f>
        <v>1.5</v>
      </c>
      <c r="W913" s="15" t="str">
        <f t="shared" si="4"/>
        <v/>
      </c>
      <c r="X913" s="16"/>
      <c r="Y913" s="9"/>
      <c r="Z913" s="9"/>
    </row>
    <row r="914">
      <c r="B914" t="str">
        <f t="array" ref="B914">IFERROR(INDEX('Player Raw Data'!C:C,Match($A914,'Player Raw Data'!$B:$B,0)),"")</f>
        <v/>
      </c>
      <c r="C914" t="str">
        <f t="array" ref="C914">IFERROR(INDEX('Player Raw Data'!D:D,Match($A914,'Player Raw Data'!$B:$B,0)),"")</f>
        <v/>
      </c>
      <c r="D914" t="str">
        <f t="array" ref="D914">IFERROR(IF(A914=A913, INDEX('Player Raw Data'!E:E,Match($A914,'Player Raw Data'!$B:$B,0)+2),INDEX('Player Raw Data'!E:E,Match($A914,'Player Raw Data'!$B:$B,0))),"")</f>
        <v/>
      </c>
      <c r="E914" t="str">
        <f t="array" ref="E914">IFERROR(INDEX('Player Raw Data'!F:F,Match($A914,'Player Raw Data'!$B:$B,0)),"")</f>
        <v/>
      </c>
      <c r="F914" t="str">
        <f t="array" ref="F914">IFERROR(INDEX('Player Raw Data'!H:H,Match($A914,'Player Raw Data'!$B:$B,0)),"")</f>
        <v/>
      </c>
      <c r="G914" t="str">
        <f t="array" ref="G914">IFERROR(INDEX('Player Raw Data'!I:I,Match($A914,'Player Raw Data'!$B:$B,0)),"")</f>
        <v/>
      </c>
      <c r="H914" t="str">
        <f t="array" ref="H914">IFERROR(INDEX('Player Raw Data'!J:J,Match($A914,'Player Raw Data'!$B:$B,0)),"")</f>
        <v/>
      </c>
      <c r="I914" t="str">
        <f t="array" ref="I914">IFERROR(INDEX('Player Raw Data'!S:S,Match($A914,'Player Raw Data'!$B:$B,0)),"")</f>
        <v/>
      </c>
      <c r="J914" t="str">
        <f t="array" ref="J914">IFERROR(INDEX('Player Raw Data'!T:T,Match($A914,'Player Raw Data'!$B:$B,0)),"")</f>
        <v/>
      </c>
      <c r="K914" t="str">
        <f t="array" ref="K914">IFERROR(INDEX('Player Raw Data'!X:X,Match($A914,'Player Raw Data'!$B:$B,0)),"")</f>
        <v/>
      </c>
      <c r="L914" t="str">
        <f t="array" ref="L914">IFERROR(INDEX('Player Raw Data'!Y:Y,Match($A914,'Player Raw Data'!$B:$B,0)),"")</f>
        <v/>
      </c>
      <c r="M914" t="str">
        <f t="array" ref="M914">IFERROR(INDEX('Player Raw Data'!Z:Z,Match($A914,'Player Raw Data'!$B:$B,0)),"")</f>
        <v/>
      </c>
      <c r="N914" t="str">
        <f t="array" ref="N914">IFERROR(INDEX('Player Raw Data'!AA:AA,Match($A914,'Player Raw Data'!$B:$B,0)),"")</f>
        <v/>
      </c>
      <c r="O914" t="str">
        <f t="array" ref="O914">IFERROR(INDEX('Player Raw Data'!AB:AB,Match($A914,'Player Raw Data'!$B:$B,0)),"")</f>
        <v/>
      </c>
      <c r="P914" t="str">
        <f t="array" ref="P914">IFERROR(INDEX('Player Raw Data'!AD:AD,Match($A914,'Player Raw Data'!$B:$B,0)),"")</f>
        <v/>
      </c>
      <c r="Q914">
        <f t="shared" si="1"/>
        <v>0</v>
      </c>
      <c r="R914" s="9">
        <f t="shared" si="2"/>
        <v>0</v>
      </c>
      <c r="S914" s="14">
        <f t="shared" si="3"/>
        <v>0</v>
      </c>
      <c r="T914" s="15">
        <f>IFERROR(__xludf.DUMMYFUNCTION("IFERROR(PERCENTRANK.INC(FILTER(Q:Q,$F:$F&lt;&gt;""""),Q914)*100,"""")"),1.5)</f>
        <v>1.5</v>
      </c>
      <c r="U914" s="15">
        <f>IFERROR(__xludf.DUMMYFUNCTION("IFERROR(PERCENTRANK.INC(FILTER(R:R,$F:$F&lt;&gt;""""),R914)*100,"""")"),1.5)</f>
        <v>1.5</v>
      </c>
      <c r="V914" s="15">
        <f>IFERROR(__xludf.DUMMYFUNCTION("IFERROR(PERCENTRANK.INC(FILTER(S:S,$F:$F&lt;&gt;""""),S914)*100,"""")"),1.5)</f>
        <v>1.5</v>
      </c>
      <c r="W914" s="15" t="str">
        <f t="shared" si="4"/>
        <v/>
      </c>
      <c r="X914" s="16"/>
      <c r="Y914" s="9"/>
      <c r="Z914" s="9"/>
    </row>
    <row r="915">
      <c r="B915" t="str">
        <f t="array" ref="B915">IFERROR(INDEX('Player Raw Data'!C:C,Match($A915,'Player Raw Data'!$B:$B,0)),"")</f>
        <v/>
      </c>
      <c r="C915" t="str">
        <f t="array" ref="C915">IFERROR(INDEX('Player Raw Data'!D:D,Match($A915,'Player Raw Data'!$B:$B,0)),"")</f>
        <v/>
      </c>
      <c r="D915" t="str">
        <f t="array" ref="D915">IFERROR(IF(A915=A914, INDEX('Player Raw Data'!E:E,Match($A915,'Player Raw Data'!$B:$B,0)+2),INDEX('Player Raw Data'!E:E,Match($A915,'Player Raw Data'!$B:$B,0))),"")</f>
        <v/>
      </c>
      <c r="E915" t="str">
        <f t="array" ref="E915">IFERROR(INDEX('Player Raw Data'!F:F,Match($A915,'Player Raw Data'!$B:$B,0)),"")</f>
        <v/>
      </c>
      <c r="F915" t="str">
        <f t="array" ref="F915">IFERROR(INDEX('Player Raw Data'!H:H,Match($A915,'Player Raw Data'!$B:$B,0)),"")</f>
        <v/>
      </c>
      <c r="G915" t="str">
        <f t="array" ref="G915">IFERROR(INDEX('Player Raw Data'!I:I,Match($A915,'Player Raw Data'!$B:$B,0)),"")</f>
        <v/>
      </c>
      <c r="H915" t="str">
        <f t="array" ref="H915">IFERROR(INDEX('Player Raw Data'!J:J,Match($A915,'Player Raw Data'!$B:$B,0)),"")</f>
        <v/>
      </c>
      <c r="I915" t="str">
        <f t="array" ref="I915">IFERROR(INDEX('Player Raw Data'!S:S,Match($A915,'Player Raw Data'!$B:$B,0)),"")</f>
        <v/>
      </c>
      <c r="J915" t="str">
        <f t="array" ref="J915">IFERROR(INDEX('Player Raw Data'!T:T,Match($A915,'Player Raw Data'!$B:$B,0)),"")</f>
        <v/>
      </c>
      <c r="K915" t="str">
        <f t="array" ref="K915">IFERROR(INDEX('Player Raw Data'!X:X,Match($A915,'Player Raw Data'!$B:$B,0)),"")</f>
        <v/>
      </c>
      <c r="L915" t="str">
        <f t="array" ref="L915">IFERROR(INDEX('Player Raw Data'!Y:Y,Match($A915,'Player Raw Data'!$B:$B,0)),"")</f>
        <v/>
      </c>
      <c r="M915" t="str">
        <f t="array" ref="M915">IFERROR(INDEX('Player Raw Data'!Z:Z,Match($A915,'Player Raw Data'!$B:$B,0)),"")</f>
        <v/>
      </c>
      <c r="N915" t="str">
        <f t="array" ref="N915">IFERROR(INDEX('Player Raw Data'!AA:AA,Match($A915,'Player Raw Data'!$B:$B,0)),"")</f>
        <v/>
      </c>
      <c r="O915" t="str">
        <f t="array" ref="O915">IFERROR(INDEX('Player Raw Data'!AB:AB,Match($A915,'Player Raw Data'!$B:$B,0)),"")</f>
        <v/>
      </c>
      <c r="P915" t="str">
        <f t="array" ref="P915">IFERROR(INDEX('Player Raw Data'!AD:AD,Match($A915,'Player Raw Data'!$B:$B,0)),"")</f>
        <v/>
      </c>
      <c r="Q915">
        <f t="shared" si="1"/>
        <v>0</v>
      </c>
      <c r="R915" s="9">
        <f t="shared" si="2"/>
        <v>0</v>
      </c>
      <c r="S915" s="14">
        <f t="shared" si="3"/>
        <v>0</v>
      </c>
      <c r="T915" s="15">
        <f>IFERROR(__xludf.DUMMYFUNCTION("IFERROR(PERCENTRANK.INC(FILTER(Q:Q,$F:$F&lt;&gt;""""),Q915)*100,"""")"),1.5)</f>
        <v>1.5</v>
      </c>
      <c r="U915" s="15">
        <f>IFERROR(__xludf.DUMMYFUNCTION("IFERROR(PERCENTRANK.INC(FILTER(R:R,$F:$F&lt;&gt;""""),R915)*100,"""")"),1.5)</f>
        <v>1.5</v>
      </c>
      <c r="V915" s="15">
        <f>IFERROR(__xludf.DUMMYFUNCTION("IFERROR(PERCENTRANK.INC(FILTER(S:S,$F:$F&lt;&gt;""""),S915)*100,"""")"),1.5)</f>
        <v>1.5</v>
      </c>
      <c r="W915" s="15" t="str">
        <f t="shared" si="4"/>
        <v/>
      </c>
      <c r="X915" s="16"/>
      <c r="Y915" s="9"/>
      <c r="Z915" s="9"/>
    </row>
    <row r="916">
      <c r="B916" t="str">
        <f t="array" ref="B916">IFERROR(INDEX('Player Raw Data'!C:C,Match($A916,'Player Raw Data'!$B:$B,0)),"")</f>
        <v/>
      </c>
      <c r="C916" t="str">
        <f t="array" ref="C916">IFERROR(INDEX('Player Raw Data'!D:D,Match($A916,'Player Raw Data'!$B:$B,0)),"")</f>
        <v/>
      </c>
      <c r="D916" t="str">
        <f t="array" ref="D916">IFERROR(IF(A916=A915, INDEX('Player Raw Data'!E:E,Match($A916,'Player Raw Data'!$B:$B,0)+2),INDEX('Player Raw Data'!E:E,Match($A916,'Player Raw Data'!$B:$B,0))),"")</f>
        <v/>
      </c>
      <c r="E916" t="str">
        <f t="array" ref="E916">IFERROR(INDEX('Player Raw Data'!F:F,Match($A916,'Player Raw Data'!$B:$B,0)),"")</f>
        <v/>
      </c>
      <c r="F916" t="str">
        <f t="array" ref="F916">IFERROR(INDEX('Player Raw Data'!H:H,Match($A916,'Player Raw Data'!$B:$B,0)),"")</f>
        <v/>
      </c>
      <c r="G916" t="str">
        <f t="array" ref="G916">IFERROR(INDEX('Player Raw Data'!I:I,Match($A916,'Player Raw Data'!$B:$B,0)),"")</f>
        <v/>
      </c>
      <c r="H916" t="str">
        <f t="array" ref="H916">IFERROR(INDEX('Player Raw Data'!J:J,Match($A916,'Player Raw Data'!$B:$B,0)),"")</f>
        <v/>
      </c>
      <c r="I916" t="str">
        <f t="array" ref="I916">IFERROR(INDEX('Player Raw Data'!S:S,Match($A916,'Player Raw Data'!$B:$B,0)),"")</f>
        <v/>
      </c>
      <c r="J916" t="str">
        <f t="array" ref="J916">IFERROR(INDEX('Player Raw Data'!T:T,Match($A916,'Player Raw Data'!$B:$B,0)),"")</f>
        <v/>
      </c>
      <c r="K916" t="str">
        <f t="array" ref="K916">IFERROR(INDEX('Player Raw Data'!X:X,Match($A916,'Player Raw Data'!$B:$B,0)),"")</f>
        <v/>
      </c>
      <c r="L916" t="str">
        <f t="array" ref="L916">IFERROR(INDEX('Player Raw Data'!Y:Y,Match($A916,'Player Raw Data'!$B:$B,0)),"")</f>
        <v/>
      </c>
      <c r="M916" t="str">
        <f t="array" ref="M916">IFERROR(INDEX('Player Raw Data'!Z:Z,Match($A916,'Player Raw Data'!$B:$B,0)),"")</f>
        <v/>
      </c>
      <c r="N916" t="str">
        <f t="array" ref="N916">IFERROR(INDEX('Player Raw Data'!AA:AA,Match($A916,'Player Raw Data'!$B:$B,0)),"")</f>
        <v/>
      </c>
      <c r="O916" t="str">
        <f t="array" ref="O916">IFERROR(INDEX('Player Raw Data'!AB:AB,Match($A916,'Player Raw Data'!$B:$B,0)),"")</f>
        <v/>
      </c>
      <c r="P916" t="str">
        <f t="array" ref="P916">IFERROR(INDEX('Player Raw Data'!AD:AD,Match($A916,'Player Raw Data'!$B:$B,0)),"")</f>
        <v/>
      </c>
      <c r="Q916">
        <f t="shared" si="1"/>
        <v>0</v>
      </c>
      <c r="R916" s="9">
        <f t="shared" si="2"/>
        <v>0</v>
      </c>
      <c r="S916" s="14">
        <f t="shared" si="3"/>
        <v>0</v>
      </c>
      <c r="T916" s="15">
        <f>IFERROR(__xludf.DUMMYFUNCTION("IFERROR(PERCENTRANK.INC(FILTER(Q:Q,$F:$F&lt;&gt;""""),Q916)*100,"""")"),1.5)</f>
        <v>1.5</v>
      </c>
      <c r="U916" s="15">
        <f>IFERROR(__xludf.DUMMYFUNCTION("IFERROR(PERCENTRANK.INC(FILTER(R:R,$F:$F&lt;&gt;""""),R916)*100,"""")"),1.5)</f>
        <v>1.5</v>
      </c>
      <c r="V916" s="15">
        <f>IFERROR(__xludf.DUMMYFUNCTION("IFERROR(PERCENTRANK.INC(FILTER(S:S,$F:$F&lt;&gt;""""),S916)*100,"""")"),1.5)</f>
        <v>1.5</v>
      </c>
      <c r="W916" s="15" t="str">
        <f t="shared" si="4"/>
        <v/>
      </c>
      <c r="X916" s="16"/>
      <c r="Y916" s="9"/>
      <c r="Z916" s="9"/>
    </row>
    <row r="917">
      <c r="B917" t="str">
        <f t="array" ref="B917">IFERROR(INDEX('Player Raw Data'!C:C,Match($A917,'Player Raw Data'!$B:$B,0)),"")</f>
        <v/>
      </c>
      <c r="C917" t="str">
        <f t="array" ref="C917">IFERROR(INDEX('Player Raw Data'!D:D,Match($A917,'Player Raw Data'!$B:$B,0)),"")</f>
        <v/>
      </c>
      <c r="D917" t="str">
        <f t="array" ref="D917">IFERROR(IF(A917=A916, INDEX('Player Raw Data'!E:E,Match($A917,'Player Raw Data'!$B:$B,0)+2),INDEX('Player Raw Data'!E:E,Match($A917,'Player Raw Data'!$B:$B,0))),"")</f>
        <v/>
      </c>
      <c r="E917" t="str">
        <f t="array" ref="E917">IFERROR(INDEX('Player Raw Data'!F:F,Match($A917,'Player Raw Data'!$B:$B,0)),"")</f>
        <v/>
      </c>
      <c r="F917" t="str">
        <f t="array" ref="F917">IFERROR(INDEX('Player Raw Data'!H:H,Match($A917,'Player Raw Data'!$B:$B,0)),"")</f>
        <v/>
      </c>
      <c r="G917" t="str">
        <f t="array" ref="G917">IFERROR(INDEX('Player Raw Data'!I:I,Match($A917,'Player Raw Data'!$B:$B,0)),"")</f>
        <v/>
      </c>
      <c r="H917" t="str">
        <f t="array" ref="H917">IFERROR(INDEX('Player Raw Data'!J:J,Match($A917,'Player Raw Data'!$B:$B,0)),"")</f>
        <v/>
      </c>
      <c r="I917" t="str">
        <f t="array" ref="I917">IFERROR(INDEX('Player Raw Data'!S:S,Match($A917,'Player Raw Data'!$B:$B,0)),"")</f>
        <v/>
      </c>
      <c r="J917" t="str">
        <f t="array" ref="J917">IFERROR(INDEX('Player Raw Data'!T:T,Match($A917,'Player Raw Data'!$B:$B,0)),"")</f>
        <v/>
      </c>
      <c r="K917" t="str">
        <f t="array" ref="K917">IFERROR(INDEX('Player Raw Data'!X:X,Match($A917,'Player Raw Data'!$B:$B,0)),"")</f>
        <v/>
      </c>
      <c r="L917" t="str">
        <f t="array" ref="L917">IFERROR(INDEX('Player Raw Data'!Y:Y,Match($A917,'Player Raw Data'!$B:$B,0)),"")</f>
        <v/>
      </c>
      <c r="M917" t="str">
        <f t="array" ref="M917">IFERROR(INDEX('Player Raw Data'!Z:Z,Match($A917,'Player Raw Data'!$B:$B,0)),"")</f>
        <v/>
      </c>
      <c r="N917" t="str">
        <f t="array" ref="N917">IFERROR(INDEX('Player Raw Data'!AA:AA,Match($A917,'Player Raw Data'!$B:$B,0)),"")</f>
        <v/>
      </c>
      <c r="O917" t="str">
        <f t="array" ref="O917">IFERROR(INDEX('Player Raw Data'!AB:AB,Match($A917,'Player Raw Data'!$B:$B,0)),"")</f>
        <v/>
      </c>
      <c r="P917" t="str">
        <f t="array" ref="P917">IFERROR(INDEX('Player Raw Data'!AD:AD,Match($A917,'Player Raw Data'!$B:$B,0)),"")</f>
        <v/>
      </c>
      <c r="Q917">
        <f t="shared" si="1"/>
        <v>0</v>
      </c>
      <c r="R917" s="9">
        <f t="shared" si="2"/>
        <v>0</v>
      </c>
      <c r="S917" s="14">
        <f t="shared" si="3"/>
        <v>0</v>
      </c>
      <c r="T917" s="15">
        <f>IFERROR(__xludf.DUMMYFUNCTION("IFERROR(PERCENTRANK.INC(FILTER(Q:Q,$F:$F&lt;&gt;""""),Q917)*100,"""")"),1.5)</f>
        <v>1.5</v>
      </c>
      <c r="U917" s="15">
        <f>IFERROR(__xludf.DUMMYFUNCTION("IFERROR(PERCENTRANK.INC(FILTER(R:R,$F:$F&lt;&gt;""""),R917)*100,"""")"),1.5)</f>
        <v>1.5</v>
      </c>
      <c r="V917" s="15">
        <f>IFERROR(__xludf.DUMMYFUNCTION("IFERROR(PERCENTRANK.INC(FILTER(S:S,$F:$F&lt;&gt;""""),S917)*100,"""")"),1.5)</f>
        <v>1.5</v>
      </c>
      <c r="W917" s="15" t="str">
        <f t="shared" si="4"/>
        <v/>
      </c>
      <c r="X917" s="16"/>
      <c r="Y917" s="9"/>
      <c r="Z917" s="9"/>
    </row>
    <row r="918">
      <c r="B918" t="str">
        <f t="array" ref="B918">IFERROR(INDEX('Player Raw Data'!C:C,Match($A918,'Player Raw Data'!$B:$B,0)),"")</f>
        <v/>
      </c>
      <c r="C918" t="str">
        <f t="array" ref="C918">IFERROR(INDEX('Player Raw Data'!D:D,Match($A918,'Player Raw Data'!$B:$B,0)),"")</f>
        <v/>
      </c>
      <c r="D918" t="str">
        <f t="array" ref="D918">IFERROR(IF(A918=A917, INDEX('Player Raw Data'!E:E,Match($A918,'Player Raw Data'!$B:$B,0)+2),INDEX('Player Raw Data'!E:E,Match($A918,'Player Raw Data'!$B:$B,0))),"")</f>
        <v/>
      </c>
      <c r="E918" t="str">
        <f t="array" ref="E918">IFERROR(INDEX('Player Raw Data'!F:F,Match($A918,'Player Raw Data'!$B:$B,0)),"")</f>
        <v/>
      </c>
      <c r="F918" t="str">
        <f t="array" ref="F918">IFERROR(INDEX('Player Raw Data'!H:H,Match($A918,'Player Raw Data'!$B:$B,0)),"")</f>
        <v/>
      </c>
      <c r="G918" t="str">
        <f t="array" ref="G918">IFERROR(INDEX('Player Raw Data'!I:I,Match($A918,'Player Raw Data'!$B:$B,0)),"")</f>
        <v/>
      </c>
      <c r="H918" t="str">
        <f t="array" ref="H918">IFERROR(INDEX('Player Raw Data'!J:J,Match($A918,'Player Raw Data'!$B:$B,0)),"")</f>
        <v/>
      </c>
      <c r="I918" t="str">
        <f t="array" ref="I918">IFERROR(INDEX('Player Raw Data'!S:S,Match($A918,'Player Raw Data'!$B:$B,0)),"")</f>
        <v/>
      </c>
      <c r="J918" t="str">
        <f t="array" ref="J918">IFERROR(INDEX('Player Raw Data'!T:T,Match($A918,'Player Raw Data'!$B:$B,0)),"")</f>
        <v/>
      </c>
      <c r="K918" t="str">
        <f t="array" ref="K918">IFERROR(INDEX('Player Raw Data'!X:X,Match($A918,'Player Raw Data'!$B:$B,0)),"")</f>
        <v/>
      </c>
      <c r="L918" t="str">
        <f t="array" ref="L918">IFERROR(INDEX('Player Raw Data'!Y:Y,Match($A918,'Player Raw Data'!$B:$B,0)),"")</f>
        <v/>
      </c>
      <c r="M918" t="str">
        <f t="array" ref="M918">IFERROR(INDEX('Player Raw Data'!Z:Z,Match($A918,'Player Raw Data'!$B:$B,0)),"")</f>
        <v/>
      </c>
      <c r="N918" t="str">
        <f t="array" ref="N918">IFERROR(INDEX('Player Raw Data'!AA:AA,Match($A918,'Player Raw Data'!$B:$B,0)),"")</f>
        <v/>
      </c>
      <c r="O918" t="str">
        <f t="array" ref="O918">IFERROR(INDEX('Player Raw Data'!AB:AB,Match($A918,'Player Raw Data'!$B:$B,0)),"")</f>
        <v/>
      </c>
      <c r="P918" t="str">
        <f t="array" ref="P918">IFERROR(INDEX('Player Raw Data'!AD:AD,Match($A918,'Player Raw Data'!$B:$B,0)),"")</f>
        <v/>
      </c>
      <c r="Q918">
        <f t="shared" si="1"/>
        <v>0</v>
      </c>
      <c r="R918" s="9">
        <f t="shared" si="2"/>
        <v>0</v>
      </c>
      <c r="S918" s="14">
        <f t="shared" si="3"/>
        <v>0</v>
      </c>
      <c r="T918" s="15">
        <f>IFERROR(__xludf.DUMMYFUNCTION("IFERROR(PERCENTRANK.INC(FILTER(Q:Q,$F:$F&lt;&gt;""""),Q918)*100,"""")"),1.5)</f>
        <v>1.5</v>
      </c>
      <c r="U918" s="15">
        <f>IFERROR(__xludf.DUMMYFUNCTION("IFERROR(PERCENTRANK.INC(FILTER(R:R,$F:$F&lt;&gt;""""),R918)*100,"""")"),1.5)</f>
        <v>1.5</v>
      </c>
      <c r="V918" s="15">
        <f>IFERROR(__xludf.DUMMYFUNCTION("IFERROR(PERCENTRANK.INC(FILTER(S:S,$F:$F&lt;&gt;""""),S918)*100,"""")"),1.5)</f>
        <v>1.5</v>
      </c>
      <c r="W918" s="15" t="str">
        <f t="shared" si="4"/>
        <v/>
      </c>
      <c r="X918" s="16"/>
      <c r="Y918" s="9"/>
      <c r="Z918" s="9"/>
    </row>
    <row r="919">
      <c r="B919" t="str">
        <f t="array" ref="B919">IFERROR(INDEX('Player Raw Data'!C:C,Match($A919,'Player Raw Data'!$B:$B,0)),"")</f>
        <v/>
      </c>
      <c r="C919" t="str">
        <f t="array" ref="C919">IFERROR(INDEX('Player Raw Data'!D:D,Match($A919,'Player Raw Data'!$B:$B,0)),"")</f>
        <v/>
      </c>
      <c r="D919" t="str">
        <f t="array" ref="D919">IFERROR(IF(A919=A918, INDEX('Player Raw Data'!E:E,Match($A919,'Player Raw Data'!$B:$B,0)+2),INDEX('Player Raw Data'!E:E,Match($A919,'Player Raw Data'!$B:$B,0))),"")</f>
        <v/>
      </c>
      <c r="E919" t="str">
        <f t="array" ref="E919">IFERROR(INDEX('Player Raw Data'!F:F,Match($A919,'Player Raw Data'!$B:$B,0)),"")</f>
        <v/>
      </c>
      <c r="F919" t="str">
        <f t="array" ref="F919">IFERROR(INDEX('Player Raw Data'!H:H,Match($A919,'Player Raw Data'!$B:$B,0)),"")</f>
        <v/>
      </c>
      <c r="G919" t="str">
        <f t="array" ref="G919">IFERROR(INDEX('Player Raw Data'!I:I,Match($A919,'Player Raw Data'!$B:$B,0)),"")</f>
        <v/>
      </c>
      <c r="H919" t="str">
        <f t="array" ref="H919">IFERROR(INDEX('Player Raw Data'!J:J,Match($A919,'Player Raw Data'!$B:$B,0)),"")</f>
        <v/>
      </c>
      <c r="I919" t="str">
        <f t="array" ref="I919">IFERROR(INDEX('Player Raw Data'!S:S,Match($A919,'Player Raw Data'!$B:$B,0)),"")</f>
        <v/>
      </c>
      <c r="J919" t="str">
        <f t="array" ref="J919">IFERROR(INDEX('Player Raw Data'!T:T,Match($A919,'Player Raw Data'!$B:$B,0)),"")</f>
        <v/>
      </c>
      <c r="K919" t="str">
        <f t="array" ref="K919">IFERROR(INDEX('Player Raw Data'!X:X,Match($A919,'Player Raw Data'!$B:$B,0)),"")</f>
        <v/>
      </c>
      <c r="L919" t="str">
        <f t="array" ref="L919">IFERROR(INDEX('Player Raw Data'!Y:Y,Match($A919,'Player Raw Data'!$B:$B,0)),"")</f>
        <v/>
      </c>
      <c r="M919" t="str">
        <f t="array" ref="M919">IFERROR(INDEX('Player Raw Data'!Z:Z,Match($A919,'Player Raw Data'!$B:$B,0)),"")</f>
        <v/>
      </c>
      <c r="N919" t="str">
        <f t="array" ref="N919">IFERROR(INDEX('Player Raw Data'!AA:AA,Match($A919,'Player Raw Data'!$B:$B,0)),"")</f>
        <v/>
      </c>
      <c r="O919" t="str">
        <f t="array" ref="O919">IFERROR(INDEX('Player Raw Data'!AB:AB,Match($A919,'Player Raw Data'!$B:$B,0)),"")</f>
        <v/>
      </c>
      <c r="P919" t="str">
        <f t="array" ref="P919">IFERROR(INDEX('Player Raw Data'!AD:AD,Match($A919,'Player Raw Data'!$B:$B,0)),"")</f>
        <v/>
      </c>
      <c r="Q919">
        <f t="shared" si="1"/>
        <v>0</v>
      </c>
      <c r="R919" s="9">
        <f t="shared" si="2"/>
        <v>0</v>
      </c>
      <c r="S919" s="14">
        <f t="shared" si="3"/>
        <v>0</v>
      </c>
      <c r="T919" s="15">
        <f>IFERROR(__xludf.DUMMYFUNCTION("IFERROR(PERCENTRANK.INC(FILTER(Q:Q,$F:$F&lt;&gt;""""),Q919)*100,"""")"),1.5)</f>
        <v>1.5</v>
      </c>
      <c r="U919" s="15">
        <f>IFERROR(__xludf.DUMMYFUNCTION("IFERROR(PERCENTRANK.INC(FILTER(R:R,$F:$F&lt;&gt;""""),R919)*100,"""")"),1.5)</f>
        <v>1.5</v>
      </c>
      <c r="V919" s="15">
        <f>IFERROR(__xludf.DUMMYFUNCTION("IFERROR(PERCENTRANK.INC(FILTER(S:S,$F:$F&lt;&gt;""""),S919)*100,"""")"),1.5)</f>
        <v>1.5</v>
      </c>
      <c r="W919" s="15" t="str">
        <f t="shared" si="4"/>
        <v/>
      </c>
      <c r="X919" s="16"/>
      <c r="Y919" s="9"/>
      <c r="Z919" s="9"/>
    </row>
    <row r="920">
      <c r="B920" t="str">
        <f t="array" ref="B920">IFERROR(INDEX('Player Raw Data'!C:C,Match($A920,'Player Raw Data'!$B:$B,0)),"")</f>
        <v/>
      </c>
      <c r="C920" t="str">
        <f t="array" ref="C920">IFERROR(INDEX('Player Raw Data'!D:D,Match($A920,'Player Raw Data'!$B:$B,0)),"")</f>
        <v/>
      </c>
      <c r="D920" t="str">
        <f t="array" ref="D920">IFERROR(IF(A920=A919, INDEX('Player Raw Data'!E:E,Match($A920,'Player Raw Data'!$B:$B,0)+2),INDEX('Player Raw Data'!E:E,Match($A920,'Player Raw Data'!$B:$B,0))),"")</f>
        <v/>
      </c>
      <c r="E920" t="str">
        <f t="array" ref="E920">IFERROR(INDEX('Player Raw Data'!F:F,Match($A920,'Player Raw Data'!$B:$B,0)),"")</f>
        <v/>
      </c>
      <c r="F920" t="str">
        <f t="array" ref="F920">IFERROR(INDEX('Player Raw Data'!H:H,Match($A920,'Player Raw Data'!$B:$B,0)),"")</f>
        <v/>
      </c>
      <c r="G920" t="str">
        <f t="array" ref="G920">IFERROR(INDEX('Player Raw Data'!I:I,Match($A920,'Player Raw Data'!$B:$B,0)),"")</f>
        <v/>
      </c>
      <c r="H920" t="str">
        <f t="array" ref="H920">IFERROR(INDEX('Player Raw Data'!J:J,Match($A920,'Player Raw Data'!$B:$B,0)),"")</f>
        <v/>
      </c>
      <c r="I920" t="str">
        <f t="array" ref="I920">IFERROR(INDEX('Player Raw Data'!S:S,Match($A920,'Player Raw Data'!$B:$B,0)),"")</f>
        <v/>
      </c>
      <c r="J920" t="str">
        <f t="array" ref="J920">IFERROR(INDEX('Player Raw Data'!T:T,Match($A920,'Player Raw Data'!$B:$B,0)),"")</f>
        <v/>
      </c>
      <c r="K920" t="str">
        <f t="array" ref="K920">IFERROR(INDEX('Player Raw Data'!X:X,Match($A920,'Player Raw Data'!$B:$B,0)),"")</f>
        <v/>
      </c>
      <c r="L920" t="str">
        <f t="array" ref="L920">IFERROR(INDEX('Player Raw Data'!Y:Y,Match($A920,'Player Raw Data'!$B:$B,0)),"")</f>
        <v/>
      </c>
      <c r="M920" t="str">
        <f t="array" ref="M920">IFERROR(INDEX('Player Raw Data'!Z:Z,Match($A920,'Player Raw Data'!$B:$B,0)),"")</f>
        <v/>
      </c>
      <c r="N920" t="str">
        <f t="array" ref="N920">IFERROR(INDEX('Player Raw Data'!AA:AA,Match($A920,'Player Raw Data'!$B:$B,0)),"")</f>
        <v/>
      </c>
      <c r="O920" t="str">
        <f t="array" ref="O920">IFERROR(INDEX('Player Raw Data'!AB:AB,Match($A920,'Player Raw Data'!$B:$B,0)),"")</f>
        <v/>
      </c>
      <c r="P920" t="str">
        <f t="array" ref="P920">IFERROR(INDEX('Player Raw Data'!AD:AD,Match($A920,'Player Raw Data'!$B:$B,0)),"")</f>
        <v/>
      </c>
      <c r="Q920">
        <f t="shared" si="1"/>
        <v>0</v>
      </c>
      <c r="R920" s="9">
        <f t="shared" si="2"/>
        <v>0</v>
      </c>
      <c r="S920" s="14">
        <f t="shared" si="3"/>
        <v>0</v>
      </c>
      <c r="T920" s="15">
        <f>IFERROR(__xludf.DUMMYFUNCTION("IFERROR(PERCENTRANK.INC(FILTER(Q:Q,$F:$F&lt;&gt;""""),Q920)*100,"""")"),1.5)</f>
        <v>1.5</v>
      </c>
      <c r="U920" s="15">
        <f>IFERROR(__xludf.DUMMYFUNCTION("IFERROR(PERCENTRANK.INC(FILTER(R:R,$F:$F&lt;&gt;""""),R920)*100,"""")"),1.5)</f>
        <v>1.5</v>
      </c>
      <c r="V920" s="15">
        <f>IFERROR(__xludf.DUMMYFUNCTION("IFERROR(PERCENTRANK.INC(FILTER(S:S,$F:$F&lt;&gt;""""),S920)*100,"""")"),1.5)</f>
        <v>1.5</v>
      </c>
      <c r="W920" s="15" t="str">
        <f t="shared" si="4"/>
        <v/>
      </c>
      <c r="X920" s="16"/>
      <c r="Y920" s="9"/>
      <c r="Z920" s="9"/>
    </row>
    <row r="921">
      <c r="B921" t="str">
        <f t="array" ref="B921">IFERROR(INDEX('Player Raw Data'!C:C,Match($A921,'Player Raw Data'!$B:$B,0)),"")</f>
        <v/>
      </c>
      <c r="C921" t="str">
        <f t="array" ref="C921">IFERROR(INDEX('Player Raw Data'!D:D,Match($A921,'Player Raw Data'!$B:$B,0)),"")</f>
        <v/>
      </c>
      <c r="D921" t="str">
        <f t="array" ref="D921">IFERROR(IF(A921=A920, INDEX('Player Raw Data'!E:E,Match($A921,'Player Raw Data'!$B:$B,0)+2),INDEX('Player Raw Data'!E:E,Match($A921,'Player Raw Data'!$B:$B,0))),"")</f>
        <v/>
      </c>
      <c r="E921" t="str">
        <f t="array" ref="E921">IFERROR(INDEX('Player Raw Data'!F:F,Match($A921,'Player Raw Data'!$B:$B,0)),"")</f>
        <v/>
      </c>
      <c r="F921" t="str">
        <f t="array" ref="F921">IFERROR(INDEX('Player Raw Data'!H:H,Match($A921,'Player Raw Data'!$B:$B,0)),"")</f>
        <v/>
      </c>
      <c r="G921" t="str">
        <f t="array" ref="G921">IFERROR(INDEX('Player Raw Data'!I:I,Match($A921,'Player Raw Data'!$B:$B,0)),"")</f>
        <v/>
      </c>
      <c r="H921" t="str">
        <f t="array" ref="H921">IFERROR(INDEX('Player Raw Data'!J:J,Match($A921,'Player Raw Data'!$B:$B,0)),"")</f>
        <v/>
      </c>
      <c r="I921" t="str">
        <f t="array" ref="I921">IFERROR(INDEX('Player Raw Data'!S:S,Match($A921,'Player Raw Data'!$B:$B,0)),"")</f>
        <v/>
      </c>
      <c r="J921" t="str">
        <f t="array" ref="J921">IFERROR(INDEX('Player Raw Data'!T:T,Match($A921,'Player Raw Data'!$B:$B,0)),"")</f>
        <v/>
      </c>
      <c r="K921" t="str">
        <f t="array" ref="K921">IFERROR(INDEX('Player Raw Data'!X:X,Match($A921,'Player Raw Data'!$B:$B,0)),"")</f>
        <v/>
      </c>
      <c r="L921" t="str">
        <f t="array" ref="L921">IFERROR(INDEX('Player Raw Data'!Y:Y,Match($A921,'Player Raw Data'!$B:$B,0)),"")</f>
        <v/>
      </c>
      <c r="M921" t="str">
        <f t="array" ref="M921">IFERROR(INDEX('Player Raw Data'!Z:Z,Match($A921,'Player Raw Data'!$B:$B,0)),"")</f>
        <v/>
      </c>
      <c r="N921" t="str">
        <f t="array" ref="N921">IFERROR(INDEX('Player Raw Data'!AA:AA,Match($A921,'Player Raw Data'!$B:$B,0)),"")</f>
        <v/>
      </c>
      <c r="O921" t="str">
        <f t="array" ref="O921">IFERROR(INDEX('Player Raw Data'!AB:AB,Match($A921,'Player Raw Data'!$B:$B,0)),"")</f>
        <v/>
      </c>
      <c r="P921" t="str">
        <f t="array" ref="P921">IFERROR(INDEX('Player Raw Data'!AD:AD,Match($A921,'Player Raw Data'!$B:$B,0)),"")</f>
        <v/>
      </c>
      <c r="Q921">
        <f t="shared" si="1"/>
        <v>0</v>
      </c>
      <c r="R921" s="9">
        <f t="shared" si="2"/>
        <v>0</v>
      </c>
      <c r="S921" s="14">
        <f t="shared" si="3"/>
        <v>0</v>
      </c>
      <c r="T921" s="15">
        <f>IFERROR(__xludf.DUMMYFUNCTION("IFERROR(PERCENTRANK.INC(FILTER(Q:Q,$F:$F&lt;&gt;""""),Q921)*100,"""")"),1.5)</f>
        <v>1.5</v>
      </c>
      <c r="U921" s="15">
        <f>IFERROR(__xludf.DUMMYFUNCTION("IFERROR(PERCENTRANK.INC(FILTER(R:R,$F:$F&lt;&gt;""""),R921)*100,"""")"),1.5)</f>
        <v>1.5</v>
      </c>
      <c r="V921" s="15">
        <f>IFERROR(__xludf.DUMMYFUNCTION("IFERROR(PERCENTRANK.INC(FILTER(S:S,$F:$F&lt;&gt;""""),S921)*100,"""")"),1.5)</f>
        <v>1.5</v>
      </c>
      <c r="W921" s="15" t="str">
        <f t="shared" si="4"/>
        <v/>
      </c>
      <c r="X921" s="16"/>
      <c r="Y921" s="9"/>
      <c r="Z921" s="9"/>
    </row>
    <row r="922">
      <c r="B922" t="str">
        <f t="array" ref="B922">IFERROR(INDEX('Player Raw Data'!C:C,Match($A922,'Player Raw Data'!$B:$B,0)),"")</f>
        <v/>
      </c>
      <c r="C922" t="str">
        <f t="array" ref="C922">IFERROR(INDEX('Player Raw Data'!D:D,Match($A922,'Player Raw Data'!$B:$B,0)),"")</f>
        <v/>
      </c>
      <c r="D922" t="str">
        <f t="array" ref="D922">IFERROR(IF(A922=A921, INDEX('Player Raw Data'!E:E,Match($A922,'Player Raw Data'!$B:$B,0)+2),INDEX('Player Raw Data'!E:E,Match($A922,'Player Raw Data'!$B:$B,0))),"")</f>
        <v/>
      </c>
      <c r="E922" t="str">
        <f t="array" ref="E922">IFERROR(INDEX('Player Raw Data'!F:F,Match($A922,'Player Raw Data'!$B:$B,0)),"")</f>
        <v/>
      </c>
      <c r="F922" t="str">
        <f t="array" ref="F922">IFERROR(INDEX('Player Raw Data'!H:H,Match($A922,'Player Raw Data'!$B:$B,0)),"")</f>
        <v/>
      </c>
      <c r="G922" t="str">
        <f t="array" ref="G922">IFERROR(INDEX('Player Raw Data'!I:I,Match($A922,'Player Raw Data'!$B:$B,0)),"")</f>
        <v/>
      </c>
      <c r="H922" t="str">
        <f t="array" ref="H922">IFERROR(INDEX('Player Raw Data'!J:J,Match($A922,'Player Raw Data'!$B:$B,0)),"")</f>
        <v/>
      </c>
      <c r="I922" t="str">
        <f t="array" ref="I922">IFERROR(INDEX('Player Raw Data'!S:S,Match($A922,'Player Raw Data'!$B:$B,0)),"")</f>
        <v/>
      </c>
      <c r="J922" t="str">
        <f t="array" ref="J922">IFERROR(INDEX('Player Raw Data'!T:T,Match($A922,'Player Raw Data'!$B:$B,0)),"")</f>
        <v/>
      </c>
      <c r="K922" t="str">
        <f t="array" ref="K922">IFERROR(INDEX('Player Raw Data'!X:X,Match($A922,'Player Raw Data'!$B:$B,0)),"")</f>
        <v/>
      </c>
      <c r="L922" t="str">
        <f t="array" ref="L922">IFERROR(INDEX('Player Raw Data'!Y:Y,Match($A922,'Player Raw Data'!$B:$B,0)),"")</f>
        <v/>
      </c>
      <c r="M922" t="str">
        <f t="array" ref="M922">IFERROR(INDEX('Player Raw Data'!Z:Z,Match($A922,'Player Raw Data'!$B:$B,0)),"")</f>
        <v/>
      </c>
      <c r="N922" t="str">
        <f t="array" ref="N922">IFERROR(INDEX('Player Raw Data'!AA:AA,Match($A922,'Player Raw Data'!$B:$B,0)),"")</f>
        <v/>
      </c>
      <c r="O922" t="str">
        <f t="array" ref="O922">IFERROR(INDEX('Player Raw Data'!AB:AB,Match($A922,'Player Raw Data'!$B:$B,0)),"")</f>
        <v/>
      </c>
      <c r="P922" t="str">
        <f t="array" ref="P922">IFERROR(INDEX('Player Raw Data'!AD:AD,Match($A922,'Player Raw Data'!$B:$B,0)),"")</f>
        <v/>
      </c>
      <c r="Q922">
        <f t="shared" si="1"/>
        <v>0</v>
      </c>
      <c r="R922" s="9">
        <f t="shared" si="2"/>
        <v>0</v>
      </c>
      <c r="S922" s="14">
        <f t="shared" si="3"/>
        <v>0</v>
      </c>
      <c r="T922" s="15">
        <f>IFERROR(__xludf.DUMMYFUNCTION("IFERROR(PERCENTRANK.INC(FILTER(Q:Q,$F:$F&lt;&gt;""""),Q922)*100,"""")"),1.5)</f>
        <v>1.5</v>
      </c>
      <c r="U922" s="15">
        <f>IFERROR(__xludf.DUMMYFUNCTION("IFERROR(PERCENTRANK.INC(FILTER(R:R,$F:$F&lt;&gt;""""),R922)*100,"""")"),1.5)</f>
        <v>1.5</v>
      </c>
      <c r="V922" s="15">
        <f>IFERROR(__xludf.DUMMYFUNCTION("IFERROR(PERCENTRANK.INC(FILTER(S:S,$F:$F&lt;&gt;""""),S922)*100,"""")"),1.5)</f>
        <v>1.5</v>
      </c>
      <c r="W922" s="15" t="str">
        <f t="shared" si="4"/>
        <v/>
      </c>
      <c r="X922" s="16"/>
      <c r="Y922" s="9"/>
      <c r="Z922" s="9"/>
    </row>
    <row r="923">
      <c r="B923" t="str">
        <f t="array" ref="B923">IFERROR(INDEX('Player Raw Data'!C:C,Match($A923,'Player Raw Data'!$B:$B,0)),"")</f>
        <v/>
      </c>
      <c r="C923" t="str">
        <f t="array" ref="C923">IFERROR(INDEX('Player Raw Data'!D:D,Match($A923,'Player Raw Data'!$B:$B,0)),"")</f>
        <v/>
      </c>
      <c r="D923" t="str">
        <f t="array" ref="D923">IFERROR(IF(A923=A922, INDEX('Player Raw Data'!E:E,Match($A923,'Player Raw Data'!$B:$B,0)+2),INDEX('Player Raw Data'!E:E,Match($A923,'Player Raw Data'!$B:$B,0))),"")</f>
        <v/>
      </c>
      <c r="E923" t="str">
        <f t="array" ref="E923">IFERROR(INDEX('Player Raw Data'!F:F,Match($A923,'Player Raw Data'!$B:$B,0)),"")</f>
        <v/>
      </c>
      <c r="F923" t="str">
        <f t="array" ref="F923">IFERROR(INDEX('Player Raw Data'!H:H,Match($A923,'Player Raw Data'!$B:$B,0)),"")</f>
        <v/>
      </c>
      <c r="G923" t="str">
        <f t="array" ref="G923">IFERROR(INDEX('Player Raw Data'!I:I,Match($A923,'Player Raw Data'!$B:$B,0)),"")</f>
        <v/>
      </c>
      <c r="H923" t="str">
        <f t="array" ref="H923">IFERROR(INDEX('Player Raw Data'!J:J,Match($A923,'Player Raw Data'!$B:$B,0)),"")</f>
        <v/>
      </c>
      <c r="I923" t="str">
        <f t="array" ref="I923">IFERROR(INDEX('Player Raw Data'!S:S,Match($A923,'Player Raw Data'!$B:$B,0)),"")</f>
        <v/>
      </c>
      <c r="J923" t="str">
        <f t="array" ref="J923">IFERROR(INDEX('Player Raw Data'!T:T,Match($A923,'Player Raw Data'!$B:$B,0)),"")</f>
        <v/>
      </c>
      <c r="K923" t="str">
        <f t="array" ref="K923">IFERROR(INDEX('Player Raw Data'!X:X,Match($A923,'Player Raw Data'!$B:$B,0)),"")</f>
        <v/>
      </c>
      <c r="L923" t="str">
        <f t="array" ref="L923">IFERROR(INDEX('Player Raw Data'!Y:Y,Match($A923,'Player Raw Data'!$B:$B,0)),"")</f>
        <v/>
      </c>
      <c r="M923" t="str">
        <f t="array" ref="M923">IFERROR(INDEX('Player Raw Data'!Z:Z,Match($A923,'Player Raw Data'!$B:$B,0)),"")</f>
        <v/>
      </c>
      <c r="N923" t="str">
        <f t="array" ref="N923">IFERROR(INDEX('Player Raw Data'!AA:AA,Match($A923,'Player Raw Data'!$B:$B,0)),"")</f>
        <v/>
      </c>
      <c r="O923" t="str">
        <f t="array" ref="O923">IFERROR(INDEX('Player Raw Data'!AB:AB,Match($A923,'Player Raw Data'!$B:$B,0)),"")</f>
        <v/>
      </c>
      <c r="P923" t="str">
        <f t="array" ref="P923">IFERROR(INDEX('Player Raw Data'!AD:AD,Match($A923,'Player Raw Data'!$B:$B,0)),"")</f>
        <v/>
      </c>
      <c r="Q923">
        <f t="shared" si="1"/>
        <v>0</v>
      </c>
      <c r="R923" s="9">
        <f t="shared" si="2"/>
        <v>0</v>
      </c>
      <c r="S923" s="14">
        <f t="shared" si="3"/>
        <v>0</v>
      </c>
      <c r="T923" s="15">
        <f>IFERROR(__xludf.DUMMYFUNCTION("IFERROR(PERCENTRANK.INC(FILTER(Q:Q,$F:$F&lt;&gt;""""),Q923)*100,"""")"),1.5)</f>
        <v>1.5</v>
      </c>
      <c r="U923" s="15">
        <f>IFERROR(__xludf.DUMMYFUNCTION("IFERROR(PERCENTRANK.INC(FILTER(R:R,$F:$F&lt;&gt;""""),R923)*100,"""")"),1.5)</f>
        <v>1.5</v>
      </c>
      <c r="V923" s="15">
        <f>IFERROR(__xludf.DUMMYFUNCTION("IFERROR(PERCENTRANK.INC(FILTER(S:S,$F:$F&lt;&gt;""""),S923)*100,"""")"),1.5)</f>
        <v>1.5</v>
      </c>
      <c r="W923" s="15" t="str">
        <f t="shared" si="4"/>
        <v/>
      </c>
      <c r="X923" s="16"/>
      <c r="Y923" s="9"/>
      <c r="Z923" s="9"/>
    </row>
    <row r="924">
      <c r="B924" t="str">
        <f t="array" ref="B924">IFERROR(INDEX('Player Raw Data'!C:C,Match($A924,'Player Raw Data'!$B:$B,0)),"")</f>
        <v/>
      </c>
      <c r="C924" t="str">
        <f t="array" ref="C924">IFERROR(INDEX('Player Raw Data'!D:D,Match($A924,'Player Raw Data'!$B:$B,0)),"")</f>
        <v/>
      </c>
      <c r="D924" t="str">
        <f t="array" ref="D924">IFERROR(IF(A924=A923, INDEX('Player Raw Data'!E:E,Match($A924,'Player Raw Data'!$B:$B,0)+2),INDEX('Player Raw Data'!E:E,Match($A924,'Player Raw Data'!$B:$B,0))),"")</f>
        <v/>
      </c>
      <c r="E924" t="str">
        <f t="array" ref="E924">IFERROR(INDEX('Player Raw Data'!F:F,Match($A924,'Player Raw Data'!$B:$B,0)),"")</f>
        <v/>
      </c>
      <c r="F924" t="str">
        <f t="array" ref="F924">IFERROR(INDEX('Player Raw Data'!H:H,Match($A924,'Player Raw Data'!$B:$B,0)),"")</f>
        <v/>
      </c>
      <c r="G924" t="str">
        <f t="array" ref="G924">IFERROR(INDEX('Player Raw Data'!I:I,Match($A924,'Player Raw Data'!$B:$B,0)),"")</f>
        <v/>
      </c>
      <c r="H924" t="str">
        <f t="array" ref="H924">IFERROR(INDEX('Player Raw Data'!J:J,Match($A924,'Player Raw Data'!$B:$B,0)),"")</f>
        <v/>
      </c>
      <c r="I924" t="str">
        <f t="array" ref="I924">IFERROR(INDEX('Player Raw Data'!S:S,Match($A924,'Player Raw Data'!$B:$B,0)),"")</f>
        <v/>
      </c>
      <c r="J924" t="str">
        <f t="array" ref="J924">IFERROR(INDEX('Player Raw Data'!T:T,Match($A924,'Player Raw Data'!$B:$B,0)),"")</f>
        <v/>
      </c>
      <c r="K924" t="str">
        <f t="array" ref="K924">IFERROR(INDEX('Player Raw Data'!X:X,Match($A924,'Player Raw Data'!$B:$B,0)),"")</f>
        <v/>
      </c>
      <c r="L924" t="str">
        <f t="array" ref="L924">IFERROR(INDEX('Player Raw Data'!Y:Y,Match($A924,'Player Raw Data'!$B:$B,0)),"")</f>
        <v/>
      </c>
      <c r="M924" t="str">
        <f t="array" ref="M924">IFERROR(INDEX('Player Raw Data'!Z:Z,Match($A924,'Player Raw Data'!$B:$B,0)),"")</f>
        <v/>
      </c>
      <c r="N924" t="str">
        <f t="array" ref="N924">IFERROR(INDEX('Player Raw Data'!AA:AA,Match($A924,'Player Raw Data'!$B:$B,0)),"")</f>
        <v/>
      </c>
      <c r="O924" t="str">
        <f t="array" ref="O924">IFERROR(INDEX('Player Raw Data'!AB:AB,Match($A924,'Player Raw Data'!$B:$B,0)),"")</f>
        <v/>
      </c>
      <c r="P924" t="str">
        <f t="array" ref="P924">IFERROR(INDEX('Player Raw Data'!AD:AD,Match($A924,'Player Raw Data'!$B:$B,0)),"")</f>
        <v/>
      </c>
      <c r="Q924">
        <f t="shared" si="1"/>
        <v>0</v>
      </c>
      <c r="R924" s="9">
        <f t="shared" si="2"/>
        <v>0</v>
      </c>
      <c r="S924" s="14">
        <f t="shared" si="3"/>
        <v>0</v>
      </c>
      <c r="T924" s="15">
        <f>IFERROR(__xludf.DUMMYFUNCTION("IFERROR(PERCENTRANK.INC(FILTER(Q:Q,$F:$F&lt;&gt;""""),Q924)*100,"""")"),1.5)</f>
        <v>1.5</v>
      </c>
      <c r="U924" s="15">
        <f>IFERROR(__xludf.DUMMYFUNCTION("IFERROR(PERCENTRANK.INC(FILTER(R:R,$F:$F&lt;&gt;""""),R924)*100,"""")"),1.5)</f>
        <v>1.5</v>
      </c>
      <c r="V924" s="15">
        <f>IFERROR(__xludf.DUMMYFUNCTION("IFERROR(PERCENTRANK.INC(FILTER(S:S,$F:$F&lt;&gt;""""),S924)*100,"""")"),1.5)</f>
        <v>1.5</v>
      </c>
      <c r="W924" s="15" t="str">
        <f t="shared" si="4"/>
        <v/>
      </c>
      <c r="X924" s="16"/>
      <c r="Y924" s="9"/>
      <c r="Z924" s="9"/>
    </row>
    <row r="925">
      <c r="B925" t="str">
        <f t="array" ref="B925">IFERROR(INDEX('Player Raw Data'!C:C,Match($A925,'Player Raw Data'!$B:$B,0)),"")</f>
        <v/>
      </c>
      <c r="C925" t="str">
        <f t="array" ref="C925">IFERROR(INDEX('Player Raw Data'!D:D,Match($A925,'Player Raw Data'!$B:$B,0)),"")</f>
        <v/>
      </c>
      <c r="D925" t="str">
        <f t="array" ref="D925">IFERROR(IF(A925=A924, INDEX('Player Raw Data'!E:E,Match($A925,'Player Raw Data'!$B:$B,0)+2),INDEX('Player Raw Data'!E:E,Match($A925,'Player Raw Data'!$B:$B,0))),"")</f>
        <v/>
      </c>
      <c r="E925" t="str">
        <f t="array" ref="E925">IFERROR(INDEX('Player Raw Data'!F:F,Match($A925,'Player Raw Data'!$B:$B,0)),"")</f>
        <v/>
      </c>
      <c r="F925" t="str">
        <f t="array" ref="F925">IFERROR(INDEX('Player Raw Data'!H:H,Match($A925,'Player Raw Data'!$B:$B,0)),"")</f>
        <v/>
      </c>
      <c r="G925" t="str">
        <f t="array" ref="G925">IFERROR(INDEX('Player Raw Data'!I:I,Match($A925,'Player Raw Data'!$B:$B,0)),"")</f>
        <v/>
      </c>
      <c r="H925" t="str">
        <f t="array" ref="H925">IFERROR(INDEX('Player Raw Data'!J:J,Match($A925,'Player Raw Data'!$B:$B,0)),"")</f>
        <v/>
      </c>
      <c r="I925" t="str">
        <f t="array" ref="I925">IFERROR(INDEX('Player Raw Data'!S:S,Match($A925,'Player Raw Data'!$B:$B,0)),"")</f>
        <v/>
      </c>
      <c r="J925" t="str">
        <f t="array" ref="J925">IFERROR(INDEX('Player Raw Data'!T:T,Match($A925,'Player Raw Data'!$B:$B,0)),"")</f>
        <v/>
      </c>
      <c r="K925" t="str">
        <f t="array" ref="K925">IFERROR(INDEX('Player Raw Data'!X:X,Match($A925,'Player Raw Data'!$B:$B,0)),"")</f>
        <v/>
      </c>
      <c r="L925" t="str">
        <f t="array" ref="L925">IFERROR(INDEX('Player Raw Data'!Y:Y,Match($A925,'Player Raw Data'!$B:$B,0)),"")</f>
        <v/>
      </c>
      <c r="M925" t="str">
        <f t="array" ref="M925">IFERROR(INDEX('Player Raw Data'!Z:Z,Match($A925,'Player Raw Data'!$B:$B,0)),"")</f>
        <v/>
      </c>
      <c r="N925" t="str">
        <f t="array" ref="N925">IFERROR(INDEX('Player Raw Data'!AA:AA,Match($A925,'Player Raw Data'!$B:$B,0)),"")</f>
        <v/>
      </c>
      <c r="O925" t="str">
        <f t="array" ref="O925">IFERROR(INDEX('Player Raw Data'!AB:AB,Match($A925,'Player Raw Data'!$B:$B,0)),"")</f>
        <v/>
      </c>
      <c r="P925" t="str">
        <f t="array" ref="P925">IFERROR(INDEX('Player Raw Data'!AD:AD,Match($A925,'Player Raw Data'!$B:$B,0)),"")</f>
        <v/>
      </c>
      <c r="Q925">
        <f t="shared" si="1"/>
        <v>0</v>
      </c>
      <c r="R925" s="9">
        <f t="shared" si="2"/>
        <v>0</v>
      </c>
      <c r="S925" s="14">
        <f t="shared" si="3"/>
        <v>0</v>
      </c>
      <c r="T925" s="15">
        <f>IFERROR(__xludf.DUMMYFUNCTION("IFERROR(PERCENTRANK.INC(FILTER(Q:Q,$F:$F&lt;&gt;""""),Q925)*100,"""")"),1.5)</f>
        <v>1.5</v>
      </c>
      <c r="U925" s="15">
        <f>IFERROR(__xludf.DUMMYFUNCTION("IFERROR(PERCENTRANK.INC(FILTER(R:R,$F:$F&lt;&gt;""""),R925)*100,"""")"),1.5)</f>
        <v>1.5</v>
      </c>
      <c r="V925" s="15">
        <f>IFERROR(__xludf.DUMMYFUNCTION("IFERROR(PERCENTRANK.INC(FILTER(S:S,$F:$F&lt;&gt;""""),S925)*100,"""")"),1.5)</f>
        <v>1.5</v>
      </c>
      <c r="W925" s="15" t="str">
        <f t="shared" si="4"/>
        <v/>
      </c>
      <c r="X925" s="16"/>
      <c r="Y925" s="9"/>
      <c r="Z925" s="9"/>
    </row>
    <row r="926">
      <c r="B926" t="str">
        <f t="array" ref="B926">IFERROR(INDEX('Player Raw Data'!C:C,Match($A926,'Player Raw Data'!$B:$B,0)),"")</f>
        <v/>
      </c>
      <c r="C926" t="str">
        <f t="array" ref="C926">IFERROR(INDEX('Player Raw Data'!D:D,Match($A926,'Player Raw Data'!$B:$B,0)),"")</f>
        <v/>
      </c>
      <c r="D926" t="str">
        <f t="array" ref="D926">IFERROR(IF(A926=A925, INDEX('Player Raw Data'!E:E,Match($A926,'Player Raw Data'!$B:$B,0)+2),INDEX('Player Raw Data'!E:E,Match($A926,'Player Raw Data'!$B:$B,0))),"")</f>
        <v/>
      </c>
      <c r="E926" t="str">
        <f t="array" ref="E926">IFERROR(INDEX('Player Raw Data'!F:F,Match($A926,'Player Raw Data'!$B:$B,0)),"")</f>
        <v/>
      </c>
      <c r="F926" t="str">
        <f t="array" ref="F926">IFERROR(INDEX('Player Raw Data'!H:H,Match($A926,'Player Raw Data'!$B:$B,0)),"")</f>
        <v/>
      </c>
      <c r="G926" t="str">
        <f t="array" ref="G926">IFERROR(INDEX('Player Raw Data'!I:I,Match($A926,'Player Raw Data'!$B:$B,0)),"")</f>
        <v/>
      </c>
      <c r="H926" t="str">
        <f t="array" ref="H926">IFERROR(INDEX('Player Raw Data'!J:J,Match($A926,'Player Raw Data'!$B:$B,0)),"")</f>
        <v/>
      </c>
      <c r="I926" t="str">
        <f t="array" ref="I926">IFERROR(INDEX('Player Raw Data'!S:S,Match($A926,'Player Raw Data'!$B:$B,0)),"")</f>
        <v/>
      </c>
      <c r="J926" t="str">
        <f t="array" ref="J926">IFERROR(INDEX('Player Raw Data'!T:T,Match($A926,'Player Raw Data'!$B:$B,0)),"")</f>
        <v/>
      </c>
      <c r="K926" t="str">
        <f t="array" ref="K926">IFERROR(INDEX('Player Raw Data'!X:X,Match($A926,'Player Raw Data'!$B:$B,0)),"")</f>
        <v/>
      </c>
      <c r="L926" t="str">
        <f t="array" ref="L926">IFERROR(INDEX('Player Raw Data'!Y:Y,Match($A926,'Player Raw Data'!$B:$B,0)),"")</f>
        <v/>
      </c>
      <c r="M926" t="str">
        <f t="array" ref="M926">IFERROR(INDEX('Player Raw Data'!Z:Z,Match($A926,'Player Raw Data'!$B:$B,0)),"")</f>
        <v/>
      </c>
      <c r="N926" t="str">
        <f t="array" ref="N926">IFERROR(INDEX('Player Raw Data'!AA:AA,Match($A926,'Player Raw Data'!$B:$B,0)),"")</f>
        <v/>
      </c>
      <c r="O926" t="str">
        <f t="array" ref="O926">IFERROR(INDEX('Player Raw Data'!AB:AB,Match($A926,'Player Raw Data'!$B:$B,0)),"")</f>
        <v/>
      </c>
      <c r="P926" t="str">
        <f t="array" ref="P926">IFERROR(INDEX('Player Raw Data'!AD:AD,Match($A926,'Player Raw Data'!$B:$B,0)),"")</f>
        <v/>
      </c>
      <c r="Q926">
        <f t="shared" si="1"/>
        <v>0</v>
      </c>
      <c r="R926" s="9">
        <f t="shared" si="2"/>
        <v>0</v>
      </c>
      <c r="S926" s="14">
        <f t="shared" si="3"/>
        <v>0</v>
      </c>
      <c r="T926" s="15">
        <f>IFERROR(__xludf.DUMMYFUNCTION("IFERROR(PERCENTRANK.INC(FILTER(Q:Q,$F:$F&lt;&gt;""""),Q926)*100,"""")"),1.5)</f>
        <v>1.5</v>
      </c>
      <c r="U926" s="15">
        <f>IFERROR(__xludf.DUMMYFUNCTION("IFERROR(PERCENTRANK.INC(FILTER(R:R,$F:$F&lt;&gt;""""),R926)*100,"""")"),1.5)</f>
        <v>1.5</v>
      </c>
      <c r="V926" s="15">
        <f>IFERROR(__xludf.DUMMYFUNCTION("IFERROR(PERCENTRANK.INC(FILTER(S:S,$F:$F&lt;&gt;""""),S926)*100,"""")"),1.5)</f>
        <v>1.5</v>
      </c>
      <c r="W926" s="15" t="str">
        <f t="shared" si="4"/>
        <v/>
      </c>
      <c r="X926" s="16"/>
      <c r="Y926" s="9"/>
      <c r="Z926" s="9"/>
    </row>
    <row r="927">
      <c r="B927" t="str">
        <f t="array" ref="B927">IFERROR(INDEX('Player Raw Data'!C:C,Match($A927,'Player Raw Data'!$B:$B,0)),"")</f>
        <v/>
      </c>
      <c r="C927" t="str">
        <f t="array" ref="C927">IFERROR(INDEX('Player Raw Data'!D:D,Match($A927,'Player Raw Data'!$B:$B,0)),"")</f>
        <v/>
      </c>
      <c r="D927" t="str">
        <f t="array" ref="D927">IFERROR(IF(A927=A926, INDEX('Player Raw Data'!E:E,Match($A927,'Player Raw Data'!$B:$B,0)+2),INDEX('Player Raw Data'!E:E,Match($A927,'Player Raw Data'!$B:$B,0))),"")</f>
        <v/>
      </c>
      <c r="E927" t="str">
        <f t="array" ref="E927">IFERROR(INDEX('Player Raw Data'!F:F,Match($A927,'Player Raw Data'!$B:$B,0)),"")</f>
        <v/>
      </c>
      <c r="F927" t="str">
        <f t="array" ref="F927">IFERROR(INDEX('Player Raw Data'!H:H,Match($A927,'Player Raw Data'!$B:$B,0)),"")</f>
        <v/>
      </c>
      <c r="G927" t="str">
        <f t="array" ref="G927">IFERROR(INDEX('Player Raw Data'!I:I,Match($A927,'Player Raw Data'!$B:$B,0)),"")</f>
        <v/>
      </c>
      <c r="H927" t="str">
        <f t="array" ref="H927">IFERROR(INDEX('Player Raw Data'!J:J,Match($A927,'Player Raw Data'!$B:$B,0)),"")</f>
        <v/>
      </c>
      <c r="I927" t="str">
        <f t="array" ref="I927">IFERROR(INDEX('Player Raw Data'!S:S,Match($A927,'Player Raw Data'!$B:$B,0)),"")</f>
        <v/>
      </c>
      <c r="J927" t="str">
        <f t="array" ref="J927">IFERROR(INDEX('Player Raw Data'!T:T,Match($A927,'Player Raw Data'!$B:$B,0)),"")</f>
        <v/>
      </c>
      <c r="K927" t="str">
        <f t="array" ref="K927">IFERROR(INDEX('Player Raw Data'!X:X,Match($A927,'Player Raw Data'!$B:$B,0)),"")</f>
        <v/>
      </c>
      <c r="L927" t="str">
        <f t="array" ref="L927">IFERROR(INDEX('Player Raw Data'!Y:Y,Match($A927,'Player Raw Data'!$B:$B,0)),"")</f>
        <v/>
      </c>
      <c r="M927" t="str">
        <f t="array" ref="M927">IFERROR(INDEX('Player Raw Data'!Z:Z,Match($A927,'Player Raw Data'!$B:$B,0)),"")</f>
        <v/>
      </c>
      <c r="N927" t="str">
        <f t="array" ref="N927">IFERROR(INDEX('Player Raw Data'!AA:AA,Match($A927,'Player Raw Data'!$B:$B,0)),"")</f>
        <v/>
      </c>
      <c r="O927" t="str">
        <f t="array" ref="O927">IFERROR(INDEX('Player Raw Data'!AB:AB,Match($A927,'Player Raw Data'!$B:$B,0)),"")</f>
        <v/>
      </c>
      <c r="P927" t="str">
        <f t="array" ref="P927">IFERROR(INDEX('Player Raw Data'!AD:AD,Match($A927,'Player Raw Data'!$B:$B,0)),"")</f>
        <v/>
      </c>
      <c r="Q927">
        <f t="shared" si="1"/>
        <v>0</v>
      </c>
      <c r="R927" s="9">
        <f t="shared" si="2"/>
        <v>0</v>
      </c>
      <c r="S927" s="14">
        <f t="shared" si="3"/>
        <v>0</v>
      </c>
      <c r="T927" s="15">
        <f>IFERROR(__xludf.DUMMYFUNCTION("IFERROR(PERCENTRANK.INC(FILTER(Q:Q,$F:$F&lt;&gt;""""),Q927)*100,"""")"),1.5)</f>
        <v>1.5</v>
      </c>
      <c r="U927" s="15">
        <f>IFERROR(__xludf.DUMMYFUNCTION("IFERROR(PERCENTRANK.INC(FILTER(R:R,$F:$F&lt;&gt;""""),R927)*100,"""")"),1.5)</f>
        <v>1.5</v>
      </c>
      <c r="V927" s="15">
        <f>IFERROR(__xludf.DUMMYFUNCTION("IFERROR(PERCENTRANK.INC(FILTER(S:S,$F:$F&lt;&gt;""""),S927)*100,"""")"),1.5)</f>
        <v>1.5</v>
      </c>
      <c r="W927" s="15" t="str">
        <f t="shared" si="4"/>
        <v/>
      </c>
      <c r="X927" s="16"/>
      <c r="Y927" s="9"/>
      <c r="Z927" s="9"/>
    </row>
    <row r="928">
      <c r="B928" t="str">
        <f t="array" ref="B928">IFERROR(INDEX('Player Raw Data'!C:C,Match($A928,'Player Raw Data'!$B:$B,0)),"")</f>
        <v/>
      </c>
      <c r="C928" t="str">
        <f t="array" ref="C928">IFERROR(INDEX('Player Raw Data'!D:D,Match($A928,'Player Raw Data'!$B:$B,0)),"")</f>
        <v/>
      </c>
      <c r="D928" t="str">
        <f t="array" ref="D928">IFERROR(IF(A928=A927, INDEX('Player Raw Data'!E:E,Match($A928,'Player Raw Data'!$B:$B,0)+2),INDEX('Player Raw Data'!E:E,Match($A928,'Player Raw Data'!$B:$B,0))),"")</f>
        <v/>
      </c>
      <c r="E928" t="str">
        <f t="array" ref="E928">IFERROR(INDEX('Player Raw Data'!F:F,Match($A928,'Player Raw Data'!$B:$B,0)),"")</f>
        <v/>
      </c>
      <c r="F928" t="str">
        <f t="array" ref="F928">IFERROR(INDEX('Player Raw Data'!H:H,Match($A928,'Player Raw Data'!$B:$B,0)),"")</f>
        <v/>
      </c>
      <c r="G928" t="str">
        <f t="array" ref="G928">IFERROR(INDEX('Player Raw Data'!I:I,Match($A928,'Player Raw Data'!$B:$B,0)),"")</f>
        <v/>
      </c>
      <c r="H928" t="str">
        <f t="array" ref="H928">IFERROR(INDEX('Player Raw Data'!J:J,Match($A928,'Player Raw Data'!$B:$B,0)),"")</f>
        <v/>
      </c>
      <c r="I928" t="str">
        <f t="array" ref="I928">IFERROR(INDEX('Player Raw Data'!S:S,Match($A928,'Player Raw Data'!$B:$B,0)),"")</f>
        <v/>
      </c>
      <c r="J928" t="str">
        <f t="array" ref="J928">IFERROR(INDEX('Player Raw Data'!T:T,Match($A928,'Player Raw Data'!$B:$B,0)),"")</f>
        <v/>
      </c>
      <c r="K928" t="str">
        <f t="array" ref="K928">IFERROR(INDEX('Player Raw Data'!X:X,Match($A928,'Player Raw Data'!$B:$B,0)),"")</f>
        <v/>
      </c>
      <c r="L928" t="str">
        <f t="array" ref="L928">IFERROR(INDEX('Player Raw Data'!Y:Y,Match($A928,'Player Raw Data'!$B:$B,0)),"")</f>
        <v/>
      </c>
      <c r="M928" t="str">
        <f t="array" ref="M928">IFERROR(INDEX('Player Raw Data'!Z:Z,Match($A928,'Player Raw Data'!$B:$B,0)),"")</f>
        <v/>
      </c>
      <c r="N928" t="str">
        <f t="array" ref="N928">IFERROR(INDEX('Player Raw Data'!AA:AA,Match($A928,'Player Raw Data'!$B:$B,0)),"")</f>
        <v/>
      </c>
      <c r="O928" t="str">
        <f t="array" ref="O928">IFERROR(INDEX('Player Raw Data'!AB:AB,Match($A928,'Player Raw Data'!$B:$B,0)),"")</f>
        <v/>
      </c>
      <c r="P928" t="str">
        <f t="array" ref="P928">IFERROR(INDEX('Player Raw Data'!AD:AD,Match($A928,'Player Raw Data'!$B:$B,0)),"")</f>
        <v/>
      </c>
      <c r="Q928">
        <f t="shared" si="1"/>
        <v>0</v>
      </c>
      <c r="R928" s="9">
        <f t="shared" si="2"/>
        <v>0</v>
      </c>
      <c r="S928" s="14">
        <f t="shared" si="3"/>
        <v>0</v>
      </c>
      <c r="T928" s="15">
        <f>IFERROR(__xludf.DUMMYFUNCTION("IFERROR(PERCENTRANK.INC(FILTER(Q:Q,$F:$F&lt;&gt;""""),Q928)*100,"""")"),1.5)</f>
        <v>1.5</v>
      </c>
      <c r="U928" s="15">
        <f>IFERROR(__xludf.DUMMYFUNCTION("IFERROR(PERCENTRANK.INC(FILTER(R:R,$F:$F&lt;&gt;""""),R928)*100,"""")"),1.5)</f>
        <v>1.5</v>
      </c>
      <c r="V928" s="15">
        <f>IFERROR(__xludf.DUMMYFUNCTION("IFERROR(PERCENTRANK.INC(FILTER(S:S,$F:$F&lt;&gt;""""),S928)*100,"""")"),1.5)</f>
        <v>1.5</v>
      </c>
      <c r="W928" s="15" t="str">
        <f t="shared" si="4"/>
        <v/>
      </c>
      <c r="X928" s="16"/>
      <c r="Y928" s="9"/>
      <c r="Z928" s="9"/>
    </row>
    <row r="929">
      <c r="B929" t="str">
        <f t="array" ref="B929">IFERROR(INDEX('Player Raw Data'!C:C,Match($A929,'Player Raw Data'!$B:$B,0)),"")</f>
        <v/>
      </c>
      <c r="C929" t="str">
        <f t="array" ref="C929">IFERROR(INDEX('Player Raw Data'!D:D,Match($A929,'Player Raw Data'!$B:$B,0)),"")</f>
        <v/>
      </c>
      <c r="D929" t="str">
        <f t="array" ref="D929">IFERROR(IF(A929=A928, INDEX('Player Raw Data'!E:E,Match($A929,'Player Raw Data'!$B:$B,0)+2),INDEX('Player Raw Data'!E:E,Match($A929,'Player Raw Data'!$B:$B,0))),"")</f>
        <v/>
      </c>
      <c r="E929" t="str">
        <f t="array" ref="E929">IFERROR(INDEX('Player Raw Data'!F:F,Match($A929,'Player Raw Data'!$B:$B,0)),"")</f>
        <v/>
      </c>
      <c r="F929" t="str">
        <f t="array" ref="F929">IFERROR(INDEX('Player Raw Data'!H:H,Match($A929,'Player Raw Data'!$B:$B,0)),"")</f>
        <v/>
      </c>
      <c r="G929" t="str">
        <f t="array" ref="G929">IFERROR(INDEX('Player Raw Data'!I:I,Match($A929,'Player Raw Data'!$B:$B,0)),"")</f>
        <v/>
      </c>
      <c r="H929" t="str">
        <f t="array" ref="H929">IFERROR(INDEX('Player Raw Data'!J:J,Match($A929,'Player Raw Data'!$B:$B,0)),"")</f>
        <v/>
      </c>
      <c r="I929" t="str">
        <f t="array" ref="I929">IFERROR(INDEX('Player Raw Data'!S:S,Match($A929,'Player Raw Data'!$B:$B,0)),"")</f>
        <v/>
      </c>
      <c r="J929" t="str">
        <f t="array" ref="J929">IFERROR(INDEX('Player Raw Data'!T:T,Match($A929,'Player Raw Data'!$B:$B,0)),"")</f>
        <v/>
      </c>
      <c r="K929" t="str">
        <f t="array" ref="K929">IFERROR(INDEX('Player Raw Data'!X:X,Match($A929,'Player Raw Data'!$B:$B,0)),"")</f>
        <v/>
      </c>
      <c r="L929" t="str">
        <f t="array" ref="L929">IFERROR(INDEX('Player Raw Data'!Y:Y,Match($A929,'Player Raw Data'!$B:$B,0)),"")</f>
        <v/>
      </c>
      <c r="M929" t="str">
        <f t="array" ref="M929">IFERROR(INDEX('Player Raw Data'!Z:Z,Match($A929,'Player Raw Data'!$B:$B,0)),"")</f>
        <v/>
      </c>
      <c r="N929" t="str">
        <f t="array" ref="N929">IFERROR(INDEX('Player Raw Data'!AA:AA,Match($A929,'Player Raw Data'!$B:$B,0)),"")</f>
        <v/>
      </c>
      <c r="O929" t="str">
        <f t="array" ref="O929">IFERROR(INDEX('Player Raw Data'!AB:AB,Match($A929,'Player Raw Data'!$B:$B,0)),"")</f>
        <v/>
      </c>
      <c r="P929" t="str">
        <f t="array" ref="P929">IFERROR(INDEX('Player Raw Data'!AD:AD,Match($A929,'Player Raw Data'!$B:$B,0)),"")</f>
        <v/>
      </c>
      <c r="Q929">
        <f t="shared" si="1"/>
        <v>0</v>
      </c>
      <c r="R929" s="9">
        <f t="shared" si="2"/>
        <v>0</v>
      </c>
      <c r="S929" s="14">
        <f t="shared" si="3"/>
        <v>0</v>
      </c>
      <c r="T929" s="15">
        <f>IFERROR(__xludf.DUMMYFUNCTION("IFERROR(PERCENTRANK.INC(FILTER(Q:Q,$F:$F&lt;&gt;""""),Q929)*100,"""")"),1.5)</f>
        <v>1.5</v>
      </c>
      <c r="U929" s="15">
        <f>IFERROR(__xludf.DUMMYFUNCTION("IFERROR(PERCENTRANK.INC(FILTER(R:R,$F:$F&lt;&gt;""""),R929)*100,"""")"),1.5)</f>
        <v>1.5</v>
      </c>
      <c r="V929" s="15">
        <f>IFERROR(__xludf.DUMMYFUNCTION("IFERROR(PERCENTRANK.INC(FILTER(S:S,$F:$F&lt;&gt;""""),S929)*100,"""")"),1.5)</f>
        <v>1.5</v>
      </c>
      <c r="W929" s="15" t="str">
        <f t="shared" si="4"/>
        <v/>
      </c>
      <c r="X929" s="16"/>
      <c r="Y929" s="9"/>
      <c r="Z929" s="9"/>
    </row>
    <row r="930">
      <c r="B930" t="str">
        <f t="array" ref="B930">IFERROR(INDEX('Player Raw Data'!C:C,Match($A930,'Player Raw Data'!$B:$B,0)),"")</f>
        <v/>
      </c>
      <c r="C930" t="str">
        <f t="array" ref="C930">IFERROR(INDEX('Player Raw Data'!D:D,Match($A930,'Player Raw Data'!$B:$B,0)),"")</f>
        <v/>
      </c>
      <c r="D930" t="str">
        <f t="array" ref="D930">IFERROR(IF(A930=A929, INDEX('Player Raw Data'!E:E,Match($A930,'Player Raw Data'!$B:$B,0)+2),INDEX('Player Raw Data'!E:E,Match($A930,'Player Raw Data'!$B:$B,0))),"")</f>
        <v/>
      </c>
      <c r="E930" t="str">
        <f t="array" ref="E930">IFERROR(INDEX('Player Raw Data'!F:F,Match($A930,'Player Raw Data'!$B:$B,0)),"")</f>
        <v/>
      </c>
      <c r="F930" t="str">
        <f t="array" ref="F930">IFERROR(INDEX('Player Raw Data'!H:H,Match($A930,'Player Raw Data'!$B:$B,0)),"")</f>
        <v/>
      </c>
      <c r="G930" t="str">
        <f t="array" ref="G930">IFERROR(INDEX('Player Raw Data'!I:I,Match($A930,'Player Raw Data'!$B:$B,0)),"")</f>
        <v/>
      </c>
      <c r="H930" t="str">
        <f t="array" ref="H930">IFERROR(INDEX('Player Raw Data'!J:J,Match($A930,'Player Raw Data'!$B:$B,0)),"")</f>
        <v/>
      </c>
      <c r="I930" t="str">
        <f t="array" ref="I930">IFERROR(INDEX('Player Raw Data'!S:S,Match($A930,'Player Raw Data'!$B:$B,0)),"")</f>
        <v/>
      </c>
      <c r="J930" t="str">
        <f t="array" ref="J930">IFERROR(INDEX('Player Raw Data'!T:T,Match($A930,'Player Raw Data'!$B:$B,0)),"")</f>
        <v/>
      </c>
      <c r="K930" t="str">
        <f t="array" ref="K930">IFERROR(INDEX('Player Raw Data'!X:X,Match($A930,'Player Raw Data'!$B:$B,0)),"")</f>
        <v/>
      </c>
      <c r="L930" t="str">
        <f t="array" ref="L930">IFERROR(INDEX('Player Raw Data'!Y:Y,Match($A930,'Player Raw Data'!$B:$B,0)),"")</f>
        <v/>
      </c>
      <c r="M930" t="str">
        <f t="array" ref="M930">IFERROR(INDEX('Player Raw Data'!Z:Z,Match($A930,'Player Raw Data'!$B:$B,0)),"")</f>
        <v/>
      </c>
      <c r="N930" t="str">
        <f t="array" ref="N930">IFERROR(INDEX('Player Raw Data'!AA:AA,Match($A930,'Player Raw Data'!$B:$B,0)),"")</f>
        <v/>
      </c>
      <c r="O930" t="str">
        <f t="array" ref="O930">IFERROR(INDEX('Player Raw Data'!AB:AB,Match($A930,'Player Raw Data'!$B:$B,0)),"")</f>
        <v/>
      </c>
      <c r="P930" t="str">
        <f t="array" ref="P930">IFERROR(INDEX('Player Raw Data'!AD:AD,Match($A930,'Player Raw Data'!$B:$B,0)),"")</f>
        <v/>
      </c>
      <c r="Q930">
        <f t="shared" si="1"/>
        <v>0</v>
      </c>
      <c r="R930" s="9">
        <f t="shared" si="2"/>
        <v>0</v>
      </c>
      <c r="S930" s="14">
        <f t="shared" si="3"/>
        <v>0</v>
      </c>
      <c r="T930" s="15">
        <f>IFERROR(__xludf.DUMMYFUNCTION("IFERROR(PERCENTRANK.INC(FILTER(Q:Q,$F:$F&lt;&gt;""""),Q930)*100,"""")"),1.5)</f>
        <v>1.5</v>
      </c>
      <c r="U930" s="15">
        <f>IFERROR(__xludf.DUMMYFUNCTION("IFERROR(PERCENTRANK.INC(FILTER(R:R,$F:$F&lt;&gt;""""),R930)*100,"""")"),1.5)</f>
        <v>1.5</v>
      </c>
      <c r="V930" s="15">
        <f>IFERROR(__xludf.DUMMYFUNCTION("IFERROR(PERCENTRANK.INC(FILTER(S:S,$F:$F&lt;&gt;""""),S930)*100,"""")"),1.5)</f>
        <v>1.5</v>
      </c>
      <c r="W930" s="15" t="str">
        <f t="shared" si="4"/>
        <v/>
      </c>
      <c r="X930" s="16"/>
      <c r="Y930" s="9"/>
      <c r="Z930" s="9"/>
    </row>
    <row r="931">
      <c r="B931" t="str">
        <f t="array" ref="B931">IFERROR(INDEX('Player Raw Data'!C:C,Match($A931,'Player Raw Data'!$B:$B,0)),"")</f>
        <v/>
      </c>
      <c r="C931" t="str">
        <f t="array" ref="C931">IFERROR(INDEX('Player Raw Data'!D:D,Match($A931,'Player Raw Data'!$B:$B,0)),"")</f>
        <v/>
      </c>
      <c r="D931" t="str">
        <f t="array" ref="D931">IFERROR(IF(A931=A930, INDEX('Player Raw Data'!E:E,Match($A931,'Player Raw Data'!$B:$B,0)+2),INDEX('Player Raw Data'!E:E,Match($A931,'Player Raw Data'!$B:$B,0))),"")</f>
        <v/>
      </c>
      <c r="E931" t="str">
        <f t="array" ref="E931">IFERROR(INDEX('Player Raw Data'!F:F,Match($A931,'Player Raw Data'!$B:$B,0)),"")</f>
        <v/>
      </c>
      <c r="F931" t="str">
        <f t="array" ref="F931">IFERROR(INDEX('Player Raw Data'!H:H,Match($A931,'Player Raw Data'!$B:$B,0)),"")</f>
        <v/>
      </c>
      <c r="G931" t="str">
        <f t="array" ref="G931">IFERROR(INDEX('Player Raw Data'!I:I,Match($A931,'Player Raw Data'!$B:$B,0)),"")</f>
        <v/>
      </c>
      <c r="H931" t="str">
        <f t="array" ref="H931">IFERROR(INDEX('Player Raw Data'!J:J,Match($A931,'Player Raw Data'!$B:$B,0)),"")</f>
        <v/>
      </c>
      <c r="I931" t="str">
        <f t="array" ref="I931">IFERROR(INDEX('Player Raw Data'!S:S,Match($A931,'Player Raw Data'!$B:$B,0)),"")</f>
        <v/>
      </c>
      <c r="J931" t="str">
        <f t="array" ref="J931">IFERROR(INDEX('Player Raw Data'!T:T,Match($A931,'Player Raw Data'!$B:$B,0)),"")</f>
        <v/>
      </c>
      <c r="K931" t="str">
        <f t="array" ref="K931">IFERROR(INDEX('Player Raw Data'!X:X,Match($A931,'Player Raw Data'!$B:$B,0)),"")</f>
        <v/>
      </c>
      <c r="L931" t="str">
        <f t="array" ref="L931">IFERROR(INDEX('Player Raw Data'!Y:Y,Match($A931,'Player Raw Data'!$B:$B,0)),"")</f>
        <v/>
      </c>
      <c r="M931" t="str">
        <f t="array" ref="M931">IFERROR(INDEX('Player Raw Data'!Z:Z,Match($A931,'Player Raw Data'!$B:$B,0)),"")</f>
        <v/>
      </c>
      <c r="N931" t="str">
        <f t="array" ref="N931">IFERROR(INDEX('Player Raw Data'!AA:AA,Match($A931,'Player Raw Data'!$B:$B,0)),"")</f>
        <v/>
      </c>
      <c r="O931" t="str">
        <f t="array" ref="O931">IFERROR(INDEX('Player Raw Data'!AB:AB,Match($A931,'Player Raw Data'!$B:$B,0)),"")</f>
        <v/>
      </c>
      <c r="P931" t="str">
        <f t="array" ref="P931">IFERROR(INDEX('Player Raw Data'!AD:AD,Match($A931,'Player Raw Data'!$B:$B,0)),"")</f>
        <v/>
      </c>
      <c r="Q931">
        <f t="shared" si="1"/>
        <v>0</v>
      </c>
      <c r="R931" s="9">
        <f t="shared" si="2"/>
        <v>0</v>
      </c>
      <c r="S931" s="14">
        <f t="shared" si="3"/>
        <v>0</v>
      </c>
      <c r="T931" s="15">
        <f>IFERROR(__xludf.DUMMYFUNCTION("IFERROR(PERCENTRANK.INC(FILTER(Q:Q,$F:$F&lt;&gt;""""),Q931)*100,"""")"),1.5)</f>
        <v>1.5</v>
      </c>
      <c r="U931" s="15">
        <f>IFERROR(__xludf.DUMMYFUNCTION("IFERROR(PERCENTRANK.INC(FILTER(R:R,$F:$F&lt;&gt;""""),R931)*100,"""")"),1.5)</f>
        <v>1.5</v>
      </c>
      <c r="V931" s="15">
        <f>IFERROR(__xludf.DUMMYFUNCTION("IFERROR(PERCENTRANK.INC(FILTER(S:S,$F:$F&lt;&gt;""""),S931)*100,"""")"),1.5)</f>
        <v>1.5</v>
      </c>
      <c r="W931" s="15" t="str">
        <f t="shared" si="4"/>
        <v/>
      </c>
      <c r="X931" s="16"/>
      <c r="Y931" s="9"/>
      <c r="Z931" s="9"/>
    </row>
    <row r="932">
      <c r="B932" t="str">
        <f t="array" ref="B932">IFERROR(INDEX('Player Raw Data'!C:C,Match($A932,'Player Raw Data'!$B:$B,0)),"")</f>
        <v/>
      </c>
      <c r="C932" t="str">
        <f t="array" ref="C932">IFERROR(INDEX('Player Raw Data'!D:D,Match($A932,'Player Raw Data'!$B:$B,0)),"")</f>
        <v/>
      </c>
      <c r="D932" t="str">
        <f t="array" ref="D932">IFERROR(IF(A932=A931, INDEX('Player Raw Data'!E:E,Match($A932,'Player Raw Data'!$B:$B,0)+2),INDEX('Player Raw Data'!E:E,Match($A932,'Player Raw Data'!$B:$B,0))),"")</f>
        <v/>
      </c>
      <c r="E932" t="str">
        <f t="array" ref="E932">IFERROR(INDEX('Player Raw Data'!F:F,Match($A932,'Player Raw Data'!$B:$B,0)),"")</f>
        <v/>
      </c>
      <c r="F932" t="str">
        <f t="array" ref="F932">IFERROR(INDEX('Player Raw Data'!H:H,Match($A932,'Player Raw Data'!$B:$B,0)),"")</f>
        <v/>
      </c>
      <c r="G932" t="str">
        <f t="array" ref="G932">IFERROR(INDEX('Player Raw Data'!I:I,Match($A932,'Player Raw Data'!$B:$B,0)),"")</f>
        <v/>
      </c>
      <c r="H932" t="str">
        <f t="array" ref="H932">IFERROR(INDEX('Player Raw Data'!J:J,Match($A932,'Player Raw Data'!$B:$B,0)),"")</f>
        <v/>
      </c>
      <c r="I932" t="str">
        <f t="array" ref="I932">IFERROR(INDEX('Player Raw Data'!S:S,Match($A932,'Player Raw Data'!$B:$B,0)),"")</f>
        <v/>
      </c>
      <c r="J932" t="str">
        <f t="array" ref="J932">IFERROR(INDEX('Player Raw Data'!T:T,Match($A932,'Player Raw Data'!$B:$B,0)),"")</f>
        <v/>
      </c>
      <c r="K932" t="str">
        <f t="array" ref="K932">IFERROR(INDEX('Player Raw Data'!X:X,Match($A932,'Player Raw Data'!$B:$B,0)),"")</f>
        <v/>
      </c>
      <c r="L932" t="str">
        <f t="array" ref="L932">IFERROR(INDEX('Player Raw Data'!Y:Y,Match($A932,'Player Raw Data'!$B:$B,0)),"")</f>
        <v/>
      </c>
      <c r="M932" t="str">
        <f t="array" ref="M932">IFERROR(INDEX('Player Raw Data'!Z:Z,Match($A932,'Player Raw Data'!$B:$B,0)),"")</f>
        <v/>
      </c>
      <c r="N932" t="str">
        <f t="array" ref="N932">IFERROR(INDEX('Player Raw Data'!AA:AA,Match($A932,'Player Raw Data'!$B:$B,0)),"")</f>
        <v/>
      </c>
      <c r="O932" t="str">
        <f t="array" ref="O932">IFERROR(INDEX('Player Raw Data'!AB:AB,Match($A932,'Player Raw Data'!$B:$B,0)),"")</f>
        <v/>
      </c>
      <c r="P932" t="str">
        <f t="array" ref="P932">IFERROR(INDEX('Player Raw Data'!AD:AD,Match($A932,'Player Raw Data'!$B:$B,0)),"")</f>
        <v/>
      </c>
      <c r="Q932">
        <f t="shared" si="1"/>
        <v>0</v>
      </c>
      <c r="R932" s="9">
        <f t="shared" si="2"/>
        <v>0</v>
      </c>
      <c r="S932" s="14">
        <f t="shared" si="3"/>
        <v>0</v>
      </c>
      <c r="T932" s="15">
        <f>IFERROR(__xludf.DUMMYFUNCTION("IFERROR(PERCENTRANK.INC(FILTER(Q:Q,$F:$F&lt;&gt;""""),Q932)*100,"""")"),1.5)</f>
        <v>1.5</v>
      </c>
      <c r="U932" s="15">
        <f>IFERROR(__xludf.DUMMYFUNCTION("IFERROR(PERCENTRANK.INC(FILTER(R:R,$F:$F&lt;&gt;""""),R932)*100,"""")"),1.5)</f>
        <v>1.5</v>
      </c>
      <c r="V932" s="15">
        <f>IFERROR(__xludf.DUMMYFUNCTION("IFERROR(PERCENTRANK.INC(FILTER(S:S,$F:$F&lt;&gt;""""),S932)*100,"""")"),1.5)</f>
        <v>1.5</v>
      </c>
      <c r="W932" s="15" t="str">
        <f t="shared" si="4"/>
        <v/>
      </c>
      <c r="X932" s="16"/>
      <c r="Y932" s="9"/>
      <c r="Z932" s="9"/>
    </row>
    <row r="933">
      <c r="B933" t="str">
        <f t="array" ref="B933">IFERROR(INDEX('Player Raw Data'!C:C,Match($A933,'Player Raw Data'!$B:$B,0)),"")</f>
        <v/>
      </c>
      <c r="C933" t="str">
        <f t="array" ref="C933">IFERROR(INDEX('Player Raw Data'!D:D,Match($A933,'Player Raw Data'!$B:$B,0)),"")</f>
        <v/>
      </c>
      <c r="D933" t="str">
        <f t="array" ref="D933">IFERROR(IF(A933=A932, INDEX('Player Raw Data'!E:E,Match($A933,'Player Raw Data'!$B:$B,0)+2),INDEX('Player Raw Data'!E:E,Match($A933,'Player Raw Data'!$B:$B,0))),"")</f>
        <v/>
      </c>
      <c r="E933" t="str">
        <f t="array" ref="E933">IFERROR(INDEX('Player Raw Data'!F:F,Match($A933,'Player Raw Data'!$B:$B,0)),"")</f>
        <v/>
      </c>
      <c r="F933" t="str">
        <f t="array" ref="F933">IFERROR(INDEX('Player Raw Data'!H:H,Match($A933,'Player Raw Data'!$B:$B,0)),"")</f>
        <v/>
      </c>
      <c r="G933" t="str">
        <f t="array" ref="G933">IFERROR(INDEX('Player Raw Data'!I:I,Match($A933,'Player Raw Data'!$B:$B,0)),"")</f>
        <v/>
      </c>
      <c r="H933" t="str">
        <f t="array" ref="H933">IFERROR(INDEX('Player Raw Data'!J:J,Match($A933,'Player Raw Data'!$B:$B,0)),"")</f>
        <v/>
      </c>
      <c r="I933" t="str">
        <f t="array" ref="I933">IFERROR(INDEX('Player Raw Data'!S:S,Match($A933,'Player Raw Data'!$B:$B,0)),"")</f>
        <v/>
      </c>
      <c r="J933" t="str">
        <f t="array" ref="J933">IFERROR(INDEX('Player Raw Data'!T:T,Match($A933,'Player Raw Data'!$B:$B,0)),"")</f>
        <v/>
      </c>
      <c r="K933" t="str">
        <f t="array" ref="K933">IFERROR(INDEX('Player Raw Data'!X:X,Match($A933,'Player Raw Data'!$B:$B,0)),"")</f>
        <v/>
      </c>
      <c r="L933" t="str">
        <f t="array" ref="L933">IFERROR(INDEX('Player Raw Data'!Y:Y,Match($A933,'Player Raw Data'!$B:$B,0)),"")</f>
        <v/>
      </c>
      <c r="M933" t="str">
        <f t="array" ref="M933">IFERROR(INDEX('Player Raw Data'!Z:Z,Match($A933,'Player Raw Data'!$B:$B,0)),"")</f>
        <v/>
      </c>
      <c r="N933" t="str">
        <f t="array" ref="N933">IFERROR(INDEX('Player Raw Data'!AA:AA,Match($A933,'Player Raw Data'!$B:$B,0)),"")</f>
        <v/>
      </c>
      <c r="O933" t="str">
        <f t="array" ref="O933">IFERROR(INDEX('Player Raw Data'!AB:AB,Match($A933,'Player Raw Data'!$B:$B,0)),"")</f>
        <v/>
      </c>
      <c r="P933" t="str">
        <f t="array" ref="P933">IFERROR(INDEX('Player Raw Data'!AD:AD,Match($A933,'Player Raw Data'!$B:$B,0)),"")</f>
        <v/>
      </c>
      <c r="Q933">
        <f t="shared" si="1"/>
        <v>0</v>
      </c>
      <c r="R933" s="9">
        <f t="shared" si="2"/>
        <v>0</v>
      </c>
      <c r="S933" s="14">
        <f t="shared" si="3"/>
        <v>0</v>
      </c>
      <c r="T933" s="15">
        <f>IFERROR(__xludf.DUMMYFUNCTION("IFERROR(PERCENTRANK.INC(FILTER(Q:Q,$F:$F&lt;&gt;""""),Q933)*100,"""")"),1.5)</f>
        <v>1.5</v>
      </c>
      <c r="U933" s="15">
        <f>IFERROR(__xludf.DUMMYFUNCTION("IFERROR(PERCENTRANK.INC(FILTER(R:R,$F:$F&lt;&gt;""""),R933)*100,"""")"),1.5)</f>
        <v>1.5</v>
      </c>
      <c r="V933" s="15">
        <f>IFERROR(__xludf.DUMMYFUNCTION("IFERROR(PERCENTRANK.INC(FILTER(S:S,$F:$F&lt;&gt;""""),S933)*100,"""")"),1.5)</f>
        <v>1.5</v>
      </c>
      <c r="W933" s="15" t="str">
        <f t="shared" si="4"/>
        <v/>
      </c>
      <c r="X933" s="16"/>
      <c r="Y933" s="9"/>
      <c r="Z933" s="9"/>
    </row>
    <row r="934">
      <c r="B934" t="str">
        <f t="array" ref="B934">IFERROR(INDEX('Player Raw Data'!C:C,Match($A934,'Player Raw Data'!$B:$B,0)),"")</f>
        <v/>
      </c>
      <c r="C934" t="str">
        <f t="array" ref="C934">IFERROR(INDEX('Player Raw Data'!D:D,Match($A934,'Player Raw Data'!$B:$B,0)),"")</f>
        <v/>
      </c>
      <c r="D934" t="str">
        <f t="array" ref="D934">IFERROR(IF(A934=A933, INDEX('Player Raw Data'!E:E,Match($A934,'Player Raw Data'!$B:$B,0)+2),INDEX('Player Raw Data'!E:E,Match($A934,'Player Raw Data'!$B:$B,0))),"")</f>
        <v/>
      </c>
      <c r="E934" t="str">
        <f t="array" ref="E934">IFERROR(INDEX('Player Raw Data'!F:F,Match($A934,'Player Raw Data'!$B:$B,0)),"")</f>
        <v/>
      </c>
      <c r="F934" t="str">
        <f t="array" ref="F934">IFERROR(INDEX('Player Raw Data'!H:H,Match($A934,'Player Raw Data'!$B:$B,0)),"")</f>
        <v/>
      </c>
      <c r="G934" t="str">
        <f t="array" ref="G934">IFERROR(INDEX('Player Raw Data'!I:I,Match($A934,'Player Raw Data'!$B:$B,0)),"")</f>
        <v/>
      </c>
      <c r="H934" t="str">
        <f t="array" ref="H934">IFERROR(INDEX('Player Raw Data'!J:J,Match($A934,'Player Raw Data'!$B:$B,0)),"")</f>
        <v/>
      </c>
      <c r="I934" t="str">
        <f t="array" ref="I934">IFERROR(INDEX('Player Raw Data'!S:S,Match($A934,'Player Raw Data'!$B:$B,0)),"")</f>
        <v/>
      </c>
      <c r="J934" t="str">
        <f t="array" ref="J934">IFERROR(INDEX('Player Raw Data'!T:T,Match($A934,'Player Raw Data'!$B:$B,0)),"")</f>
        <v/>
      </c>
      <c r="K934" t="str">
        <f t="array" ref="K934">IFERROR(INDEX('Player Raw Data'!X:X,Match($A934,'Player Raw Data'!$B:$B,0)),"")</f>
        <v/>
      </c>
      <c r="L934" t="str">
        <f t="array" ref="L934">IFERROR(INDEX('Player Raw Data'!Y:Y,Match($A934,'Player Raw Data'!$B:$B,0)),"")</f>
        <v/>
      </c>
      <c r="M934" t="str">
        <f t="array" ref="M934">IFERROR(INDEX('Player Raw Data'!Z:Z,Match($A934,'Player Raw Data'!$B:$B,0)),"")</f>
        <v/>
      </c>
      <c r="N934" t="str">
        <f t="array" ref="N934">IFERROR(INDEX('Player Raw Data'!AA:AA,Match($A934,'Player Raw Data'!$B:$B,0)),"")</f>
        <v/>
      </c>
      <c r="O934" t="str">
        <f t="array" ref="O934">IFERROR(INDEX('Player Raw Data'!AB:AB,Match($A934,'Player Raw Data'!$B:$B,0)),"")</f>
        <v/>
      </c>
      <c r="P934" t="str">
        <f t="array" ref="P934">IFERROR(INDEX('Player Raw Data'!AD:AD,Match($A934,'Player Raw Data'!$B:$B,0)),"")</f>
        <v/>
      </c>
      <c r="Q934">
        <f t="shared" si="1"/>
        <v>0</v>
      </c>
      <c r="R934" s="9">
        <f t="shared" si="2"/>
        <v>0</v>
      </c>
      <c r="S934" s="14">
        <f t="shared" si="3"/>
        <v>0</v>
      </c>
      <c r="T934" s="15">
        <f>IFERROR(__xludf.DUMMYFUNCTION("IFERROR(PERCENTRANK.INC(FILTER(Q:Q,$F:$F&lt;&gt;""""),Q934)*100,"""")"),1.5)</f>
        <v>1.5</v>
      </c>
      <c r="U934" s="15">
        <f>IFERROR(__xludf.DUMMYFUNCTION("IFERROR(PERCENTRANK.INC(FILTER(R:R,$F:$F&lt;&gt;""""),R934)*100,"""")"),1.5)</f>
        <v>1.5</v>
      </c>
      <c r="V934" s="15">
        <f>IFERROR(__xludf.DUMMYFUNCTION("IFERROR(PERCENTRANK.INC(FILTER(S:S,$F:$F&lt;&gt;""""),S934)*100,"""")"),1.5)</f>
        <v>1.5</v>
      </c>
      <c r="W934" s="15" t="str">
        <f t="shared" si="4"/>
        <v/>
      </c>
      <c r="X934" s="16"/>
      <c r="Y934" s="9"/>
      <c r="Z934" s="9"/>
    </row>
    <row r="935">
      <c r="B935" t="str">
        <f t="array" ref="B935">IFERROR(INDEX('Player Raw Data'!C:C,Match($A935,'Player Raw Data'!$B:$B,0)),"")</f>
        <v/>
      </c>
      <c r="C935" t="str">
        <f t="array" ref="C935">IFERROR(INDEX('Player Raw Data'!D:D,Match($A935,'Player Raw Data'!$B:$B,0)),"")</f>
        <v/>
      </c>
      <c r="D935" t="str">
        <f t="array" ref="D935">IFERROR(IF(A935=A934, INDEX('Player Raw Data'!E:E,Match($A935,'Player Raw Data'!$B:$B,0)+2),INDEX('Player Raw Data'!E:E,Match($A935,'Player Raw Data'!$B:$B,0))),"")</f>
        <v/>
      </c>
      <c r="E935" t="str">
        <f t="array" ref="E935">IFERROR(INDEX('Player Raw Data'!F:F,Match($A935,'Player Raw Data'!$B:$B,0)),"")</f>
        <v/>
      </c>
      <c r="F935" t="str">
        <f t="array" ref="F935">IFERROR(INDEX('Player Raw Data'!H:H,Match($A935,'Player Raw Data'!$B:$B,0)),"")</f>
        <v/>
      </c>
      <c r="G935" t="str">
        <f t="array" ref="G935">IFERROR(INDEX('Player Raw Data'!I:I,Match($A935,'Player Raw Data'!$B:$B,0)),"")</f>
        <v/>
      </c>
      <c r="H935" t="str">
        <f t="array" ref="H935">IFERROR(INDEX('Player Raw Data'!J:J,Match($A935,'Player Raw Data'!$B:$B,0)),"")</f>
        <v/>
      </c>
      <c r="I935" t="str">
        <f t="array" ref="I935">IFERROR(INDEX('Player Raw Data'!S:S,Match($A935,'Player Raw Data'!$B:$B,0)),"")</f>
        <v/>
      </c>
      <c r="J935" t="str">
        <f t="array" ref="J935">IFERROR(INDEX('Player Raw Data'!T:T,Match($A935,'Player Raw Data'!$B:$B,0)),"")</f>
        <v/>
      </c>
      <c r="K935" t="str">
        <f t="array" ref="K935">IFERROR(INDEX('Player Raw Data'!X:X,Match($A935,'Player Raw Data'!$B:$B,0)),"")</f>
        <v/>
      </c>
      <c r="L935" t="str">
        <f t="array" ref="L935">IFERROR(INDEX('Player Raw Data'!Y:Y,Match($A935,'Player Raw Data'!$B:$B,0)),"")</f>
        <v/>
      </c>
      <c r="M935" t="str">
        <f t="array" ref="M935">IFERROR(INDEX('Player Raw Data'!Z:Z,Match($A935,'Player Raw Data'!$B:$B,0)),"")</f>
        <v/>
      </c>
      <c r="N935" t="str">
        <f t="array" ref="N935">IFERROR(INDEX('Player Raw Data'!AA:AA,Match($A935,'Player Raw Data'!$B:$B,0)),"")</f>
        <v/>
      </c>
      <c r="O935" t="str">
        <f t="array" ref="O935">IFERROR(INDEX('Player Raw Data'!AB:AB,Match($A935,'Player Raw Data'!$B:$B,0)),"")</f>
        <v/>
      </c>
      <c r="P935" t="str">
        <f t="array" ref="P935">IFERROR(INDEX('Player Raw Data'!AD:AD,Match($A935,'Player Raw Data'!$B:$B,0)),"")</f>
        <v/>
      </c>
      <c r="Q935">
        <f t="shared" si="1"/>
        <v>0</v>
      </c>
      <c r="R935" s="9">
        <f t="shared" si="2"/>
        <v>0</v>
      </c>
      <c r="S935" s="14">
        <f t="shared" si="3"/>
        <v>0</v>
      </c>
      <c r="T935" s="15">
        <f>IFERROR(__xludf.DUMMYFUNCTION("IFERROR(PERCENTRANK.INC(FILTER(Q:Q,$F:$F&lt;&gt;""""),Q935)*100,"""")"),1.5)</f>
        <v>1.5</v>
      </c>
      <c r="U935" s="15">
        <f>IFERROR(__xludf.DUMMYFUNCTION("IFERROR(PERCENTRANK.INC(FILTER(R:R,$F:$F&lt;&gt;""""),R935)*100,"""")"),1.5)</f>
        <v>1.5</v>
      </c>
      <c r="V935" s="15">
        <f>IFERROR(__xludf.DUMMYFUNCTION("IFERROR(PERCENTRANK.INC(FILTER(S:S,$F:$F&lt;&gt;""""),S935)*100,"""")"),1.5)</f>
        <v>1.5</v>
      </c>
      <c r="W935" s="15" t="str">
        <f t="shared" si="4"/>
        <v/>
      </c>
      <c r="X935" s="16"/>
      <c r="Y935" s="9"/>
      <c r="Z935" s="9"/>
    </row>
    <row r="936">
      <c r="B936" t="str">
        <f t="array" ref="B936">IFERROR(INDEX('Player Raw Data'!C:C,Match($A936,'Player Raw Data'!$B:$B,0)),"")</f>
        <v/>
      </c>
      <c r="C936" t="str">
        <f t="array" ref="C936">IFERROR(INDEX('Player Raw Data'!D:D,Match($A936,'Player Raw Data'!$B:$B,0)),"")</f>
        <v/>
      </c>
      <c r="D936" t="str">
        <f t="array" ref="D936">IFERROR(IF(A936=A935, INDEX('Player Raw Data'!E:E,Match($A936,'Player Raw Data'!$B:$B,0)+2),INDEX('Player Raw Data'!E:E,Match($A936,'Player Raw Data'!$B:$B,0))),"")</f>
        <v/>
      </c>
      <c r="E936" t="str">
        <f t="array" ref="E936">IFERROR(INDEX('Player Raw Data'!F:F,Match($A936,'Player Raw Data'!$B:$B,0)),"")</f>
        <v/>
      </c>
      <c r="F936" t="str">
        <f t="array" ref="F936">IFERROR(INDEX('Player Raw Data'!H:H,Match($A936,'Player Raw Data'!$B:$B,0)),"")</f>
        <v/>
      </c>
      <c r="G936" t="str">
        <f t="array" ref="G936">IFERROR(INDEX('Player Raw Data'!I:I,Match($A936,'Player Raw Data'!$B:$B,0)),"")</f>
        <v/>
      </c>
      <c r="H936" t="str">
        <f t="array" ref="H936">IFERROR(INDEX('Player Raw Data'!J:J,Match($A936,'Player Raw Data'!$B:$B,0)),"")</f>
        <v/>
      </c>
      <c r="I936" t="str">
        <f t="array" ref="I936">IFERROR(INDEX('Player Raw Data'!S:S,Match($A936,'Player Raw Data'!$B:$B,0)),"")</f>
        <v/>
      </c>
      <c r="J936" t="str">
        <f t="array" ref="J936">IFERROR(INDEX('Player Raw Data'!T:T,Match($A936,'Player Raw Data'!$B:$B,0)),"")</f>
        <v/>
      </c>
      <c r="K936" t="str">
        <f t="array" ref="K936">IFERROR(INDEX('Player Raw Data'!X:X,Match($A936,'Player Raw Data'!$B:$B,0)),"")</f>
        <v/>
      </c>
      <c r="L936" t="str">
        <f t="array" ref="L936">IFERROR(INDEX('Player Raw Data'!Y:Y,Match($A936,'Player Raw Data'!$B:$B,0)),"")</f>
        <v/>
      </c>
      <c r="M936" t="str">
        <f t="array" ref="M936">IFERROR(INDEX('Player Raw Data'!Z:Z,Match($A936,'Player Raw Data'!$B:$B,0)),"")</f>
        <v/>
      </c>
      <c r="N936" t="str">
        <f t="array" ref="N936">IFERROR(INDEX('Player Raw Data'!AA:AA,Match($A936,'Player Raw Data'!$B:$B,0)),"")</f>
        <v/>
      </c>
      <c r="O936" t="str">
        <f t="array" ref="O936">IFERROR(INDEX('Player Raw Data'!AB:AB,Match($A936,'Player Raw Data'!$B:$B,0)),"")</f>
        <v/>
      </c>
      <c r="P936" t="str">
        <f t="array" ref="P936">IFERROR(INDEX('Player Raw Data'!AD:AD,Match($A936,'Player Raw Data'!$B:$B,0)),"")</f>
        <v/>
      </c>
      <c r="Q936">
        <f t="shared" si="1"/>
        <v>0</v>
      </c>
      <c r="R936" s="9">
        <f t="shared" si="2"/>
        <v>0</v>
      </c>
      <c r="S936" s="14">
        <f t="shared" si="3"/>
        <v>0</v>
      </c>
      <c r="T936" s="15">
        <f>IFERROR(__xludf.DUMMYFUNCTION("IFERROR(PERCENTRANK.INC(FILTER(Q:Q,$F:$F&lt;&gt;""""),Q936)*100,"""")"),1.5)</f>
        <v>1.5</v>
      </c>
      <c r="U936" s="15">
        <f>IFERROR(__xludf.DUMMYFUNCTION("IFERROR(PERCENTRANK.INC(FILTER(R:R,$F:$F&lt;&gt;""""),R936)*100,"""")"),1.5)</f>
        <v>1.5</v>
      </c>
      <c r="V936" s="15">
        <f>IFERROR(__xludf.DUMMYFUNCTION("IFERROR(PERCENTRANK.INC(FILTER(S:S,$F:$F&lt;&gt;""""),S936)*100,"""")"),1.5)</f>
        <v>1.5</v>
      </c>
      <c r="W936" s="15" t="str">
        <f t="shared" si="4"/>
        <v/>
      </c>
      <c r="X936" s="16"/>
      <c r="Y936" s="9"/>
      <c r="Z936" s="9"/>
    </row>
    <row r="937">
      <c r="B937" t="str">
        <f t="array" ref="B937">IFERROR(INDEX('Player Raw Data'!C:C,Match($A937,'Player Raw Data'!$B:$B,0)),"")</f>
        <v/>
      </c>
      <c r="C937" t="str">
        <f t="array" ref="C937">IFERROR(INDEX('Player Raw Data'!D:D,Match($A937,'Player Raw Data'!$B:$B,0)),"")</f>
        <v/>
      </c>
      <c r="D937" t="str">
        <f t="array" ref="D937">IFERROR(IF(A937=A936, INDEX('Player Raw Data'!E:E,Match($A937,'Player Raw Data'!$B:$B,0)+2),INDEX('Player Raw Data'!E:E,Match($A937,'Player Raw Data'!$B:$B,0))),"")</f>
        <v/>
      </c>
      <c r="E937" t="str">
        <f t="array" ref="E937">IFERROR(INDEX('Player Raw Data'!F:F,Match($A937,'Player Raw Data'!$B:$B,0)),"")</f>
        <v/>
      </c>
      <c r="F937" t="str">
        <f t="array" ref="F937">IFERROR(INDEX('Player Raw Data'!H:H,Match($A937,'Player Raw Data'!$B:$B,0)),"")</f>
        <v/>
      </c>
      <c r="G937" t="str">
        <f t="array" ref="G937">IFERROR(INDEX('Player Raw Data'!I:I,Match($A937,'Player Raw Data'!$B:$B,0)),"")</f>
        <v/>
      </c>
      <c r="H937" t="str">
        <f t="array" ref="H937">IFERROR(INDEX('Player Raw Data'!J:J,Match($A937,'Player Raw Data'!$B:$B,0)),"")</f>
        <v/>
      </c>
      <c r="I937" t="str">
        <f t="array" ref="I937">IFERROR(INDEX('Player Raw Data'!S:S,Match($A937,'Player Raw Data'!$B:$B,0)),"")</f>
        <v/>
      </c>
      <c r="J937" t="str">
        <f t="array" ref="J937">IFERROR(INDEX('Player Raw Data'!T:T,Match($A937,'Player Raw Data'!$B:$B,0)),"")</f>
        <v/>
      </c>
      <c r="K937" t="str">
        <f t="array" ref="K937">IFERROR(INDEX('Player Raw Data'!X:X,Match($A937,'Player Raw Data'!$B:$B,0)),"")</f>
        <v/>
      </c>
      <c r="L937" t="str">
        <f t="array" ref="L937">IFERROR(INDEX('Player Raw Data'!Y:Y,Match($A937,'Player Raw Data'!$B:$B,0)),"")</f>
        <v/>
      </c>
      <c r="M937" t="str">
        <f t="array" ref="M937">IFERROR(INDEX('Player Raw Data'!Z:Z,Match($A937,'Player Raw Data'!$B:$B,0)),"")</f>
        <v/>
      </c>
      <c r="N937" t="str">
        <f t="array" ref="N937">IFERROR(INDEX('Player Raw Data'!AA:AA,Match($A937,'Player Raw Data'!$B:$B,0)),"")</f>
        <v/>
      </c>
      <c r="O937" t="str">
        <f t="array" ref="O937">IFERROR(INDEX('Player Raw Data'!AB:AB,Match($A937,'Player Raw Data'!$B:$B,0)),"")</f>
        <v/>
      </c>
      <c r="P937" t="str">
        <f t="array" ref="P937">IFERROR(INDEX('Player Raw Data'!AD:AD,Match($A937,'Player Raw Data'!$B:$B,0)),"")</f>
        <v/>
      </c>
      <c r="Q937">
        <f t="shared" si="1"/>
        <v>0</v>
      </c>
      <c r="R937" s="9">
        <f t="shared" si="2"/>
        <v>0</v>
      </c>
      <c r="S937" s="14">
        <f t="shared" si="3"/>
        <v>0</v>
      </c>
      <c r="T937" s="15">
        <f>IFERROR(__xludf.DUMMYFUNCTION("IFERROR(PERCENTRANK.INC(FILTER(Q:Q,$F:$F&lt;&gt;""""),Q937)*100,"""")"),1.5)</f>
        <v>1.5</v>
      </c>
      <c r="U937" s="15">
        <f>IFERROR(__xludf.DUMMYFUNCTION("IFERROR(PERCENTRANK.INC(FILTER(R:R,$F:$F&lt;&gt;""""),R937)*100,"""")"),1.5)</f>
        <v>1.5</v>
      </c>
      <c r="V937" s="15">
        <f>IFERROR(__xludf.DUMMYFUNCTION("IFERROR(PERCENTRANK.INC(FILTER(S:S,$F:$F&lt;&gt;""""),S937)*100,"""")"),1.5)</f>
        <v>1.5</v>
      </c>
      <c r="W937" s="15" t="str">
        <f t="shared" si="4"/>
        <v/>
      </c>
      <c r="X937" s="16"/>
      <c r="Y937" s="9"/>
      <c r="Z937" s="9"/>
    </row>
    <row r="938">
      <c r="B938" t="str">
        <f t="array" ref="B938">IFERROR(INDEX('Player Raw Data'!C:C,Match($A938,'Player Raw Data'!$B:$B,0)),"")</f>
        <v/>
      </c>
      <c r="C938" t="str">
        <f t="array" ref="C938">IFERROR(INDEX('Player Raw Data'!D:D,Match($A938,'Player Raw Data'!$B:$B,0)),"")</f>
        <v/>
      </c>
      <c r="D938" t="str">
        <f t="array" ref="D938">IFERROR(IF(A938=A937, INDEX('Player Raw Data'!E:E,Match($A938,'Player Raw Data'!$B:$B,0)+2),INDEX('Player Raw Data'!E:E,Match($A938,'Player Raw Data'!$B:$B,0))),"")</f>
        <v/>
      </c>
      <c r="E938" t="str">
        <f t="array" ref="E938">IFERROR(INDEX('Player Raw Data'!F:F,Match($A938,'Player Raw Data'!$B:$B,0)),"")</f>
        <v/>
      </c>
      <c r="F938" t="str">
        <f t="array" ref="F938">IFERROR(INDEX('Player Raw Data'!H:H,Match($A938,'Player Raw Data'!$B:$B,0)),"")</f>
        <v/>
      </c>
      <c r="G938" t="str">
        <f t="array" ref="G938">IFERROR(INDEX('Player Raw Data'!I:I,Match($A938,'Player Raw Data'!$B:$B,0)),"")</f>
        <v/>
      </c>
      <c r="H938" t="str">
        <f t="array" ref="H938">IFERROR(INDEX('Player Raw Data'!J:J,Match($A938,'Player Raw Data'!$B:$B,0)),"")</f>
        <v/>
      </c>
      <c r="I938" t="str">
        <f t="array" ref="I938">IFERROR(INDEX('Player Raw Data'!S:S,Match($A938,'Player Raw Data'!$B:$B,0)),"")</f>
        <v/>
      </c>
      <c r="J938" t="str">
        <f t="array" ref="J938">IFERROR(INDEX('Player Raw Data'!T:T,Match($A938,'Player Raw Data'!$B:$B,0)),"")</f>
        <v/>
      </c>
      <c r="K938" t="str">
        <f t="array" ref="K938">IFERROR(INDEX('Player Raw Data'!X:X,Match($A938,'Player Raw Data'!$B:$B,0)),"")</f>
        <v/>
      </c>
      <c r="L938" t="str">
        <f t="array" ref="L938">IFERROR(INDEX('Player Raw Data'!Y:Y,Match($A938,'Player Raw Data'!$B:$B,0)),"")</f>
        <v/>
      </c>
      <c r="M938" t="str">
        <f t="array" ref="M938">IFERROR(INDEX('Player Raw Data'!Z:Z,Match($A938,'Player Raw Data'!$B:$B,0)),"")</f>
        <v/>
      </c>
      <c r="N938" t="str">
        <f t="array" ref="N938">IFERROR(INDEX('Player Raw Data'!AA:AA,Match($A938,'Player Raw Data'!$B:$B,0)),"")</f>
        <v/>
      </c>
      <c r="O938" t="str">
        <f t="array" ref="O938">IFERROR(INDEX('Player Raw Data'!AB:AB,Match($A938,'Player Raw Data'!$B:$B,0)),"")</f>
        <v/>
      </c>
      <c r="P938" t="str">
        <f t="array" ref="P938">IFERROR(INDEX('Player Raw Data'!AD:AD,Match($A938,'Player Raw Data'!$B:$B,0)),"")</f>
        <v/>
      </c>
      <c r="Q938">
        <f t="shared" si="1"/>
        <v>0</v>
      </c>
      <c r="R938" s="9">
        <f t="shared" si="2"/>
        <v>0</v>
      </c>
      <c r="S938" s="14">
        <f t="shared" si="3"/>
        <v>0</v>
      </c>
      <c r="T938" s="15">
        <f>IFERROR(__xludf.DUMMYFUNCTION("IFERROR(PERCENTRANK.INC(FILTER(Q:Q,$F:$F&lt;&gt;""""),Q938)*100,"""")"),1.5)</f>
        <v>1.5</v>
      </c>
      <c r="U938" s="15">
        <f>IFERROR(__xludf.DUMMYFUNCTION("IFERROR(PERCENTRANK.INC(FILTER(R:R,$F:$F&lt;&gt;""""),R938)*100,"""")"),1.5)</f>
        <v>1.5</v>
      </c>
      <c r="V938" s="15">
        <f>IFERROR(__xludf.DUMMYFUNCTION("IFERROR(PERCENTRANK.INC(FILTER(S:S,$F:$F&lt;&gt;""""),S938)*100,"""")"),1.5)</f>
        <v>1.5</v>
      </c>
      <c r="W938" s="15" t="str">
        <f t="shared" si="4"/>
        <v/>
      </c>
      <c r="X938" s="16"/>
      <c r="Y938" s="9"/>
      <c r="Z938" s="9"/>
    </row>
    <row r="939">
      <c r="B939" t="str">
        <f t="array" ref="B939">IFERROR(INDEX('Player Raw Data'!C:C,Match($A939,'Player Raw Data'!$B:$B,0)),"")</f>
        <v/>
      </c>
      <c r="C939" t="str">
        <f t="array" ref="C939">IFERROR(INDEX('Player Raw Data'!D:D,Match($A939,'Player Raw Data'!$B:$B,0)),"")</f>
        <v/>
      </c>
      <c r="D939" t="str">
        <f t="array" ref="D939">IFERROR(IF(A939=A938, INDEX('Player Raw Data'!E:E,Match($A939,'Player Raw Data'!$B:$B,0)+2),INDEX('Player Raw Data'!E:E,Match($A939,'Player Raw Data'!$B:$B,0))),"")</f>
        <v/>
      </c>
      <c r="E939" t="str">
        <f t="array" ref="E939">IFERROR(INDEX('Player Raw Data'!F:F,Match($A939,'Player Raw Data'!$B:$B,0)),"")</f>
        <v/>
      </c>
      <c r="F939" t="str">
        <f t="array" ref="F939">IFERROR(INDEX('Player Raw Data'!H:H,Match($A939,'Player Raw Data'!$B:$B,0)),"")</f>
        <v/>
      </c>
      <c r="G939" t="str">
        <f t="array" ref="G939">IFERROR(INDEX('Player Raw Data'!I:I,Match($A939,'Player Raw Data'!$B:$B,0)),"")</f>
        <v/>
      </c>
      <c r="H939" t="str">
        <f t="array" ref="H939">IFERROR(INDEX('Player Raw Data'!J:J,Match($A939,'Player Raw Data'!$B:$B,0)),"")</f>
        <v/>
      </c>
      <c r="I939" t="str">
        <f t="array" ref="I939">IFERROR(INDEX('Player Raw Data'!S:S,Match($A939,'Player Raw Data'!$B:$B,0)),"")</f>
        <v/>
      </c>
      <c r="J939" t="str">
        <f t="array" ref="J939">IFERROR(INDEX('Player Raw Data'!T:T,Match($A939,'Player Raw Data'!$B:$B,0)),"")</f>
        <v/>
      </c>
      <c r="K939" t="str">
        <f t="array" ref="K939">IFERROR(INDEX('Player Raw Data'!X:X,Match($A939,'Player Raw Data'!$B:$B,0)),"")</f>
        <v/>
      </c>
      <c r="L939" t="str">
        <f t="array" ref="L939">IFERROR(INDEX('Player Raw Data'!Y:Y,Match($A939,'Player Raw Data'!$B:$B,0)),"")</f>
        <v/>
      </c>
      <c r="M939" t="str">
        <f t="array" ref="M939">IFERROR(INDEX('Player Raw Data'!Z:Z,Match($A939,'Player Raw Data'!$B:$B,0)),"")</f>
        <v/>
      </c>
      <c r="N939" t="str">
        <f t="array" ref="N939">IFERROR(INDEX('Player Raw Data'!AA:AA,Match($A939,'Player Raw Data'!$B:$B,0)),"")</f>
        <v/>
      </c>
      <c r="O939" t="str">
        <f t="array" ref="O939">IFERROR(INDEX('Player Raw Data'!AB:AB,Match($A939,'Player Raw Data'!$B:$B,0)),"")</f>
        <v/>
      </c>
      <c r="P939" t="str">
        <f t="array" ref="P939">IFERROR(INDEX('Player Raw Data'!AD:AD,Match($A939,'Player Raw Data'!$B:$B,0)),"")</f>
        <v/>
      </c>
      <c r="Q939">
        <f t="shared" si="1"/>
        <v>0</v>
      </c>
      <c r="R939" s="9">
        <f t="shared" si="2"/>
        <v>0</v>
      </c>
      <c r="S939" s="14">
        <f t="shared" si="3"/>
        <v>0</v>
      </c>
      <c r="T939" s="15">
        <f>IFERROR(__xludf.DUMMYFUNCTION("IFERROR(PERCENTRANK.INC(FILTER(Q:Q,$F:$F&lt;&gt;""""),Q939)*100,"""")"),1.5)</f>
        <v>1.5</v>
      </c>
      <c r="U939" s="15">
        <f>IFERROR(__xludf.DUMMYFUNCTION("IFERROR(PERCENTRANK.INC(FILTER(R:R,$F:$F&lt;&gt;""""),R939)*100,"""")"),1.5)</f>
        <v>1.5</v>
      </c>
      <c r="V939" s="15">
        <f>IFERROR(__xludf.DUMMYFUNCTION("IFERROR(PERCENTRANK.INC(FILTER(S:S,$F:$F&lt;&gt;""""),S939)*100,"""")"),1.5)</f>
        <v>1.5</v>
      </c>
      <c r="W939" s="15" t="str">
        <f t="shared" si="4"/>
        <v/>
      </c>
      <c r="X939" s="16"/>
      <c r="Y939" s="9"/>
      <c r="Z939" s="9"/>
    </row>
    <row r="940">
      <c r="B940" t="str">
        <f t="array" ref="B940">IFERROR(INDEX('Player Raw Data'!C:C,Match($A940,'Player Raw Data'!$B:$B,0)),"")</f>
        <v/>
      </c>
      <c r="C940" t="str">
        <f t="array" ref="C940">IFERROR(INDEX('Player Raw Data'!D:D,Match($A940,'Player Raw Data'!$B:$B,0)),"")</f>
        <v/>
      </c>
      <c r="D940" t="str">
        <f t="array" ref="D940">IFERROR(IF(A940=A939, INDEX('Player Raw Data'!E:E,Match($A940,'Player Raw Data'!$B:$B,0)+2),INDEX('Player Raw Data'!E:E,Match($A940,'Player Raw Data'!$B:$B,0))),"")</f>
        <v/>
      </c>
      <c r="E940" t="str">
        <f t="array" ref="E940">IFERROR(INDEX('Player Raw Data'!F:F,Match($A940,'Player Raw Data'!$B:$B,0)),"")</f>
        <v/>
      </c>
      <c r="F940" t="str">
        <f t="array" ref="F940">IFERROR(INDEX('Player Raw Data'!H:H,Match($A940,'Player Raw Data'!$B:$B,0)),"")</f>
        <v/>
      </c>
      <c r="G940" t="str">
        <f t="array" ref="G940">IFERROR(INDEX('Player Raw Data'!I:I,Match($A940,'Player Raw Data'!$B:$B,0)),"")</f>
        <v/>
      </c>
      <c r="H940" t="str">
        <f t="array" ref="H940">IFERROR(INDEX('Player Raw Data'!J:J,Match($A940,'Player Raw Data'!$B:$B,0)),"")</f>
        <v/>
      </c>
      <c r="I940" t="str">
        <f t="array" ref="I940">IFERROR(INDEX('Player Raw Data'!S:S,Match($A940,'Player Raw Data'!$B:$B,0)),"")</f>
        <v/>
      </c>
      <c r="J940" t="str">
        <f t="array" ref="J940">IFERROR(INDEX('Player Raw Data'!T:T,Match($A940,'Player Raw Data'!$B:$B,0)),"")</f>
        <v/>
      </c>
      <c r="K940" t="str">
        <f t="array" ref="K940">IFERROR(INDEX('Player Raw Data'!X:X,Match($A940,'Player Raw Data'!$B:$B,0)),"")</f>
        <v/>
      </c>
      <c r="L940" t="str">
        <f t="array" ref="L940">IFERROR(INDEX('Player Raw Data'!Y:Y,Match($A940,'Player Raw Data'!$B:$B,0)),"")</f>
        <v/>
      </c>
      <c r="M940" t="str">
        <f t="array" ref="M940">IFERROR(INDEX('Player Raw Data'!Z:Z,Match($A940,'Player Raw Data'!$B:$B,0)),"")</f>
        <v/>
      </c>
      <c r="N940" t="str">
        <f t="array" ref="N940">IFERROR(INDEX('Player Raw Data'!AA:AA,Match($A940,'Player Raw Data'!$B:$B,0)),"")</f>
        <v/>
      </c>
      <c r="O940" t="str">
        <f t="array" ref="O940">IFERROR(INDEX('Player Raw Data'!AB:AB,Match($A940,'Player Raw Data'!$B:$B,0)),"")</f>
        <v/>
      </c>
      <c r="P940" t="str">
        <f t="array" ref="P940">IFERROR(INDEX('Player Raw Data'!AD:AD,Match($A940,'Player Raw Data'!$B:$B,0)),"")</f>
        <v/>
      </c>
      <c r="Q940">
        <f t="shared" si="1"/>
        <v>0</v>
      </c>
      <c r="R940" s="9">
        <f t="shared" si="2"/>
        <v>0</v>
      </c>
      <c r="S940" s="14">
        <f t="shared" si="3"/>
        <v>0</v>
      </c>
      <c r="T940" s="15">
        <f>IFERROR(__xludf.DUMMYFUNCTION("IFERROR(PERCENTRANK.INC(FILTER(Q:Q,$F:$F&lt;&gt;""""),Q940)*100,"""")"),1.5)</f>
        <v>1.5</v>
      </c>
      <c r="U940" s="15">
        <f>IFERROR(__xludf.DUMMYFUNCTION("IFERROR(PERCENTRANK.INC(FILTER(R:R,$F:$F&lt;&gt;""""),R940)*100,"""")"),1.5)</f>
        <v>1.5</v>
      </c>
      <c r="V940" s="15">
        <f>IFERROR(__xludf.DUMMYFUNCTION("IFERROR(PERCENTRANK.INC(FILTER(S:S,$F:$F&lt;&gt;""""),S940)*100,"""")"),1.5)</f>
        <v>1.5</v>
      </c>
      <c r="W940" s="15" t="str">
        <f t="shared" si="4"/>
        <v/>
      </c>
      <c r="X940" s="16"/>
      <c r="Y940" s="9"/>
      <c r="Z940" s="9"/>
    </row>
    <row r="941">
      <c r="B941" t="str">
        <f t="array" ref="B941">IFERROR(INDEX('Player Raw Data'!C:C,Match($A941,'Player Raw Data'!$B:$B,0)),"")</f>
        <v/>
      </c>
      <c r="C941" t="str">
        <f t="array" ref="C941">IFERROR(INDEX('Player Raw Data'!D:D,Match($A941,'Player Raw Data'!$B:$B,0)),"")</f>
        <v/>
      </c>
      <c r="D941" t="str">
        <f t="array" ref="D941">IFERROR(IF(A941=A940, INDEX('Player Raw Data'!E:E,Match($A941,'Player Raw Data'!$B:$B,0)+2),INDEX('Player Raw Data'!E:E,Match($A941,'Player Raw Data'!$B:$B,0))),"")</f>
        <v/>
      </c>
      <c r="E941" t="str">
        <f t="array" ref="E941">IFERROR(INDEX('Player Raw Data'!F:F,Match($A941,'Player Raw Data'!$B:$B,0)),"")</f>
        <v/>
      </c>
      <c r="F941" t="str">
        <f t="array" ref="F941">IFERROR(INDEX('Player Raw Data'!H:H,Match($A941,'Player Raw Data'!$B:$B,0)),"")</f>
        <v/>
      </c>
      <c r="G941" t="str">
        <f t="array" ref="G941">IFERROR(INDEX('Player Raw Data'!I:I,Match($A941,'Player Raw Data'!$B:$B,0)),"")</f>
        <v/>
      </c>
      <c r="H941" t="str">
        <f t="array" ref="H941">IFERROR(INDEX('Player Raw Data'!J:J,Match($A941,'Player Raw Data'!$B:$B,0)),"")</f>
        <v/>
      </c>
      <c r="I941" t="str">
        <f t="array" ref="I941">IFERROR(INDEX('Player Raw Data'!S:S,Match($A941,'Player Raw Data'!$B:$B,0)),"")</f>
        <v/>
      </c>
      <c r="J941" t="str">
        <f t="array" ref="J941">IFERROR(INDEX('Player Raw Data'!T:T,Match($A941,'Player Raw Data'!$B:$B,0)),"")</f>
        <v/>
      </c>
      <c r="K941" t="str">
        <f t="array" ref="K941">IFERROR(INDEX('Player Raw Data'!X:X,Match($A941,'Player Raw Data'!$B:$B,0)),"")</f>
        <v/>
      </c>
      <c r="L941" t="str">
        <f t="array" ref="L941">IFERROR(INDEX('Player Raw Data'!Y:Y,Match($A941,'Player Raw Data'!$B:$B,0)),"")</f>
        <v/>
      </c>
      <c r="M941" t="str">
        <f t="array" ref="M941">IFERROR(INDEX('Player Raw Data'!Z:Z,Match($A941,'Player Raw Data'!$B:$B,0)),"")</f>
        <v/>
      </c>
      <c r="N941" t="str">
        <f t="array" ref="N941">IFERROR(INDEX('Player Raw Data'!AA:AA,Match($A941,'Player Raw Data'!$B:$B,0)),"")</f>
        <v/>
      </c>
      <c r="O941" t="str">
        <f t="array" ref="O941">IFERROR(INDEX('Player Raw Data'!AB:AB,Match($A941,'Player Raw Data'!$B:$B,0)),"")</f>
        <v/>
      </c>
      <c r="P941" t="str">
        <f t="array" ref="P941">IFERROR(INDEX('Player Raw Data'!AD:AD,Match($A941,'Player Raw Data'!$B:$B,0)),"")</f>
        <v/>
      </c>
      <c r="Q941">
        <f t="shared" si="1"/>
        <v>0</v>
      </c>
      <c r="R941" s="9">
        <f t="shared" si="2"/>
        <v>0</v>
      </c>
      <c r="S941" s="14">
        <f t="shared" si="3"/>
        <v>0</v>
      </c>
      <c r="T941" s="15">
        <f>IFERROR(__xludf.DUMMYFUNCTION("IFERROR(PERCENTRANK.INC(FILTER(Q:Q,$F:$F&lt;&gt;""""),Q941)*100,"""")"),1.5)</f>
        <v>1.5</v>
      </c>
      <c r="U941" s="15">
        <f>IFERROR(__xludf.DUMMYFUNCTION("IFERROR(PERCENTRANK.INC(FILTER(R:R,$F:$F&lt;&gt;""""),R941)*100,"""")"),1.5)</f>
        <v>1.5</v>
      </c>
      <c r="V941" s="15">
        <f>IFERROR(__xludf.DUMMYFUNCTION("IFERROR(PERCENTRANK.INC(FILTER(S:S,$F:$F&lt;&gt;""""),S941)*100,"""")"),1.5)</f>
        <v>1.5</v>
      </c>
      <c r="W941" s="15" t="str">
        <f t="shared" si="4"/>
        <v/>
      </c>
      <c r="X941" s="16"/>
      <c r="Y941" s="9"/>
      <c r="Z941" s="9"/>
    </row>
    <row r="942">
      <c r="B942" t="str">
        <f t="array" ref="B942">IFERROR(INDEX('Player Raw Data'!C:C,Match($A942,'Player Raw Data'!$B:$B,0)),"")</f>
        <v/>
      </c>
      <c r="C942" t="str">
        <f t="array" ref="C942">IFERROR(INDEX('Player Raw Data'!D:D,Match($A942,'Player Raw Data'!$B:$B,0)),"")</f>
        <v/>
      </c>
      <c r="D942" t="str">
        <f t="array" ref="D942">IFERROR(IF(A942=A941, INDEX('Player Raw Data'!E:E,Match($A942,'Player Raw Data'!$B:$B,0)+2),INDEX('Player Raw Data'!E:E,Match($A942,'Player Raw Data'!$B:$B,0))),"")</f>
        <v/>
      </c>
      <c r="E942" t="str">
        <f t="array" ref="E942">IFERROR(INDEX('Player Raw Data'!F:F,Match($A942,'Player Raw Data'!$B:$B,0)),"")</f>
        <v/>
      </c>
      <c r="F942" t="str">
        <f t="array" ref="F942">IFERROR(INDEX('Player Raw Data'!H:H,Match($A942,'Player Raw Data'!$B:$B,0)),"")</f>
        <v/>
      </c>
      <c r="G942" t="str">
        <f t="array" ref="G942">IFERROR(INDEX('Player Raw Data'!I:I,Match($A942,'Player Raw Data'!$B:$B,0)),"")</f>
        <v/>
      </c>
      <c r="H942" t="str">
        <f t="array" ref="H942">IFERROR(INDEX('Player Raw Data'!J:J,Match($A942,'Player Raw Data'!$B:$B,0)),"")</f>
        <v/>
      </c>
      <c r="I942" t="str">
        <f t="array" ref="I942">IFERROR(INDEX('Player Raw Data'!S:S,Match($A942,'Player Raw Data'!$B:$B,0)),"")</f>
        <v/>
      </c>
      <c r="J942" t="str">
        <f t="array" ref="J942">IFERROR(INDEX('Player Raw Data'!T:T,Match($A942,'Player Raw Data'!$B:$B,0)),"")</f>
        <v/>
      </c>
      <c r="K942" t="str">
        <f t="array" ref="K942">IFERROR(INDEX('Player Raw Data'!X:X,Match($A942,'Player Raw Data'!$B:$B,0)),"")</f>
        <v/>
      </c>
      <c r="L942" t="str">
        <f t="array" ref="L942">IFERROR(INDEX('Player Raw Data'!Y:Y,Match($A942,'Player Raw Data'!$B:$B,0)),"")</f>
        <v/>
      </c>
      <c r="M942" t="str">
        <f t="array" ref="M942">IFERROR(INDEX('Player Raw Data'!Z:Z,Match($A942,'Player Raw Data'!$B:$B,0)),"")</f>
        <v/>
      </c>
      <c r="N942" t="str">
        <f t="array" ref="N942">IFERROR(INDEX('Player Raw Data'!AA:AA,Match($A942,'Player Raw Data'!$B:$B,0)),"")</f>
        <v/>
      </c>
      <c r="O942" t="str">
        <f t="array" ref="O942">IFERROR(INDEX('Player Raw Data'!AB:AB,Match($A942,'Player Raw Data'!$B:$B,0)),"")</f>
        <v/>
      </c>
      <c r="P942" t="str">
        <f t="array" ref="P942">IFERROR(INDEX('Player Raw Data'!AD:AD,Match($A942,'Player Raw Data'!$B:$B,0)),"")</f>
        <v/>
      </c>
      <c r="Q942">
        <f t="shared" si="1"/>
        <v>0</v>
      </c>
      <c r="R942" s="9">
        <f t="shared" si="2"/>
        <v>0</v>
      </c>
      <c r="S942" s="14">
        <f t="shared" si="3"/>
        <v>0</v>
      </c>
      <c r="T942" s="15">
        <f>IFERROR(__xludf.DUMMYFUNCTION("IFERROR(PERCENTRANK.INC(FILTER(Q:Q,$F:$F&lt;&gt;""""),Q942)*100,"""")"),1.5)</f>
        <v>1.5</v>
      </c>
      <c r="U942" s="15">
        <f>IFERROR(__xludf.DUMMYFUNCTION("IFERROR(PERCENTRANK.INC(FILTER(R:R,$F:$F&lt;&gt;""""),R942)*100,"""")"),1.5)</f>
        <v>1.5</v>
      </c>
      <c r="V942" s="15">
        <f>IFERROR(__xludf.DUMMYFUNCTION("IFERROR(PERCENTRANK.INC(FILTER(S:S,$F:$F&lt;&gt;""""),S942)*100,"""")"),1.5)</f>
        <v>1.5</v>
      </c>
      <c r="W942" s="15" t="str">
        <f t="shared" si="4"/>
        <v/>
      </c>
      <c r="X942" s="16"/>
      <c r="Y942" s="9"/>
      <c r="Z942" s="9"/>
    </row>
    <row r="943">
      <c r="B943" t="str">
        <f t="array" ref="B943">IFERROR(INDEX('Player Raw Data'!C:C,Match($A943,'Player Raw Data'!$B:$B,0)),"")</f>
        <v/>
      </c>
      <c r="C943" t="str">
        <f t="array" ref="C943">IFERROR(INDEX('Player Raw Data'!D:D,Match($A943,'Player Raw Data'!$B:$B,0)),"")</f>
        <v/>
      </c>
      <c r="D943" t="str">
        <f t="array" ref="D943">IFERROR(IF(A943=A942, INDEX('Player Raw Data'!E:E,Match($A943,'Player Raw Data'!$B:$B,0)+2),INDEX('Player Raw Data'!E:E,Match($A943,'Player Raw Data'!$B:$B,0))),"")</f>
        <v/>
      </c>
      <c r="E943" t="str">
        <f t="array" ref="E943">IFERROR(INDEX('Player Raw Data'!F:F,Match($A943,'Player Raw Data'!$B:$B,0)),"")</f>
        <v/>
      </c>
      <c r="F943" t="str">
        <f t="array" ref="F943">IFERROR(INDEX('Player Raw Data'!H:H,Match($A943,'Player Raw Data'!$B:$B,0)),"")</f>
        <v/>
      </c>
      <c r="G943" t="str">
        <f t="array" ref="G943">IFERROR(INDEX('Player Raw Data'!I:I,Match($A943,'Player Raw Data'!$B:$B,0)),"")</f>
        <v/>
      </c>
      <c r="H943" t="str">
        <f t="array" ref="H943">IFERROR(INDEX('Player Raw Data'!J:J,Match($A943,'Player Raw Data'!$B:$B,0)),"")</f>
        <v/>
      </c>
      <c r="I943" t="str">
        <f t="array" ref="I943">IFERROR(INDEX('Player Raw Data'!S:S,Match($A943,'Player Raw Data'!$B:$B,0)),"")</f>
        <v/>
      </c>
      <c r="J943" t="str">
        <f t="array" ref="J943">IFERROR(INDEX('Player Raw Data'!T:T,Match($A943,'Player Raw Data'!$B:$B,0)),"")</f>
        <v/>
      </c>
      <c r="K943" t="str">
        <f t="array" ref="K943">IFERROR(INDEX('Player Raw Data'!X:X,Match($A943,'Player Raw Data'!$B:$B,0)),"")</f>
        <v/>
      </c>
      <c r="L943" t="str">
        <f t="array" ref="L943">IFERROR(INDEX('Player Raw Data'!Y:Y,Match($A943,'Player Raw Data'!$B:$B,0)),"")</f>
        <v/>
      </c>
      <c r="M943" t="str">
        <f t="array" ref="M943">IFERROR(INDEX('Player Raw Data'!Z:Z,Match($A943,'Player Raw Data'!$B:$B,0)),"")</f>
        <v/>
      </c>
      <c r="N943" t="str">
        <f t="array" ref="N943">IFERROR(INDEX('Player Raw Data'!AA:AA,Match($A943,'Player Raw Data'!$B:$B,0)),"")</f>
        <v/>
      </c>
      <c r="O943" t="str">
        <f t="array" ref="O943">IFERROR(INDEX('Player Raw Data'!AB:AB,Match($A943,'Player Raw Data'!$B:$B,0)),"")</f>
        <v/>
      </c>
      <c r="P943" t="str">
        <f t="array" ref="P943">IFERROR(INDEX('Player Raw Data'!AD:AD,Match($A943,'Player Raw Data'!$B:$B,0)),"")</f>
        <v/>
      </c>
      <c r="Q943">
        <f t="shared" si="1"/>
        <v>0</v>
      </c>
      <c r="R943" s="9">
        <f t="shared" si="2"/>
        <v>0</v>
      </c>
      <c r="S943" s="14">
        <f t="shared" si="3"/>
        <v>0</v>
      </c>
      <c r="T943" s="15">
        <f>IFERROR(__xludf.DUMMYFUNCTION("IFERROR(PERCENTRANK.INC(FILTER(Q:Q,$F:$F&lt;&gt;""""),Q943)*100,"""")"),1.5)</f>
        <v>1.5</v>
      </c>
      <c r="U943" s="15">
        <f>IFERROR(__xludf.DUMMYFUNCTION("IFERROR(PERCENTRANK.INC(FILTER(R:R,$F:$F&lt;&gt;""""),R943)*100,"""")"),1.5)</f>
        <v>1.5</v>
      </c>
      <c r="V943" s="15">
        <f>IFERROR(__xludf.DUMMYFUNCTION("IFERROR(PERCENTRANK.INC(FILTER(S:S,$F:$F&lt;&gt;""""),S943)*100,"""")"),1.5)</f>
        <v>1.5</v>
      </c>
      <c r="W943" s="15" t="str">
        <f t="shared" si="4"/>
        <v/>
      </c>
      <c r="X943" s="16"/>
      <c r="Y943" s="9"/>
      <c r="Z943" s="9"/>
    </row>
    <row r="944">
      <c r="B944" t="str">
        <f t="array" ref="B944">IFERROR(INDEX('Player Raw Data'!C:C,Match($A944,'Player Raw Data'!$B:$B,0)),"")</f>
        <v/>
      </c>
      <c r="C944" t="str">
        <f t="array" ref="C944">IFERROR(INDEX('Player Raw Data'!D:D,Match($A944,'Player Raw Data'!$B:$B,0)),"")</f>
        <v/>
      </c>
      <c r="D944" t="str">
        <f t="array" ref="D944">IFERROR(IF(A944=A943, INDEX('Player Raw Data'!E:E,Match($A944,'Player Raw Data'!$B:$B,0)+2),INDEX('Player Raw Data'!E:E,Match($A944,'Player Raw Data'!$B:$B,0))),"")</f>
        <v/>
      </c>
      <c r="E944" t="str">
        <f t="array" ref="E944">IFERROR(INDEX('Player Raw Data'!F:F,Match($A944,'Player Raw Data'!$B:$B,0)),"")</f>
        <v/>
      </c>
      <c r="F944" t="str">
        <f t="array" ref="F944">IFERROR(INDEX('Player Raw Data'!H:H,Match($A944,'Player Raw Data'!$B:$B,0)),"")</f>
        <v/>
      </c>
      <c r="G944" t="str">
        <f t="array" ref="G944">IFERROR(INDEX('Player Raw Data'!I:I,Match($A944,'Player Raw Data'!$B:$B,0)),"")</f>
        <v/>
      </c>
      <c r="H944" t="str">
        <f t="array" ref="H944">IFERROR(INDEX('Player Raw Data'!J:J,Match($A944,'Player Raw Data'!$B:$B,0)),"")</f>
        <v/>
      </c>
      <c r="I944" t="str">
        <f t="array" ref="I944">IFERROR(INDEX('Player Raw Data'!S:S,Match($A944,'Player Raw Data'!$B:$B,0)),"")</f>
        <v/>
      </c>
      <c r="J944" t="str">
        <f t="array" ref="J944">IFERROR(INDEX('Player Raw Data'!T:T,Match($A944,'Player Raw Data'!$B:$B,0)),"")</f>
        <v/>
      </c>
      <c r="K944" t="str">
        <f t="array" ref="K944">IFERROR(INDEX('Player Raw Data'!X:X,Match($A944,'Player Raw Data'!$B:$B,0)),"")</f>
        <v/>
      </c>
      <c r="L944" t="str">
        <f t="array" ref="L944">IFERROR(INDEX('Player Raw Data'!Y:Y,Match($A944,'Player Raw Data'!$B:$B,0)),"")</f>
        <v/>
      </c>
      <c r="M944" t="str">
        <f t="array" ref="M944">IFERROR(INDEX('Player Raw Data'!Z:Z,Match($A944,'Player Raw Data'!$B:$B,0)),"")</f>
        <v/>
      </c>
      <c r="N944" t="str">
        <f t="array" ref="N944">IFERROR(INDEX('Player Raw Data'!AA:AA,Match($A944,'Player Raw Data'!$B:$B,0)),"")</f>
        <v/>
      </c>
      <c r="O944" t="str">
        <f t="array" ref="O944">IFERROR(INDEX('Player Raw Data'!AB:AB,Match($A944,'Player Raw Data'!$B:$B,0)),"")</f>
        <v/>
      </c>
      <c r="P944" t="str">
        <f t="array" ref="P944">IFERROR(INDEX('Player Raw Data'!AD:AD,Match($A944,'Player Raw Data'!$B:$B,0)),"")</f>
        <v/>
      </c>
      <c r="Q944">
        <f t="shared" si="1"/>
        <v>0</v>
      </c>
      <c r="R944" s="9">
        <f t="shared" si="2"/>
        <v>0</v>
      </c>
      <c r="S944" s="14">
        <f t="shared" si="3"/>
        <v>0</v>
      </c>
      <c r="T944" s="15">
        <f>IFERROR(__xludf.DUMMYFUNCTION("IFERROR(PERCENTRANK.INC(FILTER(Q:Q,$F:$F&lt;&gt;""""),Q944)*100,"""")"),1.5)</f>
        <v>1.5</v>
      </c>
      <c r="U944" s="15">
        <f>IFERROR(__xludf.DUMMYFUNCTION("IFERROR(PERCENTRANK.INC(FILTER(R:R,$F:$F&lt;&gt;""""),R944)*100,"""")"),1.5)</f>
        <v>1.5</v>
      </c>
      <c r="V944" s="15">
        <f>IFERROR(__xludf.DUMMYFUNCTION("IFERROR(PERCENTRANK.INC(FILTER(S:S,$F:$F&lt;&gt;""""),S944)*100,"""")"),1.5)</f>
        <v>1.5</v>
      </c>
      <c r="W944" s="15" t="str">
        <f t="shared" si="4"/>
        <v/>
      </c>
      <c r="X944" s="16"/>
      <c r="Y944" s="9"/>
      <c r="Z944" s="9"/>
    </row>
    <row r="945">
      <c r="B945" t="str">
        <f t="array" ref="B945">IFERROR(INDEX('Player Raw Data'!C:C,Match($A945,'Player Raw Data'!$B:$B,0)),"")</f>
        <v/>
      </c>
      <c r="C945" t="str">
        <f t="array" ref="C945">IFERROR(INDEX('Player Raw Data'!D:D,Match($A945,'Player Raw Data'!$B:$B,0)),"")</f>
        <v/>
      </c>
      <c r="D945" t="str">
        <f t="array" ref="D945">IFERROR(IF(A945=A944, INDEX('Player Raw Data'!E:E,Match($A945,'Player Raw Data'!$B:$B,0)+2),INDEX('Player Raw Data'!E:E,Match($A945,'Player Raw Data'!$B:$B,0))),"")</f>
        <v/>
      </c>
      <c r="E945" t="str">
        <f t="array" ref="E945">IFERROR(INDEX('Player Raw Data'!F:F,Match($A945,'Player Raw Data'!$B:$B,0)),"")</f>
        <v/>
      </c>
      <c r="F945" t="str">
        <f t="array" ref="F945">IFERROR(INDEX('Player Raw Data'!H:H,Match($A945,'Player Raw Data'!$B:$B,0)),"")</f>
        <v/>
      </c>
      <c r="G945" t="str">
        <f t="array" ref="G945">IFERROR(INDEX('Player Raw Data'!I:I,Match($A945,'Player Raw Data'!$B:$B,0)),"")</f>
        <v/>
      </c>
      <c r="H945" t="str">
        <f t="array" ref="H945">IFERROR(INDEX('Player Raw Data'!J:J,Match($A945,'Player Raw Data'!$B:$B,0)),"")</f>
        <v/>
      </c>
      <c r="I945" t="str">
        <f t="array" ref="I945">IFERROR(INDEX('Player Raw Data'!S:S,Match($A945,'Player Raw Data'!$B:$B,0)),"")</f>
        <v/>
      </c>
      <c r="J945" t="str">
        <f t="array" ref="J945">IFERROR(INDEX('Player Raw Data'!T:T,Match($A945,'Player Raw Data'!$B:$B,0)),"")</f>
        <v/>
      </c>
      <c r="K945" t="str">
        <f t="array" ref="K945">IFERROR(INDEX('Player Raw Data'!X:X,Match($A945,'Player Raw Data'!$B:$B,0)),"")</f>
        <v/>
      </c>
      <c r="L945" t="str">
        <f t="array" ref="L945">IFERROR(INDEX('Player Raw Data'!Y:Y,Match($A945,'Player Raw Data'!$B:$B,0)),"")</f>
        <v/>
      </c>
      <c r="M945" t="str">
        <f t="array" ref="M945">IFERROR(INDEX('Player Raw Data'!Z:Z,Match($A945,'Player Raw Data'!$B:$B,0)),"")</f>
        <v/>
      </c>
      <c r="N945" t="str">
        <f t="array" ref="N945">IFERROR(INDEX('Player Raw Data'!AA:AA,Match($A945,'Player Raw Data'!$B:$B,0)),"")</f>
        <v/>
      </c>
      <c r="O945" t="str">
        <f t="array" ref="O945">IFERROR(INDEX('Player Raw Data'!AB:AB,Match($A945,'Player Raw Data'!$B:$B,0)),"")</f>
        <v/>
      </c>
      <c r="P945" t="str">
        <f t="array" ref="P945">IFERROR(INDEX('Player Raw Data'!AD:AD,Match($A945,'Player Raw Data'!$B:$B,0)),"")</f>
        <v/>
      </c>
      <c r="Q945">
        <f t="shared" si="1"/>
        <v>0</v>
      </c>
      <c r="R945" s="9">
        <f t="shared" si="2"/>
        <v>0</v>
      </c>
      <c r="S945" s="14">
        <f t="shared" si="3"/>
        <v>0</v>
      </c>
      <c r="T945" s="15">
        <f>IFERROR(__xludf.DUMMYFUNCTION("IFERROR(PERCENTRANK.INC(FILTER(Q:Q,$F:$F&lt;&gt;""""),Q945)*100,"""")"),1.5)</f>
        <v>1.5</v>
      </c>
      <c r="U945" s="15">
        <f>IFERROR(__xludf.DUMMYFUNCTION("IFERROR(PERCENTRANK.INC(FILTER(R:R,$F:$F&lt;&gt;""""),R945)*100,"""")"),1.5)</f>
        <v>1.5</v>
      </c>
      <c r="V945" s="15">
        <f>IFERROR(__xludf.DUMMYFUNCTION("IFERROR(PERCENTRANK.INC(FILTER(S:S,$F:$F&lt;&gt;""""),S945)*100,"""")"),1.5)</f>
        <v>1.5</v>
      </c>
      <c r="W945" s="15" t="str">
        <f t="shared" si="4"/>
        <v/>
      </c>
      <c r="X945" s="16"/>
      <c r="Y945" s="9"/>
      <c r="Z945" s="9"/>
    </row>
    <row r="946">
      <c r="B946" t="str">
        <f t="array" ref="B946">IFERROR(INDEX('Player Raw Data'!C:C,Match($A946,'Player Raw Data'!$B:$B,0)),"")</f>
        <v/>
      </c>
      <c r="C946" t="str">
        <f t="array" ref="C946">IFERROR(INDEX('Player Raw Data'!D:D,Match($A946,'Player Raw Data'!$B:$B,0)),"")</f>
        <v/>
      </c>
      <c r="D946" t="str">
        <f t="array" ref="D946">IFERROR(IF(A946=A945, INDEX('Player Raw Data'!E:E,Match($A946,'Player Raw Data'!$B:$B,0)+2),INDEX('Player Raw Data'!E:E,Match($A946,'Player Raw Data'!$B:$B,0))),"")</f>
        <v/>
      </c>
      <c r="E946" t="str">
        <f t="array" ref="E946">IFERROR(INDEX('Player Raw Data'!F:F,Match($A946,'Player Raw Data'!$B:$B,0)),"")</f>
        <v/>
      </c>
      <c r="F946" t="str">
        <f t="array" ref="F946">IFERROR(INDEX('Player Raw Data'!H:H,Match($A946,'Player Raw Data'!$B:$B,0)),"")</f>
        <v/>
      </c>
      <c r="G946" t="str">
        <f t="array" ref="G946">IFERROR(INDEX('Player Raw Data'!I:I,Match($A946,'Player Raw Data'!$B:$B,0)),"")</f>
        <v/>
      </c>
      <c r="H946" t="str">
        <f t="array" ref="H946">IFERROR(INDEX('Player Raw Data'!J:J,Match($A946,'Player Raw Data'!$B:$B,0)),"")</f>
        <v/>
      </c>
      <c r="I946" t="str">
        <f t="array" ref="I946">IFERROR(INDEX('Player Raw Data'!S:S,Match($A946,'Player Raw Data'!$B:$B,0)),"")</f>
        <v/>
      </c>
      <c r="J946" t="str">
        <f t="array" ref="J946">IFERROR(INDEX('Player Raw Data'!T:T,Match($A946,'Player Raw Data'!$B:$B,0)),"")</f>
        <v/>
      </c>
      <c r="K946" t="str">
        <f t="array" ref="K946">IFERROR(INDEX('Player Raw Data'!X:X,Match($A946,'Player Raw Data'!$B:$B,0)),"")</f>
        <v/>
      </c>
      <c r="L946" t="str">
        <f t="array" ref="L946">IFERROR(INDEX('Player Raw Data'!Y:Y,Match($A946,'Player Raw Data'!$B:$B,0)),"")</f>
        <v/>
      </c>
      <c r="M946" t="str">
        <f t="array" ref="M946">IFERROR(INDEX('Player Raw Data'!Z:Z,Match($A946,'Player Raw Data'!$B:$B,0)),"")</f>
        <v/>
      </c>
      <c r="N946" t="str">
        <f t="array" ref="N946">IFERROR(INDEX('Player Raw Data'!AA:AA,Match($A946,'Player Raw Data'!$B:$B,0)),"")</f>
        <v/>
      </c>
      <c r="O946" t="str">
        <f t="array" ref="O946">IFERROR(INDEX('Player Raw Data'!AB:AB,Match($A946,'Player Raw Data'!$B:$B,0)),"")</f>
        <v/>
      </c>
      <c r="P946" t="str">
        <f t="array" ref="P946">IFERROR(INDEX('Player Raw Data'!AD:AD,Match($A946,'Player Raw Data'!$B:$B,0)),"")</f>
        <v/>
      </c>
      <c r="Q946">
        <f t="shared" si="1"/>
        <v>0</v>
      </c>
      <c r="R946" s="9">
        <f t="shared" si="2"/>
        <v>0</v>
      </c>
      <c r="S946" s="14">
        <f t="shared" si="3"/>
        <v>0</v>
      </c>
      <c r="T946" s="15">
        <f>IFERROR(__xludf.DUMMYFUNCTION("IFERROR(PERCENTRANK.INC(FILTER(Q:Q,$F:$F&lt;&gt;""""),Q946)*100,"""")"),1.5)</f>
        <v>1.5</v>
      </c>
      <c r="U946" s="15">
        <f>IFERROR(__xludf.DUMMYFUNCTION("IFERROR(PERCENTRANK.INC(FILTER(R:R,$F:$F&lt;&gt;""""),R946)*100,"""")"),1.5)</f>
        <v>1.5</v>
      </c>
      <c r="V946" s="15">
        <f>IFERROR(__xludf.DUMMYFUNCTION("IFERROR(PERCENTRANK.INC(FILTER(S:S,$F:$F&lt;&gt;""""),S946)*100,"""")"),1.5)</f>
        <v>1.5</v>
      </c>
      <c r="W946" s="15" t="str">
        <f t="shared" si="4"/>
        <v/>
      </c>
      <c r="X946" s="16"/>
      <c r="Y946" s="9"/>
      <c r="Z946" s="9"/>
    </row>
    <row r="947">
      <c r="B947" t="str">
        <f t="array" ref="B947">IFERROR(INDEX('Player Raw Data'!C:C,Match($A947,'Player Raw Data'!$B:$B,0)),"")</f>
        <v/>
      </c>
      <c r="C947" t="str">
        <f t="array" ref="C947">IFERROR(INDEX('Player Raw Data'!D:D,Match($A947,'Player Raw Data'!$B:$B,0)),"")</f>
        <v/>
      </c>
      <c r="D947" t="str">
        <f t="array" ref="D947">IFERROR(IF(A947=A946, INDEX('Player Raw Data'!E:E,Match($A947,'Player Raw Data'!$B:$B,0)+2),INDEX('Player Raw Data'!E:E,Match($A947,'Player Raw Data'!$B:$B,0))),"")</f>
        <v/>
      </c>
      <c r="E947" t="str">
        <f t="array" ref="E947">IFERROR(INDEX('Player Raw Data'!F:F,Match($A947,'Player Raw Data'!$B:$B,0)),"")</f>
        <v/>
      </c>
      <c r="F947" t="str">
        <f t="array" ref="F947">IFERROR(INDEX('Player Raw Data'!H:H,Match($A947,'Player Raw Data'!$B:$B,0)),"")</f>
        <v/>
      </c>
      <c r="G947" t="str">
        <f t="array" ref="G947">IFERROR(INDEX('Player Raw Data'!I:I,Match($A947,'Player Raw Data'!$B:$B,0)),"")</f>
        <v/>
      </c>
      <c r="H947" t="str">
        <f t="array" ref="H947">IFERROR(INDEX('Player Raw Data'!J:J,Match($A947,'Player Raw Data'!$B:$B,0)),"")</f>
        <v/>
      </c>
      <c r="I947" t="str">
        <f t="array" ref="I947">IFERROR(INDEX('Player Raw Data'!S:S,Match($A947,'Player Raw Data'!$B:$B,0)),"")</f>
        <v/>
      </c>
      <c r="J947" t="str">
        <f t="array" ref="J947">IFERROR(INDEX('Player Raw Data'!T:T,Match($A947,'Player Raw Data'!$B:$B,0)),"")</f>
        <v/>
      </c>
      <c r="K947" t="str">
        <f t="array" ref="K947">IFERROR(INDEX('Player Raw Data'!X:X,Match($A947,'Player Raw Data'!$B:$B,0)),"")</f>
        <v/>
      </c>
      <c r="L947" t="str">
        <f t="array" ref="L947">IFERROR(INDEX('Player Raw Data'!Y:Y,Match($A947,'Player Raw Data'!$B:$B,0)),"")</f>
        <v/>
      </c>
      <c r="M947" t="str">
        <f t="array" ref="M947">IFERROR(INDEX('Player Raw Data'!Z:Z,Match($A947,'Player Raw Data'!$B:$B,0)),"")</f>
        <v/>
      </c>
      <c r="N947" t="str">
        <f t="array" ref="N947">IFERROR(INDEX('Player Raw Data'!AA:AA,Match($A947,'Player Raw Data'!$B:$B,0)),"")</f>
        <v/>
      </c>
      <c r="O947" t="str">
        <f t="array" ref="O947">IFERROR(INDEX('Player Raw Data'!AB:AB,Match($A947,'Player Raw Data'!$B:$B,0)),"")</f>
        <v/>
      </c>
      <c r="P947" t="str">
        <f t="array" ref="P947">IFERROR(INDEX('Player Raw Data'!AD:AD,Match($A947,'Player Raw Data'!$B:$B,0)),"")</f>
        <v/>
      </c>
      <c r="Q947">
        <f t="shared" si="1"/>
        <v>0</v>
      </c>
      <c r="R947" s="9">
        <f t="shared" si="2"/>
        <v>0</v>
      </c>
      <c r="S947" s="14">
        <f t="shared" si="3"/>
        <v>0</v>
      </c>
      <c r="T947" s="15">
        <f>IFERROR(__xludf.DUMMYFUNCTION("IFERROR(PERCENTRANK.INC(FILTER(Q:Q,$F:$F&lt;&gt;""""),Q947)*100,"""")"),1.5)</f>
        <v>1.5</v>
      </c>
      <c r="U947" s="15">
        <f>IFERROR(__xludf.DUMMYFUNCTION("IFERROR(PERCENTRANK.INC(FILTER(R:R,$F:$F&lt;&gt;""""),R947)*100,"""")"),1.5)</f>
        <v>1.5</v>
      </c>
      <c r="V947" s="15">
        <f>IFERROR(__xludf.DUMMYFUNCTION("IFERROR(PERCENTRANK.INC(FILTER(S:S,$F:$F&lt;&gt;""""),S947)*100,"""")"),1.5)</f>
        <v>1.5</v>
      </c>
      <c r="W947" s="15" t="str">
        <f t="shared" si="4"/>
        <v/>
      </c>
      <c r="X947" s="16"/>
      <c r="Y947" s="9"/>
      <c r="Z947" s="9"/>
    </row>
    <row r="948">
      <c r="B948" t="str">
        <f t="array" ref="B948">IFERROR(INDEX('Player Raw Data'!C:C,Match($A948,'Player Raw Data'!$B:$B,0)),"")</f>
        <v/>
      </c>
      <c r="C948" t="str">
        <f t="array" ref="C948">IFERROR(INDEX('Player Raw Data'!D:D,Match($A948,'Player Raw Data'!$B:$B,0)),"")</f>
        <v/>
      </c>
      <c r="D948" t="str">
        <f t="array" ref="D948">IFERROR(IF(A948=A947, INDEX('Player Raw Data'!E:E,Match($A948,'Player Raw Data'!$B:$B,0)+2),INDEX('Player Raw Data'!E:E,Match($A948,'Player Raw Data'!$B:$B,0))),"")</f>
        <v/>
      </c>
      <c r="E948" t="str">
        <f t="array" ref="E948">IFERROR(INDEX('Player Raw Data'!F:F,Match($A948,'Player Raw Data'!$B:$B,0)),"")</f>
        <v/>
      </c>
      <c r="F948" t="str">
        <f t="array" ref="F948">IFERROR(INDEX('Player Raw Data'!H:H,Match($A948,'Player Raw Data'!$B:$B,0)),"")</f>
        <v/>
      </c>
      <c r="G948" t="str">
        <f t="array" ref="G948">IFERROR(INDEX('Player Raw Data'!I:I,Match($A948,'Player Raw Data'!$B:$B,0)),"")</f>
        <v/>
      </c>
      <c r="H948" t="str">
        <f t="array" ref="H948">IFERROR(INDEX('Player Raw Data'!J:J,Match($A948,'Player Raw Data'!$B:$B,0)),"")</f>
        <v/>
      </c>
      <c r="I948" t="str">
        <f t="array" ref="I948">IFERROR(INDEX('Player Raw Data'!S:S,Match($A948,'Player Raw Data'!$B:$B,0)),"")</f>
        <v/>
      </c>
      <c r="J948" t="str">
        <f t="array" ref="J948">IFERROR(INDEX('Player Raw Data'!T:T,Match($A948,'Player Raw Data'!$B:$B,0)),"")</f>
        <v/>
      </c>
      <c r="K948" t="str">
        <f t="array" ref="K948">IFERROR(INDEX('Player Raw Data'!X:X,Match($A948,'Player Raw Data'!$B:$B,0)),"")</f>
        <v/>
      </c>
      <c r="L948" t="str">
        <f t="array" ref="L948">IFERROR(INDEX('Player Raw Data'!Y:Y,Match($A948,'Player Raw Data'!$B:$B,0)),"")</f>
        <v/>
      </c>
      <c r="M948" t="str">
        <f t="array" ref="M948">IFERROR(INDEX('Player Raw Data'!Z:Z,Match($A948,'Player Raw Data'!$B:$B,0)),"")</f>
        <v/>
      </c>
      <c r="N948" t="str">
        <f t="array" ref="N948">IFERROR(INDEX('Player Raw Data'!AA:AA,Match($A948,'Player Raw Data'!$B:$B,0)),"")</f>
        <v/>
      </c>
      <c r="O948" t="str">
        <f t="array" ref="O948">IFERROR(INDEX('Player Raw Data'!AB:AB,Match($A948,'Player Raw Data'!$B:$B,0)),"")</f>
        <v/>
      </c>
      <c r="P948" t="str">
        <f t="array" ref="P948">IFERROR(INDEX('Player Raw Data'!AD:AD,Match($A948,'Player Raw Data'!$B:$B,0)),"")</f>
        <v/>
      </c>
      <c r="Q948">
        <f t="shared" si="1"/>
        <v>0</v>
      </c>
      <c r="R948" s="9">
        <f t="shared" si="2"/>
        <v>0</v>
      </c>
      <c r="S948" s="14">
        <f t="shared" si="3"/>
        <v>0</v>
      </c>
      <c r="T948" s="15">
        <f>IFERROR(__xludf.DUMMYFUNCTION("IFERROR(PERCENTRANK.INC(FILTER(Q:Q,$F:$F&lt;&gt;""""),Q948)*100,"""")"),1.5)</f>
        <v>1.5</v>
      </c>
      <c r="U948" s="15">
        <f>IFERROR(__xludf.DUMMYFUNCTION("IFERROR(PERCENTRANK.INC(FILTER(R:R,$F:$F&lt;&gt;""""),R948)*100,"""")"),1.5)</f>
        <v>1.5</v>
      </c>
      <c r="V948" s="15">
        <f>IFERROR(__xludf.DUMMYFUNCTION("IFERROR(PERCENTRANK.INC(FILTER(S:S,$F:$F&lt;&gt;""""),S948)*100,"""")"),1.5)</f>
        <v>1.5</v>
      </c>
      <c r="W948" s="15" t="str">
        <f t="shared" si="4"/>
        <v/>
      </c>
      <c r="X948" s="16"/>
      <c r="Y948" s="9"/>
      <c r="Z948" s="9"/>
    </row>
    <row r="949">
      <c r="B949" t="str">
        <f t="array" ref="B949">IFERROR(INDEX('Player Raw Data'!C:C,Match($A949,'Player Raw Data'!$B:$B,0)),"")</f>
        <v/>
      </c>
      <c r="C949" t="str">
        <f t="array" ref="C949">IFERROR(INDEX('Player Raw Data'!D:D,Match($A949,'Player Raw Data'!$B:$B,0)),"")</f>
        <v/>
      </c>
      <c r="D949" t="str">
        <f t="array" ref="D949">IFERROR(IF(A949=A948, INDEX('Player Raw Data'!E:E,Match($A949,'Player Raw Data'!$B:$B,0)+2),INDEX('Player Raw Data'!E:E,Match($A949,'Player Raw Data'!$B:$B,0))),"")</f>
        <v/>
      </c>
      <c r="E949" t="str">
        <f t="array" ref="E949">IFERROR(INDEX('Player Raw Data'!F:F,Match($A949,'Player Raw Data'!$B:$B,0)),"")</f>
        <v/>
      </c>
      <c r="F949" t="str">
        <f t="array" ref="F949">IFERROR(INDEX('Player Raw Data'!H:H,Match($A949,'Player Raw Data'!$B:$B,0)),"")</f>
        <v/>
      </c>
      <c r="G949" t="str">
        <f t="array" ref="G949">IFERROR(INDEX('Player Raw Data'!I:I,Match($A949,'Player Raw Data'!$B:$B,0)),"")</f>
        <v/>
      </c>
      <c r="H949" t="str">
        <f t="array" ref="H949">IFERROR(INDEX('Player Raw Data'!J:J,Match($A949,'Player Raw Data'!$B:$B,0)),"")</f>
        <v/>
      </c>
      <c r="I949" t="str">
        <f t="array" ref="I949">IFERROR(INDEX('Player Raw Data'!S:S,Match($A949,'Player Raw Data'!$B:$B,0)),"")</f>
        <v/>
      </c>
      <c r="J949" t="str">
        <f t="array" ref="J949">IFERROR(INDEX('Player Raw Data'!T:T,Match($A949,'Player Raw Data'!$B:$B,0)),"")</f>
        <v/>
      </c>
      <c r="K949" t="str">
        <f t="array" ref="K949">IFERROR(INDEX('Player Raw Data'!X:X,Match($A949,'Player Raw Data'!$B:$B,0)),"")</f>
        <v/>
      </c>
      <c r="L949" t="str">
        <f t="array" ref="L949">IFERROR(INDEX('Player Raw Data'!Y:Y,Match($A949,'Player Raw Data'!$B:$B,0)),"")</f>
        <v/>
      </c>
      <c r="M949" t="str">
        <f t="array" ref="M949">IFERROR(INDEX('Player Raw Data'!Z:Z,Match($A949,'Player Raw Data'!$B:$B,0)),"")</f>
        <v/>
      </c>
      <c r="N949" t="str">
        <f t="array" ref="N949">IFERROR(INDEX('Player Raw Data'!AA:AA,Match($A949,'Player Raw Data'!$B:$B,0)),"")</f>
        <v/>
      </c>
      <c r="O949" t="str">
        <f t="array" ref="O949">IFERROR(INDEX('Player Raw Data'!AB:AB,Match($A949,'Player Raw Data'!$B:$B,0)),"")</f>
        <v/>
      </c>
      <c r="P949" t="str">
        <f t="array" ref="P949">IFERROR(INDEX('Player Raw Data'!AD:AD,Match($A949,'Player Raw Data'!$B:$B,0)),"")</f>
        <v/>
      </c>
      <c r="Q949">
        <f t="shared" si="1"/>
        <v>0</v>
      </c>
      <c r="R949" s="9">
        <f t="shared" si="2"/>
        <v>0</v>
      </c>
      <c r="S949" s="14">
        <f t="shared" si="3"/>
        <v>0</v>
      </c>
      <c r="T949" s="15">
        <f>IFERROR(__xludf.DUMMYFUNCTION("IFERROR(PERCENTRANK.INC(FILTER(Q:Q,$F:$F&lt;&gt;""""),Q949)*100,"""")"),1.5)</f>
        <v>1.5</v>
      </c>
      <c r="U949" s="15">
        <f>IFERROR(__xludf.DUMMYFUNCTION("IFERROR(PERCENTRANK.INC(FILTER(R:R,$F:$F&lt;&gt;""""),R949)*100,"""")"),1.5)</f>
        <v>1.5</v>
      </c>
      <c r="V949" s="15">
        <f>IFERROR(__xludf.DUMMYFUNCTION("IFERROR(PERCENTRANK.INC(FILTER(S:S,$F:$F&lt;&gt;""""),S949)*100,"""")"),1.5)</f>
        <v>1.5</v>
      </c>
      <c r="W949" s="15" t="str">
        <f t="shared" si="4"/>
        <v/>
      </c>
      <c r="X949" s="16"/>
      <c r="Y949" s="9"/>
      <c r="Z949" s="9"/>
    </row>
    <row r="950">
      <c r="B950" t="str">
        <f t="array" ref="B950">IFERROR(INDEX('Player Raw Data'!C:C,Match($A950,'Player Raw Data'!$B:$B,0)),"")</f>
        <v/>
      </c>
      <c r="C950" t="str">
        <f t="array" ref="C950">IFERROR(INDEX('Player Raw Data'!D:D,Match($A950,'Player Raw Data'!$B:$B,0)),"")</f>
        <v/>
      </c>
      <c r="D950" t="str">
        <f t="array" ref="D950">IFERROR(IF(A950=A949, INDEX('Player Raw Data'!E:E,Match($A950,'Player Raw Data'!$B:$B,0)+2),INDEX('Player Raw Data'!E:E,Match($A950,'Player Raw Data'!$B:$B,0))),"")</f>
        <v/>
      </c>
      <c r="E950" t="str">
        <f t="array" ref="E950">IFERROR(INDEX('Player Raw Data'!F:F,Match($A950,'Player Raw Data'!$B:$B,0)),"")</f>
        <v/>
      </c>
      <c r="F950" t="str">
        <f t="array" ref="F950">IFERROR(INDEX('Player Raw Data'!H:H,Match($A950,'Player Raw Data'!$B:$B,0)),"")</f>
        <v/>
      </c>
      <c r="G950" t="str">
        <f t="array" ref="G950">IFERROR(INDEX('Player Raw Data'!I:I,Match($A950,'Player Raw Data'!$B:$B,0)),"")</f>
        <v/>
      </c>
      <c r="H950" t="str">
        <f t="array" ref="H950">IFERROR(INDEX('Player Raw Data'!J:J,Match($A950,'Player Raw Data'!$B:$B,0)),"")</f>
        <v/>
      </c>
      <c r="I950" t="str">
        <f t="array" ref="I950">IFERROR(INDEX('Player Raw Data'!S:S,Match($A950,'Player Raw Data'!$B:$B,0)),"")</f>
        <v/>
      </c>
      <c r="J950" t="str">
        <f t="array" ref="J950">IFERROR(INDEX('Player Raw Data'!T:T,Match($A950,'Player Raw Data'!$B:$B,0)),"")</f>
        <v/>
      </c>
      <c r="K950" t="str">
        <f t="array" ref="K950">IFERROR(INDEX('Player Raw Data'!X:X,Match($A950,'Player Raw Data'!$B:$B,0)),"")</f>
        <v/>
      </c>
      <c r="L950" t="str">
        <f t="array" ref="L950">IFERROR(INDEX('Player Raw Data'!Y:Y,Match($A950,'Player Raw Data'!$B:$B,0)),"")</f>
        <v/>
      </c>
      <c r="M950" t="str">
        <f t="array" ref="M950">IFERROR(INDEX('Player Raw Data'!Z:Z,Match($A950,'Player Raw Data'!$B:$B,0)),"")</f>
        <v/>
      </c>
      <c r="N950" t="str">
        <f t="array" ref="N950">IFERROR(INDEX('Player Raw Data'!AA:AA,Match($A950,'Player Raw Data'!$B:$B,0)),"")</f>
        <v/>
      </c>
      <c r="O950" t="str">
        <f t="array" ref="O950">IFERROR(INDEX('Player Raw Data'!AB:AB,Match($A950,'Player Raw Data'!$B:$B,0)),"")</f>
        <v/>
      </c>
      <c r="P950" t="str">
        <f t="array" ref="P950">IFERROR(INDEX('Player Raw Data'!AD:AD,Match($A950,'Player Raw Data'!$B:$B,0)),"")</f>
        <v/>
      </c>
      <c r="Q950">
        <f t="shared" si="1"/>
        <v>0</v>
      </c>
      <c r="R950" s="9">
        <f t="shared" si="2"/>
        <v>0</v>
      </c>
      <c r="S950" s="14">
        <f t="shared" si="3"/>
        <v>0</v>
      </c>
      <c r="T950" s="15">
        <f>IFERROR(__xludf.DUMMYFUNCTION("IFERROR(PERCENTRANK.INC(FILTER(Q:Q,$F:$F&lt;&gt;""""),Q950)*100,"""")"),1.5)</f>
        <v>1.5</v>
      </c>
      <c r="U950" s="15">
        <f>IFERROR(__xludf.DUMMYFUNCTION("IFERROR(PERCENTRANK.INC(FILTER(R:R,$F:$F&lt;&gt;""""),R950)*100,"""")"),1.5)</f>
        <v>1.5</v>
      </c>
      <c r="V950" s="15">
        <f>IFERROR(__xludf.DUMMYFUNCTION("IFERROR(PERCENTRANK.INC(FILTER(S:S,$F:$F&lt;&gt;""""),S950)*100,"""")"),1.5)</f>
        <v>1.5</v>
      </c>
      <c r="W950" s="15" t="str">
        <f t="shared" si="4"/>
        <v/>
      </c>
      <c r="X950" s="16"/>
      <c r="Y950" s="9"/>
      <c r="Z950" s="9"/>
    </row>
    <row r="951">
      <c r="B951" t="str">
        <f t="array" ref="B951">IFERROR(INDEX('Player Raw Data'!C:C,Match($A951,'Player Raw Data'!$B:$B,0)),"")</f>
        <v/>
      </c>
      <c r="C951" t="str">
        <f t="array" ref="C951">IFERROR(INDEX('Player Raw Data'!D:D,Match($A951,'Player Raw Data'!$B:$B,0)),"")</f>
        <v/>
      </c>
      <c r="D951" t="str">
        <f t="array" ref="D951">IFERROR(IF(A951=A950, INDEX('Player Raw Data'!E:E,Match($A951,'Player Raw Data'!$B:$B,0)+2),INDEX('Player Raw Data'!E:E,Match($A951,'Player Raw Data'!$B:$B,0))),"")</f>
        <v/>
      </c>
      <c r="E951" t="str">
        <f t="array" ref="E951">IFERROR(INDEX('Player Raw Data'!F:F,Match($A951,'Player Raw Data'!$B:$B,0)),"")</f>
        <v/>
      </c>
      <c r="F951" t="str">
        <f t="array" ref="F951">IFERROR(INDEX('Player Raw Data'!H:H,Match($A951,'Player Raw Data'!$B:$B,0)),"")</f>
        <v/>
      </c>
      <c r="G951" t="str">
        <f t="array" ref="G951">IFERROR(INDEX('Player Raw Data'!I:I,Match($A951,'Player Raw Data'!$B:$B,0)),"")</f>
        <v/>
      </c>
      <c r="H951" t="str">
        <f t="array" ref="H951">IFERROR(INDEX('Player Raw Data'!J:J,Match($A951,'Player Raw Data'!$B:$B,0)),"")</f>
        <v/>
      </c>
      <c r="I951" t="str">
        <f t="array" ref="I951">IFERROR(INDEX('Player Raw Data'!S:S,Match($A951,'Player Raw Data'!$B:$B,0)),"")</f>
        <v/>
      </c>
      <c r="J951" t="str">
        <f t="array" ref="J951">IFERROR(INDEX('Player Raw Data'!T:T,Match($A951,'Player Raw Data'!$B:$B,0)),"")</f>
        <v/>
      </c>
      <c r="K951" t="str">
        <f t="array" ref="K951">IFERROR(INDEX('Player Raw Data'!X:X,Match($A951,'Player Raw Data'!$B:$B,0)),"")</f>
        <v/>
      </c>
      <c r="L951" t="str">
        <f t="array" ref="L951">IFERROR(INDEX('Player Raw Data'!Y:Y,Match($A951,'Player Raw Data'!$B:$B,0)),"")</f>
        <v/>
      </c>
      <c r="M951" t="str">
        <f t="array" ref="M951">IFERROR(INDEX('Player Raw Data'!Z:Z,Match($A951,'Player Raw Data'!$B:$B,0)),"")</f>
        <v/>
      </c>
      <c r="N951" t="str">
        <f t="array" ref="N951">IFERROR(INDEX('Player Raw Data'!AA:AA,Match($A951,'Player Raw Data'!$B:$B,0)),"")</f>
        <v/>
      </c>
      <c r="O951" t="str">
        <f t="array" ref="O951">IFERROR(INDEX('Player Raw Data'!AB:AB,Match($A951,'Player Raw Data'!$B:$B,0)),"")</f>
        <v/>
      </c>
      <c r="P951" t="str">
        <f t="array" ref="P951">IFERROR(INDEX('Player Raw Data'!AD:AD,Match($A951,'Player Raw Data'!$B:$B,0)),"")</f>
        <v/>
      </c>
      <c r="Q951">
        <f t="shared" si="1"/>
        <v>0</v>
      </c>
      <c r="R951" s="9">
        <f t="shared" si="2"/>
        <v>0</v>
      </c>
      <c r="S951" s="14">
        <f t="shared" si="3"/>
        <v>0</v>
      </c>
      <c r="T951" s="15">
        <f>IFERROR(__xludf.DUMMYFUNCTION("IFERROR(PERCENTRANK.INC(FILTER(Q:Q,$F:$F&lt;&gt;""""),Q951)*100,"""")"),1.5)</f>
        <v>1.5</v>
      </c>
      <c r="U951" s="15">
        <f>IFERROR(__xludf.DUMMYFUNCTION("IFERROR(PERCENTRANK.INC(FILTER(R:R,$F:$F&lt;&gt;""""),R951)*100,"""")"),1.5)</f>
        <v>1.5</v>
      </c>
      <c r="V951" s="15">
        <f>IFERROR(__xludf.DUMMYFUNCTION("IFERROR(PERCENTRANK.INC(FILTER(S:S,$F:$F&lt;&gt;""""),S951)*100,"""")"),1.5)</f>
        <v>1.5</v>
      </c>
      <c r="W951" s="15" t="str">
        <f t="shared" si="4"/>
        <v/>
      </c>
      <c r="X951" s="16"/>
      <c r="Y951" s="9"/>
      <c r="Z951" s="9"/>
    </row>
    <row r="952">
      <c r="B952" t="str">
        <f t="array" ref="B952">IFERROR(INDEX('Player Raw Data'!C:C,Match($A952,'Player Raw Data'!$B:$B,0)),"")</f>
        <v/>
      </c>
      <c r="C952" t="str">
        <f t="array" ref="C952">IFERROR(INDEX('Player Raw Data'!D:D,Match($A952,'Player Raw Data'!$B:$B,0)),"")</f>
        <v/>
      </c>
      <c r="D952" t="str">
        <f t="array" ref="D952">IFERROR(IF(A952=A951, INDEX('Player Raw Data'!E:E,Match($A952,'Player Raw Data'!$B:$B,0)+2),INDEX('Player Raw Data'!E:E,Match($A952,'Player Raw Data'!$B:$B,0))),"")</f>
        <v/>
      </c>
      <c r="E952" t="str">
        <f t="array" ref="E952">IFERROR(INDEX('Player Raw Data'!F:F,Match($A952,'Player Raw Data'!$B:$B,0)),"")</f>
        <v/>
      </c>
      <c r="F952" t="str">
        <f t="array" ref="F952">IFERROR(INDEX('Player Raw Data'!H:H,Match($A952,'Player Raw Data'!$B:$B,0)),"")</f>
        <v/>
      </c>
      <c r="G952" t="str">
        <f t="array" ref="G952">IFERROR(INDEX('Player Raw Data'!I:I,Match($A952,'Player Raw Data'!$B:$B,0)),"")</f>
        <v/>
      </c>
      <c r="H952" t="str">
        <f t="array" ref="H952">IFERROR(INDEX('Player Raw Data'!J:J,Match($A952,'Player Raw Data'!$B:$B,0)),"")</f>
        <v/>
      </c>
      <c r="I952" t="str">
        <f t="array" ref="I952">IFERROR(INDEX('Player Raw Data'!S:S,Match($A952,'Player Raw Data'!$B:$B,0)),"")</f>
        <v/>
      </c>
      <c r="J952" t="str">
        <f t="array" ref="J952">IFERROR(INDEX('Player Raw Data'!T:T,Match($A952,'Player Raw Data'!$B:$B,0)),"")</f>
        <v/>
      </c>
      <c r="K952" t="str">
        <f t="array" ref="K952">IFERROR(INDEX('Player Raw Data'!X:X,Match($A952,'Player Raw Data'!$B:$B,0)),"")</f>
        <v/>
      </c>
      <c r="L952" t="str">
        <f t="array" ref="L952">IFERROR(INDEX('Player Raw Data'!Y:Y,Match($A952,'Player Raw Data'!$B:$B,0)),"")</f>
        <v/>
      </c>
      <c r="M952" t="str">
        <f t="array" ref="M952">IFERROR(INDEX('Player Raw Data'!Z:Z,Match($A952,'Player Raw Data'!$B:$B,0)),"")</f>
        <v/>
      </c>
      <c r="N952" t="str">
        <f t="array" ref="N952">IFERROR(INDEX('Player Raw Data'!AA:AA,Match($A952,'Player Raw Data'!$B:$B,0)),"")</f>
        <v/>
      </c>
      <c r="O952" t="str">
        <f t="array" ref="O952">IFERROR(INDEX('Player Raw Data'!AB:AB,Match($A952,'Player Raw Data'!$B:$B,0)),"")</f>
        <v/>
      </c>
      <c r="P952" t="str">
        <f t="array" ref="P952">IFERROR(INDEX('Player Raw Data'!AD:AD,Match($A952,'Player Raw Data'!$B:$B,0)),"")</f>
        <v/>
      </c>
      <c r="Q952">
        <f t="shared" si="1"/>
        <v>0</v>
      </c>
      <c r="R952" s="9">
        <f t="shared" si="2"/>
        <v>0</v>
      </c>
      <c r="S952" s="14">
        <f t="shared" si="3"/>
        <v>0</v>
      </c>
      <c r="T952" s="15">
        <f>IFERROR(__xludf.DUMMYFUNCTION("IFERROR(PERCENTRANK.INC(FILTER(Q:Q,$F:$F&lt;&gt;""""),Q952)*100,"""")"),1.5)</f>
        <v>1.5</v>
      </c>
      <c r="U952" s="15">
        <f>IFERROR(__xludf.DUMMYFUNCTION("IFERROR(PERCENTRANK.INC(FILTER(R:R,$F:$F&lt;&gt;""""),R952)*100,"""")"),1.5)</f>
        <v>1.5</v>
      </c>
      <c r="V952" s="15">
        <f>IFERROR(__xludf.DUMMYFUNCTION("IFERROR(PERCENTRANK.INC(FILTER(S:S,$F:$F&lt;&gt;""""),S952)*100,"""")"),1.5)</f>
        <v>1.5</v>
      </c>
      <c r="W952" s="15" t="str">
        <f t="shared" si="4"/>
        <v/>
      </c>
      <c r="X952" s="16"/>
      <c r="Y952" s="9"/>
      <c r="Z952" s="9"/>
    </row>
    <row r="953">
      <c r="B953" t="str">
        <f t="array" ref="B953">IFERROR(INDEX('Player Raw Data'!C:C,Match($A953,'Player Raw Data'!$B:$B,0)),"")</f>
        <v/>
      </c>
      <c r="C953" t="str">
        <f t="array" ref="C953">IFERROR(INDEX('Player Raw Data'!D:D,Match($A953,'Player Raw Data'!$B:$B,0)),"")</f>
        <v/>
      </c>
      <c r="D953" t="str">
        <f t="array" ref="D953">IFERROR(IF(A953=A952, INDEX('Player Raw Data'!E:E,Match($A953,'Player Raw Data'!$B:$B,0)+2),INDEX('Player Raw Data'!E:E,Match($A953,'Player Raw Data'!$B:$B,0))),"")</f>
        <v/>
      </c>
      <c r="E953" t="str">
        <f t="array" ref="E953">IFERROR(INDEX('Player Raw Data'!F:F,Match($A953,'Player Raw Data'!$B:$B,0)),"")</f>
        <v/>
      </c>
      <c r="F953" t="str">
        <f t="array" ref="F953">IFERROR(INDEX('Player Raw Data'!H:H,Match($A953,'Player Raw Data'!$B:$B,0)),"")</f>
        <v/>
      </c>
      <c r="G953" t="str">
        <f t="array" ref="G953">IFERROR(INDEX('Player Raw Data'!I:I,Match($A953,'Player Raw Data'!$B:$B,0)),"")</f>
        <v/>
      </c>
      <c r="H953" t="str">
        <f t="array" ref="H953">IFERROR(INDEX('Player Raw Data'!J:J,Match($A953,'Player Raw Data'!$B:$B,0)),"")</f>
        <v/>
      </c>
      <c r="I953" t="str">
        <f t="array" ref="I953">IFERROR(INDEX('Player Raw Data'!S:S,Match($A953,'Player Raw Data'!$B:$B,0)),"")</f>
        <v/>
      </c>
      <c r="J953" t="str">
        <f t="array" ref="J953">IFERROR(INDEX('Player Raw Data'!T:T,Match($A953,'Player Raw Data'!$B:$B,0)),"")</f>
        <v/>
      </c>
      <c r="K953" t="str">
        <f t="array" ref="K953">IFERROR(INDEX('Player Raw Data'!X:X,Match($A953,'Player Raw Data'!$B:$B,0)),"")</f>
        <v/>
      </c>
      <c r="L953" t="str">
        <f t="array" ref="L953">IFERROR(INDEX('Player Raw Data'!Y:Y,Match($A953,'Player Raw Data'!$B:$B,0)),"")</f>
        <v/>
      </c>
      <c r="M953" t="str">
        <f t="array" ref="M953">IFERROR(INDEX('Player Raw Data'!Z:Z,Match($A953,'Player Raw Data'!$B:$B,0)),"")</f>
        <v/>
      </c>
      <c r="N953" t="str">
        <f t="array" ref="N953">IFERROR(INDEX('Player Raw Data'!AA:AA,Match($A953,'Player Raw Data'!$B:$B,0)),"")</f>
        <v/>
      </c>
      <c r="O953" t="str">
        <f t="array" ref="O953">IFERROR(INDEX('Player Raw Data'!AB:AB,Match($A953,'Player Raw Data'!$B:$B,0)),"")</f>
        <v/>
      </c>
      <c r="P953" t="str">
        <f t="array" ref="P953">IFERROR(INDEX('Player Raw Data'!AD:AD,Match($A953,'Player Raw Data'!$B:$B,0)),"")</f>
        <v/>
      </c>
      <c r="Q953">
        <f t="shared" si="1"/>
        <v>0</v>
      </c>
      <c r="R953" s="9">
        <f t="shared" si="2"/>
        <v>0</v>
      </c>
      <c r="S953" s="14">
        <f t="shared" si="3"/>
        <v>0</v>
      </c>
      <c r="T953" s="15">
        <f>IFERROR(__xludf.DUMMYFUNCTION("IFERROR(PERCENTRANK.INC(FILTER(Q:Q,$F:$F&lt;&gt;""""),Q953)*100,"""")"),1.5)</f>
        <v>1.5</v>
      </c>
      <c r="U953" s="15">
        <f>IFERROR(__xludf.DUMMYFUNCTION("IFERROR(PERCENTRANK.INC(FILTER(R:R,$F:$F&lt;&gt;""""),R953)*100,"""")"),1.5)</f>
        <v>1.5</v>
      </c>
      <c r="V953" s="15">
        <f>IFERROR(__xludf.DUMMYFUNCTION("IFERROR(PERCENTRANK.INC(FILTER(S:S,$F:$F&lt;&gt;""""),S953)*100,"""")"),1.5)</f>
        <v>1.5</v>
      </c>
      <c r="W953" s="15" t="str">
        <f t="shared" si="4"/>
        <v/>
      </c>
      <c r="X953" s="16"/>
      <c r="Y953" s="9"/>
      <c r="Z953" s="9"/>
    </row>
    <row r="954">
      <c r="B954" t="str">
        <f t="array" ref="B954">IFERROR(INDEX('Player Raw Data'!C:C,Match($A954,'Player Raw Data'!$B:$B,0)),"")</f>
        <v/>
      </c>
      <c r="C954" t="str">
        <f t="array" ref="C954">IFERROR(INDEX('Player Raw Data'!D:D,Match($A954,'Player Raw Data'!$B:$B,0)),"")</f>
        <v/>
      </c>
      <c r="D954" t="str">
        <f t="array" ref="D954">IFERROR(IF(A954=A953, INDEX('Player Raw Data'!E:E,Match($A954,'Player Raw Data'!$B:$B,0)+2),INDEX('Player Raw Data'!E:E,Match($A954,'Player Raw Data'!$B:$B,0))),"")</f>
        <v/>
      </c>
      <c r="E954" t="str">
        <f t="array" ref="E954">IFERROR(INDEX('Player Raw Data'!F:F,Match($A954,'Player Raw Data'!$B:$B,0)),"")</f>
        <v/>
      </c>
      <c r="F954" t="str">
        <f t="array" ref="F954">IFERROR(INDEX('Player Raw Data'!H:H,Match($A954,'Player Raw Data'!$B:$B,0)),"")</f>
        <v/>
      </c>
      <c r="G954" t="str">
        <f t="array" ref="G954">IFERROR(INDEX('Player Raw Data'!I:I,Match($A954,'Player Raw Data'!$B:$B,0)),"")</f>
        <v/>
      </c>
      <c r="H954" t="str">
        <f t="array" ref="H954">IFERROR(INDEX('Player Raw Data'!J:J,Match($A954,'Player Raw Data'!$B:$B,0)),"")</f>
        <v/>
      </c>
      <c r="I954" t="str">
        <f t="array" ref="I954">IFERROR(INDEX('Player Raw Data'!S:S,Match($A954,'Player Raw Data'!$B:$B,0)),"")</f>
        <v/>
      </c>
      <c r="J954" t="str">
        <f t="array" ref="J954">IFERROR(INDEX('Player Raw Data'!T:T,Match($A954,'Player Raw Data'!$B:$B,0)),"")</f>
        <v/>
      </c>
      <c r="K954" t="str">
        <f t="array" ref="K954">IFERROR(INDEX('Player Raw Data'!X:X,Match($A954,'Player Raw Data'!$B:$B,0)),"")</f>
        <v/>
      </c>
      <c r="L954" t="str">
        <f t="array" ref="L954">IFERROR(INDEX('Player Raw Data'!Y:Y,Match($A954,'Player Raw Data'!$B:$B,0)),"")</f>
        <v/>
      </c>
      <c r="M954" t="str">
        <f t="array" ref="M954">IFERROR(INDEX('Player Raw Data'!Z:Z,Match($A954,'Player Raw Data'!$B:$B,0)),"")</f>
        <v/>
      </c>
      <c r="N954" t="str">
        <f t="array" ref="N954">IFERROR(INDEX('Player Raw Data'!AA:AA,Match($A954,'Player Raw Data'!$B:$B,0)),"")</f>
        <v/>
      </c>
      <c r="O954" t="str">
        <f t="array" ref="O954">IFERROR(INDEX('Player Raw Data'!AB:AB,Match($A954,'Player Raw Data'!$B:$B,0)),"")</f>
        <v/>
      </c>
      <c r="P954" t="str">
        <f t="array" ref="P954">IFERROR(INDEX('Player Raw Data'!AD:AD,Match($A954,'Player Raw Data'!$B:$B,0)),"")</f>
        <v/>
      </c>
      <c r="Q954">
        <f t="shared" si="1"/>
        <v>0</v>
      </c>
      <c r="R954" s="9">
        <f t="shared" si="2"/>
        <v>0</v>
      </c>
      <c r="S954" s="14">
        <f t="shared" si="3"/>
        <v>0</v>
      </c>
      <c r="T954" s="15">
        <f>IFERROR(__xludf.DUMMYFUNCTION("IFERROR(PERCENTRANK.INC(FILTER(Q:Q,$F:$F&lt;&gt;""""),Q954)*100,"""")"),1.5)</f>
        <v>1.5</v>
      </c>
      <c r="U954" s="15">
        <f>IFERROR(__xludf.DUMMYFUNCTION("IFERROR(PERCENTRANK.INC(FILTER(R:R,$F:$F&lt;&gt;""""),R954)*100,"""")"),1.5)</f>
        <v>1.5</v>
      </c>
      <c r="V954" s="15">
        <f>IFERROR(__xludf.DUMMYFUNCTION("IFERROR(PERCENTRANK.INC(FILTER(S:S,$F:$F&lt;&gt;""""),S954)*100,"""")"),1.5)</f>
        <v>1.5</v>
      </c>
      <c r="W954" s="15" t="str">
        <f t="shared" si="4"/>
        <v/>
      </c>
      <c r="X954" s="16"/>
      <c r="Y954" s="9"/>
      <c r="Z954" s="9"/>
    </row>
    <row r="955">
      <c r="B955" t="str">
        <f t="array" ref="B955">IFERROR(INDEX('Player Raw Data'!C:C,Match($A955,'Player Raw Data'!$B:$B,0)),"")</f>
        <v/>
      </c>
      <c r="C955" t="str">
        <f t="array" ref="C955">IFERROR(INDEX('Player Raw Data'!D:D,Match($A955,'Player Raw Data'!$B:$B,0)),"")</f>
        <v/>
      </c>
      <c r="D955" t="str">
        <f t="array" ref="D955">IFERROR(IF(A955=A954, INDEX('Player Raw Data'!E:E,Match($A955,'Player Raw Data'!$B:$B,0)+2),INDEX('Player Raw Data'!E:E,Match($A955,'Player Raw Data'!$B:$B,0))),"")</f>
        <v/>
      </c>
      <c r="E955" t="str">
        <f t="array" ref="E955">IFERROR(INDEX('Player Raw Data'!F:F,Match($A955,'Player Raw Data'!$B:$B,0)),"")</f>
        <v/>
      </c>
      <c r="F955" t="str">
        <f t="array" ref="F955">IFERROR(INDEX('Player Raw Data'!H:H,Match($A955,'Player Raw Data'!$B:$B,0)),"")</f>
        <v/>
      </c>
      <c r="G955" t="str">
        <f t="array" ref="G955">IFERROR(INDEX('Player Raw Data'!I:I,Match($A955,'Player Raw Data'!$B:$B,0)),"")</f>
        <v/>
      </c>
      <c r="H955" t="str">
        <f t="array" ref="H955">IFERROR(INDEX('Player Raw Data'!J:J,Match($A955,'Player Raw Data'!$B:$B,0)),"")</f>
        <v/>
      </c>
      <c r="I955" t="str">
        <f t="array" ref="I955">IFERROR(INDEX('Player Raw Data'!S:S,Match($A955,'Player Raw Data'!$B:$B,0)),"")</f>
        <v/>
      </c>
      <c r="J955" t="str">
        <f t="array" ref="J955">IFERROR(INDEX('Player Raw Data'!T:T,Match($A955,'Player Raw Data'!$B:$B,0)),"")</f>
        <v/>
      </c>
      <c r="K955" t="str">
        <f t="array" ref="K955">IFERROR(INDEX('Player Raw Data'!X:X,Match($A955,'Player Raw Data'!$B:$B,0)),"")</f>
        <v/>
      </c>
      <c r="L955" t="str">
        <f t="array" ref="L955">IFERROR(INDEX('Player Raw Data'!Y:Y,Match($A955,'Player Raw Data'!$B:$B,0)),"")</f>
        <v/>
      </c>
      <c r="M955" t="str">
        <f t="array" ref="M955">IFERROR(INDEX('Player Raw Data'!Z:Z,Match($A955,'Player Raw Data'!$B:$B,0)),"")</f>
        <v/>
      </c>
      <c r="N955" t="str">
        <f t="array" ref="N955">IFERROR(INDEX('Player Raw Data'!AA:AA,Match($A955,'Player Raw Data'!$B:$B,0)),"")</f>
        <v/>
      </c>
      <c r="O955" t="str">
        <f t="array" ref="O955">IFERROR(INDEX('Player Raw Data'!AB:AB,Match($A955,'Player Raw Data'!$B:$B,0)),"")</f>
        <v/>
      </c>
      <c r="P955" t="str">
        <f t="array" ref="P955">IFERROR(INDEX('Player Raw Data'!AD:AD,Match($A955,'Player Raw Data'!$B:$B,0)),"")</f>
        <v/>
      </c>
      <c r="Q955">
        <f t="shared" si="1"/>
        <v>0</v>
      </c>
      <c r="R955" s="9">
        <f t="shared" si="2"/>
        <v>0</v>
      </c>
      <c r="S955" s="14">
        <f t="shared" si="3"/>
        <v>0</v>
      </c>
      <c r="T955" s="15">
        <f>IFERROR(__xludf.DUMMYFUNCTION("IFERROR(PERCENTRANK.INC(FILTER(Q:Q,$F:$F&lt;&gt;""""),Q955)*100,"""")"),1.5)</f>
        <v>1.5</v>
      </c>
      <c r="U955" s="15">
        <f>IFERROR(__xludf.DUMMYFUNCTION("IFERROR(PERCENTRANK.INC(FILTER(R:R,$F:$F&lt;&gt;""""),R955)*100,"""")"),1.5)</f>
        <v>1.5</v>
      </c>
      <c r="V955" s="15">
        <f>IFERROR(__xludf.DUMMYFUNCTION("IFERROR(PERCENTRANK.INC(FILTER(S:S,$F:$F&lt;&gt;""""),S955)*100,"""")"),1.5)</f>
        <v>1.5</v>
      </c>
      <c r="W955" s="15" t="str">
        <f t="shared" si="4"/>
        <v/>
      </c>
      <c r="X955" s="16"/>
      <c r="Y955" s="9"/>
      <c r="Z955" s="9"/>
    </row>
    <row r="956">
      <c r="B956" t="str">
        <f t="array" ref="B956">IFERROR(INDEX('Player Raw Data'!C:C,Match($A956,'Player Raw Data'!$B:$B,0)),"")</f>
        <v/>
      </c>
      <c r="C956" t="str">
        <f t="array" ref="C956">IFERROR(INDEX('Player Raw Data'!D:D,Match($A956,'Player Raw Data'!$B:$B,0)),"")</f>
        <v/>
      </c>
      <c r="D956" t="str">
        <f t="array" ref="D956">IFERROR(IF(A956=A955, INDEX('Player Raw Data'!E:E,Match($A956,'Player Raw Data'!$B:$B,0)+2),INDEX('Player Raw Data'!E:E,Match($A956,'Player Raw Data'!$B:$B,0))),"")</f>
        <v/>
      </c>
      <c r="E956" t="str">
        <f t="array" ref="E956">IFERROR(INDEX('Player Raw Data'!F:F,Match($A956,'Player Raw Data'!$B:$B,0)),"")</f>
        <v/>
      </c>
      <c r="F956" t="str">
        <f t="array" ref="F956">IFERROR(INDEX('Player Raw Data'!H:H,Match($A956,'Player Raw Data'!$B:$B,0)),"")</f>
        <v/>
      </c>
      <c r="G956" t="str">
        <f t="array" ref="G956">IFERROR(INDEX('Player Raw Data'!I:I,Match($A956,'Player Raw Data'!$B:$B,0)),"")</f>
        <v/>
      </c>
      <c r="H956" t="str">
        <f t="array" ref="H956">IFERROR(INDEX('Player Raw Data'!J:J,Match($A956,'Player Raw Data'!$B:$B,0)),"")</f>
        <v/>
      </c>
      <c r="I956" t="str">
        <f t="array" ref="I956">IFERROR(INDEX('Player Raw Data'!S:S,Match($A956,'Player Raw Data'!$B:$B,0)),"")</f>
        <v/>
      </c>
      <c r="J956" t="str">
        <f t="array" ref="J956">IFERROR(INDEX('Player Raw Data'!T:T,Match($A956,'Player Raw Data'!$B:$B,0)),"")</f>
        <v/>
      </c>
      <c r="K956" t="str">
        <f t="array" ref="K956">IFERROR(INDEX('Player Raw Data'!X:X,Match($A956,'Player Raw Data'!$B:$B,0)),"")</f>
        <v/>
      </c>
      <c r="L956" t="str">
        <f t="array" ref="L956">IFERROR(INDEX('Player Raw Data'!Y:Y,Match($A956,'Player Raw Data'!$B:$B,0)),"")</f>
        <v/>
      </c>
      <c r="M956" t="str">
        <f t="array" ref="M956">IFERROR(INDEX('Player Raw Data'!Z:Z,Match($A956,'Player Raw Data'!$B:$B,0)),"")</f>
        <v/>
      </c>
      <c r="N956" t="str">
        <f t="array" ref="N956">IFERROR(INDEX('Player Raw Data'!AA:AA,Match($A956,'Player Raw Data'!$B:$B,0)),"")</f>
        <v/>
      </c>
      <c r="O956" t="str">
        <f t="array" ref="O956">IFERROR(INDEX('Player Raw Data'!AB:AB,Match($A956,'Player Raw Data'!$B:$B,0)),"")</f>
        <v/>
      </c>
      <c r="P956" t="str">
        <f t="array" ref="P956">IFERROR(INDEX('Player Raw Data'!AD:AD,Match($A956,'Player Raw Data'!$B:$B,0)),"")</f>
        <v/>
      </c>
      <c r="Q956">
        <f t="shared" si="1"/>
        <v>0</v>
      </c>
      <c r="R956" s="9">
        <f t="shared" si="2"/>
        <v>0</v>
      </c>
      <c r="S956" s="14">
        <f t="shared" si="3"/>
        <v>0</v>
      </c>
      <c r="T956" s="15">
        <f>IFERROR(__xludf.DUMMYFUNCTION("IFERROR(PERCENTRANK.INC(FILTER(Q:Q,$F:$F&lt;&gt;""""),Q956)*100,"""")"),1.5)</f>
        <v>1.5</v>
      </c>
      <c r="U956" s="15">
        <f>IFERROR(__xludf.DUMMYFUNCTION("IFERROR(PERCENTRANK.INC(FILTER(R:R,$F:$F&lt;&gt;""""),R956)*100,"""")"),1.5)</f>
        <v>1.5</v>
      </c>
      <c r="V956" s="15">
        <f>IFERROR(__xludf.DUMMYFUNCTION("IFERROR(PERCENTRANK.INC(FILTER(S:S,$F:$F&lt;&gt;""""),S956)*100,"""")"),1.5)</f>
        <v>1.5</v>
      </c>
      <c r="W956" s="15" t="str">
        <f t="shared" si="4"/>
        <v/>
      </c>
      <c r="X956" s="16"/>
      <c r="Y956" s="9"/>
      <c r="Z956" s="9"/>
    </row>
    <row r="957">
      <c r="B957" t="str">
        <f t="array" ref="B957">IFERROR(INDEX('Player Raw Data'!C:C,Match($A957,'Player Raw Data'!$B:$B,0)),"")</f>
        <v/>
      </c>
      <c r="C957" t="str">
        <f t="array" ref="C957">IFERROR(INDEX('Player Raw Data'!D:D,Match($A957,'Player Raw Data'!$B:$B,0)),"")</f>
        <v/>
      </c>
      <c r="D957" t="str">
        <f t="array" ref="D957">IFERROR(IF(A957=A956, INDEX('Player Raw Data'!E:E,Match($A957,'Player Raw Data'!$B:$B,0)+2),INDEX('Player Raw Data'!E:E,Match($A957,'Player Raw Data'!$B:$B,0))),"")</f>
        <v/>
      </c>
      <c r="E957" t="str">
        <f t="array" ref="E957">IFERROR(INDEX('Player Raw Data'!F:F,Match($A957,'Player Raw Data'!$B:$B,0)),"")</f>
        <v/>
      </c>
      <c r="F957" t="str">
        <f t="array" ref="F957">IFERROR(INDEX('Player Raw Data'!H:H,Match($A957,'Player Raw Data'!$B:$B,0)),"")</f>
        <v/>
      </c>
      <c r="G957" t="str">
        <f t="array" ref="G957">IFERROR(INDEX('Player Raw Data'!I:I,Match($A957,'Player Raw Data'!$B:$B,0)),"")</f>
        <v/>
      </c>
      <c r="H957" t="str">
        <f t="array" ref="H957">IFERROR(INDEX('Player Raw Data'!J:J,Match($A957,'Player Raw Data'!$B:$B,0)),"")</f>
        <v/>
      </c>
      <c r="I957" t="str">
        <f t="array" ref="I957">IFERROR(INDEX('Player Raw Data'!S:S,Match($A957,'Player Raw Data'!$B:$B,0)),"")</f>
        <v/>
      </c>
      <c r="J957" t="str">
        <f t="array" ref="J957">IFERROR(INDEX('Player Raw Data'!T:T,Match($A957,'Player Raw Data'!$B:$B,0)),"")</f>
        <v/>
      </c>
      <c r="K957" t="str">
        <f t="array" ref="K957">IFERROR(INDEX('Player Raw Data'!X:X,Match($A957,'Player Raw Data'!$B:$B,0)),"")</f>
        <v/>
      </c>
      <c r="L957" t="str">
        <f t="array" ref="L957">IFERROR(INDEX('Player Raw Data'!Y:Y,Match($A957,'Player Raw Data'!$B:$B,0)),"")</f>
        <v/>
      </c>
      <c r="M957" t="str">
        <f t="array" ref="M957">IFERROR(INDEX('Player Raw Data'!Z:Z,Match($A957,'Player Raw Data'!$B:$B,0)),"")</f>
        <v/>
      </c>
      <c r="N957" t="str">
        <f t="array" ref="N957">IFERROR(INDEX('Player Raw Data'!AA:AA,Match($A957,'Player Raw Data'!$B:$B,0)),"")</f>
        <v/>
      </c>
      <c r="O957" t="str">
        <f t="array" ref="O957">IFERROR(INDEX('Player Raw Data'!AB:AB,Match($A957,'Player Raw Data'!$B:$B,0)),"")</f>
        <v/>
      </c>
      <c r="P957" t="str">
        <f t="array" ref="P957">IFERROR(INDEX('Player Raw Data'!AD:AD,Match($A957,'Player Raw Data'!$B:$B,0)),"")</f>
        <v/>
      </c>
      <c r="Q957">
        <f t="shared" si="1"/>
        <v>0</v>
      </c>
      <c r="R957" s="9">
        <f t="shared" si="2"/>
        <v>0</v>
      </c>
      <c r="S957" s="14">
        <f t="shared" si="3"/>
        <v>0</v>
      </c>
      <c r="T957" s="15">
        <f>IFERROR(__xludf.DUMMYFUNCTION("IFERROR(PERCENTRANK.INC(FILTER(Q:Q,$F:$F&lt;&gt;""""),Q957)*100,"""")"),1.5)</f>
        <v>1.5</v>
      </c>
      <c r="U957" s="15">
        <f>IFERROR(__xludf.DUMMYFUNCTION("IFERROR(PERCENTRANK.INC(FILTER(R:R,$F:$F&lt;&gt;""""),R957)*100,"""")"),1.5)</f>
        <v>1.5</v>
      </c>
      <c r="V957" s="15">
        <f>IFERROR(__xludf.DUMMYFUNCTION("IFERROR(PERCENTRANK.INC(FILTER(S:S,$F:$F&lt;&gt;""""),S957)*100,"""")"),1.5)</f>
        <v>1.5</v>
      </c>
      <c r="W957" s="15" t="str">
        <f t="shared" si="4"/>
        <v/>
      </c>
      <c r="X957" s="16"/>
      <c r="Y957" s="9"/>
      <c r="Z957" s="9"/>
    </row>
    <row r="958">
      <c r="B958" t="str">
        <f t="array" ref="B958">IFERROR(INDEX('Player Raw Data'!C:C,Match($A958,'Player Raw Data'!$B:$B,0)),"")</f>
        <v/>
      </c>
      <c r="C958" t="str">
        <f t="array" ref="C958">IFERROR(INDEX('Player Raw Data'!D:D,Match($A958,'Player Raw Data'!$B:$B,0)),"")</f>
        <v/>
      </c>
      <c r="D958" t="str">
        <f t="array" ref="D958">IFERROR(IF(A958=A957, INDEX('Player Raw Data'!E:E,Match($A958,'Player Raw Data'!$B:$B,0)+2),INDEX('Player Raw Data'!E:E,Match($A958,'Player Raw Data'!$B:$B,0))),"")</f>
        <v/>
      </c>
      <c r="E958" t="str">
        <f t="array" ref="E958">IFERROR(INDEX('Player Raw Data'!F:F,Match($A958,'Player Raw Data'!$B:$B,0)),"")</f>
        <v/>
      </c>
      <c r="F958" t="str">
        <f t="array" ref="F958">IFERROR(INDEX('Player Raw Data'!H:H,Match($A958,'Player Raw Data'!$B:$B,0)),"")</f>
        <v/>
      </c>
      <c r="G958" t="str">
        <f t="array" ref="G958">IFERROR(INDEX('Player Raw Data'!I:I,Match($A958,'Player Raw Data'!$B:$B,0)),"")</f>
        <v/>
      </c>
      <c r="H958" t="str">
        <f t="array" ref="H958">IFERROR(INDEX('Player Raw Data'!J:J,Match($A958,'Player Raw Data'!$B:$B,0)),"")</f>
        <v/>
      </c>
      <c r="I958" t="str">
        <f t="array" ref="I958">IFERROR(INDEX('Player Raw Data'!S:S,Match($A958,'Player Raw Data'!$B:$B,0)),"")</f>
        <v/>
      </c>
      <c r="J958" t="str">
        <f t="array" ref="J958">IFERROR(INDEX('Player Raw Data'!T:T,Match($A958,'Player Raw Data'!$B:$B,0)),"")</f>
        <v/>
      </c>
      <c r="K958" t="str">
        <f t="array" ref="K958">IFERROR(INDEX('Player Raw Data'!X:X,Match($A958,'Player Raw Data'!$B:$B,0)),"")</f>
        <v/>
      </c>
      <c r="L958" t="str">
        <f t="array" ref="L958">IFERROR(INDEX('Player Raw Data'!Y:Y,Match($A958,'Player Raw Data'!$B:$B,0)),"")</f>
        <v/>
      </c>
      <c r="M958" t="str">
        <f t="array" ref="M958">IFERROR(INDEX('Player Raw Data'!Z:Z,Match($A958,'Player Raw Data'!$B:$B,0)),"")</f>
        <v/>
      </c>
      <c r="N958" t="str">
        <f t="array" ref="N958">IFERROR(INDEX('Player Raw Data'!AA:AA,Match($A958,'Player Raw Data'!$B:$B,0)),"")</f>
        <v/>
      </c>
      <c r="O958" t="str">
        <f t="array" ref="O958">IFERROR(INDEX('Player Raw Data'!AB:AB,Match($A958,'Player Raw Data'!$B:$B,0)),"")</f>
        <v/>
      </c>
      <c r="P958" t="str">
        <f t="array" ref="P958">IFERROR(INDEX('Player Raw Data'!AD:AD,Match($A958,'Player Raw Data'!$B:$B,0)),"")</f>
        <v/>
      </c>
      <c r="Q958">
        <f t="shared" si="1"/>
        <v>0</v>
      </c>
      <c r="R958" s="9">
        <f t="shared" si="2"/>
        <v>0</v>
      </c>
      <c r="S958" s="14">
        <f t="shared" si="3"/>
        <v>0</v>
      </c>
      <c r="T958" s="15">
        <f>IFERROR(__xludf.DUMMYFUNCTION("IFERROR(PERCENTRANK.INC(FILTER(Q:Q,$F:$F&lt;&gt;""""),Q958)*100,"""")"),1.5)</f>
        <v>1.5</v>
      </c>
      <c r="U958" s="15">
        <f>IFERROR(__xludf.DUMMYFUNCTION("IFERROR(PERCENTRANK.INC(FILTER(R:R,$F:$F&lt;&gt;""""),R958)*100,"""")"),1.5)</f>
        <v>1.5</v>
      </c>
      <c r="V958" s="15">
        <f>IFERROR(__xludf.DUMMYFUNCTION("IFERROR(PERCENTRANK.INC(FILTER(S:S,$F:$F&lt;&gt;""""),S958)*100,"""")"),1.5)</f>
        <v>1.5</v>
      </c>
      <c r="W958" s="15" t="str">
        <f t="shared" si="4"/>
        <v/>
      </c>
      <c r="X958" s="16"/>
      <c r="Y958" s="9"/>
      <c r="Z958" s="9"/>
    </row>
    <row r="959">
      <c r="B959" t="str">
        <f t="array" ref="B959">IFERROR(INDEX('Player Raw Data'!C:C,Match($A959,'Player Raw Data'!$B:$B,0)),"")</f>
        <v/>
      </c>
      <c r="C959" t="str">
        <f t="array" ref="C959">IFERROR(INDEX('Player Raw Data'!D:D,Match($A959,'Player Raw Data'!$B:$B,0)),"")</f>
        <v/>
      </c>
      <c r="D959" t="str">
        <f t="array" ref="D959">IFERROR(IF(A959=A958, INDEX('Player Raw Data'!E:E,Match($A959,'Player Raw Data'!$B:$B,0)+2),INDEX('Player Raw Data'!E:E,Match($A959,'Player Raw Data'!$B:$B,0))),"")</f>
        <v/>
      </c>
      <c r="E959" t="str">
        <f t="array" ref="E959">IFERROR(INDEX('Player Raw Data'!F:F,Match($A959,'Player Raw Data'!$B:$B,0)),"")</f>
        <v/>
      </c>
      <c r="F959" t="str">
        <f t="array" ref="F959">IFERROR(INDEX('Player Raw Data'!H:H,Match($A959,'Player Raw Data'!$B:$B,0)),"")</f>
        <v/>
      </c>
      <c r="G959" t="str">
        <f t="array" ref="G959">IFERROR(INDEX('Player Raw Data'!I:I,Match($A959,'Player Raw Data'!$B:$B,0)),"")</f>
        <v/>
      </c>
      <c r="H959" t="str">
        <f t="array" ref="H959">IFERROR(INDEX('Player Raw Data'!J:J,Match($A959,'Player Raw Data'!$B:$B,0)),"")</f>
        <v/>
      </c>
      <c r="I959" t="str">
        <f t="array" ref="I959">IFERROR(INDEX('Player Raw Data'!S:S,Match($A959,'Player Raw Data'!$B:$B,0)),"")</f>
        <v/>
      </c>
      <c r="J959" t="str">
        <f t="array" ref="J959">IFERROR(INDEX('Player Raw Data'!T:T,Match($A959,'Player Raw Data'!$B:$B,0)),"")</f>
        <v/>
      </c>
      <c r="K959" t="str">
        <f t="array" ref="K959">IFERROR(INDEX('Player Raw Data'!X:X,Match($A959,'Player Raw Data'!$B:$B,0)),"")</f>
        <v/>
      </c>
      <c r="L959" t="str">
        <f t="array" ref="L959">IFERROR(INDEX('Player Raw Data'!Y:Y,Match($A959,'Player Raw Data'!$B:$B,0)),"")</f>
        <v/>
      </c>
      <c r="M959" t="str">
        <f t="array" ref="M959">IFERROR(INDEX('Player Raw Data'!Z:Z,Match($A959,'Player Raw Data'!$B:$B,0)),"")</f>
        <v/>
      </c>
      <c r="N959" t="str">
        <f t="array" ref="N959">IFERROR(INDEX('Player Raw Data'!AA:AA,Match($A959,'Player Raw Data'!$B:$B,0)),"")</f>
        <v/>
      </c>
      <c r="O959" t="str">
        <f t="array" ref="O959">IFERROR(INDEX('Player Raw Data'!AB:AB,Match($A959,'Player Raw Data'!$B:$B,0)),"")</f>
        <v/>
      </c>
      <c r="P959" t="str">
        <f t="array" ref="P959">IFERROR(INDEX('Player Raw Data'!AD:AD,Match($A959,'Player Raw Data'!$B:$B,0)),"")</f>
        <v/>
      </c>
      <c r="Q959">
        <f t="shared" si="1"/>
        <v>0</v>
      </c>
      <c r="R959" s="9">
        <f t="shared" si="2"/>
        <v>0</v>
      </c>
      <c r="S959" s="14">
        <f t="shared" si="3"/>
        <v>0</v>
      </c>
      <c r="T959" s="15">
        <f>IFERROR(__xludf.DUMMYFUNCTION("IFERROR(PERCENTRANK.INC(FILTER(Q:Q,$F:$F&lt;&gt;""""),Q959)*100,"""")"),1.5)</f>
        <v>1.5</v>
      </c>
      <c r="U959" s="15">
        <f>IFERROR(__xludf.DUMMYFUNCTION("IFERROR(PERCENTRANK.INC(FILTER(R:R,$F:$F&lt;&gt;""""),R959)*100,"""")"),1.5)</f>
        <v>1.5</v>
      </c>
      <c r="V959" s="15">
        <f>IFERROR(__xludf.DUMMYFUNCTION("IFERROR(PERCENTRANK.INC(FILTER(S:S,$F:$F&lt;&gt;""""),S959)*100,"""")"),1.5)</f>
        <v>1.5</v>
      </c>
      <c r="W959" s="15" t="str">
        <f t="shared" si="4"/>
        <v/>
      </c>
      <c r="X959" s="16"/>
      <c r="Y959" s="9"/>
      <c r="Z959" s="9"/>
    </row>
    <row r="960">
      <c r="B960" t="str">
        <f t="array" ref="B960">IFERROR(INDEX('Player Raw Data'!C:C,Match($A960,'Player Raw Data'!$B:$B,0)),"")</f>
        <v/>
      </c>
      <c r="C960" t="str">
        <f t="array" ref="C960">IFERROR(INDEX('Player Raw Data'!D:D,Match($A960,'Player Raw Data'!$B:$B,0)),"")</f>
        <v/>
      </c>
      <c r="D960" t="str">
        <f t="array" ref="D960">IFERROR(IF(A960=A959, INDEX('Player Raw Data'!E:E,Match($A960,'Player Raw Data'!$B:$B,0)+2),INDEX('Player Raw Data'!E:E,Match($A960,'Player Raw Data'!$B:$B,0))),"")</f>
        <v/>
      </c>
      <c r="E960" t="str">
        <f t="array" ref="E960">IFERROR(INDEX('Player Raw Data'!F:F,Match($A960,'Player Raw Data'!$B:$B,0)),"")</f>
        <v/>
      </c>
      <c r="F960" t="str">
        <f t="array" ref="F960">IFERROR(INDEX('Player Raw Data'!H:H,Match($A960,'Player Raw Data'!$B:$B,0)),"")</f>
        <v/>
      </c>
      <c r="G960" t="str">
        <f t="array" ref="G960">IFERROR(INDEX('Player Raw Data'!I:I,Match($A960,'Player Raw Data'!$B:$B,0)),"")</f>
        <v/>
      </c>
      <c r="H960" t="str">
        <f t="array" ref="H960">IFERROR(INDEX('Player Raw Data'!J:J,Match($A960,'Player Raw Data'!$B:$B,0)),"")</f>
        <v/>
      </c>
      <c r="I960" t="str">
        <f t="array" ref="I960">IFERROR(INDEX('Player Raw Data'!S:S,Match($A960,'Player Raw Data'!$B:$B,0)),"")</f>
        <v/>
      </c>
      <c r="J960" t="str">
        <f t="array" ref="J960">IFERROR(INDEX('Player Raw Data'!T:T,Match($A960,'Player Raw Data'!$B:$B,0)),"")</f>
        <v/>
      </c>
      <c r="K960" t="str">
        <f t="array" ref="K960">IFERROR(INDEX('Player Raw Data'!X:X,Match($A960,'Player Raw Data'!$B:$B,0)),"")</f>
        <v/>
      </c>
      <c r="L960" t="str">
        <f t="array" ref="L960">IFERROR(INDEX('Player Raw Data'!Y:Y,Match($A960,'Player Raw Data'!$B:$B,0)),"")</f>
        <v/>
      </c>
      <c r="M960" t="str">
        <f t="array" ref="M960">IFERROR(INDEX('Player Raw Data'!Z:Z,Match($A960,'Player Raw Data'!$B:$B,0)),"")</f>
        <v/>
      </c>
      <c r="N960" t="str">
        <f t="array" ref="N960">IFERROR(INDEX('Player Raw Data'!AA:AA,Match($A960,'Player Raw Data'!$B:$B,0)),"")</f>
        <v/>
      </c>
      <c r="O960" t="str">
        <f t="array" ref="O960">IFERROR(INDEX('Player Raw Data'!AB:AB,Match($A960,'Player Raw Data'!$B:$B,0)),"")</f>
        <v/>
      </c>
      <c r="P960" t="str">
        <f t="array" ref="P960">IFERROR(INDEX('Player Raw Data'!AD:AD,Match($A960,'Player Raw Data'!$B:$B,0)),"")</f>
        <v/>
      </c>
      <c r="Q960">
        <f t="shared" si="1"/>
        <v>0</v>
      </c>
      <c r="R960" s="9">
        <f t="shared" si="2"/>
        <v>0</v>
      </c>
      <c r="S960" s="14">
        <f t="shared" si="3"/>
        <v>0</v>
      </c>
      <c r="T960" s="15">
        <f>IFERROR(__xludf.DUMMYFUNCTION("IFERROR(PERCENTRANK.INC(FILTER(Q:Q,$F:$F&lt;&gt;""""),Q960)*100,"""")"),1.5)</f>
        <v>1.5</v>
      </c>
      <c r="U960" s="15">
        <f>IFERROR(__xludf.DUMMYFUNCTION("IFERROR(PERCENTRANK.INC(FILTER(R:R,$F:$F&lt;&gt;""""),R960)*100,"""")"),1.5)</f>
        <v>1.5</v>
      </c>
      <c r="V960" s="15">
        <f>IFERROR(__xludf.DUMMYFUNCTION("IFERROR(PERCENTRANK.INC(FILTER(S:S,$F:$F&lt;&gt;""""),S960)*100,"""")"),1.5)</f>
        <v>1.5</v>
      </c>
      <c r="W960" s="15" t="str">
        <f t="shared" si="4"/>
        <v/>
      </c>
      <c r="X960" s="16"/>
      <c r="Y960" s="9"/>
      <c r="Z960" s="9"/>
    </row>
    <row r="961">
      <c r="B961" t="str">
        <f t="array" ref="B961">IFERROR(INDEX('Player Raw Data'!C:C,Match($A961,'Player Raw Data'!$B:$B,0)),"")</f>
        <v/>
      </c>
      <c r="C961" t="str">
        <f t="array" ref="C961">IFERROR(INDEX('Player Raw Data'!D:D,Match($A961,'Player Raw Data'!$B:$B,0)),"")</f>
        <v/>
      </c>
      <c r="D961" t="str">
        <f t="array" ref="D961">IFERROR(IF(A961=A960, INDEX('Player Raw Data'!E:E,Match($A961,'Player Raw Data'!$B:$B,0)+2),INDEX('Player Raw Data'!E:E,Match($A961,'Player Raw Data'!$B:$B,0))),"")</f>
        <v/>
      </c>
      <c r="E961" t="str">
        <f t="array" ref="E961">IFERROR(INDEX('Player Raw Data'!F:F,Match($A961,'Player Raw Data'!$B:$B,0)),"")</f>
        <v/>
      </c>
      <c r="F961" t="str">
        <f t="array" ref="F961">IFERROR(INDEX('Player Raw Data'!H:H,Match($A961,'Player Raw Data'!$B:$B,0)),"")</f>
        <v/>
      </c>
      <c r="G961" t="str">
        <f t="array" ref="G961">IFERROR(INDEX('Player Raw Data'!I:I,Match($A961,'Player Raw Data'!$B:$B,0)),"")</f>
        <v/>
      </c>
      <c r="H961" t="str">
        <f t="array" ref="H961">IFERROR(INDEX('Player Raw Data'!J:J,Match($A961,'Player Raw Data'!$B:$B,0)),"")</f>
        <v/>
      </c>
      <c r="I961" t="str">
        <f t="array" ref="I961">IFERROR(INDEX('Player Raw Data'!S:S,Match($A961,'Player Raw Data'!$B:$B,0)),"")</f>
        <v/>
      </c>
      <c r="J961" t="str">
        <f t="array" ref="J961">IFERROR(INDEX('Player Raw Data'!T:T,Match($A961,'Player Raw Data'!$B:$B,0)),"")</f>
        <v/>
      </c>
      <c r="K961" t="str">
        <f t="array" ref="K961">IFERROR(INDEX('Player Raw Data'!X:X,Match($A961,'Player Raw Data'!$B:$B,0)),"")</f>
        <v/>
      </c>
      <c r="L961" t="str">
        <f t="array" ref="L961">IFERROR(INDEX('Player Raw Data'!Y:Y,Match($A961,'Player Raw Data'!$B:$B,0)),"")</f>
        <v/>
      </c>
      <c r="M961" t="str">
        <f t="array" ref="M961">IFERROR(INDEX('Player Raw Data'!Z:Z,Match($A961,'Player Raw Data'!$B:$B,0)),"")</f>
        <v/>
      </c>
      <c r="N961" t="str">
        <f t="array" ref="N961">IFERROR(INDEX('Player Raw Data'!AA:AA,Match($A961,'Player Raw Data'!$B:$B,0)),"")</f>
        <v/>
      </c>
      <c r="O961" t="str">
        <f t="array" ref="O961">IFERROR(INDEX('Player Raw Data'!AB:AB,Match($A961,'Player Raw Data'!$B:$B,0)),"")</f>
        <v/>
      </c>
      <c r="P961" t="str">
        <f t="array" ref="P961">IFERROR(INDEX('Player Raw Data'!AD:AD,Match($A961,'Player Raw Data'!$B:$B,0)),"")</f>
        <v/>
      </c>
      <c r="Q961">
        <f t="shared" si="1"/>
        <v>0</v>
      </c>
      <c r="R961" s="9">
        <f t="shared" si="2"/>
        <v>0</v>
      </c>
      <c r="S961" s="14">
        <f t="shared" si="3"/>
        <v>0</v>
      </c>
      <c r="T961" s="15">
        <f>IFERROR(__xludf.DUMMYFUNCTION("IFERROR(PERCENTRANK.INC(FILTER(Q:Q,$F:$F&lt;&gt;""""),Q961)*100,"""")"),1.5)</f>
        <v>1.5</v>
      </c>
      <c r="U961" s="15">
        <f>IFERROR(__xludf.DUMMYFUNCTION("IFERROR(PERCENTRANK.INC(FILTER(R:R,$F:$F&lt;&gt;""""),R961)*100,"""")"),1.5)</f>
        <v>1.5</v>
      </c>
      <c r="V961" s="15">
        <f>IFERROR(__xludf.DUMMYFUNCTION("IFERROR(PERCENTRANK.INC(FILTER(S:S,$F:$F&lt;&gt;""""),S961)*100,"""")"),1.5)</f>
        <v>1.5</v>
      </c>
      <c r="W961" s="15" t="str">
        <f t="shared" si="4"/>
        <v/>
      </c>
      <c r="X961" s="16"/>
      <c r="Y961" s="9"/>
      <c r="Z961" s="9"/>
    </row>
    <row r="962">
      <c r="B962" t="str">
        <f t="array" ref="B962">IFERROR(INDEX('Player Raw Data'!C:C,Match($A962,'Player Raw Data'!$B:$B,0)),"")</f>
        <v/>
      </c>
      <c r="C962" t="str">
        <f t="array" ref="C962">IFERROR(INDEX('Player Raw Data'!D:D,Match($A962,'Player Raw Data'!$B:$B,0)),"")</f>
        <v/>
      </c>
      <c r="D962" t="str">
        <f t="array" ref="D962">IFERROR(IF(A962=A961, INDEX('Player Raw Data'!E:E,Match($A962,'Player Raw Data'!$B:$B,0)+2),INDEX('Player Raw Data'!E:E,Match($A962,'Player Raw Data'!$B:$B,0))),"")</f>
        <v/>
      </c>
      <c r="E962" t="str">
        <f t="array" ref="E962">IFERROR(INDEX('Player Raw Data'!F:F,Match($A962,'Player Raw Data'!$B:$B,0)),"")</f>
        <v/>
      </c>
      <c r="F962" t="str">
        <f t="array" ref="F962">IFERROR(INDEX('Player Raw Data'!H:H,Match($A962,'Player Raw Data'!$B:$B,0)),"")</f>
        <v/>
      </c>
      <c r="G962" t="str">
        <f t="array" ref="G962">IFERROR(INDEX('Player Raw Data'!I:I,Match($A962,'Player Raw Data'!$B:$B,0)),"")</f>
        <v/>
      </c>
      <c r="H962" t="str">
        <f t="array" ref="H962">IFERROR(INDEX('Player Raw Data'!J:J,Match($A962,'Player Raw Data'!$B:$B,0)),"")</f>
        <v/>
      </c>
      <c r="I962" t="str">
        <f t="array" ref="I962">IFERROR(INDEX('Player Raw Data'!S:S,Match($A962,'Player Raw Data'!$B:$B,0)),"")</f>
        <v/>
      </c>
      <c r="J962" t="str">
        <f t="array" ref="J962">IFERROR(INDEX('Player Raw Data'!T:T,Match($A962,'Player Raw Data'!$B:$B,0)),"")</f>
        <v/>
      </c>
      <c r="K962" t="str">
        <f t="array" ref="K962">IFERROR(INDEX('Player Raw Data'!X:X,Match($A962,'Player Raw Data'!$B:$B,0)),"")</f>
        <v/>
      </c>
      <c r="L962" t="str">
        <f t="array" ref="L962">IFERROR(INDEX('Player Raw Data'!Y:Y,Match($A962,'Player Raw Data'!$B:$B,0)),"")</f>
        <v/>
      </c>
      <c r="M962" t="str">
        <f t="array" ref="M962">IFERROR(INDEX('Player Raw Data'!Z:Z,Match($A962,'Player Raw Data'!$B:$B,0)),"")</f>
        <v/>
      </c>
      <c r="N962" t="str">
        <f t="array" ref="N962">IFERROR(INDEX('Player Raw Data'!AA:AA,Match($A962,'Player Raw Data'!$B:$B,0)),"")</f>
        <v/>
      </c>
      <c r="O962" t="str">
        <f t="array" ref="O962">IFERROR(INDEX('Player Raw Data'!AB:AB,Match($A962,'Player Raw Data'!$B:$B,0)),"")</f>
        <v/>
      </c>
      <c r="P962" t="str">
        <f t="array" ref="P962">IFERROR(INDEX('Player Raw Data'!AD:AD,Match($A962,'Player Raw Data'!$B:$B,0)),"")</f>
        <v/>
      </c>
      <c r="Q962">
        <f t="shared" si="1"/>
        <v>0</v>
      </c>
      <c r="R962" s="9">
        <f t="shared" si="2"/>
        <v>0</v>
      </c>
      <c r="S962" s="14">
        <f t="shared" si="3"/>
        <v>0</v>
      </c>
      <c r="T962" s="15">
        <f>IFERROR(__xludf.DUMMYFUNCTION("IFERROR(PERCENTRANK.INC(FILTER(Q:Q,$F:$F&lt;&gt;""""),Q962)*100,"""")"),1.5)</f>
        <v>1.5</v>
      </c>
      <c r="U962" s="15">
        <f>IFERROR(__xludf.DUMMYFUNCTION("IFERROR(PERCENTRANK.INC(FILTER(R:R,$F:$F&lt;&gt;""""),R962)*100,"""")"),1.5)</f>
        <v>1.5</v>
      </c>
      <c r="V962" s="15">
        <f>IFERROR(__xludf.DUMMYFUNCTION("IFERROR(PERCENTRANK.INC(FILTER(S:S,$F:$F&lt;&gt;""""),S962)*100,"""")"),1.5)</f>
        <v>1.5</v>
      </c>
      <c r="W962" s="15" t="str">
        <f t="shared" si="4"/>
        <v/>
      </c>
      <c r="X962" s="16"/>
      <c r="Y962" s="9"/>
      <c r="Z962" s="9"/>
    </row>
    <row r="963">
      <c r="B963" t="str">
        <f t="array" ref="B963">IFERROR(INDEX('Player Raw Data'!C:C,Match($A963,'Player Raw Data'!$B:$B,0)),"")</f>
        <v/>
      </c>
      <c r="C963" t="str">
        <f t="array" ref="C963">IFERROR(INDEX('Player Raw Data'!D:D,Match($A963,'Player Raw Data'!$B:$B,0)),"")</f>
        <v/>
      </c>
      <c r="D963" t="str">
        <f t="array" ref="D963">IFERROR(IF(A963=A962, INDEX('Player Raw Data'!E:E,Match($A963,'Player Raw Data'!$B:$B,0)+2),INDEX('Player Raw Data'!E:E,Match($A963,'Player Raw Data'!$B:$B,0))),"")</f>
        <v/>
      </c>
      <c r="E963" t="str">
        <f t="array" ref="E963">IFERROR(INDEX('Player Raw Data'!F:F,Match($A963,'Player Raw Data'!$B:$B,0)),"")</f>
        <v/>
      </c>
      <c r="F963" t="str">
        <f t="array" ref="F963">IFERROR(INDEX('Player Raw Data'!H:H,Match($A963,'Player Raw Data'!$B:$B,0)),"")</f>
        <v/>
      </c>
      <c r="G963" t="str">
        <f t="array" ref="G963">IFERROR(INDEX('Player Raw Data'!I:I,Match($A963,'Player Raw Data'!$B:$B,0)),"")</f>
        <v/>
      </c>
      <c r="H963" t="str">
        <f t="array" ref="H963">IFERROR(INDEX('Player Raw Data'!J:J,Match($A963,'Player Raw Data'!$B:$B,0)),"")</f>
        <v/>
      </c>
      <c r="I963" t="str">
        <f t="array" ref="I963">IFERROR(INDEX('Player Raw Data'!S:S,Match($A963,'Player Raw Data'!$B:$B,0)),"")</f>
        <v/>
      </c>
      <c r="J963" t="str">
        <f t="array" ref="J963">IFERROR(INDEX('Player Raw Data'!T:T,Match($A963,'Player Raw Data'!$B:$B,0)),"")</f>
        <v/>
      </c>
      <c r="K963" t="str">
        <f t="array" ref="K963">IFERROR(INDEX('Player Raw Data'!X:X,Match($A963,'Player Raw Data'!$B:$B,0)),"")</f>
        <v/>
      </c>
      <c r="L963" t="str">
        <f t="array" ref="L963">IFERROR(INDEX('Player Raw Data'!Y:Y,Match($A963,'Player Raw Data'!$B:$B,0)),"")</f>
        <v/>
      </c>
      <c r="M963" t="str">
        <f t="array" ref="M963">IFERROR(INDEX('Player Raw Data'!Z:Z,Match($A963,'Player Raw Data'!$B:$B,0)),"")</f>
        <v/>
      </c>
      <c r="N963" t="str">
        <f t="array" ref="N963">IFERROR(INDEX('Player Raw Data'!AA:AA,Match($A963,'Player Raw Data'!$B:$B,0)),"")</f>
        <v/>
      </c>
      <c r="O963" t="str">
        <f t="array" ref="O963">IFERROR(INDEX('Player Raw Data'!AB:AB,Match($A963,'Player Raw Data'!$B:$B,0)),"")</f>
        <v/>
      </c>
      <c r="P963" t="str">
        <f t="array" ref="P963">IFERROR(INDEX('Player Raw Data'!AD:AD,Match($A963,'Player Raw Data'!$B:$B,0)),"")</f>
        <v/>
      </c>
      <c r="Q963">
        <f t="shared" si="1"/>
        <v>0</v>
      </c>
      <c r="R963" s="9">
        <f t="shared" si="2"/>
        <v>0</v>
      </c>
      <c r="S963" s="14">
        <f t="shared" si="3"/>
        <v>0</v>
      </c>
      <c r="T963" s="15">
        <f>IFERROR(__xludf.DUMMYFUNCTION("IFERROR(PERCENTRANK.INC(FILTER(Q:Q,$F:$F&lt;&gt;""""),Q963)*100,"""")"),1.5)</f>
        <v>1.5</v>
      </c>
      <c r="U963" s="15">
        <f>IFERROR(__xludf.DUMMYFUNCTION("IFERROR(PERCENTRANK.INC(FILTER(R:R,$F:$F&lt;&gt;""""),R963)*100,"""")"),1.5)</f>
        <v>1.5</v>
      </c>
      <c r="V963" s="15">
        <f>IFERROR(__xludf.DUMMYFUNCTION("IFERROR(PERCENTRANK.INC(FILTER(S:S,$F:$F&lt;&gt;""""),S963)*100,"""")"),1.5)</f>
        <v>1.5</v>
      </c>
      <c r="W963" s="15" t="str">
        <f t="shared" si="4"/>
        <v/>
      </c>
      <c r="X963" s="16"/>
      <c r="Y963" s="9"/>
      <c r="Z963" s="9"/>
    </row>
    <row r="964">
      <c r="B964" t="str">
        <f t="array" ref="B964">IFERROR(INDEX('Player Raw Data'!C:C,Match($A964,'Player Raw Data'!$B:$B,0)),"")</f>
        <v/>
      </c>
      <c r="C964" t="str">
        <f t="array" ref="C964">IFERROR(INDEX('Player Raw Data'!D:D,Match($A964,'Player Raw Data'!$B:$B,0)),"")</f>
        <v/>
      </c>
      <c r="D964" t="str">
        <f t="array" ref="D964">IFERROR(IF(A964=A963, INDEX('Player Raw Data'!E:E,Match($A964,'Player Raw Data'!$B:$B,0)+2),INDEX('Player Raw Data'!E:E,Match($A964,'Player Raw Data'!$B:$B,0))),"")</f>
        <v/>
      </c>
      <c r="E964" t="str">
        <f t="array" ref="E964">IFERROR(INDEX('Player Raw Data'!F:F,Match($A964,'Player Raw Data'!$B:$B,0)),"")</f>
        <v/>
      </c>
      <c r="F964" t="str">
        <f t="array" ref="F964">IFERROR(INDEX('Player Raw Data'!H:H,Match($A964,'Player Raw Data'!$B:$B,0)),"")</f>
        <v/>
      </c>
      <c r="G964" t="str">
        <f t="array" ref="G964">IFERROR(INDEX('Player Raw Data'!I:I,Match($A964,'Player Raw Data'!$B:$B,0)),"")</f>
        <v/>
      </c>
      <c r="H964" t="str">
        <f t="array" ref="H964">IFERROR(INDEX('Player Raw Data'!J:J,Match($A964,'Player Raw Data'!$B:$B,0)),"")</f>
        <v/>
      </c>
      <c r="I964" t="str">
        <f t="array" ref="I964">IFERROR(INDEX('Player Raw Data'!S:S,Match($A964,'Player Raw Data'!$B:$B,0)),"")</f>
        <v/>
      </c>
      <c r="J964" t="str">
        <f t="array" ref="J964">IFERROR(INDEX('Player Raw Data'!T:T,Match($A964,'Player Raw Data'!$B:$B,0)),"")</f>
        <v/>
      </c>
      <c r="K964" t="str">
        <f t="array" ref="K964">IFERROR(INDEX('Player Raw Data'!X:X,Match($A964,'Player Raw Data'!$B:$B,0)),"")</f>
        <v/>
      </c>
      <c r="L964" t="str">
        <f t="array" ref="L964">IFERROR(INDEX('Player Raw Data'!Y:Y,Match($A964,'Player Raw Data'!$B:$B,0)),"")</f>
        <v/>
      </c>
      <c r="M964" t="str">
        <f t="array" ref="M964">IFERROR(INDEX('Player Raw Data'!Z:Z,Match($A964,'Player Raw Data'!$B:$B,0)),"")</f>
        <v/>
      </c>
      <c r="N964" t="str">
        <f t="array" ref="N964">IFERROR(INDEX('Player Raw Data'!AA:AA,Match($A964,'Player Raw Data'!$B:$B,0)),"")</f>
        <v/>
      </c>
      <c r="O964" t="str">
        <f t="array" ref="O964">IFERROR(INDEX('Player Raw Data'!AB:AB,Match($A964,'Player Raw Data'!$B:$B,0)),"")</f>
        <v/>
      </c>
      <c r="P964" t="str">
        <f t="array" ref="P964">IFERROR(INDEX('Player Raw Data'!AD:AD,Match($A964,'Player Raw Data'!$B:$B,0)),"")</f>
        <v/>
      </c>
      <c r="Q964">
        <f t="shared" si="1"/>
        <v>0</v>
      </c>
      <c r="R964" s="9">
        <f t="shared" si="2"/>
        <v>0</v>
      </c>
      <c r="S964" s="14">
        <f t="shared" si="3"/>
        <v>0</v>
      </c>
      <c r="T964" s="15">
        <f>IFERROR(__xludf.DUMMYFUNCTION("IFERROR(PERCENTRANK.INC(FILTER(Q:Q,$F:$F&lt;&gt;""""),Q964)*100,"""")"),1.5)</f>
        <v>1.5</v>
      </c>
      <c r="U964" s="15">
        <f>IFERROR(__xludf.DUMMYFUNCTION("IFERROR(PERCENTRANK.INC(FILTER(R:R,$F:$F&lt;&gt;""""),R964)*100,"""")"),1.5)</f>
        <v>1.5</v>
      </c>
      <c r="V964" s="15">
        <f>IFERROR(__xludf.DUMMYFUNCTION("IFERROR(PERCENTRANK.INC(FILTER(S:S,$F:$F&lt;&gt;""""),S964)*100,"""")"),1.5)</f>
        <v>1.5</v>
      </c>
      <c r="W964" s="15" t="str">
        <f t="shared" si="4"/>
        <v/>
      </c>
      <c r="X964" s="16"/>
      <c r="Y964" s="9"/>
      <c r="Z964" s="9"/>
    </row>
    <row r="965">
      <c r="B965" t="str">
        <f t="array" ref="B965">IFERROR(INDEX('Player Raw Data'!C:C,Match($A965,'Player Raw Data'!$B:$B,0)),"")</f>
        <v/>
      </c>
      <c r="C965" t="str">
        <f t="array" ref="C965">IFERROR(INDEX('Player Raw Data'!D:D,Match($A965,'Player Raw Data'!$B:$B,0)),"")</f>
        <v/>
      </c>
      <c r="D965" t="str">
        <f t="array" ref="D965">IFERROR(IF(A965=A964, INDEX('Player Raw Data'!E:E,Match($A965,'Player Raw Data'!$B:$B,0)+2),INDEX('Player Raw Data'!E:E,Match($A965,'Player Raw Data'!$B:$B,0))),"")</f>
        <v/>
      </c>
      <c r="E965" t="str">
        <f t="array" ref="E965">IFERROR(INDEX('Player Raw Data'!F:F,Match($A965,'Player Raw Data'!$B:$B,0)),"")</f>
        <v/>
      </c>
      <c r="F965" t="str">
        <f t="array" ref="F965">IFERROR(INDEX('Player Raw Data'!H:H,Match($A965,'Player Raw Data'!$B:$B,0)),"")</f>
        <v/>
      </c>
      <c r="G965" t="str">
        <f t="array" ref="G965">IFERROR(INDEX('Player Raw Data'!I:I,Match($A965,'Player Raw Data'!$B:$B,0)),"")</f>
        <v/>
      </c>
      <c r="H965" t="str">
        <f t="array" ref="H965">IFERROR(INDEX('Player Raw Data'!J:J,Match($A965,'Player Raw Data'!$B:$B,0)),"")</f>
        <v/>
      </c>
      <c r="I965" t="str">
        <f t="array" ref="I965">IFERROR(INDEX('Player Raw Data'!S:S,Match($A965,'Player Raw Data'!$B:$B,0)),"")</f>
        <v/>
      </c>
      <c r="J965" t="str">
        <f t="array" ref="J965">IFERROR(INDEX('Player Raw Data'!T:T,Match($A965,'Player Raw Data'!$B:$B,0)),"")</f>
        <v/>
      </c>
      <c r="K965" t="str">
        <f t="array" ref="K965">IFERROR(INDEX('Player Raw Data'!X:X,Match($A965,'Player Raw Data'!$B:$B,0)),"")</f>
        <v/>
      </c>
      <c r="L965" t="str">
        <f t="array" ref="L965">IFERROR(INDEX('Player Raw Data'!Y:Y,Match($A965,'Player Raw Data'!$B:$B,0)),"")</f>
        <v/>
      </c>
      <c r="M965" t="str">
        <f t="array" ref="M965">IFERROR(INDEX('Player Raw Data'!Z:Z,Match($A965,'Player Raw Data'!$B:$B,0)),"")</f>
        <v/>
      </c>
      <c r="N965" t="str">
        <f t="array" ref="N965">IFERROR(INDEX('Player Raw Data'!AA:AA,Match($A965,'Player Raw Data'!$B:$B,0)),"")</f>
        <v/>
      </c>
      <c r="O965" t="str">
        <f t="array" ref="O965">IFERROR(INDEX('Player Raw Data'!AB:AB,Match($A965,'Player Raw Data'!$B:$B,0)),"")</f>
        <v/>
      </c>
      <c r="P965" t="str">
        <f t="array" ref="P965">IFERROR(INDEX('Player Raw Data'!AD:AD,Match($A965,'Player Raw Data'!$B:$B,0)),"")</f>
        <v/>
      </c>
      <c r="Q965">
        <f t="shared" si="1"/>
        <v>0</v>
      </c>
      <c r="R965" s="9">
        <f t="shared" si="2"/>
        <v>0</v>
      </c>
      <c r="S965" s="14">
        <f t="shared" si="3"/>
        <v>0</v>
      </c>
      <c r="T965" s="15">
        <f>IFERROR(__xludf.DUMMYFUNCTION("IFERROR(PERCENTRANK.INC(FILTER(Q:Q,$F:$F&lt;&gt;""""),Q965)*100,"""")"),1.5)</f>
        <v>1.5</v>
      </c>
      <c r="U965" s="15">
        <f>IFERROR(__xludf.DUMMYFUNCTION("IFERROR(PERCENTRANK.INC(FILTER(R:R,$F:$F&lt;&gt;""""),R965)*100,"""")"),1.5)</f>
        <v>1.5</v>
      </c>
      <c r="V965" s="15">
        <f>IFERROR(__xludf.DUMMYFUNCTION("IFERROR(PERCENTRANK.INC(FILTER(S:S,$F:$F&lt;&gt;""""),S965)*100,"""")"),1.5)</f>
        <v>1.5</v>
      </c>
      <c r="W965" s="15" t="str">
        <f t="shared" si="4"/>
        <v/>
      </c>
      <c r="X965" s="16"/>
      <c r="Y965" s="9"/>
      <c r="Z965" s="9"/>
    </row>
    <row r="966">
      <c r="B966" t="str">
        <f t="array" ref="B966">IFERROR(INDEX('Player Raw Data'!C:C,Match($A966,'Player Raw Data'!$B:$B,0)),"")</f>
        <v/>
      </c>
      <c r="C966" t="str">
        <f t="array" ref="C966">IFERROR(INDEX('Player Raw Data'!D:D,Match($A966,'Player Raw Data'!$B:$B,0)),"")</f>
        <v/>
      </c>
      <c r="D966" t="str">
        <f t="array" ref="D966">IFERROR(IF(A966=A965, INDEX('Player Raw Data'!E:E,Match($A966,'Player Raw Data'!$B:$B,0)+2),INDEX('Player Raw Data'!E:E,Match($A966,'Player Raw Data'!$B:$B,0))),"")</f>
        <v/>
      </c>
      <c r="E966" t="str">
        <f t="array" ref="E966">IFERROR(INDEX('Player Raw Data'!F:F,Match($A966,'Player Raw Data'!$B:$B,0)),"")</f>
        <v/>
      </c>
      <c r="F966" t="str">
        <f t="array" ref="F966">IFERROR(INDEX('Player Raw Data'!H:H,Match($A966,'Player Raw Data'!$B:$B,0)),"")</f>
        <v/>
      </c>
      <c r="G966" t="str">
        <f t="array" ref="G966">IFERROR(INDEX('Player Raw Data'!I:I,Match($A966,'Player Raw Data'!$B:$B,0)),"")</f>
        <v/>
      </c>
      <c r="H966" t="str">
        <f t="array" ref="H966">IFERROR(INDEX('Player Raw Data'!J:J,Match($A966,'Player Raw Data'!$B:$B,0)),"")</f>
        <v/>
      </c>
      <c r="I966" t="str">
        <f t="array" ref="I966">IFERROR(INDEX('Player Raw Data'!S:S,Match($A966,'Player Raw Data'!$B:$B,0)),"")</f>
        <v/>
      </c>
      <c r="J966" t="str">
        <f t="array" ref="J966">IFERROR(INDEX('Player Raw Data'!T:T,Match($A966,'Player Raw Data'!$B:$B,0)),"")</f>
        <v/>
      </c>
      <c r="K966" t="str">
        <f t="array" ref="K966">IFERROR(INDEX('Player Raw Data'!X:X,Match($A966,'Player Raw Data'!$B:$B,0)),"")</f>
        <v/>
      </c>
      <c r="L966" t="str">
        <f t="array" ref="L966">IFERROR(INDEX('Player Raw Data'!Y:Y,Match($A966,'Player Raw Data'!$B:$B,0)),"")</f>
        <v/>
      </c>
      <c r="M966" t="str">
        <f t="array" ref="M966">IFERROR(INDEX('Player Raw Data'!Z:Z,Match($A966,'Player Raw Data'!$B:$B,0)),"")</f>
        <v/>
      </c>
      <c r="N966" t="str">
        <f t="array" ref="N966">IFERROR(INDEX('Player Raw Data'!AA:AA,Match($A966,'Player Raw Data'!$B:$B,0)),"")</f>
        <v/>
      </c>
      <c r="O966" t="str">
        <f t="array" ref="O966">IFERROR(INDEX('Player Raw Data'!AB:AB,Match($A966,'Player Raw Data'!$B:$B,0)),"")</f>
        <v/>
      </c>
      <c r="P966" t="str">
        <f t="array" ref="P966">IFERROR(INDEX('Player Raw Data'!AD:AD,Match($A966,'Player Raw Data'!$B:$B,0)),"")</f>
        <v/>
      </c>
      <c r="Q966">
        <f t="shared" si="1"/>
        <v>0</v>
      </c>
      <c r="R966" s="9">
        <f t="shared" si="2"/>
        <v>0</v>
      </c>
      <c r="S966" s="14">
        <f t="shared" si="3"/>
        <v>0</v>
      </c>
      <c r="T966" s="15">
        <f>IFERROR(__xludf.DUMMYFUNCTION("IFERROR(PERCENTRANK.INC(FILTER(Q:Q,$F:$F&lt;&gt;""""),Q966)*100,"""")"),1.5)</f>
        <v>1.5</v>
      </c>
      <c r="U966" s="15">
        <f>IFERROR(__xludf.DUMMYFUNCTION("IFERROR(PERCENTRANK.INC(FILTER(R:R,$F:$F&lt;&gt;""""),R966)*100,"""")"),1.5)</f>
        <v>1.5</v>
      </c>
      <c r="V966" s="15">
        <f>IFERROR(__xludf.DUMMYFUNCTION("IFERROR(PERCENTRANK.INC(FILTER(S:S,$F:$F&lt;&gt;""""),S966)*100,"""")"),1.5)</f>
        <v>1.5</v>
      </c>
      <c r="W966" s="15" t="str">
        <f t="shared" si="4"/>
        <v/>
      </c>
      <c r="X966" s="16"/>
      <c r="Y966" s="9"/>
      <c r="Z966" s="9"/>
    </row>
    <row r="967">
      <c r="B967" t="str">
        <f t="array" ref="B967">IFERROR(INDEX('Player Raw Data'!C:C,Match($A967,'Player Raw Data'!$B:$B,0)),"")</f>
        <v/>
      </c>
      <c r="C967" t="str">
        <f t="array" ref="C967">IFERROR(INDEX('Player Raw Data'!D:D,Match($A967,'Player Raw Data'!$B:$B,0)),"")</f>
        <v/>
      </c>
      <c r="D967" t="str">
        <f t="array" ref="D967">IFERROR(IF(A967=A966, INDEX('Player Raw Data'!E:E,Match($A967,'Player Raw Data'!$B:$B,0)+2),INDEX('Player Raw Data'!E:E,Match($A967,'Player Raw Data'!$B:$B,0))),"")</f>
        <v/>
      </c>
      <c r="E967" t="str">
        <f t="array" ref="E967">IFERROR(INDEX('Player Raw Data'!F:F,Match($A967,'Player Raw Data'!$B:$B,0)),"")</f>
        <v/>
      </c>
      <c r="F967" t="str">
        <f t="array" ref="F967">IFERROR(INDEX('Player Raw Data'!H:H,Match($A967,'Player Raw Data'!$B:$B,0)),"")</f>
        <v/>
      </c>
      <c r="G967" t="str">
        <f t="array" ref="G967">IFERROR(INDEX('Player Raw Data'!I:I,Match($A967,'Player Raw Data'!$B:$B,0)),"")</f>
        <v/>
      </c>
      <c r="H967" t="str">
        <f t="array" ref="H967">IFERROR(INDEX('Player Raw Data'!J:J,Match($A967,'Player Raw Data'!$B:$B,0)),"")</f>
        <v/>
      </c>
      <c r="I967" t="str">
        <f t="array" ref="I967">IFERROR(INDEX('Player Raw Data'!S:S,Match($A967,'Player Raw Data'!$B:$B,0)),"")</f>
        <v/>
      </c>
      <c r="J967" t="str">
        <f t="array" ref="J967">IFERROR(INDEX('Player Raw Data'!T:T,Match($A967,'Player Raw Data'!$B:$B,0)),"")</f>
        <v/>
      </c>
      <c r="K967" t="str">
        <f t="array" ref="K967">IFERROR(INDEX('Player Raw Data'!X:X,Match($A967,'Player Raw Data'!$B:$B,0)),"")</f>
        <v/>
      </c>
      <c r="L967" t="str">
        <f t="array" ref="L967">IFERROR(INDEX('Player Raw Data'!Y:Y,Match($A967,'Player Raw Data'!$B:$B,0)),"")</f>
        <v/>
      </c>
      <c r="M967" t="str">
        <f t="array" ref="M967">IFERROR(INDEX('Player Raw Data'!Z:Z,Match($A967,'Player Raw Data'!$B:$B,0)),"")</f>
        <v/>
      </c>
      <c r="N967" t="str">
        <f t="array" ref="N967">IFERROR(INDEX('Player Raw Data'!AA:AA,Match($A967,'Player Raw Data'!$B:$B,0)),"")</f>
        <v/>
      </c>
      <c r="O967" t="str">
        <f t="array" ref="O967">IFERROR(INDEX('Player Raw Data'!AB:AB,Match($A967,'Player Raw Data'!$B:$B,0)),"")</f>
        <v/>
      </c>
      <c r="P967" t="str">
        <f t="array" ref="P967">IFERROR(INDEX('Player Raw Data'!AD:AD,Match($A967,'Player Raw Data'!$B:$B,0)),"")</f>
        <v/>
      </c>
      <c r="Q967">
        <f t="shared" si="1"/>
        <v>0</v>
      </c>
      <c r="R967" s="9">
        <f t="shared" si="2"/>
        <v>0</v>
      </c>
      <c r="S967" s="14">
        <f t="shared" si="3"/>
        <v>0</v>
      </c>
      <c r="T967" s="15">
        <f>IFERROR(__xludf.DUMMYFUNCTION("IFERROR(PERCENTRANK.INC(FILTER(Q:Q,$F:$F&lt;&gt;""""),Q967)*100,"""")"),1.5)</f>
        <v>1.5</v>
      </c>
      <c r="U967" s="15">
        <f>IFERROR(__xludf.DUMMYFUNCTION("IFERROR(PERCENTRANK.INC(FILTER(R:R,$F:$F&lt;&gt;""""),R967)*100,"""")"),1.5)</f>
        <v>1.5</v>
      </c>
      <c r="V967" s="15">
        <f>IFERROR(__xludf.DUMMYFUNCTION("IFERROR(PERCENTRANK.INC(FILTER(S:S,$F:$F&lt;&gt;""""),S967)*100,"""")"),1.5)</f>
        <v>1.5</v>
      </c>
      <c r="W967" s="15" t="str">
        <f t="shared" si="4"/>
        <v/>
      </c>
      <c r="X967" s="16"/>
      <c r="Y967" s="9"/>
      <c r="Z967" s="9"/>
    </row>
    <row r="968">
      <c r="B968" t="str">
        <f t="array" ref="B968">IFERROR(INDEX('Player Raw Data'!C:C,Match($A968,'Player Raw Data'!$B:$B,0)),"")</f>
        <v/>
      </c>
      <c r="C968" t="str">
        <f t="array" ref="C968">IFERROR(INDEX('Player Raw Data'!D:D,Match($A968,'Player Raw Data'!$B:$B,0)),"")</f>
        <v/>
      </c>
      <c r="D968" t="str">
        <f t="array" ref="D968">IFERROR(IF(A968=A967, INDEX('Player Raw Data'!E:E,Match($A968,'Player Raw Data'!$B:$B,0)+2),INDEX('Player Raw Data'!E:E,Match($A968,'Player Raw Data'!$B:$B,0))),"")</f>
        <v/>
      </c>
      <c r="E968" t="str">
        <f t="array" ref="E968">IFERROR(INDEX('Player Raw Data'!F:F,Match($A968,'Player Raw Data'!$B:$B,0)),"")</f>
        <v/>
      </c>
      <c r="F968" t="str">
        <f t="array" ref="F968">IFERROR(INDEX('Player Raw Data'!H:H,Match($A968,'Player Raw Data'!$B:$B,0)),"")</f>
        <v/>
      </c>
      <c r="G968" t="str">
        <f t="array" ref="G968">IFERROR(INDEX('Player Raw Data'!I:I,Match($A968,'Player Raw Data'!$B:$B,0)),"")</f>
        <v/>
      </c>
      <c r="H968" t="str">
        <f t="array" ref="H968">IFERROR(INDEX('Player Raw Data'!J:J,Match($A968,'Player Raw Data'!$B:$B,0)),"")</f>
        <v/>
      </c>
      <c r="I968" t="str">
        <f t="array" ref="I968">IFERROR(INDEX('Player Raw Data'!S:S,Match($A968,'Player Raw Data'!$B:$B,0)),"")</f>
        <v/>
      </c>
      <c r="J968" t="str">
        <f t="array" ref="J968">IFERROR(INDEX('Player Raw Data'!T:T,Match($A968,'Player Raw Data'!$B:$B,0)),"")</f>
        <v/>
      </c>
      <c r="K968" t="str">
        <f t="array" ref="K968">IFERROR(INDEX('Player Raw Data'!X:X,Match($A968,'Player Raw Data'!$B:$B,0)),"")</f>
        <v/>
      </c>
      <c r="L968" t="str">
        <f t="array" ref="L968">IFERROR(INDEX('Player Raw Data'!Y:Y,Match($A968,'Player Raw Data'!$B:$B,0)),"")</f>
        <v/>
      </c>
      <c r="M968" t="str">
        <f t="array" ref="M968">IFERROR(INDEX('Player Raw Data'!Z:Z,Match($A968,'Player Raw Data'!$B:$B,0)),"")</f>
        <v/>
      </c>
      <c r="N968" t="str">
        <f t="array" ref="N968">IFERROR(INDEX('Player Raw Data'!AA:AA,Match($A968,'Player Raw Data'!$B:$B,0)),"")</f>
        <v/>
      </c>
      <c r="O968" t="str">
        <f t="array" ref="O968">IFERROR(INDEX('Player Raw Data'!AB:AB,Match($A968,'Player Raw Data'!$B:$B,0)),"")</f>
        <v/>
      </c>
      <c r="P968" t="str">
        <f t="array" ref="P968">IFERROR(INDEX('Player Raw Data'!AD:AD,Match($A968,'Player Raw Data'!$B:$B,0)),"")</f>
        <v/>
      </c>
      <c r="Q968">
        <f t="shared" si="1"/>
        <v>0</v>
      </c>
      <c r="R968" s="9">
        <f t="shared" si="2"/>
        <v>0</v>
      </c>
      <c r="S968" s="14">
        <f t="shared" si="3"/>
        <v>0</v>
      </c>
      <c r="T968" s="15">
        <f>IFERROR(__xludf.DUMMYFUNCTION("IFERROR(PERCENTRANK.INC(FILTER(Q:Q,$F:$F&lt;&gt;""""),Q968)*100,"""")"),1.5)</f>
        <v>1.5</v>
      </c>
      <c r="U968" s="15">
        <f>IFERROR(__xludf.DUMMYFUNCTION("IFERROR(PERCENTRANK.INC(FILTER(R:R,$F:$F&lt;&gt;""""),R968)*100,"""")"),1.5)</f>
        <v>1.5</v>
      </c>
      <c r="V968" s="15">
        <f>IFERROR(__xludf.DUMMYFUNCTION("IFERROR(PERCENTRANK.INC(FILTER(S:S,$F:$F&lt;&gt;""""),S968)*100,"""")"),1.5)</f>
        <v>1.5</v>
      </c>
      <c r="W968" s="15" t="str">
        <f t="shared" si="4"/>
        <v/>
      </c>
      <c r="X968" s="16"/>
      <c r="Y968" s="9"/>
      <c r="Z968" s="9"/>
    </row>
    <row r="969">
      <c r="B969" t="str">
        <f t="array" ref="B969">IFERROR(INDEX('Player Raw Data'!C:C,Match($A969,'Player Raw Data'!$B:$B,0)),"")</f>
        <v/>
      </c>
      <c r="C969" t="str">
        <f t="array" ref="C969">IFERROR(INDEX('Player Raw Data'!D:D,Match($A969,'Player Raw Data'!$B:$B,0)),"")</f>
        <v/>
      </c>
      <c r="D969" t="str">
        <f t="array" ref="D969">IFERROR(IF(A969=A968, INDEX('Player Raw Data'!E:E,Match($A969,'Player Raw Data'!$B:$B,0)+2),INDEX('Player Raw Data'!E:E,Match($A969,'Player Raw Data'!$B:$B,0))),"")</f>
        <v/>
      </c>
      <c r="E969" t="str">
        <f t="array" ref="E969">IFERROR(INDEX('Player Raw Data'!F:F,Match($A969,'Player Raw Data'!$B:$B,0)),"")</f>
        <v/>
      </c>
      <c r="F969" t="str">
        <f t="array" ref="F969">IFERROR(INDEX('Player Raw Data'!H:H,Match($A969,'Player Raw Data'!$B:$B,0)),"")</f>
        <v/>
      </c>
      <c r="G969" t="str">
        <f t="array" ref="G969">IFERROR(INDEX('Player Raw Data'!I:I,Match($A969,'Player Raw Data'!$B:$B,0)),"")</f>
        <v/>
      </c>
      <c r="H969" t="str">
        <f t="array" ref="H969">IFERROR(INDEX('Player Raw Data'!J:J,Match($A969,'Player Raw Data'!$B:$B,0)),"")</f>
        <v/>
      </c>
      <c r="I969" t="str">
        <f t="array" ref="I969">IFERROR(INDEX('Player Raw Data'!S:S,Match($A969,'Player Raw Data'!$B:$B,0)),"")</f>
        <v/>
      </c>
      <c r="J969" t="str">
        <f t="array" ref="J969">IFERROR(INDEX('Player Raw Data'!T:T,Match($A969,'Player Raw Data'!$B:$B,0)),"")</f>
        <v/>
      </c>
      <c r="K969" t="str">
        <f t="array" ref="K969">IFERROR(INDEX('Player Raw Data'!X:X,Match($A969,'Player Raw Data'!$B:$B,0)),"")</f>
        <v/>
      </c>
      <c r="L969" t="str">
        <f t="array" ref="L969">IFERROR(INDEX('Player Raw Data'!Y:Y,Match($A969,'Player Raw Data'!$B:$B,0)),"")</f>
        <v/>
      </c>
      <c r="M969" t="str">
        <f t="array" ref="M969">IFERROR(INDEX('Player Raw Data'!Z:Z,Match($A969,'Player Raw Data'!$B:$B,0)),"")</f>
        <v/>
      </c>
      <c r="N969" t="str">
        <f t="array" ref="N969">IFERROR(INDEX('Player Raw Data'!AA:AA,Match($A969,'Player Raw Data'!$B:$B,0)),"")</f>
        <v/>
      </c>
      <c r="O969" t="str">
        <f t="array" ref="O969">IFERROR(INDEX('Player Raw Data'!AB:AB,Match($A969,'Player Raw Data'!$B:$B,0)),"")</f>
        <v/>
      </c>
      <c r="P969" t="str">
        <f t="array" ref="P969">IFERROR(INDEX('Player Raw Data'!AD:AD,Match($A969,'Player Raw Data'!$B:$B,0)),"")</f>
        <v/>
      </c>
      <c r="Q969">
        <f t="shared" si="1"/>
        <v>0</v>
      </c>
      <c r="R969" s="9">
        <f t="shared" si="2"/>
        <v>0</v>
      </c>
      <c r="S969" s="14">
        <f t="shared" si="3"/>
        <v>0</v>
      </c>
      <c r="T969" s="15">
        <f>IFERROR(__xludf.DUMMYFUNCTION("IFERROR(PERCENTRANK.INC(FILTER(Q:Q,$F:$F&lt;&gt;""""),Q969)*100,"""")"),1.5)</f>
        <v>1.5</v>
      </c>
      <c r="U969" s="15">
        <f>IFERROR(__xludf.DUMMYFUNCTION("IFERROR(PERCENTRANK.INC(FILTER(R:R,$F:$F&lt;&gt;""""),R969)*100,"""")"),1.5)</f>
        <v>1.5</v>
      </c>
      <c r="V969" s="15">
        <f>IFERROR(__xludf.DUMMYFUNCTION("IFERROR(PERCENTRANK.INC(FILTER(S:S,$F:$F&lt;&gt;""""),S969)*100,"""")"),1.5)</f>
        <v>1.5</v>
      </c>
      <c r="W969" s="15" t="str">
        <f t="shared" si="4"/>
        <v/>
      </c>
      <c r="X969" s="16"/>
      <c r="Y969" s="9"/>
      <c r="Z969" s="9"/>
    </row>
    <row r="970">
      <c r="B970" t="str">
        <f t="array" ref="B970">IFERROR(INDEX('Player Raw Data'!C:C,Match($A970,'Player Raw Data'!$B:$B,0)),"")</f>
        <v/>
      </c>
      <c r="C970" t="str">
        <f t="array" ref="C970">IFERROR(INDEX('Player Raw Data'!D:D,Match($A970,'Player Raw Data'!$B:$B,0)),"")</f>
        <v/>
      </c>
      <c r="D970" t="str">
        <f t="array" ref="D970">IFERROR(IF(A970=A969, INDEX('Player Raw Data'!E:E,Match($A970,'Player Raw Data'!$B:$B,0)+2),INDEX('Player Raw Data'!E:E,Match($A970,'Player Raw Data'!$B:$B,0))),"")</f>
        <v/>
      </c>
      <c r="E970" t="str">
        <f t="array" ref="E970">IFERROR(INDEX('Player Raw Data'!F:F,Match($A970,'Player Raw Data'!$B:$B,0)),"")</f>
        <v/>
      </c>
      <c r="F970" t="str">
        <f t="array" ref="F970">IFERROR(INDEX('Player Raw Data'!H:H,Match($A970,'Player Raw Data'!$B:$B,0)),"")</f>
        <v/>
      </c>
      <c r="G970" t="str">
        <f t="array" ref="G970">IFERROR(INDEX('Player Raw Data'!I:I,Match($A970,'Player Raw Data'!$B:$B,0)),"")</f>
        <v/>
      </c>
      <c r="H970" t="str">
        <f t="array" ref="H970">IFERROR(INDEX('Player Raw Data'!J:J,Match($A970,'Player Raw Data'!$B:$B,0)),"")</f>
        <v/>
      </c>
      <c r="I970" t="str">
        <f t="array" ref="I970">IFERROR(INDEX('Player Raw Data'!S:S,Match($A970,'Player Raw Data'!$B:$B,0)),"")</f>
        <v/>
      </c>
      <c r="J970" t="str">
        <f t="array" ref="J970">IFERROR(INDEX('Player Raw Data'!T:T,Match($A970,'Player Raw Data'!$B:$B,0)),"")</f>
        <v/>
      </c>
      <c r="K970" t="str">
        <f t="array" ref="K970">IFERROR(INDEX('Player Raw Data'!X:X,Match($A970,'Player Raw Data'!$B:$B,0)),"")</f>
        <v/>
      </c>
      <c r="L970" t="str">
        <f t="array" ref="L970">IFERROR(INDEX('Player Raw Data'!Y:Y,Match($A970,'Player Raw Data'!$B:$B,0)),"")</f>
        <v/>
      </c>
      <c r="M970" t="str">
        <f t="array" ref="M970">IFERROR(INDEX('Player Raw Data'!Z:Z,Match($A970,'Player Raw Data'!$B:$B,0)),"")</f>
        <v/>
      </c>
      <c r="N970" t="str">
        <f t="array" ref="N970">IFERROR(INDEX('Player Raw Data'!AA:AA,Match($A970,'Player Raw Data'!$B:$B,0)),"")</f>
        <v/>
      </c>
      <c r="O970" t="str">
        <f t="array" ref="O970">IFERROR(INDEX('Player Raw Data'!AB:AB,Match($A970,'Player Raw Data'!$B:$B,0)),"")</f>
        <v/>
      </c>
      <c r="P970" t="str">
        <f t="array" ref="P970">IFERROR(INDEX('Player Raw Data'!AD:AD,Match($A970,'Player Raw Data'!$B:$B,0)),"")</f>
        <v/>
      </c>
      <c r="Q970">
        <f t="shared" si="1"/>
        <v>0</v>
      </c>
      <c r="R970" s="9">
        <f t="shared" si="2"/>
        <v>0</v>
      </c>
      <c r="S970" s="14">
        <f t="shared" si="3"/>
        <v>0</v>
      </c>
      <c r="T970" s="15">
        <f>IFERROR(__xludf.DUMMYFUNCTION("IFERROR(PERCENTRANK.INC(FILTER(Q:Q,$F:$F&lt;&gt;""""),Q970)*100,"""")"),1.5)</f>
        <v>1.5</v>
      </c>
      <c r="U970" s="15">
        <f>IFERROR(__xludf.DUMMYFUNCTION("IFERROR(PERCENTRANK.INC(FILTER(R:R,$F:$F&lt;&gt;""""),R970)*100,"""")"),1.5)</f>
        <v>1.5</v>
      </c>
      <c r="V970" s="15">
        <f>IFERROR(__xludf.DUMMYFUNCTION("IFERROR(PERCENTRANK.INC(FILTER(S:S,$F:$F&lt;&gt;""""),S970)*100,"""")"),1.5)</f>
        <v>1.5</v>
      </c>
      <c r="W970" s="15" t="str">
        <f t="shared" si="4"/>
        <v/>
      </c>
      <c r="X970" s="16"/>
      <c r="Y970" s="9"/>
      <c r="Z970" s="9"/>
    </row>
    <row r="971">
      <c r="B971" t="str">
        <f t="array" ref="B971">IFERROR(INDEX('Player Raw Data'!C:C,Match($A971,'Player Raw Data'!$B:$B,0)),"")</f>
        <v/>
      </c>
      <c r="C971" t="str">
        <f t="array" ref="C971">IFERROR(INDEX('Player Raw Data'!D:D,Match($A971,'Player Raw Data'!$B:$B,0)),"")</f>
        <v/>
      </c>
      <c r="D971" t="str">
        <f t="array" ref="D971">IFERROR(IF(A971=A970, INDEX('Player Raw Data'!E:E,Match($A971,'Player Raw Data'!$B:$B,0)+2),INDEX('Player Raw Data'!E:E,Match($A971,'Player Raw Data'!$B:$B,0))),"")</f>
        <v/>
      </c>
      <c r="E971" t="str">
        <f t="array" ref="E971">IFERROR(INDEX('Player Raw Data'!F:F,Match($A971,'Player Raw Data'!$B:$B,0)),"")</f>
        <v/>
      </c>
      <c r="F971" t="str">
        <f t="array" ref="F971">IFERROR(INDEX('Player Raw Data'!H:H,Match($A971,'Player Raw Data'!$B:$B,0)),"")</f>
        <v/>
      </c>
      <c r="G971" t="str">
        <f t="array" ref="G971">IFERROR(INDEX('Player Raw Data'!I:I,Match($A971,'Player Raw Data'!$B:$B,0)),"")</f>
        <v/>
      </c>
      <c r="H971" t="str">
        <f t="array" ref="H971">IFERROR(INDEX('Player Raw Data'!J:J,Match($A971,'Player Raw Data'!$B:$B,0)),"")</f>
        <v/>
      </c>
      <c r="I971" t="str">
        <f t="array" ref="I971">IFERROR(INDEX('Player Raw Data'!S:S,Match($A971,'Player Raw Data'!$B:$B,0)),"")</f>
        <v/>
      </c>
      <c r="J971" t="str">
        <f t="array" ref="J971">IFERROR(INDEX('Player Raw Data'!T:T,Match($A971,'Player Raw Data'!$B:$B,0)),"")</f>
        <v/>
      </c>
      <c r="K971" t="str">
        <f t="array" ref="K971">IFERROR(INDEX('Player Raw Data'!X:X,Match($A971,'Player Raw Data'!$B:$B,0)),"")</f>
        <v/>
      </c>
      <c r="L971" t="str">
        <f t="array" ref="L971">IFERROR(INDEX('Player Raw Data'!Y:Y,Match($A971,'Player Raw Data'!$B:$B,0)),"")</f>
        <v/>
      </c>
      <c r="M971" t="str">
        <f t="array" ref="M971">IFERROR(INDEX('Player Raw Data'!Z:Z,Match($A971,'Player Raw Data'!$B:$B,0)),"")</f>
        <v/>
      </c>
      <c r="N971" t="str">
        <f t="array" ref="N971">IFERROR(INDEX('Player Raw Data'!AA:AA,Match($A971,'Player Raw Data'!$B:$B,0)),"")</f>
        <v/>
      </c>
      <c r="O971" t="str">
        <f t="array" ref="O971">IFERROR(INDEX('Player Raw Data'!AB:AB,Match($A971,'Player Raw Data'!$B:$B,0)),"")</f>
        <v/>
      </c>
      <c r="P971" t="str">
        <f t="array" ref="P971">IFERROR(INDEX('Player Raw Data'!AD:AD,Match($A971,'Player Raw Data'!$B:$B,0)),"")</f>
        <v/>
      </c>
      <c r="Q971">
        <f t="shared" si="1"/>
        <v>0</v>
      </c>
      <c r="R971" s="9">
        <f t="shared" si="2"/>
        <v>0</v>
      </c>
      <c r="S971" s="14">
        <f t="shared" si="3"/>
        <v>0</v>
      </c>
      <c r="T971" s="15">
        <f>IFERROR(__xludf.DUMMYFUNCTION("IFERROR(PERCENTRANK.INC(FILTER(Q:Q,$F:$F&lt;&gt;""""),Q971)*100,"""")"),1.5)</f>
        <v>1.5</v>
      </c>
      <c r="U971" s="15">
        <f>IFERROR(__xludf.DUMMYFUNCTION("IFERROR(PERCENTRANK.INC(FILTER(R:R,$F:$F&lt;&gt;""""),R971)*100,"""")"),1.5)</f>
        <v>1.5</v>
      </c>
      <c r="V971" s="15">
        <f>IFERROR(__xludf.DUMMYFUNCTION("IFERROR(PERCENTRANK.INC(FILTER(S:S,$F:$F&lt;&gt;""""),S971)*100,"""")"),1.5)</f>
        <v>1.5</v>
      </c>
      <c r="W971" s="15" t="str">
        <f t="shared" si="4"/>
        <v/>
      </c>
      <c r="X971" s="16"/>
      <c r="Y971" s="9"/>
      <c r="Z971" s="9"/>
    </row>
    <row r="972">
      <c r="B972" t="str">
        <f t="array" ref="B972">IFERROR(INDEX('Player Raw Data'!C:C,Match($A972,'Player Raw Data'!$B:$B,0)),"")</f>
        <v/>
      </c>
      <c r="C972" t="str">
        <f t="array" ref="C972">IFERROR(INDEX('Player Raw Data'!D:D,Match($A972,'Player Raw Data'!$B:$B,0)),"")</f>
        <v/>
      </c>
      <c r="D972" t="str">
        <f t="array" ref="D972">IFERROR(IF(A972=A971, INDEX('Player Raw Data'!E:E,Match($A972,'Player Raw Data'!$B:$B,0)+2),INDEX('Player Raw Data'!E:E,Match($A972,'Player Raw Data'!$B:$B,0))),"")</f>
        <v/>
      </c>
      <c r="E972" t="str">
        <f t="array" ref="E972">IFERROR(INDEX('Player Raw Data'!F:F,Match($A972,'Player Raw Data'!$B:$B,0)),"")</f>
        <v/>
      </c>
      <c r="F972" t="str">
        <f t="array" ref="F972">IFERROR(INDEX('Player Raw Data'!H:H,Match($A972,'Player Raw Data'!$B:$B,0)),"")</f>
        <v/>
      </c>
      <c r="G972" t="str">
        <f t="array" ref="G972">IFERROR(INDEX('Player Raw Data'!I:I,Match($A972,'Player Raw Data'!$B:$B,0)),"")</f>
        <v/>
      </c>
      <c r="H972" t="str">
        <f t="array" ref="H972">IFERROR(INDEX('Player Raw Data'!J:J,Match($A972,'Player Raw Data'!$B:$B,0)),"")</f>
        <v/>
      </c>
      <c r="I972" t="str">
        <f t="array" ref="I972">IFERROR(INDEX('Player Raw Data'!S:S,Match($A972,'Player Raw Data'!$B:$B,0)),"")</f>
        <v/>
      </c>
      <c r="J972" t="str">
        <f t="array" ref="J972">IFERROR(INDEX('Player Raw Data'!T:T,Match($A972,'Player Raw Data'!$B:$B,0)),"")</f>
        <v/>
      </c>
      <c r="K972" t="str">
        <f t="array" ref="K972">IFERROR(INDEX('Player Raw Data'!X:X,Match($A972,'Player Raw Data'!$B:$B,0)),"")</f>
        <v/>
      </c>
      <c r="L972" t="str">
        <f t="array" ref="L972">IFERROR(INDEX('Player Raw Data'!Y:Y,Match($A972,'Player Raw Data'!$B:$B,0)),"")</f>
        <v/>
      </c>
      <c r="M972" t="str">
        <f t="array" ref="M972">IFERROR(INDEX('Player Raw Data'!Z:Z,Match($A972,'Player Raw Data'!$B:$B,0)),"")</f>
        <v/>
      </c>
      <c r="N972" t="str">
        <f t="array" ref="N972">IFERROR(INDEX('Player Raw Data'!AA:AA,Match($A972,'Player Raw Data'!$B:$B,0)),"")</f>
        <v/>
      </c>
      <c r="O972" t="str">
        <f t="array" ref="O972">IFERROR(INDEX('Player Raw Data'!AB:AB,Match($A972,'Player Raw Data'!$B:$B,0)),"")</f>
        <v/>
      </c>
      <c r="P972" t="str">
        <f t="array" ref="P972">IFERROR(INDEX('Player Raw Data'!AD:AD,Match($A972,'Player Raw Data'!$B:$B,0)),"")</f>
        <v/>
      </c>
      <c r="Q972">
        <f t="shared" si="1"/>
        <v>0</v>
      </c>
      <c r="R972" s="9">
        <f t="shared" si="2"/>
        <v>0</v>
      </c>
      <c r="S972" s="14">
        <f t="shared" si="3"/>
        <v>0</v>
      </c>
      <c r="T972" s="15">
        <f>IFERROR(__xludf.DUMMYFUNCTION("IFERROR(PERCENTRANK.INC(FILTER(Q:Q,$F:$F&lt;&gt;""""),Q972)*100,"""")"),1.5)</f>
        <v>1.5</v>
      </c>
      <c r="U972" s="15">
        <f>IFERROR(__xludf.DUMMYFUNCTION("IFERROR(PERCENTRANK.INC(FILTER(R:R,$F:$F&lt;&gt;""""),R972)*100,"""")"),1.5)</f>
        <v>1.5</v>
      </c>
      <c r="V972" s="15">
        <f>IFERROR(__xludf.DUMMYFUNCTION("IFERROR(PERCENTRANK.INC(FILTER(S:S,$F:$F&lt;&gt;""""),S972)*100,"""")"),1.5)</f>
        <v>1.5</v>
      </c>
      <c r="W972" s="15" t="str">
        <f t="shared" si="4"/>
        <v/>
      </c>
      <c r="X972" s="16"/>
      <c r="Y972" s="9"/>
      <c r="Z972" s="9"/>
    </row>
    <row r="973">
      <c r="B973" t="str">
        <f t="array" ref="B973">IFERROR(INDEX('Player Raw Data'!C:C,Match($A973,'Player Raw Data'!$B:$B,0)),"")</f>
        <v/>
      </c>
      <c r="C973" t="str">
        <f t="array" ref="C973">IFERROR(INDEX('Player Raw Data'!D:D,Match($A973,'Player Raw Data'!$B:$B,0)),"")</f>
        <v/>
      </c>
      <c r="D973" t="str">
        <f t="array" ref="D973">IFERROR(IF(A973=A972, INDEX('Player Raw Data'!E:E,Match($A973,'Player Raw Data'!$B:$B,0)+2),INDEX('Player Raw Data'!E:E,Match($A973,'Player Raw Data'!$B:$B,0))),"")</f>
        <v/>
      </c>
      <c r="E973" t="str">
        <f t="array" ref="E973">IFERROR(INDEX('Player Raw Data'!F:F,Match($A973,'Player Raw Data'!$B:$B,0)),"")</f>
        <v/>
      </c>
      <c r="F973" t="str">
        <f t="array" ref="F973">IFERROR(INDEX('Player Raw Data'!H:H,Match($A973,'Player Raw Data'!$B:$B,0)),"")</f>
        <v/>
      </c>
      <c r="G973" t="str">
        <f t="array" ref="G973">IFERROR(INDEX('Player Raw Data'!I:I,Match($A973,'Player Raw Data'!$B:$B,0)),"")</f>
        <v/>
      </c>
      <c r="H973" t="str">
        <f t="array" ref="H973">IFERROR(INDEX('Player Raw Data'!J:J,Match($A973,'Player Raw Data'!$B:$B,0)),"")</f>
        <v/>
      </c>
      <c r="I973" t="str">
        <f t="array" ref="I973">IFERROR(INDEX('Player Raw Data'!S:S,Match($A973,'Player Raw Data'!$B:$B,0)),"")</f>
        <v/>
      </c>
      <c r="J973" t="str">
        <f t="array" ref="J973">IFERROR(INDEX('Player Raw Data'!T:T,Match($A973,'Player Raw Data'!$B:$B,0)),"")</f>
        <v/>
      </c>
      <c r="K973" t="str">
        <f t="array" ref="K973">IFERROR(INDEX('Player Raw Data'!X:X,Match($A973,'Player Raw Data'!$B:$B,0)),"")</f>
        <v/>
      </c>
      <c r="L973" t="str">
        <f t="array" ref="L973">IFERROR(INDEX('Player Raw Data'!Y:Y,Match($A973,'Player Raw Data'!$B:$B,0)),"")</f>
        <v/>
      </c>
      <c r="M973" t="str">
        <f t="array" ref="M973">IFERROR(INDEX('Player Raw Data'!Z:Z,Match($A973,'Player Raw Data'!$B:$B,0)),"")</f>
        <v/>
      </c>
      <c r="N973" t="str">
        <f t="array" ref="N973">IFERROR(INDEX('Player Raw Data'!AA:AA,Match($A973,'Player Raw Data'!$B:$B,0)),"")</f>
        <v/>
      </c>
      <c r="O973" t="str">
        <f t="array" ref="O973">IFERROR(INDEX('Player Raw Data'!AB:AB,Match($A973,'Player Raw Data'!$B:$B,0)),"")</f>
        <v/>
      </c>
      <c r="P973" t="str">
        <f t="array" ref="P973">IFERROR(INDEX('Player Raw Data'!AD:AD,Match($A973,'Player Raw Data'!$B:$B,0)),"")</f>
        <v/>
      </c>
      <c r="Q973">
        <f t="shared" si="1"/>
        <v>0</v>
      </c>
      <c r="R973" s="9">
        <f t="shared" si="2"/>
        <v>0</v>
      </c>
      <c r="S973" s="14">
        <f t="shared" si="3"/>
        <v>0</v>
      </c>
      <c r="T973" s="15">
        <f>IFERROR(__xludf.DUMMYFUNCTION("IFERROR(PERCENTRANK.INC(FILTER(Q:Q,$F:$F&lt;&gt;""""),Q973)*100,"""")"),1.5)</f>
        <v>1.5</v>
      </c>
      <c r="U973" s="15">
        <f>IFERROR(__xludf.DUMMYFUNCTION("IFERROR(PERCENTRANK.INC(FILTER(R:R,$F:$F&lt;&gt;""""),R973)*100,"""")"),1.5)</f>
        <v>1.5</v>
      </c>
      <c r="V973" s="15">
        <f>IFERROR(__xludf.DUMMYFUNCTION("IFERROR(PERCENTRANK.INC(FILTER(S:S,$F:$F&lt;&gt;""""),S973)*100,"""")"),1.5)</f>
        <v>1.5</v>
      </c>
      <c r="W973" s="15" t="str">
        <f t="shared" si="4"/>
        <v/>
      </c>
      <c r="X973" s="16"/>
      <c r="Y973" s="9"/>
      <c r="Z973" s="9"/>
    </row>
    <row r="974">
      <c r="B974" t="str">
        <f t="array" ref="B974">IFERROR(INDEX('Player Raw Data'!C:C,Match($A974,'Player Raw Data'!$B:$B,0)),"")</f>
        <v/>
      </c>
      <c r="C974" t="str">
        <f t="array" ref="C974">IFERROR(INDEX('Player Raw Data'!D:D,Match($A974,'Player Raw Data'!$B:$B,0)),"")</f>
        <v/>
      </c>
      <c r="D974" t="str">
        <f t="array" ref="D974">IFERROR(IF(A974=A973, INDEX('Player Raw Data'!E:E,Match($A974,'Player Raw Data'!$B:$B,0)+2),INDEX('Player Raw Data'!E:E,Match($A974,'Player Raw Data'!$B:$B,0))),"")</f>
        <v/>
      </c>
      <c r="E974" t="str">
        <f t="array" ref="E974">IFERROR(INDEX('Player Raw Data'!F:F,Match($A974,'Player Raw Data'!$B:$B,0)),"")</f>
        <v/>
      </c>
      <c r="F974" t="str">
        <f t="array" ref="F974">IFERROR(INDEX('Player Raw Data'!H:H,Match($A974,'Player Raw Data'!$B:$B,0)),"")</f>
        <v/>
      </c>
      <c r="G974" t="str">
        <f t="array" ref="G974">IFERROR(INDEX('Player Raw Data'!I:I,Match($A974,'Player Raw Data'!$B:$B,0)),"")</f>
        <v/>
      </c>
      <c r="H974" t="str">
        <f t="array" ref="H974">IFERROR(INDEX('Player Raw Data'!J:J,Match($A974,'Player Raw Data'!$B:$B,0)),"")</f>
        <v/>
      </c>
      <c r="I974" t="str">
        <f t="array" ref="I974">IFERROR(INDEX('Player Raw Data'!S:S,Match($A974,'Player Raw Data'!$B:$B,0)),"")</f>
        <v/>
      </c>
      <c r="J974" t="str">
        <f t="array" ref="J974">IFERROR(INDEX('Player Raw Data'!T:T,Match($A974,'Player Raw Data'!$B:$B,0)),"")</f>
        <v/>
      </c>
      <c r="K974" t="str">
        <f t="array" ref="K974">IFERROR(INDEX('Player Raw Data'!X:X,Match($A974,'Player Raw Data'!$B:$B,0)),"")</f>
        <v/>
      </c>
      <c r="L974" t="str">
        <f t="array" ref="L974">IFERROR(INDEX('Player Raw Data'!Y:Y,Match($A974,'Player Raw Data'!$B:$B,0)),"")</f>
        <v/>
      </c>
      <c r="M974" t="str">
        <f t="array" ref="M974">IFERROR(INDEX('Player Raw Data'!Z:Z,Match($A974,'Player Raw Data'!$B:$B,0)),"")</f>
        <v/>
      </c>
      <c r="N974" t="str">
        <f t="array" ref="N974">IFERROR(INDEX('Player Raw Data'!AA:AA,Match($A974,'Player Raw Data'!$B:$B,0)),"")</f>
        <v/>
      </c>
      <c r="O974" t="str">
        <f t="array" ref="O974">IFERROR(INDEX('Player Raw Data'!AB:AB,Match($A974,'Player Raw Data'!$B:$B,0)),"")</f>
        <v/>
      </c>
      <c r="P974" t="str">
        <f t="array" ref="P974">IFERROR(INDEX('Player Raw Data'!AD:AD,Match($A974,'Player Raw Data'!$B:$B,0)),"")</f>
        <v/>
      </c>
      <c r="Q974">
        <f t="shared" si="1"/>
        <v>0</v>
      </c>
      <c r="R974" s="9">
        <f t="shared" si="2"/>
        <v>0</v>
      </c>
      <c r="S974" s="14">
        <f t="shared" si="3"/>
        <v>0</v>
      </c>
      <c r="T974" s="15">
        <f>IFERROR(__xludf.DUMMYFUNCTION("IFERROR(PERCENTRANK.INC(FILTER(Q:Q,$F:$F&lt;&gt;""""),Q974)*100,"""")"),1.5)</f>
        <v>1.5</v>
      </c>
      <c r="U974" s="15">
        <f>IFERROR(__xludf.DUMMYFUNCTION("IFERROR(PERCENTRANK.INC(FILTER(R:R,$F:$F&lt;&gt;""""),R974)*100,"""")"),1.5)</f>
        <v>1.5</v>
      </c>
      <c r="V974" s="15">
        <f>IFERROR(__xludf.DUMMYFUNCTION("IFERROR(PERCENTRANK.INC(FILTER(S:S,$F:$F&lt;&gt;""""),S974)*100,"""")"),1.5)</f>
        <v>1.5</v>
      </c>
      <c r="W974" s="15" t="str">
        <f t="shared" si="4"/>
        <v/>
      </c>
      <c r="X974" s="16"/>
      <c r="Y974" s="9"/>
      <c r="Z974" s="9"/>
    </row>
    <row r="975">
      <c r="B975" t="str">
        <f t="array" ref="B975">IFERROR(INDEX('Player Raw Data'!C:C,Match($A975,'Player Raw Data'!$B:$B,0)),"")</f>
        <v/>
      </c>
      <c r="C975" t="str">
        <f t="array" ref="C975">IFERROR(INDEX('Player Raw Data'!D:D,Match($A975,'Player Raw Data'!$B:$B,0)),"")</f>
        <v/>
      </c>
      <c r="D975" t="str">
        <f t="array" ref="D975">IFERROR(IF(A975=A974, INDEX('Player Raw Data'!E:E,Match($A975,'Player Raw Data'!$B:$B,0)+2),INDEX('Player Raw Data'!E:E,Match($A975,'Player Raw Data'!$B:$B,0))),"")</f>
        <v/>
      </c>
      <c r="E975" t="str">
        <f t="array" ref="E975">IFERROR(INDEX('Player Raw Data'!F:F,Match($A975,'Player Raw Data'!$B:$B,0)),"")</f>
        <v/>
      </c>
      <c r="F975" t="str">
        <f t="array" ref="F975">IFERROR(INDEX('Player Raw Data'!H:H,Match($A975,'Player Raw Data'!$B:$B,0)),"")</f>
        <v/>
      </c>
      <c r="G975" t="str">
        <f t="array" ref="G975">IFERROR(INDEX('Player Raw Data'!I:I,Match($A975,'Player Raw Data'!$B:$B,0)),"")</f>
        <v/>
      </c>
      <c r="H975" t="str">
        <f t="array" ref="H975">IFERROR(INDEX('Player Raw Data'!J:J,Match($A975,'Player Raw Data'!$B:$B,0)),"")</f>
        <v/>
      </c>
      <c r="I975" t="str">
        <f t="array" ref="I975">IFERROR(INDEX('Player Raw Data'!S:S,Match($A975,'Player Raw Data'!$B:$B,0)),"")</f>
        <v/>
      </c>
      <c r="J975" t="str">
        <f t="array" ref="J975">IFERROR(INDEX('Player Raw Data'!T:T,Match($A975,'Player Raw Data'!$B:$B,0)),"")</f>
        <v/>
      </c>
      <c r="K975" t="str">
        <f t="array" ref="K975">IFERROR(INDEX('Player Raw Data'!X:X,Match($A975,'Player Raw Data'!$B:$B,0)),"")</f>
        <v/>
      </c>
      <c r="L975" t="str">
        <f t="array" ref="L975">IFERROR(INDEX('Player Raw Data'!Y:Y,Match($A975,'Player Raw Data'!$B:$B,0)),"")</f>
        <v/>
      </c>
      <c r="M975" t="str">
        <f t="array" ref="M975">IFERROR(INDEX('Player Raw Data'!Z:Z,Match($A975,'Player Raw Data'!$B:$B,0)),"")</f>
        <v/>
      </c>
      <c r="N975" t="str">
        <f t="array" ref="N975">IFERROR(INDEX('Player Raw Data'!AA:AA,Match($A975,'Player Raw Data'!$B:$B,0)),"")</f>
        <v/>
      </c>
      <c r="O975" t="str">
        <f t="array" ref="O975">IFERROR(INDEX('Player Raw Data'!AB:AB,Match($A975,'Player Raw Data'!$B:$B,0)),"")</f>
        <v/>
      </c>
      <c r="P975" t="str">
        <f t="array" ref="P975">IFERROR(INDEX('Player Raw Data'!AD:AD,Match($A975,'Player Raw Data'!$B:$B,0)),"")</f>
        <v/>
      </c>
      <c r="Q975">
        <f t="shared" si="1"/>
        <v>0</v>
      </c>
      <c r="R975" s="9">
        <f t="shared" si="2"/>
        <v>0</v>
      </c>
      <c r="S975" s="14">
        <f t="shared" si="3"/>
        <v>0</v>
      </c>
      <c r="T975" s="15">
        <f>IFERROR(__xludf.DUMMYFUNCTION("IFERROR(PERCENTRANK.INC(FILTER(Q:Q,$F:$F&lt;&gt;""""),Q975)*100,"""")"),1.5)</f>
        <v>1.5</v>
      </c>
      <c r="U975" s="15">
        <f>IFERROR(__xludf.DUMMYFUNCTION("IFERROR(PERCENTRANK.INC(FILTER(R:R,$F:$F&lt;&gt;""""),R975)*100,"""")"),1.5)</f>
        <v>1.5</v>
      </c>
      <c r="V975" s="15">
        <f>IFERROR(__xludf.DUMMYFUNCTION("IFERROR(PERCENTRANK.INC(FILTER(S:S,$F:$F&lt;&gt;""""),S975)*100,"""")"),1.5)</f>
        <v>1.5</v>
      </c>
      <c r="W975" s="15" t="str">
        <f t="shared" si="4"/>
        <v/>
      </c>
      <c r="X975" s="16"/>
      <c r="Y975" s="9"/>
      <c r="Z975" s="9"/>
    </row>
    <row r="976">
      <c r="B976" t="str">
        <f t="array" ref="B976">IFERROR(INDEX('Player Raw Data'!C:C,Match($A976,'Player Raw Data'!$B:$B,0)),"")</f>
        <v/>
      </c>
      <c r="C976" t="str">
        <f t="array" ref="C976">IFERROR(INDEX('Player Raw Data'!D:D,Match($A976,'Player Raw Data'!$B:$B,0)),"")</f>
        <v/>
      </c>
      <c r="D976" t="str">
        <f t="array" ref="D976">IFERROR(IF(A976=A975, INDEX('Player Raw Data'!E:E,Match($A976,'Player Raw Data'!$B:$B,0)+2),INDEX('Player Raw Data'!E:E,Match($A976,'Player Raw Data'!$B:$B,0))),"")</f>
        <v/>
      </c>
      <c r="E976" t="str">
        <f t="array" ref="E976">IFERROR(INDEX('Player Raw Data'!F:F,Match($A976,'Player Raw Data'!$B:$B,0)),"")</f>
        <v/>
      </c>
      <c r="F976" t="str">
        <f t="array" ref="F976">IFERROR(INDEX('Player Raw Data'!H:H,Match($A976,'Player Raw Data'!$B:$B,0)),"")</f>
        <v/>
      </c>
      <c r="G976" t="str">
        <f t="array" ref="G976">IFERROR(INDEX('Player Raw Data'!I:I,Match($A976,'Player Raw Data'!$B:$B,0)),"")</f>
        <v/>
      </c>
      <c r="H976" t="str">
        <f t="array" ref="H976">IFERROR(INDEX('Player Raw Data'!J:J,Match($A976,'Player Raw Data'!$B:$B,0)),"")</f>
        <v/>
      </c>
      <c r="I976" t="str">
        <f t="array" ref="I976">IFERROR(INDEX('Player Raw Data'!S:S,Match($A976,'Player Raw Data'!$B:$B,0)),"")</f>
        <v/>
      </c>
      <c r="J976" t="str">
        <f t="array" ref="J976">IFERROR(INDEX('Player Raw Data'!T:T,Match($A976,'Player Raw Data'!$B:$B,0)),"")</f>
        <v/>
      </c>
      <c r="K976" t="str">
        <f t="array" ref="K976">IFERROR(INDEX('Player Raw Data'!X:X,Match($A976,'Player Raw Data'!$B:$B,0)),"")</f>
        <v/>
      </c>
      <c r="L976" t="str">
        <f t="array" ref="L976">IFERROR(INDEX('Player Raw Data'!Y:Y,Match($A976,'Player Raw Data'!$B:$B,0)),"")</f>
        <v/>
      </c>
      <c r="M976" t="str">
        <f t="array" ref="M976">IFERROR(INDEX('Player Raw Data'!Z:Z,Match($A976,'Player Raw Data'!$B:$B,0)),"")</f>
        <v/>
      </c>
      <c r="N976" t="str">
        <f t="array" ref="N976">IFERROR(INDEX('Player Raw Data'!AA:AA,Match($A976,'Player Raw Data'!$B:$B,0)),"")</f>
        <v/>
      </c>
      <c r="O976" t="str">
        <f t="array" ref="O976">IFERROR(INDEX('Player Raw Data'!AB:AB,Match($A976,'Player Raw Data'!$B:$B,0)),"")</f>
        <v/>
      </c>
      <c r="P976" t="str">
        <f t="array" ref="P976">IFERROR(INDEX('Player Raw Data'!AD:AD,Match($A976,'Player Raw Data'!$B:$B,0)),"")</f>
        <v/>
      </c>
      <c r="Q976">
        <f t="shared" si="1"/>
        <v>0</v>
      </c>
      <c r="R976" s="9">
        <f t="shared" si="2"/>
        <v>0</v>
      </c>
      <c r="S976" s="14">
        <f t="shared" si="3"/>
        <v>0</v>
      </c>
      <c r="T976" s="15">
        <f>IFERROR(__xludf.DUMMYFUNCTION("IFERROR(PERCENTRANK.INC(FILTER(Q:Q,$F:$F&lt;&gt;""""),Q976)*100,"""")"),1.5)</f>
        <v>1.5</v>
      </c>
      <c r="U976" s="15">
        <f>IFERROR(__xludf.DUMMYFUNCTION("IFERROR(PERCENTRANK.INC(FILTER(R:R,$F:$F&lt;&gt;""""),R976)*100,"""")"),1.5)</f>
        <v>1.5</v>
      </c>
      <c r="V976" s="15">
        <f>IFERROR(__xludf.DUMMYFUNCTION("IFERROR(PERCENTRANK.INC(FILTER(S:S,$F:$F&lt;&gt;""""),S976)*100,"""")"),1.5)</f>
        <v>1.5</v>
      </c>
      <c r="W976" s="15" t="str">
        <f t="shared" si="4"/>
        <v/>
      </c>
      <c r="X976" s="16"/>
      <c r="Y976" s="9"/>
      <c r="Z976" s="9"/>
    </row>
    <row r="977">
      <c r="B977" t="str">
        <f t="array" ref="B977">IFERROR(INDEX('Player Raw Data'!C:C,Match($A977,'Player Raw Data'!$B:$B,0)),"")</f>
        <v/>
      </c>
      <c r="C977" t="str">
        <f t="array" ref="C977">IFERROR(INDEX('Player Raw Data'!D:D,Match($A977,'Player Raw Data'!$B:$B,0)),"")</f>
        <v/>
      </c>
      <c r="D977" t="str">
        <f t="array" ref="D977">IFERROR(IF(A977=A976, INDEX('Player Raw Data'!E:E,Match($A977,'Player Raw Data'!$B:$B,0)+2),INDEX('Player Raw Data'!E:E,Match($A977,'Player Raw Data'!$B:$B,0))),"")</f>
        <v/>
      </c>
      <c r="E977" t="str">
        <f t="array" ref="E977">IFERROR(INDEX('Player Raw Data'!F:F,Match($A977,'Player Raw Data'!$B:$B,0)),"")</f>
        <v/>
      </c>
      <c r="F977" t="str">
        <f t="array" ref="F977">IFERROR(INDEX('Player Raw Data'!H:H,Match($A977,'Player Raw Data'!$B:$B,0)),"")</f>
        <v/>
      </c>
      <c r="G977" t="str">
        <f t="array" ref="G977">IFERROR(INDEX('Player Raw Data'!I:I,Match($A977,'Player Raw Data'!$B:$B,0)),"")</f>
        <v/>
      </c>
      <c r="H977" t="str">
        <f t="array" ref="H977">IFERROR(INDEX('Player Raw Data'!J:J,Match($A977,'Player Raw Data'!$B:$B,0)),"")</f>
        <v/>
      </c>
      <c r="I977" t="str">
        <f t="array" ref="I977">IFERROR(INDEX('Player Raw Data'!S:S,Match($A977,'Player Raw Data'!$B:$B,0)),"")</f>
        <v/>
      </c>
      <c r="J977" t="str">
        <f t="array" ref="J977">IFERROR(INDEX('Player Raw Data'!T:T,Match($A977,'Player Raw Data'!$B:$B,0)),"")</f>
        <v/>
      </c>
      <c r="K977" t="str">
        <f t="array" ref="K977">IFERROR(INDEX('Player Raw Data'!X:X,Match($A977,'Player Raw Data'!$B:$B,0)),"")</f>
        <v/>
      </c>
      <c r="L977" t="str">
        <f t="array" ref="L977">IFERROR(INDEX('Player Raw Data'!Y:Y,Match($A977,'Player Raw Data'!$B:$B,0)),"")</f>
        <v/>
      </c>
      <c r="M977" t="str">
        <f t="array" ref="M977">IFERROR(INDEX('Player Raw Data'!Z:Z,Match($A977,'Player Raw Data'!$B:$B,0)),"")</f>
        <v/>
      </c>
      <c r="N977" t="str">
        <f t="array" ref="N977">IFERROR(INDEX('Player Raw Data'!AA:AA,Match($A977,'Player Raw Data'!$B:$B,0)),"")</f>
        <v/>
      </c>
      <c r="O977" t="str">
        <f t="array" ref="O977">IFERROR(INDEX('Player Raw Data'!AB:AB,Match($A977,'Player Raw Data'!$B:$B,0)),"")</f>
        <v/>
      </c>
      <c r="P977" t="str">
        <f t="array" ref="P977">IFERROR(INDEX('Player Raw Data'!AD:AD,Match($A977,'Player Raw Data'!$B:$B,0)),"")</f>
        <v/>
      </c>
      <c r="Q977">
        <f t="shared" si="1"/>
        <v>0</v>
      </c>
      <c r="R977" s="9">
        <f t="shared" si="2"/>
        <v>0</v>
      </c>
      <c r="S977" s="14">
        <f t="shared" si="3"/>
        <v>0</v>
      </c>
      <c r="T977" s="15">
        <f>IFERROR(__xludf.DUMMYFUNCTION("IFERROR(PERCENTRANK.INC(FILTER(Q:Q,$F:$F&lt;&gt;""""),Q977)*100,"""")"),1.5)</f>
        <v>1.5</v>
      </c>
      <c r="U977" s="15">
        <f>IFERROR(__xludf.DUMMYFUNCTION("IFERROR(PERCENTRANK.INC(FILTER(R:R,$F:$F&lt;&gt;""""),R977)*100,"""")"),1.5)</f>
        <v>1.5</v>
      </c>
      <c r="V977" s="15">
        <f>IFERROR(__xludf.DUMMYFUNCTION("IFERROR(PERCENTRANK.INC(FILTER(S:S,$F:$F&lt;&gt;""""),S977)*100,"""")"),1.5)</f>
        <v>1.5</v>
      </c>
      <c r="W977" s="15" t="str">
        <f t="shared" si="4"/>
        <v/>
      </c>
      <c r="X977" s="16"/>
      <c r="Y977" s="9"/>
      <c r="Z977" s="9"/>
    </row>
    <row r="978">
      <c r="B978" t="str">
        <f t="array" ref="B978">IFERROR(INDEX('Player Raw Data'!C:C,Match($A978,'Player Raw Data'!$B:$B,0)),"")</f>
        <v/>
      </c>
      <c r="C978" t="str">
        <f t="array" ref="C978">IFERROR(INDEX('Player Raw Data'!D:D,Match($A978,'Player Raw Data'!$B:$B,0)),"")</f>
        <v/>
      </c>
      <c r="D978" t="str">
        <f t="array" ref="D978">IFERROR(IF(A978=A977, INDEX('Player Raw Data'!E:E,Match($A978,'Player Raw Data'!$B:$B,0)+2),INDEX('Player Raw Data'!E:E,Match($A978,'Player Raw Data'!$B:$B,0))),"")</f>
        <v/>
      </c>
      <c r="E978" t="str">
        <f t="array" ref="E978">IFERROR(INDEX('Player Raw Data'!F:F,Match($A978,'Player Raw Data'!$B:$B,0)),"")</f>
        <v/>
      </c>
      <c r="F978" t="str">
        <f t="array" ref="F978">IFERROR(INDEX('Player Raw Data'!H:H,Match($A978,'Player Raw Data'!$B:$B,0)),"")</f>
        <v/>
      </c>
      <c r="G978" t="str">
        <f t="array" ref="G978">IFERROR(INDEX('Player Raw Data'!I:I,Match($A978,'Player Raw Data'!$B:$B,0)),"")</f>
        <v/>
      </c>
      <c r="H978" t="str">
        <f t="array" ref="H978">IFERROR(INDEX('Player Raw Data'!J:J,Match($A978,'Player Raw Data'!$B:$B,0)),"")</f>
        <v/>
      </c>
      <c r="I978" t="str">
        <f t="array" ref="I978">IFERROR(INDEX('Player Raw Data'!S:S,Match($A978,'Player Raw Data'!$B:$B,0)),"")</f>
        <v/>
      </c>
      <c r="J978" t="str">
        <f t="array" ref="J978">IFERROR(INDEX('Player Raw Data'!T:T,Match($A978,'Player Raw Data'!$B:$B,0)),"")</f>
        <v/>
      </c>
      <c r="K978" t="str">
        <f t="array" ref="K978">IFERROR(INDEX('Player Raw Data'!X:X,Match($A978,'Player Raw Data'!$B:$B,0)),"")</f>
        <v/>
      </c>
      <c r="L978" t="str">
        <f t="array" ref="L978">IFERROR(INDEX('Player Raw Data'!Y:Y,Match($A978,'Player Raw Data'!$B:$B,0)),"")</f>
        <v/>
      </c>
      <c r="M978" t="str">
        <f t="array" ref="M978">IFERROR(INDEX('Player Raw Data'!Z:Z,Match($A978,'Player Raw Data'!$B:$B,0)),"")</f>
        <v/>
      </c>
      <c r="N978" t="str">
        <f t="array" ref="N978">IFERROR(INDEX('Player Raw Data'!AA:AA,Match($A978,'Player Raw Data'!$B:$B,0)),"")</f>
        <v/>
      </c>
      <c r="O978" t="str">
        <f t="array" ref="O978">IFERROR(INDEX('Player Raw Data'!AB:AB,Match($A978,'Player Raw Data'!$B:$B,0)),"")</f>
        <v/>
      </c>
      <c r="P978" t="str">
        <f t="array" ref="P978">IFERROR(INDEX('Player Raw Data'!AD:AD,Match($A978,'Player Raw Data'!$B:$B,0)),"")</f>
        <v/>
      </c>
      <c r="Q978">
        <f t="shared" si="1"/>
        <v>0</v>
      </c>
      <c r="R978" s="9">
        <f t="shared" si="2"/>
        <v>0</v>
      </c>
      <c r="S978" s="14">
        <f t="shared" si="3"/>
        <v>0</v>
      </c>
      <c r="T978" s="15">
        <f>IFERROR(__xludf.DUMMYFUNCTION("IFERROR(PERCENTRANK.INC(FILTER(Q:Q,$F:$F&lt;&gt;""""),Q978)*100,"""")"),1.5)</f>
        <v>1.5</v>
      </c>
      <c r="U978" s="15">
        <f>IFERROR(__xludf.DUMMYFUNCTION("IFERROR(PERCENTRANK.INC(FILTER(R:R,$F:$F&lt;&gt;""""),R978)*100,"""")"),1.5)</f>
        <v>1.5</v>
      </c>
      <c r="V978" s="15">
        <f>IFERROR(__xludf.DUMMYFUNCTION("IFERROR(PERCENTRANK.INC(FILTER(S:S,$F:$F&lt;&gt;""""),S978)*100,"""")"),1.5)</f>
        <v>1.5</v>
      </c>
      <c r="W978" s="15" t="str">
        <f t="shared" si="4"/>
        <v/>
      </c>
      <c r="X978" s="16"/>
      <c r="Y978" s="9"/>
      <c r="Z978" s="9"/>
    </row>
    <row r="979">
      <c r="B979" t="str">
        <f t="array" ref="B979">IFERROR(INDEX('Player Raw Data'!C:C,Match($A979,'Player Raw Data'!$B:$B,0)),"")</f>
        <v/>
      </c>
      <c r="C979" t="str">
        <f t="array" ref="C979">IFERROR(INDEX('Player Raw Data'!D:D,Match($A979,'Player Raw Data'!$B:$B,0)),"")</f>
        <v/>
      </c>
      <c r="D979" t="str">
        <f t="array" ref="D979">IFERROR(IF(A979=A978, INDEX('Player Raw Data'!E:E,Match($A979,'Player Raw Data'!$B:$B,0)+2),INDEX('Player Raw Data'!E:E,Match($A979,'Player Raw Data'!$B:$B,0))),"")</f>
        <v/>
      </c>
      <c r="E979" t="str">
        <f t="array" ref="E979">IFERROR(INDEX('Player Raw Data'!F:F,Match($A979,'Player Raw Data'!$B:$B,0)),"")</f>
        <v/>
      </c>
      <c r="F979" t="str">
        <f t="array" ref="F979">IFERROR(INDEX('Player Raw Data'!H:H,Match($A979,'Player Raw Data'!$B:$B,0)),"")</f>
        <v/>
      </c>
      <c r="G979" t="str">
        <f t="array" ref="G979">IFERROR(INDEX('Player Raw Data'!I:I,Match($A979,'Player Raw Data'!$B:$B,0)),"")</f>
        <v/>
      </c>
      <c r="H979" t="str">
        <f t="array" ref="H979">IFERROR(INDEX('Player Raw Data'!J:J,Match($A979,'Player Raw Data'!$B:$B,0)),"")</f>
        <v/>
      </c>
      <c r="I979" t="str">
        <f t="array" ref="I979">IFERROR(INDEX('Player Raw Data'!S:S,Match($A979,'Player Raw Data'!$B:$B,0)),"")</f>
        <v/>
      </c>
      <c r="J979" t="str">
        <f t="array" ref="J979">IFERROR(INDEX('Player Raw Data'!T:T,Match($A979,'Player Raw Data'!$B:$B,0)),"")</f>
        <v/>
      </c>
      <c r="K979" t="str">
        <f t="array" ref="K979">IFERROR(INDEX('Player Raw Data'!X:X,Match($A979,'Player Raw Data'!$B:$B,0)),"")</f>
        <v/>
      </c>
      <c r="L979" t="str">
        <f t="array" ref="L979">IFERROR(INDEX('Player Raw Data'!Y:Y,Match($A979,'Player Raw Data'!$B:$B,0)),"")</f>
        <v/>
      </c>
      <c r="M979" t="str">
        <f t="array" ref="M979">IFERROR(INDEX('Player Raw Data'!Z:Z,Match($A979,'Player Raw Data'!$B:$B,0)),"")</f>
        <v/>
      </c>
      <c r="N979" t="str">
        <f t="array" ref="N979">IFERROR(INDEX('Player Raw Data'!AA:AA,Match($A979,'Player Raw Data'!$B:$B,0)),"")</f>
        <v/>
      </c>
      <c r="O979" t="str">
        <f t="array" ref="O979">IFERROR(INDEX('Player Raw Data'!AB:AB,Match($A979,'Player Raw Data'!$B:$B,0)),"")</f>
        <v/>
      </c>
      <c r="P979" t="str">
        <f t="array" ref="P979">IFERROR(INDEX('Player Raw Data'!AD:AD,Match($A979,'Player Raw Data'!$B:$B,0)),"")</f>
        <v/>
      </c>
      <c r="Q979">
        <f t="shared" si="1"/>
        <v>0</v>
      </c>
      <c r="R979" s="9">
        <f t="shared" si="2"/>
        <v>0</v>
      </c>
      <c r="S979" s="14">
        <f t="shared" si="3"/>
        <v>0</v>
      </c>
      <c r="T979" s="15">
        <f>IFERROR(__xludf.DUMMYFUNCTION("IFERROR(PERCENTRANK.INC(FILTER(Q:Q,$F:$F&lt;&gt;""""),Q979)*100,"""")"),1.5)</f>
        <v>1.5</v>
      </c>
      <c r="U979" s="15">
        <f>IFERROR(__xludf.DUMMYFUNCTION("IFERROR(PERCENTRANK.INC(FILTER(R:R,$F:$F&lt;&gt;""""),R979)*100,"""")"),1.5)</f>
        <v>1.5</v>
      </c>
      <c r="V979" s="15">
        <f>IFERROR(__xludf.DUMMYFUNCTION("IFERROR(PERCENTRANK.INC(FILTER(S:S,$F:$F&lt;&gt;""""),S979)*100,"""")"),1.5)</f>
        <v>1.5</v>
      </c>
      <c r="W979" s="15" t="str">
        <f t="shared" si="4"/>
        <v/>
      </c>
      <c r="X979" s="16"/>
      <c r="Y979" s="9"/>
      <c r="Z979" s="9"/>
    </row>
    <row r="980">
      <c r="B980" t="str">
        <f t="array" ref="B980">IFERROR(INDEX('Player Raw Data'!C:C,Match($A980,'Player Raw Data'!$B:$B,0)),"")</f>
        <v/>
      </c>
      <c r="C980" t="str">
        <f t="array" ref="C980">IFERROR(INDEX('Player Raw Data'!D:D,Match($A980,'Player Raw Data'!$B:$B,0)),"")</f>
        <v/>
      </c>
      <c r="D980" t="str">
        <f t="array" ref="D980">IFERROR(IF(A980=A979, INDEX('Player Raw Data'!E:E,Match($A980,'Player Raw Data'!$B:$B,0)+2),INDEX('Player Raw Data'!E:E,Match($A980,'Player Raw Data'!$B:$B,0))),"")</f>
        <v/>
      </c>
      <c r="E980" t="str">
        <f t="array" ref="E980">IFERROR(INDEX('Player Raw Data'!F:F,Match($A980,'Player Raw Data'!$B:$B,0)),"")</f>
        <v/>
      </c>
      <c r="F980" t="str">
        <f t="array" ref="F980">IFERROR(INDEX('Player Raw Data'!H:H,Match($A980,'Player Raw Data'!$B:$B,0)),"")</f>
        <v/>
      </c>
      <c r="G980" t="str">
        <f t="array" ref="G980">IFERROR(INDEX('Player Raw Data'!I:I,Match($A980,'Player Raw Data'!$B:$B,0)),"")</f>
        <v/>
      </c>
      <c r="H980" t="str">
        <f t="array" ref="H980">IFERROR(INDEX('Player Raw Data'!J:J,Match($A980,'Player Raw Data'!$B:$B,0)),"")</f>
        <v/>
      </c>
      <c r="I980" t="str">
        <f t="array" ref="I980">IFERROR(INDEX('Player Raw Data'!S:S,Match($A980,'Player Raw Data'!$B:$B,0)),"")</f>
        <v/>
      </c>
      <c r="J980" t="str">
        <f t="array" ref="J980">IFERROR(INDEX('Player Raw Data'!T:T,Match($A980,'Player Raw Data'!$B:$B,0)),"")</f>
        <v/>
      </c>
      <c r="K980" t="str">
        <f t="array" ref="K980">IFERROR(INDEX('Player Raw Data'!X:X,Match($A980,'Player Raw Data'!$B:$B,0)),"")</f>
        <v/>
      </c>
      <c r="L980" t="str">
        <f t="array" ref="L980">IFERROR(INDEX('Player Raw Data'!Y:Y,Match($A980,'Player Raw Data'!$B:$B,0)),"")</f>
        <v/>
      </c>
      <c r="M980" t="str">
        <f t="array" ref="M980">IFERROR(INDEX('Player Raw Data'!Z:Z,Match($A980,'Player Raw Data'!$B:$B,0)),"")</f>
        <v/>
      </c>
      <c r="N980" t="str">
        <f t="array" ref="N980">IFERROR(INDEX('Player Raw Data'!AA:AA,Match($A980,'Player Raw Data'!$B:$B,0)),"")</f>
        <v/>
      </c>
      <c r="O980" t="str">
        <f t="array" ref="O980">IFERROR(INDEX('Player Raw Data'!AB:AB,Match($A980,'Player Raw Data'!$B:$B,0)),"")</f>
        <v/>
      </c>
      <c r="P980" t="str">
        <f t="array" ref="P980">IFERROR(INDEX('Player Raw Data'!AD:AD,Match($A980,'Player Raw Data'!$B:$B,0)),"")</f>
        <v/>
      </c>
      <c r="Q980">
        <f t="shared" si="1"/>
        <v>0</v>
      </c>
      <c r="R980" s="9">
        <f t="shared" si="2"/>
        <v>0</v>
      </c>
      <c r="S980" s="14">
        <f t="shared" si="3"/>
        <v>0</v>
      </c>
      <c r="T980" s="15">
        <f>IFERROR(__xludf.DUMMYFUNCTION("IFERROR(PERCENTRANK.INC(FILTER(Q:Q,$F:$F&lt;&gt;""""),Q980)*100,"""")"),1.5)</f>
        <v>1.5</v>
      </c>
      <c r="U980" s="15">
        <f>IFERROR(__xludf.DUMMYFUNCTION("IFERROR(PERCENTRANK.INC(FILTER(R:R,$F:$F&lt;&gt;""""),R980)*100,"""")"),1.5)</f>
        <v>1.5</v>
      </c>
      <c r="V980" s="15">
        <f>IFERROR(__xludf.DUMMYFUNCTION("IFERROR(PERCENTRANK.INC(FILTER(S:S,$F:$F&lt;&gt;""""),S980)*100,"""")"),1.5)</f>
        <v>1.5</v>
      </c>
      <c r="W980" s="15" t="str">
        <f t="shared" si="4"/>
        <v/>
      </c>
      <c r="X980" s="16"/>
      <c r="Y980" s="9"/>
      <c r="Z980" s="9"/>
    </row>
    <row r="981">
      <c r="B981" t="str">
        <f t="array" ref="B981">IFERROR(INDEX('Player Raw Data'!C:C,Match($A981,'Player Raw Data'!$B:$B,0)),"")</f>
        <v/>
      </c>
      <c r="C981" t="str">
        <f t="array" ref="C981">IFERROR(INDEX('Player Raw Data'!D:D,Match($A981,'Player Raw Data'!$B:$B,0)),"")</f>
        <v/>
      </c>
      <c r="D981" t="str">
        <f t="array" ref="D981">IFERROR(IF(A981=A980, INDEX('Player Raw Data'!E:E,Match($A981,'Player Raw Data'!$B:$B,0)+2),INDEX('Player Raw Data'!E:E,Match($A981,'Player Raw Data'!$B:$B,0))),"")</f>
        <v/>
      </c>
      <c r="E981" t="str">
        <f t="array" ref="E981">IFERROR(INDEX('Player Raw Data'!F:F,Match($A981,'Player Raw Data'!$B:$B,0)),"")</f>
        <v/>
      </c>
      <c r="F981" t="str">
        <f t="array" ref="F981">IFERROR(INDEX('Player Raw Data'!H:H,Match($A981,'Player Raw Data'!$B:$B,0)),"")</f>
        <v/>
      </c>
      <c r="G981" t="str">
        <f t="array" ref="G981">IFERROR(INDEX('Player Raw Data'!I:I,Match($A981,'Player Raw Data'!$B:$B,0)),"")</f>
        <v/>
      </c>
      <c r="H981" t="str">
        <f t="array" ref="H981">IFERROR(INDEX('Player Raw Data'!J:J,Match($A981,'Player Raw Data'!$B:$B,0)),"")</f>
        <v/>
      </c>
      <c r="I981" t="str">
        <f t="array" ref="I981">IFERROR(INDEX('Player Raw Data'!S:S,Match($A981,'Player Raw Data'!$B:$B,0)),"")</f>
        <v/>
      </c>
      <c r="J981" t="str">
        <f t="array" ref="J981">IFERROR(INDEX('Player Raw Data'!T:T,Match($A981,'Player Raw Data'!$B:$B,0)),"")</f>
        <v/>
      </c>
      <c r="K981" t="str">
        <f t="array" ref="K981">IFERROR(INDEX('Player Raw Data'!X:X,Match($A981,'Player Raw Data'!$B:$B,0)),"")</f>
        <v/>
      </c>
      <c r="L981" t="str">
        <f t="array" ref="L981">IFERROR(INDEX('Player Raw Data'!Y:Y,Match($A981,'Player Raw Data'!$B:$B,0)),"")</f>
        <v/>
      </c>
      <c r="M981" t="str">
        <f t="array" ref="M981">IFERROR(INDEX('Player Raw Data'!Z:Z,Match($A981,'Player Raw Data'!$B:$B,0)),"")</f>
        <v/>
      </c>
      <c r="N981" t="str">
        <f t="array" ref="N981">IFERROR(INDEX('Player Raw Data'!AA:AA,Match($A981,'Player Raw Data'!$B:$B,0)),"")</f>
        <v/>
      </c>
      <c r="O981" t="str">
        <f t="array" ref="O981">IFERROR(INDEX('Player Raw Data'!AB:AB,Match($A981,'Player Raw Data'!$B:$B,0)),"")</f>
        <v/>
      </c>
      <c r="P981" t="str">
        <f t="array" ref="P981">IFERROR(INDEX('Player Raw Data'!AD:AD,Match($A981,'Player Raw Data'!$B:$B,0)),"")</f>
        <v/>
      </c>
      <c r="Q981">
        <f t="shared" si="1"/>
        <v>0</v>
      </c>
      <c r="R981" s="9">
        <f t="shared" si="2"/>
        <v>0</v>
      </c>
      <c r="S981" s="14">
        <f t="shared" si="3"/>
        <v>0</v>
      </c>
      <c r="T981" s="15">
        <f>IFERROR(__xludf.DUMMYFUNCTION("IFERROR(PERCENTRANK.INC(FILTER(Q:Q,$F:$F&lt;&gt;""""),Q981)*100,"""")"),1.5)</f>
        <v>1.5</v>
      </c>
      <c r="U981" s="15">
        <f>IFERROR(__xludf.DUMMYFUNCTION("IFERROR(PERCENTRANK.INC(FILTER(R:R,$F:$F&lt;&gt;""""),R981)*100,"""")"),1.5)</f>
        <v>1.5</v>
      </c>
      <c r="V981" s="15">
        <f>IFERROR(__xludf.DUMMYFUNCTION("IFERROR(PERCENTRANK.INC(FILTER(S:S,$F:$F&lt;&gt;""""),S981)*100,"""")"),1.5)</f>
        <v>1.5</v>
      </c>
      <c r="W981" s="15" t="str">
        <f t="shared" si="4"/>
        <v/>
      </c>
      <c r="X981" s="16"/>
      <c r="Y981" s="9"/>
      <c r="Z981" s="9"/>
    </row>
    <row r="982">
      <c r="B982" t="str">
        <f t="array" ref="B982">IFERROR(INDEX('Player Raw Data'!C:C,Match($A982,'Player Raw Data'!$B:$B,0)),"")</f>
        <v/>
      </c>
      <c r="C982" t="str">
        <f t="array" ref="C982">IFERROR(INDEX('Player Raw Data'!D:D,Match($A982,'Player Raw Data'!$B:$B,0)),"")</f>
        <v/>
      </c>
      <c r="D982" t="str">
        <f t="array" ref="D982">IFERROR(IF(A982=A981, INDEX('Player Raw Data'!E:E,Match($A982,'Player Raw Data'!$B:$B,0)+2),INDEX('Player Raw Data'!E:E,Match($A982,'Player Raw Data'!$B:$B,0))),"")</f>
        <v/>
      </c>
      <c r="E982" t="str">
        <f t="array" ref="E982">IFERROR(INDEX('Player Raw Data'!F:F,Match($A982,'Player Raw Data'!$B:$B,0)),"")</f>
        <v/>
      </c>
      <c r="F982" t="str">
        <f t="array" ref="F982">IFERROR(INDEX('Player Raw Data'!H:H,Match($A982,'Player Raw Data'!$B:$B,0)),"")</f>
        <v/>
      </c>
      <c r="G982" t="str">
        <f t="array" ref="G982">IFERROR(INDEX('Player Raw Data'!I:I,Match($A982,'Player Raw Data'!$B:$B,0)),"")</f>
        <v/>
      </c>
      <c r="H982" t="str">
        <f t="array" ref="H982">IFERROR(INDEX('Player Raw Data'!J:J,Match($A982,'Player Raw Data'!$B:$B,0)),"")</f>
        <v/>
      </c>
      <c r="I982" t="str">
        <f t="array" ref="I982">IFERROR(INDEX('Player Raw Data'!S:S,Match($A982,'Player Raw Data'!$B:$B,0)),"")</f>
        <v/>
      </c>
      <c r="J982" t="str">
        <f t="array" ref="J982">IFERROR(INDEX('Player Raw Data'!T:T,Match($A982,'Player Raw Data'!$B:$B,0)),"")</f>
        <v/>
      </c>
      <c r="K982" t="str">
        <f t="array" ref="K982">IFERROR(INDEX('Player Raw Data'!X:X,Match($A982,'Player Raw Data'!$B:$B,0)),"")</f>
        <v/>
      </c>
      <c r="L982" t="str">
        <f t="array" ref="L982">IFERROR(INDEX('Player Raw Data'!Y:Y,Match($A982,'Player Raw Data'!$B:$B,0)),"")</f>
        <v/>
      </c>
      <c r="M982" t="str">
        <f t="array" ref="M982">IFERROR(INDEX('Player Raw Data'!Z:Z,Match($A982,'Player Raw Data'!$B:$B,0)),"")</f>
        <v/>
      </c>
      <c r="N982" t="str">
        <f t="array" ref="N982">IFERROR(INDEX('Player Raw Data'!AA:AA,Match($A982,'Player Raw Data'!$B:$B,0)),"")</f>
        <v/>
      </c>
      <c r="O982" t="str">
        <f t="array" ref="O982">IFERROR(INDEX('Player Raw Data'!AB:AB,Match($A982,'Player Raw Data'!$B:$B,0)),"")</f>
        <v/>
      </c>
      <c r="P982" t="str">
        <f t="array" ref="P982">IFERROR(INDEX('Player Raw Data'!AD:AD,Match($A982,'Player Raw Data'!$B:$B,0)),"")</f>
        <v/>
      </c>
      <c r="Q982">
        <f t="shared" si="1"/>
        <v>0</v>
      </c>
      <c r="R982" s="9">
        <f t="shared" si="2"/>
        <v>0</v>
      </c>
      <c r="S982" s="14">
        <f t="shared" si="3"/>
        <v>0</v>
      </c>
      <c r="T982" s="15">
        <f>IFERROR(__xludf.DUMMYFUNCTION("IFERROR(PERCENTRANK.INC(FILTER(Q:Q,$F:$F&lt;&gt;""""),Q982)*100,"""")"),1.5)</f>
        <v>1.5</v>
      </c>
      <c r="U982" s="15">
        <f>IFERROR(__xludf.DUMMYFUNCTION("IFERROR(PERCENTRANK.INC(FILTER(R:R,$F:$F&lt;&gt;""""),R982)*100,"""")"),1.5)</f>
        <v>1.5</v>
      </c>
      <c r="V982" s="15">
        <f>IFERROR(__xludf.DUMMYFUNCTION("IFERROR(PERCENTRANK.INC(FILTER(S:S,$F:$F&lt;&gt;""""),S982)*100,"""")"),1.5)</f>
        <v>1.5</v>
      </c>
      <c r="W982" s="15" t="str">
        <f t="shared" si="4"/>
        <v/>
      </c>
      <c r="X982" s="16"/>
      <c r="Y982" s="9"/>
      <c r="Z982" s="9"/>
    </row>
    <row r="983">
      <c r="B983" t="str">
        <f t="array" ref="B983">IFERROR(INDEX('Player Raw Data'!C:C,Match($A983,'Player Raw Data'!$B:$B,0)),"")</f>
        <v/>
      </c>
      <c r="C983" t="str">
        <f t="array" ref="C983">IFERROR(INDEX('Player Raw Data'!D:D,Match($A983,'Player Raw Data'!$B:$B,0)),"")</f>
        <v/>
      </c>
      <c r="D983" t="str">
        <f t="array" ref="D983">IFERROR(IF(A983=A982, INDEX('Player Raw Data'!E:E,Match($A983,'Player Raw Data'!$B:$B,0)+2),INDEX('Player Raw Data'!E:E,Match($A983,'Player Raw Data'!$B:$B,0))),"")</f>
        <v/>
      </c>
      <c r="E983" t="str">
        <f t="array" ref="E983">IFERROR(INDEX('Player Raw Data'!F:F,Match($A983,'Player Raw Data'!$B:$B,0)),"")</f>
        <v/>
      </c>
      <c r="F983" t="str">
        <f t="array" ref="F983">IFERROR(INDEX('Player Raw Data'!H:H,Match($A983,'Player Raw Data'!$B:$B,0)),"")</f>
        <v/>
      </c>
      <c r="G983" t="str">
        <f t="array" ref="G983">IFERROR(INDEX('Player Raw Data'!I:I,Match($A983,'Player Raw Data'!$B:$B,0)),"")</f>
        <v/>
      </c>
      <c r="H983" t="str">
        <f t="array" ref="H983">IFERROR(INDEX('Player Raw Data'!J:J,Match($A983,'Player Raw Data'!$B:$B,0)),"")</f>
        <v/>
      </c>
      <c r="I983" t="str">
        <f t="array" ref="I983">IFERROR(INDEX('Player Raw Data'!S:S,Match($A983,'Player Raw Data'!$B:$B,0)),"")</f>
        <v/>
      </c>
      <c r="J983" t="str">
        <f t="array" ref="J983">IFERROR(INDEX('Player Raw Data'!T:T,Match($A983,'Player Raw Data'!$B:$B,0)),"")</f>
        <v/>
      </c>
      <c r="K983" t="str">
        <f t="array" ref="K983">IFERROR(INDEX('Player Raw Data'!X:X,Match($A983,'Player Raw Data'!$B:$B,0)),"")</f>
        <v/>
      </c>
      <c r="L983" t="str">
        <f t="array" ref="L983">IFERROR(INDEX('Player Raw Data'!Y:Y,Match($A983,'Player Raw Data'!$B:$B,0)),"")</f>
        <v/>
      </c>
      <c r="M983" t="str">
        <f t="array" ref="M983">IFERROR(INDEX('Player Raw Data'!Z:Z,Match($A983,'Player Raw Data'!$B:$B,0)),"")</f>
        <v/>
      </c>
      <c r="N983" t="str">
        <f t="array" ref="N983">IFERROR(INDEX('Player Raw Data'!AA:AA,Match($A983,'Player Raw Data'!$B:$B,0)),"")</f>
        <v/>
      </c>
      <c r="O983" t="str">
        <f t="array" ref="O983">IFERROR(INDEX('Player Raw Data'!AB:AB,Match($A983,'Player Raw Data'!$B:$B,0)),"")</f>
        <v/>
      </c>
      <c r="P983" t="str">
        <f t="array" ref="P983">IFERROR(INDEX('Player Raw Data'!AD:AD,Match($A983,'Player Raw Data'!$B:$B,0)),"")</f>
        <v/>
      </c>
      <c r="Q983">
        <f t="shared" si="1"/>
        <v>0</v>
      </c>
      <c r="R983" s="9">
        <f t="shared" si="2"/>
        <v>0</v>
      </c>
      <c r="S983" s="14">
        <f t="shared" si="3"/>
        <v>0</v>
      </c>
      <c r="T983" s="15">
        <f>IFERROR(__xludf.DUMMYFUNCTION("IFERROR(PERCENTRANK.INC(FILTER(Q:Q,$F:$F&lt;&gt;""""),Q983)*100,"""")"),1.5)</f>
        <v>1.5</v>
      </c>
      <c r="U983" s="15">
        <f>IFERROR(__xludf.DUMMYFUNCTION("IFERROR(PERCENTRANK.INC(FILTER(R:R,$F:$F&lt;&gt;""""),R983)*100,"""")"),1.5)</f>
        <v>1.5</v>
      </c>
      <c r="V983" s="15">
        <f>IFERROR(__xludf.DUMMYFUNCTION("IFERROR(PERCENTRANK.INC(FILTER(S:S,$F:$F&lt;&gt;""""),S983)*100,"""")"),1.5)</f>
        <v>1.5</v>
      </c>
      <c r="W983" s="15" t="str">
        <f t="shared" si="4"/>
        <v/>
      </c>
      <c r="X983" s="16"/>
      <c r="Y983" s="9"/>
      <c r="Z983" s="9"/>
    </row>
    <row r="984">
      <c r="B984" t="str">
        <f t="array" ref="B984">IFERROR(INDEX('Player Raw Data'!C:C,Match($A984,'Player Raw Data'!$B:$B,0)),"")</f>
        <v/>
      </c>
      <c r="C984" t="str">
        <f t="array" ref="C984">IFERROR(INDEX('Player Raw Data'!D:D,Match($A984,'Player Raw Data'!$B:$B,0)),"")</f>
        <v/>
      </c>
      <c r="D984" t="str">
        <f t="array" ref="D984">IFERROR(IF(A984=A983, INDEX('Player Raw Data'!E:E,Match($A984,'Player Raw Data'!$B:$B,0)+2),INDEX('Player Raw Data'!E:E,Match($A984,'Player Raw Data'!$B:$B,0))),"")</f>
        <v/>
      </c>
      <c r="E984" t="str">
        <f t="array" ref="E984">IFERROR(INDEX('Player Raw Data'!F:F,Match($A984,'Player Raw Data'!$B:$B,0)),"")</f>
        <v/>
      </c>
      <c r="F984" t="str">
        <f t="array" ref="F984">IFERROR(INDEX('Player Raw Data'!H:H,Match($A984,'Player Raw Data'!$B:$B,0)),"")</f>
        <v/>
      </c>
      <c r="G984" t="str">
        <f t="array" ref="G984">IFERROR(INDEX('Player Raw Data'!I:I,Match($A984,'Player Raw Data'!$B:$B,0)),"")</f>
        <v/>
      </c>
      <c r="H984" t="str">
        <f t="array" ref="H984">IFERROR(INDEX('Player Raw Data'!J:J,Match($A984,'Player Raw Data'!$B:$B,0)),"")</f>
        <v/>
      </c>
      <c r="I984" t="str">
        <f t="array" ref="I984">IFERROR(INDEX('Player Raw Data'!S:S,Match($A984,'Player Raw Data'!$B:$B,0)),"")</f>
        <v/>
      </c>
      <c r="J984" t="str">
        <f t="array" ref="J984">IFERROR(INDEX('Player Raw Data'!T:T,Match($A984,'Player Raw Data'!$B:$B,0)),"")</f>
        <v/>
      </c>
      <c r="K984" t="str">
        <f t="array" ref="K984">IFERROR(INDEX('Player Raw Data'!X:X,Match($A984,'Player Raw Data'!$B:$B,0)),"")</f>
        <v/>
      </c>
      <c r="L984" t="str">
        <f t="array" ref="L984">IFERROR(INDEX('Player Raw Data'!Y:Y,Match($A984,'Player Raw Data'!$B:$B,0)),"")</f>
        <v/>
      </c>
      <c r="M984" t="str">
        <f t="array" ref="M984">IFERROR(INDEX('Player Raw Data'!Z:Z,Match($A984,'Player Raw Data'!$B:$B,0)),"")</f>
        <v/>
      </c>
      <c r="N984" t="str">
        <f t="array" ref="N984">IFERROR(INDEX('Player Raw Data'!AA:AA,Match($A984,'Player Raw Data'!$B:$B,0)),"")</f>
        <v/>
      </c>
      <c r="O984" t="str">
        <f t="array" ref="O984">IFERROR(INDEX('Player Raw Data'!AB:AB,Match($A984,'Player Raw Data'!$B:$B,0)),"")</f>
        <v/>
      </c>
      <c r="P984" t="str">
        <f t="array" ref="P984">IFERROR(INDEX('Player Raw Data'!AD:AD,Match($A984,'Player Raw Data'!$B:$B,0)),"")</f>
        <v/>
      </c>
      <c r="Q984">
        <f t="shared" si="1"/>
        <v>0</v>
      </c>
      <c r="R984" s="9">
        <f t="shared" si="2"/>
        <v>0</v>
      </c>
      <c r="S984" s="14">
        <f t="shared" si="3"/>
        <v>0</v>
      </c>
      <c r="T984" s="15">
        <f>IFERROR(__xludf.DUMMYFUNCTION("IFERROR(PERCENTRANK.INC(FILTER(Q:Q,$F:$F&lt;&gt;""""),Q984)*100,"""")"),1.5)</f>
        <v>1.5</v>
      </c>
      <c r="U984" s="15">
        <f>IFERROR(__xludf.DUMMYFUNCTION("IFERROR(PERCENTRANK.INC(FILTER(R:R,$F:$F&lt;&gt;""""),R984)*100,"""")"),1.5)</f>
        <v>1.5</v>
      </c>
      <c r="V984" s="15">
        <f>IFERROR(__xludf.DUMMYFUNCTION("IFERROR(PERCENTRANK.INC(FILTER(S:S,$F:$F&lt;&gt;""""),S984)*100,"""")"),1.5)</f>
        <v>1.5</v>
      </c>
      <c r="W984" s="15" t="str">
        <f t="shared" si="4"/>
        <v/>
      </c>
      <c r="X984" s="16"/>
      <c r="Y984" s="9"/>
      <c r="Z984" s="9"/>
    </row>
    <row r="985">
      <c r="B985" t="str">
        <f t="array" ref="B985">IFERROR(INDEX('Player Raw Data'!C:C,Match($A985,'Player Raw Data'!$B:$B,0)),"")</f>
        <v/>
      </c>
      <c r="C985" t="str">
        <f t="array" ref="C985">IFERROR(INDEX('Player Raw Data'!D:D,Match($A985,'Player Raw Data'!$B:$B,0)),"")</f>
        <v/>
      </c>
      <c r="D985" t="str">
        <f t="array" ref="D985">IFERROR(IF(A985=A984, INDEX('Player Raw Data'!E:E,Match($A985,'Player Raw Data'!$B:$B,0)+2),INDEX('Player Raw Data'!E:E,Match($A985,'Player Raw Data'!$B:$B,0))),"")</f>
        <v/>
      </c>
      <c r="E985" t="str">
        <f t="array" ref="E985">IFERROR(INDEX('Player Raw Data'!F:F,Match($A985,'Player Raw Data'!$B:$B,0)),"")</f>
        <v/>
      </c>
      <c r="F985" t="str">
        <f t="array" ref="F985">IFERROR(INDEX('Player Raw Data'!H:H,Match($A985,'Player Raw Data'!$B:$B,0)),"")</f>
        <v/>
      </c>
      <c r="G985" t="str">
        <f t="array" ref="G985">IFERROR(INDEX('Player Raw Data'!I:I,Match($A985,'Player Raw Data'!$B:$B,0)),"")</f>
        <v/>
      </c>
      <c r="H985" t="str">
        <f t="array" ref="H985">IFERROR(INDEX('Player Raw Data'!J:J,Match($A985,'Player Raw Data'!$B:$B,0)),"")</f>
        <v/>
      </c>
      <c r="I985" t="str">
        <f t="array" ref="I985">IFERROR(INDEX('Player Raw Data'!S:S,Match($A985,'Player Raw Data'!$B:$B,0)),"")</f>
        <v/>
      </c>
      <c r="J985" t="str">
        <f t="array" ref="J985">IFERROR(INDEX('Player Raw Data'!T:T,Match($A985,'Player Raw Data'!$B:$B,0)),"")</f>
        <v/>
      </c>
      <c r="K985" t="str">
        <f t="array" ref="K985">IFERROR(INDEX('Player Raw Data'!X:X,Match($A985,'Player Raw Data'!$B:$B,0)),"")</f>
        <v/>
      </c>
      <c r="L985" t="str">
        <f t="array" ref="L985">IFERROR(INDEX('Player Raw Data'!Y:Y,Match($A985,'Player Raw Data'!$B:$B,0)),"")</f>
        <v/>
      </c>
      <c r="M985" t="str">
        <f t="array" ref="M985">IFERROR(INDEX('Player Raw Data'!Z:Z,Match($A985,'Player Raw Data'!$B:$B,0)),"")</f>
        <v/>
      </c>
      <c r="N985" t="str">
        <f t="array" ref="N985">IFERROR(INDEX('Player Raw Data'!AA:AA,Match($A985,'Player Raw Data'!$B:$B,0)),"")</f>
        <v/>
      </c>
      <c r="O985" t="str">
        <f t="array" ref="O985">IFERROR(INDEX('Player Raw Data'!AB:AB,Match($A985,'Player Raw Data'!$B:$B,0)),"")</f>
        <v/>
      </c>
      <c r="P985" t="str">
        <f t="array" ref="P985">IFERROR(INDEX('Player Raw Data'!AD:AD,Match($A985,'Player Raw Data'!$B:$B,0)),"")</f>
        <v/>
      </c>
      <c r="Q985">
        <f t="shared" si="1"/>
        <v>0</v>
      </c>
      <c r="R985" s="9">
        <f t="shared" si="2"/>
        <v>0</v>
      </c>
      <c r="S985" s="14">
        <f t="shared" si="3"/>
        <v>0</v>
      </c>
      <c r="T985" s="15">
        <f>IFERROR(__xludf.DUMMYFUNCTION("IFERROR(PERCENTRANK.INC(FILTER(Q:Q,$F:$F&lt;&gt;""""),Q985)*100,"""")"),1.5)</f>
        <v>1.5</v>
      </c>
      <c r="U985" s="15">
        <f>IFERROR(__xludf.DUMMYFUNCTION("IFERROR(PERCENTRANK.INC(FILTER(R:R,$F:$F&lt;&gt;""""),R985)*100,"""")"),1.5)</f>
        <v>1.5</v>
      </c>
      <c r="V985" s="15">
        <f>IFERROR(__xludf.DUMMYFUNCTION("IFERROR(PERCENTRANK.INC(FILTER(S:S,$F:$F&lt;&gt;""""),S985)*100,"""")"),1.5)</f>
        <v>1.5</v>
      </c>
      <c r="W985" s="15" t="str">
        <f t="shared" si="4"/>
        <v/>
      </c>
      <c r="X985" s="16"/>
      <c r="Y985" s="9"/>
      <c r="Z985" s="9"/>
    </row>
    <row r="986">
      <c r="B986" t="str">
        <f t="array" ref="B986">IFERROR(INDEX('Player Raw Data'!C:C,Match($A986,'Player Raw Data'!$B:$B,0)),"")</f>
        <v/>
      </c>
      <c r="C986" t="str">
        <f t="array" ref="C986">IFERROR(INDEX('Player Raw Data'!D:D,Match($A986,'Player Raw Data'!$B:$B,0)),"")</f>
        <v/>
      </c>
      <c r="D986" t="str">
        <f t="array" ref="D986">IFERROR(IF(A986=A985, INDEX('Player Raw Data'!E:E,Match($A986,'Player Raw Data'!$B:$B,0)+2),INDEX('Player Raw Data'!E:E,Match($A986,'Player Raw Data'!$B:$B,0))),"")</f>
        <v/>
      </c>
      <c r="E986" t="str">
        <f t="array" ref="E986">IFERROR(INDEX('Player Raw Data'!F:F,Match($A986,'Player Raw Data'!$B:$B,0)),"")</f>
        <v/>
      </c>
      <c r="F986" t="str">
        <f t="array" ref="F986">IFERROR(INDEX('Player Raw Data'!H:H,Match($A986,'Player Raw Data'!$B:$B,0)),"")</f>
        <v/>
      </c>
      <c r="G986" t="str">
        <f t="array" ref="G986">IFERROR(INDEX('Player Raw Data'!I:I,Match($A986,'Player Raw Data'!$B:$B,0)),"")</f>
        <v/>
      </c>
      <c r="H986" t="str">
        <f t="array" ref="H986">IFERROR(INDEX('Player Raw Data'!J:J,Match($A986,'Player Raw Data'!$B:$B,0)),"")</f>
        <v/>
      </c>
      <c r="I986" t="str">
        <f t="array" ref="I986">IFERROR(INDEX('Player Raw Data'!S:S,Match($A986,'Player Raw Data'!$B:$B,0)),"")</f>
        <v/>
      </c>
      <c r="J986" t="str">
        <f t="array" ref="J986">IFERROR(INDEX('Player Raw Data'!T:T,Match($A986,'Player Raw Data'!$B:$B,0)),"")</f>
        <v/>
      </c>
      <c r="K986" t="str">
        <f t="array" ref="K986">IFERROR(INDEX('Player Raw Data'!X:X,Match($A986,'Player Raw Data'!$B:$B,0)),"")</f>
        <v/>
      </c>
      <c r="L986" t="str">
        <f t="array" ref="L986">IFERROR(INDEX('Player Raw Data'!Y:Y,Match($A986,'Player Raw Data'!$B:$B,0)),"")</f>
        <v/>
      </c>
      <c r="M986" t="str">
        <f t="array" ref="M986">IFERROR(INDEX('Player Raw Data'!Z:Z,Match($A986,'Player Raw Data'!$B:$B,0)),"")</f>
        <v/>
      </c>
      <c r="N986" t="str">
        <f t="array" ref="N986">IFERROR(INDEX('Player Raw Data'!AA:AA,Match($A986,'Player Raw Data'!$B:$B,0)),"")</f>
        <v/>
      </c>
      <c r="O986" t="str">
        <f t="array" ref="O986">IFERROR(INDEX('Player Raw Data'!AB:AB,Match($A986,'Player Raw Data'!$B:$B,0)),"")</f>
        <v/>
      </c>
      <c r="P986" t="str">
        <f t="array" ref="P986">IFERROR(INDEX('Player Raw Data'!AD:AD,Match($A986,'Player Raw Data'!$B:$B,0)),"")</f>
        <v/>
      </c>
      <c r="Q986">
        <f t="shared" si="1"/>
        <v>0</v>
      </c>
      <c r="R986" s="9">
        <f t="shared" si="2"/>
        <v>0</v>
      </c>
      <c r="S986" s="14">
        <f t="shared" si="3"/>
        <v>0</v>
      </c>
      <c r="T986" s="15">
        <f>IFERROR(__xludf.DUMMYFUNCTION("IFERROR(PERCENTRANK.INC(FILTER(Q:Q,$F:$F&lt;&gt;""""),Q986)*100,"""")"),1.5)</f>
        <v>1.5</v>
      </c>
      <c r="U986" s="15">
        <f>IFERROR(__xludf.DUMMYFUNCTION("IFERROR(PERCENTRANK.INC(FILTER(R:R,$F:$F&lt;&gt;""""),R986)*100,"""")"),1.5)</f>
        <v>1.5</v>
      </c>
      <c r="V986" s="15">
        <f>IFERROR(__xludf.DUMMYFUNCTION("IFERROR(PERCENTRANK.INC(FILTER(S:S,$F:$F&lt;&gt;""""),S986)*100,"""")"),1.5)</f>
        <v>1.5</v>
      </c>
      <c r="W986" s="15" t="str">
        <f t="shared" si="4"/>
        <v/>
      </c>
      <c r="X986" s="16"/>
      <c r="Y986" s="9"/>
      <c r="Z986" s="9"/>
    </row>
    <row r="987">
      <c r="B987" t="str">
        <f t="array" ref="B987">IFERROR(INDEX('Player Raw Data'!C:C,Match($A987,'Player Raw Data'!$B:$B,0)),"")</f>
        <v/>
      </c>
      <c r="C987" t="str">
        <f t="array" ref="C987">IFERROR(INDEX('Player Raw Data'!D:D,Match($A987,'Player Raw Data'!$B:$B,0)),"")</f>
        <v/>
      </c>
      <c r="D987" t="str">
        <f t="array" ref="D987">IFERROR(IF(A987=A986, INDEX('Player Raw Data'!E:E,Match($A987,'Player Raw Data'!$B:$B,0)+2),INDEX('Player Raw Data'!E:E,Match($A987,'Player Raw Data'!$B:$B,0))),"")</f>
        <v/>
      </c>
      <c r="E987" t="str">
        <f t="array" ref="E987">IFERROR(INDEX('Player Raw Data'!F:F,Match($A987,'Player Raw Data'!$B:$B,0)),"")</f>
        <v/>
      </c>
      <c r="F987" t="str">
        <f t="array" ref="F987">IFERROR(INDEX('Player Raw Data'!H:H,Match($A987,'Player Raw Data'!$B:$B,0)),"")</f>
        <v/>
      </c>
      <c r="G987" t="str">
        <f t="array" ref="G987">IFERROR(INDEX('Player Raw Data'!I:I,Match($A987,'Player Raw Data'!$B:$B,0)),"")</f>
        <v/>
      </c>
      <c r="H987" t="str">
        <f t="array" ref="H987">IFERROR(INDEX('Player Raw Data'!J:J,Match($A987,'Player Raw Data'!$B:$B,0)),"")</f>
        <v/>
      </c>
      <c r="I987" t="str">
        <f t="array" ref="I987">IFERROR(INDEX('Player Raw Data'!S:S,Match($A987,'Player Raw Data'!$B:$B,0)),"")</f>
        <v/>
      </c>
      <c r="J987" t="str">
        <f t="array" ref="J987">IFERROR(INDEX('Player Raw Data'!T:T,Match($A987,'Player Raw Data'!$B:$B,0)),"")</f>
        <v/>
      </c>
      <c r="K987" t="str">
        <f t="array" ref="K987">IFERROR(INDEX('Player Raw Data'!X:X,Match($A987,'Player Raw Data'!$B:$B,0)),"")</f>
        <v/>
      </c>
      <c r="L987" t="str">
        <f t="array" ref="L987">IFERROR(INDEX('Player Raw Data'!Y:Y,Match($A987,'Player Raw Data'!$B:$B,0)),"")</f>
        <v/>
      </c>
      <c r="M987" t="str">
        <f t="array" ref="M987">IFERROR(INDEX('Player Raw Data'!Z:Z,Match($A987,'Player Raw Data'!$B:$B,0)),"")</f>
        <v/>
      </c>
      <c r="N987" t="str">
        <f t="array" ref="N987">IFERROR(INDEX('Player Raw Data'!AA:AA,Match($A987,'Player Raw Data'!$B:$B,0)),"")</f>
        <v/>
      </c>
      <c r="O987" t="str">
        <f t="array" ref="O987">IFERROR(INDEX('Player Raw Data'!AB:AB,Match($A987,'Player Raw Data'!$B:$B,0)),"")</f>
        <v/>
      </c>
      <c r="P987" t="str">
        <f t="array" ref="P987">IFERROR(INDEX('Player Raw Data'!AD:AD,Match($A987,'Player Raw Data'!$B:$B,0)),"")</f>
        <v/>
      </c>
      <c r="Q987">
        <f t="shared" si="1"/>
        <v>0</v>
      </c>
      <c r="R987" s="9">
        <f t="shared" si="2"/>
        <v>0</v>
      </c>
      <c r="S987" s="14">
        <f t="shared" si="3"/>
        <v>0</v>
      </c>
      <c r="T987" s="15">
        <f>IFERROR(__xludf.DUMMYFUNCTION("IFERROR(PERCENTRANK.INC(FILTER(Q:Q,$F:$F&lt;&gt;""""),Q987)*100,"""")"),1.5)</f>
        <v>1.5</v>
      </c>
      <c r="U987" s="15">
        <f>IFERROR(__xludf.DUMMYFUNCTION("IFERROR(PERCENTRANK.INC(FILTER(R:R,$F:$F&lt;&gt;""""),R987)*100,"""")"),1.5)</f>
        <v>1.5</v>
      </c>
      <c r="V987" s="15">
        <f>IFERROR(__xludf.DUMMYFUNCTION("IFERROR(PERCENTRANK.INC(FILTER(S:S,$F:$F&lt;&gt;""""),S987)*100,"""")"),1.5)</f>
        <v>1.5</v>
      </c>
      <c r="W987" s="15" t="str">
        <f t="shared" si="4"/>
        <v/>
      </c>
      <c r="X987" s="16"/>
      <c r="Y987" s="9"/>
      <c r="Z987" s="9"/>
    </row>
    <row r="988">
      <c r="B988" t="str">
        <f t="array" ref="B988">IFERROR(INDEX('Player Raw Data'!C:C,Match($A988,'Player Raw Data'!$B:$B,0)),"")</f>
        <v/>
      </c>
      <c r="C988" t="str">
        <f t="array" ref="C988">IFERROR(INDEX('Player Raw Data'!D:D,Match($A988,'Player Raw Data'!$B:$B,0)),"")</f>
        <v/>
      </c>
      <c r="D988" t="str">
        <f t="array" ref="D988">IFERROR(IF(A988=A987, INDEX('Player Raw Data'!E:E,Match($A988,'Player Raw Data'!$B:$B,0)+2),INDEX('Player Raw Data'!E:E,Match($A988,'Player Raw Data'!$B:$B,0))),"")</f>
        <v/>
      </c>
      <c r="E988" t="str">
        <f t="array" ref="E988">IFERROR(INDEX('Player Raw Data'!F:F,Match($A988,'Player Raw Data'!$B:$B,0)),"")</f>
        <v/>
      </c>
      <c r="F988" t="str">
        <f t="array" ref="F988">IFERROR(INDEX('Player Raw Data'!H:H,Match($A988,'Player Raw Data'!$B:$B,0)),"")</f>
        <v/>
      </c>
      <c r="G988" t="str">
        <f t="array" ref="G988">IFERROR(INDEX('Player Raw Data'!I:I,Match($A988,'Player Raw Data'!$B:$B,0)),"")</f>
        <v/>
      </c>
      <c r="H988" t="str">
        <f t="array" ref="H988">IFERROR(INDEX('Player Raw Data'!J:J,Match($A988,'Player Raw Data'!$B:$B,0)),"")</f>
        <v/>
      </c>
      <c r="I988" t="str">
        <f t="array" ref="I988">IFERROR(INDEX('Player Raw Data'!S:S,Match($A988,'Player Raw Data'!$B:$B,0)),"")</f>
        <v/>
      </c>
      <c r="J988" t="str">
        <f t="array" ref="J988">IFERROR(INDEX('Player Raw Data'!T:T,Match($A988,'Player Raw Data'!$B:$B,0)),"")</f>
        <v/>
      </c>
      <c r="K988" t="str">
        <f t="array" ref="K988">IFERROR(INDEX('Player Raw Data'!X:X,Match($A988,'Player Raw Data'!$B:$B,0)),"")</f>
        <v/>
      </c>
      <c r="L988" t="str">
        <f t="array" ref="L988">IFERROR(INDEX('Player Raw Data'!Y:Y,Match($A988,'Player Raw Data'!$B:$B,0)),"")</f>
        <v/>
      </c>
      <c r="M988" t="str">
        <f t="array" ref="M988">IFERROR(INDEX('Player Raw Data'!Z:Z,Match($A988,'Player Raw Data'!$B:$B,0)),"")</f>
        <v/>
      </c>
      <c r="N988" t="str">
        <f t="array" ref="N988">IFERROR(INDEX('Player Raw Data'!AA:AA,Match($A988,'Player Raw Data'!$B:$B,0)),"")</f>
        <v/>
      </c>
      <c r="O988" t="str">
        <f t="array" ref="O988">IFERROR(INDEX('Player Raw Data'!AB:AB,Match($A988,'Player Raw Data'!$B:$B,0)),"")</f>
        <v/>
      </c>
      <c r="P988" t="str">
        <f t="array" ref="P988">IFERROR(INDEX('Player Raw Data'!AD:AD,Match($A988,'Player Raw Data'!$B:$B,0)),"")</f>
        <v/>
      </c>
      <c r="Q988">
        <f t="shared" si="1"/>
        <v>0</v>
      </c>
      <c r="R988" s="9">
        <f t="shared" si="2"/>
        <v>0</v>
      </c>
      <c r="S988" s="14">
        <f t="shared" si="3"/>
        <v>0</v>
      </c>
      <c r="T988" s="15">
        <f>IFERROR(__xludf.DUMMYFUNCTION("IFERROR(PERCENTRANK.INC(FILTER(Q:Q,$F:$F&lt;&gt;""""),Q988)*100,"""")"),1.5)</f>
        <v>1.5</v>
      </c>
      <c r="U988" s="15">
        <f>IFERROR(__xludf.DUMMYFUNCTION("IFERROR(PERCENTRANK.INC(FILTER(R:R,$F:$F&lt;&gt;""""),R988)*100,"""")"),1.5)</f>
        <v>1.5</v>
      </c>
      <c r="V988" s="15">
        <f>IFERROR(__xludf.DUMMYFUNCTION("IFERROR(PERCENTRANK.INC(FILTER(S:S,$F:$F&lt;&gt;""""),S988)*100,"""")"),1.5)</f>
        <v>1.5</v>
      </c>
      <c r="W988" s="15" t="str">
        <f t="shared" si="4"/>
        <v/>
      </c>
      <c r="X988" s="16"/>
      <c r="Y988" s="9"/>
      <c r="Z988" s="9"/>
    </row>
    <row r="989">
      <c r="B989" t="str">
        <f t="array" ref="B989">IFERROR(INDEX('Player Raw Data'!C:C,Match($A989,'Player Raw Data'!$B:$B,0)),"")</f>
        <v/>
      </c>
      <c r="C989" t="str">
        <f t="array" ref="C989">IFERROR(INDEX('Player Raw Data'!D:D,Match($A989,'Player Raw Data'!$B:$B,0)),"")</f>
        <v/>
      </c>
      <c r="D989" t="str">
        <f t="array" ref="D989">IFERROR(IF(A989=A988, INDEX('Player Raw Data'!E:E,Match($A989,'Player Raw Data'!$B:$B,0)+2),INDEX('Player Raw Data'!E:E,Match($A989,'Player Raw Data'!$B:$B,0))),"")</f>
        <v/>
      </c>
      <c r="E989" t="str">
        <f t="array" ref="E989">IFERROR(INDEX('Player Raw Data'!F:F,Match($A989,'Player Raw Data'!$B:$B,0)),"")</f>
        <v/>
      </c>
      <c r="F989" t="str">
        <f t="array" ref="F989">IFERROR(INDEX('Player Raw Data'!H:H,Match($A989,'Player Raw Data'!$B:$B,0)),"")</f>
        <v/>
      </c>
      <c r="G989" t="str">
        <f t="array" ref="G989">IFERROR(INDEX('Player Raw Data'!I:I,Match($A989,'Player Raw Data'!$B:$B,0)),"")</f>
        <v/>
      </c>
      <c r="H989" t="str">
        <f t="array" ref="H989">IFERROR(INDEX('Player Raw Data'!J:J,Match($A989,'Player Raw Data'!$B:$B,0)),"")</f>
        <v/>
      </c>
      <c r="I989" t="str">
        <f t="array" ref="I989">IFERROR(INDEX('Player Raw Data'!S:S,Match($A989,'Player Raw Data'!$B:$B,0)),"")</f>
        <v/>
      </c>
      <c r="J989" t="str">
        <f t="array" ref="J989">IFERROR(INDEX('Player Raw Data'!T:T,Match($A989,'Player Raw Data'!$B:$B,0)),"")</f>
        <v/>
      </c>
      <c r="K989" t="str">
        <f t="array" ref="K989">IFERROR(INDEX('Player Raw Data'!X:X,Match($A989,'Player Raw Data'!$B:$B,0)),"")</f>
        <v/>
      </c>
      <c r="L989" t="str">
        <f t="array" ref="L989">IFERROR(INDEX('Player Raw Data'!Y:Y,Match($A989,'Player Raw Data'!$B:$B,0)),"")</f>
        <v/>
      </c>
      <c r="M989" t="str">
        <f t="array" ref="M989">IFERROR(INDEX('Player Raw Data'!Z:Z,Match($A989,'Player Raw Data'!$B:$B,0)),"")</f>
        <v/>
      </c>
      <c r="N989" t="str">
        <f t="array" ref="N989">IFERROR(INDEX('Player Raw Data'!AA:AA,Match($A989,'Player Raw Data'!$B:$B,0)),"")</f>
        <v/>
      </c>
      <c r="O989" t="str">
        <f t="array" ref="O989">IFERROR(INDEX('Player Raw Data'!AB:AB,Match($A989,'Player Raw Data'!$B:$B,0)),"")</f>
        <v/>
      </c>
      <c r="P989" t="str">
        <f t="array" ref="P989">IFERROR(INDEX('Player Raw Data'!AD:AD,Match($A989,'Player Raw Data'!$B:$B,0)),"")</f>
        <v/>
      </c>
      <c r="Q989">
        <f t="shared" si="1"/>
        <v>0</v>
      </c>
      <c r="R989" s="9">
        <f t="shared" si="2"/>
        <v>0</v>
      </c>
      <c r="S989" s="14">
        <f t="shared" si="3"/>
        <v>0</v>
      </c>
      <c r="T989" s="15">
        <f>IFERROR(__xludf.DUMMYFUNCTION("IFERROR(PERCENTRANK.INC(FILTER(Q:Q,$F:$F&lt;&gt;""""),Q989)*100,"""")"),1.5)</f>
        <v>1.5</v>
      </c>
      <c r="U989" s="15">
        <f>IFERROR(__xludf.DUMMYFUNCTION("IFERROR(PERCENTRANK.INC(FILTER(R:R,$F:$F&lt;&gt;""""),R989)*100,"""")"),1.5)</f>
        <v>1.5</v>
      </c>
      <c r="V989" s="15">
        <f>IFERROR(__xludf.DUMMYFUNCTION("IFERROR(PERCENTRANK.INC(FILTER(S:S,$F:$F&lt;&gt;""""),S989)*100,"""")"),1.5)</f>
        <v>1.5</v>
      </c>
      <c r="W989" s="15" t="str">
        <f t="shared" si="4"/>
        <v/>
      </c>
      <c r="X989" s="16"/>
      <c r="Y989" s="9"/>
      <c r="Z989" s="9"/>
    </row>
    <row r="990">
      <c r="B990" t="str">
        <f t="array" ref="B990">IFERROR(INDEX('Player Raw Data'!C:C,Match($A990,'Player Raw Data'!$B:$B,0)),"")</f>
        <v/>
      </c>
      <c r="C990" t="str">
        <f t="array" ref="C990">IFERROR(INDEX('Player Raw Data'!D:D,Match($A990,'Player Raw Data'!$B:$B,0)),"")</f>
        <v/>
      </c>
      <c r="D990" t="str">
        <f t="array" ref="D990">IFERROR(IF(A990=A989, INDEX('Player Raw Data'!E:E,Match($A990,'Player Raw Data'!$B:$B,0)+2),INDEX('Player Raw Data'!E:E,Match($A990,'Player Raw Data'!$B:$B,0))),"")</f>
        <v/>
      </c>
      <c r="E990" t="str">
        <f t="array" ref="E990">IFERROR(INDEX('Player Raw Data'!F:F,Match($A990,'Player Raw Data'!$B:$B,0)),"")</f>
        <v/>
      </c>
      <c r="F990" t="str">
        <f t="array" ref="F990">IFERROR(INDEX('Player Raw Data'!H:H,Match($A990,'Player Raw Data'!$B:$B,0)),"")</f>
        <v/>
      </c>
      <c r="G990" t="str">
        <f t="array" ref="G990">IFERROR(INDEX('Player Raw Data'!I:I,Match($A990,'Player Raw Data'!$B:$B,0)),"")</f>
        <v/>
      </c>
      <c r="H990" t="str">
        <f t="array" ref="H990">IFERROR(INDEX('Player Raw Data'!J:J,Match($A990,'Player Raw Data'!$B:$B,0)),"")</f>
        <v/>
      </c>
      <c r="I990" t="str">
        <f t="array" ref="I990">IFERROR(INDEX('Player Raw Data'!S:S,Match($A990,'Player Raw Data'!$B:$B,0)),"")</f>
        <v/>
      </c>
      <c r="J990" t="str">
        <f t="array" ref="J990">IFERROR(INDEX('Player Raw Data'!T:T,Match($A990,'Player Raw Data'!$B:$B,0)),"")</f>
        <v/>
      </c>
      <c r="K990" t="str">
        <f t="array" ref="K990">IFERROR(INDEX('Player Raw Data'!X:X,Match($A990,'Player Raw Data'!$B:$B,0)),"")</f>
        <v/>
      </c>
      <c r="L990" t="str">
        <f t="array" ref="L990">IFERROR(INDEX('Player Raw Data'!Y:Y,Match($A990,'Player Raw Data'!$B:$B,0)),"")</f>
        <v/>
      </c>
      <c r="M990" t="str">
        <f t="array" ref="M990">IFERROR(INDEX('Player Raw Data'!Z:Z,Match($A990,'Player Raw Data'!$B:$B,0)),"")</f>
        <v/>
      </c>
      <c r="N990" t="str">
        <f t="array" ref="N990">IFERROR(INDEX('Player Raw Data'!AA:AA,Match($A990,'Player Raw Data'!$B:$B,0)),"")</f>
        <v/>
      </c>
      <c r="O990" t="str">
        <f t="array" ref="O990">IFERROR(INDEX('Player Raw Data'!AB:AB,Match($A990,'Player Raw Data'!$B:$B,0)),"")</f>
        <v/>
      </c>
      <c r="P990" t="str">
        <f t="array" ref="P990">IFERROR(INDEX('Player Raw Data'!AD:AD,Match($A990,'Player Raw Data'!$B:$B,0)),"")</f>
        <v/>
      </c>
      <c r="Q990">
        <f t="shared" si="1"/>
        <v>0</v>
      </c>
      <c r="R990" s="9">
        <f t="shared" si="2"/>
        <v>0</v>
      </c>
      <c r="S990" s="14">
        <f t="shared" si="3"/>
        <v>0</v>
      </c>
      <c r="T990" s="15">
        <f>IFERROR(__xludf.DUMMYFUNCTION("IFERROR(PERCENTRANK.INC(FILTER(Q:Q,$F:$F&lt;&gt;""""),Q990)*100,"""")"),1.5)</f>
        <v>1.5</v>
      </c>
      <c r="U990" s="15">
        <f>IFERROR(__xludf.DUMMYFUNCTION("IFERROR(PERCENTRANK.INC(FILTER(R:R,$F:$F&lt;&gt;""""),R990)*100,"""")"),1.5)</f>
        <v>1.5</v>
      </c>
      <c r="V990" s="15">
        <f>IFERROR(__xludf.DUMMYFUNCTION("IFERROR(PERCENTRANK.INC(FILTER(S:S,$F:$F&lt;&gt;""""),S990)*100,"""")"),1.5)</f>
        <v>1.5</v>
      </c>
      <c r="W990" s="15" t="str">
        <f t="shared" si="4"/>
        <v/>
      </c>
      <c r="X990" s="16"/>
      <c r="Y990" s="9"/>
      <c r="Z990" s="9"/>
    </row>
    <row r="991">
      <c r="B991" t="str">
        <f t="array" ref="B991">IFERROR(INDEX('Player Raw Data'!C:C,Match($A991,'Player Raw Data'!$B:$B,0)),"")</f>
        <v/>
      </c>
      <c r="C991" t="str">
        <f t="array" ref="C991">IFERROR(INDEX('Player Raw Data'!D:D,Match($A991,'Player Raw Data'!$B:$B,0)),"")</f>
        <v/>
      </c>
      <c r="D991" t="str">
        <f t="array" ref="D991">IFERROR(IF(A991=A990, INDEX('Player Raw Data'!E:E,Match($A991,'Player Raw Data'!$B:$B,0)+2),INDEX('Player Raw Data'!E:E,Match($A991,'Player Raw Data'!$B:$B,0))),"")</f>
        <v/>
      </c>
      <c r="E991" t="str">
        <f t="array" ref="E991">IFERROR(INDEX('Player Raw Data'!F:F,Match($A991,'Player Raw Data'!$B:$B,0)),"")</f>
        <v/>
      </c>
      <c r="F991" t="str">
        <f t="array" ref="F991">IFERROR(INDEX('Player Raw Data'!H:H,Match($A991,'Player Raw Data'!$B:$B,0)),"")</f>
        <v/>
      </c>
      <c r="G991" t="str">
        <f t="array" ref="G991">IFERROR(INDEX('Player Raw Data'!I:I,Match($A991,'Player Raw Data'!$B:$B,0)),"")</f>
        <v/>
      </c>
      <c r="H991" t="str">
        <f t="array" ref="H991">IFERROR(INDEX('Player Raw Data'!J:J,Match($A991,'Player Raw Data'!$B:$B,0)),"")</f>
        <v/>
      </c>
      <c r="I991" t="str">
        <f t="array" ref="I991">IFERROR(INDEX('Player Raw Data'!S:S,Match($A991,'Player Raw Data'!$B:$B,0)),"")</f>
        <v/>
      </c>
      <c r="J991" t="str">
        <f t="array" ref="J991">IFERROR(INDEX('Player Raw Data'!T:T,Match($A991,'Player Raw Data'!$B:$B,0)),"")</f>
        <v/>
      </c>
      <c r="K991" t="str">
        <f t="array" ref="K991">IFERROR(INDEX('Player Raw Data'!X:X,Match($A991,'Player Raw Data'!$B:$B,0)),"")</f>
        <v/>
      </c>
      <c r="L991" t="str">
        <f t="array" ref="L991">IFERROR(INDEX('Player Raw Data'!Y:Y,Match($A991,'Player Raw Data'!$B:$B,0)),"")</f>
        <v/>
      </c>
      <c r="M991" t="str">
        <f t="array" ref="M991">IFERROR(INDEX('Player Raw Data'!Z:Z,Match($A991,'Player Raw Data'!$B:$B,0)),"")</f>
        <v/>
      </c>
      <c r="N991" t="str">
        <f t="array" ref="N991">IFERROR(INDEX('Player Raw Data'!AA:AA,Match($A991,'Player Raw Data'!$B:$B,0)),"")</f>
        <v/>
      </c>
      <c r="O991" t="str">
        <f t="array" ref="O991">IFERROR(INDEX('Player Raw Data'!AB:AB,Match($A991,'Player Raw Data'!$B:$B,0)),"")</f>
        <v/>
      </c>
      <c r="P991" t="str">
        <f t="array" ref="P991">IFERROR(INDEX('Player Raw Data'!AD:AD,Match($A991,'Player Raw Data'!$B:$B,0)),"")</f>
        <v/>
      </c>
      <c r="Q991">
        <f t="shared" si="1"/>
        <v>0</v>
      </c>
      <c r="R991" s="9">
        <f t="shared" si="2"/>
        <v>0</v>
      </c>
      <c r="S991" s="14">
        <f t="shared" si="3"/>
        <v>0</v>
      </c>
      <c r="T991" s="15">
        <f>IFERROR(__xludf.DUMMYFUNCTION("IFERROR(PERCENTRANK.INC(FILTER(Q:Q,$F:$F&lt;&gt;""""),Q991)*100,"""")"),1.5)</f>
        <v>1.5</v>
      </c>
      <c r="U991" s="15">
        <f>IFERROR(__xludf.DUMMYFUNCTION("IFERROR(PERCENTRANK.INC(FILTER(R:R,$F:$F&lt;&gt;""""),R991)*100,"""")"),1.5)</f>
        <v>1.5</v>
      </c>
      <c r="V991" s="15">
        <f>IFERROR(__xludf.DUMMYFUNCTION("IFERROR(PERCENTRANK.INC(FILTER(S:S,$F:$F&lt;&gt;""""),S991)*100,"""")"),1.5)</f>
        <v>1.5</v>
      </c>
      <c r="W991" s="15" t="str">
        <f t="shared" si="4"/>
        <v/>
      </c>
      <c r="X991" s="16"/>
      <c r="Y991" s="9"/>
      <c r="Z991" s="9"/>
    </row>
    <row r="992">
      <c r="B992" t="str">
        <f t="array" ref="B992">IFERROR(INDEX('Player Raw Data'!C:C,Match($A992,'Player Raw Data'!$B:$B,0)),"")</f>
        <v/>
      </c>
      <c r="C992" t="str">
        <f t="array" ref="C992">IFERROR(INDEX('Player Raw Data'!D:D,Match($A992,'Player Raw Data'!$B:$B,0)),"")</f>
        <v/>
      </c>
      <c r="D992" t="str">
        <f t="array" ref="D992">IFERROR(IF(A992=A991, INDEX('Player Raw Data'!E:E,Match($A992,'Player Raw Data'!$B:$B,0)+2),INDEX('Player Raw Data'!E:E,Match($A992,'Player Raw Data'!$B:$B,0))),"")</f>
        <v/>
      </c>
      <c r="E992" t="str">
        <f t="array" ref="E992">IFERROR(INDEX('Player Raw Data'!F:F,Match($A992,'Player Raw Data'!$B:$B,0)),"")</f>
        <v/>
      </c>
      <c r="F992" t="str">
        <f t="array" ref="F992">IFERROR(INDEX('Player Raw Data'!H:H,Match($A992,'Player Raw Data'!$B:$B,0)),"")</f>
        <v/>
      </c>
      <c r="G992" t="str">
        <f t="array" ref="G992">IFERROR(INDEX('Player Raw Data'!I:I,Match($A992,'Player Raw Data'!$B:$B,0)),"")</f>
        <v/>
      </c>
      <c r="H992" t="str">
        <f t="array" ref="H992">IFERROR(INDEX('Player Raw Data'!J:J,Match($A992,'Player Raw Data'!$B:$B,0)),"")</f>
        <v/>
      </c>
      <c r="I992" t="str">
        <f t="array" ref="I992">IFERROR(INDEX('Player Raw Data'!S:S,Match($A992,'Player Raw Data'!$B:$B,0)),"")</f>
        <v/>
      </c>
      <c r="J992" t="str">
        <f t="array" ref="J992">IFERROR(INDEX('Player Raw Data'!T:T,Match($A992,'Player Raw Data'!$B:$B,0)),"")</f>
        <v/>
      </c>
      <c r="K992" t="str">
        <f t="array" ref="K992">IFERROR(INDEX('Player Raw Data'!X:X,Match($A992,'Player Raw Data'!$B:$B,0)),"")</f>
        <v/>
      </c>
      <c r="L992" t="str">
        <f t="array" ref="L992">IFERROR(INDEX('Player Raw Data'!Y:Y,Match($A992,'Player Raw Data'!$B:$B,0)),"")</f>
        <v/>
      </c>
      <c r="M992" t="str">
        <f t="array" ref="M992">IFERROR(INDEX('Player Raw Data'!Z:Z,Match($A992,'Player Raw Data'!$B:$B,0)),"")</f>
        <v/>
      </c>
      <c r="N992" t="str">
        <f t="array" ref="N992">IFERROR(INDEX('Player Raw Data'!AA:AA,Match($A992,'Player Raw Data'!$B:$B,0)),"")</f>
        <v/>
      </c>
      <c r="O992" t="str">
        <f t="array" ref="O992">IFERROR(INDEX('Player Raw Data'!AB:AB,Match($A992,'Player Raw Data'!$B:$B,0)),"")</f>
        <v/>
      </c>
      <c r="P992" t="str">
        <f t="array" ref="P992">IFERROR(INDEX('Player Raw Data'!AD:AD,Match($A992,'Player Raw Data'!$B:$B,0)),"")</f>
        <v/>
      </c>
      <c r="Q992">
        <f t="shared" si="1"/>
        <v>0</v>
      </c>
      <c r="R992" s="9">
        <f t="shared" si="2"/>
        <v>0</v>
      </c>
      <c r="S992" s="14">
        <f t="shared" si="3"/>
        <v>0</v>
      </c>
      <c r="T992" s="15">
        <f>IFERROR(__xludf.DUMMYFUNCTION("IFERROR(PERCENTRANK.INC(FILTER(Q:Q,$F:$F&lt;&gt;""""),Q992)*100,"""")"),1.5)</f>
        <v>1.5</v>
      </c>
      <c r="U992" s="15">
        <f>IFERROR(__xludf.DUMMYFUNCTION("IFERROR(PERCENTRANK.INC(FILTER(R:R,$F:$F&lt;&gt;""""),R992)*100,"""")"),1.5)</f>
        <v>1.5</v>
      </c>
      <c r="V992" s="15">
        <f>IFERROR(__xludf.DUMMYFUNCTION("IFERROR(PERCENTRANK.INC(FILTER(S:S,$F:$F&lt;&gt;""""),S992)*100,"""")"),1.5)</f>
        <v>1.5</v>
      </c>
      <c r="W992" s="15" t="str">
        <f t="shared" si="4"/>
        <v/>
      </c>
      <c r="X992" s="16"/>
      <c r="Y992" s="9"/>
      <c r="Z992" s="9"/>
    </row>
    <row r="993">
      <c r="B993" t="str">
        <f t="array" ref="B993">IFERROR(INDEX('Player Raw Data'!C:C,Match($A993,'Player Raw Data'!$B:$B,0)),"")</f>
        <v/>
      </c>
      <c r="C993" t="str">
        <f t="array" ref="C993">IFERROR(INDEX('Player Raw Data'!D:D,Match($A993,'Player Raw Data'!$B:$B,0)),"")</f>
        <v/>
      </c>
      <c r="D993" t="str">
        <f t="array" ref="D993">IFERROR(IF(A993=A992, INDEX('Player Raw Data'!E:E,Match($A993,'Player Raw Data'!$B:$B,0)+2),INDEX('Player Raw Data'!E:E,Match($A993,'Player Raw Data'!$B:$B,0))),"")</f>
        <v/>
      </c>
      <c r="E993" t="str">
        <f t="array" ref="E993">IFERROR(INDEX('Player Raw Data'!F:F,Match($A993,'Player Raw Data'!$B:$B,0)),"")</f>
        <v/>
      </c>
      <c r="F993" t="str">
        <f t="array" ref="F993">IFERROR(INDEX('Player Raw Data'!H:H,Match($A993,'Player Raw Data'!$B:$B,0)),"")</f>
        <v/>
      </c>
      <c r="G993" t="str">
        <f t="array" ref="G993">IFERROR(INDEX('Player Raw Data'!I:I,Match($A993,'Player Raw Data'!$B:$B,0)),"")</f>
        <v/>
      </c>
      <c r="H993" t="str">
        <f t="array" ref="H993">IFERROR(INDEX('Player Raw Data'!J:J,Match($A993,'Player Raw Data'!$B:$B,0)),"")</f>
        <v/>
      </c>
      <c r="I993" t="str">
        <f t="array" ref="I993">IFERROR(INDEX('Player Raw Data'!S:S,Match($A993,'Player Raw Data'!$B:$B,0)),"")</f>
        <v/>
      </c>
      <c r="J993" t="str">
        <f t="array" ref="J993">IFERROR(INDEX('Player Raw Data'!T:T,Match($A993,'Player Raw Data'!$B:$B,0)),"")</f>
        <v/>
      </c>
      <c r="K993" t="str">
        <f t="array" ref="K993">IFERROR(INDEX('Player Raw Data'!X:X,Match($A993,'Player Raw Data'!$B:$B,0)),"")</f>
        <v/>
      </c>
      <c r="L993" t="str">
        <f t="array" ref="L993">IFERROR(INDEX('Player Raw Data'!Y:Y,Match($A993,'Player Raw Data'!$B:$B,0)),"")</f>
        <v/>
      </c>
      <c r="M993" t="str">
        <f t="array" ref="M993">IFERROR(INDEX('Player Raw Data'!Z:Z,Match($A993,'Player Raw Data'!$B:$B,0)),"")</f>
        <v/>
      </c>
      <c r="N993" t="str">
        <f t="array" ref="N993">IFERROR(INDEX('Player Raw Data'!AA:AA,Match($A993,'Player Raw Data'!$B:$B,0)),"")</f>
        <v/>
      </c>
      <c r="O993" t="str">
        <f t="array" ref="O993">IFERROR(INDEX('Player Raw Data'!AB:AB,Match($A993,'Player Raw Data'!$B:$B,0)),"")</f>
        <v/>
      </c>
      <c r="P993" t="str">
        <f t="array" ref="P993">IFERROR(INDEX('Player Raw Data'!AD:AD,Match($A993,'Player Raw Data'!$B:$B,0)),"")</f>
        <v/>
      </c>
      <c r="Q993">
        <f t="shared" si="1"/>
        <v>0</v>
      </c>
      <c r="R993" s="9">
        <f t="shared" si="2"/>
        <v>0</v>
      </c>
      <c r="S993" s="14">
        <f t="shared" si="3"/>
        <v>0</v>
      </c>
      <c r="T993" s="15">
        <f>IFERROR(__xludf.DUMMYFUNCTION("IFERROR(PERCENTRANK.INC(FILTER(Q:Q,$F:$F&lt;&gt;""""),Q993)*100,"""")"),1.5)</f>
        <v>1.5</v>
      </c>
      <c r="U993" s="15">
        <f>IFERROR(__xludf.DUMMYFUNCTION("IFERROR(PERCENTRANK.INC(FILTER(R:R,$F:$F&lt;&gt;""""),R993)*100,"""")"),1.5)</f>
        <v>1.5</v>
      </c>
      <c r="V993" s="15">
        <f>IFERROR(__xludf.DUMMYFUNCTION("IFERROR(PERCENTRANK.INC(FILTER(S:S,$F:$F&lt;&gt;""""),S993)*100,"""")"),1.5)</f>
        <v>1.5</v>
      </c>
      <c r="W993" s="15" t="str">
        <f t="shared" si="4"/>
        <v/>
      </c>
      <c r="X993" s="16"/>
      <c r="Y993" s="9"/>
      <c r="Z993" s="9"/>
    </row>
    <row r="994">
      <c r="B994" t="str">
        <f t="array" ref="B994">IFERROR(INDEX('Player Raw Data'!C:C,Match($A994,'Player Raw Data'!$B:$B,0)),"")</f>
        <v/>
      </c>
      <c r="C994" t="str">
        <f t="array" ref="C994">IFERROR(INDEX('Player Raw Data'!D:D,Match($A994,'Player Raw Data'!$B:$B,0)),"")</f>
        <v/>
      </c>
      <c r="D994" t="str">
        <f t="array" ref="D994">IFERROR(IF(A994=A993, INDEX('Player Raw Data'!E:E,Match($A994,'Player Raw Data'!$B:$B,0)+2),INDEX('Player Raw Data'!E:E,Match($A994,'Player Raw Data'!$B:$B,0))),"")</f>
        <v/>
      </c>
      <c r="E994" t="str">
        <f t="array" ref="E994">IFERROR(INDEX('Player Raw Data'!F:F,Match($A994,'Player Raw Data'!$B:$B,0)),"")</f>
        <v/>
      </c>
      <c r="F994" t="str">
        <f t="array" ref="F994">IFERROR(INDEX('Player Raw Data'!H:H,Match($A994,'Player Raw Data'!$B:$B,0)),"")</f>
        <v/>
      </c>
      <c r="G994" t="str">
        <f t="array" ref="G994">IFERROR(INDEX('Player Raw Data'!I:I,Match($A994,'Player Raw Data'!$B:$B,0)),"")</f>
        <v/>
      </c>
      <c r="H994" t="str">
        <f t="array" ref="H994">IFERROR(INDEX('Player Raw Data'!J:J,Match($A994,'Player Raw Data'!$B:$B,0)),"")</f>
        <v/>
      </c>
      <c r="I994" t="str">
        <f t="array" ref="I994">IFERROR(INDEX('Player Raw Data'!S:S,Match($A994,'Player Raw Data'!$B:$B,0)),"")</f>
        <v/>
      </c>
      <c r="J994" t="str">
        <f t="array" ref="J994">IFERROR(INDEX('Player Raw Data'!T:T,Match($A994,'Player Raw Data'!$B:$B,0)),"")</f>
        <v/>
      </c>
      <c r="K994" t="str">
        <f t="array" ref="K994">IFERROR(INDEX('Player Raw Data'!X:X,Match($A994,'Player Raw Data'!$B:$B,0)),"")</f>
        <v/>
      </c>
      <c r="L994" t="str">
        <f t="array" ref="L994">IFERROR(INDEX('Player Raw Data'!Y:Y,Match($A994,'Player Raw Data'!$B:$B,0)),"")</f>
        <v/>
      </c>
      <c r="M994" t="str">
        <f t="array" ref="M994">IFERROR(INDEX('Player Raw Data'!Z:Z,Match($A994,'Player Raw Data'!$B:$B,0)),"")</f>
        <v/>
      </c>
      <c r="N994" t="str">
        <f t="array" ref="N994">IFERROR(INDEX('Player Raw Data'!AA:AA,Match($A994,'Player Raw Data'!$B:$B,0)),"")</f>
        <v/>
      </c>
      <c r="O994" t="str">
        <f t="array" ref="O994">IFERROR(INDEX('Player Raw Data'!AB:AB,Match($A994,'Player Raw Data'!$B:$B,0)),"")</f>
        <v/>
      </c>
      <c r="P994" t="str">
        <f t="array" ref="P994">IFERROR(INDEX('Player Raw Data'!AD:AD,Match($A994,'Player Raw Data'!$B:$B,0)),"")</f>
        <v/>
      </c>
      <c r="Q994">
        <f t="shared" si="1"/>
        <v>0</v>
      </c>
      <c r="R994" s="9">
        <f t="shared" si="2"/>
        <v>0</v>
      </c>
      <c r="S994" s="14">
        <f t="shared" si="3"/>
        <v>0</v>
      </c>
      <c r="T994" s="15">
        <f>IFERROR(__xludf.DUMMYFUNCTION("IFERROR(PERCENTRANK.INC(FILTER(Q:Q,$F:$F&lt;&gt;""""),Q994)*100,"""")"),1.5)</f>
        <v>1.5</v>
      </c>
      <c r="U994" s="15">
        <f>IFERROR(__xludf.DUMMYFUNCTION("IFERROR(PERCENTRANK.INC(FILTER(R:R,$F:$F&lt;&gt;""""),R994)*100,"""")"),1.5)</f>
        <v>1.5</v>
      </c>
      <c r="V994" s="15">
        <f>IFERROR(__xludf.DUMMYFUNCTION("IFERROR(PERCENTRANK.INC(FILTER(S:S,$F:$F&lt;&gt;""""),S994)*100,"""")"),1.5)</f>
        <v>1.5</v>
      </c>
      <c r="W994" s="15" t="str">
        <f t="shared" si="4"/>
        <v/>
      </c>
      <c r="X994" s="16"/>
      <c r="Y994" s="9"/>
      <c r="Z994" s="9"/>
    </row>
    <row r="995">
      <c r="B995" t="str">
        <f t="array" ref="B995">IFERROR(INDEX('Player Raw Data'!C:C,Match($A995,'Player Raw Data'!$B:$B,0)),"")</f>
        <v/>
      </c>
      <c r="C995" t="str">
        <f t="array" ref="C995">IFERROR(INDEX('Player Raw Data'!D:D,Match($A995,'Player Raw Data'!$B:$B,0)),"")</f>
        <v/>
      </c>
      <c r="D995" t="str">
        <f t="array" ref="D995">IFERROR(IF(A995=A994, INDEX('Player Raw Data'!E:E,Match($A995,'Player Raw Data'!$B:$B,0)+2),INDEX('Player Raw Data'!E:E,Match($A995,'Player Raw Data'!$B:$B,0))),"")</f>
        <v/>
      </c>
      <c r="E995" t="str">
        <f t="array" ref="E995">IFERROR(INDEX('Player Raw Data'!F:F,Match($A995,'Player Raw Data'!$B:$B,0)),"")</f>
        <v/>
      </c>
      <c r="F995" t="str">
        <f t="array" ref="F995">IFERROR(INDEX('Player Raw Data'!H:H,Match($A995,'Player Raw Data'!$B:$B,0)),"")</f>
        <v/>
      </c>
      <c r="G995" t="str">
        <f t="array" ref="G995">IFERROR(INDEX('Player Raw Data'!I:I,Match($A995,'Player Raw Data'!$B:$B,0)),"")</f>
        <v/>
      </c>
      <c r="H995" t="str">
        <f t="array" ref="H995">IFERROR(INDEX('Player Raw Data'!J:J,Match($A995,'Player Raw Data'!$B:$B,0)),"")</f>
        <v/>
      </c>
      <c r="I995" t="str">
        <f t="array" ref="I995">IFERROR(INDEX('Player Raw Data'!S:S,Match($A995,'Player Raw Data'!$B:$B,0)),"")</f>
        <v/>
      </c>
      <c r="J995" t="str">
        <f t="array" ref="J995">IFERROR(INDEX('Player Raw Data'!T:T,Match($A995,'Player Raw Data'!$B:$B,0)),"")</f>
        <v/>
      </c>
      <c r="K995" t="str">
        <f t="array" ref="K995">IFERROR(INDEX('Player Raw Data'!X:X,Match($A995,'Player Raw Data'!$B:$B,0)),"")</f>
        <v/>
      </c>
      <c r="L995" t="str">
        <f t="array" ref="L995">IFERROR(INDEX('Player Raw Data'!Y:Y,Match($A995,'Player Raw Data'!$B:$B,0)),"")</f>
        <v/>
      </c>
      <c r="M995" t="str">
        <f t="array" ref="M995">IFERROR(INDEX('Player Raw Data'!Z:Z,Match($A995,'Player Raw Data'!$B:$B,0)),"")</f>
        <v/>
      </c>
      <c r="N995" t="str">
        <f t="array" ref="N995">IFERROR(INDEX('Player Raw Data'!AA:AA,Match($A995,'Player Raw Data'!$B:$B,0)),"")</f>
        <v/>
      </c>
      <c r="O995" t="str">
        <f t="array" ref="O995">IFERROR(INDEX('Player Raw Data'!AB:AB,Match($A995,'Player Raw Data'!$B:$B,0)),"")</f>
        <v/>
      </c>
      <c r="P995" t="str">
        <f t="array" ref="P995">IFERROR(INDEX('Player Raw Data'!AD:AD,Match($A995,'Player Raw Data'!$B:$B,0)),"")</f>
        <v/>
      </c>
      <c r="Q995">
        <f t="shared" si="1"/>
        <v>0</v>
      </c>
      <c r="R995" s="9">
        <f t="shared" si="2"/>
        <v>0</v>
      </c>
      <c r="S995" s="14">
        <f t="shared" si="3"/>
        <v>0</v>
      </c>
      <c r="T995" s="15">
        <f>IFERROR(__xludf.DUMMYFUNCTION("IFERROR(PERCENTRANK.INC(FILTER(Q:Q,$F:$F&lt;&gt;""""),Q995)*100,"""")"),1.5)</f>
        <v>1.5</v>
      </c>
      <c r="U995" s="15">
        <f>IFERROR(__xludf.DUMMYFUNCTION("IFERROR(PERCENTRANK.INC(FILTER(R:R,$F:$F&lt;&gt;""""),R995)*100,"""")"),1.5)</f>
        <v>1.5</v>
      </c>
      <c r="V995" s="15">
        <f>IFERROR(__xludf.DUMMYFUNCTION("IFERROR(PERCENTRANK.INC(FILTER(S:S,$F:$F&lt;&gt;""""),S995)*100,"""")"),1.5)</f>
        <v>1.5</v>
      </c>
      <c r="W995" s="15" t="str">
        <f t="shared" si="4"/>
        <v/>
      </c>
      <c r="X995" s="16"/>
      <c r="Y995" s="9"/>
      <c r="Z995" s="9"/>
    </row>
    <row r="996">
      <c r="B996" t="str">
        <f t="array" ref="B996">IFERROR(INDEX('Player Raw Data'!C:C,Match($A996,'Player Raw Data'!$B:$B,0)),"")</f>
        <v/>
      </c>
      <c r="C996" t="str">
        <f t="array" ref="C996">IFERROR(INDEX('Player Raw Data'!D:D,Match($A996,'Player Raw Data'!$B:$B,0)),"")</f>
        <v/>
      </c>
      <c r="D996" t="str">
        <f t="array" ref="D996">IFERROR(IF(A996=A995, INDEX('Player Raw Data'!E:E,Match($A996,'Player Raw Data'!$B:$B,0)+2),INDEX('Player Raw Data'!E:E,Match($A996,'Player Raw Data'!$B:$B,0))),"")</f>
        <v/>
      </c>
      <c r="E996" t="str">
        <f t="array" ref="E996">IFERROR(INDEX('Player Raw Data'!F:F,Match($A996,'Player Raw Data'!$B:$B,0)),"")</f>
        <v/>
      </c>
      <c r="F996" t="str">
        <f t="array" ref="F996">IFERROR(INDEX('Player Raw Data'!H:H,Match($A996,'Player Raw Data'!$B:$B,0)),"")</f>
        <v/>
      </c>
      <c r="G996" t="str">
        <f t="array" ref="G996">IFERROR(INDEX('Player Raw Data'!I:I,Match($A996,'Player Raw Data'!$B:$B,0)),"")</f>
        <v/>
      </c>
      <c r="H996" t="str">
        <f t="array" ref="H996">IFERROR(INDEX('Player Raw Data'!J:J,Match($A996,'Player Raw Data'!$B:$B,0)),"")</f>
        <v/>
      </c>
      <c r="I996" t="str">
        <f t="array" ref="I996">IFERROR(INDEX('Player Raw Data'!S:S,Match($A996,'Player Raw Data'!$B:$B,0)),"")</f>
        <v/>
      </c>
      <c r="J996" t="str">
        <f t="array" ref="J996">IFERROR(INDEX('Player Raw Data'!T:T,Match($A996,'Player Raw Data'!$B:$B,0)),"")</f>
        <v/>
      </c>
      <c r="K996" t="str">
        <f t="array" ref="K996">IFERROR(INDEX('Player Raw Data'!X:X,Match($A996,'Player Raw Data'!$B:$B,0)),"")</f>
        <v/>
      </c>
      <c r="L996" t="str">
        <f t="array" ref="L996">IFERROR(INDEX('Player Raw Data'!Y:Y,Match($A996,'Player Raw Data'!$B:$B,0)),"")</f>
        <v/>
      </c>
      <c r="M996" t="str">
        <f t="array" ref="M996">IFERROR(INDEX('Player Raw Data'!Z:Z,Match($A996,'Player Raw Data'!$B:$B,0)),"")</f>
        <v/>
      </c>
      <c r="N996" t="str">
        <f t="array" ref="N996">IFERROR(INDEX('Player Raw Data'!AA:AA,Match($A996,'Player Raw Data'!$B:$B,0)),"")</f>
        <v/>
      </c>
      <c r="O996" t="str">
        <f t="array" ref="O996">IFERROR(INDEX('Player Raw Data'!AB:AB,Match($A996,'Player Raw Data'!$B:$B,0)),"")</f>
        <v/>
      </c>
      <c r="P996" t="str">
        <f t="array" ref="P996">IFERROR(INDEX('Player Raw Data'!AD:AD,Match($A996,'Player Raw Data'!$B:$B,0)),"")</f>
        <v/>
      </c>
      <c r="Q996">
        <f t="shared" si="1"/>
        <v>0</v>
      </c>
      <c r="R996" s="9">
        <f t="shared" si="2"/>
        <v>0</v>
      </c>
      <c r="S996" s="14">
        <f t="shared" si="3"/>
        <v>0</v>
      </c>
      <c r="T996" s="15">
        <f>IFERROR(__xludf.DUMMYFUNCTION("IFERROR(PERCENTRANK.INC(FILTER(Q:Q,$F:$F&lt;&gt;""""),Q996)*100,"""")"),1.5)</f>
        <v>1.5</v>
      </c>
      <c r="U996" s="15">
        <f>IFERROR(__xludf.DUMMYFUNCTION("IFERROR(PERCENTRANK.INC(FILTER(R:R,$F:$F&lt;&gt;""""),R996)*100,"""")"),1.5)</f>
        <v>1.5</v>
      </c>
      <c r="V996" s="15">
        <f>IFERROR(__xludf.DUMMYFUNCTION("IFERROR(PERCENTRANK.INC(FILTER(S:S,$F:$F&lt;&gt;""""),S996)*100,"""")"),1.5)</f>
        <v>1.5</v>
      </c>
      <c r="W996" s="15" t="str">
        <f t="shared" si="4"/>
        <v/>
      </c>
      <c r="X996" s="16"/>
      <c r="Y996" s="9"/>
      <c r="Z996" s="9"/>
    </row>
    <row r="997">
      <c r="B997" t="str">
        <f t="array" ref="B997">IFERROR(INDEX('Player Raw Data'!C:C,Match($A997,'Player Raw Data'!$B:$B,0)),"")</f>
        <v/>
      </c>
      <c r="C997" t="str">
        <f t="array" ref="C997">IFERROR(INDEX('Player Raw Data'!D:D,Match($A997,'Player Raw Data'!$B:$B,0)),"")</f>
        <v/>
      </c>
      <c r="D997" t="str">
        <f t="array" ref="D997">IFERROR(IF(A997=A996, INDEX('Player Raw Data'!E:E,Match($A997,'Player Raw Data'!$B:$B,0)+2),INDEX('Player Raw Data'!E:E,Match($A997,'Player Raw Data'!$B:$B,0))),"")</f>
        <v/>
      </c>
      <c r="E997" t="str">
        <f t="array" ref="E997">IFERROR(INDEX('Player Raw Data'!F:F,Match($A997,'Player Raw Data'!$B:$B,0)),"")</f>
        <v/>
      </c>
      <c r="F997" t="str">
        <f t="array" ref="F997">IFERROR(INDEX('Player Raw Data'!H:H,Match($A997,'Player Raw Data'!$B:$B,0)),"")</f>
        <v/>
      </c>
      <c r="G997" t="str">
        <f t="array" ref="G997">IFERROR(INDEX('Player Raw Data'!I:I,Match($A997,'Player Raw Data'!$B:$B,0)),"")</f>
        <v/>
      </c>
      <c r="H997" t="str">
        <f t="array" ref="H997">IFERROR(INDEX('Player Raw Data'!J:J,Match($A997,'Player Raw Data'!$B:$B,0)),"")</f>
        <v/>
      </c>
      <c r="I997" t="str">
        <f t="array" ref="I997">IFERROR(INDEX('Player Raw Data'!S:S,Match($A997,'Player Raw Data'!$B:$B,0)),"")</f>
        <v/>
      </c>
      <c r="J997" t="str">
        <f t="array" ref="J997">IFERROR(INDEX('Player Raw Data'!T:T,Match($A997,'Player Raw Data'!$B:$B,0)),"")</f>
        <v/>
      </c>
      <c r="K997" t="str">
        <f t="array" ref="K997">IFERROR(INDEX('Player Raw Data'!X:X,Match($A997,'Player Raw Data'!$B:$B,0)),"")</f>
        <v/>
      </c>
      <c r="L997" t="str">
        <f t="array" ref="L997">IFERROR(INDEX('Player Raw Data'!Y:Y,Match($A997,'Player Raw Data'!$B:$B,0)),"")</f>
        <v/>
      </c>
      <c r="M997" t="str">
        <f t="array" ref="M997">IFERROR(INDEX('Player Raw Data'!Z:Z,Match($A997,'Player Raw Data'!$B:$B,0)),"")</f>
        <v/>
      </c>
      <c r="N997" t="str">
        <f t="array" ref="N997">IFERROR(INDEX('Player Raw Data'!AA:AA,Match($A997,'Player Raw Data'!$B:$B,0)),"")</f>
        <v/>
      </c>
      <c r="O997" t="str">
        <f t="array" ref="O997">IFERROR(INDEX('Player Raw Data'!AB:AB,Match($A997,'Player Raw Data'!$B:$B,0)),"")</f>
        <v/>
      </c>
      <c r="P997" t="str">
        <f t="array" ref="P997">IFERROR(INDEX('Player Raw Data'!AD:AD,Match($A997,'Player Raw Data'!$B:$B,0)),"")</f>
        <v/>
      </c>
      <c r="Q997">
        <f t="shared" si="1"/>
        <v>0</v>
      </c>
      <c r="R997" s="9">
        <f t="shared" si="2"/>
        <v>0</v>
      </c>
      <c r="S997" s="14">
        <f t="shared" si="3"/>
        <v>0</v>
      </c>
      <c r="T997" s="15">
        <f>IFERROR(__xludf.DUMMYFUNCTION("IFERROR(PERCENTRANK.INC(FILTER(Q:Q,$F:$F&lt;&gt;""""),Q997)*100,"""")"),1.5)</f>
        <v>1.5</v>
      </c>
      <c r="U997" s="15">
        <f>IFERROR(__xludf.DUMMYFUNCTION("IFERROR(PERCENTRANK.INC(FILTER(R:R,$F:$F&lt;&gt;""""),R997)*100,"""")"),1.5)</f>
        <v>1.5</v>
      </c>
      <c r="V997" s="15">
        <f>IFERROR(__xludf.DUMMYFUNCTION("IFERROR(PERCENTRANK.INC(FILTER(S:S,$F:$F&lt;&gt;""""),S997)*100,"""")"),1.5)</f>
        <v>1.5</v>
      </c>
      <c r="W997" s="15" t="str">
        <f t="shared" si="4"/>
        <v/>
      </c>
      <c r="X997" s="16"/>
      <c r="Y997" s="9"/>
      <c r="Z997" s="9"/>
    </row>
    <row r="998">
      <c r="B998" t="str">
        <f t="array" ref="B998">IFERROR(INDEX('Player Raw Data'!C:C,Match($A998,'Player Raw Data'!$B:$B,0)),"")</f>
        <v/>
      </c>
      <c r="C998" t="str">
        <f t="array" ref="C998">IFERROR(INDEX('Player Raw Data'!D:D,Match($A998,'Player Raw Data'!$B:$B,0)),"")</f>
        <v/>
      </c>
      <c r="D998" t="str">
        <f t="array" ref="D998">IFERROR(IF(A998=A997, INDEX('Player Raw Data'!E:E,Match($A998,'Player Raw Data'!$B:$B,0)+2),INDEX('Player Raw Data'!E:E,Match($A998,'Player Raw Data'!$B:$B,0))),"")</f>
        <v/>
      </c>
      <c r="E998" t="str">
        <f t="array" ref="E998">IFERROR(INDEX('Player Raw Data'!F:F,Match($A998,'Player Raw Data'!$B:$B,0)),"")</f>
        <v/>
      </c>
      <c r="F998" t="str">
        <f t="array" ref="F998">IFERROR(INDEX('Player Raw Data'!H:H,Match($A998,'Player Raw Data'!$B:$B,0)),"")</f>
        <v/>
      </c>
      <c r="G998" t="str">
        <f t="array" ref="G998">IFERROR(INDEX('Player Raw Data'!I:I,Match($A998,'Player Raw Data'!$B:$B,0)),"")</f>
        <v/>
      </c>
      <c r="H998" t="str">
        <f t="array" ref="H998">IFERROR(INDEX('Player Raw Data'!J:J,Match($A998,'Player Raw Data'!$B:$B,0)),"")</f>
        <v/>
      </c>
      <c r="I998" t="str">
        <f t="array" ref="I998">IFERROR(INDEX('Player Raw Data'!S:S,Match($A998,'Player Raw Data'!$B:$B,0)),"")</f>
        <v/>
      </c>
      <c r="J998" t="str">
        <f t="array" ref="J998">IFERROR(INDEX('Player Raw Data'!T:T,Match($A998,'Player Raw Data'!$B:$B,0)),"")</f>
        <v/>
      </c>
      <c r="K998" t="str">
        <f t="array" ref="K998">IFERROR(INDEX('Player Raw Data'!X:X,Match($A998,'Player Raw Data'!$B:$B,0)),"")</f>
        <v/>
      </c>
      <c r="L998" t="str">
        <f t="array" ref="L998">IFERROR(INDEX('Player Raw Data'!Y:Y,Match($A998,'Player Raw Data'!$B:$B,0)),"")</f>
        <v/>
      </c>
      <c r="M998" t="str">
        <f t="array" ref="M998">IFERROR(INDEX('Player Raw Data'!Z:Z,Match($A998,'Player Raw Data'!$B:$B,0)),"")</f>
        <v/>
      </c>
      <c r="N998" t="str">
        <f t="array" ref="N998">IFERROR(INDEX('Player Raw Data'!AA:AA,Match($A998,'Player Raw Data'!$B:$B,0)),"")</f>
        <v/>
      </c>
      <c r="O998" t="str">
        <f t="array" ref="O998">IFERROR(INDEX('Player Raw Data'!AB:AB,Match($A998,'Player Raw Data'!$B:$B,0)),"")</f>
        <v/>
      </c>
      <c r="P998" t="str">
        <f t="array" ref="P998">IFERROR(INDEX('Player Raw Data'!AD:AD,Match($A998,'Player Raw Data'!$B:$B,0)),"")</f>
        <v/>
      </c>
      <c r="Q998">
        <f t="shared" si="1"/>
        <v>0</v>
      </c>
      <c r="R998" s="9">
        <f t="shared" si="2"/>
        <v>0</v>
      </c>
      <c r="S998" s="14">
        <f t="shared" si="3"/>
        <v>0</v>
      </c>
      <c r="T998" s="15">
        <f>IFERROR(__xludf.DUMMYFUNCTION("IFERROR(PERCENTRANK.INC(FILTER(Q:Q,$F:$F&lt;&gt;""""),Q998)*100,"""")"),1.5)</f>
        <v>1.5</v>
      </c>
      <c r="U998" s="15">
        <f>IFERROR(__xludf.DUMMYFUNCTION("IFERROR(PERCENTRANK.INC(FILTER(R:R,$F:$F&lt;&gt;""""),R998)*100,"""")"),1.5)</f>
        <v>1.5</v>
      </c>
      <c r="V998" s="15">
        <f>IFERROR(__xludf.DUMMYFUNCTION("IFERROR(PERCENTRANK.INC(FILTER(S:S,$F:$F&lt;&gt;""""),S998)*100,"""")"),1.5)</f>
        <v>1.5</v>
      </c>
      <c r="W998" s="15" t="str">
        <f t="shared" si="4"/>
        <v/>
      </c>
      <c r="X998" s="16"/>
      <c r="Y998" s="9"/>
      <c r="Z998" s="9"/>
    </row>
    <row r="999">
      <c r="B999" t="str">
        <f t="array" ref="B999">IFERROR(INDEX('Player Raw Data'!C:C,Match($A999,'Player Raw Data'!$B:$B,0)),"")</f>
        <v/>
      </c>
      <c r="C999" t="str">
        <f t="array" ref="C999">IFERROR(INDEX('Player Raw Data'!D:D,Match($A999,'Player Raw Data'!$B:$B,0)),"")</f>
        <v/>
      </c>
      <c r="D999" t="str">
        <f t="array" ref="D999">IFERROR(IF(A999=A998, INDEX('Player Raw Data'!E:E,Match($A999,'Player Raw Data'!$B:$B,0)+2),INDEX('Player Raw Data'!E:E,Match($A999,'Player Raw Data'!$B:$B,0))),"")</f>
        <v/>
      </c>
      <c r="E999" t="str">
        <f t="array" ref="E999">IFERROR(INDEX('Player Raw Data'!F:F,Match($A999,'Player Raw Data'!$B:$B,0)),"")</f>
        <v/>
      </c>
      <c r="F999" t="str">
        <f t="array" ref="F999">IFERROR(INDEX('Player Raw Data'!H:H,Match($A999,'Player Raw Data'!$B:$B,0)),"")</f>
        <v/>
      </c>
      <c r="G999" t="str">
        <f t="array" ref="G999">IFERROR(INDEX('Player Raw Data'!I:I,Match($A999,'Player Raw Data'!$B:$B,0)),"")</f>
        <v/>
      </c>
      <c r="H999" t="str">
        <f t="array" ref="H999">IFERROR(INDEX('Player Raw Data'!J:J,Match($A999,'Player Raw Data'!$B:$B,0)),"")</f>
        <v/>
      </c>
      <c r="I999" t="str">
        <f t="array" ref="I999">IFERROR(INDEX('Player Raw Data'!S:S,Match($A999,'Player Raw Data'!$B:$B,0)),"")</f>
        <v/>
      </c>
      <c r="J999" t="str">
        <f t="array" ref="J999">IFERROR(INDEX('Player Raw Data'!T:T,Match($A999,'Player Raw Data'!$B:$B,0)),"")</f>
        <v/>
      </c>
      <c r="K999" t="str">
        <f t="array" ref="K999">IFERROR(INDEX('Player Raw Data'!X:X,Match($A999,'Player Raw Data'!$B:$B,0)),"")</f>
        <v/>
      </c>
      <c r="L999" t="str">
        <f t="array" ref="L999">IFERROR(INDEX('Player Raw Data'!Y:Y,Match($A999,'Player Raw Data'!$B:$B,0)),"")</f>
        <v/>
      </c>
      <c r="M999" t="str">
        <f t="array" ref="M999">IFERROR(INDEX('Player Raw Data'!Z:Z,Match($A999,'Player Raw Data'!$B:$B,0)),"")</f>
        <v/>
      </c>
      <c r="N999" t="str">
        <f t="array" ref="N999">IFERROR(INDEX('Player Raw Data'!AA:AA,Match($A999,'Player Raw Data'!$B:$B,0)),"")</f>
        <v/>
      </c>
      <c r="O999" t="str">
        <f t="array" ref="O999">IFERROR(INDEX('Player Raw Data'!AB:AB,Match($A999,'Player Raw Data'!$B:$B,0)),"")</f>
        <v/>
      </c>
      <c r="P999" t="str">
        <f t="array" ref="P999">IFERROR(INDEX('Player Raw Data'!AD:AD,Match($A999,'Player Raw Data'!$B:$B,0)),"")</f>
        <v/>
      </c>
      <c r="Q999">
        <f t="shared" si="1"/>
        <v>0</v>
      </c>
      <c r="R999" s="9">
        <f t="shared" si="2"/>
        <v>0</v>
      </c>
      <c r="S999" s="14">
        <f t="shared" si="3"/>
        <v>0</v>
      </c>
      <c r="T999" s="15">
        <f>IFERROR(__xludf.DUMMYFUNCTION("IFERROR(PERCENTRANK.INC(FILTER(Q:Q,$F:$F&lt;&gt;""""),Q999)*100,"""")"),1.5)</f>
        <v>1.5</v>
      </c>
      <c r="U999" s="15">
        <f>IFERROR(__xludf.DUMMYFUNCTION("IFERROR(PERCENTRANK.INC(FILTER(R:R,$F:$F&lt;&gt;""""),R999)*100,"""")"),1.5)</f>
        <v>1.5</v>
      </c>
      <c r="V999" s="15">
        <f>IFERROR(__xludf.DUMMYFUNCTION("IFERROR(PERCENTRANK.INC(FILTER(S:S,$F:$F&lt;&gt;""""),S999)*100,"""")"),1.5)</f>
        <v>1.5</v>
      </c>
      <c r="W999" s="15" t="str">
        <f t="shared" si="4"/>
        <v/>
      </c>
      <c r="X999" s="16"/>
      <c r="Y999" s="9"/>
      <c r="Z999" s="9"/>
    </row>
  </sheetData>
  <conditionalFormatting sqref="T1:T999 U2:V999">
    <cfRule type="colorScale" priority="1">
      <colorScale>
        <cfvo type="formula" val="0"/>
        <cfvo type="formula" val="50"/>
        <cfvo type="formula" val="100"/>
        <color rgb="FFE67C73"/>
        <color rgb="FFFFFFFF"/>
        <color rgb="FF57BB8A"/>
      </colorScale>
    </cfRule>
  </conditionalFormatting>
  <conditionalFormatting sqref="U1:U999 V2:V999">
    <cfRule type="colorScale" priority="2">
      <colorScale>
        <cfvo type="formula" val="0"/>
        <cfvo type="formula" val="50"/>
        <cfvo type="formula" val="100"/>
        <color rgb="FFE67C73"/>
        <color rgb="FFFFFFFF"/>
        <color rgb="FF57BB8A"/>
      </colorScale>
    </cfRule>
  </conditionalFormatting>
  <conditionalFormatting sqref="V1:V999">
    <cfRule type="colorScale" priority="3">
      <colorScale>
        <cfvo type="formula" val="0"/>
        <cfvo type="formula" val="50"/>
        <cfvo type="formula" val="100"/>
        <color rgb="FFE67C73"/>
        <color rgb="FFFFFFFF"/>
        <color rgb="FF57BB8A"/>
      </colorScale>
    </cfRule>
  </conditionalFormatting>
  <conditionalFormatting sqref="W1:W99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3" width="19.38"/>
    <col customWidth="1" min="4" max="4" width="4.0"/>
    <col customWidth="1" min="5" max="5" width="18.0"/>
    <col customWidth="1" min="6" max="6" width="4.0"/>
    <col customWidth="1" min="9" max="9" width="5.13"/>
  </cols>
  <sheetData>
    <row r="1">
      <c r="A1" s="19" t="s">
        <v>23</v>
      </c>
      <c r="B1" s="20" t="s">
        <v>24</v>
      </c>
      <c r="C1" s="20" t="s">
        <v>25</v>
      </c>
    </row>
    <row r="2">
      <c r="A2" s="19">
        <f t="array" ref="A2:C2106">MAP('Schedule CSV'!B3:D2210,LAMBDA(TEAM,IFNA(INDEX('Schedule CSV'!$F:$G,MATCH(Team,'Schedule CSV'!$F:$F,1),2),TEAM)))</f>
        <v>46315</v>
      </c>
      <c r="B2" s="21" t="s">
        <v>26</v>
      </c>
      <c r="C2" s="21" t="s">
        <v>27</v>
      </c>
    </row>
    <row r="3">
      <c r="A3" s="19">
        <v>46315.0</v>
      </c>
      <c r="B3" t="s">
        <v>28</v>
      </c>
      <c r="C3" t="s">
        <v>29</v>
      </c>
    </row>
    <row r="4">
      <c r="A4" s="22">
        <v>46315.0</v>
      </c>
      <c r="B4" t="s">
        <v>30</v>
      </c>
      <c r="C4" t="s">
        <v>31</v>
      </c>
    </row>
    <row r="5">
      <c r="A5" s="22">
        <v>46316.0</v>
      </c>
      <c r="B5" t="s">
        <v>32</v>
      </c>
      <c r="C5" t="s">
        <v>33</v>
      </c>
    </row>
    <row r="6">
      <c r="A6" s="22">
        <v>46316.0</v>
      </c>
      <c r="B6" t="s">
        <v>34</v>
      </c>
      <c r="C6" t="s">
        <v>35</v>
      </c>
    </row>
    <row r="7">
      <c r="A7" s="22">
        <v>46316.0</v>
      </c>
      <c r="B7" t="s">
        <v>36</v>
      </c>
      <c r="C7" t="s">
        <v>37</v>
      </c>
    </row>
    <row r="8">
      <c r="A8" s="22">
        <v>46316.0</v>
      </c>
      <c r="B8" t="s">
        <v>38</v>
      </c>
      <c r="C8" t="s">
        <v>39</v>
      </c>
    </row>
    <row r="9">
      <c r="A9" s="22">
        <v>46316.0</v>
      </c>
      <c r="B9" t="s">
        <v>5</v>
      </c>
      <c r="C9" t="s">
        <v>40</v>
      </c>
    </row>
    <row r="10">
      <c r="A10" s="22">
        <v>46316.0</v>
      </c>
      <c r="B10" t="s">
        <v>41</v>
      </c>
      <c r="C10" t="s">
        <v>42</v>
      </c>
    </row>
    <row r="11">
      <c r="A11" s="22">
        <v>46316.0</v>
      </c>
      <c r="B11" t="s">
        <v>43</v>
      </c>
      <c r="C11" t="s">
        <v>44</v>
      </c>
    </row>
    <row r="12">
      <c r="A12" s="22">
        <v>46316.0</v>
      </c>
      <c r="B12" t="s">
        <v>45</v>
      </c>
      <c r="C12" t="s">
        <v>46</v>
      </c>
    </row>
    <row r="13">
      <c r="A13" s="22">
        <v>46316.0</v>
      </c>
      <c r="B13" t="s">
        <v>47</v>
      </c>
      <c r="C13" t="s">
        <v>48</v>
      </c>
    </row>
    <row r="14">
      <c r="A14" s="22">
        <v>46316.0</v>
      </c>
      <c r="B14" t="s">
        <v>49</v>
      </c>
      <c r="C14" t="s">
        <v>50</v>
      </c>
    </row>
    <row r="15">
      <c r="A15" s="22">
        <v>46316.0</v>
      </c>
      <c r="B15" t="s">
        <v>51</v>
      </c>
      <c r="C15" t="s">
        <v>52</v>
      </c>
    </row>
    <row r="16">
      <c r="A16" s="22">
        <v>46317.0</v>
      </c>
      <c r="B16" t="s">
        <v>53</v>
      </c>
      <c r="C16" t="s">
        <v>28</v>
      </c>
    </row>
    <row r="17">
      <c r="A17" s="22">
        <v>46317.0</v>
      </c>
      <c r="B17" t="s">
        <v>54</v>
      </c>
      <c r="C17" t="s">
        <v>30</v>
      </c>
    </row>
    <row r="18">
      <c r="A18" s="22">
        <v>46318.0</v>
      </c>
      <c r="B18" t="s">
        <v>39</v>
      </c>
      <c r="C18" t="s">
        <v>33</v>
      </c>
    </row>
    <row r="19">
      <c r="A19" s="22">
        <v>46318.0</v>
      </c>
      <c r="B19" t="s">
        <v>5</v>
      </c>
      <c r="C19" t="s">
        <v>35</v>
      </c>
    </row>
    <row r="20">
      <c r="A20" s="22">
        <v>46318.0</v>
      </c>
      <c r="B20" t="s">
        <v>45</v>
      </c>
      <c r="C20" t="s">
        <v>43</v>
      </c>
    </row>
    <row r="21">
      <c r="A21" s="22">
        <v>46318.0</v>
      </c>
      <c r="B21" t="s">
        <v>34</v>
      </c>
      <c r="C21" t="s">
        <v>36</v>
      </c>
    </row>
    <row r="22">
      <c r="A22" s="22">
        <v>46318.0</v>
      </c>
      <c r="B22" t="s">
        <v>29</v>
      </c>
      <c r="C22" t="s">
        <v>26</v>
      </c>
    </row>
    <row r="23">
      <c r="A23" s="22">
        <v>46318.0</v>
      </c>
      <c r="B23" t="s">
        <v>27</v>
      </c>
      <c r="C23" t="s">
        <v>40</v>
      </c>
    </row>
    <row r="24">
      <c r="A24" s="22">
        <v>46318.0</v>
      </c>
      <c r="B24" t="s">
        <v>38</v>
      </c>
      <c r="C24" t="s">
        <v>32</v>
      </c>
    </row>
    <row r="25">
      <c r="A25" s="22">
        <v>46318.0</v>
      </c>
      <c r="B25" t="s">
        <v>46</v>
      </c>
      <c r="C25" t="s">
        <v>31</v>
      </c>
    </row>
    <row r="26">
      <c r="A26" s="22">
        <v>46318.0</v>
      </c>
      <c r="B26" t="s">
        <v>44</v>
      </c>
      <c r="C26" t="s">
        <v>41</v>
      </c>
    </row>
    <row r="27">
      <c r="A27" s="22">
        <v>46318.0</v>
      </c>
      <c r="B27" t="s">
        <v>52</v>
      </c>
      <c r="C27" t="s">
        <v>48</v>
      </c>
    </row>
    <row r="28">
      <c r="A28" s="22">
        <v>46318.0</v>
      </c>
      <c r="B28" t="s">
        <v>50</v>
      </c>
      <c r="C28" t="s">
        <v>51</v>
      </c>
    </row>
    <row r="29">
      <c r="A29" s="22">
        <v>46318.0</v>
      </c>
      <c r="B29" t="s">
        <v>42</v>
      </c>
      <c r="C29" t="s">
        <v>47</v>
      </c>
    </row>
    <row r="30">
      <c r="A30" s="22">
        <v>46319.0</v>
      </c>
      <c r="B30" t="s">
        <v>40</v>
      </c>
      <c r="C30" t="s">
        <v>36</v>
      </c>
    </row>
    <row r="31">
      <c r="A31" s="22">
        <v>46319.0</v>
      </c>
      <c r="B31" t="s">
        <v>32</v>
      </c>
      <c r="C31" t="s">
        <v>28</v>
      </c>
    </row>
    <row r="32">
      <c r="A32" s="22">
        <v>46319.0</v>
      </c>
      <c r="B32" t="s">
        <v>37</v>
      </c>
      <c r="C32" t="s">
        <v>53</v>
      </c>
    </row>
    <row r="33">
      <c r="A33" s="22">
        <v>46319.0</v>
      </c>
      <c r="B33" t="s">
        <v>31</v>
      </c>
      <c r="C33" t="s">
        <v>45</v>
      </c>
    </row>
    <row r="34">
      <c r="A34" s="22">
        <v>46319.0</v>
      </c>
      <c r="B34" t="s">
        <v>33</v>
      </c>
      <c r="C34" t="s">
        <v>38</v>
      </c>
    </row>
    <row r="35">
      <c r="A35" s="22">
        <v>46319.0</v>
      </c>
      <c r="B35" t="s">
        <v>46</v>
      </c>
      <c r="C35" t="s">
        <v>34</v>
      </c>
    </row>
    <row r="36">
      <c r="A36" s="22">
        <v>46319.0</v>
      </c>
      <c r="B36" t="s">
        <v>44</v>
      </c>
      <c r="C36" t="s">
        <v>54</v>
      </c>
    </row>
    <row r="37">
      <c r="A37" s="22">
        <v>46319.0</v>
      </c>
      <c r="B37" t="s">
        <v>47</v>
      </c>
      <c r="C37" t="s">
        <v>49</v>
      </c>
    </row>
    <row r="38">
      <c r="A38" s="22">
        <v>46320.0</v>
      </c>
      <c r="B38" t="s">
        <v>48</v>
      </c>
      <c r="C38" t="s">
        <v>41</v>
      </c>
    </row>
    <row r="39">
      <c r="A39" s="22">
        <v>46320.0</v>
      </c>
      <c r="B39" t="s">
        <v>43</v>
      </c>
      <c r="C39" t="s">
        <v>37</v>
      </c>
    </row>
    <row r="40">
      <c r="A40" s="22">
        <v>46320.0</v>
      </c>
      <c r="B40" t="s">
        <v>39</v>
      </c>
      <c r="C40" t="s">
        <v>5</v>
      </c>
    </row>
    <row r="41">
      <c r="A41" s="22">
        <v>46320.0</v>
      </c>
      <c r="B41" t="s">
        <v>35</v>
      </c>
      <c r="C41" t="s">
        <v>29</v>
      </c>
    </row>
    <row r="42">
      <c r="A42" s="22">
        <v>46320.0</v>
      </c>
      <c r="B42" t="s">
        <v>52</v>
      </c>
      <c r="C42" t="s">
        <v>30</v>
      </c>
    </row>
    <row r="43">
      <c r="A43" s="22">
        <v>46320.0</v>
      </c>
      <c r="B43" t="s">
        <v>27</v>
      </c>
      <c r="C43" t="s">
        <v>28</v>
      </c>
    </row>
    <row r="44">
      <c r="A44" s="22">
        <v>46320.0</v>
      </c>
      <c r="B44" t="s">
        <v>42</v>
      </c>
      <c r="C44" t="s">
        <v>51</v>
      </c>
    </row>
    <row r="45">
      <c r="A45" s="22">
        <v>46321.0</v>
      </c>
      <c r="B45" t="s">
        <v>5</v>
      </c>
      <c r="C45" t="s">
        <v>53</v>
      </c>
    </row>
    <row r="46">
      <c r="A46" s="22">
        <v>46321.0</v>
      </c>
      <c r="B46" t="s">
        <v>33</v>
      </c>
      <c r="C46" t="s">
        <v>36</v>
      </c>
    </row>
    <row r="47">
      <c r="A47" s="22">
        <v>46321.0</v>
      </c>
      <c r="B47" t="s">
        <v>45</v>
      </c>
      <c r="C47" t="s">
        <v>40</v>
      </c>
    </row>
    <row r="48">
      <c r="A48" s="22">
        <v>46321.0</v>
      </c>
      <c r="B48" t="s">
        <v>38</v>
      </c>
      <c r="C48" t="s">
        <v>26</v>
      </c>
    </row>
    <row r="49">
      <c r="A49" s="22">
        <v>46321.0</v>
      </c>
      <c r="B49" t="s">
        <v>43</v>
      </c>
      <c r="C49" t="s">
        <v>32</v>
      </c>
    </row>
    <row r="50">
      <c r="A50" s="22">
        <v>46321.0</v>
      </c>
      <c r="B50" t="s">
        <v>49</v>
      </c>
      <c r="C50" t="s">
        <v>30</v>
      </c>
    </row>
    <row r="51">
      <c r="A51" s="22">
        <v>46321.0</v>
      </c>
      <c r="B51" t="s">
        <v>34</v>
      </c>
      <c r="C51" t="s">
        <v>46</v>
      </c>
    </row>
    <row r="52">
      <c r="A52" s="22">
        <v>46321.0</v>
      </c>
      <c r="B52" t="s">
        <v>42</v>
      </c>
      <c r="C52" t="s">
        <v>41</v>
      </c>
    </row>
    <row r="53">
      <c r="A53" s="22">
        <v>46321.0</v>
      </c>
      <c r="B53" t="s">
        <v>47</v>
      </c>
      <c r="C53" t="s">
        <v>54</v>
      </c>
    </row>
    <row r="54">
      <c r="A54" s="22">
        <v>46322.0</v>
      </c>
      <c r="B54" t="s">
        <v>37</v>
      </c>
      <c r="C54" t="s">
        <v>26</v>
      </c>
    </row>
    <row r="55">
      <c r="A55" s="22">
        <v>46322.0</v>
      </c>
      <c r="B55" t="s">
        <v>27</v>
      </c>
      <c r="C55" t="s">
        <v>29</v>
      </c>
    </row>
    <row r="56">
      <c r="A56" s="22">
        <v>46322.0</v>
      </c>
      <c r="B56" t="s">
        <v>51</v>
      </c>
      <c r="C56" t="s">
        <v>31</v>
      </c>
    </row>
    <row r="57">
      <c r="A57" s="22">
        <v>46322.0</v>
      </c>
      <c r="B57" t="s">
        <v>50</v>
      </c>
      <c r="C57" t="s">
        <v>48</v>
      </c>
    </row>
    <row r="58">
      <c r="A58" s="22">
        <v>46323.0</v>
      </c>
      <c r="B58" t="s">
        <v>40</v>
      </c>
      <c r="C58" t="s">
        <v>34</v>
      </c>
    </row>
    <row r="59">
      <c r="A59" s="22">
        <v>46323.0</v>
      </c>
      <c r="B59" t="s">
        <v>33</v>
      </c>
      <c r="C59" t="s">
        <v>53</v>
      </c>
    </row>
    <row r="60">
      <c r="A60" s="22">
        <v>46323.0</v>
      </c>
      <c r="B60" t="s">
        <v>28</v>
      </c>
      <c r="C60" t="s">
        <v>43</v>
      </c>
    </row>
    <row r="61">
      <c r="A61" s="22">
        <v>46323.0</v>
      </c>
      <c r="B61" t="s">
        <v>36</v>
      </c>
      <c r="C61" t="s">
        <v>27</v>
      </c>
    </row>
    <row r="62">
      <c r="A62" s="22">
        <v>46323.0</v>
      </c>
      <c r="B62" t="s">
        <v>35</v>
      </c>
      <c r="C62" t="s">
        <v>39</v>
      </c>
    </row>
    <row r="63">
      <c r="A63" s="22">
        <v>46323.0</v>
      </c>
      <c r="B63" t="s">
        <v>46</v>
      </c>
      <c r="C63" t="s">
        <v>32</v>
      </c>
    </row>
    <row r="64">
      <c r="A64" s="22">
        <v>46323.0</v>
      </c>
      <c r="B64" t="s">
        <v>47</v>
      </c>
      <c r="C64" t="s">
        <v>5</v>
      </c>
    </row>
    <row r="65">
      <c r="A65" s="22">
        <v>46323.0</v>
      </c>
      <c r="B65" t="s">
        <v>54</v>
      </c>
      <c r="C65" t="s">
        <v>44</v>
      </c>
    </row>
    <row r="66">
      <c r="A66" s="22">
        <v>46323.0</v>
      </c>
      <c r="B66" t="s">
        <v>29</v>
      </c>
      <c r="C66" t="s">
        <v>38</v>
      </c>
    </row>
    <row r="67">
      <c r="A67" s="22">
        <v>46323.0</v>
      </c>
      <c r="B67" t="s">
        <v>31</v>
      </c>
      <c r="C67" t="s">
        <v>41</v>
      </c>
    </row>
    <row r="68">
      <c r="A68" s="22">
        <v>46323.0</v>
      </c>
      <c r="B68" t="s">
        <v>30</v>
      </c>
      <c r="C68" t="s">
        <v>45</v>
      </c>
    </row>
    <row r="69">
      <c r="A69" s="22">
        <v>46323.0</v>
      </c>
      <c r="B69" t="s">
        <v>48</v>
      </c>
      <c r="C69" t="s">
        <v>52</v>
      </c>
    </row>
    <row r="70">
      <c r="A70" s="22">
        <v>46324.0</v>
      </c>
      <c r="B70" t="s">
        <v>53</v>
      </c>
      <c r="C70" t="s">
        <v>34</v>
      </c>
    </row>
    <row r="71">
      <c r="A71" s="22">
        <v>46324.0</v>
      </c>
      <c r="B71" t="s">
        <v>51</v>
      </c>
      <c r="C71" t="s">
        <v>44</v>
      </c>
    </row>
    <row r="72">
      <c r="A72" s="22">
        <v>46324.0</v>
      </c>
      <c r="B72" t="s">
        <v>42</v>
      </c>
      <c r="C72" t="s">
        <v>50</v>
      </c>
    </row>
    <row r="73">
      <c r="A73" s="22">
        <v>46325.0</v>
      </c>
      <c r="B73" t="s">
        <v>36</v>
      </c>
      <c r="C73" t="s">
        <v>33</v>
      </c>
    </row>
    <row r="74">
      <c r="A74" s="23">
        <v>46325.0</v>
      </c>
      <c r="B74" t="s">
        <v>38</v>
      </c>
      <c r="C74" t="s">
        <v>26</v>
      </c>
    </row>
    <row r="75">
      <c r="A75" s="23">
        <v>46325.0</v>
      </c>
      <c r="B75" t="s">
        <v>27</v>
      </c>
      <c r="C75" t="s">
        <v>37</v>
      </c>
    </row>
    <row r="76">
      <c r="A76" s="23">
        <v>46325.0</v>
      </c>
      <c r="B76" t="s">
        <v>29</v>
      </c>
      <c r="C76" t="s">
        <v>28</v>
      </c>
    </row>
    <row r="77">
      <c r="A77" s="23">
        <v>46325.0</v>
      </c>
      <c r="B77" t="s">
        <v>35</v>
      </c>
      <c r="C77" t="s">
        <v>39</v>
      </c>
    </row>
    <row r="78">
      <c r="A78" s="23">
        <v>46325.0</v>
      </c>
      <c r="B78" t="s">
        <v>46</v>
      </c>
      <c r="C78" t="s">
        <v>45</v>
      </c>
    </row>
    <row r="79">
      <c r="A79" s="23">
        <v>46325.0</v>
      </c>
      <c r="B79" t="s">
        <v>43</v>
      </c>
      <c r="C79" t="s">
        <v>40</v>
      </c>
    </row>
    <row r="80">
      <c r="A80" s="23">
        <v>46325.0</v>
      </c>
      <c r="B80" t="s">
        <v>52</v>
      </c>
      <c r="C80" t="s">
        <v>5</v>
      </c>
    </row>
    <row r="81">
      <c r="A81" s="23">
        <v>46325.0</v>
      </c>
      <c r="B81" t="s">
        <v>48</v>
      </c>
      <c r="C81" t="s">
        <v>47</v>
      </c>
    </row>
    <row r="82">
      <c r="A82" s="23">
        <v>46325.0</v>
      </c>
      <c r="B82" t="s">
        <v>54</v>
      </c>
      <c r="C82" t="s">
        <v>49</v>
      </c>
    </row>
    <row r="83">
      <c r="A83" s="23">
        <v>46326.0</v>
      </c>
      <c r="B83" t="s">
        <v>50</v>
      </c>
      <c r="C83" t="s">
        <v>41</v>
      </c>
    </row>
    <row r="84">
      <c r="A84" s="23">
        <v>46326.0</v>
      </c>
      <c r="B84" t="s">
        <v>28</v>
      </c>
      <c r="C84" t="s">
        <v>36</v>
      </c>
    </row>
    <row r="85">
      <c r="A85" s="23">
        <v>46326.0</v>
      </c>
      <c r="B85" t="s">
        <v>34</v>
      </c>
      <c r="C85" t="s">
        <v>44</v>
      </c>
    </row>
    <row r="86">
      <c r="A86" s="23">
        <v>46326.0</v>
      </c>
      <c r="B86" t="s">
        <v>51</v>
      </c>
      <c r="C86" t="s">
        <v>42</v>
      </c>
    </row>
    <row r="87">
      <c r="A87" s="23">
        <v>46326.0</v>
      </c>
      <c r="B87" t="s">
        <v>53</v>
      </c>
      <c r="C87" t="s">
        <v>32</v>
      </c>
    </row>
    <row r="88">
      <c r="A88" s="23">
        <v>46326.0</v>
      </c>
      <c r="B88" t="s">
        <v>5</v>
      </c>
      <c r="C88" t="s">
        <v>31</v>
      </c>
    </row>
    <row r="89">
      <c r="A89" s="23">
        <v>46326.0</v>
      </c>
      <c r="B89" t="s">
        <v>30</v>
      </c>
      <c r="C89" t="s">
        <v>46</v>
      </c>
    </row>
    <row r="90">
      <c r="A90" s="23">
        <v>46327.0</v>
      </c>
      <c r="B90" t="s">
        <v>26</v>
      </c>
      <c r="C90" t="s">
        <v>35</v>
      </c>
    </row>
    <row r="91">
      <c r="A91" s="23">
        <v>46327.0</v>
      </c>
      <c r="B91" t="s">
        <v>37</v>
      </c>
      <c r="C91" t="s">
        <v>43</v>
      </c>
    </row>
    <row r="92">
      <c r="A92" s="23">
        <v>46327.0</v>
      </c>
      <c r="B92" t="s">
        <v>52</v>
      </c>
      <c r="C92" t="s">
        <v>47</v>
      </c>
    </row>
    <row r="93">
      <c r="A93" s="23">
        <v>46327.0</v>
      </c>
      <c r="B93" t="s">
        <v>39</v>
      </c>
      <c r="C93" t="s">
        <v>48</v>
      </c>
    </row>
    <row r="94">
      <c r="A94" s="23">
        <v>46328.0</v>
      </c>
      <c r="B94" t="s">
        <v>30</v>
      </c>
      <c r="C94" t="s">
        <v>53</v>
      </c>
    </row>
    <row r="95">
      <c r="A95" s="23">
        <v>46328.0</v>
      </c>
      <c r="B95" t="s">
        <v>27</v>
      </c>
      <c r="C95" t="s">
        <v>36</v>
      </c>
    </row>
    <row r="96">
      <c r="A96" s="23">
        <v>46328.0</v>
      </c>
      <c r="B96" t="s">
        <v>34</v>
      </c>
      <c r="C96" t="s">
        <v>43</v>
      </c>
    </row>
    <row r="97">
      <c r="A97" s="23">
        <v>46328.0</v>
      </c>
      <c r="B97" t="s">
        <v>37</v>
      </c>
      <c r="C97" t="s">
        <v>29</v>
      </c>
    </row>
    <row r="98">
      <c r="A98" s="23">
        <v>46328.0</v>
      </c>
      <c r="B98" t="s">
        <v>33</v>
      </c>
      <c r="C98" t="s">
        <v>35</v>
      </c>
    </row>
    <row r="99">
      <c r="A99" s="23">
        <v>46328.0</v>
      </c>
      <c r="B99" t="s">
        <v>38</v>
      </c>
      <c r="C99" t="s">
        <v>28</v>
      </c>
    </row>
    <row r="100">
      <c r="A100" s="23">
        <v>46328.0</v>
      </c>
      <c r="B100" t="s">
        <v>51</v>
      </c>
      <c r="C100" t="s">
        <v>45</v>
      </c>
    </row>
    <row r="101">
      <c r="A101" s="23">
        <v>46328.0</v>
      </c>
      <c r="B101" t="s">
        <v>44</v>
      </c>
      <c r="C101" t="s">
        <v>42</v>
      </c>
    </row>
    <row r="102">
      <c r="A102" s="23">
        <v>46328.0</v>
      </c>
      <c r="B102" t="s">
        <v>32</v>
      </c>
      <c r="C102" t="s">
        <v>5</v>
      </c>
    </row>
    <row r="103">
      <c r="A103" s="23">
        <v>46328.0</v>
      </c>
      <c r="B103" t="s">
        <v>26</v>
      </c>
      <c r="C103" t="s">
        <v>46</v>
      </c>
    </row>
    <row r="104">
      <c r="A104" s="23">
        <v>46328.0</v>
      </c>
      <c r="B104" t="s">
        <v>41</v>
      </c>
      <c r="C104" t="s">
        <v>31</v>
      </c>
    </row>
    <row r="105">
      <c r="A105" s="23">
        <v>46328.0</v>
      </c>
      <c r="B105" t="s">
        <v>50</v>
      </c>
      <c r="C105" t="s">
        <v>54</v>
      </c>
    </row>
    <row r="106">
      <c r="A106" s="23">
        <v>46328.0</v>
      </c>
      <c r="B106" t="s">
        <v>49</v>
      </c>
      <c r="C106" t="s">
        <v>47</v>
      </c>
    </row>
    <row r="107">
      <c r="A107" s="23">
        <v>46328.0</v>
      </c>
      <c r="B107" t="s">
        <v>39</v>
      </c>
      <c r="C107" t="s">
        <v>52</v>
      </c>
    </row>
    <row r="108">
      <c r="A108" s="23">
        <v>46328.0</v>
      </c>
      <c r="B108" t="s">
        <v>40</v>
      </c>
      <c r="C108" t="s">
        <v>48</v>
      </c>
    </row>
    <row r="109">
      <c r="A109" s="23">
        <v>46330.0</v>
      </c>
      <c r="B109" t="s">
        <v>28</v>
      </c>
      <c r="C109" t="s">
        <v>27</v>
      </c>
    </row>
    <row r="110">
      <c r="A110" s="23">
        <v>46330.0</v>
      </c>
      <c r="B110" t="s">
        <v>34</v>
      </c>
      <c r="C110" t="s">
        <v>33</v>
      </c>
    </row>
    <row r="111">
      <c r="A111" s="23">
        <v>46330.0</v>
      </c>
      <c r="B111" t="s">
        <v>32</v>
      </c>
      <c r="C111" t="s">
        <v>26</v>
      </c>
    </row>
    <row r="112">
      <c r="A112" s="23">
        <v>46330.0</v>
      </c>
      <c r="B112" t="s">
        <v>36</v>
      </c>
      <c r="C112" t="s">
        <v>37</v>
      </c>
    </row>
    <row r="113">
      <c r="A113" s="23">
        <v>46330.0</v>
      </c>
      <c r="B113" t="s">
        <v>38</v>
      </c>
      <c r="C113" t="s">
        <v>29</v>
      </c>
    </row>
    <row r="114">
      <c r="A114" s="23">
        <v>46330.0</v>
      </c>
      <c r="B114" t="s">
        <v>43</v>
      </c>
      <c r="C114" t="s">
        <v>42</v>
      </c>
    </row>
    <row r="115">
      <c r="A115" s="23">
        <v>46330.0</v>
      </c>
      <c r="B115" t="s">
        <v>41</v>
      </c>
      <c r="C115" t="s">
        <v>44</v>
      </c>
    </row>
    <row r="116">
      <c r="A116" s="23">
        <v>46330.0</v>
      </c>
      <c r="B116" t="s">
        <v>53</v>
      </c>
      <c r="C116" t="s">
        <v>30</v>
      </c>
    </row>
    <row r="117">
      <c r="A117" s="23">
        <v>46330.0</v>
      </c>
      <c r="B117" t="s">
        <v>5</v>
      </c>
      <c r="C117" t="s">
        <v>46</v>
      </c>
    </row>
    <row r="118">
      <c r="A118" s="23">
        <v>46330.0</v>
      </c>
      <c r="B118" t="s">
        <v>39</v>
      </c>
      <c r="C118" t="s">
        <v>54</v>
      </c>
    </row>
    <row r="119">
      <c r="A119" s="23">
        <v>46330.0</v>
      </c>
      <c r="B119" t="s">
        <v>50</v>
      </c>
      <c r="C119" t="s">
        <v>49</v>
      </c>
    </row>
    <row r="120">
      <c r="A120" s="23">
        <v>46330.0</v>
      </c>
      <c r="B120" t="s">
        <v>45</v>
      </c>
      <c r="C120" t="s">
        <v>31</v>
      </c>
    </row>
    <row r="121">
      <c r="A121" s="23">
        <v>46330.0</v>
      </c>
      <c r="B121" t="s">
        <v>48</v>
      </c>
      <c r="C121" t="s">
        <v>51</v>
      </c>
    </row>
    <row r="122">
      <c r="A122" s="23">
        <v>46330.0</v>
      </c>
      <c r="B122" t="s">
        <v>40</v>
      </c>
      <c r="C122" t="s">
        <v>52</v>
      </c>
    </row>
    <row r="123">
      <c r="A123" s="23">
        <v>46331.0</v>
      </c>
      <c r="B123" t="s">
        <v>35</v>
      </c>
      <c r="C123" t="s">
        <v>49</v>
      </c>
    </row>
    <row r="124">
      <c r="A124" s="23">
        <v>46331.0</v>
      </c>
      <c r="B124" t="s">
        <v>40</v>
      </c>
      <c r="C124" t="s">
        <v>47</v>
      </c>
    </row>
    <row r="125">
      <c r="A125" s="23">
        <v>46332.0</v>
      </c>
      <c r="B125" t="s">
        <v>33</v>
      </c>
      <c r="C125" t="s">
        <v>34</v>
      </c>
    </row>
    <row r="126">
      <c r="A126" s="23">
        <v>46332.0</v>
      </c>
      <c r="B126" t="s">
        <v>26</v>
      </c>
      <c r="C126" t="s">
        <v>36</v>
      </c>
    </row>
    <row r="127">
      <c r="A127" s="23">
        <v>46332.0</v>
      </c>
      <c r="B127" t="s">
        <v>28</v>
      </c>
      <c r="C127" t="s">
        <v>53</v>
      </c>
    </row>
    <row r="128">
      <c r="A128" s="23">
        <v>46332.0</v>
      </c>
      <c r="B128" t="s">
        <v>41</v>
      </c>
      <c r="C128" t="s">
        <v>45</v>
      </c>
    </row>
    <row r="129">
      <c r="A129" s="23">
        <v>46332.0</v>
      </c>
      <c r="B129" t="s">
        <v>30</v>
      </c>
      <c r="C129" t="s">
        <v>42</v>
      </c>
    </row>
    <row r="130">
      <c r="A130" s="23">
        <v>46332.0</v>
      </c>
      <c r="B130" t="s">
        <v>39</v>
      </c>
      <c r="C130" t="s">
        <v>32</v>
      </c>
    </row>
    <row r="131">
      <c r="A131" s="23">
        <v>46332.0</v>
      </c>
      <c r="B131" t="s">
        <v>5</v>
      </c>
      <c r="C131" t="s">
        <v>44</v>
      </c>
    </row>
    <row r="132">
      <c r="A132" s="23">
        <v>46332.0</v>
      </c>
      <c r="B132" t="s">
        <v>50</v>
      </c>
      <c r="C132" t="s">
        <v>48</v>
      </c>
    </row>
    <row r="133">
      <c r="A133" s="23">
        <v>46332.0</v>
      </c>
      <c r="B133" t="s">
        <v>31</v>
      </c>
      <c r="C133" t="s">
        <v>51</v>
      </c>
    </row>
    <row r="134">
      <c r="A134" s="23">
        <v>46333.0</v>
      </c>
      <c r="B134" t="s">
        <v>54</v>
      </c>
      <c r="C134" t="s">
        <v>43</v>
      </c>
    </row>
    <row r="135">
      <c r="A135" s="23">
        <v>46333.0</v>
      </c>
      <c r="B135" t="s">
        <v>37</v>
      </c>
      <c r="C135" t="s">
        <v>34</v>
      </c>
    </row>
    <row r="136">
      <c r="A136" s="23">
        <v>46333.0</v>
      </c>
      <c r="B136" t="s">
        <v>29</v>
      </c>
      <c r="C136" t="s">
        <v>53</v>
      </c>
    </row>
    <row r="137">
      <c r="A137" s="23">
        <v>46333.0</v>
      </c>
      <c r="B137" t="s">
        <v>33</v>
      </c>
      <c r="C137" t="s">
        <v>30</v>
      </c>
    </row>
    <row r="138">
      <c r="A138" s="23">
        <v>46333.0</v>
      </c>
      <c r="B138" t="s">
        <v>35</v>
      </c>
      <c r="C138" t="s">
        <v>47</v>
      </c>
    </row>
    <row r="139">
      <c r="A139" s="23">
        <v>46333.0</v>
      </c>
      <c r="B139" t="s">
        <v>46</v>
      </c>
      <c r="C139" t="s">
        <v>49</v>
      </c>
    </row>
    <row r="140">
      <c r="A140" s="23">
        <v>46333.0</v>
      </c>
      <c r="B140" t="s">
        <v>31</v>
      </c>
      <c r="C140" t="s">
        <v>50</v>
      </c>
    </row>
    <row r="141">
      <c r="A141" s="23">
        <v>46334.0</v>
      </c>
      <c r="B141" t="s">
        <v>28</v>
      </c>
      <c r="C141" t="s">
        <v>38</v>
      </c>
    </row>
    <row r="142">
      <c r="A142" s="23">
        <v>46334.0</v>
      </c>
      <c r="B142" t="s">
        <v>48</v>
      </c>
      <c r="C142" t="s">
        <v>27</v>
      </c>
    </row>
    <row r="143">
      <c r="A143" s="23">
        <v>46334.0</v>
      </c>
      <c r="B143" t="s">
        <v>41</v>
      </c>
      <c r="C143" t="s">
        <v>5</v>
      </c>
    </row>
    <row r="144">
      <c r="A144" s="23">
        <v>46334.0</v>
      </c>
      <c r="B144" t="s">
        <v>37</v>
      </c>
      <c r="C144" t="s">
        <v>45</v>
      </c>
    </row>
    <row r="145">
      <c r="A145" s="23">
        <v>46334.0</v>
      </c>
      <c r="B145" t="s">
        <v>26</v>
      </c>
      <c r="C145" t="s">
        <v>32</v>
      </c>
    </row>
    <row r="146">
      <c r="A146" s="23">
        <v>46334.0</v>
      </c>
      <c r="B146" t="s">
        <v>44</v>
      </c>
      <c r="C146" t="s">
        <v>52</v>
      </c>
    </row>
    <row r="147">
      <c r="A147" s="23">
        <v>46334.0</v>
      </c>
      <c r="B147" t="s">
        <v>40</v>
      </c>
      <c r="C147" t="s">
        <v>51</v>
      </c>
    </row>
    <row r="148">
      <c r="A148" s="23">
        <v>46335.0</v>
      </c>
      <c r="B148" t="s">
        <v>48</v>
      </c>
      <c r="C148" t="s">
        <v>34</v>
      </c>
    </row>
    <row r="149">
      <c r="A149" s="23">
        <v>46335.0</v>
      </c>
      <c r="B149" t="s">
        <v>53</v>
      </c>
      <c r="C149" t="s">
        <v>36</v>
      </c>
    </row>
    <row r="150">
      <c r="A150" s="23">
        <v>46335.0</v>
      </c>
      <c r="B150" t="s">
        <v>33</v>
      </c>
      <c r="C150" t="s">
        <v>27</v>
      </c>
    </row>
    <row r="151">
      <c r="A151" s="23">
        <v>46335.0</v>
      </c>
      <c r="B151" t="s">
        <v>42</v>
      </c>
      <c r="C151" t="s">
        <v>39</v>
      </c>
    </row>
    <row r="152">
      <c r="A152" s="23">
        <v>46335.0</v>
      </c>
      <c r="B152" t="s">
        <v>43</v>
      </c>
      <c r="C152" t="s">
        <v>45</v>
      </c>
    </row>
    <row r="153">
      <c r="A153" s="23">
        <v>46335.0</v>
      </c>
      <c r="B153" t="s">
        <v>54</v>
      </c>
      <c r="C153" t="s">
        <v>46</v>
      </c>
    </row>
    <row r="154">
      <c r="A154" s="23">
        <v>46335.0</v>
      </c>
      <c r="B154" t="s">
        <v>31</v>
      </c>
      <c r="C154" t="s">
        <v>49</v>
      </c>
    </row>
    <row r="155">
      <c r="A155" s="23">
        <v>46335.0</v>
      </c>
      <c r="B155" t="s">
        <v>44</v>
      </c>
      <c r="C155" t="s">
        <v>47</v>
      </c>
    </row>
    <row r="156">
      <c r="A156" s="23">
        <v>46336.0</v>
      </c>
      <c r="B156" t="s">
        <v>32</v>
      </c>
      <c r="C156" t="s">
        <v>29</v>
      </c>
    </row>
    <row r="157">
      <c r="A157" s="23">
        <v>46336.0</v>
      </c>
      <c r="B157" t="s">
        <v>26</v>
      </c>
      <c r="C157" t="s">
        <v>28</v>
      </c>
    </row>
    <row r="158">
      <c r="A158" s="23">
        <v>46336.0</v>
      </c>
      <c r="B158" t="s">
        <v>52</v>
      </c>
      <c r="C158" t="s">
        <v>49</v>
      </c>
    </row>
    <row r="159">
      <c r="A159" s="23">
        <v>46336.0</v>
      </c>
      <c r="B159" t="s">
        <v>40</v>
      </c>
      <c r="C159" t="s">
        <v>41</v>
      </c>
    </row>
    <row r="160">
      <c r="A160" s="23">
        <v>46336.0</v>
      </c>
      <c r="B160" t="s">
        <v>35</v>
      </c>
      <c r="C160" t="s">
        <v>51</v>
      </c>
    </row>
    <row r="161">
      <c r="A161" s="23">
        <v>46336.0</v>
      </c>
      <c r="B161" t="s">
        <v>30</v>
      </c>
      <c r="C161" t="s">
        <v>50</v>
      </c>
    </row>
    <row r="162">
      <c r="A162" s="23">
        <v>46337.0</v>
      </c>
      <c r="B162" t="s">
        <v>33</v>
      </c>
      <c r="C162" t="s">
        <v>43</v>
      </c>
    </row>
    <row r="163">
      <c r="A163" s="23">
        <v>46337.0</v>
      </c>
      <c r="B163" t="s">
        <v>53</v>
      </c>
      <c r="C163" t="s">
        <v>29</v>
      </c>
    </row>
    <row r="164">
      <c r="A164" s="23">
        <v>46337.0</v>
      </c>
      <c r="B164" t="s">
        <v>26</v>
      </c>
      <c r="C164" t="s">
        <v>39</v>
      </c>
    </row>
    <row r="165">
      <c r="A165" s="23">
        <v>46337.0</v>
      </c>
      <c r="B165" t="s">
        <v>31</v>
      </c>
      <c r="C165" t="s">
        <v>38</v>
      </c>
    </row>
    <row r="166">
      <c r="A166" s="23">
        <v>46337.0</v>
      </c>
      <c r="B166" t="s">
        <v>54</v>
      </c>
      <c r="C166" t="s">
        <v>42</v>
      </c>
    </row>
    <row r="167">
      <c r="A167" s="23">
        <v>46337.0</v>
      </c>
      <c r="B167" t="s">
        <v>48</v>
      </c>
      <c r="C167" t="s">
        <v>32</v>
      </c>
    </row>
    <row r="168">
      <c r="A168" s="23">
        <v>46337.0</v>
      </c>
      <c r="B168" t="s">
        <v>37</v>
      </c>
      <c r="C168" t="s">
        <v>44</v>
      </c>
    </row>
    <row r="169">
      <c r="A169" s="23">
        <v>46337.0</v>
      </c>
      <c r="B169" t="s">
        <v>35</v>
      </c>
      <c r="C169" t="s">
        <v>41</v>
      </c>
    </row>
    <row r="170">
      <c r="A170" s="23">
        <v>46337.0</v>
      </c>
      <c r="B170" t="s">
        <v>47</v>
      </c>
      <c r="C170" t="s">
        <v>46</v>
      </c>
    </row>
    <row r="171">
      <c r="A171" s="23">
        <v>46337.0</v>
      </c>
      <c r="B171" t="s">
        <v>30</v>
      </c>
      <c r="C171" t="s">
        <v>50</v>
      </c>
    </row>
    <row r="172">
      <c r="A172" s="23">
        <v>46338.0</v>
      </c>
      <c r="B172" t="s">
        <v>39</v>
      </c>
      <c r="C172" t="s">
        <v>28</v>
      </c>
    </row>
    <row r="173">
      <c r="A173" s="23">
        <v>46338.0</v>
      </c>
      <c r="B173" t="s">
        <v>27</v>
      </c>
      <c r="C173" t="s">
        <v>33</v>
      </c>
    </row>
    <row r="174">
      <c r="A174" s="23">
        <v>46338.0</v>
      </c>
      <c r="B174" t="s">
        <v>45</v>
      </c>
      <c r="C174" t="s">
        <v>5</v>
      </c>
    </row>
    <row r="175">
      <c r="A175" s="23">
        <v>46338.0</v>
      </c>
      <c r="B175" t="s">
        <v>36</v>
      </c>
      <c r="C175" t="s">
        <v>49</v>
      </c>
    </row>
    <row r="176">
      <c r="A176" s="23">
        <v>46339.0</v>
      </c>
      <c r="B176" t="s">
        <v>29</v>
      </c>
      <c r="C176" t="s">
        <v>43</v>
      </c>
    </row>
    <row r="177">
      <c r="A177" s="23">
        <v>46339.0</v>
      </c>
      <c r="B177" t="s">
        <v>32</v>
      </c>
      <c r="C177" t="s">
        <v>35</v>
      </c>
    </row>
    <row r="178">
      <c r="A178" s="23">
        <v>46339.0</v>
      </c>
      <c r="B178" t="s">
        <v>34</v>
      </c>
      <c r="C178" t="s">
        <v>38</v>
      </c>
    </row>
    <row r="179">
      <c r="A179" s="23">
        <v>46339.0</v>
      </c>
      <c r="B179" t="s">
        <v>53</v>
      </c>
      <c r="C179" t="s">
        <v>40</v>
      </c>
    </row>
    <row r="180">
      <c r="A180" s="23">
        <v>46339.0</v>
      </c>
      <c r="B180" t="s">
        <v>42</v>
      </c>
      <c r="C180" t="s">
        <v>44</v>
      </c>
    </row>
    <row r="181">
      <c r="A181" s="23">
        <v>46339.0</v>
      </c>
      <c r="B181" t="s">
        <v>41</v>
      </c>
      <c r="C181" t="s">
        <v>46</v>
      </c>
    </row>
    <row r="182">
      <c r="A182" s="23">
        <v>46339.0</v>
      </c>
      <c r="B182" t="s">
        <v>47</v>
      </c>
      <c r="C182" t="s">
        <v>31</v>
      </c>
    </row>
    <row r="183">
      <c r="A183" s="23">
        <v>46339.0</v>
      </c>
      <c r="B183" t="s">
        <v>50</v>
      </c>
      <c r="C183" t="s">
        <v>51</v>
      </c>
    </row>
    <row r="184">
      <c r="A184" s="23">
        <v>46339.0</v>
      </c>
      <c r="B184" t="s">
        <v>30</v>
      </c>
      <c r="C184" t="s">
        <v>52</v>
      </c>
    </row>
    <row r="185">
      <c r="A185" s="23">
        <v>46340.0</v>
      </c>
      <c r="B185" t="s">
        <v>54</v>
      </c>
      <c r="C185" t="s">
        <v>44</v>
      </c>
    </row>
    <row r="186">
      <c r="A186" s="23">
        <v>46340.0</v>
      </c>
      <c r="B186" t="s">
        <v>45</v>
      </c>
      <c r="C186" t="s">
        <v>53</v>
      </c>
    </row>
    <row r="187">
      <c r="A187" s="23">
        <v>46340.0</v>
      </c>
      <c r="B187" t="s">
        <v>37</v>
      </c>
      <c r="C187" t="s">
        <v>42</v>
      </c>
    </row>
    <row r="188">
      <c r="A188" s="23">
        <v>46340.0</v>
      </c>
      <c r="B188" t="s">
        <v>27</v>
      </c>
      <c r="C188" t="s">
        <v>40</v>
      </c>
    </row>
    <row r="189">
      <c r="A189" s="23">
        <v>46340.0</v>
      </c>
      <c r="B189" t="s">
        <v>38</v>
      </c>
      <c r="C189" t="s">
        <v>5</v>
      </c>
    </row>
    <row r="190">
      <c r="A190" s="23">
        <v>46341.0</v>
      </c>
      <c r="B190" t="s">
        <v>43</v>
      </c>
      <c r="C190" t="s">
        <v>28</v>
      </c>
    </row>
    <row r="191">
      <c r="A191" s="23">
        <v>46341.0</v>
      </c>
      <c r="B191" t="s">
        <v>48</v>
      </c>
      <c r="C191" t="s">
        <v>49</v>
      </c>
    </row>
    <row r="192">
      <c r="A192" s="23">
        <v>46341.0</v>
      </c>
      <c r="B192" t="s">
        <v>36</v>
      </c>
      <c r="C192" t="s">
        <v>52</v>
      </c>
    </row>
    <row r="193">
      <c r="A193" s="23">
        <v>46341.0</v>
      </c>
      <c r="B193" t="s">
        <v>31</v>
      </c>
      <c r="C193" t="s">
        <v>41</v>
      </c>
    </row>
    <row r="194">
      <c r="A194" s="23">
        <v>46341.0</v>
      </c>
      <c r="B194" t="s">
        <v>45</v>
      </c>
      <c r="C194" t="s">
        <v>26</v>
      </c>
    </row>
    <row r="195">
      <c r="A195" s="23">
        <v>46341.0</v>
      </c>
      <c r="B195" t="s">
        <v>29</v>
      </c>
      <c r="C195" t="s">
        <v>39</v>
      </c>
    </row>
    <row r="196">
      <c r="A196" s="23">
        <v>46341.0</v>
      </c>
      <c r="B196" t="s">
        <v>46</v>
      </c>
      <c r="C196" t="s">
        <v>33</v>
      </c>
    </row>
    <row r="197">
      <c r="A197" s="23">
        <v>46341.0</v>
      </c>
      <c r="B197" t="s">
        <v>34</v>
      </c>
      <c r="C197" t="s">
        <v>32</v>
      </c>
    </row>
    <row r="198">
      <c r="A198" s="23">
        <v>46341.0</v>
      </c>
      <c r="B198" t="s">
        <v>30</v>
      </c>
      <c r="C198" t="s">
        <v>51</v>
      </c>
    </row>
    <row r="199">
      <c r="A199" s="23">
        <v>46342.0</v>
      </c>
      <c r="B199" t="s">
        <v>35</v>
      </c>
      <c r="C199" t="s">
        <v>26</v>
      </c>
    </row>
    <row r="200">
      <c r="A200" s="23">
        <v>46342.0</v>
      </c>
      <c r="B200" t="s">
        <v>38</v>
      </c>
      <c r="C200" t="s">
        <v>53</v>
      </c>
    </row>
    <row r="201">
      <c r="A201" s="23">
        <v>46342.0</v>
      </c>
      <c r="B201" t="s">
        <v>42</v>
      </c>
      <c r="C201" t="s">
        <v>33</v>
      </c>
    </row>
    <row r="202">
      <c r="A202" s="23">
        <v>46342.0</v>
      </c>
      <c r="B202" t="s">
        <v>28</v>
      </c>
      <c r="C202" t="s">
        <v>37</v>
      </c>
    </row>
    <row r="203">
      <c r="A203" s="23">
        <v>46342.0</v>
      </c>
      <c r="B203" t="s">
        <v>46</v>
      </c>
      <c r="C203" t="s">
        <v>40</v>
      </c>
    </row>
    <row r="204">
      <c r="A204" s="23">
        <v>46342.0</v>
      </c>
      <c r="B204" t="s">
        <v>50</v>
      </c>
      <c r="C204" t="s">
        <v>5</v>
      </c>
    </row>
    <row r="205">
      <c r="A205" s="23">
        <v>46342.0</v>
      </c>
      <c r="B205" t="s">
        <v>47</v>
      </c>
      <c r="C205" t="s">
        <v>44</v>
      </c>
    </row>
    <row r="206">
      <c r="A206" s="23">
        <v>46342.0</v>
      </c>
      <c r="B206" t="s">
        <v>49</v>
      </c>
      <c r="C206" t="s">
        <v>54</v>
      </c>
    </row>
    <row r="207">
      <c r="A207" s="23">
        <v>46343.0</v>
      </c>
      <c r="B207" t="s">
        <v>29</v>
      </c>
      <c r="C207" t="s">
        <v>39</v>
      </c>
    </row>
    <row r="208">
      <c r="A208" s="23">
        <v>46343.0</v>
      </c>
      <c r="B208" t="s">
        <v>50</v>
      </c>
      <c r="C208" t="s">
        <v>5</v>
      </c>
    </row>
    <row r="209">
      <c r="A209" s="23">
        <v>46343.0</v>
      </c>
      <c r="B209" t="s">
        <v>27</v>
      </c>
      <c r="C209" t="s">
        <v>31</v>
      </c>
    </row>
    <row r="210">
      <c r="A210" s="23">
        <v>46343.0</v>
      </c>
      <c r="B210" t="s">
        <v>36</v>
      </c>
      <c r="C210" t="s">
        <v>48</v>
      </c>
    </row>
    <row r="211">
      <c r="A211" s="23">
        <v>46343.0</v>
      </c>
      <c r="B211" t="s">
        <v>41</v>
      </c>
      <c r="C211" t="s">
        <v>52</v>
      </c>
    </row>
    <row r="212">
      <c r="A212" s="23">
        <v>46344.0</v>
      </c>
      <c r="B212" t="s">
        <v>42</v>
      </c>
      <c r="C212" t="s">
        <v>53</v>
      </c>
    </row>
    <row r="213">
      <c r="A213" s="23">
        <v>46344.0</v>
      </c>
      <c r="B213" t="s">
        <v>46</v>
      </c>
      <c r="C213" t="s">
        <v>43</v>
      </c>
    </row>
    <row r="214">
      <c r="A214" s="23">
        <v>46344.0</v>
      </c>
      <c r="B214" t="s">
        <v>32</v>
      </c>
      <c r="C214" t="s">
        <v>40</v>
      </c>
    </row>
    <row r="215">
      <c r="A215" s="23">
        <v>46344.0</v>
      </c>
      <c r="B215" t="s">
        <v>28</v>
      </c>
      <c r="C215" t="s">
        <v>35</v>
      </c>
    </row>
    <row r="216">
      <c r="A216" s="23">
        <v>46344.0</v>
      </c>
      <c r="B216" t="s">
        <v>38</v>
      </c>
      <c r="C216" t="s">
        <v>37</v>
      </c>
    </row>
    <row r="217">
      <c r="A217" s="23">
        <v>46344.0</v>
      </c>
      <c r="B217" t="s">
        <v>33</v>
      </c>
      <c r="C217" t="s">
        <v>39</v>
      </c>
    </row>
    <row r="218">
      <c r="A218" s="23">
        <v>46344.0</v>
      </c>
      <c r="B218" t="s">
        <v>27</v>
      </c>
      <c r="C218" t="s">
        <v>44</v>
      </c>
    </row>
    <row r="219">
      <c r="A219" s="23">
        <v>46344.0</v>
      </c>
      <c r="B219" t="s">
        <v>34</v>
      </c>
      <c r="C219" t="s">
        <v>30</v>
      </c>
    </row>
    <row r="220">
      <c r="A220" s="23">
        <v>46344.0</v>
      </c>
      <c r="B220" t="s">
        <v>26</v>
      </c>
      <c r="C220" t="s">
        <v>54</v>
      </c>
    </row>
    <row r="221">
      <c r="A221" s="23">
        <v>46344.0</v>
      </c>
      <c r="B221" t="s">
        <v>47</v>
      </c>
      <c r="C221" t="s">
        <v>45</v>
      </c>
    </row>
    <row r="222">
      <c r="A222" s="23">
        <v>46344.0</v>
      </c>
      <c r="B222" t="s">
        <v>41</v>
      </c>
      <c r="C222" t="s">
        <v>48</v>
      </c>
    </row>
    <row r="223">
      <c r="A223" s="23">
        <v>46344.0</v>
      </c>
      <c r="B223" t="s">
        <v>49</v>
      </c>
      <c r="C223" t="s">
        <v>51</v>
      </c>
    </row>
    <row r="224">
      <c r="A224" s="23">
        <v>46345.0</v>
      </c>
      <c r="B224" t="s">
        <v>47</v>
      </c>
      <c r="C224" t="s">
        <v>42</v>
      </c>
    </row>
    <row r="225">
      <c r="A225" s="23">
        <v>46345.0</v>
      </c>
      <c r="B225" t="s">
        <v>50</v>
      </c>
      <c r="C225" t="s">
        <v>32</v>
      </c>
    </row>
    <row r="226">
      <c r="A226" s="23">
        <v>46345.0</v>
      </c>
      <c r="B226" t="s">
        <v>29</v>
      </c>
      <c r="C226" t="s">
        <v>5</v>
      </c>
    </row>
    <row r="227">
      <c r="A227" s="23">
        <v>46345.0</v>
      </c>
      <c r="B227" t="s">
        <v>52</v>
      </c>
      <c r="C227" t="s">
        <v>31</v>
      </c>
    </row>
    <row r="228">
      <c r="A228" s="23">
        <v>46346.0</v>
      </c>
      <c r="B228" t="s">
        <v>36</v>
      </c>
      <c r="C228" t="s">
        <v>34</v>
      </c>
    </row>
    <row r="229">
      <c r="A229" s="23">
        <v>46346.0</v>
      </c>
      <c r="B229" t="s">
        <v>35</v>
      </c>
      <c r="C229" t="s">
        <v>37</v>
      </c>
    </row>
    <row r="230">
      <c r="A230" s="23">
        <v>46346.0</v>
      </c>
      <c r="B230" t="s">
        <v>43</v>
      </c>
      <c r="C230" t="s">
        <v>53</v>
      </c>
    </row>
    <row r="231">
      <c r="A231" s="23">
        <v>46346.0</v>
      </c>
      <c r="B231" t="s">
        <v>39</v>
      </c>
      <c r="C231" t="s">
        <v>27</v>
      </c>
    </row>
    <row r="232">
      <c r="A232" s="23">
        <v>46346.0</v>
      </c>
      <c r="B232" t="s">
        <v>33</v>
      </c>
      <c r="C232" t="s">
        <v>38</v>
      </c>
    </row>
    <row r="233">
      <c r="A233" s="23">
        <v>46346.0</v>
      </c>
      <c r="B233" t="s">
        <v>44</v>
      </c>
      <c r="C233" t="s">
        <v>30</v>
      </c>
    </row>
    <row r="234">
      <c r="A234" s="23">
        <v>46346.0</v>
      </c>
      <c r="B234" t="s">
        <v>49</v>
      </c>
      <c r="C234" t="s">
        <v>41</v>
      </c>
    </row>
    <row r="235">
      <c r="A235" s="23">
        <v>46346.0</v>
      </c>
      <c r="B235" t="s">
        <v>46</v>
      </c>
      <c r="C235" t="s">
        <v>54</v>
      </c>
    </row>
    <row r="236">
      <c r="A236" s="23">
        <v>46346.0</v>
      </c>
      <c r="B236" t="s">
        <v>51</v>
      </c>
      <c r="C236" t="s">
        <v>48</v>
      </c>
    </row>
    <row r="237">
      <c r="A237" s="23">
        <v>46347.0</v>
      </c>
      <c r="B237" t="s">
        <v>32</v>
      </c>
      <c r="C237" t="s">
        <v>28</v>
      </c>
    </row>
    <row r="238">
      <c r="A238" s="23">
        <v>46347.0</v>
      </c>
      <c r="B238" t="s">
        <v>50</v>
      </c>
      <c r="C238" t="s">
        <v>29</v>
      </c>
    </row>
    <row r="239">
      <c r="A239" s="23">
        <v>46347.0</v>
      </c>
      <c r="B239" t="s">
        <v>52</v>
      </c>
      <c r="C239" t="s">
        <v>45</v>
      </c>
    </row>
    <row r="240">
      <c r="A240" s="23">
        <v>46347.0</v>
      </c>
      <c r="B240" t="s">
        <v>42</v>
      </c>
      <c r="C240" t="s">
        <v>5</v>
      </c>
    </row>
    <row r="241">
      <c r="A241" s="23">
        <v>46347.0</v>
      </c>
      <c r="B241" t="s">
        <v>44</v>
      </c>
      <c r="C241" t="s">
        <v>31</v>
      </c>
    </row>
    <row r="242">
      <c r="A242" s="23">
        <v>46347.0</v>
      </c>
      <c r="B242" t="s">
        <v>26</v>
      </c>
      <c r="C242" t="s">
        <v>51</v>
      </c>
    </row>
    <row r="243">
      <c r="A243" s="23">
        <v>46348.0</v>
      </c>
      <c r="B243" t="s">
        <v>27</v>
      </c>
      <c r="C243" t="s">
        <v>34</v>
      </c>
    </row>
    <row r="244">
      <c r="A244" s="23">
        <v>46348.0</v>
      </c>
      <c r="B244" t="s">
        <v>30</v>
      </c>
      <c r="C244" t="s">
        <v>40</v>
      </c>
    </row>
    <row r="245">
      <c r="A245" s="23">
        <v>46348.0</v>
      </c>
      <c r="B245" t="s">
        <v>54</v>
      </c>
      <c r="C245" t="s">
        <v>38</v>
      </c>
    </row>
    <row r="246">
      <c r="A246" s="23">
        <v>46348.0</v>
      </c>
      <c r="B246" t="s">
        <v>45</v>
      </c>
      <c r="C246" t="s">
        <v>41</v>
      </c>
    </row>
    <row r="247">
      <c r="A247" s="23">
        <v>46348.0</v>
      </c>
      <c r="B247" t="s">
        <v>35</v>
      </c>
      <c r="C247" t="s">
        <v>33</v>
      </c>
    </row>
    <row r="248">
      <c r="A248" s="23">
        <v>46348.0</v>
      </c>
      <c r="B248" t="s">
        <v>43</v>
      </c>
      <c r="C248" t="s">
        <v>29</v>
      </c>
    </row>
    <row r="249">
      <c r="A249" s="23">
        <v>46348.0</v>
      </c>
      <c r="B249" t="s">
        <v>26</v>
      </c>
      <c r="C249" t="s">
        <v>47</v>
      </c>
    </row>
    <row r="250">
      <c r="A250" s="23">
        <v>46349.0</v>
      </c>
      <c r="B250" t="s">
        <v>42</v>
      </c>
      <c r="C250" t="s">
        <v>36</v>
      </c>
    </row>
    <row r="251">
      <c r="A251" s="23">
        <v>46349.0</v>
      </c>
      <c r="B251" t="s">
        <v>50</v>
      </c>
      <c r="C251" t="s">
        <v>28</v>
      </c>
    </row>
    <row r="252">
      <c r="A252" s="23">
        <v>46349.0</v>
      </c>
      <c r="B252" t="s">
        <v>30</v>
      </c>
      <c r="C252" t="s">
        <v>43</v>
      </c>
    </row>
    <row r="253">
      <c r="A253" s="23">
        <v>46349.0</v>
      </c>
      <c r="B253" t="s">
        <v>37</v>
      </c>
      <c r="C253" t="s">
        <v>5</v>
      </c>
    </row>
    <row r="254">
      <c r="A254" s="23">
        <v>46349.0</v>
      </c>
      <c r="B254" t="s">
        <v>32</v>
      </c>
      <c r="C254" t="s">
        <v>39</v>
      </c>
    </row>
    <row r="255">
      <c r="A255" s="23">
        <v>46349.0</v>
      </c>
      <c r="B255" t="s">
        <v>53</v>
      </c>
      <c r="C255" t="s">
        <v>38</v>
      </c>
    </row>
    <row r="256">
      <c r="A256" s="23">
        <v>46349.0</v>
      </c>
      <c r="B256" t="s">
        <v>49</v>
      </c>
      <c r="C256" t="s">
        <v>44</v>
      </c>
    </row>
    <row r="257">
      <c r="A257" s="23">
        <v>46349.0</v>
      </c>
      <c r="B257" t="s">
        <v>52</v>
      </c>
      <c r="C257" t="s">
        <v>46</v>
      </c>
    </row>
    <row r="258">
      <c r="A258" s="23">
        <v>46349.0</v>
      </c>
      <c r="B258" t="s">
        <v>41</v>
      </c>
      <c r="C258" t="s">
        <v>48</v>
      </c>
    </row>
    <row r="259">
      <c r="A259" s="23">
        <v>46349.0</v>
      </c>
      <c r="B259" t="s">
        <v>31</v>
      </c>
      <c r="C259" t="s">
        <v>51</v>
      </c>
    </row>
    <row r="260">
      <c r="A260" s="23">
        <v>46350.0</v>
      </c>
      <c r="B260" t="s">
        <v>27</v>
      </c>
      <c r="C260" t="s">
        <v>35</v>
      </c>
    </row>
    <row r="261">
      <c r="A261" s="23">
        <v>46350.0</v>
      </c>
      <c r="B261" t="s">
        <v>26</v>
      </c>
      <c r="C261" t="s">
        <v>33</v>
      </c>
    </row>
    <row r="262">
      <c r="A262" s="23">
        <v>46350.0</v>
      </c>
      <c r="B262" t="s">
        <v>45</v>
      </c>
      <c r="C262" t="s">
        <v>54</v>
      </c>
    </row>
    <row r="263">
      <c r="A263" s="23">
        <v>46351.0</v>
      </c>
      <c r="B263" t="s">
        <v>40</v>
      </c>
      <c r="C263" t="s">
        <v>28</v>
      </c>
    </row>
    <row r="264">
      <c r="A264" s="23">
        <v>46351.0</v>
      </c>
      <c r="B264" t="s">
        <v>38</v>
      </c>
      <c r="C264" t="s">
        <v>36</v>
      </c>
    </row>
    <row r="265">
      <c r="A265" s="23">
        <v>46351.0</v>
      </c>
      <c r="B265" t="s">
        <v>53</v>
      </c>
      <c r="C265" t="s">
        <v>29</v>
      </c>
    </row>
    <row r="266">
      <c r="A266" s="23">
        <v>46351.0</v>
      </c>
      <c r="B266" t="s">
        <v>5</v>
      </c>
      <c r="C266" t="s">
        <v>30</v>
      </c>
    </row>
    <row r="267">
      <c r="A267" s="23">
        <v>46351.0</v>
      </c>
      <c r="B267" t="s">
        <v>52</v>
      </c>
      <c r="C267" t="s">
        <v>42</v>
      </c>
    </row>
    <row r="268">
      <c r="A268" s="23">
        <v>46351.0</v>
      </c>
      <c r="B268" t="s">
        <v>37</v>
      </c>
      <c r="C268" t="s">
        <v>32</v>
      </c>
    </row>
    <row r="269">
      <c r="A269" s="23">
        <v>46351.0</v>
      </c>
      <c r="B269" t="s">
        <v>49</v>
      </c>
      <c r="C269" t="s">
        <v>46</v>
      </c>
    </row>
    <row r="270">
      <c r="A270" s="23">
        <v>46351.0</v>
      </c>
      <c r="B270" t="s">
        <v>51</v>
      </c>
      <c r="C270" t="s">
        <v>47</v>
      </c>
    </row>
    <row r="271">
      <c r="A271" s="23">
        <v>46351.0</v>
      </c>
      <c r="B271" t="s">
        <v>31</v>
      </c>
      <c r="C271" t="s">
        <v>50</v>
      </c>
    </row>
    <row r="272">
      <c r="A272" s="23">
        <v>46353.0</v>
      </c>
      <c r="B272" t="s">
        <v>40</v>
      </c>
      <c r="C272" t="s">
        <v>29</v>
      </c>
    </row>
    <row r="273">
      <c r="A273" s="23">
        <v>46353.0</v>
      </c>
      <c r="B273" t="s">
        <v>32</v>
      </c>
      <c r="C273" t="s">
        <v>27</v>
      </c>
    </row>
    <row r="274">
      <c r="A274" s="23">
        <v>46353.0</v>
      </c>
      <c r="B274" t="s">
        <v>28</v>
      </c>
      <c r="C274" t="s">
        <v>43</v>
      </c>
    </row>
    <row r="275">
      <c r="A275" s="23">
        <v>46353.0</v>
      </c>
      <c r="B275" t="s">
        <v>37</v>
      </c>
      <c r="C275" t="s">
        <v>39</v>
      </c>
    </row>
    <row r="276">
      <c r="A276" s="23">
        <v>46353.0</v>
      </c>
      <c r="B276" t="s">
        <v>34</v>
      </c>
      <c r="C276" t="s">
        <v>26</v>
      </c>
    </row>
    <row r="277">
      <c r="A277" s="23">
        <v>46353.0</v>
      </c>
      <c r="B277" t="s">
        <v>42</v>
      </c>
      <c r="C277" t="s">
        <v>5</v>
      </c>
    </row>
    <row r="278">
      <c r="A278" s="23">
        <v>46353.0</v>
      </c>
      <c r="B278" t="s">
        <v>45</v>
      </c>
      <c r="C278" t="s">
        <v>49</v>
      </c>
    </row>
    <row r="279">
      <c r="A279" s="23">
        <v>46353.0</v>
      </c>
      <c r="B279" t="s">
        <v>44</v>
      </c>
      <c r="C279" t="s">
        <v>52</v>
      </c>
    </row>
    <row r="280">
      <c r="A280" s="23">
        <v>46353.0</v>
      </c>
      <c r="B280" t="s">
        <v>47</v>
      </c>
      <c r="C280" t="s">
        <v>50</v>
      </c>
    </row>
    <row r="281">
      <c r="A281" s="23">
        <v>46353.0</v>
      </c>
      <c r="B281" t="s">
        <v>48</v>
      </c>
      <c r="C281" t="s">
        <v>31</v>
      </c>
    </row>
    <row r="282">
      <c r="A282" s="23">
        <v>46353.0</v>
      </c>
      <c r="B282" t="s">
        <v>54</v>
      </c>
      <c r="C282" t="s">
        <v>41</v>
      </c>
    </row>
    <row r="283">
      <c r="A283" s="23">
        <v>46354.0</v>
      </c>
      <c r="B283" t="s">
        <v>35</v>
      </c>
      <c r="C283" t="s">
        <v>33</v>
      </c>
    </row>
    <row r="284">
      <c r="A284" s="23">
        <v>46354.0</v>
      </c>
      <c r="B284" t="s">
        <v>37</v>
      </c>
      <c r="C284" t="s">
        <v>36</v>
      </c>
    </row>
    <row r="285">
      <c r="A285" s="23">
        <v>46354.0</v>
      </c>
      <c r="B285" t="s">
        <v>43</v>
      </c>
      <c r="C285" t="s">
        <v>38</v>
      </c>
    </row>
    <row r="286">
      <c r="A286" s="23">
        <v>46354.0</v>
      </c>
      <c r="B286" t="s">
        <v>30</v>
      </c>
      <c r="C286" t="s">
        <v>32</v>
      </c>
    </row>
    <row r="287">
      <c r="A287" s="23">
        <v>46354.0</v>
      </c>
      <c r="B287" t="s">
        <v>28</v>
      </c>
      <c r="C287" t="s">
        <v>46</v>
      </c>
    </row>
    <row r="288">
      <c r="A288" s="23">
        <v>46355.0</v>
      </c>
      <c r="B288" t="s">
        <v>48</v>
      </c>
      <c r="C288" t="s">
        <v>42</v>
      </c>
    </row>
    <row r="289">
      <c r="A289" s="23">
        <v>46355.0</v>
      </c>
      <c r="B289" t="s">
        <v>26</v>
      </c>
      <c r="C289" t="s">
        <v>31</v>
      </c>
    </row>
    <row r="290">
      <c r="A290" s="23">
        <v>46355.0</v>
      </c>
      <c r="B290" t="s">
        <v>49</v>
      </c>
      <c r="C290" t="s">
        <v>41</v>
      </c>
    </row>
    <row r="291">
      <c r="A291" s="23">
        <v>46355.0</v>
      </c>
      <c r="B291" t="s">
        <v>40</v>
      </c>
      <c r="C291" t="s">
        <v>53</v>
      </c>
    </row>
    <row r="292">
      <c r="A292" s="23">
        <v>46355.0</v>
      </c>
      <c r="B292" t="s">
        <v>35</v>
      </c>
      <c r="C292" t="s">
        <v>27</v>
      </c>
    </row>
    <row r="293">
      <c r="A293" s="23">
        <v>46355.0</v>
      </c>
      <c r="B293" t="s">
        <v>34</v>
      </c>
      <c r="C293" t="s">
        <v>29</v>
      </c>
    </row>
    <row r="294">
      <c r="A294" s="23">
        <v>46355.0</v>
      </c>
      <c r="B294" t="s">
        <v>44</v>
      </c>
      <c r="C294" t="s">
        <v>50</v>
      </c>
    </row>
    <row r="295">
      <c r="A295" s="23">
        <v>46355.0</v>
      </c>
      <c r="B295" t="s">
        <v>54</v>
      </c>
      <c r="C295" t="s">
        <v>39</v>
      </c>
    </row>
    <row r="296">
      <c r="A296" s="23">
        <v>46355.0</v>
      </c>
      <c r="B296" t="s">
        <v>52</v>
      </c>
      <c r="C296" t="s">
        <v>47</v>
      </c>
    </row>
    <row r="297">
      <c r="A297" s="23">
        <v>46355.0</v>
      </c>
      <c r="B297" t="s">
        <v>5</v>
      </c>
      <c r="C297" t="s">
        <v>51</v>
      </c>
    </row>
    <row r="298">
      <c r="A298" s="23">
        <v>46356.0</v>
      </c>
      <c r="B298" t="s">
        <v>33</v>
      </c>
      <c r="C298" t="s">
        <v>36</v>
      </c>
    </row>
    <row r="299">
      <c r="A299" s="23">
        <v>46356.0</v>
      </c>
      <c r="B299" t="s">
        <v>54</v>
      </c>
      <c r="C299" t="s">
        <v>27</v>
      </c>
    </row>
    <row r="300">
      <c r="A300" s="23">
        <v>46356.0</v>
      </c>
      <c r="B300" t="s">
        <v>30</v>
      </c>
      <c r="C300" t="s">
        <v>37</v>
      </c>
    </row>
    <row r="301">
      <c r="A301" s="23">
        <v>46356.0</v>
      </c>
      <c r="B301" t="s">
        <v>48</v>
      </c>
      <c r="C301" t="s">
        <v>46</v>
      </c>
    </row>
    <row r="302">
      <c r="A302" s="23">
        <v>46356.0</v>
      </c>
      <c r="B302" t="s">
        <v>26</v>
      </c>
      <c r="C302" t="s">
        <v>45</v>
      </c>
    </row>
    <row r="303">
      <c r="A303" s="23">
        <v>46356.0</v>
      </c>
      <c r="B303" t="s">
        <v>31</v>
      </c>
      <c r="C303" t="s">
        <v>32</v>
      </c>
    </row>
    <row r="304">
      <c r="A304" s="23">
        <v>46356.0</v>
      </c>
      <c r="B304" t="s">
        <v>44</v>
      </c>
      <c r="C304" t="s">
        <v>51</v>
      </c>
    </row>
    <row r="305">
      <c r="A305" s="23">
        <v>46357.0</v>
      </c>
      <c r="B305" t="s">
        <v>43</v>
      </c>
      <c r="C305" t="s">
        <v>53</v>
      </c>
    </row>
    <row r="306">
      <c r="A306" s="23">
        <v>46357.0</v>
      </c>
      <c r="B306" t="s">
        <v>42</v>
      </c>
      <c r="C306" t="s">
        <v>28</v>
      </c>
    </row>
    <row r="307">
      <c r="A307" s="23">
        <v>46357.0</v>
      </c>
      <c r="B307" t="s">
        <v>34</v>
      </c>
      <c r="C307" t="s">
        <v>40</v>
      </c>
    </row>
    <row r="308">
      <c r="A308" s="23">
        <v>46357.0</v>
      </c>
      <c r="B308" t="s">
        <v>29</v>
      </c>
      <c r="C308" t="s">
        <v>38</v>
      </c>
    </row>
    <row r="309">
      <c r="A309" s="23">
        <v>46357.0</v>
      </c>
      <c r="B309" t="s">
        <v>39</v>
      </c>
      <c r="C309" t="s">
        <v>46</v>
      </c>
    </row>
    <row r="310">
      <c r="A310" s="23">
        <v>46357.0</v>
      </c>
      <c r="B310" t="s">
        <v>52</v>
      </c>
      <c r="C310" t="s">
        <v>49</v>
      </c>
    </row>
    <row r="311">
      <c r="A311" s="23">
        <v>46357.0</v>
      </c>
      <c r="B311" t="s">
        <v>5</v>
      </c>
      <c r="C311" t="s">
        <v>50</v>
      </c>
    </row>
    <row r="312">
      <c r="A312" s="23">
        <v>46357.0</v>
      </c>
      <c r="B312" t="s">
        <v>41</v>
      </c>
      <c r="C312" t="s">
        <v>47</v>
      </c>
    </row>
    <row r="313">
      <c r="A313" s="23">
        <v>46358.0</v>
      </c>
      <c r="B313" t="s">
        <v>42</v>
      </c>
      <c r="C313" t="s">
        <v>27</v>
      </c>
    </row>
    <row r="314">
      <c r="A314" s="23">
        <v>46358.0</v>
      </c>
      <c r="B314" t="s">
        <v>54</v>
      </c>
      <c r="C314" t="s">
        <v>28</v>
      </c>
    </row>
    <row r="315">
      <c r="A315" s="23">
        <v>46358.0</v>
      </c>
      <c r="B315" t="s">
        <v>36</v>
      </c>
      <c r="C315" t="s">
        <v>26</v>
      </c>
    </row>
    <row r="316">
      <c r="A316" s="23">
        <v>46358.0</v>
      </c>
      <c r="B316" t="s">
        <v>35</v>
      </c>
      <c r="C316" t="s">
        <v>45</v>
      </c>
    </row>
    <row r="317">
      <c r="A317" s="23">
        <v>46358.0</v>
      </c>
      <c r="B317" t="s">
        <v>29</v>
      </c>
      <c r="C317" t="s">
        <v>32</v>
      </c>
    </row>
    <row r="318">
      <c r="A318" s="23">
        <v>46358.0</v>
      </c>
      <c r="B318" t="s">
        <v>48</v>
      </c>
      <c r="C318" t="s">
        <v>44</v>
      </c>
    </row>
    <row r="319">
      <c r="A319" s="23">
        <v>46358.0</v>
      </c>
      <c r="B319" t="s">
        <v>37</v>
      </c>
      <c r="C319" t="s">
        <v>30</v>
      </c>
    </row>
    <row r="320">
      <c r="A320" s="23">
        <v>46358.0</v>
      </c>
      <c r="B320" t="s">
        <v>51</v>
      </c>
      <c r="C320" t="s">
        <v>49</v>
      </c>
    </row>
    <row r="321">
      <c r="A321" s="23">
        <v>46358.0</v>
      </c>
      <c r="B321" t="s">
        <v>5</v>
      </c>
      <c r="C321" t="s">
        <v>52</v>
      </c>
    </row>
    <row r="322">
      <c r="A322" s="23">
        <v>46359.0</v>
      </c>
      <c r="B322" t="s">
        <v>43</v>
      </c>
      <c r="C322" t="s">
        <v>34</v>
      </c>
    </row>
    <row r="323">
      <c r="A323" s="23">
        <v>46359.0</v>
      </c>
      <c r="B323" t="s">
        <v>33</v>
      </c>
      <c r="C323" t="s">
        <v>40</v>
      </c>
    </row>
    <row r="324">
      <c r="A324" s="23">
        <v>46359.0</v>
      </c>
      <c r="B324" t="s">
        <v>53</v>
      </c>
      <c r="C324" t="s">
        <v>38</v>
      </c>
    </row>
    <row r="325">
      <c r="A325" s="23">
        <v>46359.0</v>
      </c>
      <c r="B325" t="s">
        <v>39</v>
      </c>
      <c r="C325" t="s">
        <v>31</v>
      </c>
    </row>
    <row r="326">
      <c r="A326" s="23">
        <v>46359.0</v>
      </c>
      <c r="B326" t="s">
        <v>41</v>
      </c>
      <c r="C326" t="s">
        <v>50</v>
      </c>
    </row>
    <row r="327">
      <c r="A327" s="23">
        <v>46368.0</v>
      </c>
      <c r="B327" t="s">
        <v>32</v>
      </c>
      <c r="C327" t="s">
        <v>42</v>
      </c>
    </row>
    <row r="328">
      <c r="A328" s="23">
        <v>46368.0</v>
      </c>
      <c r="B328" t="s">
        <v>36</v>
      </c>
      <c r="C328" t="s">
        <v>33</v>
      </c>
    </row>
    <row r="329">
      <c r="A329" s="23">
        <v>46368.0</v>
      </c>
      <c r="B329" t="s">
        <v>35</v>
      </c>
      <c r="C329" t="s">
        <v>28</v>
      </c>
    </row>
    <row r="330">
      <c r="A330" s="23">
        <v>46368.0</v>
      </c>
      <c r="B330" t="s">
        <v>47</v>
      </c>
      <c r="C330" t="s">
        <v>53</v>
      </c>
    </row>
    <row r="331">
      <c r="A331" s="23">
        <v>46368.0</v>
      </c>
      <c r="B331" t="s">
        <v>29</v>
      </c>
      <c r="C331" t="s">
        <v>40</v>
      </c>
    </row>
    <row r="332">
      <c r="A332" s="23">
        <v>46368.0</v>
      </c>
      <c r="B332" t="s">
        <v>5</v>
      </c>
      <c r="C332" t="s">
        <v>49</v>
      </c>
    </row>
    <row r="333">
      <c r="A333" s="23">
        <v>46368.0</v>
      </c>
      <c r="B333" t="s">
        <v>54</v>
      </c>
      <c r="C333" t="s">
        <v>41</v>
      </c>
    </row>
    <row r="334">
      <c r="A334" s="23">
        <v>46368.0</v>
      </c>
      <c r="B334" t="s">
        <v>34</v>
      </c>
      <c r="C334" t="s">
        <v>50</v>
      </c>
    </row>
    <row r="335">
      <c r="A335" s="23">
        <v>46369.0</v>
      </c>
      <c r="B335" t="s">
        <v>26</v>
      </c>
      <c r="C335" t="s">
        <v>37</v>
      </c>
    </row>
    <row r="336">
      <c r="A336" s="23">
        <v>46369.0</v>
      </c>
      <c r="B336" t="s">
        <v>39</v>
      </c>
      <c r="C336" t="s">
        <v>30</v>
      </c>
    </row>
    <row r="337">
      <c r="A337" s="23">
        <v>46369.0</v>
      </c>
      <c r="B337" t="s">
        <v>27</v>
      </c>
      <c r="C337" t="s">
        <v>43</v>
      </c>
    </row>
    <row r="338">
      <c r="A338" s="23">
        <v>46369.0</v>
      </c>
      <c r="B338" t="s">
        <v>46</v>
      </c>
      <c r="C338" t="s">
        <v>38</v>
      </c>
    </row>
    <row r="339">
      <c r="A339" s="23">
        <v>46369.0</v>
      </c>
      <c r="B339" t="s">
        <v>52</v>
      </c>
      <c r="C339" t="s">
        <v>31</v>
      </c>
    </row>
    <row r="340">
      <c r="A340" s="23">
        <v>46369.0</v>
      </c>
      <c r="B340" t="s">
        <v>44</v>
      </c>
      <c r="C340" t="s">
        <v>51</v>
      </c>
    </row>
    <row r="341">
      <c r="A341" s="23">
        <v>46370.0</v>
      </c>
      <c r="B341" t="s">
        <v>39</v>
      </c>
      <c r="C341" t="s">
        <v>36</v>
      </c>
    </row>
    <row r="342">
      <c r="A342" s="23">
        <v>46370.0</v>
      </c>
      <c r="B342" t="s">
        <v>37</v>
      </c>
      <c r="C342" t="s">
        <v>27</v>
      </c>
    </row>
    <row r="343">
      <c r="A343" s="23">
        <v>46370.0</v>
      </c>
      <c r="B343" t="s">
        <v>28</v>
      </c>
      <c r="C343" t="s">
        <v>35</v>
      </c>
    </row>
    <row r="344">
      <c r="A344" s="23">
        <v>46370.0</v>
      </c>
      <c r="B344" t="s">
        <v>33</v>
      </c>
      <c r="C344" t="s">
        <v>26</v>
      </c>
    </row>
    <row r="345">
      <c r="A345" s="23">
        <v>46370.0</v>
      </c>
      <c r="B345" t="s">
        <v>40</v>
      </c>
      <c r="C345" t="s">
        <v>38</v>
      </c>
    </row>
    <row r="346">
      <c r="A346" s="23">
        <v>46370.0</v>
      </c>
      <c r="B346" t="s">
        <v>32</v>
      </c>
      <c r="C346" t="s">
        <v>45</v>
      </c>
    </row>
    <row r="347">
      <c r="A347" s="23">
        <v>46370.0</v>
      </c>
      <c r="B347" t="s">
        <v>47</v>
      </c>
      <c r="C347" t="s">
        <v>42</v>
      </c>
    </row>
    <row r="348">
      <c r="A348" s="23">
        <v>46370.0</v>
      </c>
      <c r="B348" t="s">
        <v>29</v>
      </c>
      <c r="C348" t="s">
        <v>46</v>
      </c>
    </row>
    <row r="349">
      <c r="A349" s="23">
        <v>46370.0</v>
      </c>
      <c r="B349" t="s">
        <v>34</v>
      </c>
      <c r="C349" t="s">
        <v>49</v>
      </c>
    </row>
    <row r="350">
      <c r="A350" s="23">
        <v>46370.0</v>
      </c>
      <c r="B350" t="s">
        <v>5</v>
      </c>
      <c r="C350" t="s">
        <v>41</v>
      </c>
    </row>
    <row r="351">
      <c r="A351" s="23">
        <v>46370.0</v>
      </c>
      <c r="B351" t="s">
        <v>44</v>
      </c>
      <c r="C351" t="s">
        <v>48</v>
      </c>
    </row>
    <row r="352">
      <c r="A352" s="23">
        <v>46371.0</v>
      </c>
      <c r="B352" t="s">
        <v>31</v>
      </c>
      <c r="C352" t="s">
        <v>53</v>
      </c>
    </row>
    <row r="353">
      <c r="A353" s="23">
        <v>46371.0</v>
      </c>
      <c r="B353" t="s">
        <v>54</v>
      </c>
      <c r="C353" t="s">
        <v>50</v>
      </c>
    </row>
    <row r="354">
      <c r="A354" s="23">
        <v>46372.0</v>
      </c>
      <c r="B354" t="s">
        <v>33</v>
      </c>
      <c r="C354" t="s">
        <v>26</v>
      </c>
    </row>
    <row r="355">
      <c r="A355" s="23">
        <v>46372.0</v>
      </c>
      <c r="B355" t="s">
        <v>52</v>
      </c>
      <c r="C355" t="s">
        <v>36</v>
      </c>
    </row>
    <row r="356">
      <c r="A356" s="23">
        <v>46372.0</v>
      </c>
      <c r="B356" t="s">
        <v>49</v>
      </c>
      <c r="C356" t="s">
        <v>27</v>
      </c>
    </row>
    <row r="357">
      <c r="A357" s="23">
        <v>46372.0</v>
      </c>
      <c r="B357" t="s">
        <v>47</v>
      </c>
      <c r="C357" t="s">
        <v>43</v>
      </c>
    </row>
    <row r="358">
      <c r="A358" s="23">
        <v>46372.0</v>
      </c>
      <c r="B358" t="s">
        <v>53</v>
      </c>
      <c r="C358" t="s">
        <v>35</v>
      </c>
    </row>
    <row r="359">
      <c r="A359" s="23">
        <v>46372.0</v>
      </c>
      <c r="B359" t="s">
        <v>45</v>
      </c>
      <c r="C359" t="s">
        <v>37</v>
      </c>
    </row>
    <row r="360">
      <c r="A360" s="23">
        <v>46372.0</v>
      </c>
      <c r="B360" t="s">
        <v>31</v>
      </c>
      <c r="C360" t="s">
        <v>39</v>
      </c>
    </row>
    <row r="361">
      <c r="A361" s="23">
        <v>46372.0</v>
      </c>
      <c r="B361" t="s">
        <v>41</v>
      </c>
      <c r="C361" t="s">
        <v>38</v>
      </c>
    </row>
    <row r="362">
      <c r="A362" s="23">
        <v>46372.0</v>
      </c>
      <c r="B362" t="s">
        <v>40</v>
      </c>
      <c r="C362" t="s">
        <v>42</v>
      </c>
    </row>
    <row r="363">
      <c r="A363" s="23">
        <v>46372.0</v>
      </c>
      <c r="B363" t="s">
        <v>29</v>
      </c>
      <c r="C363" t="s">
        <v>44</v>
      </c>
    </row>
    <row r="364">
      <c r="A364" s="23">
        <v>46372.0</v>
      </c>
      <c r="B364" t="s">
        <v>51</v>
      </c>
      <c r="C364" t="s">
        <v>30</v>
      </c>
    </row>
    <row r="365">
      <c r="A365" s="23">
        <v>46372.0</v>
      </c>
      <c r="B365" t="s">
        <v>32</v>
      </c>
      <c r="C365" t="s">
        <v>46</v>
      </c>
    </row>
    <row r="366">
      <c r="A366" s="23">
        <v>46372.0</v>
      </c>
      <c r="B366" t="s">
        <v>48</v>
      </c>
      <c r="C366" t="s">
        <v>5</v>
      </c>
    </row>
    <row r="367">
      <c r="A367" s="23">
        <v>46373.0</v>
      </c>
      <c r="B367" t="s">
        <v>50</v>
      </c>
      <c r="C367" t="s">
        <v>43</v>
      </c>
    </row>
    <row r="368">
      <c r="A368" s="23">
        <v>46373.0</v>
      </c>
      <c r="B368" t="s">
        <v>45</v>
      </c>
      <c r="C368" t="s">
        <v>28</v>
      </c>
    </row>
    <row r="369">
      <c r="A369" s="23">
        <v>46373.0</v>
      </c>
      <c r="B369" t="s">
        <v>34</v>
      </c>
      <c r="C369" t="s">
        <v>54</v>
      </c>
    </row>
    <row r="370">
      <c r="A370" s="23">
        <v>46374.0</v>
      </c>
      <c r="B370" t="s">
        <v>30</v>
      </c>
      <c r="C370" t="s">
        <v>36</v>
      </c>
    </row>
    <row r="371">
      <c r="A371" s="23">
        <v>46374.0</v>
      </c>
      <c r="B371" t="s">
        <v>52</v>
      </c>
      <c r="C371" t="s">
        <v>40</v>
      </c>
    </row>
    <row r="372">
      <c r="A372" s="23">
        <v>46374.0</v>
      </c>
      <c r="B372" t="s">
        <v>29</v>
      </c>
      <c r="C372" t="s">
        <v>33</v>
      </c>
    </row>
    <row r="373">
      <c r="A373" s="23">
        <v>46374.0</v>
      </c>
      <c r="B373" t="s">
        <v>41</v>
      </c>
      <c r="C373" t="s">
        <v>26</v>
      </c>
    </row>
    <row r="374">
      <c r="A374" s="23">
        <v>46374.0</v>
      </c>
      <c r="B374" t="s">
        <v>35</v>
      </c>
      <c r="C374" t="s">
        <v>37</v>
      </c>
    </row>
    <row r="375">
      <c r="A375" s="23">
        <v>46374.0</v>
      </c>
      <c r="B375" t="s">
        <v>53</v>
      </c>
      <c r="C375" t="s">
        <v>27</v>
      </c>
    </row>
    <row r="376">
      <c r="A376" s="23">
        <v>46374.0</v>
      </c>
      <c r="B376" t="s">
        <v>47</v>
      </c>
      <c r="C376" t="s">
        <v>39</v>
      </c>
    </row>
    <row r="377">
      <c r="A377" s="23">
        <v>46374.0</v>
      </c>
      <c r="B377" t="s">
        <v>46</v>
      </c>
      <c r="C377" t="s">
        <v>42</v>
      </c>
    </row>
    <row r="378">
      <c r="A378" s="23">
        <v>46374.0</v>
      </c>
      <c r="B378" t="s">
        <v>49</v>
      </c>
      <c r="C378" t="s">
        <v>32</v>
      </c>
    </row>
    <row r="379">
      <c r="A379" s="23">
        <v>46374.0</v>
      </c>
      <c r="B379" t="s">
        <v>48</v>
      </c>
      <c r="C379" t="s">
        <v>5</v>
      </c>
    </row>
    <row r="380">
      <c r="A380" s="23">
        <v>46374.0</v>
      </c>
      <c r="B380" t="s">
        <v>51</v>
      </c>
      <c r="C380" t="s">
        <v>44</v>
      </c>
    </row>
    <row r="381">
      <c r="A381" s="23">
        <v>46374.0</v>
      </c>
      <c r="B381" t="s">
        <v>38</v>
      </c>
      <c r="C381" t="s">
        <v>31</v>
      </c>
    </row>
    <row r="382">
      <c r="A382" s="23">
        <v>46375.0</v>
      </c>
      <c r="B382" t="s">
        <v>50</v>
      </c>
      <c r="C382" t="s">
        <v>36</v>
      </c>
    </row>
    <row r="383">
      <c r="A383" s="23">
        <v>46375.0</v>
      </c>
      <c r="B383" t="s">
        <v>35</v>
      </c>
      <c r="C383" t="s">
        <v>34</v>
      </c>
    </row>
    <row r="384">
      <c r="A384" s="23">
        <v>46375.0</v>
      </c>
      <c r="B384" t="s">
        <v>38</v>
      </c>
      <c r="C384" t="s">
        <v>45</v>
      </c>
    </row>
    <row r="385">
      <c r="A385" s="23">
        <v>46375.0</v>
      </c>
      <c r="B385" t="s">
        <v>48</v>
      </c>
      <c r="C385" t="s">
        <v>54</v>
      </c>
    </row>
    <row r="386">
      <c r="A386" s="23">
        <v>46376.0</v>
      </c>
      <c r="B386" t="s">
        <v>33</v>
      </c>
      <c r="C386" t="s">
        <v>37</v>
      </c>
    </row>
    <row r="387">
      <c r="A387" s="23">
        <v>46376.0</v>
      </c>
      <c r="B387" t="s">
        <v>46</v>
      </c>
      <c r="C387" t="s">
        <v>39</v>
      </c>
    </row>
    <row r="388">
      <c r="A388" s="23">
        <v>46376.0</v>
      </c>
      <c r="B388" t="s">
        <v>49</v>
      </c>
      <c r="C388" t="s">
        <v>42</v>
      </c>
    </row>
    <row r="389">
      <c r="A389" s="23">
        <v>46376.0</v>
      </c>
      <c r="B389" t="s">
        <v>41</v>
      </c>
      <c r="C389" t="s">
        <v>53</v>
      </c>
    </row>
    <row r="390">
      <c r="A390" s="23">
        <v>46376.0</v>
      </c>
      <c r="B390" t="s">
        <v>51</v>
      </c>
      <c r="C390" t="s">
        <v>40</v>
      </c>
    </row>
    <row r="391">
      <c r="A391" s="23">
        <v>46376.0</v>
      </c>
      <c r="B391" t="s">
        <v>30</v>
      </c>
      <c r="C391" t="s">
        <v>34</v>
      </c>
    </row>
    <row r="392">
      <c r="A392" s="23">
        <v>46376.0</v>
      </c>
      <c r="B392" t="s">
        <v>31</v>
      </c>
      <c r="C392" t="s">
        <v>44</v>
      </c>
    </row>
    <row r="393">
      <c r="A393" s="23">
        <v>46376.0</v>
      </c>
      <c r="B393" t="s">
        <v>27</v>
      </c>
      <c r="C393" t="s">
        <v>26</v>
      </c>
    </row>
    <row r="394">
      <c r="A394" s="23">
        <v>46376.0</v>
      </c>
      <c r="B394" t="s">
        <v>47</v>
      </c>
      <c r="C394" t="s">
        <v>32</v>
      </c>
    </row>
    <row r="395">
      <c r="A395" s="23">
        <v>46376.0</v>
      </c>
      <c r="B395" t="s">
        <v>43</v>
      </c>
      <c r="C395" t="s">
        <v>52</v>
      </c>
    </row>
    <row r="396">
      <c r="A396" s="23">
        <v>46377.0</v>
      </c>
      <c r="B396" t="s">
        <v>28</v>
      </c>
      <c r="C396" t="s">
        <v>36</v>
      </c>
    </row>
    <row r="397">
      <c r="A397" s="23">
        <v>46377.0</v>
      </c>
      <c r="B397" t="s">
        <v>29</v>
      </c>
      <c r="C397" t="s">
        <v>53</v>
      </c>
    </row>
    <row r="398">
      <c r="A398" s="23">
        <v>46377.0</v>
      </c>
      <c r="B398" t="s">
        <v>51</v>
      </c>
      <c r="C398" t="s">
        <v>35</v>
      </c>
    </row>
    <row r="399">
      <c r="A399" s="23">
        <v>46377.0</v>
      </c>
      <c r="B399" t="s">
        <v>50</v>
      </c>
      <c r="C399" t="s">
        <v>37</v>
      </c>
    </row>
    <row r="400">
      <c r="A400" s="23">
        <v>46377.0</v>
      </c>
      <c r="B400" t="s">
        <v>38</v>
      </c>
      <c r="C400" t="s">
        <v>40</v>
      </c>
    </row>
    <row r="401">
      <c r="A401" s="23">
        <v>46377.0</v>
      </c>
      <c r="B401" t="s">
        <v>49</v>
      </c>
      <c r="C401" t="s">
        <v>5</v>
      </c>
    </row>
    <row r="402">
      <c r="A402" s="23">
        <v>46377.0</v>
      </c>
      <c r="B402" t="s">
        <v>42</v>
      </c>
      <c r="C402" t="s">
        <v>44</v>
      </c>
    </row>
    <row r="403">
      <c r="A403" s="23">
        <v>46377.0</v>
      </c>
      <c r="B403" t="s">
        <v>32</v>
      </c>
      <c r="C403" t="s">
        <v>31</v>
      </c>
    </row>
    <row r="404">
      <c r="A404" s="23">
        <v>46377.0</v>
      </c>
      <c r="B404" t="s">
        <v>43</v>
      </c>
      <c r="C404" t="s">
        <v>48</v>
      </c>
    </row>
    <row r="405">
      <c r="A405" s="23">
        <v>46377.0</v>
      </c>
      <c r="B405" t="s">
        <v>54</v>
      </c>
      <c r="C405" t="s">
        <v>52</v>
      </c>
    </row>
    <row r="406">
      <c r="A406" s="23">
        <v>46378.0</v>
      </c>
      <c r="B406" t="s">
        <v>39</v>
      </c>
      <c r="C406" t="s">
        <v>33</v>
      </c>
    </row>
    <row r="407">
      <c r="A407" s="23">
        <v>46378.0</v>
      </c>
      <c r="B407" t="s">
        <v>27</v>
      </c>
      <c r="C407" t="s">
        <v>30</v>
      </c>
    </row>
    <row r="408">
      <c r="A408" s="23">
        <v>46378.0</v>
      </c>
      <c r="B408" t="s">
        <v>45</v>
      </c>
      <c r="C408" t="s">
        <v>47</v>
      </c>
    </row>
    <row r="409">
      <c r="A409" s="23">
        <v>46379.0</v>
      </c>
      <c r="B409" t="s">
        <v>27</v>
      </c>
      <c r="C409" t="s">
        <v>34</v>
      </c>
    </row>
    <row r="410">
      <c r="A410" s="23">
        <v>46379.0</v>
      </c>
      <c r="B410" t="s">
        <v>36</v>
      </c>
      <c r="C410" t="s">
        <v>35</v>
      </c>
    </row>
    <row r="411">
      <c r="A411" s="23">
        <v>46379.0</v>
      </c>
      <c r="B411" t="s">
        <v>53</v>
      </c>
      <c r="C411" t="s">
        <v>33</v>
      </c>
    </row>
    <row r="412">
      <c r="A412" s="23">
        <v>46379.0</v>
      </c>
      <c r="B412" t="s">
        <v>50</v>
      </c>
      <c r="C412" t="s">
        <v>26</v>
      </c>
    </row>
    <row r="413">
      <c r="A413" s="23">
        <v>46379.0</v>
      </c>
      <c r="B413" t="s">
        <v>31</v>
      </c>
      <c r="C413" t="s">
        <v>37</v>
      </c>
    </row>
    <row r="414">
      <c r="A414" s="23">
        <v>46379.0</v>
      </c>
      <c r="B414" t="s">
        <v>38</v>
      </c>
      <c r="C414" t="s">
        <v>40</v>
      </c>
    </row>
    <row r="415">
      <c r="A415" s="23">
        <v>46379.0</v>
      </c>
      <c r="B415" t="s">
        <v>41</v>
      </c>
      <c r="C415" t="s">
        <v>29</v>
      </c>
    </row>
    <row r="416">
      <c r="A416" s="23">
        <v>46379.0</v>
      </c>
      <c r="B416" t="s">
        <v>46</v>
      </c>
      <c r="C416" t="s">
        <v>28</v>
      </c>
    </row>
    <row r="417">
      <c r="A417" s="23">
        <v>46379.0</v>
      </c>
      <c r="B417" t="s">
        <v>39</v>
      </c>
      <c r="C417" t="s">
        <v>42</v>
      </c>
    </row>
    <row r="418">
      <c r="A418" s="23">
        <v>46379.0</v>
      </c>
      <c r="B418" t="s">
        <v>5</v>
      </c>
      <c r="C418" t="s">
        <v>32</v>
      </c>
    </row>
    <row r="419">
      <c r="A419" s="23">
        <v>46379.0</v>
      </c>
      <c r="B419" t="s">
        <v>30</v>
      </c>
      <c r="C419" t="s">
        <v>44</v>
      </c>
    </row>
    <row r="420">
      <c r="A420" s="23">
        <v>46379.0</v>
      </c>
      <c r="B420" t="s">
        <v>43</v>
      </c>
      <c r="C420" t="s">
        <v>49</v>
      </c>
    </row>
    <row r="421">
      <c r="A421" s="23">
        <v>46379.0</v>
      </c>
      <c r="B421" t="s">
        <v>54</v>
      </c>
      <c r="C421" t="s">
        <v>48</v>
      </c>
    </row>
    <row r="422">
      <c r="A422" s="23">
        <v>46379.0</v>
      </c>
      <c r="B422" t="s">
        <v>45</v>
      </c>
      <c r="C422" t="s">
        <v>51</v>
      </c>
    </row>
    <row r="423">
      <c r="A423" s="23">
        <v>46379.0</v>
      </c>
      <c r="B423" t="s">
        <v>47</v>
      </c>
      <c r="C423" t="s">
        <v>52</v>
      </c>
    </row>
    <row r="424">
      <c r="A424" s="23">
        <v>46381.0</v>
      </c>
      <c r="B424" t="s">
        <v>31</v>
      </c>
      <c r="C424" t="s">
        <v>29</v>
      </c>
    </row>
    <row r="425">
      <c r="A425" s="23">
        <v>46381.0</v>
      </c>
      <c r="B425" t="s">
        <v>40</v>
      </c>
      <c r="C425" t="s">
        <v>26</v>
      </c>
    </row>
    <row r="426">
      <c r="A426" s="23">
        <v>46381.0</v>
      </c>
      <c r="B426" t="s">
        <v>28</v>
      </c>
      <c r="C426" t="s">
        <v>48</v>
      </c>
    </row>
    <row r="427">
      <c r="A427" s="23">
        <v>46381.0</v>
      </c>
      <c r="B427" t="s">
        <v>30</v>
      </c>
      <c r="C427" t="s">
        <v>5</v>
      </c>
    </row>
    <row r="428">
      <c r="A428" s="23">
        <v>46381.0</v>
      </c>
      <c r="B428" t="s">
        <v>54</v>
      </c>
      <c r="C428" t="s">
        <v>47</v>
      </c>
    </row>
    <row r="429">
      <c r="A429" s="23">
        <v>46382.0</v>
      </c>
      <c r="B429" t="s">
        <v>50</v>
      </c>
      <c r="C429" t="s">
        <v>33</v>
      </c>
    </row>
    <row r="430">
      <c r="A430" s="23">
        <v>46382.0</v>
      </c>
      <c r="B430" t="s">
        <v>36</v>
      </c>
      <c r="C430" t="s">
        <v>34</v>
      </c>
    </row>
    <row r="431">
      <c r="A431" s="23">
        <v>46382.0</v>
      </c>
      <c r="B431" t="s">
        <v>43</v>
      </c>
      <c r="C431" t="s">
        <v>41</v>
      </c>
    </row>
    <row r="432">
      <c r="A432" s="23">
        <v>46382.0</v>
      </c>
      <c r="B432" t="s">
        <v>44</v>
      </c>
      <c r="C432" t="s">
        <v>37</v>
      </c>
    </row>
    <row r="433">
      <c r="A433" s="23">
        <v>46382.0</v>
      </c>
      <c r="B433" t="s">
        <v>39</v>
      </c>
      <c r="C433" t="s">
        <v>35</v>
      </c>
    </row>
    <row r="434">
      <c r="A434" s="23">
        <v>46382.0</v>
      </c>
      <c r="B434" t="s">
        <v>27</v>
      </c>
      <c r="C434" t="s">
        <v>38</v>
      </c>
    </row>
    <row r="435">
      <c r="A435" s="23">
        <v>46382.0</v>
      </c>
      <c r="B435" t="s">
        <v>49</v>
      </c>
      <c r="C435" t="s">
        <v>45</v>
      </c>
    </row>
    <row r="436">
      <c r="A436" s="23">
        <v>46382.0</v>
      </c>
      <c r="B436" t="s">
        <v>42</v>
      </c>
      <c r="C436" t="s">
        <v>52</v>
      </c>
    </row>
    <row r="437">
      <c r="A437" s="23">
        <v>46383.0</v>
      </c>
      <c r="B437" t="s">
        <v>30</v>
      </c>
      <c r="C437" t="s">
        <v>46</v>
      </c>
    </row>
    <row r="438">
      <c r="A438" s="23">
        <v>46383.0</v>
      </c>
      <c r="B438" t="s">
        <v>33</v>
      </c>
      <c r="C438" t="s">
        <v>53</v>
      </c>
    </row>
    <row r="439">
      <c r="A439" s="23">
        <v>46383.0</v>
      </c>
      <c r="B439" t="s">
        <v>36</v>
      </c>
      <c r="C439" t="s">
        <v>40</v>
      </c>
    </row>
    <row r="440">
      <c r="A440" s="23">
        <v>46383.0</v>
      </c>
      <c r="B440" t="s">
        <v>37</v>
      </c>
      <c r="C440" t="s">
        <v>29</v>
      </c>
    </row>
    <row r="441">
      <c r="A441" s="23">
        <v>46383.0</v>
      </c>
      <c r="B441" t="s">
        <v>32</v>
      </c>
      <c r="C441" t="s">
        <v>35</v>
      </c>
    </row>
    <row r="442">
      <c r="A442" s="23">
        <v>46383.0</v>
      </c>
      <c r="B442" t="s">
        <v>41</v>
      </c>
      <c r="C442" t="s">
        <v>51</v>
      </c>
    </row>
    <row r="443">
      <c r="A443" s="23">
        <v>46383.0</v>
      </c>
      <c r="B443" t="s">
        <v>50</v>
      </c>
      <c r="C443" t="s">
        <v>27</v>
      </c>
    </row>
    <row r="444">
      <c r="A444" s="23">
        <v>46383.0</v>
      </c>
      <c r="B444" t="s">
        <v>34</v>
      </c>
      <c r="C444" t="s">
        <v>31</v>
      </c>
    </row>
    <row r="445">
      <c r="A445" s="23">
        <v>46383.0</v>
      </c>
      <c r="B445" t="s">
        <v>43</v>
      </c>
      <c r="C445" t="s">
        <v>54</v>
      </c>
    </row>
    <row r="446">
      <c r="A446" s="23">
        <v>46383.0</v>
      </c>
      <c r="B446" t="s">
        <v>5</v>
      </c>
      <c r="C446" t="s">
        <v>47</v>
      </c>
    </row>
    <row r="447">
      <c r="A447" s="23">
        <v>46383.0</v>
      </c>
      <c r="B447" t="s">
        <v>28</v>
      </c>
      <c r="C447" t="s">
        <v>52</v>
      </c>
    </row>
    <row r="448">
      <c r="A448" s="23">
        <v>46383.0</v>
      </c>
      <c r="B448" t="s">
        <v>42</v>
      </c>
      <c r="C448" t="s">
        <v>48</v>
      </c>
    </row>
    <row r="449">
      <c r="A449" s="23">
        <v>46384.0</v>
      </c>
      <c r="B449" t="s">
        <v>44</v>
      </c>
      <c r="C449" t="s">
        <v>39</v>
      </c>
    </row>
    <row r="450">
      <c r="A450" s="23">
        <v>46384.0</v>
      </c>
      <c r="B450" t="s">
        <v>53</v>
      </c>
      <c r="C450" t="s">
        <v>26</v>
      </c>
    </row>
    <row r="451">
      <c r="A451" s="23">
        <v>46384.0</v>
      </c>
      <c r="B451" t="s">
        <v>47</v>
      </c>
      <c r="C451" t="s">
        <v>49</v>
      </c>
    </row>
    <row r="452">
      <c r="A452" s="23">
        <v>46384.0</v>
      </c>
      <c r="B452" t="s">
        <v>5</v>
      </c>
      <c r="C452" t="s">
        <v>54</v>
      </c>
    </row>
    <row r="453">
      <c r="A453" s="23">
        <v>46385.0</v>
      </c>
      <c r="B453" t="s">
        <v>38</v>
      </c>
      <c r="C453" t="s">
        <v>34</v>
      </c>
    </row>
    <row r="454">
      <c r="A454" s="23">
        <v>46385.0</v>
      </c>
      <c r="B454" t="s">
        <v>35</v>
      </c>
      <c r="C454" t="s">
        <v>36</v>
      </c>
    </row>
    <row r="455">
      <c r="A455" s="23">
        <v>46385.0</v>
      </c>
      <c r="B455" t="s">
        <v>52</v>
      </c>
      <c r="C455" t="s">
        <v>43</v>
      </c>
    </row>
    <row r="456">
      <c r="A456" s="23">
        <v>46385.0</v>
      </c>
      <c r="B456" t="s">
        <v>40</v>
      </c>
      <c r="C456" t="s">
        <v>45</v>
      </c>
    </row>
    <row r="457">
      <c r="A457" s="23">
        <v>46385.0</v>
      </c>
      <c r="B457" t="s">
        <v>31</v>
      </c>
      <c r="C457" t="s">
        <v>42</v>
      </c>
    </row>
    <row r="458">
      <c r="A458" s="23">
        <v>46385.0</v>
      </c>
      <c r="B458" t="s">
        <v>32</v>
      </c>
      <c r="C458" t="s">
        <v>30</v>
      </c>
    </row>
    <row r="459">
      <c r="A459" s="23">
        <v>46385.0</v>
      </c>
      <c r="B459" t="s">
        <v>37</v>
      </c>
      <c r="C459" t="s">
        <v>50</v>
      </c>
    </row>
    <row r="460">
      <c r="A460" s="23">
        <v>46385.0</v>
      </c>
      <c r="B460" t="s">
        <v>28</v>
      </c>
      <c r="C460" t="s">
        <v>51</v>
      </c>
    </row>
    <row r="461">
      <c r="A461" s="23">
        <v>46385.0</v>
      </c>
      <c r="B461" t="s">
        <v>46</v>
      </c>
      <c r="C461" t="s">
        <v>48</v>
      </c>
    </row>
    <row r="462">
      <c r="A462" s="23">
        <v>46386.0</v>
      </c>
      <c r="B462" t="s">
        <v>44</v>
      </c>
      <c r="C462" t="s">
        <v>27</v>
      </c>
    </row>
    <row r="463">
      <c r="A463" s="23">
        <v>46386.0</v>
      </c>
      <c r="B463" t="s">
        <v>33</v>
      </c>
      <c r="C463" t="s">
        <v>39</v>
      </c>
    </row>
    <row r="464">
      <c r="A464" s="23">
        <v>46386.0</v>
      </c>
      <c r="B464" t="s">
        <v>26</v>
      </c>
      <c r="C464" t="s">
        <v>38</v>
      </c>
    </row>
    <row r="465">
      <c r="A465" s="23">
        <v>46386.0</v>
      </c>
      <c r="B465" t="s">
        <v>28</v>
      </c>
      <c r="C465" t="s">
        <v>49</v>
      </c>
    </row>
    <row r="466">
      <c r="A466" s="23">
        <v>46386.0</v>
      </c>
      <c r="B466" t="s">
        <v>29</v>
      </c>
      <c r="C466" t="s">
        <v>41</v>
      </c>
    </row>
    <row r="467">
      <c r="A467" s="23">
        <v>46386.0</v>
      </c>
      <c r="B467" t="s">
        <v>46</v>
      </c>
      <c r="C467" t="s">
        <v>47</v>
      </c>
    </row>
    <row r="468">
      <c r="A468" s="23">
        <v>46387.0</v>
      </c>
      <c r="B468" t="s">
        <v>31</v>
      </c>
      <c r="C468" t="s">
        <v>36</v>
      </c>
    </row>
    <row r="469">
      <c r="A469" s="23">
        <v>46387.0</v>
      </c>
      <c r="B469" t="s">
        <v>32</v>
      </c>
      <c r="C469" t="s">
        <v>34</v>
      </c>
    </row>
    <row r="470">
      <c r="A470" s="23">
        <v>46387.0</v>
      </c>
      <c r="B470" t="s">
        <v>52</v>
      </c>
      <c r="C470" t="s">
        <v>53</v>
      </c>
    </row>
    <row r="471">
      <c r="A471" s="23">
        <v>46387.0</v>
      </c>
      <c r="B471" t="s">
        <v>35</v>
      </c>
      <c r="C471" t="s">
        <v>43</v>
      </c>
    </row>
    <row r="472">
      <c r="A472" s="23">
        <v>46387.0</v>
      </c>
      <c r="B472" t="s">
        <v>54</v>
      </c>
      <c r="C472" t="s">
        <v>5</v>
      </c>
    </row>
    <row r="473">
      <c r="A473" s="23">
        <v>46387.0</v>
      </c>
      <c r="B473" t="s">
        <v>37</v>
      </c>
      <c r="C473" t="s">
        <v>51</v>
      </c>
    </row>
    <row r="474">
      <c r="A474" s="23">
        <v>46387.0</v>
      </c>
      <c r="B474" t="s">
        <v>48</v>
      </c>
      <c r="C474" t="s">
        <v>44</v>
      </c>
    </row>
    <row r="475">
      <c r="A475" s="23">
        <v>46387.0</v>
      </c>
      <c r="B475" t="s">
        <v>40</v>
      </c>
      <c r="C475" t="s">
        <v>30</v>
      </c>
    </row>
    <row r="476">
      <c r="A476" s="23">
        <v>46387.0</v>
      </c>
      <c r="B476" t="s">
        <v>29</v>
      </c>
      <c r="C476" t="s">
        <v>49</v>
      </c>
    </row>
    <row r="477">
      <c r="A477" s="23">
        <v>46388.0</v>
      </c>
      <c r="B477" t="s">
        <v>31</v>
      </c>
      <c r="C477" t="s">
        <v>33</v>
      </c>
    </row>
    <row r="478">
      <c r="A478" s="23">
        <v>46388.0</v>
      </c>
      <c r="B478" t="s">
        <v>35</v>
      </c>
      <c r="C478" t="s">
        <v>27</v>
      </c>
    </row>
    <row r="479">
      <c r="A479" s="23">
        <v>46388.0</v>
      </c>
      <c r="B479" t="s">
        <v>52</v>
      </c>
      <c r="C479" t="s">
        <v>39</v>
      </c>
    </row>
    <row r="480">
      <c r="A480" s="23">
        <v>46388.0</v>
      </c>
      <c r="B480" t="s">
        <v>28</v>
      </c>
      <c r="C480" t="s">
        <v>32</v>
      </c>
    </row>
    <row r="481">
      <c r="A481" s="23">
        <v>46388.0</v>
      </c>
      <c r="B481" t="s">
        <v>45</v>
      </c>
      <c r="C481" t="s">
        <v>46</v>
      </c>
    </row>
    <row r="482">
      <c r="A482" s="23">
        <v>46388.0</v>
      </c>
      <c r="B482" t="s">
        <v>26</v>
      </c>
      <c r="C482" t="s">
        <v>41</v>
      </c>
    </row>
    <row r="483">
      <c r="A483" s="23">
        <v>46389.0</v>
      </c>
      <c r="B483" t="s">
        <v>53</v>
      </c>
      <c r="C483" t="s">
        <v>36</v>
      </c>
    </row>
    <row r="484">
      <c r="A484" s="23">
        <v>46389.0</v>
      </c>
      <c r="B484" t="s">
        <v>29</v>
      </c>
      <c r="C484" t="s">
        <v>54</v>
      </c>
    </row>
    <row r="485">
      <c r="A485" s="23">
        <v>46389.0</v>
      </c>
      <c r="B485" t="s">
        <v>5</v>
      </c>
      <c r="C485" t="s">
        <v>43</v>
      </c>
    </row>
    <row r="486">
      <c r="A486" s="23">
        <v>46389.0</v>
      </c>
      <c r="B486" t="s">
        <v>40</v>
      </c>
      <c r="C486" t="s">
        <v>44</v>
      </c>
    </row>
    <row r="487">
      <c r="A487" s="23">
        <v>46389.0</v>
      </c>
      <c r="B487" t="s">
        <v>45</v>
      </c>
      <c r="C487" t="s">
        <v>34</v>
      </c>
    </row>
    <row r="488">
      <c r="A488" s="23">
        <v>46389.0</v>
      </c>
      <c r="B488" t="s">
        <v>48</v>
      </c>
      <c r="C488" t="s">
        <v>38</v>
      </c>
    </row>
    <row r="489">
      <c r="A489" s="23">
        <v>46389.0</v>
      </c>
      <c r="B489" t="s">
        <v>41</v>
      </c>
      <c r="C489" t="s">
        <v>30</v>
      </c>
    </row>
    <row r="490">
      <c r="A490" s="23">
        <v>46389.0</v>
      </c>
      <c r="B490" t="s">
        <v>37</v>
      </c>
      <c r="C490" t="s">
        <v>47</v>
      </c>
    </row>
    <row r="491">
      <c r="A491" s="23">
        <v>46389.0</v>
      </c>
      <c r="B491" t="s">
        <v>51</v>
      </c>
      <c r="C491" t="s">
        <v>49</v>
      </c>
    </row>
    <row r="492">
      <c r="A492" s="23">
        <v>46389.0</v>
      </c>
      <c r="B492" t="s">
        <v>26</v>
      </c>
      <c r="C492" t="s">
        <v>50</v>
      </c>
    </row>
    <row r="493">
      <c r="A493" s="23">
        <v>46390.0</v>
      </c>
      <c r="B493" t="s">
        <v>27</v>
      </c>
      <c r="C493" t="s">
        <v>54</v>
      </c>
    </row>
    <row r="494">
      <c r="A494" s="23">
        <v>46390.0</v>
      </c>
      <c r="B494" t="s">
        <v>36</v>
      </c>
      <c r="C494" t="s">
        <v>32</v>
      </c>
    </row>
    <row r="495">
      <c r="A495" s="23">
        <v>46390.0</v>
      </c>
      <c r="B495" t="s">
        <v>42</v>
      </c>
      <c r="C495" t="s">
        <v>35</v>
      </c>
    </row>
    <row r="496">
      <c r="A496" s="23">
        <v>46390.0</v>
      </c>
      <c r="B496" t="s">
        <v>53</v>
      </c>
      <c r="C496" t="s">
        <v>46</v>
      </c>
    </row>
    <row r="497">
      <c r="A497" s="23">
        <v>46390.0</v>
      </c>
      <c r="B497" t="s">
        <v>31</v>
      </c>
      <c r="C497" t="s">
        <v>5</v>
      </c>
    </row>
    <row r="498">
      <c r="A498" s="23">
        <v>46390.0</v>
      </c>
      <c r="B498" t="s">
        <v>48</v>
      </c>
      <c r="C498" t="s">
        <v>39</v>
      </c>
    </row>
    <row r="499">
      <c r="A499" s="23">
        <v>46390.0</v>
      </c>
      <c r="B499" t="s">
        <v>52</v>
      </c>
      <c r="C499" t="s">
        <v>33</v>
      </c>
    </row>
    <row r="500">
      <c r="A500" s="23">
        <v>46390.0</v>
      </c>
      <c r="B500" t="s">
        <v>51</v>
      </c>
      <c r="C500" t="s">
        <v>30</v>
      </c>
    </row>
    <row r="501">
      <c r="A501" s="23">
        <v>46391.0</v>
      </c>
      <c r="B501" t="s">
        <v>38</v>
      </c>
      <c r="C501" t="s">
        <v>43</v>
      </c>
    </row>
    <row r="502">
      <c r="A502" s="23">
        <v>46391.0</v>
      </c>
      <c r="B502" t="s">
        <v>34</v>
      </c>
      <c r="C502" t="s">
        <v>28</v>
      </c>
    </row>
    <row r="503">
      <c r="A503" s="23">
        <v>46391.0</v>
      </c>
      <c r="B503" t="s">
        <v>45</v>
      </c>
      <c r="C503" t="s">
        <v>44</v>
      </c>
    </row>
    <row r="504">
      <c r="A504" s="23">
        <v>46391.0</v>
      </c>
      <c r="B504" t="s">
        <v>26</v>
      </c>
      <c r="C504" t="s">
        <v>49</v>
      </c>
    </row>
    <row r="505">
      <c r="A505" s="23">
        <v>46391.0</v>
      </c>
      <c r="B505" t="s">
        <v>37</v>
      </c>
      <c r="C505" t="s">
        <v>41</v>
      </c>
    </row>
    <row r="506">
      <c r="A506" s="23">
        <v>46391.0</v>
      </c>
      <c r="B506" t="s">
        <v>29</v>
      </c>
      <c r="C506" t="s">
        <v>50</v>
      </c>
    </row>
    <row r="507">
      <c r="A507" s="23">
        <v>46392.0</v>
      </c>
      <c r="B507" t="s">
        <v>34</v>
      </c>
      <c r="C507" t="s">
        <v>36</v>
      </c>
    </row>
    <row r="508">
      <c r="A508" s="23">
        <v>46392.0</v>
      </c>
      <c r="B508" t="s">
        <v>39</v>
      </c>
      <c r="C508" t="s">
        <v>53</v>
      </c>
    </row>
    <row r="509">
      <c r="A509" s="23">
        <v>46392.0</v>
      </c>
      <c r="B509" t="s">
        <v>52</v>
      </c>
      <c r="C509" t="s">
        <v>35</v>
      </c>
    </row>
    <row r="510">
      <c r="A510" s="23">
        <v>46392.0</v>
      </c>
      <c r="B510" t="s">
        <v>48</v>
      </c>
      <c r="C510" t="s">
        <v>33</v>
      </c>
    </row>
    <row r="511">
      <c r="A511" s="23">
        <v>46392.0</v>
      </c>
      <c r="B511" t="s">
        <v>42</v>
      </c>
      <c r="C511" t="s">
        <v>40</v>
      </c>
    </row>
    <row r="512">
      <c r="A512" s="23">
        <v>46392.0</v>
      </c>
      <c r="B512" t="s">
        <v>32</v>
      </c>
      <c r="C512" t="s">
        <v>38</v>
      </c>
    </row>
    <row r="513">
      <c r="A513" s="23">
        <v>46392.0</v>
      </c>
      <c r="B513" t="s">
        <v>5</v>
      </c>
      <c r="C513" t="s">
        <v>46</v>
      </c>
    </row>
    <row r="514">
      <c r="A514" s="23">
        <v>46392.0</v>
      </c>
      <c r="B514" t="s">
        <v>49</v>
      </c>
      <c r="C514" t="s">
        <v>54</v>
      </c>
    </row>
    <row r="515">
      <c r="A515" s="23">
        <v>46392.0</v>
      </c>
      <c r="B515" t="s">
        <v>27</v>
      </c>
      <c r="C515" t="s">
        <v>51</v>
      </c>
    </row>
    <row r="516">
      <c r="A516" s="23">
        <v>46393.0</v>
      </c>
      <c r="B516" t="s">
        <v>41</v>
      </c>
      <c r="C516" t="s">
        <v>37</v>
      </c>
    </row>
    <row r="517">
      <c r="A517" s="23">
        <v>46393.0</v>
      </c>
      <c r="B517" t="s">
        <v>30</v>
      </c>
      <c r="C517" t="s">
        <v>28</v>
      </c>
    </row>
    <row r="518">
      <c r="A518" s="23">
        <v>46393.0</v>
      </c>
      <c r="B518" t="s">
        <v>50</v>
      </c>
      <c r="C518" t="s">
        <v>44</v>
      </c>
    </row>
    <row r="519">
      <c r="A519" s="23">
        <v>46393.0</v>
      </c>
      <c r="B519" t="s">
        <v>43</v>
      </c>
      <c r="C519" t="s">
        <v>31</v>
      </c>
    </row>
    <row r="520">
      <c r="A520" s="23">
        <v>46393.0</v>
      </c>
      <c r="B520" t="s">
        <v>29</v>
      </c>
      <c r="C520" t="s">
        <v>47</v>
      </c>
    </row>
    <row r="521">
      <c r="A521" s="23">
        <v>46394.0</v>
      </c>
      <c r="B521" t="s">
        <v>43</v>
      </c>
      <c r="C521" t="s">
        <v>34</v>
      </c>
    </row>
    <row r="522">
      <c r="A522" s="23">
        <v>46394.0</v>
      </c>
      <c r="B522" t="s">
        <v>54</v>
      </c>
      <c r="C522" t="s">
        <v>36</v>
      </c>
    </row>
    <row r="523">
      <c r="A523" s="23">
        <v>46394.0</v>
      </c>
      <c r="B523" t="s">
        <v>53</v>
      </c>
      <c r="C523" t="s">
        <v>35</v>
      </c>
    </row>
    <row r="524">
      <c r="A524" s="23">
        <v>46394.0</v>
      </c>
      <c r="B524" t="s">
        <v>30</v>
      </c>
      <c r="C524" t="s">
        <v>33</v>
      </c>
    </row>
    <row r="525">
      <c r="A525" s="23">
        <v>46394.0</v>
      </c>
      <c r="B525" t="s">
        <v>40</v>
      </c>
      <c r="C525" t="s">
        <v>37</v>
      </c>
    </row>
    <row r="526">
      <c r="A526" s="23">
        <v>46394.0</v>
      </c>
      <c r="B526" t="s">
        <v>5</v>
      </c>
      <c r="C526" t="s">
        <v>39</v>
      </c>
    </row>
    <row r="527">
      <c r="A527" s="23">
        <v>46394.0</v>
      </c>
      <c r="B527" t="s">
        <v>50</v>
      </c>
      <c r="C527" t="s">
        <v>45</v>
      </c>
    </row>
    <row r="528">
      <c r="A528" s="23">
        <v>46394.0</v>
      </c>
      <c r="B528" t="s">
        <v>52</v>
      </c>
      <c r="C528" t="s">
        <v>32</v>
      </c>
    </row>
    <row r="529">
      <c r="A529" s="23">
        <v>46394.0</v>
      </c>
      <c r="B529" t="s">
        <v>42</v>
      </c>
      <c r="C529" t="s">
        <v>46</v>
      </c>
    </row>
    <row r="530">
      <c r="A530" s="23">
        <v>46394.0</v>
      </c>
      <c r="B530" t="s">
        <v>27</v>
      </c>
      <c r="C530" t="s">
        <v>47</v>
      </c>
    </row>
    <row r="531">
      <c r="A531" s="23">
        <v>46394.0</v>
      </c>
      <c r="B531" t="s">
        <v>26</v>
      </c>
      <c r="C531" t="s">
        <v>48</v>
      </c>
    </row>
    <row r="532">
      <c r="A532" s="23">
        <v>46394.0</v>
      </c>
      <c r="B532" t="s">
        <v>38</v>
      </c>
      <c r="C532" t="s">
        <v>51</v>
      </c>
    </row>
    <row r="533">
      <c r="A533" s="23">
        <v>46395.0</v>
      </c>
      <c r="B533" t="s">
        <v>40</v>
      </c>
      <c r="C533" t="s">
        <v>28</v>
      </c>
    </row>
    <row r="534">
      <c r="A534" s="23">
        <v>46395.0</v>
      </c>
      <c r="B534" t="s">
        <v>5</v>
      </c>
      <c r="C534" t="s">
        <v>33</v>
      </c>
    </row>
    <row r="535">
      <c r="A535" s="23">
        <v>46395.0</v>
      </c>
      <c r="B535" t="s">
        <v>41</v>
      </c>
      <c r="C535" t="s">
        <v>39</v>
      </c>
    </row>
    <row r="536">
      <c r="A536" s="23">
        <v>46395.0</v>
      </c>
      <c r="B536" t="s">
        <v>35</v>
      </c>
      <c r="C536" t="s">
        <v>44</v>
      </c>
    </row>
    <row r="537">
      <c r="A537" s="23">
        <v>46395.0</v>
      </c>
      <c r="B537" t="s">
        <v>42</v>
      </c>
      <c r="C537" t="s">
        <v>31</v>
      </c>
    </row>
    <row r="538">
      <c r="A538" s="23">
        <v>46395.0</v>
      </c>
      <c r="B538" t="s">
        <v>49</v>
      </c>
      <c r="C538" t="s">
        <v>45</v>
      </c>
    </row>
    <row r="539">
      <c r="A539" s="23">
        <v>46395.0</v>
      </c>
      <c r="B539" t="s">
        <v>27</v>
      </c>
      <c r="C539" t="s">
        <v>48</v>
      </c>
    </row>
    <row r="540">
      <c r="A540" s="23">
        <v>46395.0</v>
      </c>
      <c r="B540" t="s">
        <v>29</v>
      </c>
      <c r="C540" t="s">
        <v>51</v>
      </c>
    </row>
    <row r="541">
      <c r="A541" s="23">
        <v>46396.0</v>
      </c>
      <c r="B541" t="s">
        <v>54</v>
      </c>
      <c r="C541" t="s">
        <v>53</v>
      </c>
    </row>
    <row r="542">
      <c r="A542" s="23">
        <v>46396.0</v>
      </c>
      <c r="B542" t="s">
        <v>46</v>
      </c>
      <c r="C542" t="s">
        <v>37</v>
      </c>
    </row>
    <row r="543">
      <c r="A543" s="23">
        <v>46396.0</v>
      </c>
      <c r="B543" t="s">
        <v>32</v>
      </c>
      <c r="C543" t="s">
        <v>43</v>
      </c>
    </row>
    <row r="544">
      <c r="A544" s="23">
        <v>46396.0</v>
      </c>
      <c r="B544" t="s">
        <v>38</v>
      </c>
      <c r="C544" t="s">
        <v>47</v>
      </c>
    </row>
    <row r="545">
      <c r="A545" s="23">
        <v>46396.0</v>
      </c>
      <c r="B545" t="s">
        <v>36</v>
      </c>
      <c r="C545" t="s">
        <v>50</v>
      </c>
    </row>
    <row r="546">
      <c r="A546" s="23">
        <v>46396.0</v>
      </c>
      <c r="B546" t="s">
        <v>26</v>
      </c>
      <c r="C546" t="s">
        <v>52</v>
      </c>
    </row>
    <row r="547">
      <c r="A547" s="23">
        <v>46397.0</v>
      </c>
      <c r="B547" t="s">
        <v>31</v>
      </c>
      <c r="C547" t="s">
        <v>34</v>
      </c>
    </row>
    <row r="548">
      <c r="A548" s="23">
        <v>46397.0</v>
      </c>
      <c r="B548" t="s">
        <v>41</v>
      </c>
      <c r="C548" t="s">
        <v>27</v>
      </c>
    </row>
    <row r="549">
      <c r="A549" s="23">
        <v>46397.0</v>
      </c>
      <c r="B549" t="s">
        <v>45</v>
      </c>
      <c r="C549" t="s">
        <v>42</v>
      </c>
    </row>
    <row r="550">
      <c r="A550" s="23">
        <v>46397.0</v>
      </c>
      <c r="B550" t="s">
        <v>44</v>
      </c>
      <c r="C550" t="s">
        <v>40</v>
      </c>
    </row>
    <row r="551">
      <c r="A551" s="23">
        <v>46397.0</v>
      </c>
      <c r="B551" t="s">
        <v>30</v>
      </c>
      <c r="C551" t="s">
        <v>35</v>
      </c>
    </row>
    <row r="552">
      <c r="A552" s="23">
        <v>46397.0</v>
      </c>
      <c r="B552" t="s">
        <v>28</v>
      </c>
      <c r="C552" t="s">
        <v>39</v>
      </c>
    </row>
    <row r="553">
      <c r="A553" s="23">
        <v>46397.0</v>
      </c>
      <c r="B553" t="s">
        <v>38</v>
      </c>
      <c r="C553" t="s">
        <v>49</v>
      </c>
    </row>
    <row r="554">
      <c r="A554" s="23">
        <v>46397.0</v>
      </c>
      <c r="B554" t="s">
        <v>36</v>
      </c>
      <c r="C554" t="s">
        <v>51</v>
      </c>
    </row>
    <row r="555">
      <c r="A555" s="23">
        <v>46398.0</v>
      </c>
      <c r="B555" t="s">
        <v>37</v>
      </c>
      <c r="C555" t="s">
        <v>43</v>
      </c>
    </row>
    <row r="556">
      <c r="A556" s="23">
        <v>46398.0</v>
      </c>
      <c r="B556" t="s">
        <v>34</v>
      </c>
      <c r="C556" t="s">
        <v>33</v>
      </c>
    </row>
    <row r="557">
      <c r="A557" s="23">
        <v>46398.0</v>
      </c>
      <c r="B557" t="s">
        <v>46</v>
      </c>
      <c r="C557" t="s">
        <v>26</v>
      </c>
    </row>
    <row r="558">
      <c r="A558" s="23">
        <v>46398.0</v>
      </c>
      <c r="B558" t="s">
        <v>54</v>
      </c>
      <c r="C558" t="s">
        <v>29</v>
      </c>
    </row>
    <row r="559">
      <c r="A559" s="23">
        <v>46398.0</v>
      </c>
      <c r="B559" t="s">
        <v>53</v>
      </c>
      <c r="C559" t="s">
        <v>5</v>
      </c>
    </row>
    <row r="560">
      <c r="A560" s="23">
        <v>46398.0</v>
      </c>
      <c r="B560" t="s">
        <v>48</v>
      </c>
      <c r="C560" t="s">
        <v>52</v>
      </c>
    </row>
    <row r="561">
      <c r="A561" s="23">
        <v>46399.0</v>
      </c>
      <c r="B561" t="s">
        <v>37</v>
      </c>
      <c r="C561" t="s">
        <v>40</v>
      </c>
    </row>
    <row r="562">
      <c r="A562" s="23">
        <v>46399.0</v>
      </c>
      <c r="B562" t="s">
        <v>27</v>
      </c>
      <c r="C562" t="s">
        <v>39</v>
      </c>
    </row>
    <row r="563">
      <c r="A563" s="23">
        <v>46399.0</v>
      </c>
      <c r="B563" t="s">
        <v>45</v>
      </c>
      <c r="C563" t="s">
        <v>42</v>
      </c>
    </row>
    <row r="564">
      <c r="A564" s="23">
        <v>46399.0</v>
      </c>
      <c r="B564" t="s">
        <v>54</v>
      </c>
      <c r="C564" t="s">
        <v>32</v>
      </c>
    </row>
    <row r="565">
      <c r="A565" s="23">
        <v>46399.0</v>
      </c>
      <c r="B565" t="s">
        <v>33</v>
      </c>
      <c r="C565" t="s">
        <v>28</v>
      </c>
    </row>
    <row r="566">
      <c r="A566" s="23">
        <v>46399.0</v>
      </c>
      <c r="B566" t="s">
        <v>38</v>
      </c>
      <c r="C566" t="s">
        <v>41</v>
      </c>
    </row>
    <row r="567">
      <c r="A567" s="23">
        <v>46399.0</v>
      </c>
      <c r="B567" t="s">
        <v>35</v>
      </c>
      <c r="C567" t="s">
        <v>50</v>
      </c>
    </row>
    <row r="568">
      <c r="A568" s="23">
        <v>46399.0</v>
      </c>
      <c r="B568" t="s">
        <v>51</v>
      </c>
      <c r="C568" t="s">
        <v>47</v>
      </c>
    </row>
    <row r="569">
      <c r="A569" s="23">
        <v>46400.0</v>
      </c>
      <c r="B569" t="s">
        <v>53</v>
      </c>
      <c r="C569" t="s">
        <v>34</v>
      </c>
    </row>
    <row r="570">
      <c r="A570" s="23">
        <v>46400.0</v>
      </c>
      <c r="B570" t="s">
        <v>29</v>
      </c>
      <c r="C570" t="s">
        <v>26</v>
      </c>
    </row>
    <row r="571">
      <c r="A571" s="23">
        <v>46400.0</v>
      </c>
      <c r="B571" t="s">
        <v>32</v>
      </c>
      <c r="C571" t="s">
        <v>43</v>
      </c>
    </row>
    <row r="572">
      <c r="A572" s="23">
        <v>46400.0</v>
      </c>
      <c r="B572" t="s">
        <v>49</v>
      </c>
      <c r="C572" t="s">
        <v>39</v>
      </c>
    </row>
    <row r="573">
      <c r="A573" s="23">
        <v>46400.0</v>
      </c>
      <c r="B573" t="s">
        <v>46</v>
      </c>
      <c r="C573" t="s">
        <v>30</v>
      </c>
    </row>
    <row r="574">
      <c r="A574" s="23">
        <v>46400.0</v>
      </c>
      <c r="B574" t="s">
        <v>36</v>
      </c>
      <c r="C574" t="s">
        <v>47</v>
      </c>
    </row>
    <row r="575">
      <c r="A575" s="23">
        <v>46400.0</v>
      </c>
      <c r="B575" t="s">
        <v>48</v>
      </c>
      <c r="C575" t="s">
        <v>50</v>
      </c>
    </row>
    <row r="576">
      <c r="A576" s="23">
        <v>46401.0</v>
      </c>
      <c r="B576" t="s">
        <v>44</v>
      </c>
      <c r="C576" t="s">
        <v>31</v>
      </c>
    </row>
    <row r="577">
      <c r="A577" s="23">
        <v>46401.0</v>
      </c>
      <c r="B577" t="s">
        <v>45</v>
      </c>
      <c r="C577" t="s">
        <v>27</v>
      </c>
    </row>
    <row r="578">
      <c r="A578" s="23">
        <v>46401.0</v>
      </c>
      <c r="B578" t="s">
        <v>37</v>
      </c>
      <c r="C578" t="s">
        <v>28</v>
      </c>
    </row>
    <row r="579">
      <c r="A579" s="23">
        <v>46401.0</v>
      </c>
      <c r="B579" t="s">
        <v>40</v>
      </c>
      <c r="C579" t="s">
        <v>29</v>
      </c>
    </row>
    <row r="580">
      <c r="A580" s="23">
        <v>46401.0</v>
      </c>
      <c r="B580" t="s">
        <v>5</v>
      </c>
      <c r="C580" t="s">
        <v>38</v>
      </c>
    </row>
    <row r="581">
      <c r="A581" s="23">
        <v>46401.0</v>
      </c>
      <c r="B581" t="s">
        <v>42</v>
      </c>
      <c r="C581" t="s">
        <v>54</v>
      </c>
    </row>
    <row r="582">
      <c r="A582" s="23">
        <v>46401.0</v>
      </c>
      <c r="B582" t="s">
        <v>36</v>
      </c>
      <c r="C582" t="s">
        <v>41</v>
      </c>
    </row>
    <row r="583">
      <c r="A583" s="23">
        <v>46401.0</v>
      </c>
      <c r="B583" t="s">
        <v>35</v>
      </c>
      <c r="C583" t="s">
        <v>48</v>
      </c>
    </row>
    <row r="584">
      <c r="A584" s="23">
        <v>46401.0</v>
      </c>
      <c r="B584" t="s">
        <v>52</v>
      </c>
      <c r="C584" t="s">
        <v>51</v>
      </c>
    </row>
    <row r="585">
      <c r="A585" s="23">
        <v>46402.0</v>
      </c>
      <c r="B585" t="s">
        <v>47</v>
      </c>
      <c r="C585" t="s">
        <v>34</v>
      </c>
    </row>
    <row r="586">
      <c r="A586" s="23">
        <v>46402.0</v>
      </c>
      <c r="B586" t="s">
        <v>49</v>
      </c>
      <c r="C586" t="s">
        <v>43</v>
      </c>
    </row>
    <row r="587">
      <c r="A587" s="23">
        <v>46402.0</v>
      </c>
      <c r="B587" t="s">
        <v>40</v>
      </c>
      <c r="C587" t="s">
        <v>39</v>
      </c>
    </row>
    <row r="588">
      <c r="A588" s="23">
        <v>46402.0</v>
      </c>
      <c r="B588" t="s">
        <v>53</v>
      </c>
      <c r="C588" t="s">
        <v>32</v>
      </c>
    </row>
    <row r="589">
      <c r="A589" s="23">
        <v>46402.0</v>
      </c>
      <c r="B589" t="s">
        <v>41</v>
      </c>
      <c r="C589" t="s">
        <v>30</v>
      </c>
    </row>
    <row r="590">
      <c r="A590" s="23">
        <v>46402.0</v>
      </c>
      <c r="B590" t="s">
        <v>33</v>
      </c>
      <c r="C590" t="s">
        <v>46</v>
      </c>
    </row>
    <row r="591">
      <c r="A591" s="23">
        <v>46402.0</v>
      </c>
      <c r="B591" t="s">
        <v>51</v>
      </c>
      <c r="C591" t="s">
        <v>50</v>
      </c>
    </row>
    <row r="592">
      <c r="A592" s="23">
        <v>46402.0</v>
      </c>
      <c r="B592" t="s">
        <v>35</v>
      </c>
      <c r="C592" t="s">
        <v>52</v>
      </c>
    </row>
    <row r="593">
      <c r="A593" s="23">
        <v>46403.0</v>
      </c>
      <c r="B593" t="s">
        <v>5</v>
      </c>
      <c r="C593" t="s">
        <v>28</v>
      </c>
    </row>
    <row r="594">
      <c r="A594" s="23">
        <v>46403.0</v>
      </c>
      <c r="B594" t="s">
        <v>37</v>
      </c>
      <c r="C594" t="s">
        <v>26</v>
      </c>
    </row>
    <row r="595">
      <c r="A595" s="23">
        <v>46403.0</v>
      </c>
      <c r="B595" t="s">
        <v>45</v>
      </c>
      <c r="C595" t="s">
        <v>29</v>
      </c>
    </row>
    <row r="596">
      <c r="A596" s="23">
        <v>46403.0</v>
      </c>
      <c r="B596" t="s">
        <v>53</v>
      </c>
      <c r="C596" t="s">
        <v>42</v>
      </c>
    </row>
    <row r="597">
      <c r="A597" s="23">
        <v>46403.0</v>
      </c>
      <c r="B597" t="s">
        <v>27</v>
      </c>
      <c r="C597" t="s">
        <v>46</v>
      </c>
    </row>
    <row r="598">
      <c r="A598" s="23">
        <v>46403.0</v>
      </c>
      <c r="B598" t="s">
        <v>36</v>
      </c>
      <c r="C598" t="s">
        <v>54</v>
      </c>
    </row>
    <row r="599">
      <c r="A599" s="23">
        <v>46404.0</v>
      </c>
      <c r="B599" t="s">
        <v>31</v>
      </c>
      <c r="C599" t="s">
        <v>44</v>
      </c>
    </row>
    <row r="600">
      <c r="A600" s="23">
        <v>46404.0</v>
      </c>
      <c r="B600" t="s">
        <v>43</v>
      </c>
      <c r="C600" t="s">
        <v>33</v>
      </c>
    </row>
    <row r="601">
      <c r="A601" s="23">
        <v>46404.0</v>
      </c>
      <c r="B601" t="s">
        <v>39</v>
      </c>
      <c r="C601" t="s">
        <v>38</v>
      </c>
    </row>
    <row r="602">
      <c r="A602" s="23">
        <v>46404.0</v>
      </c>
      <c r="B602" t="s">
        <v>50</v>
      </c>
      <c r="C602" t="s">
        <v>30</v>
      </c>
    </row>
    <row r="603">
      <c r="A603" s="23">
        <v>46404.0</v>
      </c>
      <c r="B603" t="s">
        <v>51</v>
      </c>
      <c r="C603" t="s">
        <v>41</v>
      </c>
    </row>
    <row r="604">
      <c r="A604" s="23">
        <v>46404.0</v>
      </c>
      <c r="B604" t="s">
        <v>47</v>
      </c>
      <c r="C604" t="s">
        <v>40</v>
      </c>
    </row>
    <row r="605">
      <c r="A605" s="23">
        <v>46404.0</v>
      </c>
      <c r="B605" t="s">
        <v>35</v>
      </c>
      <c r="C605" t="s">
        <v>54</v>
      </c>
    </row>
    <row r="606">
      <c r="A606" s="23">
        <v>46404.0</v>
      </c>
      <c r="B606" t="s">
        <v>32</v>
      </c>
      <c r="C606" t="s">
        <v>48</v>
      </c>
    </row>
    <row r="607">
      <c r="A607" s="23">
        <v>46405.0</v>
      </c>
      <c r="B607" t="s">
        <v>27</v>
      </c>
      <c r="C607" t="s">
        <v>53</v>
      </c>
    </row>
    <row r="608">
      <c r="A608" s="23">
        <v>46405.0</v>
      </c>
      <c r="B608" t="s">
        <v>28</v>
      </c>
      <c r="C608" t="s">
        <v>34</v>
      </c>
    </row>
    <row r="609">
      <c r="A609" s="23">
        <v>46405.0</v>
      </c>
      <c r="B609" t="s">
        <v>26</v>
      </c>
      <c r="C609" t="s">
        <v>33</v>
      </c>
    </row>
    <row r="610">
      <c r="A610" s="23">
        <v>46405.0</v>
      </c>
      <c r="B610" t="s">
        <v>5</v>
      </c>
      <c r="C610" t="s">
        <v>29</v>
      </c>
    </row>
    <row r="611">
      <c r="A611" s="23">
        <v>46405.0</v>
      </c>
      <c r="B611" t="s">
        <v>46</v>
      </c>
      <c r="C611" t="s">
        <v>42</v>
      </c>
    </row>
    <row r="612">
      <c r="A612" s="23">
        <v>46405.0</v>
      </c>
      <c r="B612" t="s">
        <v>30</v>
      </c>
      <c r="C612" t="s">
        <v>45</v>
      </c>
    </row>
    <row r="613">
      <c r="A613" s="23">
        <v>46405.0</v>
      </c>
      <c r="B613" t="s">
        <v>49</v>
      </c>
      <c r="C613" t="s">
        <v>52</v>
      </c>
    </row>
    <row r="614">
      <c r="A614" s="23">
        <v>46406.0</v>
      </c>
      <c r="B614" t="s">
        <v>47</v>
      </c>
      <c r="C614" t="s">
        <v>35</v>
      </c>
    </row>
    <row r="615">
      <c r="A615" s="23">
        <v>46406.0</v>
      </c>
      <c r="B615" t="s">
        <v>43</v>
      </c>
      <c r="C615" t="s">
        <v>28</v>
      </c>
    </row>
    <row r="616">
      <c r="A616" s="23">
        <v>46406.0</v>
      </c>
      <c r="B616" t="s">
        <v>38</v>
      </c>
      <c r="C616" t="s">
        <v>39</v>
      </c>
    </row>
    <row r="617">
      <c r="A617" s="23">
        <v>46406.0</v>
      </c>
      <c r="B617" t="s">
        <v>50</v>
      </c>
      <c r="C617" t="s">
        <v>40</v>
      </c>
    </row>
    <row r="618">
      <c r="A618" s="23">
        <v>46406.0</v>
      </c>
      <c r="B618" t="s">
        <v>36</v>
      </c>
      <c r="C618" t="s">
        <v>45</v>
      </c>
    </row>
    <row r="619">
      <c r="A619" s="23">
        <v>46406.0</v>
      </c>
      <c r="B619" t="s">
        <v>41</v>
      </c>
      <c r="C619" t="s">
        <v>54</v>
      </c>
    </row>
    <row r="620">
      <c r="A620" s="23">
        <v>46406.0</v>
      </c>
      <c r="B620" t="s">
        <v>48</v>
      </c>
      <c r="C620" t="s">
        <v>51</v>
      </c>
    </row>
    <row r="621">
      <c r="A621" s="23">
        <v>46407.0</v>
      </c>
      <c r="B621" t="s">
        <v>50</v>
      </c>
      <c r="C621" t="s">
        <v>34</v>
      </c>
    </row>
    <row r="622">
      <c r="A622" s="23">
        <v>46407.0</v>
      </c>
      <c r="B622" t="s">
        <v>38</v>
      </c>
      <c r="C622" t="s">
        <v>37</v>
      </c>
    </row>
    <row r="623">
      <c r="A623" s="23">
        <v>46407.0</v>
      </c>
      <c r="B623" t="s">
        <v>43</v>
      </c>
      <c r="C623" t="s">
        <v>26</v>
      </c>
    </row>
    <row r="624">
      <c r="A624" s="23">
        <v>46407.0</v>
      </c>
      <c r="B624" t="s">
        <v>39</v>
      </c>
      <c r="C624" t="s">
        <v>29</v>
      </c>
    </row>
    <row r="625">
      <c r="A625" s="23">
        <v>46407.0</v>
      </c>
      <c r="B625" t="s">
        <v>46</v>
      </c>
      <c r="C625" t="s">
        <v>5</v>
      </c>
    </row>
    <row r="626">
      <c r="A626" s="23">
        <v>46407.0</v>
      </c>
      <c r="B626" t="s">
        <v>30</v>
      </c>
      <c r="C626" t="s">
        <v>44</v>
      </c>
    </row>
    <row r="627">
      <c r="A627" s="23">
        <v>46407.0</v>
      </c>
      <c r="B627" t="s">
        <v>42</v>
      </c>
      <c r="C627" t="s">
        <v>49</v>
      </c>
    </row>
    <row r="628">
      <c r="A628" s="23">
        <v>46407.0</v>
      </c>
      <c r="B628" t="s">
        <v>52</v>
      </c>
      <c r="C628" t="s">
        <v>41</v>
      </c>
    </row>
    <row r="629">
      <c r="A629" s="23">
        <v>46407.0</v>
      </c>
      <c r="B629" t="s">
        <v>40</v>
      </c>
      <c r="C629" t="s">
        <v>31</v>
      </c>
    </row>
    <row r="630">
      <c r="A630" s="23">
        <v>46407.0</v>
      </c>
      <c r="B630" t="s">
        <v>32</v>
      </c>
      <c r="C630" t="s">
        <v>51</v>
      </c>
    </row>
    <row r="631">
      <c r="A631" s="23">
        <v>46408.0</v>
      </c>
      <c r="B631" t="s">
        <v>28</v>
      </c>
      <c r="C631" t="s">
        <v>26</v>
      </c>
    </row>
    <row r="632">
      <c r="A632" s="23">
        <v>46408.0</v>
      </c>
      <c r="B632" t="s">
        <v>53</v>
      </c>
      <c r="C632" t="s">
        <v>37</v>
      </c>
    </row>
    <row r="633">
      <c r="A633" s="23">
        <v>46408.0</v>
      </c>
      <c r="B633" t="s">
        <v>33</v>
      </c>
      <c r="C633" t="s">
        <v>54</v>
      </c>
    </row>
    <row r="634">
      <c r="A634" s="23">
        <v>46408.0</v>
      </c>
      <c r="B634" t="s">
        <v>48</v>
      </c>
      <c r="C634" t="s">
        <v>47</v>
      </c>
    </row>
    <row r="635">
      <c r="A635" s="23">
        <v>46409.0</v>
      </c>
      <c r="B635" t="s">
        <v>29</v>
      </c>
      <c r="C635" t="s">
        <v>34</v>
      </c>
    </row>
    <row r="636">
      <c r="A636" s="23">
        <v>46409.0</v>
      </c>
      <c r="B636" t="s">
        <v>46</v>
      </c>
      <c r="C636" t="s">
        <v>36</v>
      </c>
    </row>
    <row r="637">
      <c r="A637" s="23">
        <v>46409.0</v>
      </c>
      <c r="B637" t="s">
        <v>50</v>
      </c>
      <c r="C637" t="s">
        <v>35</v>
      </c>
    </row>
    <row r="638">
      <c r="A638" s="23">
        <v>46409.0</v>
      </c>
      <c r="B638" t="s">
        <v>43</v>
      </c>
      <c r="C638" t="s">
        <v>27</v>
      </c>
    </row>
    <row r="639">
      <c r="A639" s="23">
        <v>46409.0</v>
      </c>
      <c r="B639" t="s">
        <v>45</v>
      </c>
      <c r="C639" t="s">
        <v>44</v>
      </c>
    </row>
    <row r="640">
      <c r="A640" s="23">
        <v>46409.0</v>
      </c>
      <c r="B640" t="s">
        <v>42</v>
      </c>
      <c r="C640" t="s">
        <v>30</v>
      </c>
    </row>
    <row r="641">
      <c r="A641" s="23">
        <v>46409.0</v>
      </c>
      <c r="B641" t="s">
        <v>41</v>
      </c>
      <c r="C641" t="s">
        <v>49</v>
      </c>
    </row>
    <row r="642">
      <c r="A642" s="23">
        <v>46409.0</v>
      </c>
      <c r="B642" t="s">
        <v>5</v>
      </c>
      <c r="C642" t="s">
        <v>31</v>
      </c>
    </row>
    <row r="643">
      <c r="A643" s="23">
        <v>46409.0</v>
      </c>
      <c r="B643" t="s">
        <v>32</v>
      </c>
      <c r="C643" t="s">
        <v>47</v>
      </c>
    </row>
    <row r="644">
      <c r="A644" s="23">
        <v>46409.0</v>
      </c>
      <c r="B644" t="s">
        <v>51</v>
      </c>
      <c r="C644" t="s">
        <v>48</v>
      </c>
    </row>
    <row r="645">
      <c r="A645" s="23">
        <v>46409.0</v>
      </c>
      <c r="B645" t="s">
        <v>33</v>
      </c>
      <c r="C645" t="s">
        <v>52</v>
      </c>
    </row>
    <row r="646">
      <c r="A646" s="23">
        <v>46410.0</v>
      </c>
      <c r="B646" t="s">
        <v>28</v>
      </c>
      <c r="C646" t="s">
        <v>38</v>
      </c>
    </row>
    <row r="647">
      <c r="A647" s="23">
        <v>46410.0</v>
      </c>
      <c r="B647" t="s">
        <v>39</v>
      </c>
      <c r="C647" t="s">
        <v>37</v>
      </c>
    </row>
    <row r="648">
      <c r="A648" s="23">
        <v>46410.0</v>
      </c>
      <c r="B648" t="s">
        <v>36</v>
      </c>
      <c r="C648" t="s">
        <v>26</v>
      </c>
    </row>
    <row r="649">
      <c r="A649" s="23">
        <v>46410.0</v>
      </c>
      <c r="B649" t="s">
        <v>53</v>
      </c>
      <c r="C649" t="s">
        <v>45</v>
      </c>
    </row>
    <row r="650">
      <c r="A650" s="23">
        <v>46410.0</v>
      </c>
      <c r="B650" t="s">
        <v>34</v>
      </c>
      <c r="C650" t="s">
        <v>40</v>
      </c>
    </row>
    <row r="651">
      <c r="A651" s="23">
        <v>46410.0</v>
      </c>
      <c r="B651" t="s">
        <v>32</v>
      </c>
      <c r="C651" t="s">
        <v>54</v>
      </c>
    </row>
    <row r="652">
      <c r="A652" s="23">
        <v>46411.0</v>
      </c>
      <c r="B652" t="s">
        <v>50</v>
      </c>
      <c r="C652" t="s">
        <v>31</v>
      </c>
    </row>
    <row r="653">
      <c r="A653" s="23">
        <v>46411.0</v>
      </c>
      <c r="B653" t="s">
        <v>33</v>
      </c>
      <c r="C653" t="s">
        <v>48</v>
      </c>
    </row>
    <row r="654">
      <c r="A654" s="23">
        <v>46411.0</v>
      </c>
      <c r="B654" t="s">
        <v>41</v>
      </c>
      <c r="C654" t="s">
        <v>49</v>
      </c>
    </row>
    <row r="655">
      <c r="A655" s="23">
        <v>46411.0</v>
      </c>
      <c r="B655" t="s">
        <v>5</v>
      </c>
      <c r="C655" t="s">
        <v>27</v>
      </c>
    </row>
    <row r="656">
      <c r="A656" s="23">
        <v>46411.0</v>
      </c>
      <c r="B656" t="s">
        <v>46</v>
      </c>
      <c r="C656" t="s">
        <v>35</v>
      </c>
    </row>
    <row r="657">
      <c r="A657" s="23">
        <v>46411.0</v>
      </c>
      <c r="B657" t="s">
        <v>52</v>
      </c>
      <c r="C657" t="s">
        <v>29</v>
      </c>
    </row>
    <row r="658">
      <c r="A658" s="23">
        <v>46411.0</v>
      </c>
      <c r="B658" t="s">
        <v>30</v>
      </c>
      <c r="C658" t="s">
        <v>47</v>
      </c>
    </row>
    <row r="659">
      <c r="A659" s="23">
        <v>46412.0</v>
      </c>
      <c r="B659" t="s">
        <v>39</v>
      </c>
      <c r="C659" t="s">
        <v>26</v>
      </c>
    </row>
    <row r="660">
      <c r="A660" s="23">
        <v>46412.0</v>
      </c>
      <c r="B660" t="s">
        <v>35</v>
      </c>
      <c r="C660" t="s">
        <v>36</v>
      </c>
    </row>
    <row r="661">
      <c r="A661" s="23">
        <v>46412.0</v>
      </c>
      <c r="B661" t="s">
        <v>52</v>
      </c>
      <c r="C661" t="s">
        <v>28</v>
      </c>
    </row>
    <row r="662">
      <c r="A662" s="23">
        <v>46412.0</v>
      </c>
      <c r="B662" t="s">
        <v>40</v>
      </c>
      <c r="C662" t="s">
        <v>37</v>
      </c>
    </row>
    <row r="663">
      <c r="A663" s="23">
        <v>46412.0</v>
      </c>
      <c r="B663" t="s">
        <v>45</v>
      </c>
      <c r="C663" t="s">
        <v>38</v>
      </c>
    </row>
    <row r="664">
      <c r="A664" s="23">
        <v>46412.0</v>
      </c>
      <c r="B664" t="s">
        <v>5</v>
      </c>
      <c r="C664" t="s">
        <v>42</v>
      </c>
    </row>
    <row r="665">
      <c r="A665" s="23">
        <v>46412.0</v>
      </c>
      <c r="B665" t="s">
        <v>53</v>
      </c>
      <c r="C665" t="s">
        <v>44</v>
      </c>
    </row>
    <row r="666">
      <c r="A666" s="23">
        <v>46412.0</v>
      </c>
      <c r="B666" t="s">
        <v>51</v>
      </c>
      <c r="C666" t="s">
        <v>54</v>
      </c>
    </row>
    <row r="667">
      <c r="A667" s="23">
        <v>46413.0</v>
      </c>
      <c r="B667" t="s">
        <v>34</v>
      </c>
      <c r="C667" t="s">
        <v>27</v>
      </c>
    </row>
    <row r="668">
      <c r="A668" s="23">
        <v>46413.0</v>
      </c>
      <c r="B668" t="s">
        <v>38</v>
      </c>
      <c r="C668" t="s">
        <v>43</v>
      </c>
    </row>
    <row r="669">
      <c r="A669" s="23">
        <v>46413.0</v>
      </c>
      <c r="B669" t="s">
        <v>49</v>
      </c>
      <c r="C669" t="s">
        <v>29</v>
      </c>
    </row>
    <row r="670">
      <c r="A670" s="23">
        <v>46413.0</v>
      </c>
      <c r="B670" t="s">
        <v>46</v>
      </c>
      <c r="C670" t="s">
        <v>31</v>
      </c>
    </row>
    <row r="671">
      <c r="A671" s="23">
        <v>46413.0</v>
      </c>
      <c r="B671" t="s">
        <v>32</v>
      </c>
      <c r="C671" t="s">
        <v>41</v>
      </c>
    </row>
    <row r="672">
      <c r="A672" s="23">
        <v>46413.0</v>
      </c>
      <c r="B672" t="s">
        <v>33</v>
      </c>
      <c r="C672" t="s">
        <v>50</v>
      </c>
    </row>
    <row r="673">
      <c r="A673" s="23">
        <v>46413.0</v>
      </c>
      <c r="B673" t="s">
        <v>30</v>
      </c>
      <c r="C673" t="s">
        <v>48</v>
      </c>
    </row>
    <row r="674">
      <c r="A674" s="23">
        <v>46414.0</v>
      </c>
      <c r="B674" t="s">
        <v>27</v>
      </c>
      <c r="C674" t="s">
        <v>53</v>
      </c>
    </row>
    <row r="675">
      <c r="A675" s="23">
        <v>46414.0</v>
      </c>
      <c r="B675" t="s">
        <v>51</v>
      </c>
      <c r="C675" t="s">
        <v>28</v>
      </c>
    </row>
    <row r="676">
      <c r="A676" s="23">
        <v>46414.0</v>
      </c>
      <c r="B676" t="s">
        <v>52</v>
      </c>
      <c r="C676" t="s">
        <v>26</v>
      </c>
    </row>
    <row r="677">
      <c r="A677" s="23">
        <v>46414.0</v>
      </c>
      <c r="B677" t="s">
        <v>49</v>
      </c>
      <c r="C677" t="s">
        <v>37</v>
      </c>
    </row>
    <row r="678">
      <c r="A678" s="23">
        <v>46414.0</v>
      </c>
      <c r="B678" t="s">
        <v>45</v>
      </c>
      <c r="C678" t="s">
        <v>39</v>
      </c>
    </row>
    <row r="679">
      <c r="A679" s="23">
        <v>46414.0</v>
      </c>
      <c r="B679" t="s">
        <v>36</v>
      </c>
      <c r="C679" t="s">
        <v>31</v>
      </c>
    </row>
    <row r="680">
      <c r="A680" s="23">
        <v>46414.0</v>
      </c>
      <c r="B680" t="s">
        <v>44</v>
      </c>
      <c r="C680" t="s">
        <v>46</v>
      </c>
    </row>
    <row r="681">
      <c r="A681" s="23">
        <v>46414.0</v>
      </c>
      <c r="B681" t="s">
        <v>54</v>
      </c>
      <c r="C681" t="s">
        <v>5</v>
      </c>
    </row>
    <row r="682">
      <c r="A682" s="23">
        <v>46414.0</v>
      </c>
      <c r="B682" t="s">
        <v>47</v>
      </c>
      <c r="C682" t="s">
        <v>50</v>
      </c>
    </row>
    <row r="683">
      <c r="A683" s="23">
        <v>46415.0</v>
      </c>
      <c r="B683" t="s">
        <v>48</v>
      </c>
      <c r="C683" t="s">
        <v>43</v>
      </c>
    </row>
    <row r="684">
      <c r="A684" s="23">
        <v>46415.0</v>
      </c>
      <c r="B684" t="s">
        <v>34</v>
      </c>
      <c r="C684" t="s">
        <v>29</v>
      </c>
    </row>
    <row r="685">
      <c r="A685" s="23">
        <v>46415.0</v>
      </c>
      <c r="B685" t="s">
        <v>38</v>
      </c>
      <c r="C685" t="s">
        <v>35</v>
      </c>
    </row>
    <row r="686">
      <c r="A686" s="23">
        <v>46415.0</v>
      </c>
      <c r="B686" t="s">
        <v>51</v>
      </c>
      <c r="C686" t="s">
        <v>33</v>
      </c>
    </row>
    <row r="687">
      <c r="A687" s="23">
        <v>46415.0</v>
      </c>
      <c r="B687" t="s">
        <v>28</v>
      </c>
      <c r="C687" t="s">
        <v>44</v>
      </c>
    </row>
    <row r="688">
      <c r="A688" s="23">
        <v>46415.0</v>
      </c>
      <c r="B688" t="s">
        <v>42</v>
      </c>
      <c r="C688" t="s">
        <v>30</v>
      </c>
    </row>
    <row r="689">
      <c r="A689" s="23">
        <v>46415.0</v>
      </c>
      <c r="B689" t="s">
        <v>47</v>
      </c>
      <c r="C689" t="s">
        <v>41</v>
      </c>
    </row>
    <row r="690">
      <c r="A690" s="23">
        <v>46415.0</v>
      </c>
      <c r="B690" t="s">
        <v>40</v>
      </c>
      <c r="C690" t="s">
        <v>32</v>
      </c>
    </row>
    <row r="691">
      <c r="A691" s="23">
        <v>46416.0</v>
      </c>
      <c r="B691" t="s">
        <v>53</v>
      </c>
      <c r="C691" t="s">
        <v>39</v>
      </c>
    </row>
    <row r="692">
      <c r="A692" s="23">
        <v>46416.0</v>
      </c>
      <c r="B692" t="s">
        <v>49</v>
      </c>
      <c r="C692" t="s">
        <v>26</v>
      </c>
    </row>
    <row r="693">
      <c r="A693" s="23">
        <v>46416.0</v>
      </c>
      <c r="B693" t="s">
        <v>52</v>
      </c>
      <c r="C693" t="s">
        <v>37</v>
      </c>
    </row>
    <row r="694">
      <c r="A694" s="23">
        <v>46416.0</v>
      </c>
      <c r="B694" t="s">
        <v>27</v>
      </c>
      <c r="C694" t="s">
        <v>45</v>
      </c>
    </row>
    <row r="695">
      <c r="A695" s="23">
        <v>46416.0</v>
      </c>
      <c r="B695" t="s">
        <v>35</v>
      </c>
      <c r="C695" t="s">
        <v>46</v>
      </c>
    </row>
    <row r="696">
      <c r="A696" s="23">
        <v>46416.0</v>
      </c>
      <c r="B696" t="s">
        <v>36</v>
      </c>
      <c r="C696" t="s">
        <v>5</v>
      </c>
    </row>
    <row r="697">
      <c r="A697" s="23">
        <v>46417.0</v>
      </c>
      <c r="B697" t="s">
        <v>28</v>
      </c>
      <c r="C697" t="s">
        <v>40</v>
      </c>
    </row>
    <row r="698">
      <c r="A698" s="23">
        <v>46417.0</v>
      </c>
      <c r="B698" t="s">
        <v>54</v>
      </c>
      <c r="C698" t="s">
        <v>30</v>
      </c>
    </row>
    <row r="699">
      <c r="A699" s="23">
        <v>46417.0</v>
      </c>
      <c r="B699" t="s">
        <v>31</v>
      </c>
      <c r="C699" t="s">
        <v>47</v>
      </c>
    </row>
    <row r="700">
      <c r="A700" s="23">
        <v>46417.0</v>
      </c>
      <c r="B700" t="s">
        <v>33</v>
      </c>
      <c r="C700" t="s">
        <v>43</v>
      </c>
    </row>
    <row r="701">
      <c r="A701" s="23">
        <v>46417.0</v>
      </c>
      <c r="B701" t="s">
        <v>44</v>
      </c>
      <c r="C701" t="s">
        <v>53</v>
      </c>
    </row>
    <row r="702">
      <c r="A702" s="23">
        <v>46417.0</v>
      </c>
      <c r="B702" t="s">
        <v>34</v>
      </c>
      <c r="C702" t="s">
        <v>32</v>
      </c>
    </row>
    <row r="703">
      <c r="A703" s="23">
        <v>46417.0</v>
      </c>
      <c r="B703" t="s">
        <v>48</v>
      </c>
      <c r="C703" t="s">
        <v>29</v>
      </c>
    </row>
    <row r="704">
      <c r="A704" s="23">
        <v>46417.0</v>
      </c>
      <c r="B704" t="s">
        <v>42</v>
      </c>
      <c r="C704" t="s">
        <v>41</v>
      </c>
    </row>
    <row r="705">
      <c r="A705" s="23">
        <v>46418.0</v>
      </c>
      <c r="B705" t="s">
        <v>51</v>
      </c>
      <c r="C705" t="s">
        <v>27</v>
      </c>
    </row>
    <row r="706">
      <c r="A706" s="23">
        <v>46418.0</v>
      </c>
      <c r="B706" t="s">
        <v>49</v>
      </c>
      <c r="C706" t="s">
        <v>5</v>
      </c>
    </row>
    <row r="707">
      <c r="A707" s="23">
        <v>46418.0</v>
      </c>
      <c r="B707" t="s">
        <v>38</v>
      </c>
      <c r="C707" t="s">
        <v>30</v>
      </c>
    </row>
    <row r="708">
      <c r="A708" s="23">
        <v>46418.0</v>
      </c>
      <c r="B708" t="s">
        <v>37</v>
      </c>
      <c r="C708" t="s">
        <v>35</v>
      </c>
    </row>
    <row r="709">
      <c r="A709" s="23">
        <v>46418.0</v>
      </c>
      <c r="B709" t="s">
        <v>26</v>
      </c>
      <c r="C709" t="s">
        <v>39</v>
      </c>
    </row>
    <row r="710">
      <c r="A710" s="23">
        <v>46418.0</v>
      </c>
      <c r="B710" t="s">
        <v>48</v>
      </c>
      <c r="C710" t="s">
        <v>36</v>
      </c>
    </row>
    <row r="711">
      <c r="A711" s="23">
        <v>46418.0</v>
      </c>
      <c r="B711" t="s">
        <v>50</v>
      </c>
      <c r="C711" t="s">
        <v>54</v>
      </c>
    </row>
    <row r="712">
      <c r="A712" s="23">
        <v>46418.0</v>
      </c>
      <c r="B712" t="s">
        <v>46</v>
      </c>
      <c r="C712" t="s">
        <v>45</v>
      </c>
    </row>
    <row r="713">
      <c r="A713" s="23">
        <v>46419.0</v>
      </c>
      <c r="B713" t="s">
        <v>33</v>
      </c>
      <c r="C713" t="s">
        <v>34</v>
      </c>
    </row>
    <row r="714">
      <c r="A714" s="23">
        <v>46419.0</v>
      </c>
      <c r="B714" t="s">
        <v>44</v>
      </c>
      <c r="C714" t="s">
        <v>28</v>
      </c>
    </row>
    <row r="715">
      <c r="A715" s="23">
        <v>46419.0</v>
      </c>
      <c r="B715" t="s">
        <v>29</v>
      </c>
      <c r="C715" t="s">
        <v>37</v>
      </c>
    </row>
    <row r="716">
      <c r="A716" s="23">
        <v>46419.0</v>
      </c>
      <c r="B716" t="s">
        <v>40</v>
      </c>
      <c r="C716" t="s">
        <v>43</v>
      </c>
    </row>
    <row r="717">
      <c r="A717" s="23">
        <v>46419.0</v>
      </c>
      <c r="B717" t="s">
        <v>42</v>
      </c>
      <c r="C717" t="s">
        <v>32</v>
      </c>
    </row>
    <row r="718">
      <c r="A718" s="23">
        <v>46419.0</v>
      </c>
      <c r="B718" t="s">
        <v>53</v>
      </c>
      <c r="C718" t="s">
        <v>41</v>
      </c>
    </row>
    <row r="719">
      <c r="A719" s="23">
        <v>46419.0</v>
      </c>
      <c r="B719" t="s">
        <v>31</v>
      </c>
      <c r="C719" t="s">
        <v>47</v>
      </c>
    </row>
    <row r="720">
      <c r="A720" s="23">
        <v>46420.0</v>
      </c>
      <c r="B720" t="s">
        <v>38</v>
      </c>
      <c r="C720" t="s">
        <v>27</v>
      </c>
    </row>
    <row r="721">
      <c r="A721" s="23">
        <v>46420.0</v>
      </c>
      <c r="B721" t="s">
        <v>44</v>
      </c>
      <c r="C721" t="s">
        <v>35</v>
      </c>
    </row>
    <row r="722">
      <c r="A722" s="23">
        <v>46420.0</v>
      </c>
      <c r="B722" t="s">
        <v>36</v>
      </c>
      <c r="C722" t="s">
        <v>40</v>
      </c>
    </row>
    <row r="723">
      <c r="A723" s="23">
        <v>46420.0</v>
      </c>
      <c r="B723" t="s">
        <v>48</v>
      </c>
      <c r="C723" t="s">
        <v>26</v>
      </c>
    </row>
    <row r="724">
      <c r="A724" s="23">
        <v>46420.0</v>
      </c>
      <c r="B724" t="s">
        <v>39</v>
      </c>
      <c r="C724" t="s">
        <v>45</v>
      </c>
    </row>
    <row r="725">
      <c r="A725" s="23">
        <v>46420.0</v>
      </c>
      <c r="B725" t="s">
        <v>30</v>
      </c>
      <c r="C725" t="s">
        <v>54</v>
      </c>
    </row>
    <row r="726">
      <c r="A726" s="23">
        <v>46420.0</v>
      </c>
      <c r="B726" t="s">
        <v>31</v>
      </c>
      <c r="C726" t="s">
        <v>52</v>
      </c>
    </row>
    <row r="727">
      <c r="A727" s="23">
        <v>46420.0</v>
      </c>
      <c r="B727" t="s">
        <v>5</v>
      </c>
      <c r="C727" t="s">
        <v>50</v>
      </c>
    </row>
    <row r="728">
      <c r="A728" s="23">
        <v>46421.0</v>
      </c>
      <c r="B728" t="s">
        <v>29</v>
      </c>
      <c r="C728" t="s">
        <v>27</v>
      </c>
    </row>
    <row r="729">
      <c r="A729" s="23">
        <v>46421.0</v>
      </c>
      <c r="B729" t="s">
        <v>34</v>
      </c>
      <c r="C729" t="s">
        <v>43</v>
      </c>
    </row>
    <row r="730">
      <c r="A730" s="23">
        <v>46421.0</v>
      </c>
      <c r="B730" t="s">
        <v>28</v>
      </c>
      <c r="C730" t="s">
        <v>42</v>
      </c>
    </row>
    <row r="731">
      <c r="A731" s="23">
        <v>46421.0</v>
      </c>
      <c r="B731" t="s">
        <v>53</v>
      </c>
      <c r="C731" t="s">
        <v>49</v>
      </c>
    </row>
    <row r="732">
      <c r="A732" s="23">
        <v>46421.0</v>
      </c>
      <c r="B732" t="s">
        <v>41</v>
      </c>
      <c r="C732" t="s">
        <v>46</v>
      </c>
    </row>
    <row r="733">
      <c r="A733" s="23">
        <v>46421.0</v>
      </c>
      <c r="B733" t="s">
        <v>47</v>
      </c>
      <c r="C733" t="s">
        <v>52</v>
      </c>
    </row>
    <row r="734">
      <c r="A734" s="23">
        <v>46422.0</v>
      </c>
      <c r="B734" t="s">
        <v>44</v>
      </c>
      <c r="C734" t="s">
        <v>33</v>
      </c>
    </row>
    <row r="735">
      <c r="A735" s="23">
        <v>46422.0</v>
      </c>
      <c r="B735" t="s">
        <v>48</v>
      </c>
      <c r="C735" t="s">
        <v>37</v>
      </c>
    </row>
    <row r="736">
      <c r="A736" s="23">
        <v>46422.0</v>
      </c>
      <c r="B736" t="s">
        <v>26</v>
      </c>
      <c r="C736" t="s">
        <v>36</v>
      </c>
    </row>
    <row r="737">
      <c r="A737" s="23">
        <v>46422.0</v>
      </c>
      <c r="B737" t="s">
        <v>32</v>
      </c>
      <c r="C737" t="s">
        <v>40</v>
      </c>
    </row>
    <row r="738">
      <c r="A738" s="23">
        <v>46422.0</v>
      </c>
      <c r="B738" t="s">
        <v>39</v>
      </c>
      <c r="C738" t="s">
        <v>29</v>
      </c>
    </row>
    <row r="739">
      <c r="A739" s="23">
        <v>46422.0</v>
      </c>
      <c r="B739" t="s">
        <v>30</v>
      </c>
      <c r="C739" t="s">
        <v>38</v>
      </c>
    </row>
    <row r="740">
      <c r="A740" s="23">
        <v>46422.0</v>
      </c>
      <c r="B740" t="s">
        <v>35</v>
      </c>
      <c r="C740" t="s">
        <v>31</v>
      </c>
    </row>
    <row r="741">
      <c r="A741" s="23">
        <v>46422.0</v>
      </c>
      <c r="B741" t="s">
        <v>45</v>
      </c>
      <c r="C741" t="s">
        <v>54</v>
      </c>
    </row>
    <row r="742">
      <c r="A742" s="23">
        <v>46422.0</v>
      </c>
      <c r="B742" t="s">
        <v>53</v>
      </c>
      <c r="C742" t="s">
        <v>50</v>
      </c>
    </row>
    <row r="743">
      <c r="A743" s="23">
        <v>46422.0</v>
      </c>
      <c r="B743" t="s">
        <v>5</v>
      </c>
      <c r="C743" t="s">
        <v>51</v>
      </c>
    </row>
    <row r="744">
      <c r="A744" s="23">
        <v>46423.0</v>
      </c>
      <c r="B744" t="s">
        <v>26</v>
      </c>
      <c r="C744" t="s">
        <v>34</v>
      </c>
    </row>
    <row r="745">
      <c r="A745" s="23">
        <v>46423.0</v>
      </c>
      <c r="B745" t="s">
        <v>47</v>
      </c>
      <c r="C745" t="s">
        <v>36</v>
      </c>
    </row>
    <row r="746">
      <c r="A746" s="23">
        <v>46423.0</v>
      </c>
      <c r="B746" t="s">
        <v>27</v>
      </c>
      <c r="C746" t="s">
        <v>28</v>
      </c>
    </row>
    <row r="747">
      <c r="A747" s="23">
        <v>46423.0</v>
      </c>
      <c r="B747" t="s">
        <v>52</v>
      </c>
      <c r="C747" t="s">
        <v>54</v>
      </c>
    </row>
    <row r="748">
      <c r="A748" s="23">
        <v>46423.0</v>
      </c>
      <c r="B748" t="s">
        <v>46</v>
      </c>
      <c r="C748" t="s">
        <v>49</v>
      </c>
    </row>
    <row r="749">
      <c r="A749" s="23">
        <v>46423.0</v>
      </c>
      <c r="B749" t="s">
        <v>43</v>
      </c>
      <c r="C749" t="s">
        <v>30</v>
      </c>
    </row>
    <row r="750">
      <c r="A750" s="23">
        <v>46424.0</v>
      </c>
      <c r="B750" t="s">
        <v>41</v>
      </c>
      <c r="C750" t="s">
        <v>45</v>
      </c>
    </row>
    <row r="751">
      <c r="A751" s="23">
        <v>46424.0</v>
      </c>
      <c r="B751" t="s">
        <v>40</v>
      </c>
      <c r="C751" t="s">
        <v>5</v>
      </c>
    </row>
    <row r="752">
      <c r="A752" s="23">
        <v>46424.0</v>
      </c>
      <c r="B752" t="s">
        <v>50</v>
      </c>
      <c r="C752" t="s">
        <v>42</v>
      </c>
    </row>
    <row r="753">
      <c r="A753" s="23">
        <v>46424.0</v>
      </c>
      <c r="B753" t="s">
        <v>33</v>
      </c>
      <c r="C753" t="s">
        <v>37</v>
      </c>
    </row>
    <row r="754">
      <c r="A754" s="23">
        <v>46424.0</v>
      </c>
      <c r="B754" t="s">
        <v>35</v>
      </c>
      <c r="C754" t="s">
        <v>53</v>
      </c>
    </row>
    <row r="755">
      <c r="A755" s="23">
        <v>46424.0</v>
      </c>
      <c r="B755" t="s">
        <v>32</v>
      </c>
      <c r="C755" t="s">
        <v>39</v>
      </c>
    </row>
    <row r="756">
      <c r="A756" s="23">
        <v>46424.0</v>
      </c>
      <c r="B756" t="s">
        <v>44</v>
      </c>
      <c r="C756" t="s">
        <v>38</v>
      </c>
    </row>
    <row r="757">
      <c r="A757" s="23">
        <v>46424.0</v>
      </c>
      <c r="B757" t="s">
        <v>48</v>
      </c>
      <c r="C757" t="s">
        <v>31</v>
      </c>
    </row>
    <row r="758">
      <c r="A758" s="23">
        <v>46424.0</v>
      </c>
      <c r="B758" t="s">
        <v>49</v>
      </c>
      <c r="C758" t="s">
        <v>51</v>
      </c>
    </row>
    <row r="759">
      <c r="A759" s="23">
        <v>46425.0</v>
      </c>
      <c r="B759" t="s">
        <v>54</v>
      </c>
      <c r="C759" t="s">
        <v>34</v>
      </c>
    </row>
    <row r="760">
      <c r="A760" s="23">
        <v>46425.0</v>
      </c>
      <c r="B760" t="s">
        <v>47</v>
      </c>
      <c r="C760" t="s">
        <v>27</v>
      </c>
    </row>
    <row r="761">
      <c r="A761" s="23">
        <v>46425.0</v>
      </c>
      <c r="B761" t="s">
        <v>41</v>
      </c>
      <c r="C761" t="s">
        <v>5</v>
      </c>
    </row>
    <row r="762">
      <c r="A762" s="23">
        <v>46425.0</v>
      </c>
      <c r="B762" t="s">
        <v>52</v>
      </c>
      <c r="C762" t="s">
        <v>45</v>
      </c>
    </row>
    <row r="763">
      <c r="A763" s="23">
        <v>46425.0</v>
      </c>
      <c r="B763" t="s">
        <v>36</v>
      </c>
      <c r="C763" t="s">
        <v>39</v>
      </c>
    </row>
    <row r="764">
      <c r="A764" s="23">
        <v>46425.0</v>
      </c>
      <c r="B764" t="s">
        <v>26</v>
      </c>
      <c r="C764" t="s">
        <v>28</v>
      </c>
    </row>
    <row r="765">
      <c r="A765" s="23">
        <v>46425.0</v>
      </c>
      <c r="B765" t="s">
        <v>29</v>
      </c>
      <c r="C765" t="s">
        <v>30</v>
      </c>
    </row>
    <row r="766">
      <c r="A766" s="23">
        <v>46425.0</v>
      </c>
      <c r="B766" t="s">
        <v>46</v>
      </c>
      <c r="C766" t="s">
        <v>51</v>
      </c>
    </row>
    <row r="767">
      <c r="A767" s="23">
        <v>46426.0</v>
      </c>
      <c r="B767" t="s">
        <v>40</v>
      </c>
      <c r="C767" t="s">
        <v>34</v>
      </c>
    </row>
    <row r="768">
      <c r="A768" s="23">
        <v>46426.0</v>
      </c>
      <c r="B768" t="s">
        <v>44</v>
      </c>
      <c r="C768" t="s">
        <v>43</v>
      </c>
    </row>
    <row r="769">
      <c r="A769" s="23">
        <v>46426.0</v>
      </c>
      <c r="B769" t="s">
        <v>37</v>
      </c>
      <c r="C769" t="s">
        <v>28</v>
      </c>
    </row>
    <row r="770">
      <c r="A770" s="23">
        <v>46426.0</v>
      </c>
      <c r="B770" t="s">
        <v>38</v>
      </c>
      <c r="C770" t="s">
        <v>33</v>
      </c>
    </row>
    <row r="771">
      <c r="A771" s="23">
        <v>46426.0</v>
      </c>
      <c r="B771" t="s">
        <v>50</v>
      </c>
      <c r="C771" t="s">
        <v>42</v>
      </c>
    </row>
    <row r="772">
      <c r="A772" s="23">
        <v>46426.0</v>
      </c>
      <c r="B772" t="s">
        <v>35</v>
      </c>
      <c r="C772" t="s">
        <v>32</v>
      </c>
    </row>
    <row r="773">
      <c r="A773" s="23">
        <v>46426.0</v>
      </c>
      <c r="B773" t="s">
        <v>48</v>
      </c>
      <c r="C773" t="s">
        <v>49</v>
      </c>
    </row>
    <row r="774">
      <c r="A774" s="23">
        <v>46427.0</v>
      </c>
      <c r="B774" t="s">
        <v>39</v>
      </c>
      <c r="C774" t="s">
        <v>53</v>
      </c>
    </row>
    <row r="775">
      <c r="A775" s="23">
        <v>46427.0</v>
      </c>
      <c r="B775" t="s">
        <v>54</v>
      </c>
      <c r="C775" t="s">
        <v>26</v>
      </c>
    </row>
    <row r="776">
      <c r="A776" s="23">
        <v>46427.0</v>
      </c>
      <c r="B776" t="s">
        <v>5</v>
      </c>
      <c r="C776" t="s">
        <v>37</v>
      </c>
    </row>
    <row r="777">
      <c r="A777" s="23">
        <v>46427.0</v>
      </c>
      <c r="B777" t="s">
        <v>36</v>
      </c>
      <c r="C777" t="s">
        <v>29</v>
      </c>
    </row>
    <row r="778">
      <c r="A778" s="23">
        <v>46427.0</v>
      </c>
      <c r="B778" t="s">
        <v>47</v>
      </c>
      <c r="C778" t="s">
        <v>38</v>
      </c>
    </row>
    <row r="779">
      <c r="A779" s="23">
        <v>46427.0</v>
      </c>
      <c r="B779" t="s">
        <v>31</v>
      </c>
      <c r="C779" t="s">
        <v>45</v>
      </c>
    </row>
    <row r="780">
      <c r="A780" s="23">
        <v>46427.0</v>
      </c>
      <c r="B780" t="s">
        <v>51</v>
      </c>
      <c r="C780" t="s">
        <v>32</v>
      </c>
    </row>
    <row r="781">
      <c r="A781" s="23">
        <v>46427.0</v>
      </c>
      <c r="B781" t="s">
        <v>50</v>
      </c>
      <c r="C781" t="s">
        <v>30</v>
      </c>
    </row>
    <row r="782">
      <c r="A782" s="23">
        <v>46427.0</v>
      </c>
      <c r="B782" t="s">
        <v>46</v>
      </c>
      <c r="C782" t="s">
        <v>41</v>
      </c>
    </row>
    <row r="783">
      <c r="A783" s="23">
        <v>46427.0</v>
      </c>
      <c r="B783" t="s">
        <v>27</v>
      </c>
      <c r="C783" t="s">
        <v>52</v>
      </c>
    </row>
    <row r="784">
      <c r="A784" s="23">
        <v>46428.0</v>
      </c>
      <c r="B784" t="s">
        <v>44</v>
      </c>
      <c r="C784" t="s">
        <v>34</v>
      </c>
    </row>
    <row r="785">
      <c r="A785" s="23">
        <v>46428.0</v>
      </c>
      <c r="B785" t="s">
        <v>53</v>
      </c>
      <c r="C785" t="s">
        <v>43</v>
      </c>
    </row>
    <row r="786">
      <c r="A786" s="23">
        <v>46428.0</v>
      </c>
      <c r="B786" t="s">
        <v>40</v>
      </c>
      <c r="C786" t="s">
        <v>33</v>
      </c>
    </row>
    <row r="787">
      <c r="A787" s="23">
        <v>46428.0</v>
      </c>
      <c r="B787" t="s">
        <v>47</v>
      </c>
      <c r="C787" t="s">
        <v>26</v>
      </c>
    </row>
    <row r="788">
      <c r="A788" s="23">
        <v>46428.0</v>
      </c>
      <c r="B788" t="s">
        <v>35</v>
      </c>
      <c r="C788" t="s">
        <v>42</v>
      </c>
    </row>
    <row r="789">
      <c r="A789" s="23">
        <v>46428.0</v>
      </c>
      <c r="B789" t="s">
        <v>27</v>
      </c>
      <c r="C789" t="s">
        <v>49</v>
      </c>
    </row>
    <row r="790">
      <c r="A790" s="23">
        <v>46428.0</v>
      </c>
      <c r="B790" t="s">
        <v>52</v>
      </c>
      <c r="C790" t="s">
        <v>48</v>
      </c>
    </row>
    <row r="791">
      <c r="A791" s="23">
        <v>46429.0</v>
      </c>
      <c r="B791" t="s">
        <v>32</v>
      </c>
      <c r="C791" t="s">
        <v>36</v>
      </c>
    </row>
    <row r="792">
      <c r="A792" s="23">
        <v>46429.0</v>
      </c>
      <c r="B792" t="s">
        <v>41</v>
      </c>
      <c r="C792" t="s">
        <v>43</v>
      </c>
    </row>
    <row r="793">
      <c r="A793" s="23">
        <v>46429.0</v>
      </c>
      <c r="B793" t="s">
        <v>29</v>
      </c>
      <c r="C793" t="s">
        <v>28</v>
      </c>
    </row>
    <row r="794">
      <c r="A794" s="23">
        <v>46429.0</v>
      </c>
      <c r="B794" t="s">
        <v>50</v>
      </c>
      <c r="C794" t="s">
        <v>45</v>
      </c>
    </row>
    <row r="795">
      <c r="A795" s="23">
        <v>46429.0</v>
      </c>
      <c r="B795" t="s">
        <v>51</v>
      </c>
      <c r="C795" t="s">
        <v>46</v>
      </c>
    </row>
    <row r="796">
      <c r="A796" s="23">
        <v>46429.0</v>
      </c>
      <c r="B796" t="s">
        <v>38</v>
      </c>
      <c r="C796" t="s">
        <v>54</v>
      </c>
    </row>
    <row r="797">
      <c r="A797" s="23">
        <v>46429.0</v>
      </c>
      <c r="B797" t="s">
        <v>31</v>
      </c>
      <c r="C797" t="s">
        <v>30</v>
      </c>
    </row>
    <row r="798">
      <c r="A798" s="23">
        <v>46430.0</v>
      </c>
      <c r="B798" t="s">
        <v>49</v>
      </c>
      <c r="C798" t="s">
        <v>34</v>
      </c>
    </row>
    <row r="799">
      <c r="A799" s="23">
        <v>46430.0</v>
      </c>
      <c r="B799" t="s">
        <v>40</v>
      </c>
      <c r="C799" t="s">
        <v>35</v>
      </c>
    </row>
    <row r="800">
      <c r="A800" s="23">
        <v>46430.0</v>
      </c>
      <c r="B800" t="s">
        <v>37</v>
      </c>
      <c r="C800" t="s">
        <v>33</v>
      </c>
    </row>
    <row r="801">
      <c r="A801" s="23">
        <v>46430.0</v>
      </c>
      <c r="B801" t="s">
        <v>53</v>
      </c>
      <c r="C801" t="s">
        <v>39</v>
      </c>
    </row>
    <row r="802">
      <c r="A802" s="23">
        <v>46430.0</v>
      </c>
      <c r="B802" t="s">
        <v>5</v>
      </c>
      <c r="C802" t="s">
        <v>26</v>
      </c>
    </row>
    <row r="803">
      <c r="A803" s="23">
        <v>46430.0</v>
      </c>
      <c r="B803" t="s">
        <v>52</v>
      </c>
      <c r="C803" t="s">
        <v>42</v>
      </c>
    </row>
    <row r="804">
      <c r="A804" s="23">
        <v>46430.0</v>
      </c>
      <c r="B804" t="s">
        <v>46</v>
      </c>
      <c r="C804" t="s">
        <v>44</v>
      </c>
    </row>
    <row r="805">
      <c r="A805" s="23">
        <v>46430.0</v>
      </c>
      <c r="B805" t="s">
        <v>54</v>
      </c>
      <c r="C805" t="s">
        <v>48</v>
      </c>
    </row>
    <row r="806">
      <c r="A806" s="23">
        <v>46431.0</v>
      </c>
      <c r="B806" t="s">
        <v>51</v>
      </c>
      <c r="C806" t="s">
        <v>43</v>
      </c>
    </row>
    <row r="807">
      <c r="A807" s="23">
        <v>46431.0</v>
      </c>
      <c r="B807" t="s">
        <v>45</v>
      </c>
      <c r="C807" t="s">
        <v>36</v>
      </c>
    </row>
    <row r="808">
      <c r="A808" s="23">
        <v>46431.0</v>
      </c>
      <c r="B808" t="s">
        <v>27</v>
      </c>
      <c r="C808" t="s">
        <v>50</v>
      </c>
    </row>
    <row r="809">
      <c r="A809" s="23">
        <v>46431.0</v>
      </c>
      <c r="B809" t="s">
        <v>28</v>
      </c>
      <c r="C809" t="s">
        <v>30</v>
      </c>
    </row>
    <row r="810">
      <c r="A810" s="23">
        <v>46431.0</v>
      </c>
      <c r="B810" t="s">
        <v>31</v>
      </c>
      <c r="C810" t="s">
        <v>35</v>
      </c>
    </row>
    <row r="811">
      <c r="A811" s="23">
        <v>46431.0</v>
      </c>
      <c r="B811" t="s">
        <v>32</v>
      </c>
      <c r="C811" t="s">
        <v>33</v>
      </c>
    </row>
    <row r="812">
      <c r="A812" s="23">
        <v>46431.0</v>
      </c>
      <c r="B812" t="s">
        <v>47</v>
      </c>
      <c r="C812" t="s">
        <v>29</v>
      </c>
    </row>
    <row r="813">
      <c r="A813" s="23">
        <v>46432.0</v>
      </c>
      <c r="B813" t="s">
        <v>51</v>
      </c>
      <c r="C813" t="s">
        <v>34</v>
      </c>
    </row>
    <row r="814">
      <c r="A814" s="23">
        <v>46432.0</v>
      </c>
      <c r="B814" t="s">
        <v>39</v>
      </c>
      <c r="C814" t="s">
        <v>26</v>
      </c>
    </row>
    <row r="815">
      <c r="A815" s="23">
        <v>46432.0</v>
      </c>
      <c r="B815" t="s">
        <v>49</v>
      </c>
      <c r="C815" t="s">
        <v>53</v>
      </c>
    </row>
    <row r="816">
      <c r="A816" s="23">
        <v>46432.0</v>
      </c>
      <c r="B816" t="s">
        <v>37</v>
      </c>
      <c r="C816" t="s">
        <v>40</v>
      </c>
    </row>
    <row r="817">
      <c r="A817" s="23">
        <v>46432.0</v>
      </c>
      <c r="B817" t="s">
        <v>54</v>
      </c>
      <c r="C817" t="s">
        <v>46</v>
      </c>
    </row>
    <row r="818">
      <c r="A818" s="23">
        <v>46432.0</v>
      </c>
      <c r="B818" t="s">
        <v>52</v>
      </c>
      <c r="C818" t="s">
        <v>44</v>
      </c>
    </row>
    <row r="819">
      <c r="A819" s="23">
        <v>46432.0</v>
      </c>
      <c r="B819" t="s">
        <v>38</v>
      </c>
      <c r="C819" t="s">
        <v>50</v>
      </c>
    </row>
    <row r="820">
      <c r="A820" s="23">
        <v>46433.0</v>
      </c>
      <c r="B820" t="s">
        <v>5</v>
      </c>
      <c r="C820" t="s">
        <v>36</v>
      </c>
    </row>
    <row r="821">
      <c r="A821" s="23">
        <v>46433.0</v>
      </c>
      <c r="B821" t="s">
        <v>28</v>
      </c>
      <c r="C821" t="s">
        <v>45</v>
      </c>
    </row>
    <row r="822">
      <c r="A822" s="23">
        <v>46433.0</v>
      </c>
      <c r="B822" t="s">
        <v>31</v>
      </c>
      <c r="C822" t="s">
        <v>40</v>
      </c>
    </row>
    <row r="823">
      <c r="A823" s="23">
        <v>46433.0</v>
      </c>
      <c r="B823" t="s">
        <v>49</v>
      </c>
      <c r="C823" t="s">
        <v>33</v>
      </c>
    </row>
    <row r="824">
      <c r="A824" s="23">
        <v>46433.0</v>
      </c>
      <c r="B824" t="s">
        <v>43</v>
      </c>
      <c r="C824" t="s">
        <v>47</v>
      </c>
    </row>
    <row r="825">
      <c r="A825" s="23">
        <v>46433.0</v>
      </c>
      <c r="B825" t="s">
        <v>29</v>
      </c>
      <c r="C825" t="s">
        <v>42</v>
      </c>
    </row>
    <row r="826">
      <c r="A826" s="23">
        <v>46433.0</v>
      </c>
      <c r="B826" t="s">
        <v>35</v>
      </c>
      <c r="C826" t="s">
        <v>30</v>
      </c>
    </row>
    <row r="827">
      <c r="A827" s="23">
        <v>46433.0</v>
      </c>
      <c r="B827" t="s">
        <v>27</v>
      </c>
      <c r="C827" t="s">
        <v>41</v>
      </c>
    </row>
    <row r="828">
      <c r="A828" s="23">
        <v>46434.0</v>
      </c>
      <c r="B828" t="s">
        <v>32</v>
      </c>
      <c r="C828" t="s">
        <v>53</v>
      </c>
    </row>
    <row r="829">
      <c r="A829" s="23">
        <v>46434.0</v>
      </c>
      <c r="B829" t="s">
        <v>39</v>
      </c>
      <c r="C829" t="s">
        <v>34</v>
      </c>
    </row>
    <row r="830">
      <c r="A830" s="23">
        <v>46434.0</v>
      </c>
      <c r="B830" t="s">
        <v>38</v>
      </c>
      <c r="C830" t="s">
        <v>48</v>
      </c>
    </row>
    <row r="831">
      <c r="A831" s="23">
        <v>46434.0</v>
      </c>
      <c r="B831" t="s">
        <v>44</v>
      </c>
      <c r="C831" t="s">
        <v>50</v>
      </c>
    </row>
    <row r="832">
      <c r="A832" s="23">
        <v>46434.0</v>
      </c>
      <c r="B832" t="s">
        <v>46</v>
      </c>
      <c r="C832" t="s">
        <v>52</v>
      </c>
    </row>
    <row r="833">
      <c r="A833" s="23">
        <v>46435.0</v>
      </c>
      <c r="B833" t="s">
        <v>39</v>
      </c>
      <c r="C833" t="s">
        <v>36</v>
      </c>
    </row>
    <row r="834">
      <c r="A834" s="23">
        <v>46435.0</v>
      </c>
      <c r="B834" t="s">
        <v>32</v>
      </c>
      <c r="C834" t="s">
        <v>53</v>
      </c>
    </row>
    <row r="835">
      <c r="A835" s="23">
        <v>46435.0</v>
      </c>
      <c r="B835" t="s">
        <v>29</v>
      </c>
      <c r="C835" t="s">
        <v>27</v>
      </c>
    </row>
    <row r="836">
      <c r="A836" s="23">
        <v>46435.0</v>
      </c>
      <c r="B836" t="s">
        <v>45</v>
      </c>
      <c r="C836" t="s">
        <v>35</v>
      </c>
    </row>
    <row r="837">
      <c r="A837" s="23">
        <v>46435.0</v>
      </c>
      <c r="B837" t="s">
        <v>49</v>
      </c>
      <c r="C837" t="s">
        <v>28</v>
      </c>
    </row>
    <row r="838">
      <c r="A838" s="23">
        <v>46435.0</v>
      </c>
      <c r="B838" t="s">
        <v>40</v>
      </c>
      <c r="C838" t="s">
        <v>33</v>
      </c>
    </row>
    <row r="839">
      <c r="A839" s="23">
        <v>46435.0</v>
      </c>
      <c r="B839" t="s">
        <v>34</v>
      </c>
      <c r="C839" t="s">
        <v>37</v>
      </c>
    </row>
    <row r="840">
      <c r="A840" s="23">
        <v>46435.0</v>
      </c>
      <c r="B840" t="s">
        <v>31</v>
      </c>
      <c r="C840" t="s">
        <v>42</v>
      </c>
    </row>
    <row r="841">
      <c r="A841" s="23">
        <v>46435.0</v>
      </c>
      <c r="B841" t="s">
        <v>41</v>
      </c>
      <c r="C841" t="s">
        <v>54</v>
      </c>
    </row>
    <row r="842">
      <c r="A842" s="23">
        <v>46435.0</v>
      </c>
      <c r="B842" t="s">
        <v>26</v>
      </c>
      <c r="C842" t="s">
        <v>30</v>
      </c>
    </row>
    <row r="843">
      <c r="A843" s="23">
        <v>46435.0</v>
      </c>
      <c r="B843" t="s">
        <v>44</v>
      </c>
      <c r="C843" t="s">
        <v>47</v>
      </c>
    </row>
    <row r="844">
      <c r="A844" s="23">
        <v>46435.0</v>
      </c>
      <c r="B844" t="s">
        <v>43</v>
      </c>
      <c r="C844" t="s">
        <v>51</v>
      </c>
    </row>
    <row r="845">
      <c r="A845" s="23">
        <v>46435.0</v>
      </c>
      <c r="B845" t="s">
        <v>38</v>
      </c>
      <c r="C845" t="s">
        <v>52</v>
      </c>
    </row>
    <row r="846">
      <c r="A846" s="23">
        <v>46436.0</v>
      </c>
      <c r="B846" t="s">
        <v>31</v>
      </c>
      <c r="C846" t="s">
        <v>5</v>
      </c>
    </row>
    <row r="847">
      <c r="A847" s="23">
        <v>46436.0</v>
      </c>
      <c r="B847" t="s">
        <v>26</v>
      </c>
      <c r="C847" t="s">
        <v>42</v>
      </c>
    </row>
    <row r="848">
      <c r="A848" s="23">
        <v>46436.0</v>
      </c>
      <c r="B848" t="s">
        <v>46</v>
      </c>
      <c r="C848" t="s">
        <v>48</v>
      </c>
    </row>
    <row r="849">
      <c r="A849" s="23">
        <v>46436.0</v>
      </c>
      <c r="B849" t="s">
        <v>43</v>
      </c>
      <c r="C849" t="s">
        <v>50</v>
      </c>
    </row>
    <row r="850">
      <c r="A850" s="23">
        <v>46443.0</v>
      </c>
      <c r="B850" t="s">
        <v>51</v>
      </c>
      <c r="C850" t="s">
        <v>53</v>
      </c>
    </row>
    <row r="851">
      <c r="A851" s="23">
        <v>46443.0</v>
      </c>
      <c r="B851" t="s">
        <v>40</v>
      </c>
      <c r="C851" t="s">
        <v>27</v>
      </c>
    </row>
    <row r="852">
      <c r="A852" s="23">
        <v>46443.0</v>
      </c>
      <c r="B852" t="s">
        <v>36</v>
      </c>
      <c r="C852" t="s">
        <v>35</v>
      </c>
    </row>
    <row r="853">
      <c r="A853" s="23">
        <v>46443.0</v>
      </c>
      <c r="B853" t="s">
        <v>28</v>
      </c>
      <c r="C853" t="s">
        <v>37</v>
      </c>
    </row>
    <row r="854">
      <c r="A854" s="23">
        <v>46443.0</v>
      </c>
      <c r="B854" t="s">
        <v>30</v>
      </c>
      <c r="C854" t="s">
        <v>29</v>
      </c>
    </row>
    <row r="855">
      <c r="A855" s="23">
        <v>46443.0</v>
      </c>
      <c r="B855" t="s">
        <v>34</v>
      </c>
      <c r="C855" t="s">
        <v>38</v>
      </c>
    </row>
    <row r="856">
      <c r="A856" s="23">
        <v>46443.0</v>
      </c>
      <c r="B856" t="s">
        <v>33</v>
      </c>
      <c r="C856" t="s">
        <v>32</v>
      </c>
    </row>
    <row r="857">
      <c r="A857" s="23">
        <v>46443.0</v>
      </c>
      <c r="B857" t="s">
        <v>49</v>
      </c>
      <c r="C857" t="s">
        <v>44</v>
      </c>
    </row>
    <row r="858">
      <c r="A858" s="23">
        <v>46443.0</v>
      </c>
      <c r="B858" t="s">
        <v>45</v>
      </c>
      <c r="C858" t="s">
        <v>47</v>
      </c>
    </row>
    <row r="859">
      <c r="A859" s="23">
        <v>46443.0</v>
      </c>
      <c r="B859" t="s">
        <v>41</v>
      </c>
      <c r="C859" t="s">
        <v>52</v>
      </c>
    </row>
    <row r="860">
      <c r="A860" s="23">
        <v>46444.0</v>
      </c>
      <c r="B860" t="s">
        <v>53</v>
      </c>
      <c r="C860" t="s">
        <v>26</v>
      </c>
    </row>
    <row r="861">
      <c r="A861" s="23">
        <v>46444.0</v>
      </c>
      <c r="B861" t="s">
        <v>34</v>
      </c>
      <c r="C861" t="s">
        <v>39</v>
      </c>
    </row>
    <row r="862">
      <c r="A862" s="23">
        <v>46444.0</v>
      </c>
      <c r="B862" t="s">
        <v>43</v>
      </c>
      <c r="C862" t="s">
        <v>5</v>
      </c>
    </row>
    <row r="863">
      <c r="A863" s="23">
        <v>46444.0</v>
      </c>
      <c r="B863" t="s">
        <v>42</v>
      </c>
      <c r="C863" t="s">
        <v>31</v>
      </c>
    </row>
    <row r="864">
      <c r="A864" s="23">
        <v>46444.0</v>
      </c>
      <c r="B864" t="s">
        <v>36</v>
      </c>
      <c r="C864" t="s">
        <v>46</v>
      </c>
    </row>
    <row r="865">
      <c r="A865" s="23">
        <v>46444.0</v>
      </c>
      <c r="B865" t="s">
        <v>48</v>
      </c>
      <c r="C865" t="s">
        <v>54</v>
      </c>
    </row>
    <row r="866">
      <c r="A866" s="23">
        <v>46444.0</v>
      </c>
      <c r="B866" t="s">
        <v>45</v>
      </c>
      <c r="C866" t="s">
        <v>50</v>
      </c>
    </row>
    <row r="867">
      <c r="A867" s="23">
        <v>46445.0</v>
      </c>
      <c r="B867" t="s">
        <v>33</v>
      </c>
      <c r="C867" t="s">
        <v>41</v>
      </c>
    </row>
    <row r="868">
      <c r="A868" s="23">
        <v>46445.0</v>
      </c>
      <c r="B868" t="s">
        <v>30</v>
      </c>
      <c r="C868" t="s">
        <v>27</v>
      </c>
    </row>
    <row r="869">
      <c r="A869" s="23">
        <v>46445.0</v>
      </c>
      <c r="B869" t="s">
        <v>37</v>
      </c>
      <c r="C869" t="s">
        <v>38</v>
      </c>
    </row>
    <row r="870">
      <c r="A870" s="23">
        <v>46445.0</v>
      </c>
      <c r="B870" t="s">
        <v>51</v>
      </c>
      <c r="C870" t="s">
        <v>42</v>
      </c>
    </row>
    <row r="871">
      <c r="A871" s="23">
        <v>46445.0</v>
      </c>
      <c r="B871" t="s">
        <v>28</v>
      </c>
      <c r="C871" t="s">
        <v>29</v>
      </c>
    </row>
    <row r="872">
      <c r="A872" s="23">
        <v>46445.0</v>
      </c>
      <c r="B872" t="s">
        <v>44</v>
      </c>
      <c r="C872" t="s">
        <v>49</v>
      </c>
    </row>
    <row r="873">
      <c r="A873" s="23">
        <v>46446.0</v>
      </c>
      <c r="B873" t="s">
        <v>54</v>
      </c>
      <c r="C873" t="s">
        <v>31</v>
      </c>
    </row>
    <row r="874">
      <c r="A874" s="23">
        <v>46446.0</v>
      </c>
      <c r="B874" t="s">
        <v>48</v>
      </c>
      <c r="C874" t="s">
        <v>45</v>
      </c>
    </row>
    <row r="875">
      <c r="A875" s="23">
        <v>46446.0</v>
      </c>
      <c r="B875" t="s">
        <v>39</v>
      </c>
      <c r="C875" t="s">
        <v>43</v>
      </c>
    </row>
    <row r="876">
      <c r="A876" s="23">
        <v>46446.0</v>
      </c>
      <c r="B876" t="s">
        <v>34</v>
      </c>
      <c r="C876" t="s">
        <v>35</v>
      </c>
    </row>
    <row r="877">
      <c r="A877" s="23">
        <v>46446.0</v>
      </c>
      <c r="B877" t="s">
        <v>51</v>
      </c>
      <c r="C877" t="s">
        <v>36</v>
      </c>
    </row>
    <row r="878">
      <c r="A878" s="23">
        <v>46446.0</v>
      </c>
      <c r="B878" t="s">
        <v>26</v>
      </c>
      <c r="C878" t="s">
        <v>5</v>
      </c>
    </row>
    <row r="879">
      <c r="A879" s="23">
        <v>46446.0</v>
      </c>
      <c r="B879" t="s">
        <v>32</v>
      </c>
      <c r="C879" t="s">
        <v>29</v>
      </c>
    </row>
    <row r="880">
      <c r="A880" s="23">
        <v>46446.0</v>
      </c>
      <c r="B880" t="s">
        <v>40</v>
      </c>
      <c r="C880" t="s">
        <v>46</v>
      </c>
    </row>
    <row r="881">
      <c r="A881" s="23">
        <v>46446.0</v>
      </c>
      <c r="B881" t="s">
        <v>50</v>
      </c>
      <c r="C881" t="s">
        <v>52</v>
      </c>
    </row>
    <row r="882">
      <c r="A882" s="23">
        <v>46447.0</v>
      </c>
      <c r="B882" t="s">
        <v>28</v>
      </c>
      <c r="C882" t="s">
        <v>53</v>
      </c>
    </row>
    <row r="883">
      <c r="A883" s="23">
        <v>46447.0</v>
      </c>
      <c r="B883" t="s">
        <v>38</v>
      </c>
      <c r="C883" t="s">
        <v>27</v>
      </c>
    </row>
    <row r="884">
      <c r="A884" s="23">
        <v>46447.0</v>
      </c>
      <c r="B884" t="s">
        <v>41</v>
      </c>
      <c r="C884" t="s">
        <v>44</v>
      </c>
    </row>
    <row r="885">
      <c r="A885" s="23">
        <v>46447.0</v>
      </c>
      <c r="B885" t="s">
        <v>47</v>
      </c>
      <c r="C885" t="s">
        <v>46</v>
      </c>
    </row>
    <row r="886">
      <c r="A886" s="23">
        <v>46447.0</v>
      </c>
      <c r="B886" t="s">
        <v>37</v>
      </c>
      <c r="C886" t="s">
        <v>54</v>
      </c>
    </row>
    <row r="887">
      <c r="A887" s="23">
        <v>46447.0</v>
      </c>
      <c r="B887" t="s">
        <v>33</v>
      </c>
      <c r="C887" t="s">
        <v>49</v>
      </c>
    </row>
    <row r="888">
      <c r="A888" s="23">
        <v>46448.0</v>
      </c>
      <c r="B888" t="s">
        <v>26</v>
      </c>
      <c r="C888" t="s">
        <v>43</v>
      </c>
    </row>
    <row r="889">
      <c r="A889" s="23">
        <v>46448.0</v>
      </c>
      <c r="B889" t="s">
        <v>48</v>
      </c>
      <c r="C889" t="s">
        <v>35</v>
      </c>
    </row>
    <row r="890">
      <c r="A890" s="23">
        <v>46448.0</v>
      </c>
      <c r="B890" t="s">
        <v>39</v>
      </c>
      <c r="C890" t="s">
        <v>40</v>
      </c>
    </row>
    <row r="891">
      <c r="A891" s="23">
        <v>46448.0</v>
      </c>
      <c r="B891" t="s">
        <v>42</v>
      </c>
      <c r="C891" t="s">
        <v>29</v>
      </c>
    </row>
    <row r="892">
      <c r="A892" s="23">
        <v>46448.0</v>
      </c>
      <c r="B892" t="s">
        <v>47</v>
      </c>
      <c r="C892" t="s">
        <v>45</v>
      </c>
    </row>
    <row r="893">
      <c r="A893" s="23">
        <v>46448.0</v>
      </c>
      <c r="B893" t="s">
        <v>27</v>
      </c>
      <c r="C893" t="s">
        <v>32</v>
      </c>
    </row>
    <row r="894">
      <c r="A894" s="23">
        <v>46448.0</v>
      </c>
      <c r="B894" t="s">
        <v>5</v>
      </c>
      <c r="C894" t="s">
        <v>30</v>
      </c>
    </row>
    <row r="895">
      <c r="A895" s="23">
        <v>46448.0</v>
      </c>
      <c r="B895" t="s">
        <v>33</v>
      </c>
      <c r="C895" t="s">
        <v>51</v>
      </c>
    </row>
    <row r="896">
      <c r="A896" s="23">
        <v>46448.0</v>
      </c>
      <c r="B896" t="s">
        <v>52</v>
      </c>
      <c r="C896" t="s">
        <v>50</v>
      </c>
    </row>
    <row r="897">
      <c r="A897" s="23">
        <v>46449.0</v>
      </c>
      <c r="B897" t="s">
        <v>38</v>
      </c>
      <c r="C897" t="s">
        <v>34</v>
      </c>
    </row>
    <row r="898">
      <c r="A898" s="23">
        <v>46449.0</v>
      </c>
      <c r="B898" t="s">
        <v>36</v>
      </c>
      <c r="C898" t="s">
        <v>28</v>
      </c>
    </row>
    <row r="899">
      <c r="A899" s="23">
        <v>46449.0</v>
      </c>
      <c r="B899" t="s">
        <v>39</v>
      </c>
      <c r="C899" t="s">
        <v>40</v>
      </c>
    </row>
    <row r="900">
      <c r="A900" s="23">
        <v>46449.0</v>
      </c>
      <c r="B900" t="s">
        <v>41</v>
      </c>
      <c r="C900" t="s">
        <v>32</v>
      </c>
    </row>
    <row r="901">
      <c r="A901" s="23">
        <v>46449.0</v>
      </c>
      <c r="B901" t="s">
        <v>44</v>
      </c>
      <c r="C901" t="s">
        <v>46</v>
      </c>
    </row>
    <row r="902">
      <c r="A902" s="23">
        <v>46449.0</v>
      </c>
      <c r="B902" t="s">
        <v>37</v>
      </c>
      <c r="C902" t="s">
        <v>49</v>
      </c>
    </row>
    <row r="903">
      <c r="A903" s="23">
        <v>46449.0</v>
      </c>
      <c r="B903" t="s">
        <v>31</v>
      </c>
      <c r="C903" t="s">
        <v>54</v>
      </c>
    </row>
    <row r="904">
      <c r="A904" s="23">
        <v>46450.0</v>
      </c>
      <c r="B904" t="s">
        <v>50</v>
      </c>
      <c r="C904" t="s">
        <v>53</v>
      </c>
    </row>
    <row r="905">
      <c r="A905" s="23">
        <v>46450.0</v>
      </c>
      <c r="B905" t="s">
        <v>43</v>
      </c>
      <c r="C905" t="s">
        <v>35</v>
      </c>
    </row>
    <row r="906">
      <c r="A906" s="23">
        <v>46450.0</v>
      </c>
      <c r="B906" t="s">
        <v>48</v>
      </c>
      <c r="C906" t="s">
        <v>28</v>
      </c>
    </row>
    <row r="907">
      <c r="A907" s="23">
        <v>46450.0</v>
      </c>
      <c r="B907" t="s">
        <v>42</v>
      </c>
      <c r="C907" t="s">
        <v>34</v>
      </c>
    </row>
    <row r="908">
      <c r="A908" s="23">
        <v>46450.0</v>
      </c>
      <c r="B908" t="s">
        <v>29</v>
      </c>
      <c r="C908" t="s">
        <v>45</v>
      </c>
    </row>
    <row r="909">
      <c r="A909" s="23">
        <v>46450.0</v>
      </c>
      <c r="B909" t="s">
        <v>33</v>
      </c>
      <c r="C909" t="s">
        <v>47</v>
      </c>
    </row>
    <row r="910">
      <c r="A910" s="23">
        <v>46450.0</v>
      </c>
      <c r="B910" t="s">
        <v>30</v>
      </c>
      <c r="C910" t="s">
        <v>51</v>
      </c>
    </row>
    <row r="911">
      <c r="A911" s="23">
        <v>46450.0</v>
      </c>
      <c r="B911" t="s">
        <v>37</v>
      </c>
      <c r="C911" t="s">
        <v>52</v>
      </c>
    </row>
    <row r="912">
      <c r="A912" s="23">
        <v>46451.0</v>
      </c>
      <c r="B912" t="s">
        <v>26</v>
      </c>
      <c r="C912" t="s">
        <v>27</v>
      </c>
    </row>
    <row r="913">
      <c r="A913" s="23">
        <v>46451.0</v>
      </c>
      <c r="B913" t="s">
        <v>41</v>
      </c>
      <c r="C913" t="s">
        <v>35</v>
      </c>
    </row>
    <row r="914">
      <c r="A914" s="23">
        <v>46451.0</v>
      </c>
      <c r="B914" t="s">
        <v>50</v>
      </c>
      <c r="C914" t="s">
        <v>39</v>
      </c>
    </row>
    <row r="915">
      <c r="A915" s="23">
        <v>46451.0</v>
      </c>
      <c r="B915" t="s">
        <v>32</v>
      </c>
      <c r="C915" t="s">
        <v>44</v>
      </c>
    </row>
    <row r="916">
      <c r="A916" s="23">
        <v>46451.0</v>
      </c>
      <c r="B916" t="s">
        <v>5</v>
      </c>
      <c r="C916" t="s">
        <v>49</v>
      </c>
    </row>
    <row r="917">
      <c r="A917" s="23">
        <v>46451.0</v>
      </c>
      <c r="B917" t="s">
        <v>31</v>
      </c>
      <c r="C917" t="s">
        <v>46</v>
      </c>
    </row>
    <row r="918">
      <c r="A918" s="23">
        <v>46452.0</v>
      </c>
      <c r="B918" t="s">
        <v>43</v>
      </c>
      <c r="C918" t="s">
        <v>40</v>
      </c>
    </row>
    <row r="919">
      <c r="A919" s="23">
        <v>46452.0</v>
      </c>
      <c r="B919" t="s">
        <v>36</v>
      </c>
      <c r="C919" t="s">
        <v>38</v>
      </c>
    </row>
    <row r="920">
      <c r="A920" s="23">
        <v>46452.0</v>
      </c>
      <c r="B920" t="s">
        <v>34</v>
      </c>
      <c r="C920" t="s">
        <v>53</v>
      </c>
    </row>
    <row r="921">
      <c r="A921" s="23">
        <v>46452.0</v>
      </c>
      <c r="B921" t="s">
        <v>41</v>
      </c>
      <c r="C921" t="s">
        <v>33</v>
      </c>
    </row>
    <row r="922">
      <c r="A922" s="23">
        <v>46452.0</v>
      </c>
      <c r="B922" t="s">
        <v>44</v>
      </c>
      <c r="C922" t="s">
        <v>42</v>
      </c>
    </row>
    <row r="923">
      <c r="A923" s="23">
        <v>46452.0</v>
      </c>
      <c r="B923" t="s">
        <v>30</v>
      </c>
      <c r="C923" t="s">
        <v>48</v>
      </c>
    </row>
    <row r="924">
      <c r="A924" s="23">
        <v>46452.0</v>
      </c>
      <c r="B924" t="s">
        <v>52</v>
      </c>
      <c r="C924" t="s">
        <v>51</v>
      </c>
    </row>
    <row r="925">
      <c r="A925" s="23">
        <v>46453.0</v>
      </c>
      <c r="B925" t="s">
        <v>28</v>
      </c>
      <c r="C925" t="s">
        <v>26</v>
      </c>
    </row>
    <row r="926">
      <c r="A926" s="23">
        <v>46453.0</v>
      </c>
      <c r="B926" t="s">
        <v>5</v>
      </c>
      <c r="C926" t="s">
        <v>54</v>
      </c>
    </row>
    <row r="927">
      <c r="A927" s="23">
        <v>46453.0</v>
      </c>
      <c r="B927" t="s">
        <v>50</v>
      </c>
      <c r="C927" t="s">
        <v>38</v>
      </c>
    </row>
    <row r="928">
      <c r="A928" s="23">
        <v>46453.0</v>
      </c>
      <c r="B928" t="s">
        <v>29</v>
      </c>
      <c r="C928" t="s">
        <v>31</v>
      </c>
    </row>
    <row r="929">
      <c r="A929" s="23">
        <v>46453.0</v>
      </c>
      <c r="B929" t="s">
        <v>46</v>
      </c>
      <c r="C929" t="s">
        <v>47</v>
      </c>
    </row>
    <row r="930">
      <c r="A930" s="23">
        <v>46453.0</v>
      </c>
      <c r="B930" t="s">
        <v>37</v>
      </c>
      <c r="C930" t="s">
        <v>48</v>
      </c>
    </row>
    <row r="931">
      <c r="A931" s="23">
        <v>46454.0</v>
      </c>
      <c r="B931" t="s">
        <v>36</v>
      </c>
      <c r="C931" t="s">
        <v>43</v>
      </c>
    </row>
    <row r="932">
      <c r="A932" s="23">
        <v>46454.0</v>
      </c>
      <c r="B932" t="s">
        <v>41</v>
      </c>
      <c r="C932" t="s">
        <v>28</v>
      </c>
    </row>
    <row r="933">
      <c r="A933" s="23">
        <v>46454.0</v>
      </c>
      <c r="B933" t="s">
        <v>49</v>
      </c>
      <c r="C933" t="s">
        <v>40</v>
      </c>
    </row>
    <row r="934">
      <c r="A934" s="23">
        <v>46454.0</v>
      </c>
      <c r="B934" t="s">
        <v>34</v>
      </c>
      <c r="C934" t="s">
        <v>42</v>
      </c>
    </row>
    <row r="935">
      <c r="A935" s="23">
        <v>46454.0</v>
      </c>
      <c r="B935" t="s">
        <v>44</v>
      </c>
      <c r="C935" t="s">
        <v>5</v>
      </c>
    </row>
    <row r="936">
      <c r="A936" s="23">
        <v>46454.0</v>
      </c>
      <c r="B936" t="s">
        <v>45</v>
      </c>
      <c r="C936" t="s">
        <v>30</v>
      </c>
    </row>
    <row r="937">
      <c r="A937" s="23">
        <v>46454.0</v>
      </c>
      <c r="B937" t="s">
        <v>54</v>
      </c>
      <c r="C937" t="s">
        <v>51</v>
      </c>
    </row>
    <row r="938">
      <c r="A938" s="23">
        <v>46454.0</v>
      </c>
      <c r="B938" t="s">
        <v>46</v>
      </c>
      <c r="C938" t="s">
        <v>52</v>
      </c>
    </row>
    <row r="939">
      <c r="A939" s="23">
        <v>46455.0</v>
      </c>
      <c r="B939" t="s">
        <v>49</v>
      </c>
      <c r="C939" t="s">
        <v>35</v>
      </c>
    </row>
    <row r="940">
      <c r="A940" s="23">
        <v>46455.0</v>
      </c>
      <c r="B940" t="s">
        <v>32</v>
      </c>
      <c r="C940" t="s">
        <v>37</v>
      </c>
    </row>
    <row r="941">
      <c r="A941" s="23">
        <v>46455.0</v>
      </c>
      <c r="B941" t="s">
        <v>26</v>
      </c>
      <c r="C941" t="s">
        <v>38</v>
      </c>
    </row>
    <row r="942">
      <c r="A942" s="23">
        <v>46455.0</v>
      </c>
      <c r="B942" t="s">
        <v>42</v>
      </c>
      <c r="C942" t="s">
        <v>45</v>
      </c>
    </row>
    <row r="943">
      <c r="A943" s="23">
        <v>46455.0</v>
      </c>
      <c r="B943" t="s">
        <v>53</v>
      </c>
      <c r="C943" t="s">
        <v>27</v>
      </c>
    </row>
    <row r="944">
      <c r="A944" s="23">
        <v>46455.0</v>
      </c>
      <c r="B944" t="s">
        <v>33</v>
      </c>
      <c r="C944" t="s">
        <v>31</v>
      </c>
    </row>
    <row r="945">
      <c r="A945" s="23">
        <v>46455.0</v>
      </c>
      <c r="B945" t="s">
        <v>50</v>
      </c>
      <c r="C945" t="s">
        <v>47</v>
      </c>
    </row>
    <row r="946">
      <c r="A946" s="23">
        <v>46456.0</v>
      </c>
      <c r="B946" t="s">
        <v>44</v>
      </c>
      <c r="C946" t="s">
        <v>36</v>
      </c>
    </row>
    <row r="947">
      <c r="A947" s="23">
        <v>46456.0</v>
      </c>
      <c r="B947" t="s">
        <v>35</v>
      </c>
      <c r="C947" t="s">
        <v>40</v>
      </c>
    </row>
    <row r="948">
      <c r="A948" s="23">
        <v>46456.0</v>
      </c>
      <c r="B948" t="s">
        <v>30</v>
      </c>
      <c r="C948" t="s">
        <v>39</v>
      </c>
    </row>
    <row r="949">
      <c r="A949" s="23">
        <v>46456.0</v>
      </c>
      <c r="B949" t="s">
        <v>46</v>
      </c>
      <c r="C949" t="s">
        <v>41</v>
      </c>
    </row>
    <row r="950">
      <c r="A950" s="23">
        <v>46456.0</v>
      </c>
      <c r="B950" t="s">
        <v>34</v>
      </c>
      <c r="C950" t="s">
        <v>5</v>
      </c>
    </row>
    <row r="951">
      <c r="A951" s="23">
        <v>46456.0</v>
      </c>
      <c r="B951" t="s">
        <v>54</v>
      </c>
      <c r="C951" t="s">
        <v>50</v>
      </c>
    </row>
    <row r="952">
      <c r="A952" s="23">
        <v>46456.0</v>
      </c>
      <c r="B952" t="s">
        <v>47</v>
      </c>
      <c r="C952" t="s">
        <v>51</v>
      </c>
    </row>
    <row r="953">
      <c r="A953" s="23">
        <v>46456.0</v>
      </c>
      <c r="B953" t="s">
        <v>29</v>
      </c>
      <c r="C953" t="s">
        <v>52</v>
      </c>
    </row>
    <row r="954">
      <c r="A954" s="23">
        <v>46457.0</v>
      </c>
      <c r="B954" t="s">
        <v>43</v>
      </c>
      <c r="C954" t="s">
        <v>36</v>
      </c>
    </row>
    <row r="955">
      <c r="A955" s="23">
        <v>46457.0</v>
      </c>
      <c r="B955" t="s">
        <v>32</v>
      </c>
      <c r="C955" t="s">
        <v>27</v>
      </c>
    </row>
    <row r="956">
      <c r="A956" s="23">
        <v>46457.0</v>
      </c>
      <c r="B956" t="s">
        <v>42</v>
      </c>
      <c r="C956" t="s">
        <v>26</v>
      </c>
    </row>
    <row r="957">
      <c r="A957" s="23">
        <v>46457.0</v>
      </c>
      <c r="B957" t="s">
        <v>28</v>
      </c>
      <c r="C957" t="s">
        <v>31</v>
      </c>
    </row>
    <row r="958">
      <c r="A958" s="23">
        <v>46457.0</v>
      </c>
      <c r="B958" t="s">
        <v>37</v>
      </c>
      <c r="C958" t="s">
        <v>34</v>
      </c>
    </row>
    <row r="959">
      <c r="A959" s="23">
        <v>46457.0</v>
      </c>
      <c r="B959" t="s">
        <v>49</v>
      </c>
      <c r="C959" t="s">
        <v>38</v>
      </c>
    </row>
    <row r="960">
      <c r="A960" s="23">
        <v>46457.0</v>
      </c>
      <c r="B960" t="s">
        <v>33</v>
      </c>
      <c r="C960" t="s">
        <v>45</v>
      </c>
    </row>
    <row r="961">
      <c r="A961" s="23">
        <v>46457.0</v>
      </c>
      <c r="B961" t="s">
        <v>29</v>
      </c>
      <c r="C961" t="s">
        <v>48</v>
      </c>
    </row>
    <row r="962">
      <c r="A962" s="23">
        <v>46457.0</v>
      </c>
      <c r="B962" t="s">
        <v>53</v>
      </c>
      <c r="C962" t="s">
        <v>52</v>
      </c>
    </row>
    <row r="963">
      <c r="A963" s="23">
        <v>46458.0</v>
      </c>
      <c r="B963" t="s">
        <v>30</v>
      </c>
      <c r="C963" t="s">
        <v>26</v>
      </c>
    </row>
    <row r="964">
      <c r="A964" s="23">
        <v>46458.0</v>
      </c>
      <c r="B964" t="s">
        <v>40</v>
      </c>
      <c r="C964" t="s">
        <v>32</v>
      </c>
    </row>
    <row r="965">
      <c r="A965" s="23">
        <v>46458.0</v>
      </c>
      <c r="B965" t="s">
        <v>39</v>
      </c>
      <c r="C965" t="s">
        <v>44</v>
      </c>
    </row>
    <row r="966">
      <c r="A966" s="23">
        <v>46458.0</v>
      </c>
      <c r="B966" t="s">
        <v>51</v>
      </c>
      <c r="C966" t="s">
        <v>41</v>
      </c>
    </row>
    <row r="967">
      <c r="A967" s="23">
        <v>46458.0</v>
      </c>
      <c r="B967" t="s">
        <v>47</v>
      </c>
      <c r="C967" t="s">
        <v>54</v>
      </c>
    </row>
    <row r="968">
      <c r="A968" s="23">
        <v>46458.0</v>
      </c>
      <c r="B968" t="s">
        <v>53</v>
      </c>
      <c r="C968" t="s">
        <v>48</v>
      </c>
    </row>
    <row r="969">
      <c r="A969" s="23">
        <v>46459.0</v>
      </c>
      <c r="B969" t="s">
        <v>35</v>
      </c>
      <c r="C969" t="s">
        <v>34</v>
      </c>
    </row>
    <row r="970">
      <c r="A970" s="23">
        <v>46459.0</v>
      </c>
      <c r="B970" t="s">
        <v>37</v>
      </c>
      <c r="C970" t="s">
        <v>27</v>
      </c>
    </row>
    <row r="971">
      <c r="A971" s="23">
        <v>46459.0</v>
      </c>
      <c r="B971" t="s">
        <v>43</v>
      </c>
      <c r="C971" t="s">
        <v>46</v>
      </c>
    </row>
    <row r="972">
      <c r="A972" s="23">
        <v>46459.0</v>
      </c>
      <c r="B972" t="s">
        <v>49</v>
      </c>
      <c r="C972" t="s">
        <v>36</v>
      </c>
    </row>
    <row r="973">
      <c r="A973" s="23">
        <v>46459.0</v>
      </c>
      <c r="B973" t="s">
        <v>42</v>
      </c>
      <c r="C973" t="s">
        <v>38</v>
      </c>
    </row>
    <row r="974">
      <c r="A974" s="23">
        <v>46459.0</v>
      </c>
      <c r="B974" t="s">
        <v>44</v>
      </c>
      <c r="C974" t="s">
        <v>45</v>
      </c>
    </row>
    <row r="975">
      <c r="A975" s="23">
        <v>46459.0</v>
      </c>
      <c r="B975" t="s">
        <v>28</v>
      </c>
      <c r="C975" t="s">
        <v>5</v>
      </c>
    </row>
    <row r="976">
      <c r="A976" s="23">
        <v>46459.0</v>
      </c>
      <c r="B976" t="s">
        <v>52</v>
      </c>
      <c r="C976" t="s">
        <v>50</v>
      </c>
    </row>
    <row r="977">
      <c r="A977" s="23">
        <v>46460.0</v>
      </c>
      <c r="B977" t="s">
        <v>26</v>
      </c>
      <c r="C977" t="s">
        <v>29</v>
      </c>
    </row>
    <row r="978">
      <c r="A978" s="23">
        <v>46460.0</v>
      </c>
      <c r="B978" t="s">
        <v>31</v>
      </c>
      <c r="C978" t="s">
        <v>30</v>
      </c>
    </row>
    <row r="979">
      <c r="A979" s="23">
        <v>46460.0</v>
      </c>
      <c r="B979" t="s">
        <v>27</v>
      </c>
      <c r="C979" t="s">
        <v>39</v>
      </c>
    </row>
    <row r="980">
      <c r="A980" s="23">
        <v>46460.0</v>
      </c>
      <c r="B980" t="s">
        <v>53</v>
      </c>
      <c r="C980" t="s">
        <v>51</v>
      </c>
    </row>
    <row r="981">
      <c r="A981" s="23">
        <v>46460.0</v>
      </c>
      <c r="B981" t="s">
        <v>40</v>
      </c>
      <c r="C981" t="s">
        <v>54</v>
      </c>
    </row>
    <row r="982">
      <c r="A982" s="23">
        <v>46460.0</v>
      </c>
      <c r="B982" t="s">
        <v>33</v>
      </c>
      <c r="C982" t="s">
        <v>5</v>
      </c>
    </row>
    <row r="983">
      <c r="A983" s="23">
        <v>46460.0</v>
      </c>
      <c r="B983" t="s">
        <v>47</v>
      </c>
      <c r="C983" t="s">
        <v>48</v>
      </c>
    </row>
    <row r="984">
      <c r="A984" s="23">
        <v>46461.0</v>
      </c>
      <c r="B984" t="s">
        <v>39</v>
      </c>
      <c r="C984" t="s">
        <v>28</v>
      </c>
    </row>
    <row r="985">
      <c r="A985" s="23">
        <v>46461.0</v>
      </c>
      <c r="B985" t="s">
        <v>43</v>
      </c>
      <c r="C985" t="s">
        <v>37</v>
      </c>
    </row>
    <row r="986">
      <c r="A986" s="23">
        <v>46461.0</v>
      </c>
      <c r="B986" t="s">
        <v>35</v>
      </c>
      <c r="C986" t="s">
        <v>38</v>
      </c>
    </row>
    <row r="987">
      <c r="A987" s="23">
        <v>46461.0</v>
      </c>
      <c r="B987" t="s">
        <v>49</v>
      </c>
      <c r="C987" t="s">
        <v>42</v>
      </c>
    </row>
    <row r="988">
      <c r="A988" s="23">
        <v>46461.0</v>
      </c>
      <c r="B988" t="s">
        <v>34</v>
      </c>
      <c r="C988" t="s">
        <v>45</v>
      </c>
    </row>
    <row r="989">
      <c r="A989" s="23">
        <v>46462.0</v>
      </c>
      <c r="B989" t="s">
        <v>29</v>
      </c>
      <c r="C989" t="s">
        <v>33</v>
      </c>
    </row>
    <row r="990">
      <c r="A990" s="23">
        <v>46462.0</v>
      </c>
      <c r="B990" t="s">
        <v>51</v>
      </c>
      <c r="C990" t="s">
        <v>26</v>
      </c>
    </row>
    <row r="991">
      <c r="A991" s="23">
        <v>46462.0</v>
      </c>
      <c r="B991" t="s">
        <v>27</v>
      </c>
      <c r="C991" t="s">
        <v>43</v>
      </c>
    </row>
    <row r="992">
      <c r="A992" s="23">
        <v>46462.0</v>
      </c>
      <c r="B992" t="s">
        <v>35</v>
      </c>
      <c r="C992" t="s">
        <v>32</v>
      </c>
    </row>
    <row r="993">
      <c r="A993" s="23">
        <v>46462.0</v>
      </c>
      <c r="B993" t="s">
        <v>5</v>
      </c>
      <c r="C993" t="s">
        <v>44</v>
      </c>
    </row>
    <row r="994">
      <c r="A994" s="23">
        <v>46462.0</v>
      </c>
      <c r="B994" t="s">
        <v>36</v>
      </c>
      <c r="C994" t="s">
        <v>30</v>
      </c>
    </row>
    <row r="995">
      <c r="A995" s="23">
        <v>46462.0</v>
      </c>
      <c r="B995" t="s">
        <v>31</v>
      </c>
      <c r="C995" t="s">
        <v>46</v>
      </c>
    </row>
    <row r="996">
      <c r="A996" s="23">
        <v>46462.0</v>
      </c>
      <c r="B996" t="s">
        <v>53</v>
      </c>
      <c r="C996" t="s">
        <v>47</v>
      </c>
    </row>
    <row r="997">
      <c r="A997" s="23">
        <v>46462.0</v>
      </c>
      <c r="B997" t="s">
        <v>48</v>
      </c>
      <c r="C997" t="s">
        <v>50</v>
      </c>
    </row>
    <row r="998">
      <c r="A998" s="23">
        <v>46462.0</v>
      </c>
      <c r="B998" t="s">
        <v>54</v>
      </c>
      <c r="C998" t="s">
        <v>52</v>
      </c>
    </row>
    <row r="999">
      <c r="A999" s="23">
        <v>46463.0</v>
      </c>
      <c r="B999" t="s">
        <v>38</v>
      </c>
      <c r="C999" t="s">
        <v>28</v>
      </c>
    </row>
    <row r="1000">
      <c r="A1000" s="23">
        <v>46463.0</v>
      </c>
      <c r="B1000" t="s">
        <v>51</v>
      </c>
      <c r="C1000" t="s">
        <v>29</v>
      </c>
    </row>
    <row r="1001">
      <c r="A1001" s="23">
        <v>46463.0</v>
      </c>
      <c r="B1001" t="s">
        <v>45</v>
      </c>
      <c r="C1001" t="s">
        <v>30</v>
      </c>
    </row>
    <row r="1002">
      <c r="A1002" s="23">
        <v>46463.0</v>
      </c>
      <c r="B1002" t="s">
        <v>37</v>
      </c>
      <c r="C1002" t="s">
        <v>46</v>
      </c>
    </row>
    <row r="1003">
      <c r="A1003" s="23">
        <v>46463.0</v>
      </c>
      <c r="B1003" t="s">
        <v>34</v>
      </c>
      <c r="C1003" t="s">
        <v>41</v>
      </c>
    </row>
    <row r="1004">
      <c r="A1004" s="23">
        <v>46463.0</v>
      </c>
      <c r="B1004" t="s">
        <v>42</v>
      </c>
      <c r="C1004" t="s">
        <v>47</v>
      </c>
    </row>
    <row r="1005">
      <c r="A1005" s="23">
        <v>46463.0</v>
      </c>
      <c r="B1005" t="s">
        <v>49</v>
      </c>
      <c r="C1005" t="s">
        <v>48</v>
      </c>
    </row>
    <row r="1006">
      <c r="A1006" s="23">
        <v>46463.0</v>
      </c>
      <c r="B1006" t="s">
        <v>40</v>
      </c>
      <c r="C1006" t="s">
        <v>50</v>
      </c>
    </row>
    <row r="1007">
      <c r="A1007" s="23">
        <v>46464.0</v>
      </c>
      <c r="B1007" t="s">
        <v>39</v>
      </c>
      <c r="C1007" t="s">
        <v>43</v>
      </c>
    </row>
    <row r="1008">
      <c r="A1008" s="23">
        <v>46464.0</v>
      </c>
      <c r="B1008" t="s">
        <v>28</v>
      </c>
      <c r="C1008" t="s">
        <v>33</v>
      </c>
    </row>
    <row r="1009">
      <c r="A1009" s="23">
        <v>46464.0</v>
      </c>
      <c r="B1009" t="s">
        <v>35</v>
      </c>
      <c r="C1009" t="s">
        <v>26</v>
      </c>
    </row>
    <row r="1010">
      <c r="A1010" s="23">
        <v>46464.0</v>
      </c>
      <c r="B1010" t="s">
        <v>27</v>
      </c>
      <c r="C1010" t="s">
        <v>32</v>
      </c>
    </row>
    <row r="1011">
      <c r="A1011" s="23">
        <v>46464.0</v>
      </c>
      <c r="B1011" t="s">
        <v>36</v>
      </c>
      <c r="C1011" t="s">
        <v>44</v>
      </c>
    </row>
    <row r="1012">
      <c r="A1012" s="23">
        <v>46464.0</v>
      </c>
      <c r="B1012" t="s">
        <v>37</v>
      </c>
      <c r="C1012" t="s">
        <v>31</v>
      </c>
    </row>
    <row r="1013">
      <c r="A1013" s="23">
        <v>46464.0</v>
      </c>
      <c r="B1013" t="s">
        <v>53</v>
      </c>
      <c r="C1013" t="s">
        <v>54</v>
      </c>
    </row>
    <row r="1014">
      <c r="A1014" s="23">
        <v>46464.0</v>
      </c>
      <c r="B1014" t="s">
        <v>5</v>
      </c>
      <c r="C1014" t="s">
        <v>41</v>
      </c>
    </row>
    <row r="1015">
      <c r="A1015" s="23">
        <v>46464.0</v>
      </c>
      <c r="B1015" t="s">
        <v>42</v>
      </c>
      <c r="C1015" t="s">
        <v>52</v>
      </c>
    </row>
    <row r="1016">
      <c r="A1016" s="23">
        <v>46465.0</v>
      </c>
      <c r="B1016" t="s">
        <v>51</v>
      </c>
      <c r="C1016" t="s">
        <v>39</v>
      </c>
    </row>
    <row r="1017">
      <c r="A1017" s="23">
        <v>46465.0</v>
      </c>
      <c r="B1017" t="s">
        <v>46</v>
      </c>
      <c r="C1017" t="s">
        <v>44</v>
      </c>
    </row>
    <row r="1018">
      <c r="A1018" s="23">
        <v>46465.0</v>
      </c>
      <c r="B1018" t="s">
        <v>45</v>
      </c>
      <c r="C1018" t="s">
        <v>31</v>
      </c>
    </row>
    <row r="1019">
      <c r="A1019" s="23">
        <v>46465.0</v>
      </c>
      <c r="B1019" t="s">
        <v>50</v>
      </c>
      <c r="C1019" t="s">
        <v>47</v>
      </c>
    </row>
    <row r="1020">
      <c r="A1020" s="23">
        <v>46465.0</v>
      </c>
      <c r="B1020" t="s">
        <v>34</v>
      </c>
      <c r="C1020" t="s">
        <v>48</v>
      </c>
    </row>
    <row r="1021">
      <c r="A1021" s="23">
        <v>46465.0</v>
      </c>
      <c r="B1021" t="s">
        <v>40</v>
      </c>
      <c r="C1021" t="s">
        <v>49</v>
      </c>
    </row>
    <row r="1022">
      <c r="A1022" s="23">
        <v>46466.0</v>
      </c>
      <c r="B1022" t="s">
        <v>33</v>
      </c>
      <c r="C1022" t="s">
        <v>29</v>
      </c>
    </row>
    <row r="1023">
      <c r="A1023" s="23">
        <v>46466.0</v>
      </c>
      <c r="B1023" t="s">
        <v>54</v>
      </c>
      <c r="C1023" t="s">
        <v>35</v>
      </c>
    </row>
    <row r="1024">
      <c r="A1024" s="23">
        <v>46466.0</v>
      </c>
      <c r="B1024" t="s">
        <v>38</v>
      </c>
      <c r="C1024" t="s">
        <v>53</v>
      </c>
    </row>
    <row r="1025">
      <c r="A1025" s="23">
        <v>46466.0</v>
      </c>
      <c r="B1025" t="s">
        <v>36</v>
      </c>
      <c r="C1025" t="s">
        <v>27</v>
      </c>
    </row>
    <row r="1026">
      <c r="A1026" s="23">
        <v>46466.0</v>
      </c>
      <c r="B1026" t="s">
        <v>30</v>
      </c>
      <c r="C1026" t="s">
        <v>42</v>
      </c>
    </row>
    <row r="1027">
      <c r="A1027" s="23">
        <v>46466.0</v>
      </c>
      <c r="B1027" t="s">
        <v>43</v>
      </c>
      <c r="C1027" t="s">
        <v>32</v>
      </c>
    </row>
    <row r="1028">
      <c r="A1028" s="23">
        <v>46466.0</v>
      </c>
      <c r="B1028" t="s">
        <v>34</v>
      </c>
      <c r="C1028" t="s">
        <v>52</v>
      </c>
    </row>
    <row r="1029">
      <c r="A1029" s="23">
        <v>46467.0</v>
      </c>
      <c r="B1029" t="s">
        <v>44</v>
      </c>
      <c r="C1029" t="s">
        <v>26</v>
      </c>
    </row>
    <row r="1030">
      <c r="A1030" s="23">
        <v>46467.0</v>
      </c>
      <c r="B1030" t="s">
        <v>51</v>
      </c>
      <c r="C1030" t="s">
        <v>37</v>
      </c>
    </row>
    <row r="1031">
      <c r="A1031" s="23">
        <v>46467.0</v>
      </c>
      <c r="B1031" t="s">
        <v>50</v>
      </c>
      <c r="C1031" t="s">
        <v>49</v>
      </c>
    </row>
    <row r="1032">
      <c r="A1032" s="23">
        <v>46467.0</v>
      </c>
      <c r="B1032" t="s">
        <v>39</v>
      </c>
      <c r="C1032" t="s">
        <v>41</v>
      </c>
    </row>
    <row r="1033">
      <c r="A1033" s="23">
        <v>46467.0</v>
      </c>
      <c r="B1033" t="s">
        <v>54</v>
      </c>
      <c r="C1033" t="s">
        <v>40</v>
      </c>
    </row>
    <row r="1034">
      <c r="A1034" s="23">
        <v>46467.0</v>
      </c>
      <c r="B1034" t="s">
        <v>31</v>
      </c>
      <c r="C1034" t="s">
        <v>28</v>
      </c>
    </row>
    <row r="1035">
      <c r="A1035" s="23">
        <v>46467.0</v>
      </c>
      <c r="B1035" t="s">
        <v>45</v>
      </c>
      <c r="C1035" t="s">
        <v>48</v>
      </c>
    </row>
    <row r="1036">
      <c r="A1036" s="23">
        <v>46468.0</v>
      </c>
      <c r="B1036" t="s">
        <v>46</v>
      </c>
      <c r="C1036" t="s">
        <v>53</v>
      </c>
    </row>
    <row r="1037">
      <c r="A1037" s="23">
        <v>46468.0</v>
      </c>
      <c r="B1037" t="s">
        <v>43</v>
      </c>
      <c r="C1037" t="s">
        <v>35</v>
      </c>
    </row>
    <row r="1038">
      <c r="A1038" s="23">
        <v>46468.0</v>
      </c>
      <c r="B1038" t="s">
        <v>51</v>
      </c>
      <c r="C1038" t="s">
        <v>38</v>
      </c>
    </row>
    <row r="1039">
      <c r="A1039" s="23">
        <v>46468.0</v>
      </c>
      <c r="B1039" t="s">
        <v>36</v>
      </c>
      <c r="C1039" t="s">
        <v>42</v>
      </c>
    </row>
    <row r="1040">
      <c r="A1040" s="23">
        <v>46468.0</v>
      </c>
      <c r="B1040" t="s">
        <v>33</v>
      </c>
      <c r="C1040" t="s">
        <v>32</v>
      </c>
    </row>
    <row r="1041">
      <c r="A1041" s="23">
        <v>46468.0</v>
      </c>
      <c r="B1041" t="s">
        <v>27</v>
      </c>
      <c r="C1041" t="s">
        <v>5</v>
      </c>
    </row>
    <row r="1042">
      <c r="A1042" s="23">
        <v>46468.0</v>
      </c>
      <c r="B1042" t="s">
        <v>34</v>
      </c>
      <c r="C1042" t="s">
        <v>47</v>
      </c>
    </row>
    <row r="1043">
      <c r="A1043" s="23">
        <v>46468.0</v>
      </c>
      <c r="B1043" t="s">
        <v>45</v>
      </c>
      <c r="C1043" t="s">
        <v>52</v>
      </c>
    </row>
    <row r="1044">
      <c r="A1044" s="23">
        <v>46469.0</v>
      </c>
      <c r="B1044" t="s">
        <v>26</v>
      </c>
      <c r="C1044" t="s">
        <v>37</v>
      </c>
    </row>
    <row r="1045">
      <c r="A1045" s="23">
        <v>46469.0</v>
      </c>
      <c r="B1045" t="s">
        <v>44</v>
      </c>
      <c r="C1045" t="s">
        <v>29</v>
      </c>
    </row>
    <row r="1046">
      <c r="A1046" s="23">
        <v>46469.0</v>
      </c>
      <c r="B1046" t="s">
        <v>48</v>
      </c>
      <c r="C1046" t="s">
        <v>40</v>
      </c>
    </row>
    <row r="1047">
      <c r="A1047" s="23">
        <v>46469.0</v>
      </c>
      <c r="B1047" t="s">
        <v>28</v>
      </c>
      <c r="C1047" t="s">
        <v>41</v>
      </c>
    </row>
    <row r="1048">
      <c r="A1048" s="23">
        <v>46469.0</v>
      </c>
      <c r="B1048" t="s">
        <v>39</v>
      </c>
      <c r="C1048" t="s">
        <v>50</v>
      </c>
    </row>
    <row r="1049">
      <c r="A1049" s="23">
        <v>46469.0</v>
      </c>
      <c r="B1049" t="s">
        <v>30</v>
      </c>
      <c r="C1049" t="s">
        <v>49</v>
      </c>
    </row>
    <row r="1050">
      <c r="A1050" s="23">
        <v>46470.0</v>
      </c>
      <c r="B1050" t="s">
        <v>27</v>
      </c>
      <c r="C1050" t="s">
        <v>36</v>
      </c>
    </row>
    <row r="1051">
      <c r="A1051" s="23">
        <v>46470.0</v>
      </c>
      <c r="B1051" t="s">
        <v>42</v>
      </c>
      <c r="C1051" t="s">
        <v>43</v>
      </c>
    </row>
    <row r="1052">
      <c r="A1052" s="23">
        <v>46470.0</v>
      </c>
      <c r="B1052" t="s">
        <v>54</v>
      </c>
      <c r="C1052" t="s">
        <v>33</v>
      </c>
    </row>
    <row r="1053">
      <c r="A1053" s="23">
        <v>46470.0</v>
      </c>
      <c r="B1053" t="s">
        <v>31</v>
      </c>
      <c r="C1053" t="s">
        <v>26</v>
      </c>
    </row>
    <row r="1054">
      <c r="A1054" s="23">
        <v>46470.0</v>
      </c>
      <c r="B1054" t="s">
        <v>46</v>
      </c>
      <c r="C1054" t="s">
        <v>29</v>
      </c>
    </row>
    <row r="1055">
      <c r="A1055" s="23">
        <v>46470.0</v>
      </c>
      <c r="B1055" t="s">
        <v>35</v>
      </c>
      <c r="C1055" t="s">
        <v>38</v>
      </c>
    </row>
    <row r="1056">
      <c r="A1056" s="23">
        <v>46470.0</v>
      </c>
      <c r="B1056" t="s">
        <v>45</v>
      </c>
      <c r="C1056" t="s">
        <v>5</v>
      </c>
    </row>
    <row r="1057">
      <c r="A1057" s="23">
        <v>46470.0</v>
      </c>
      <c r="B1057" t="s">
        <v>28</v>
      </c>
      <c r="C1057" t="s">
        <v>47</v>
      </c>
    </row>
    <row r="1058">
      <c r="A1058" s="23">
        <v>46470.0</v>
      </c>
      <c r="B1058" t="s">
        <v>30</v>
      </c>
      <c r="C1058" t="s">
        <v>49</v>
      </c>
    </row>
    <row r="1059">
      <c r="A1059" s="23">
        <v>46470.0</v>
      </c>
      <c r="B1059" t="s">
        <v>34</v>
      </c>
      <c r="C1059" t="s">
        <v>51</v>
      </c>
    </row>
    <row r="1060">
      <c r="A1060" s="23">
        <v>46470.0</v>
      </c>
      <c r="B1060" t="s">
        <v>32</v>
      </c>
      <c r="C1060" t="s">
        <v>52</v>
      </c>
    </row>
    <row r="1061">
      <c r="A1061" s="23">
        <v>46471.0</v>
      </c>
      <c r="B1061" t="s">
        <v>48</v>
      </c>
      <c r="C1061" t="s">
        <v>53</v>
      </c>
    </row>
    <row r="1062">
      <c r="A1062" s="23">
        <v>46471.0</v>
      </c>
      <c r="B1062" t="s">
        <v>46</v>
      </c>
      <c r="C1062" t="s">
        <v>27</v>
      </c>
    </row>
    <row r="1063">
      <c r="A1063" s="23">
        <v>46471.0</v>
      </c>
      <c r="B1063" t="s">
        <v>31</v>
      </c>
      <c r="C1063" t="s">
        <v>43</v>
      </c>
    </row>
    <row r="1064">
      <c r="A1064" s="23">
        <v>46471.0</v>
      </c>
      <c r="B1064" t="s">
        <v>54</v>
      </c>
      <c r="C1064" t="s">
        <v>37</v>
      </c>
    </row>
    <row r="1065">
      <c r="A1065" s="23">
        <v>46471.0</v>
      </c>
      <c r="B1065" t="s">
        <v>41</v>
      </c>
      <c r="C1065" t="s">
        <v>40</v>
      </c>
    </row>
    <row r="1066">
      <c r="A1066" s="23">
        <v>46471.0</v>
      </c>
      <c r="B1066" t="s">
        <v>38</v>
      </c>
      <c r="C1066" t="s">
        <v>42</v>
      </c>
    </row>
    <row r="1067">
      <c r="A1067" s="23">
        <v>46471.0</v>
      </c>
      <c r="B1067" t="s">
        <v>39</v>
      </c>
      <c r="C1067" t="s">
        <v>47</v>
      </c>
    </row>
    <row r="1068">
      <c r="A1068" s="23">
        <v>46472.0</v>
      </c>
      <c r="B1068" t="s">
        <v>29</v>
      </c>
      <c r="C1068" t="s">
        <v>36</v>
      </c>
    </row>
    <row r="1069">
      <c r="A1069" s="23">
        <v>46472.0</v>
      </c>
      <c r="B1069" t="s">
        <v>44</v>
      </c>
      <c r="C1069" t="s">
        <v>45</v>
      </c>
    </row>
    <row r="1070">
      <c r="A1070" s="23">
        <v>46472.0</v>
      </c>
      <c r="B1070" t="s">
        <v>35</v>
      </c>
      <c r="C1070" t="s">
        <v>5</v>
      </c>
    </row>
    <row r="1071">
      <c r="A1071" s="23">
        <v>46472.0</v>
      </c>
      <c r="B1071" t="s">
        <v>52</v>
      </c>
      <c r="C1071" t="s">
        <v>30</v>
      </c>
    </row>
    <row r="1072">
      <c r="A1072" s="23">
        <v>46472.0</v>
      </c>
      <c r="B1072" t="s">
        <v>32</v>
      </c>
      <c r="C1072" t="s">
        <v>49</v>
      </c>
    </row>
    <row r="1073">
      <c r="A1073" s="23">
        <v>46472.0</v>
      </c>
      <c r="B1073" t="s">
        <v>28</v>
      </c>
      <c r="C1073" t="s">
        <v>50</v>
      </c>
    </row>
    <row r="1074">
      <c r="A1074" s="23">
        <v>46473.0</v>
      </c>
      <c r="B1074" t="s">
        <v>31</v>
      </c>
      <c r="C1074" t="s">
        <v>27</v>
      </c>
    </row>
    <row r="1075">
      <c r="A1075" s="23">
        <v>46473.0</v>
      </c>
      <c r="B1075" t="s">
        <v>41</v>
      </c>
      <c r="C1075" t="s">
        <v>34</v>
      </c>
    </row>
    <row r="1076">
      <c r="A1076" s="23">
        <v>46473.0</v>
      </c>
      <c r="B1076" t="s">
        <v>47</v>
      </c>
      <c r="C1076" t="s">
        <v>33</v>
      </c>
    </row>
    <row r="1077">
      <c r="A1077" s="23">
        <v>46473.0</v>
      </c>
      <c r="B1077" t="s">
        <v>52</v>
      </c>
      <c r="C1077" t="s">
        <v>38</v>
      </c>
    </row>
    <row r="1078">
      <c r="A1078" s="23">
        <v>46473.0</v>
      </c>
      <c r="B1078" t="s">
        <v>26</v>
      </c>
      <c r="C1078" t="s">
        <v>40</v>
      </c>
    </row>
    <row r="1079">
      <c r="A1079" s="23">
        <v>46473.0</v>
      </c>
      <c r="B1079" t="s">
        <v>32</v>
      </c>
      <c r="C1079" t="s">
        <v>50</v>
      </c>
    </row>
    <row r="1080">
      <c r="A1080" s="23">
        <v>46473.0</v>
      </c>
      <c r="B1080" t="s">
        <v>39</v>
      </c>
      <c r="C1080" t="s">
        <v>51</v>
      </c>
    </row>
    <row r="1081">
      <c r="A1081" s="23">
        <v>46474.0</v>
      </c>
      <c r="B1081" t="s">
        <v>29</v>
      </c>
      <c r="C1081" t="s">
        <v>35</v>
      </c>
    </row>
    <row r="1082">
      <c r="A1082" s="23">
        <v>46474.0</v>
      </c>
      <c r="B1082" t="s">
        <v>42</v>
      </c>
      <c r="C1082" t="s">
        <v>37</v>
      </c>
    </row>
    <row r="1083">
      <c r="A1083" s="23">
        <v>46474.0</v>
      </c>
      <c r="B1083" t="s">
        <v>48</v>
      </c>
      <c r="C1083" t="s">
        <v>46</v>
      </c>
    </row>
    <row r="1084">
      <c r="A1084" s="23">
        <v>46474.0</v>
      </c>
      <c r="B1084" t="s">
        <v>41</v>
      </c>
      <c r="C1084" t="s">
        <v>36</v>
      </c>
    </row>
    <row r="1085">
      <c r="A1085" s="23">
        <v>46474.0</v>
      </c>
      <c r="B1085" t="s">
        <v>45</v>
      </c>
      <c r="C1085" t="s">
        <v>33</v>
      </c>
    </row>
    <row r="1086">
      <c r="A1086" s="23">
        <v>46474.0</v>
      </c>
      <c r="B1086" t="s">
        <v>26</v>
      </c>
      <c r="C1086" t="s">
        <v>44</v>
      </c>
    </row>
    <row r="1087">
      <c r="A1087" s="23">
        <v>46474.0</v>
      </c>
      <c r="B1087" t="s">
        <v>30</v>
      </c>
      <c r="C1087" t="s">
        <v>5</v>
      </c>
    </row>
    <row r="1088">
      <c r="A1088" s="23">
        <v>46474.0</v>
      </c>
      <c r="B1088" t="s">
        <v>39</v>
      </c>
      <c r="C1088" t="s">
        <v>49</v>
      </c>
    </row>
    <row r="1089">
      <c r="A1089" s="23">
        <v>46474.0</v>
      </c>
      <c r="B1089" t="s">
        <v>28</v>
      </c>
      <c r="C1089" t="s">
        <v>54</v>
      </c>
    </row>
    <row r="1090">
      <c r="A1090" s="23">
        <v>46475.0</v>
      </c>
      <c r="B1090" t="s">
        <v>5</v>
      </c>
      <c r="C1090" t="s">
        <v>34</v>
      </c>
    </row>
    <row r="1091">
      <c r="A1091" s="23">
        <v>46475.0</v>
      </c>
      <c r="B1091" t="s">
        <v>40</v>
      </c>
      <c r="C1091" t="s">
        <v>53</v>
      </c>
    </row>
    <row r="1092">
      <c r="A1092" s="23">
        <v>46475.0</v>
      </c>
      <c r="B1092" t="s">
        <v>52</v>
      </c>
      <c r="C1092" t="s">
        <v>27</v>
      </c>
    </row>
    <row r="1093">
      <c r="A1093" s="23">
        <v>46475.0</v>
      </c>
      <c r="B1093" t="s">
        <v>47</v>
      </c>
      <c r="C1093" t="s">
        <v>37</v>
      </c>
    </row>
    <row r="1094">
      <c r="A1094" s="23">
        <v>46475.0</v>
      </c>
      <c r="B1094" t="s">
        <v>43</v>
      </c>
      <c r="C1094" t="s">
        <v>38</v>
      </c>
    </row>
    <row r="1095">
      <c r="A1095" s="23">
        <v>46475.0</v>
      </c>
      <c r="B1095" t="s">
        <v>45</v>
      </c>
      <c r="C1095" t="s">
        <v>32</v>
      </c>
    </row>
    <row r="1096">
      <c r="A1096" s="23">
        <v>46475.0</v>
      </c>
      <c r="B1096" t="s">
        <v>49</v>
      </c>
      <c r="C1096" t="s">
        <v>31</v>
      </c>
    </row>
    <row r="1097">
      <c r="A1097" s="23">
        <v>46475.0</v>
      </c>
      <c r="B1097" t="s">
        <v>54</v>
      </c>
      <c r="C1097" t="s">
        <v>51</v>
      </c>
    </row>
    <row r="1098">
      <c r="A1098" s="23">
        <v>46476.0</v>
      </c>
      <c r="B1098" t="s">
        <v>40</v>
      </c>
      <c r="C1098" t="s">
        <v>36</v>
      </c>
    </row>
    <row r="1099">
      <c r="A1099" s="23">
        <v>46476.0</v>
      </c>
      <c r="B1099" t="s">
        <v>26</v>
      </c>
      <c r="C1099" t="s">
        <v>43</v>
      </c>
    </row>
    <row r="1100">
      <c r="A1100" s="23">
        <v>46476.0</v>
      </c>
      <c r="B1100" t="s">
        <v>48</v>
      </c>
      <c r="C1100" t="s">
        <v>42</v>
      </c>
    </row>
    <row r="1101">
      <c r="A1101" s="23">
        <v>46476.0</v>
      </c>
      <c r="B1101" t="s">
        <v>29</v>
      </c>
      <c r="C1101" t="s">
        <v>35</v>
      </c>
    </row>
    <row r="1102">
      <c r="A1102" s="23">
        <v>46476.0</v>
      </c>
      <c r="B1102" t="s">
        <v>30</v>
      </c>
      <c r="C1102" t="s">
        <v>41</v>
      </c>
    </row>
    <row r="1103">
      <c r="A1103" s="23">
        <v>46476.0</v>
      </c>
      <c r="B1103" t="s">
        <v>46</v>
      </c>
      <c r="C1103" t="s">
        <v>50</v>
      </c>
    </row>
    <row r="1104">
      <c r="A1104" s="23">
        <v>46477.0</v>
      </c>
      <c r="B1104" t="s">
        <v>52</v>
      </c>
      <c r="C1104" t="s">
        <v>34</v>
      </c>
    </row>
    <row r="1105">
      <c r="A1105" s="23">
        <v>46477.0</v>
      </c>
      <c r="B1105" t="s">
        <v>39</v>
      </c>
      <c r="C1105" t="s">
        <v>27</v>
      </c>
    </row>
    <row r="1106">
      <c r="A1106" s="23">
        <v>46477.0</v>
      </c>
      <c r="B1106" t="s">
        <v>47</v>
      </c>
      <c r="C1106" t="s">
        <v>28</v>
      </c>
    </row>
    <row r="1107">
      <c r="A1107" s="23">
        <v>46477.0</v>
      </c>
      <c r="B1107" t="s">
        <v>38</v>
      </c>
      <c r="C1107" t="s">
        <v>33</v>
      </c>
    </row>
    <row r="1108">
      <c r="A1108" s="23">
        <v>46477.0</v>
      </c>
      <c r="B1108" t="s">
        <v>53</v>
      </c>
      <c r="C1108" t="s">
        <v>37</v>
      </c>
    </row>
    <row r="1109">
      <c r="A1109" s="23">
        <v>46477.0</v>
      </c>
      <c r="B1109" t="s">
        <v>44</v>
      </c>
      <c r="C1109" t="s">
        <v>32</v>
      </c>
    </row>
    <row r="1110">
      <c r="A1110" s="23">
        <v>46477.0</v>
      </c>
      <c r="B1110" t="s">
        <v>51</v>
      </c>
      <c r="C1110" t="s">
        <v>5</v>
      </c>
    </row>
    <row r="1111">
      <c r="A1111" s="23">
        <v>46477.0</v>
      </c>
      <c r="B1111" t="s">
        <v>49</v>
      </c>
      <c r="C1111" t="s">
        <v>31</v>
      </c>
    </row>
    <row r="1112">
      <c r="A1112" s="23">
        <v>46477.0</v>
      </c>
      <c r="B1112" t="s">
        <v>54</v>
      </c>
      <c r="C1112" t="s">
        <v>45</v>
      </c>
    </row>
    <row r="1113">
      <c r="A1113" s="23">
        <v>46477.0</v>
      </c>
      <c r="B1113" t="s">
        <v>46</v>
      </c>
      <c r="C1113" t="s">
        <v>50</v>
      </c>
    </row>
    <row r="1114">
      <c r="A1114" s="23">
        <v>46478.0</v>
      </c>
      <c r="B1114" t="s">
        <v>35</v>
      </c>
      <c r="C1114" t="s">
        <v>43</v>
      </c>
    </row>
    <row r="1115">
      <c r="A1115" s="23">
        <v>46478.0</v>
      </c>
      <c r="B1115" t="s">
        <v>26</v>
      </c>
      <c r="C1115" t="s">
        <v>53</v>
      </c>
    </row>
    <row r="1116">
      <c r="A1116" s="23">
        <v>46478.0</v>
      </c>
      <c r="B1116" t="s">
        <v>36</v>
      </c>
      <c r="C1116" t="s">
        <v>29</v>
      </c>
    </row>
    <row r="1117">
      <c r="A1117" s="23">
        <v>46478.0</v>
      </c>
      <c r="B1117" t="s">
        <v>48</v>
      </c>
      <c r="C1117" t="s">
        <v>30</v>
      </c>
    </row>
    <row r="1118">
      <c r="A1118" s="23">
        <v>46479.0</v>
      </c>
      <c r="B1118" t="s">
        <v>28</v>
      </c>
      <c r="C1118" t="s">
        <v>33</v>
      </c>
    </row>
    <row r="1119">
      <c r="A1119" s="23">
        <v>46479.0</v>
      </c>
      <c r="B1119" t="s">
        <v>40</v>
      </c>
      <c r="C1119" t="s">
        <v>26</v>
      </c>
    </row>
    <row r="1120">
      <c r="A1120" s="23">
        <v>46479.0</v>
      </c>
      <c r="B1120" t="s">
        <v>29</v>
      </c>
      <c r="C1120" t="s">
        <v>37</v>
      </c>
    </row>
    <row r="1121">
      <c r="A1121" s="23">
        <v>46479.0</v>
      </c>
      <c r="B1121" t="s">
        <v>47</v>
      </c>
      <c r="C1121" t="s">
        <v>5</v>
      </c>
    </row>
    <row r="1122">
      <c r="A1122" s="23">
        <v>46479.0</v>
      </c>
      <c r="B1122" t="s">
        <v>27</v>
      </c>
      <c r="C1122" t="s">
        <v>38</v>
      </c>
    </row>
    <row r="1123">
      <c r="A1123" s="23">
        <v>46479.0</v>
      </c>
      <c r="B1123" t="s">
        <v>51</v>
      </c>
      <c r="C1123" t="s">
        <v>45</v>
      </c>
    </row>
    <row r="1124">
      <c r="A1124" s="23">
        <v>46479.0</v>
      </c>
      <c r="B1124" t="s">
        <v>36</v>
      </c>
      <c r="C1124" t="s">
        <v>32</v>
      </c>
    </row>
    <row r="1125">
      <c r="A1125" s="23">
        <v>46479.0</v>
      </c>
      <c r="B1125" t="s">
        <v>34</v>
      </c>
      <c r="C1125" t="s">
        <v>39</v>
      </c>
    </row>
    <row r="1126">
      <c r="A1126" s="23">
        <v>46479.0</v>
      </c>
      <c r="B1126" t="s">
        <v>42</v>
      </c>
      <c r="C1126" t="s">
        <v>46</v>
      </c>
    </row>
    <row r="1127">
      <c r="A1127" s="23">
        <v>46479.0</v>
      </c>
      <c r="B1127" t="s">
        <v>54</v>
      </c>
      <c r="C1127" t="s">
        <v>49</v>
      </c>
    </row>
    <row r="1128">
      <c r="A1128" s="23">
        <v>46479.0</v>
      </c>
      <c r="B1128" t="s">
        <v>41</v>
      </c>
      <c r="C1128" t="s">
        <v>50</v>
      </c>
    </row>
    <row r="1129">
      <c r="A1129" s="23">
        <v>46479.0</v>
      </c>
      <c r="B1129" t="s">
        <v>31</v>
      </c>
      <c r="C1129" t="s">
        <v>52</v>
      </c>
    </row>
    <row r="1130">
      <c r="A1130" s="23">
        <v>46480.0</v>
      </c>
      <c r="B1130" t="s">
        <v>44</v>
      </c>
      <c r="C1130" t="s">
        <v>30</v>
      </c>
    </row>
    <row r="1131">
      <c r="A1131" s="23">
        <v>46480.0</v>
      </c>
      <c r="B1131" t="s">
        <v>33</v>
      </c>
      <c r="C1131" t="s">
        <v>35</v>
      </c>
    </row>
    <row r="1132">
      <c r="A1132" s="23">
        <v>46481.0</v>
      </c>
      <c r="B1132" t="s">
        <v>34</v>
      </c>
      <c r="C1132" t="s">
        <v>28</v>
      </c>
    </row>
    <row r="1133">
      <c r="A1133" s="23">
        <v>46481.0</v>
      </c>
      <c r="B1133" t="s">
        <v>37</v>
      </c>
      <c r="C1133" t="s">
        <v>32</v>
      </c>
    </row>
    <row r="1134">
      <c r="A1134" s="23">
        <v>46481.0</v>
      </c>
      <c r="B1134" t="s">
        <v>36</v>
      </c>
      <c r="C1134" t="s">
        <v>53</v>
      </c>
    </row>
    <row r="1135">
      <c r="A1135" s="23">
        <v>46481.0</v>
      </c>
      <c r="B1135" t="s">
        <v>5</v>
      </c>
      <c r="C1135" t="s">
        <v>45</v>
      </c>
    </row>
    <row r="1136">
      <c r="A1136" s="23">
        <v>46481.0</v>
      </c>
      <c r="B1136" t="s">
        <v>40</v>
      </c>
      <c r="C1136" t="s">
        <v>27</v>
      </c>
    </row>
    <row r="1137">
      <c r="A1137" s="23">
        <v>46481.0</v>
      </c>
      <c r="B1137" t="s">
        <v>43</v>
      </c>
      <c r="C1137" t="s">
        <v>39</v>
      </c>
    </row>
    <row r="1138">
      <c r="A1138" s="23">
        <v>46481.0</v>
      </c>
      <c r="B1138" t="s">
        <v>38</v>
      </c>
      <c r="C1138" t="s">
        <v>46</v>
      </c>
    </row>
    <row r="1139">
      <c r="A1139" s="23">
        <v>46481.0</v>
      </c>
      <c r="B1139" t="s">
        <v>49</v>
      </c>
      <c r="C1139" t="s">
        <v>52</v>
      </c>
    </row>
    <row r="1140">
      <c r="A1140" s="23">
        <v>46481.0</v>
      </c>
      <c r="B1140" t="s">
        <v>42</v>
      </c>
      <c r="C1140" t="s">
        <v>54</v>
      </c>
    </row>
    <row r="1141">
      <c r="A1141" s="23">
        <v>46481.0</v>
      </c>
      <c r="B1141" t="s">
        <v>50</v>
      </c>
      <c r="C1141" t="s">
        <v>41</v>
      </c>
    </row>
    <row r="1142">
      <c r="A1142" s="23">
        <v>46481.0</v>
      </c>
      <c r="B1142" t="s">
        <v>47</v>
      </c>
      <c r="C1142" t="s">
        <v>51</v>
      </c>
    </row>
    <row r="1143">
      <c r="A1143" s="23">
        <v>46481.0</v>
      </c>
      <c r="B1143" t="s">
        <v>26</v>
      </c>
      <c r="C1143" t="s">
        <v>29</v>
      </c>
    </row>
    <row r="1144">
      <c r="A1144" s="23">
        <v>46481.0</v>
      </c>
      <c r="B1144" t="s">
        <v>31</v>
      </c>
      <c r="C1144" t="s">
        <v>48</v>
      </c>
    </row>
    <row r="1145">
      <c r="A1145" s="23">
        <v>46482.0</v>
      </c>
      <c r="B1145" t="s">
        <v>37</v>
      </c>
      <c r="C1145" t="s">
        <v>53</v>
      </c>
    </row>
    <row r="1146">
      <c r="A1146" s="23">
        <v>46482.0</v>
      </c>
      <c r="B1146" t="s">
        <v>40</v>
      </c>
      <c r="C1146" t="s">
        <v>35</v>
      </c>
    </row>
    <row r="1147">
      <c r="A1147" s="23">
        <v>46482.0</v>
      </c>
      <c r="B1147" t="s">
        <v>33</v>
      </c>
      <c r="C1147" t="s">
        <v>44</v>
      </c>
    </row>
    <row r="1148">
      <c r="A1148" s="23">
        <v>46483.0</v>
      </c>
      <c r="B1148" t="s">
        <v>43</v>
      </c>
      <c r="C1148" t="s">
        <v>36</v>
      </c>
    </row>
    <row r="1149">
      <c r="A1149" s="23">
        <v>46483.0</v>
      </c>
      <c r="B1149" t="s">
        <v>28</v>
      </c>
      <c r="C1149" t="s">
        <v>39</v>
      </c>
    </row>
    <row r="1150">
      <c r="A1150" s="23">
        <v>46483.0</v>
      </c>
      <c r="B1150" t="s">
        <v>29</v>
      </c>
      <c r="C1150" t="s">
        <v>34</v>
      </c>
    </row>
    <row r="1151">
      <c r="A1151" s="23">
        <v>46483.0</v>
      </c>
      <c r="B1151" t="s">
        <v>51</v>
      </c>
      <c r="C1151" t="s">
        <v>31</v>
      </c>
    </row>
    <row r="1152">
      <c r="A1152" s="23">
        <v>46483.0</v>
      </c>
      <c r="B1152" t="s">
        <v>38</v>
      </c>
      <c r="C1152" t="s">
        <v>32</v>
      </c>
    </row>
    <row r="1153">
      <c r="A1153" s="23">
        <v>46483.0</v>
      </c>
      <c r="B1153" t="s">
        <v>27</v>
      </c>
      <c r="C1153" t="s">
        <v>42</v>
      </c>
    </row>
    <row r="1154">
      <c r="A1154" s="23">
        <v>46483.0</v>
      </c>
      <c r="B1154" t="s">
        <v>30</v>
      </c>
      <c r="C1154" t="s">
        <v>41</v>
      </c>
    </row>
    <row r="1155">
      <c r="A1155" s="23">
        <v>46483.0</v>
      </c>
      <c r="B1155" t="s">
        <v>44</v>
      </c>
      <c r="C1155" t="s">
        <v>54</v>
      </c>
    </row>
    <row r="1156">
      <c r="A1156" s="23">
        <v>46483.0</v>
      </c>
      <c r="B1156" t="s">
        <v>45</v>
      </c>
      <c r="C1156" t="s">
        <v>48</v>
      </c>
    </row>
    <row r="1157">
      <c r="A1157" s="23">
        <v>46483.0</v>
      </c>
      <c r="B1157" t="s">
        <v>5</v>
      </c>
      <c r="C1157" t="s">
        <v>52</v>
      </c>
    </row>
    <row r="1158">
      <c r="A1158" s="23">
        <v>46483.0</v>
      </c>
      <c r="B1158" t="s">
        <v>49</v>
      </c>
      <c r="C1158" t="s">
        <v>47</v>
      </c>
    </row>
    <row r="1159">
      <c r="A1159" s="23">
        <v>46484.0</v>
      </c>
      <c r="B1159" t="s">
        <v>43</v>
      </c>
      <c r="C1159" t="s">
        <v>27</v>
      </c>
    </row>
    <row r="1160">
      <c r="A1160" s="23">
        <v>46484.0</v>
      </c>
      <c r="B1160" t="s">
        <v>26</v>
      </c>
      <c r="C1160" t="s">
        <v>35</v>
      </c>
    </row>
    <row r="1161">
      <c r="A1161" s="23">
        <v>46484.0</v>
      </c>
      <c r="B1161" t="s">
        <v>53</v>
      </c>
      <c r="C1161" t="s">
        <v>31</v>
      </c>
    </row>
    <row r="1162">
      <c r="A1162" s="23">
        <v>46484.0</v>
      </c>
      <c r="B1162" t="s">
        <v>37</v>
      </c>
      <c r="C1162" t="s">
        <v>39</v>
      </c>
    </row>
    <row r="1163">
      <c r="A1163" s="23">
        <v>46484.0</v>
      </c>
      <c r="B1163" t="s">
        <v>36</v>
      </c>
      <c r="C1163" t="s">
        <v>38</v>
      </c>
    </row>
    <row r="1164">
      <c r="A1164" s="23">
        <v>46484.0</v>
      </c>
      <c r="B1164" t="s">
        <v>33</v>
      </c>
      <c r="C1164" t="s">
        <v>42</v>
      </c>
    </row>
    <row r="1165">
      <c r="A1165" s="23">
        <v>46484.0</v>
      </c>
      <c r="B1165" t="s">
        <v>51</v>
      </c>
      <c r="C1165" t="s">
        <v>46</v>
      </c>
    </row>
    <row r="1166">
      <c r="A1166" s="23">
        <v>46484.0</v>
      </c>
      <c r="B1166" t="s">
        <v>5</v>
      </c>
      <c r="C1166" t="s">
        <v>48</v>
      </c>
    </row>
    <row r="1167">
      <c r="A1167" s="23">
        <v>46484.0</v>
      </c>
      <c r="B1167" t="s">
        <v>45</v>
      </c>
      <c r="C1167" t="s">
        <v>50</v>
      </c>
    </row>
    <row r="1168">
      <c r="A1168" s="23">
        <v>46485.0</v>
      </c>
      <c r="B1168" t="s">
        <v>28</v>
      </c>
      <c r="C1168" t="s">
        <v>40</v>
      </c>
    </row>
    <row r="1169">
      <c r="A1169" s="23">
        <v>46485.0</v>
      </c>
      <c r="B1169" t="s">
        <v>29</v>
      </c>
      <c r="C1169" t="s">
        <v>32</v>
      </c>
    </row>
    <row r="1170">
      <c r="A1170" s="23">
        <v>46485.0</v>
      </c>
      <c r="B1170" t="s">
        <v>44</v>
      </c>
      <c r="C1170" t="s">
        <v>41</v>
      </c>
    </row>
    <row r="1171">
      <c r="A1171" s="23">
        <v>46485.0</v>
      </c>
      <c r="B1171" t="s">
        <v>52</v>
      </c>
      <c r="C1171" t="s">
        <v>54</v>
      </c>
    </row>
    <row r="1172">
      <c r="A1172" s="23">
        <v>46485.0</v>
      </c>
      <c r="B1172" t="s">
        <v>47</v>
      </c>
      <c r="C1172" t="s">
        <v>30</v>
      </c>
    </row>
    <row r="1173">
      <c r="A1173" s="23">
        <v>46486.0</v>
      </c>
      <c r="B1173" t="s">
        <v>26</v>
      </c>
      <c r="C1173" t="s">
        <v>34</v>
      </c>
    </row>
    <row r="1174">
      <c r="A1174" s="23">
        <v>46486.0</v>
      </c>
      <c r="B1174" t="s">
        <v>37</v>
      </c>
      <c r="C1174" t="s">
        <v>36</v>
      </c>
    </row>
    <row r="1175">
      <c r="A1175" s="23">
        <v>46486.0</v>
      </c>
      <c r="B1175" t="s">
        <v>53</v>
      </c>
      <c r="C1175" t="s">
        <v>43</v>
      </c>
    </row>
    <row r="1176">
      <c r="A1176" s="23">
        <v>46486.0</v>
      </c>
      <c r="B1176" t="s">
        <v>27</v>
      </c>
      <c r="C1176" t="s">
        <v>29</v>
      </c>
    </row>
    <row r="1177">
      <c r="A1177" s="23">
        <v>46486.0</v>
      </c>
      <c r="B1177" t="s">
        <v>39</v>
      </c>
      <c r="C1177" t="s">
        <v>35</v>
      </c>
    </row>
    <row r="1178">
      <c r="A1178" s="23">
        <v>46486.0</v>
      </c>
      <c r="B1178" t="s">
        <v>32</v>
      </c>
      <c r="C1178" t="s">
        <v>38</v>
      </c>
    </row>
    <row r="1179">
      <c r="A1179" s="23">
        <v>46486.0</v>
      </c>
      <c r="B1179" t="s">
        <v>33</v>
      </c>
      <c r="C1179" t="s">
        <v>40</v>
      </c>
    </row>
    <row r="1180">
      <c r="A1180" s="23">
        <v>46486.0</v>
      </c>
      <c r="B1180" t="s">
        <v>47</v>
      </c>
      <c r="C1180" t="s">
        <v>30</v>
      </c>
    </row>
    <row r="1181">
      <c r="A1181" s="23">
        <v>46486.0</v>
      </c>
      <c r="B1181" t="s">
        <v>50</v>
      </c>
      <c r="C1181" t="s">
        <v>46</v>
      </c>
    </row>
    <row r="1182">
      <c r="A1182" s="23">
        <v>46486.0</v>
      </c>
      <c r="B1182" t="s">
        <v>52</v>
      </c>
      <c r="C1182" t="s">
        <v>41</v>
      </c>
    </row>
    <row r="1183">
      <c r="A1183" s="23">
        <v>46486.0</v>
      </c>
      <c r="B1183" t="s">
        <v>54</v>
      </c>
      <c r="C1183" t="s">
        <v>31</v>
      </c>
    </row>
    <row r="1184">
      <c r="A1184" s="23">
        <v>46486.0</v>
      </c>
      <c r="B1184" t="s">
        <v>5</v>
      </c>
      <c r="C1184" t="s">
        <v>48</v>
      </c>
    </row>
    <row r="1185">
      <c r="A1185" s="23">
        <v>46486.0</v>
      </c>
      <c r="B1185" t="s">
        <v>42</v>
      </c>
      <c r="C1185" t="s">
        <v>49</v>
      </c>
    </row>
    <row r="1186">
      <c r="A1186" s="23">
        <v>46486.0</v>
      </c>
      <c r="B1186" t="s">
        <v>45</v>
      </c>
      <c r="C1186" t="s">
        <v>51</v>
      </c>
    </row>
    <row r="1187">
      <c r="A1187" s="23">
        <v>46488.0</v>
      </c>
      <c r="B1187" t="s">
        <v>27</v>
      </c>
      <c r="C1187" t="s">
        <v>33</v>
      </c>
    </row>
    <row r="1188">
      <c r="A1188" s="23">
        <v>46488.0</v>
      </c>
      <c r="B1188" t="s">
        <v>36</v>
      </c>
      <c r="C1188" t="s">
        <v>28</v>
      </c>
    </row>
    <row r="1189">
      <c r="A1189" s="23">
        <v>46488.0</v>
      </c>
      <c r="B1189" t="s">
        <v>43</v>
      </c>
      <c r="C1189" t="s">
        <v>29</v>
      </c>
    </row>
    <row r="1190">
      <c r="A1190" s="23">
        <v>46488.0</v>
      </c>
      <c r="B1190" t="s">
        <v>38</v>
      </c>
      <c r="C1190" t="s">
        <v>44</v>
      </c>
    </row>
    <row r="1191">
      <c r="A1191" s="23">
        <v>46488.0</v>
      </c>
      <c r="B1191" t="s">
        <v>35</v>
      </c>
      <c r="C1191" t="s">
        <v>40</v>
      </c>
    </row>
    <row r="1192">
      <c r="A1192" s="23">
        <v>46488.0</v>
      </c>
      <c r="B1192" t="s">
        <v>34</v>
      </c>
      <c r="C1192" t="s">
        <v>53</v>
      </c>
    </row>
    <row r="1193">
      <c r="A1193" s="23">
        <v>46488.0</v>
      </c>
      <c r="B1193" t="s">
        <v>39</v>
      </c>
      <c r="C1193" t="s">
        <v>37</v>
      </c>
    </row>
    <row r="1194">
      <c r="A1194" s="23">
        <v>46488.0</v>
      </c>
      <c r="B1194" t="s">
        <v>32</v>
      </c>
      <c r="C1194" t="s">
        <v>26</v>
      </c>
    </row>
    <row r="1195">
      <c r="A1195" s="23">
        <v>46488.0</v>
      </c>
      <c r="B1195" t="s">
        <v>41</v>
      </c>
      <c r="C1195" t="s">
        <v>47</v>
      </c>
    </row>
    <row r="1196">
      <c r="A1196" s="23">
        <v>46488.0</v>
      </c>
      <c r="B1196" t="s">
        <v>51</v>
      </c>
      <c r="C1196" t="s">
        <v>52</v>
      </c>
    </row>
    <row r="1197">
      <c r="A1197" s="23">
        <v>46488.0</v>
      </c>
      <c r="B1197" t="s">
        <v>49</v>
      </c>
      <c r="C1197" t="s">
        <v>48</v>
      </c>
    </row>
    <row r="1198">
      <c r="A1198" s="23">
        <v>46488.0</v>
      </c>
      <c r="B1198" t="s">
        <v>30</v>
      </c>
      <c r="C1198" t="s">
        <v>54</v>
      </c>
    </row>
    <row r="1199">
      <c r="A1199" s="23">
        <v>46488.0</v>
      </c>
      <c r="B1199" t="s">
        <v>46</v>
      </c>
      <c r="C1199" t="s">
        <v>5</v>
      </c>
    </row>
    <row r="1200">
      <c r="A1200" s="23">
        <v>46488.0</v>
      </c>
      <c r="B1200" t="s">
        <v>42</v>
      </c>
      <c r="C1200" t="s">
        <v>45</v>
      </c>
    </row>
    <row r="1201">
      <c r="A1201" s="23">
        <v>46488.0</v>
      </c>
      <c r="B1201" t="s">
        <v>50</v>
      </c>
      <c r="C1201" t="s">
        <v>31</v>
      </c>
    </row>
    <row r="1202">
      <c r="A1202" s="23" t="s">
        <v>137</v>
      </c>
    </row>
    <row r="1203">
      <c r="A1203" s="23" t="s">
        <v>137</v>
      </c>
    </row>
    <row r="1204">
      <c r="A1204" s="23" t="s">
        <v>137</v>
      </c>
    </row>
    <row r="1205">
      <c r="A1205" s="23" t="s">
        <v>137</v>
      </c>
    </row>
    <row r="1206">
      <c r="A1206" s="23" t="s">
        <v>137</v>
      </c>
    </row>
    <row r="1207">
      <c r="A1207" s="23" t="s">
        <v>137</v>
      </c>
    </row>
    <row r="1208">
      <c r="A1208" s="23" t="s">
        <v>137</v>
      </c>
    </row>
    <row r="1209">
      <c r="A1209" s="23" t="s">
        <v>137</v>
      </c>
    </row>
    <row r="1210">
      <c r="A1210" s="23" t="s">
        <v>137</v>
      </c>
    </row>
    <row r="1211">
      <c r="A1211" s="23" t="s">
        <v>137</v>
      </c>
    </row>
    <row r="1212">
      <c r="A1212" s="23" t="s">
        <v>137</v>
      </c>
    </row>
    <row r="1213">
      <c r="A1213" s="23" t="s">
        <v>137</v>
      </c>
    </row>
    <row r="1214">
      <c r="A1214" s="23" t="s">
        <v>137</v>
      </c>
    </row>
    <row r="1215">
      <c r="A1215" s="23" t="s">
        <v>137</v>
      </c>
    </row>
    <row r="1216">
      <c r="A1216" s="23" t="s">
        <v>137</v>
      </c>
    </row>
    <row r="1217">
      <c r="A1217" s="23" t="s">
        <v>137</v>
      </c>
    </row>
    <row r="1218">
      <c r="A1218" s="23" t="s">
        <v>137</v>
      </c>
    </row>
    <row r="1219">
      <c r="A1219" s="23" t="s">
        <v>137</v>
      </c>
    </row>
    <row r="1220">
      <c r="A1220" s="23" t="s">
        <v>137</v>
      </c>
    </row>
    <row r="1221">
      <c r="A1221" s="23" t="s">
        <v>137</v>
      </c>
    </row>
    <row r="1222">
      <c r="A1222" s="23" t="s">
        <v>137</v>
      </c>
    </row>
    <row r="1223">
      <c r="A1223" s="23" t="s">
        <v>137</v>
      </c>
    </row>
    <row r="1224">
      <c r="A1224" s="23" t="s">
        <v>137</v>
      </c>
    </row>
    <row r="1225">
      <c r="A1225" s="23" t="s">
        <v>137</v>
      </c>
    </row>
    <row r="1226">
      <c r="A1226" s="23" t="s">
        <v>137</v>
      </c>
    </row>
    <row r="1227">
      <c r="A1227" s="23" t="s">
        <v>137</v>
      </c>
    </row>
    <row r="1228">
      <c r="A1228" s="23" t="s">
        <v>137</v>
      </c>
    </row>
    <row r="1229">
      <c r="A1229" s="23" t="s">
        <v>137</v>
      </c>
    </row>
    <row r="1230">
      <c r="A1230" s="23" t="s">
        <v>137</v>
      </c>
    </row>
    <row r="1231">
      <c r="A1231" s="23" t="s">
        <v>137</v>
      </c>
    </row>
    <row r="1232">
      <c r="A1232" s="23" t="s">
        <v>137</v>
      </c>
    </row>
    <row r="1233">
      <c r="A1233" s="23" t="s">
        <v>137</v>
      </c>
    </row>
    <row r="1234">
      <c r="A1234" s="23" t="s">
        <v>137</v>
      </c>
    </row>
    <row r="1235">
      <c r="A1235" s="23" t="s">
        <v>137</v>
      </c>
    </row>
    <row r="1236">
      <c r="A1236" s="23" t="s">
        <v>137</v>
      </c>
    </row>
    <row r="1237">
      <c r="A1237" s="23" t="s">
        <v>137</v>
      </c>
    </row>
    <row r="1238">
      <c r="A1238" s="23" t="s">
        <v>137</v>
      </c>
    </row>
    <row r="1239">
      <c r="A1239" s="23" t="s">
        <v>137</v>
      </c>
    </row>
    <row r="1240">
      <c r="A1240" s="23" t="s">
        <v>137</v>
      </c>
    </row>
    <row r="1241">
      <c r="A1241" s="23" t="s">
        <v>137</v>
      </c>
    </row>
    <row r="1242">
      <c r="A1242" s="23" t="s">
        <v>137</v>
      </c>
    </row>
    <row r="1243">
      <c r="A1243" s="23" t="s">
        <v>137</v>
      </c>
    </row>
    <row r="1244">
      <c r="A1244" s="23" t="s">
        <v>137</v>
      </c>
    </row>
    <row r="1245">
      <c r="A1245" s="23" t="s">
        <v>137</v>
      </c>
    </row>
    <row r="1246">
      <c r="A1246" s="23" t="s">
        <v>137</v>
      </c>
    </row>
    <row r="1247">
      <c r="A1247" s="23" t="s">
        <v>137</v>
      </c>
    </row>
    <row r="1248">
      <c r="A1248" s="23" t="s">
        <v>137</v>
      </c>
    </row>
    <row r="1249">
      <c r="A1249" s="23" t="s">
        <v>137</v>
      </c>
    </row>
    <row r="1250">
      <c r="A1250" s="23" t="s">
        <v>137</v>
      </c>
    </row>
    <row r="1251">
      <c r="A1251" s="23" t="s">
        <v>137</v>
      </c>
    </row>
    <row r="1252">
      <c r="A1252" s="23" t="s">
        <v>137</v>
      </c>
    </row>
    <row r="1253">
      <c r="A1253" s="23" t="s">
        <v>137</v>
      </c>
    </row>
    <row r="1254">
      <c r="A1254" s="23" t="s">
        <v>137</v>
      </c>
    </row>
    <row r="1255">
      <c r="A1255" s="23" t="s">
        <v>137</v>
      </c>
    </row>
    <row r="1256">
      <c r="A1256" s="23" t="s">
        <v>137</v>
      </c>
    </row>
    <row r="1257">
      <c r="A1257" s="23" t="s">
        <v>137</v>
      </c>
    </row>
    <row r="1258">
      <c r="A1258" s="23" t="s">
        <v>137</v>
      </c>
    </row>
    <row r="1259">
      <c r="A1259" s="23" t="s">
        <v>137</v>
      </c>
    </row>
    <row r="1260">
      <c r="A1260" s="23" t="s">
        <v>137</v>
      </c>
    </row>
    <row r="1261">
      <c r="A1261" s="23" t="s">
        <v>137</v>
      </c>
    </row>
    <row r="1262">
      <c r="A1262" s="23" t="s">
        <v>137</v>
      </c>
    </row>
    <row r="1263">
      <c r="A1263" s="23" t="s">
        <v>137</v>
      </c>
    </row>
    <row r="1264">
      <c r="A1264" s="23" t="s">
        <v>137</v>
      </c>
    </row>
    <row r="1265">
      <c r="A1265" s="23" t="s">
        <v>137</v>
      </c>
    </row>
    <row r="1266">
      <c r="A1266" s="23" t="s">
        <v>137</v>
      </c>
    </row>
    <row r="1267">
      <c r="A1267" s="23" t="s">
        <v>137</v>
      </c>
    </row>
    <row r="1268">
      <c r="A1268" s="23" t="s">
        <v>137</v>
      </c>
    </row>
    <row r="1269">
      <c r="A1269" s="23" t="s">
        <v>137</v>
      </c>
    </row>
    <row r="1270">
      <c r="A1270" s="23" t="s">
        <v>137</v>
      </c>
    </row>
    <row r="1271">
      <c r="A1271" s="23" t="s">
        <v>137</v>
      </c>
    </row>
    <row r="1272">
      <c r="A1272" s="23" t="s">
        <v>137</v>
      </c>
    </row>
    <row r="1273">
      <c r="A1273" s="23" t="s">
        <v>137</v>
      </c>
    </row>
    <row r="1274">
      <c r="A1274" s="23" t="s">
        <v>137</v>
      </c>
    </row>
    <row r="1275">
      <c r="A1275" s="23" t="s">
        <v>137</v>
      </c>
    </row>
    <row r="1276">
      <c r="A1276" s="23" t="s">
        <v>137</v>
      </c>
    </row>
    <row r="1277">
      <c r="A1277" s="23" t="s">
        <v>137</v>
      </c>
    </row>
    <row r="1278">
      <c r="A1278" s="23" t="s">
        <v>137</v>
      </c>
    </row>
    <row r="1279">
      <c r="A1279" s="23" t="s">
        <v>137</v>
      </c>
    </row>
    <row r="1280">
      <c r="A1280" s="23" t="s">
        <v>137</v>
      </c>
    </row>
    <row r="1281">
      <c r="A1281" s="23" t="s">
        <v>137</v>
      </c>
    </row>
    <row r="1282">
      <c r="A1282" s="23" t="s">
        <v>137</v>
      </c>
    </row>
    <row r="1283">
      <c r="A1283" s="23" t="s">
        <v>137</v>
      </c>
    </row>
    <row r="1284">
      <c r="A1284" s="23" t="s">
        <v>137</v>
      </c>
    </row>
    <row r="1285">
      <c r="A1285" s="23" t="s">
        <v>137</v>
      </c>
    </row>
    <row r="1286">
      <c r="A1286" s="23" t="s">
        <v>137</v>
      </c>
    </row>
    <row r="1287">
      <c r="A1287" s="23" t="s">
        <v>137</v>
      </c>
    </row>
    <row r="1288">
      <c r="A1288" s="23" t="s">
        <v>137</v>
      </c>
    </row>
    <row r="1289">
      <c r="A1289" s="23" t="s">
        <v>137</v>
      </c>
    </row>
    <row r="1290">
      <c r="A1290" s="23" t="s">
        <v>137</v>
      </c>
    </row>
    <row r="1291">
      <c r="A1291" s="23" t="s">
        <v>137</v>
      </c>
    </row>
    <row r="1292">
      <c r="A1292" s="23" t="s">
        <v>137</v>
      </c>
    </row>
    <row r="1293">
      <c r="A1293" s="23" t="s">
        <v>137</v>
      </c>
    </row>
    <row r="1294">
      <c r="A1294" s="23" t="s">
        <v>137</v>
      </c>
    </row>
    <row r="1295">
      <c r="A1295" s="23" t="s">
        <v>137</v>
      </c>
    </row>
    <row r="1296">
      <c r="A1296" s="23" t="s">
        <v>137</v>
      </c>
    </row>
    <row r="1297">
      <c r="A1297" s="23" t="s">
        <v>137</v>
      </c>
    </row>
    <row r="1298">
      <c r="A1298" s="23" t="s">
        <v>137</v>
      </c>
    </row>
    <row r="1299">
      <c r="A1299" s="23" t="s">
        <v>137</v>
      </c>
    </row>
    <row r="1300">
      <c r="A1300" s="23" t="s">
        <v>137</v>
      </c>
    </row>
    <row r="1301">
      <c r="A1301" s="23" t="s">
        <v>137</v>
      </c>
    </row>
    <row r="1302">
      <c r="A1302" s="23" t="s">
        <v>137</v>
      </c>
    </row>
    <row r="1303">
      <c r="A1303" s="23" t="s">
        <v>137</v>
      </c>
    </row>
    <row r="1304">
      <c r="A1304" s="23" t="s">
        <v>137</v>
      </c>
    </row>
    <row r="1305">
      <c r="A1305" s="23" t="s">
        <v>137</v>
      </c>
    </row>
    <row r="1306">
      <c r="A1306" s="23" t="s">
        <v>137</v>
      </c>
    </row>
    <row r="1307">
      <c r="A1307" s="23" t="s">
        <v>137</v>
      </c>
    </row>
    <row r="1308">
      <c r="A1308" s="23" t="s">
        <v>137</v>
      </c>
    </row>
    <row r="1309">
      <c r="A1309" s="23" t="s">
        <v>137</v>
      </c>
    </row>
    <row r="1310">
      <c r="A1310" s="23" t="s">
        <v>137</v>
      </c>
    </row>
    <row r="1311">
      <c r="A1311" s="23" t="s">
        <v>137</v>
      </c>
    </row>
    <row r="1312">
      <c r="A1312" s="23" t="s">
        <v>137</v>
      </c>
    </row>
    <row r="1313">
      <c r="A1313" s="23" t="s">
        <v>137</v>
      </c>
    </row>
    <row r="1314">
      <c r="A1314" s="23" t="s">
        <v>137</v>
      </c>
    </row>
    <row r="1315">
      <c r="A1315" s="23" t="s">
        <v>137</v>
      </c>
    </row>
    <row r="1316">
      <c r="A1316" s="23" t="s">
        <v>137</v>
      </c>
    </row>
    <row r="1317">
      <c r="A1317" s="23" t="s">
        <v>137</v>
      </c>
    </row>
    <row r="1318">
      <c r="A1318" s="23" t="s">
        <v>137</v>
      </c>
    </row>
    <row r="1319">
      <c r="A1319" s="23" t="s">
        <v>137</v>
      </c>
    </row>
    <row r="1320">
      <c r="A1320" s="23" t="s">
        <v>137</v>
      </c>
    </row>
    <row r="1321">
      <c r="A1321" s="23" t="s">
        <v>137</v>
      </c>
    </row>
    <row r="1322">
      <c r="A1322" s="23" t="s">
        <v>137</v>
      </c>
    </row>
    <row r="1323">
      <c r="A1323" s="23" t="s">
        <v>137</v>
      </c>
    </row>
    <row r="1324">
      <c r="A1324" s="23" t="s">
        <v>137</v>
      </c>
    </row>
    <row r="1325">
      <c r="A1325" s="23" t="s">
        <v>137</v>
      </c>
    </row>
    <row r="1326">
      <c r="A1326" s="23" t="s">
        <v>137</v>
      </c>
    </row>
    <row r="1327">
      <c r="A1327" s="23" t="s">
        <v>137</v>
      </c>
    </row>
    <row r="1328">
      <c r="A1328" s="23" t="s">
        <v>137</v>
      </c>
    </row>
    <row r="1329">
      <c r="A1329" s="23" t="s">
        <v>137</v>
      </c>
    </row>
    <row r="1330">
      <c r="A1330" s="23" t="s">
        <v>137</v>
      </c>
    </row>
    <row r="1331">
      <c r="A1331" s="23" t="s">
        <v>137</v>
      </c>
    </row>
    <row r="1332">
      <c r="A1332" s="23" t="s">
        <v>137</v>
      </c>
    </row>
    <row r="1333">
      <c r="A1333" s="23" t="s">
        <v>137</v>
      </c>
    </row>
    <row r="1334">
      <c r="A1334" s="23" t="s">
        <v>137</v>
      </c>
    </row>
    <row r="1335">
      <c r="A1335" s="23" t="s">
        <v>137</v>
      </c>
    </row>
    <row r="1336">
      <c r="A1336" s="23" t="s">
        <v>137</v>
      </c>
    </row>
    <row r="1337">
      <c r="A1337" s="23" t="s">
        <v>137</v>
      </c>
    </row>
    <row r="1338">
      <c r="A1338" s="23" t="s">
        <v>137</v>
      </c>
    </row>
    <row r="1339">
      <c r="A1339" s="23" t="s">
        <v>137</v>
      </c>
    </row>
    <row r="1340">
      <c r="A1340" s="23" t="s">
        <v>137</v>
      </c>
    </row>
    <row r="1341">
      <c r="A1341" s="23" t="s">
        <v>137</v>
      </c>
    </row>
    <row r="1342">
      <c r="A1342" s="23" t="s">
        <v>137</v>
      </c>
    </row>
    <row r="1343">
      <c r="A1343" s="23" t="s">
        <v>137</v>
      </c>
    </row>
    <row r="1344">
      <c r="A1344" s="23" t="s">
        <v>137</v>
      </c>
    </row>
    <row r="1345">
      <c r="A1345" s="23" t="s">
        <v>137</v>
      </c>
    </row>
    <row r="1346">
      <c r="A1346" s="23" t="s">
        <v>137</v>
      </c>
    </row>
    <row r="1347">
      <c r="A1347" s="23" t="s">
        <v>137</v>
      </c>
    </row>
    <row r="1348">
      <c r="A1348" s="23" t="s">
        <v>137</v>
      </c>
    </row>
    <row r="1349">
      <c r="A1349" s="23" t="s">
        <v>137</v>
      </c>
    </row>
    <row r="1350">
      <c r="A1350" s="23" t="s">
        <v>137</v>
      </c>
    </row>
    <row r="1351">
      <c r="A1351" s="23" t="s">
        <v>137</v>
      </c>
    </row>
    <row r="1352">
      <c r="A1352" s="23" t="s">
        <v>137</v>
      </c>
    </row>
    <row r="1353">
      <c r="A1353" s="23" t="s">
        <v>137</v>
      </c>
    </row>
    <row r="1354">
      <c r="A1354" s="23" t="s">
        <v>137</v>
      </c>
    </row>
    <row r="1355">
      <c r="A1355" s="23" t="s">
        <v>137</v>
      </c>
    </row>
    <row r="1356">
      <c r="A1356" s="23" t="s">
        <v>137</v>
      </c>
    </row>
    <row r="1357">
      <c r="A1357" s="23" t="s">
        <v>137</v>
      </c>
    </row>
    <row r="1358">
      <c r="A1358" s="23" t="s">
        <v>137</v>
      </c>
    </row>
    <row r="1359">
      <c r="A1359" s="23" t="s">
        <v>137</v>
      </c>
    </row>
    <row r="1360">
      <c r="A1360" s="23" t="s">
        <v>137</v>
      </c>
    </row>
    <row r="1361">
      <c r="A1361" s="23" t="s">
        <v>137</v>
      </c>
    </row>
    <row r="1362">
      <c r="A1362" s="23" t="s">
        <v>137</v>
      </c>
    </row>
    <row r="1363">
      <c r="A1363" s="23" t="s">
        <v>137</v>
      </c>
    </row>
    <row r="1364">
      <c r="A1364" s="23" t="s">
        <v>137</v>
      </c>
    </row>
    <row r="1365">
      <c r="A1365" s="23" t="s">
        <v>137</v>
      </c>
    </row>
    <row r="1366">
      <c r="A1366" s="23" t="s">
        <v>137</v>
      </c>
    </row>
    <row r="1367">
      <c r="A1367" s="23" t="s">
        <v>137</v>
      </c>
    </row>
    <row r="1368">
      <c r="A1368" s="23" t="s">
        <v>137</v>
      </c>
    </row>
    <row r="1369">
      <c r="A1369" s="23" t="s">
        <v>137</v>
      </c>
    </row>
    <row r="1370">
      <c r="A1370" s="23" t="s">
        <v>137</v>
      </c>
    </row>
    <row r="1371">
      <c r="A1371" s="23" t="s">
        <v>137</v>
      </c>
    </row>
    <row r="1372">
      <c r="A1372" s="23" t="s">
        <v>137</v>
      </c>
    </row>
    <row r="1373">
      <c r="A1373" s="23" t="s">
        <v>137</v>
      </c>
    </row>
    <row r="1374">
      <c r="A1374" s="23" t="s">
        <v>137</v>
      </c>
    </row>
    <row r="1375">
      <c r="A1375" s="23" t="s">
        <v>137</v>
      </c>
    </row>
    <row r="1376">
      <c r="A1376" s="23" t="s">
        <v>137</v>
      </c>
    </row>
    <row r="1377">
      <c r="A1377" s="23" t="s">
        <v>137</v>
      </c>
    </row>
    <row r="1378">
      <c r="A1378" s="23" t="s">
        <v>137</v>
      </c>
    </row>
    <row r="1379">
      <c r="A1379" s="23" t="s">
        <v>137</v>
      </c>
    </row>
    <row r="1380">
      <c r="A1380" s="23" t="s">
        <v>137</v>
      </c>
    </row>
    <row r="1381">
      <c r="A1381" s="23" t="s">
        <v>137</v>
      </c>
    </row>
    <row r="1382">
      <c r="A1382" s="23" t="s">
        <v>137</v>
      </c>
    </row>
    <row r="1383">
      <c r="A1383" s="23" t="s">
        <v>137</v>
      </c>
    </row>
    <row r="1384">
      <c r="A1384" s="23" t="s">
        <v>137</v>
      </c>
    </row>
    <row r="1385">
      <c r="A1385" s="23" t="s">
        <v>137</v>
      </c>
    </row>
    <row r="1386">
      <c r="A1386" s="23" t="s">
        <v>137</v>
      </c>
    </row>
    <row r="1387">
      <c r="A1387" s="23" t="s">
        <v>137</v>
      </c>
    </row>
    <row r="1388">
      <c r="A1388" s="23" t="s">
        <v>137</v>
      </c>
    </row>
    <row r="1389">
      <c r="A1389" s="23" t="s">
        <v>137</v>
      </c>
    </row>
    <row r="1390">
      <c r="A1390" s="23" t="s">
        <v>137</v>
      </c>
    </row>
    <row r="1391">
      <c r="A1391" s="23" t="s">
        <v>137</v>
      </c>
    </row>
    <row r="1392">
      <c r="A1392" s="23" t="s">
        <v>137</v>
      </c>
    </row>
    <row r="1393">
      <c r="A1393" s="23" t="s">
        <v>137</v>
      </c>
    </row>
    <row r="1394">
      <c r="A1394" s="23" t="s">
        <v>137</v>
      </c>
    </row>
    <row r="1395">
      <c r="A1395" s="23" t="s">
        <v>137</v>
      </c>
    </row>
    <row r="1396">
      <c r="A1396" s="23" t="s">
        <v>137</v>
      </c>
    </row>
    <row r="1397">
      <c r="A1397" s="23" t="s">
        <v>137</v>
      </c>
    </row>
    <row r="1398">
      <c r="A1398" s="23" t="s">
        <v>137</v>
      </c>
    </row>
    <row r="1399">
      <c r="A1399" s="23" t="s">
        <v>137</v>
      </c>
    </row>
    <row r="1400">
      <c r="A1400" s="23" t="s">
        <v>137</v>
      </c>
    </row>
    <row r="1401">
      <c r="A1401" s="23" t="s">
        <v>137</v>
      </c>
    </row>
    <row r="1402">
      <c r="A1402" s="23" t="s">
        <v>137</v>
      </c>
    </row>
    <row r="1403">
      <c r="A1403" s="23" t="s">
        <v>137</v>
      </c>
    </row>
    <row r="1404">
      <c r="A1404" s="23" t="s">
        <v>137</v>
      </c>
    </row>
    <row r="1405">
      <c r="A1405" s="23" t="s">
        <v>137</v>
      </c>
    </row>
    <row r="1406">
      <c r="A1406" s="23" t="s">
        <v>137</v>
      </c>
    </row>
    <row r="1407">
      <c r="A1407" s="23" t="s">
        <v>137</v>
      </c>
    </row>
    <row r="1408">
      <c r="A1408" s="23" t="s">
        <v>137</v>
      </c>
    </row>
    <row r="1409">
      <c r="A1409" s="23" t="s">
        <v>137</v>
      </c>
    </row>
    <row r="1410">
      <c r="A1410" s="23" t="s">
        <v>137</v>
      </c>
    </row>
    <row r="1411">
      <c r="A1411" s="23" t="s">
        <v>137</v>
      </c>
    </row>
    <row r="1412">
      <c r="A1412" s="23" t="s">
        <v>137</v>
      </c>
    </row>
    <row r="1413">
      <c r="A1413" s="23" t="s">
        <v>137</v>
      </c>
    </row>
    <row r="1414">
      <c r="A1414" s="23" t="s">
        <v>137</v>
      </c>
    </row>
    <row r="1415">
      <c r="A1415" s="23" t="s">
        <v>137</v>
      </c>
    </row>
    <row r="1416">
      <c r="A1416" s="23" t="s">
        <v>137</v>
      </c>
    </row>
    <row r="1417">
      <c r="A1417" s="23" t="s">
        <v>137</v>
      </c>
    </row>
    <row r="1418">
      <c r="A1418" s="23" t="s">
        <v>137</v>
      </c>
    </row>
    <row r="1419">
      <c r="A1419" s="23" t="s">
        <v>137</v>
      </c>
    </row>
    <row r="1420">
      <c r="A1420" s="23" t="s">
        <v>137</v>
      </c>
    </row>
    <row r="1421">
      <c r="A1421" s="23" t="s">
        <v>137</v>
      </c>
    </row>
    <row r="1422">
      <c r="A1422" s="23" t="s">
        <v>137</v>
      </c>
    </row>
    <row r="1423">
      <c r="A1423" s="23" t="s">
        <v>137</v>
      </c>
    </row>
    <row r="1424">
      <c r="A1424" s="23" t="s">
        <v>137</v>
      </c>
    </row>
    <row r="1425">
      <c r="A1425" s="23" t="s">
        <v>137</v>
      </c>
    </row>
    <row r="1426">
      <c r="A1426" s="23" t="s">
        <v>137</v>
      </c>
    </row>
    <row r="1427">
      <c r="A1427" s="23" t="s">
        <v>137</v>
      </c>
    </row>
    <row r="1428">
      <c r="A1428" s="23" t="s">
        <v>137</v>
      </c>
    </row>
    <row r="1429">
      <c r="A1429" s="23" t="s">
        <v>137</v>
      </c>
    </row>
    <row r="1430">
      <c r="A1430" s="23" t="s">
        <v>137</v>
      </c>
    </row>
    <row r="1431">
      <c r="A1431" s="23" t="s">
        <v>137</v>
      </c>
    </row>
    <row r="1432">
      <c r="A1432" s="23" t="s">
        <v>137</v>
      </c>
    </row>
    <row r="1433">
      <c r="A1433" s="23" t="s">
        <v>137</v>
      </c>
    </row>
    <row r="1434">
      <c r="A1434" s="23" t="s">
        <v>137</v>
      </c>
    </row>
    <row r="1435">
      <c r="A1435" s="23" t="s">
        <v>137</v>
      </c>
    </row>
    <row r="1436">
      <c r="A1436" s="23" t="s">
        <v>137</v>
      </c>
    </row>
    <row r="1437">
      <c r="A1437" s="23" t="s">
        <v>137</v>
      </c>
    </row>
    <row r="1438">
      <c r="A1438" s="23" t="s">
        <v>137</v>
      </c>
    </row>
    <row r="1439">
      <c r="A1439" s="23" t="s">
        <v>137</v>
      </c>
    </row>
    <row r="1440">
      <c r="A1440" s="23" t="s">
        <v>137</v>
      </c>
    </row>
    <row r="1441">
      <c r="A1441" s="23" t="s">
        <v>137</v>
      </c>
    </row>
    <row r="1442">
      <c r="A1442" s="23" t="s">
        <v>137</v>
      </c>
    </row>
    <row r="1443">
      <c r="A1443" s="23" t="s">
        <v>137</v>
      </c>
    </row>
    <row r="1444">
      <c r="A1444" s="23" t="s">
        <v>137</v>
      </c>
    </row>
    <row r="1445">
      <c r="A1445" s="23" t="s">
        <v>137</v>
      </c>
    </row>
    <row r="1446">
      <c r="A1446" s="23" t="s">
        <v>137</v>
      </c>
    </row>
    <row r="1447">
      <c r="A1447" s="23" t="s">
        <v>137</v>
      </c>
    </row>
    <row r="1448">
      <c r="A1448" s="23" t="s">
        <v>137</v>
      </c>
    </row>
    <row r="1449">
      <c r="A1449" s="23" t="s">
        <v>137</v>
      </c>
    </row>
    <row r="1450">
      <c r="A1450" s="23" t="s">
        <v>137</v>
      </c>
    </row>
    <row r="1451">
      <c r="A1451" s="23" t="s">
        <v>137</v>
      </c>
    </row>
    <row r="1452">
      <c r="A1452" s="23" t="s">
        <v>137</v>
      </c>
    </row>
    <row r="1453">
      <c r="A1453" s="23" t="s">
        <v>137</v>
      </c>
    </row>
    <row r="1454">
      <c r="A1454" s="23" t="s">
        <v>137</v>
      </c>
    </row>
    <row r="1455">
      <c r="A1455" s="23" t="s">
        <v>137</v>
      </c>
    </row>
    <row r="1456">
      <c r="A1456" s="23" t="s">
        <v>137</v>
      </c>
    </row>
    <row r="1457">
      <c r="A1457" s="23" t="s">
        <v>137</v>
      </c>
    </row>
    <row r="1458">
      <c r="A1458" s="23" t="s">
        <v>137</v>
      </c>
    </row>
    <row r="1459">
      <c r="A1459" s="23" t="s">
        <v>137</v>
      </c>
    </row>
    <row r="1460">
      <c r="A1460" s="23" t="s">
        <v>137</v>
      </c>
    </row>
    <row r="1461">
      <c r="A1461" s="23" t="s">
        <v>137</v>
      </c>
    </row>
    <row r="1462">
      <c r="A1462" s="23" t="s">
        <v>137</v>
      </c>
    </row>
    <row r="1463">
      <c r="A1463" s="23" t="s">
        <v>137</v>
      </c>
    </row>
    <row r="1464">
      <c r="A1464" s="23" t="s">
        <v>137</v>
      </c>
    </row>
    <row r="1465">
      <c r="A1465" s="23" t="s">
        <v>137</v>
      </c>
    </row>
    <row r="1466">
      <c r="A1466" s="23" t="s">
        <v>137</v>
      </c>
    </row>
    <row r="1467">
      <c r="A1467" s="23" t="s">
        <v>137</v>
      </c>
    </row>
    <row r="1468">
      <c r="A1468" s="23" t="s">
        <v>137</v>
      </c>
    </row>
    <row r="1469">
      <c r="A1469" s="23" t="s">
        <v>137</v>
      </c>
    </row>
    <row r="1470">
      <c r="A1470" s="23" t="s">
        <v>137</v>
      </c>
    </row>
    <row r="1471">
      <c r="A1471" s="23" t="s">
        <v>137</v>
      </c>
    </row>
    <row r="1472">
      <c r="A1472" s="23" t="s">
        <v>137</v>
      </c>
    </row>
    <row r="1473">
      <c r="A1473" s="23" t="s">
        <v>137</v>
      </c>
    </row>
    <row r="1474">
      <c r="A1474" s="23" t="s">
        <v>137</v>
      </c>
    </row>
    <row r="1475">
      <c r="A1475" s="23" t="s">
        <v>137</v>
      </c>
    </row>
    <row r="1476">
      <c r="A1476" s="23" t="s">
        <v>137</v>
      </c>
    </row>
    <row r="1477">
      <c r="A1477" s="23" t="s">
        <v>137</v>
      </c>
    </row>
    <row r="1478">
      <c r="A1478" s="23" t="s">
        <v>137</v>
      </c>
    </row>
    <row r="1479">
      <c r="A1479" s="23" t="s">
        <v>137</v>
      </c>
    </row>
    <row r="1480">
      <c r="A1480" s="23" t="s">
        <v>137</v>
      </c>
    </row>
    <row r="1481">
      <c r="A1481" s="23" t="s">
        <v>137</v>
      </c>
    </row>
    <row r="1482">
      <c r="A1482" s="23" t="s">
        <v>137</v>
      </c>
    </row>
    <row r="1483">
      <c r="A1483" s="23" t="s">
        <v>137</v>
      </c>
    </row>
    <row r="1484">
      <c r="A1484" s="23" t="s">
        <v>137</v>
      </c>
    </row>
    <row r="1485">
      <c r="A1485" s="23" t="s">
        <v>137</v>
      </c>
    </row>
    <row r="1486">
      <c r="A1486" s="23" t="s">
        <v>137</v>
      </c>
    </row>
    <row r="1487">
      <c r="A1487" s="23" t="s">
        <v>137</v>
      </c>
    </row>
    <row r="1488">
      <c r="A1488" s="23" t="s">
        <v>137</v>
      </c>
    </row>
    <row r="1489">
      <c r="A1489" s="23" t="s">
        <v>137</v>
      </c>
    </row>
    <row r="1490">
      <c r="A1490" s="23" t="s">
        <v>137</v>
      </c>
    </row>
    <row r="1491">
      <c r="A1491" s="23" t="s">
        <v>137</v>
      </c>
    </row>
    <row r="1492">
      <c r="A1492" s="23" t="s">
        <v>137</v>
      </c>
    </row>
    <row r="1493">
      <c r="A1493" s="23" t="s">
        <v>137</v>
      </c>
    </row>
    <row r="1494">
      <c r="A1494" s="23" t="s">
        <v>137</v>
      </c>
    </row>
    <row r="1495">
      <c r="A1495" s="23" t="s">
        <v>137</v>
      </c>
    </row>
    <row r="1496">
      <c r="A1496" s="23" t="s">
        <v>137</v>
      </c>
    </row>
    <row r="1497">
      <c r="A1497" s="23" t="s">
        <v>137</v>
      </c>
    </row>
    <row r="1498">
      <c r="A1498" s="23" t="s">
        <v>137</v>
      </c>
    </row>
    <row r="1499">
      <c r="A1499" s="23" t="s">
        <v>137</v>
      </c>
    </row>
    <row r="1500">
      <c r="A1500" s="23" t="s">
        <v>137</v>
      </c>
    </row>
    <row r="1501">
      <c r="A1501" s="23" t="s">
        <v>137</v>
      </c>
    </row>
    <row r="1502">
      <c r="A1502" s="23" t="s">
        <v>137</v>
      </c>
    </row>
    <row r="1503">
      <c r="A1503" s="23" t="s">
        <v>137</v>
      </c>
    </row>
    <row r="1504">
      <c r="A1504" s="23" t="s">
        <v>137</v>
      </c>
    </row>
    <row r="1505">
      <c r="A1505" s="23" t="s">
        <v>137</v>
      </c>
    </row>
    <row r="1506">
      <c r="A1506" s="23" t="s">
        <v>137</v>
      </c>
    </row>
    <row r="1507">
      <c r="A1507" s="23" t="s">
        <v>137</v>
      </c>
    </row>
    <row r="1508">
      <c r="A1508" s="23" t="s">
        <v>137</v>
      </c>
    </row>
    <row r="1509">
      <c r="A1509" s="23" t="s">
        <v>137</v>
      </c>
    </row>
    <row r="1510">
      <c r="A1510" s="23" t="s">
        <v>137</v>
      </c>
    </row>
    <row r="1511">
      <c r="A1511" s="23" t="s">
        <v>137</v>
      </c>
    </row>
    <row r="1512">
      <c r="A1512" s="23" t="s">
        <v>137</v>
      </c>
    </row>
    <row r="1513">
      <c r="A1513" s="23" t="s">
        <v>137</v>
      </c>
    </row>
    <row r="1514">
      <c r="A1514" s="23" t="s">
        <v>137</v>
      </c>
    </row>
    <row r="1515">
      <c r="A1515" s="23" t="s">
        <v>137</v>
      </c>
    </row>
    <row r="1516">
      <c r="A1516" s="23" t="s">
        <v>137</v>
      </c>
    </row>
    <row r="1517">
      <c r="A1517" s="23" t="s">
        <v>137</v>
      </c>
    </row>
    <row r="1518">
      <c r="A1518" s="23" t="s">
        <v>137</v>
      </c>
    </row>
    <row r="1519">
      <c r="A1519" s="23" t="s">
        <v>137</v>
      </c>
    </row>
    <row r="1520">
      <c r="A1520" s="23" t="s">
        <v>137</v>
      </c>
    </row>
    <row r="1521">
      <c r="A1521" s="23" t="s">
        <v>137</v>
      </c>
    </row>
    <row r="1522">
      <c r="A1522" s="23" t="s">
        <v>137</v>
      </c>
    </row>
    <row r="1523">
      <c r="A1523" s="23" t="s">
        <v>137</v>
      </c>
    </row>
    <row r="1524">
      <c r="A1524" s="23" t="s">
        <v>137</v>
      </c>
    </row>
    <row r="1525">
      <c r="A1525" s="23" t="s">
        <v>137</v>
      </c>
    </row>
    <row r="1526">
      <c r="A1526" s="23" t="s">
        <v>137</v>
      </c>
    </row>
    <row r="1527">
      <c r="A1527" s="23" t="s">
        <v>137</v>
      </c>
    </row>
    <row r="1528">
      <c r="A1528" s="23" t="s">
        <v>137</v>
      </c>
    </row>
    <row r="1529">
      <c r="A1529" s="23" t="s">
        <v>137</v>
      </c>
    </row>
    <row r="1530">
      <c r="A1530" s="23" t="s">
        <v>137</v>
      </c>
    </row>
    <row r="1531">
      <c r="A1531" s="23" t="s">
        <v>137</v>
      </c>
    </row>
    <row r="1532">
      <c r="A1532" s="23" t="s">
        <v>137</v>
      </c>
    </row>
    <row r="1533">
      <c r="A1533" s="23" t="s">
        <v>137</v>
      </c>
    </row>
    <row r="1534">
      <c r="A1534" s="23" t="s">
        <v>137</v>
      </c>
    </row>
    <row r="1535">
      <c r="A1535" s="23" t="s">
        <v>137</v>
      </c>
    </row>
    <row r="1536">
      <c r="A1536" s="23" t="s">
        <v>137</v>
      </c>
    </row>
    <row r="1537">
      <c r="A1537" s="23" t="s">
        <v>137</v>
      </c>
    </row>
    <row r="1538">
      <c r="A1538" s="23" t="s">
        <v>137</v>
      </c>
    </row>
    <row r="1539">
      <c r="A1539" s="23" t="s">
        <v>137</v>
      </c>
    </row>
    <row r="1540">
      <c r="A1540" s="23" t="s">
        <v>137</v>
      </c>
    </row>
    <row r="1541">
      <c r="A1541" s="23" t="s">
        <v>137</v>
      </c>
    </row>
    <row r="1542">
      <c r="A1542" s="23" t="s">
        <v>137</v>
      </c>
    </row>
    <row r="1543">
      <c r="A1543" s="23" t="s">
        <v>137</v>
      </c>
    </row>
    <row r="1544">
      <c r="A1544" s="23" t="s">
        <v>137</v>
      </c>
    </row>
    <row r="1545">
      <c r="A1545" s="23" t="s">
        <v>137</v>
      </c>
    </row>
    <row r="1546">
      <c r="A1546" s="23" t="s">
        <v>137</v>
      </c>
    </row>
    <row r="1547">
      <c r="A1547" s="23" t="s">
        <v>137</v>
      </c>
    </row>
    <row r="1548">
      <c r="A1548" s="23" t="s">
        <v>137</v>
      </c>
    </row>
    <row r="1549">
      <c r="A1549" s="23" t="s">
        <v>137</v>
      </c>
    </row>
    <row r="1550">
      <c r="A1550" s="23" t="s">
        <v>137</v>
      </c>
    </row>
    <row r="1551">
      <c r="A1551" s="23" t="s">
        <v>137</v>
      </c>
    </row>
    <row r="1552">
      <c r="A1552" s="23" t="s">
        <v>137</v>
      </c>
    </row>
    <row r="1553">
      <c r="A1553" s="23" t="s">
        <v>137</v>
      </c>
    </row>
    <row r="1554">
      <c r="A1554" s="23" t="s">
        <v>137</v>
      </c>
    </row>
    <row r="1555">
      <c r="A1555" s="23" t="s">
        <v>137</v>
      </c>
    </row>
    <row r="1556">
      <c r="A1556" s="23" t="s">
        <v>137</v>
      </c>
    </row>
    <row r="1557">
      <c r="A1557" s="23" t="s">
        <v>137</v>
      </c>
    </row>
    <row r="1558">
      <c r="A1558" s="23" t="s">
        <v>137</v>
      </c>
    </row>
    <row r="1559">
      <c r="A1559" s="23" t="s">
        <v>137</v>
      </c>
    </row>
    <row r="1560">
      <c r="A1560" s="23" t="s">
        <v>137</v>
      </c>
    </row>
    <row r="1561">
      <c r="A1561" s="23" t="s">
        <v>137</v>
      </c>
    </row>
    <row r="1562">
      <c r="A1562" s="23" t="s">
        <v>137</v>
      </c>
    </row>
    <row r="1563">
      <c r="A1563" s="23" t="s">
        <v>137</v>
      </c>
    </row>
    <row r="1564">
      <c r="A1564" s="23" t="s">
        <v>137</v>
      </c>
    </row>
    <row r="1565">
      <c r="A1565" s="23" t="s">
        <v>137</v>
      </c>
    </row>
    <row r="1566">
      <c r="A1566" s="23" t="s">
        <v>137</v>
      </c>
    </row>
    <row r="1567">
      <c r="A1567" s="23"/>
    </row>
    <row r="1568">
      <c r="A1568" s="23"/>
    </row>
    <row r="1569">
      <c r="A1569" s="23"/>
    </row>
    <row r="1570">
      <c r="A1570" s="23"/>
    </row>
    <row r="1571">
      <c r="A1571" s="23"/>
    </row>
    <row r="1572">
      <c r="A1572" s="23"/>
    </row>
    <row r="1573">
      <c r="A1573" s="23"/>
    </row>
    <row r="1574">
      <c r="A1574" s="23"/>
    </row>
    <row r="1575">
      <c r="A1575" s="23"/>
    </row>
    <row r="1576">
      <c r="A1576" s="23"/>
    </row>
    <row r="1577">
      <c r="A1577" s="23"/>
    </row>
    <row r="1578">
      <c r="A1578" s="23"/>
    </row>
    <row r="1579">
      <c r="A1579" s="23"/>
    </row>
    <row r="1580">
      <c r="A1580" s="23"/>
    </row>
    <row r="1581">
      <c r="A1581" s="23"/>
    </row>
    <row r="1582">
      <c r="A1582" s="23"/>
    </row>
    <row r="1583">
      <c r="A1583" s="23"/>
    </row>
    <row r="1584">
      <c r="A1584" s="23"/>
    </row>
    <row r="1585">
      <c r="A1585" s="23"/>
    </row>
    <row r="1586">
      <c r="A1586" s="23"/>
    </row>
    <row r="1587">
      <c r="A1587" s="23"/>
    </row>
    <row r="1588">
      <c r="A1588" s="23"/>
    </row>
    <row r="1589">
      <c r="A1589" s="23"/>
    </row>
    <row r="1590">
      <c r="A1590" s="23"/>
    </row>
    <row r="1591">
      <c r="A1591" s="23"/>
    </row>
    <row r="1592">
      <c r="A1592" s="23"/>
    </row>
    <row r="1593">
      <c r="A1593" s="23"/>
    </row>
    <row r="1594">
      <c r="A1594" s="23"/>
    </row>
    <row r="1595">
      <c r="A1595" s="23"/>
    </row>
    <row r="1596">
      <c r="A1596" s="23"/>
    </row>
    <row r="1597">
      <c r="A1597" s="23"/>
    </row>
    <row r="1598">
      <c r="A1598" s="23"/>
    </row>
    <row r="1599">
      <c r="A1599" s="23"/>
    </row>
    <row r="1600">
      <c r="A1600" s="23"/>
    </row>
    <row r="1601">
      <c r="A1601" s="23"/>
    </row>
    <row r="1602">
      <c r="A1602" s="23"/>
    </row>
    <row r="1603">
      <c r="A1603" s="23"/>
    </row>
    <row r="1604">
      <c r="A1604" s="23"/>
    </row>
    <row r="1605">
      <c r="A1605" s="23"/>
    </row>
    <row r="1606">
      <c r="A1606" s="23"/>
    </row>
    <row r="1607">
      <c r="A1607" s="23"/>
    </row>
    <row r="1608">
      <c r="A1608" s="23"/>
    </row>
    <row r="1609">
      <c r="A1609" s="23"/>
    </row>
    <row r="1610">
      <c r="A1610" s="23"/>
    </row>
    <row r="1611">
      <c r="A1611" s="23"/>
    </row>
    <row r="1612">
      <c r="A1612" s="23"/>
    </row>
    <row r="1613">
      <c r="A1613" s="23"/>
    </row>
    <row r="1614">
      <c r="A1614" s="23"/>
    </row>
    <row r="1615">
      <c r="A1615" s="23"/>
    </row>
    <row r="1616">
      <c r="A1616" s="23"/>
    </row>
    <row r="1617">
      <c r="A1617" s="23"/>
    </row>
    <row r="1618">
      <c r="A1618" s="23"/>
    </row>
    <row r="1619">
      <c r="A1619" s="23"/>
    </row>
    <row r="1620">
      <c r="A1620" s="23"/>
    </row>
    <row r="1621">
      <c r="A1621" s="23"/>
    </row>
    <row r="1622">
      <c r="A1622" s="23"/>
    </row>
    <row r="1623">
      <c r="A1623" s="23"/>
    </row>
    <row r="1624">
      <c r="A1624" s="23"/>
    </row>
    <row r="1625">
      <c r="A1625" s="23"/>
    </row>
    <row r="1626">
      <c r="A1626" s="23"/>
    </row>
    <row r="1627">
      <c r="A1627" s="23"/>
    </row>
    <row r="1628">
      <c r="A1628" s="23"/>
    </row>
    <row r="1629">
      <c r="A1629" s="23"/>
    </row>
    <row r="1630">
      <c r="A1630" s="23"/>
    </row>
    <row r="1631">
      <c r="A1631" s="23"/>
    </row>
    <row r="1632">
      <c r="A1632" s="23"/>
    </row>
    <row r="1633">
      <c r="A1633" s="23"/>
    </row>
    <row r="1634">
      <c r="A1634" s="23"/>
    </row>
    <row r="1635">
      <c r="A1635" s="23"/>
    </row>
    <row r="1636">
      <c r="A1636" s="23"/>
    </row>
    <row r="1637">
      <c r="A1637" s="23"/>
    </row>
    <row r="1638">
      <c r="A1638" s="23"/>
    </row>
    <row r="1639">
      <c r="A1639" s="23"/>
    </row>
    <row r="1640">
      <c r="A1640" s="23"/>
    </row>
    <row r="1641">
      <c r="A1641" s="23"/>
    </row>
    <row r="1642">
      <c r="A1642" s="23"/>
    </row>
    <row r="1643">
      <c r="A1643" s="23"/>
    </row>
    <row r="1644">
      <c r="A1644" s="23"/>
    </row>
    <row r="1645">
      <c r="A1645" s="23"/>
    </row>
    <row r="1646">
      <c r="A1646" s="23"/>
    </row>
    <row r="1647">
      <c r="A1647" s="23"/>
    </row>
    <row r="1648">
      <c r="A1648" s="23"/>
    </row>
    <row r="1649">
      <c r="A1649" s="23"/>
    </row>
    <row r="1650">
      <c r="A1650" s="23"/>
    </row>
    <row r="1651">
      <c r="A1651" s="23"/>
    </row>
    <row r="1652">
      <c r="A1652" s="23"/>
    </row>
    <row r="1653">
      <c r="A1653" s="23"/>
    </row>
    <row r="1654">
      <c r="A1654" s="23"/>
    </row>
    <row r="1655">
      <c r="A1655" s="23"/>
    </row>
    <row r="1656">
      <c r="A1656" s="23"/>
    </row>
    <row r="1657">
      <c r="A1657" s="23"/>
    </row>
    <row r="1658">
      <c r="A1658" s="23"/>
    </row>
    <row r="1659">
      <c r="A1659" s="23"/>
    </row>
    <row r="1660">
      <c r="A1660" s="23"/>
    </row>
    <row r="1661">
      <c r="A1661" s="23"/>
    </row>
    <row r="1662">
      <c r="A1662" s="23"/>
    </row>
    <row r="1663">
      <c r="A1663" s="23"/>
    </row>
    <row r="1664">
      <c r="A1664" s="23"/>
    </row>
    <row r="1665">
      <c r="A1665" s="23"/>
    </row>
    <row r="1666">
      <c r="A1666" s="23"/>
    </row>
    <row r="1667">
      <c r="A1667" s="23"/>
    </row>
    <row r="1668">
      <c r="A1668" s="23"/>
    </row>
    <row r="1669">
      <c r="A1669" s="23"/>
    </row>
    <row r="1670">
      <c r="A1670" s="23"/>
    </row>
    <row r="1671">
      <c r="A1671" s="23"/>
    </row>
    <row r="1672">
      <c r="A1672" s="23"/>
    </row>
    <row r="1673">
      <c r="A1673" s="23"/>
    </row>
    <row r="1674">
      <c r="A1674" s="23"/>
    </row>
    <row r="1675">
      <c r="A1675" s="23"/>
    </row>
    <row r="1676">
      <c r="A1676" s="23"/>
    </row>
    <row r="1677">
      <c r="A1677" s="23"/>
    </row>
    <row r="1678">
      <c r="A1678" s="23"/>
    </row>
    <row r="1679">
      <c r="A1679" s="23"/>
    </row>
    <row r="1680">
      <c r="A1680" s="23"/>
    </row>
    <row r="1681">
      <c r="A1681" s="23"/>
    </row>
    <row r="1682">
      <c r="A1682" s="23"/>
    </row>
    <row r="1683">
      <c r="A1683" s="23"/>
    </row>
    <row r="1684">
      <c r="A1684" s="23"/>
    </row>
    <row r="1685">
      <c r="A1685" s="23"/>
    </row>
    <row r="1686">
      <c r="A1686" s="23"/>
    </row>
    <row r="1687">
      <c r="A1687" s="23"/>
    </row>
    <row r="1688">
      <c r="A1688" s="23"/>
    </row>
    <row r="1689">
      <c r="A1689" s="23"/>
    </row>
    <row r="1690">
      <c r="A1690" s="23"/>
    </row>
    <row r="1691">
      <c r="A1691" s="23"/>
    </row>
    <row r="1692">
      <c r="A1692" s="23"/>
    </row>
    <row r="1693">
      <c r="A1693" s="23"/>
    </row>
    <row r="1694">
      <c r="A1694" s="23"/>
    </row>
    <row r="1695">
      <c r="A1695" s="23"/>
    </row>
    <row r="1696">
      <c r="A1696" s="23"/>
    </row>
    <row r="1697">
      <c r="A1697" s="23"/>
    </row>
    <row r="1698">
      <c r="A1698" s="23"/>
    </row>
    <row r="1699">
      <c r="A1699" s="23"/>
    </row>
    <row r="1700">
      <c r="A1700" s="23"/>
    </row>
    <row r="1701">
      <c r="A1701" s="23"/>
    </row>
    <row r="1702">
      <c r="A1702" s="23"/>
    </row>
    <row r="1703">
      <c r="A1703" s="23"/>
    </row>
    <row r="1704">
      <c r="A1704" s="23"/>
    </row>
    <row r="1705">
      <c r="A1705" s="23"/>
    </row>
    <row r="1706">
      <c r="A1706" s="23"/>
    </row>
    <row r="1707">
      <c r="A1707" s="23"/>
    </row>
    <row r="1708">
      <c r="A1708" s="23"/>
    </row>
    <row r="1709">
      <c r="A1709" s="23"/>
    </row>
    <row r="1710">
      <c r="A1710" s="23"/>
    </row>
    <row r="1711">
      <c r="A1711" s="23"/>
    </row>
    <row r="1712">
      <c r="A1712" s="23"/>
    </row>
    <row r="1713">
      <c r="A1713" s="23"/>
    </row>
    <row r="1714">
      <c r="A1714" s="23"/>
    </row>
    <row r="1715">
      <c r="A1715" s="23"/>
    </row>
    <row r="1716">
      <c r="A1716" s="23"/>
    </row>
    <row r="1717">
      <c r="A1717" s="23"/>
    </row>
    <row r="1718">
      <c r="A1718" s="23"/>
    </row>
    <row r="1719">
      <c r="A1719" s="23"/>
    </row>
    <row r="1720">
      <c r="A1720" s="23"/>
    </row>
    <row r="1721">
      <c r="A1721" s="23"/>
    </row>
    <row r="1722">
      <c r="A1722" s="23"/>
    </row>
    <row r="1723">
      <c r="A1723" s="23"/>
    </row>
    <row r="1724">
      <c r="A1724" s="23"/>
    </row>
    <row r="1725">
      <c r="A1725" s="23"/>
    </row>
    <row r="1726">
      <c r="A1726" s="23"/>
    </row>
    <row r="1727">
      <c r="A1727" s="23"/>
    </row>
    <row r="1728">
      <c r="A1728" s="23"/>
    </row>
    <row r="1729">
      <c r="A1729" s="23"/>
    </row>
    <row r="1730">
      <c r="A1730" s="23"/>
    </row>
    <row r="1731">
      <c r="A1731" s="23"/>
    </row>
    <row r="1732">
      <c r="A1732" s="23"/>
    </row>
    <row r="1733">
      <c r="A1733" s="23"/>
    </row>
    <row r="1734">
      <c r="A1734" s="23"/>
    </row>
    <row r="1735">
      <c r="A1735" s="23"/>
    </row>
    <row r="1736">
      <c r="A1736" s="23"/>
    </row>
    <row r="1737">
      <c r="A1737" s="23"/>
    </row>
    <row r="1738">
      <c r="A1738" s="23"/>
    </row>
    <row r="1739">
      <c r="A1739" s="23"/>
    </row>
    <row r="1740">
      <c r="A1740" s="23"/>
    </row>
    <row r="1741">
      <c r="A1741" s="23"/>
    </row>
    <row r="1742">
      <c r="A1742" s="23"/>
    </row>
    <row r="1743">
      <c r="A1743" s="23"/>
    </row>
    <row r="1744">
      <c r="A1744" s="23"/>
    </row>
    <row r="1745">
      <c r="A1745" s="23"/>
    </row>
    <row r="1746">
      <c r="A1746" s="23"/>
    </row>
    <row r="1747">
      <c r="A1747" s="23"/>
    </row>
    <row r="1748">
      <c r="A1748" s="23"/>
    </row>
    <row r="1749">
      <c r="A1749" s="23"/>
    </row>
    <row r="1750">
      <c r="A1750" s="23"/>
    </row>
    <row r="1751">
      <c r="A1751" s="23"/>
    </row>
    <row r="1752">
      <c r="A1752" s="23"/>
    </row>
    <row r="1753">
      <c r="A1753" s="23"/>
    </row>
    <row r="1754">
      <c r="A1754" s="23"/>
    </row>
    <row r="1755">
      <c r="A1755" s="23"/>
    </row>
    <row r="1756">
      <c r="A1756" s="23"/>
    </row>
    <row r="1757">
      <c r="A1757" s="23"/>
    </row>
    <row r="1758">
      <c r="A1758" s="23"/>
    </row>
    <row r="1759">
      <c r="A1759" s="23"/>
    </row>
    <row r="1760">
      <c r="A1760" s="23"/>
    </row>
    <row r="1761">
      <c r="A1761" s="23"/>
    </row>
    <row r="1762">
      <c r="A1762" s="23"/>
    </row>
    <row r="1763">
      <c r="A1763" s="23"/>
    </row>
    <row r="1764">
      <c r="A1764" s="23"/>
    </row>
    <row r="1765">
      <c r="A1765" s="23"/>
    </row>
    <row r="1766">
      <c r="A1766" s="23"/>
    </row>
    <row r="1767">
      <c r="A1767" s="23"/>
    </row>
    <row r="1768">
      <c r="A1768" s="23"/>
    </row>
    <row r="1769">
      <c r="A1769" s="23"/>
    </row>
    <row r="1770">
      <c r="A1770" s="23"/>
    </row>
    <row r="1771">
      <c r="A1771" s="23"/>
    </row>
    <row r="1772">
      <c r="A1772" s="23"/>
    </row>
    <row r="1773">
      <c r="A1773" s="23"/>
    </row>
    <row r="1774">
      <c r="A1774" s="23"/>
    </row>
    <row r="1775">
      <c r="A1775" s="23"/>
    </row>
    <row r="1776">
      <c r="A1776" s="23"/>
    </row>
    <row r="1777">
      <c r="A1777" s="23"/>
    </row>
    <row r="1778">
      <c r="A1778" s="23"/>
    </row>
    <row r="1779">
      <c r="A1779" s="23"/>
    </row>
    <row r="1780">
      <c r="A1780" s="23"/>
    </row>
    <row r="1781">
      <c r="A1781" s="23"/>
    </row>
    <row r="1782">
      <c r="A1782" s="23"/>
    </row>
    <row r="1783">
      <c r="A1783" s="23"/>
    </row>
    <row r="1784">
      <c r="A1784" s="23"/>
    </row>
    <row r="1785">
      <c r="A1785" s="23"/>
    </row>
    <row r="1786">
      <c r="A1786" s="23"/>
    </row>
    <row r="1787">
      <c r="A1787" s="23"/>
    </row>
    <row r="1788">
      <c r="A1788" s="23"/>
    </row>
    <row r="1789">
      <c r="A1789" s="23"/>
    </row>
    <row r="1790">
      <c r="A1790" s="23"/>
    </row>
    <row r="1791">
      <c r="A1791" s="23"/>
    </row>
    <row r="1792">
      <c r="A1792" s="23"/>
    </row>
    <row r="1793">
      <c r="A1793" s="23"/>
    </row>
    <row r="1794">
      <c r="A1794" s="23"/>
    </row>
    <row r="1795">
      <c r="A1795" s="23"/>
    </row>
    <row r="1796">
      <c r="A1796" s="23"/>
    </row>
    <row r="1797">
      <c r="A1797" s="23"/>
    </row>
    <row r="1798">
      <c r="A1798" s="23"/>
    </row>
    <row r="1799">
      <c r="A1799" s="23"/>
    </row>
    <row r="1800">
      <c r="A1800" s="23"/>
    </row>
    <row r="1801">
      <c r="A1801" s="23"/>
    </row>
    <row r="1802">
      <c r="A1802" s="23"/>
    </row>
    <row r="1803">
      <c r="A1803" s="23"/>
    </row>
    <row r="1804">
      <c r="A1804" s="23"/>
    </row>
    <row r="1805">
      <c r="A1805" s="23"/>
    </row>
    <row r="1806">
      <c r="A1806" s="23"/>
    </row>
    <row r="1807">
      <c r="A1807" s="23"/>
    </row>
    <row r="1808">
      <c r="A1808" s="23"/>
    </row>
    <row r="1809">
      <c r="A1809" s="23"/>
    </row>
    <row r="1810">
      <c r="A1810" s="23"/>
    </row>
    <row r="1811">
      <c r="A1811" s="23"/>
    </row>
    <row r="1812">
      <c r="A1812" s="23"/>
    </row>
    <row r="1813">
      <c r="A1813" s="23"/>
    </row>
    <row r="1814">
      <c r="A1814" s="23"/>
    </row>
    <row r="1815">
      <c r="A1815" s="23"/>
    </row>
    <row r="1816">
      <c r="A1816" s="23"/>
    </row>
    <row r="1817">
      <c r="A1817" s="23"/>
    </row>
    <row r="1818">
      <c r="A1818" s="23"/>
    </row>
    <row r="1819">
      <c r="A1819" s="23"/>
    </row>
    <row r="1820">
      <c r="A1820" s="23"/>
    </row>
    <row r="1821">
      <c r="A1821" s="23"/>
    </row>
    <row r="1822">
      <c r="A1822" s="23"/>
    </row>
    <row r="1823">
      <c r="A1823" s="23"/>
    </row>
    <row r="1824">
      <c r="A1824" s="23"/>
    </row>
    <row r="1825">
      <c r="A1825" s="23"/>
    </row>
    <row r="1826">
      <c r="A1826" s="23"/>
    </row>
    <row r="1827">
      <c r="A1827" s="23"/>
    </row>
    <row r="1828">
      <c r="A1828" s="23"/>
    </row>
    <row r="1829">
      <c r="A1829" s="23"/>
    </row>
    <row r="1830">
      <c r="A1830" s="23"/>
    </row>
    <row r="1831">
      <c r="A1831" s="23"/>
    </row>
    <row r="1832">
      <c r="A1832" s="23"/>
    </row>
    <row r="1833">
      <c r="A1833" s="23"/>
    </row>
    <row r="1834">
      <c r="A1834" s="23"/>
    </row>
    <row r="1835">
      <c r="A1835" s="23"/>
    </row>
    <row r="1836">
      <c r="A1836" s="23"/>
    </row>
    <row r="1837">
      <c r="A1837" s="23"/>
    </row>
    <row r="1838">
      <c r="A1838" s="23"/>
    </row>
    <row r="1839">
      <c r="A1839" s="23"/>
    </row>
    <row r="1840">
      <c r="A1840" s="23"/>
    </row>
    <row r="1841">
      <c r="A1841" s="23"/>
    </row>
    <row r="1842">
      <c r="A1842" s="23"/>
    </row>
    <row r="1843">
      <c r="A1843" s="23"/>
    </row>
    <row r="1844">
      <c r="A1844" s="23"/>
    </row>
    <row r="1845">
      <c r="A1845" s="23"/>
    </row>
    <row r="1846">
      <c r="A1846" s="23"/>
    </row>
    <row r="1847">
      <c r="A1847" s="23"/>
    </row>
    <row r="1848">
      <c r="A1848" s="23"/>
    </row>
    <row r="1849">
      <c r="A1849" s="23"/>
    </row>
    <row r="1850">
      <c r="A1850" s="23"/>
    </row>
    <row r="1851">
      <c r="A1851" s="23"/>
    </row>
    <row r="1852">
      <c r="A1852" s="23"/>
    </row>
    <row r="1853">
      <c r="A1853" s="23"/>
    </row>
    <row r="1854">
      <c r="A1854" s="23"/>
    </row>
    <row r="1855">
      <c r="A1855" s="23"/>
    </row>
    <row r="1856">
      <c r="A1856" s="23"/>
    </row>
    <row r="1857">
      <c r="A1857" s="23"/>
    </row>
    <row r="1858">
      <c r="A1858" s="23"/>
    </row>
    <row r="1859">
      <c r="A1859" s="23"/>
    </row>
    <row r="1860">
      <c r="A1860" s="23"/>
    </row>
    <row r="1861">
      <c r="A1861" s="23"/>
    </row>
    <row r="1862">
      <c r="A1862" s="23"/>
    </row>
    <row r="1863">
      <c r="A1863" s="23"/>
    </row>
    <row r="1864">
      <c r="A1864" s="23"/>
    </row>
    <row r="1865">
      <c r="A1865" s="23"/>
    </row>
    <row r="1866">
      <c r="A1866" s="23"/>
    </row>
    <row r="1867">
      <c r="A1867" s="23"/>
    </row>
    <row r="1868">
      <c r="A1868" s="23"/>
    </row>
    <row r="1869">
      <c r="A1869" s="23"/>
    </row>
    <row r="1870">
      <c r="A1870" s="23"/>
    </row>
    <row r="1871">
      <c r="A1871" s="23"/>
    </row>
    <row r="1872">
      <c r="A1872" s="23"/>
    </row>
    <row r="1873">
      <c r="A1873" s="23"/>
    </row>
    <row r="1874">
      <c r="A1874" s="23"/>
    </row>
    <row r="1875">
      <c r="A1875" s="23"/>
    </row>
    <row r="1876">
      <c r="A1876" s="23"/>
    </row>
    <row r="1877">
      <c r="A1877" s="23"/>
    </row>
    <row r="1878">
      <c r="A1878" s="23"/>
    </row>
    <row r="1879">
      <c r="A1879" s="23"/>
    </row>
    <row r="1880">
      <c r="A1880" s="23"/>
    </row>
    <row r="1881">
      <c r="A1881" s="23"/>
    </row>
    <row r="1882">
      <c r="A1882" s="23"/>
    </row>
    <row r="1883">
      <c r="A1883" s="23"/>
    </row>
    <row r="1884">
      <c r="A1884" s="23"/>
    </row>
    <row r="1885">
      <c r="A1885" s="23"/>
    </row>
    <row r="1886">
      <c r="A1886" s="23"/>
    </row>
    <row r="1887">
      <c r="A1887" s="23"/>
    </row>
    <row r="1888">
      <c r="A1888" s="23"/>
    </row>
    <row r="1889">
      <c r="A1889" s="23"/>
    </row>
    <row r="1890">
      <c r="A1890" s="23"/>
    </row>
    <row r="1891">
      <c r="A1891" s="23"/>
    </row>
    <row r="1892">
      <c r="A1892" s="23"/>
    </row>
    <row r="1893">
      <c r="A1893" s="23"/>
    </row>
    <row r="1894">
      <c r="A1894" s="23"/>
    </row>
    <row r="1895">
      <c r="A1895" s="23"/>
    </row>
    <row r="1896">
      <c r="A1896" s="23"/>
    </row>
    <row r="1897">
      <c r="A1897" s="23"/>
    </row>
    <row r="1898">
      <c r="A1898" s="23"/>
    </row>
    <row r="1899">
      <c r="A1899" s="23"/>
    </row>
    <row r="1900">
      <c r="A1900" s="23"/>
    </row>
    <row r="1901">
      <c r="A1901" s="23"/>
    </row>
    <row r="1902">
      <c r="A1902" s="23"/>
    </row>
    <row r="1903">
      <c r="A1903" s="23"/>
    </row>
    <row r="1904">
      <c r="A1904" s="23"/>
    </row>
    <row r="1905">
      <c r="A1905" s="23"/>
    </row>
    <row r="1906">
      <c r="A1906" s="23"/>
    </row>
    <row r="1907">
      <c r="A1907" s="23"/>
    </row>
    <row r="1908">
      <c r="A1908" s="23"/>
    </row>
    <row r="1909">
      <c r="A1909" s="23"/>
    </row>
    <row r="1910">
      <c r="A1910" s="23"/>
    </row>
    <row r="1911">
      <c r="A1911" s="23"/>
    </row>
    <row r="1912">
      <c r="A1912" s="23"/>
    </row>
    <row r="1913">
      <c r="A1913" s="23"/>
    </row>
    <row r="1914">
      <c r="A1914" s="23"/>
    </row>
    <row r="1915">
      <c r="A1915" s="23"/>
    </row>
    <row r="1916">
      <c r="A1916" s="23"/>
    </row>
    <row r="1917">
      <c r="A1917" s="23"/>
    </row>
    <row r="1918">
      <c r="A1918" s="23"/>
    </row>
    <row r="1919">
      <c r="A1919" s="23"/>
    </row>
    <row r="1920">
      <c r="A1920" s="23"/>
    </row>
    <row r="1921">
      <c r="A1921" s="23"/>
    </row>
    <row r="1922">
      <c r="A1922" s="23"/>
    </row>
    <row r="1923">
      <c r="A1923" s="23"/>
    </row>
    <row r="1924">
      <c r="A1924" s="23"/>
    </row>
    <row r="1925">
      <c r="A1925" s="23"/>
    </row>
    <row r="1926">
      <c r="A1926" s="23"/>
    </row>
    <row r="1927">
      <c r="A1927" s="23"/>
    </row>
    <row r="1928">
      <c r="A1928" s="23"/>
    </row>
    <row r="1929">
      <c r="A1929" s="23"/>
    </row>
    <row r="1930">
      <c r="A1930" s="23"/>
    </row>
    <row r="1931">
      <c r="A1931" s="23"/>
    </row>
    <row r="1932">
      <c r="A1932" s="23"/>
    </row>
    <row r="1933">
      <c r="A1933" s="23"/>
    </row>
    <row r="1934">
      <c r="A1934" s="23"/>
    </row>
    <row r="1935">
      <c r="A1935" s="23"/>
    </row>
    <row r="1936">
      <c r="A1936" s="23"/>
    </row>
    <row r="1937">
      <c r="A1937" s="23"/>
    </row>
    <row r="1938">
      <c r="A1938" s="23"/>
    </row>
    <row r="1939">
      <c r="A1939" s="23"/>
    </row>
    <row r="1940">
      <c r="A1940" s="23"/>
    </row>
    <row r="1941">
      <c r="A1941" s="23"/>
    </row>
    <row r="1942">
      <c r="A1942" s="23"/>
    </row>
    <row r="1943">
      <c r="A1943" s="23"/>
    </row>
    <row r="1944">
      <c r="A1944" s="23"/>
    </row>
    <row r="1945">
      <c r="A1945" s="23"/>
    </row>
    <row r="1946">
      <c r="A1946" s="23"/>
    </row>
    <row r="1947">
      <c r="A1947" s="23"/>
    </row>
    <row r="1948">
      <c r="A1948" s="23"/>
    </row>
    <row r="1949">
      <c r="A1949" s="23"/>
    </row>
    <row r="1950">
      <c r="A1950" s="23"/>
    </row>
    <row r="1951">
      <c r="A1951" s="23"/>
    </row>
    <row r="1952">
      <c r="A1952" s="23"/>
    </row>
    <row r="1953">
      <c r="A1953" s="23"/>
    </row>
    <row r="1954">
      <c r="A1954" s="23"/>
    </row>
    <row r="1955">
      <c r="A1955" s="23"/>
    </row>
    <row r="1956">
      <c r="A1956" s="23"/>
    </row>
    <row r="1957">
      <c r="A1957" s="23"/>
    </row>
    <row r="1958">
      <c r="A1958" s="23"/>
    </row>
    <row r="1959">
      <c r="A1959" s="23"/>
    </row>
    <row r="1960">
      <c r="A1960" s="23"/>
    </row>
    <row r="1961">
      <c r="A1961" s="23"/>
    </row>
    <row r="1962">
      <c r="A1962" s="23"/>
    </row>
    <row r="1963">
      <c r="A1963" s="23"/>
    </row>
    <row r="1964">
      <c r="A1964" s="23"/>
    </row>
    <row r="1965">
      <c r="A1965" s="23"/>
    </row>
    <row r="1966">
      <c r="A1966" s="23"/>
    </row>
    <row r="1967">
      <c r="A1967" s="23"/>
    </row>
    <row r="1968">
      <c r="A1968" s="23"/>
    </row>
    <row r="1969">
      <c r="A1969" s="23"/>
    </row>
    <row r="1970">
      <c r="A1970" s="23"/>
    </row>
    <row r="1971">
      <c r="A1971" s="23"/>
    </row>
    <row r="1972">
      <c r="A1972" s="23"/>
    </row>
    <row r="1973">
      <c r="A1973" s="23"/>
    </row>
    <row r="1974">
      <c r="A1974" s="23"/>
    </row>
    <row r="1975">
      <c r="A1975" s="23"/>
    </row>
    <row r="1976">
      <c r="A1976" s="23"/>
    </row>
    <row r="1977">
      <c r="A1977" s="23"/>
    </row>
    <row r="1978">
      <c r="A1978" s="23"/>
    </row>
    <row r="1979">
      <c r="A1979" s="23"/>
    </row>
    <row r="1980">
      <c r="A1980" s="23"/>
    </row>
    <row r="1981">
      <c r="A1981" s="23"/>
    </row>
    <row r="1982">
      <c r="A1982" s="23"/>
    </row>
    <row r="1983">
      <c r="A1983" s="23"/>
    </row>
    <row r="1984">
      <c r="A1984" s="23"/>
    </row>
    <row r="1985">
      <c r="A1985" s="23"/>
    </row>
    <row r="1986">
      <c r="A1986" s="23"/>
    </row>
    <row r="1987">
      <c r="A1987" s="23"/>
    </row>
    <row r="1988">
      <c r="A1988" s="23"/>
    </row>
    <row r="1989">
      <c r="A1989" s="23"/>
    </row>
    <row r="1990">
      <c r="A1990" s="23"/>
    </row>
    <row r="1991">
      <c r="A1991" s="23"/>
    </row>
    <row r="1992">
      <c r="A1992" s="23"/>
    </row>
    <row r="1993">
      <c r="A1993" s="23"/>
    </row>
    <row r="1994">
      <c r="A1994" s="23"/>
    </row>
    <row r="1995">
      <c r="A1995" s="23"/>
    </row>
    <row r="1996">
      <c r="A1996" s="23"/>
    </row>
    <row r="1997">
      <c r="A1997" s="23"/>
    </row>
    <row r="1998">
      <c r="A1998" s="23"/>
    </row>
    <row r="1999">
      <c r="A1999" s="23"/>
    </row>
    <row r="2000">
      <c r="A2000" s="23"/>
    </row>
    <row r="2001">
      <c r="A2001" s="23"/>
    </row>
    <row r="2002">
      <c r="A2002" s="23"/>
    </row>
    <row r="2003">
      <c r="A2003" s="23"/>
    </row>
    <row r="2004">
      <c r="A2004" s="23"/>
    </row>
    <row r="2005">
      <c r="A2005" s="23"/>
    </row>
    <row r="2006">
      <c r="A2006" s="23"/>
    </row>
    <row r="2007">
      <c r="A2007" s="23"/>
    </row>
    <row r="2008">
      <c r="A2008" s="23"/>
    </row>
    <row r="2009">
      <c r="A2009" s="23"/>
    </row>
    <row r="2010">
      <c r="A2010" s="23"/>
    </row>
    <row r="2011">
      <c r="A2011" s="23"/>
    </row>
    <row r="2012">
      <c r="A2012" s="23"/>
    </row>
    <row r="2013">
      <c r="A2013" s="23"/>
    </row>
    <row r="2014">
      <c r="A2014" s="23"/>
    </row>
    <row r="2015">
      <c r="A2015" s="23"/>
    </row>
    <row r="2016">
      <c r="A2016" s="23"/>
    </row>
    <row r="2017">
      <c r="A2017" s="23"/>
    </row>
    <row r="2018">
      <c r="A2018" s="23"/>
    </row>
    <row r="2019">
      <c r="A2019" s="23"/>
    </row>
    <row r="2020">
      <c r="A2020" s="23"/>
    </row>
    <row r="2021">
      <c r="A2021" s="23"/>
    </row>
    <row r="2022">
      <c r="A2022" s="23"/>
    </row>
    <row r="2023">
      <c r="A2023" s="23"/>
    </row>
    <row r="2024">
      <c r="A2024" s="23"/>
    </row>
    <row r="2025">
      <c r="A2025" s="23"/>
    </row>
    <row r="2026">
      <c r="A2026" s="23"/>
    </row>
    <row r="2027">
      <c r="A2027" s="23"/>
    </row>
    <row r="2028">
      <c r="A2028" s="23"/>
    </row>
    <row r="2029">
      <c r="A2029" s="23"/>
    </row>
    <row r="2030">
      <c r="A2030" s="23"/>
    </row>
    <row r="2031">
      <c r="A2031" s="23"/>
    </row>
    <row r="2032">
      <c r="A2032" s="23"/>
    </row>
    <row r="2033">
      <c r="A2033" s="23"/>
    </row>
    <row r="2034">
      <c r="A2034" s="23"/>
    </row>
    <row r="2035">
      <c r="A2035" s="23"/>
    </row>
    <row r="2036">
      <c r="A2036" s="23"/>
    </row>
    <row r="2037">
      <c r="A2037" s="23"/>
    </row>
    <row r="2038">
      <c r="A2038" s="23"/>
    </row>
    <row r="2039">
      <c r="A2039" s="23"/>
    </row>
    <row r="2040">
      <c r="A2040" s="23"/>
    </row>
    <row r="2041">
      <c r="A2041" s="23"/>
    </row>
    <row r="2042">
      <c r="A2042" s="23"/>
    </row>
    <row r="2043">
      <c r="A2043" s="23"/>
    </row>
    <row r="2044">
      <c r="A2044" s="23"/>
    </row>
    <row r="2045">
      <c r="A2045" s="23"/>
    </row>
    <row r="2046">
      <c r="A2046" s="23"/>
    </row>
    <row r="2047">
      <c r="A2047" s="23"/>
    </row>
    <row r="2048">
      <c r="A2048" s="23"/>
    </row>
    <row r="2049">
      <c r="A2049" s="23"/>
    </row>
    <row r="2050">
      <c r="A2050" s="23"/>
    </row>
    <row r="2051">
      <c r="A2051" s="23"/>
    </row>
    <row r="2052">
      <c r="A2052" s="23"/>
    </row>
    <row r="2053">
      <c r="A2053" s="23"/>
    </row>
    <row r="2054">
      <c r="A2054" s="23"/>
    </row>
    <row r="2055">
      <c r="A2055" s="23"/>
    </row>
    <row r="2056">
      <c r="A2056" s="23"/>
    </row>
    <row r="2057">
      <c r="A2057" s="23"/>
    </row>
    <row r="2058">
      <c r="A2058" s="23"/>
    </row>
    <row r="2059">
      <c r="A2059" s="23"/>
    </row>
    <row r="2060">
      <c r="A2060" s="23"/>
    </row>
    <row r="2061">
      <c r="A2061" s="23"/>
    </row>
    <row r="2062">
      <c r="A2062" s="23"/>
    </row>
    <row r="2063">
      <c r="A2063" s="23"/>
    </row>
    <row r="2064">
      <c r="A2064" s="23"/>
    </row>
    <row r="2065">
      <c r="A2065" s="23"/>
    </row>
    <row r="2066">
      <c r="A2066" s="23"/>
    </row>
    <row r="2067">
      <c r="A2067" s="23"/>
    </row>
    <row r="2068">
      <c r="A2068" s="23"/>
    </row>
    <row r="2069">
      <c r="A2069" s="23"/>
    </row>
    <row r="2070">
      <c r="A2070" s="23"/>
    </row>
    <row r="2071">
      <c r="A2071" s="23"/>
    </row>
    <row r="2072">
      <c r="A2072" s="23"/>
    </row>
    <row r="2073">
      <c r="A2073" s="23"/>
    </row>
    <row r="2074">
      <c r="A2074" s="23"/>
    </row>
    <row r="2075">
      <c r="A2075" s="23"/>
    </row>
    <row r="2076">
      <c r="A2076" s="23"/>
    </row>
    <row r="2077">
      <c r="A2077" s="23"/>
    </row>
    <row r="2078">
      <c r="A2078" s="23"/>
    </row>
    <row r="2079">
      <c r="A2079" s="23"/>
    </row>
    <row r="2080">
      <c r="A2080" s="23"/>
    </row>
    <row r="2081">
      <c r="A2081" s="23"/>
    </row>
    <row r="2082">
      <c r="A2082" s="23"/>
    </row>
    <row r="2083">
      <c r="A2083" s="23"/>
    </row>
    <row r="2084">
      <c r="A2084" s="23"/>
    </row>
    <row r="2085">
      <c r="A2085" s="23"/>
    </row>
    <row r="2086">
      <c r="A2086" s="23"/>
    </row>
    <row r="2087">
      <c r="A2087" s="23"/>
    </row>
    <row r="2088">
      <c r="A2088" s="23"/>
    </row>
    <row r="2089">
      <c r="A2089" s="23"/>
    </row>
    <row r="2090">
      <c r="A2090" s="23"/>
    </row>
    <row r="2091">
      <c r="A2091" s="23"/>
    </row>
    <row r="2092">
      <c r="A2092" s="23"/>
    </row>
    <row r="2093">
      <c r="A2093" s="23"/>
    </row>
    <row r="2094">
      <c r="A2094" s="23"/>
    </row>
    <row r="2095">
      <c r="A2095" s="23"/>
    </row>
    <row r="2096">
      <c r="A2096" s="23"/>
    </row>
    <row r="2097">
      <c r="A2097" s="23"/>
    </row>
    <row r="2098">
      <c r="A2098" s="23"/>
    </row>
    <row r="2099">
      <c r="A2099" s="23"/>
    </row>
    <row r="2100">
      <c r="A2100" s="23"/>
    </row>
    <row r="2101">
      <c r="A2101" s="23"/>
    </row>
    <row r="2102">
      <c r="A2102" s="23"/>
    </row>
    <row r="2103">
      <c r="A2103" s="23"/>
    </row>
    <row r="2104">
      <c r="A2104" s="23"/>
    </row>
    <row r="2105">
      <c r="A2105" s="23"/>
    </row>
    <row r="2106">
      <c r="A2106" s="23"/>
    </row>
    <row r="2107">
      <c r="A2107" s="23"/>
    </row>
    <row r="2108">
      <c r="A2108" s="23"/>
    </row>
    <row r="2109">
      <c r="A2109" s="23"/>
    </row>
    <row r="2110">
      <c r="A2110" s="23"/>
    </row>
    <row r="2111">
      <c r="A2111" s="23"/>
    </row>
    <row r="2112">
      <c r="A2112" s="23"/>
    </row>
    <row r="2113">
      <c r="A2113" s="23"/>
    </row>
    <row r="2114">
      <c r="A2114" s="23"/>
    </row>
    <row r="2115">
      <c r="A2115" s="23"/>
    </row>
    <row r="2116">
      <c r="A2116" s="23"/>
    </row>
    <row r="2117">
      <c r="A2117" s="23"/>
    </row>
    <row r="2118">
      <c r="A2118" s="23"/>
    </row>
    <row r="2119">
      <c r="A2119" s="23"/>
    </row>
    <row r="2120">
      <c r="A2120" s="23"/>
    </row>
    <row r="2121">
      <c r="A2121" s="23"/>
    </row>
    <row r="2122">
      <c r="A2122" s="23"/>
    </row>
    <row r="2123">
      <c r="A2123" s="23"/>
    </row>
    <row r="2124">
      <c r="A2124" s="23"/>
    </row>
    <row r="2125">
      <c r="A2125" s="23"/>
    </row>
    <row r="2126">
      <c r="A2126" s="23"/>
    </row>
    <row r="2127">
      <c r="A2127" s="23"/>
    </row>
    <row r="2128">
      <c r="A2128" s="23"/>
    </row>
    <row r="2129">
      <c r="A2129" s="23"/>
    </row>
    <row r="2130">
      <c r="A2130" s="23"/>
    </row>
    <row r="2131">
      <c r="A2131" s="23"/>
    </row>
    <row r="2132">
      <c r="A2132" s="23"/>
    </row>
    <row r="2133">
      <c r="A2133" s="23"/>
    </row>
    <row r="2134">
      <c r="A2134" s="23"/>
    </row>
    <row r="2135">
      <c r="A2135" s="23"/>
    </row>
    <row r="2136">
      <c r="A2136" s="23"/>
    </row>
    <row r="2137">
      <c r="A2137" s="23"/>
    </row>
    <row r="2138">
      <c r="A2138" s="23"/>
    </row>
    <row r="2139">
      <c r="A2139" s="23"/>
    </row>
    <row r="2140">
      <c r="A2140" s="23"/>
    </row>
    <row r="2141">
      <c r="A2141" s="23"/>
    </row>
    <row r="2142">
      <c r="A2142" s="23"/>
    </row>
    <row r="2143">
      <c r="A2143" s="23"/>
    </row>
    <row r="2144">
      <c r="A2144" s="23"/>
    </row>
    <row r="2145">
      <c r="A2145" s="23"/>
    </row>
    <row r="2146">
      <c r="A2146" s="23"/>
    </row>
    <row r="2147">
      <c r="A2147" s="23"/>
    </row>
    <row r="2148">
      <c r="A2148" s="23"/>
    </row>
    <row r="2149">
      <c r="A2149" s="23"/>
    </row>
    <row r="2150">
      <c r="A2150" s="23"/>
    </row>
    <row r="2151">
      <c r="A2151" s="23"/>
    </row>
    <row r="2152">
      <c r="A2152" s="23"/>
    </row>
    <row r="2153">
      <c r="A2153" s="23"/>
    </row>
    <row r="2154">
      <c r="A2154" s="23"/>
    </row>
    <row r="2155">
      <c r="A2155" s="23"/>
    </row>
    <row r="2156">
      <c r="A2156" s="23"/>
    </row>
    <row r="2157">
      <c r="A2157" s="23"/>
    </row>
    <row r="2158">
      <c r="A2158" s="23"/>
    </row>
    <row r="2159">
      <c r="A2159" s="23"/>
    </row>
    <row r="2160">
      <c r="A2160" s="23"/>
    </row>
    <row r="2161">
      <c r="A2161" s="23"/>
    </row>
    <row r="2162">
      <c r="A2162" s="23"/>
    </row>
    <row r="2163">
      <c r="A2163" s="23"/>
    </row>
    <row r="2164">
      <c r="A2164" s="23"/>
    </row>
    <row r="2165">
      <c r="A2165" s="23"/>
    </row>
    <row r="2166">
      <c r="A2166" s="23"/>
    </row>
    <row r="2167">
      <c r="A2167" s="23"/>
    </row>
    <row r="2168">
      <c r="A2168" s="23"/>
    </row>
    <row r="2169">
      <c r="A2169" s="23"/>
    </row>
    <row r="2170">
      <c r="A2170" s="23"/>
    </row>
    <row r="2171">
      <c r="A2171" s="23"/>
    </row>
    <row r="2172">
      <c r="A2172" s="23"/>
    </row>
    <row r="2173">
      <c r="A2173" s="23"/>
    </row>
    <row r="2174">
      <c r="A2174" s="23"/>
    </row>
    <row r="2175">
      <c r="A2175" s="23"/>
    </row>
    <row r="2176">
      <c r="A2176" s="23"/>
    </row>
    <row r="2177">
      <c r="A2177" s="23"/>
    </row>
    <row r="2178">
      <c r="A2178" s="23"/>
    </row>
    <row r="2179">
      <c r="A2179" s="23"/>
    </row>
    <row r="2180">
      <c r="A2180" s="23"/>
    </row>
    <row r="2181">
      <c r="A2181" s="23"/>
    </row>
    <row r="2182">
      <c r="A2182" s="23"/>
    </row>
    <row r="2183">
      <c r="A2183" s="23"/>
    </row>
    <row r="2184">
      <c r="A2184" s="23"/>
    </row>
    <row r="2185">
      <c r="A2185" s="23"/>
    </row>
    <row r="2186">
      <c r="A2186" s="23"/>
    </row>
    <row r="2187">
      <c r="A2187" s="23"/>
    </row>
    <row r="2188">
      <c r="A2188" s="23"/>
    </row>
    <row r="2189">
      <c r="A2189" s="23"/>
    </row>
    <row r="2190">
      <c r="A2190" s="23"/>
    </row>
    <row r="2191">
      <c r="A2191" s="23"/>
    </row>
    <row r="2192">
      <c r="A2192" s="23"/>
    </row>
    <row r="2193">
      <c r="A2193" s="23"/>
    </row>
    <row r="2194">
      <c r="A2194" s="23"/>
    </row>
    <row r="2195">
      <c r="A2195" s="23"/>
    </row>
    <row r="2196">
      <c r="A2196" s="23"/>
    </row>
    <row r="2197">
      <c r="A2197" s="23"/>
    </row>
    <row r="2198">
      <c r="A2198" s="23"/>
    </row>
    <row r="2199">
      <c r="A2199" s="23"/>
    </row>
    <row r="2200">
      <c r="A2200" s="23"/>
    </row>
    <row r="2201">
      <c r="A2201" s="23"/>
    </row>
    <row r="2202">
      <c r="A2202" s="23"/>
    </row>
    <row r="2203">
      <c r="A2203" s="23"/>
    </row>
    <row r="2204">
      <c r="A2204" s="23"/>
    </row>
    <row r="2205">
      <c r="A2205" s="23"/>
    </row>
    <row r="2206">
      <c r="A2206" s="23"/>
    </row>
    <row r="2207">
      <c r="A2207" s="23"/>
    </row>
    <row r="2208">
      <c r="A2208" s="23"/>
    </row>
    <row r="2209">
      <c r="A2209" s="23"/>
    </row>
    <row r="2210">
      <c r="A2210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38"/>
  </cols>
  <sheetData>
    <row r="1">
      <c r="A1" s="24" t="s">
        <v>55</v>
      </c>
      <c r="B1" s="25" t="s">
        <v>56</v>
      </c>
      <c r="F1" s="17" t="s">
        <v>57</v>
      </c>
      <c r="G1" s="17" t="s">
        <v>58</v>
      </c>
    </row>
    <row r="2">
      <c r="A2" s="24" t="s">
        <v>59</v>
      </c>
      <c r="B2" s="19" t="str">
        <f>IFERROR(__xludf.DUMMYFUNCTION("IFERROR(SPLIT(A2,"",""),"""")"),"Date")</f>
        <v>Date</v>
      </c>
      <c r="C2" t="str">
        <f>IFERROR(__xludf.DUMMYFUNCTION("""COMPUTED_VALUE"""),"Visitor/Neutral")</f>
        <v>Visitor/Neutral</v>
      </c>
      <c r="D2" t="str">
        <f>IFERROR(__xludf.DUMMYFUNCTION("""COMPUTED_VALUE"""),"Home/Neutral")</f>
        <v>Home/Neutral</v>
      </c>
      <c r="F2" t="s">
        <v>60</v>
      </c>
      <c r="G2" t="s">
        <v>34</v>
      </c>
    </row>
    <row r="3">
      <c r="A3" s="24" t="s">
        <v>61</v>
      </c>
      <c r="B3" s="19">
        <f>IFERROR(__xludf.DUMMYFUNCTION("IFERROR(SPLIT(A3,"",""),"""")"),46315.0)</f>
        <v>46315</v>
      </c>
      <c r="C3" t="str">
        <f>IFERROR(__xludf.DUMMYFUNCTION("""COMPUTED_VALUE"""),"Boston Celtics")</f>
        <v>Boston Celtics</v>
      </c>
      <c r="D3" t="str">
        <f>IFERROR(__xludf.DUMMYFUNCTION("""COMPUTED_VALUE"""),"Detroit Pistons")</f>
        <v>Detroit Pistons</v>
      </c>
      <c r="F3" t="s">
        <v>62</v>
      </c>
      <c r="G3" t="s">
        <v>26</v>
      </c>
    </row>
    <row r="4">
      <c r="A4" s="24" t="s">
        <v>63</v>
      </c>
      <c r="B4" s="19">
        <f>IFERROR(__xludf.DUMMYFUNCTION("IFERROR(SPLIT(A4,"",""),"""")"),46315.0)</f>
        <v>46315</v>
      </c>
      <c r="C4" t="str">
        <f>IFERROR(__xludf.DUMMYFUNCTION("""COMPUTED_VALUE"""),"Philadelphia 76ers")</f>
        <v>Philadelphia 76ers</v>
      </c>
      <c r="D4" t="str">
        <f>IFERROR(__xludf.DUMMYFUNCTION("""COMPUTED_VALUE"""),"New York Knicks")</f>
        <v>New York Knicks</v>
      </c>
      <c r="F4" t="s">
        <v>64</v>
      </c>
      <c r="G4" t="s">
        <v>37</v>
      </c>
    </row>
    <row r="5">
      <c r="A5" s="24" t="s">
        <v>65</v>
      </c>
      <c r="B5" s="19">
        <f>IFERROR(__xludf.DUMMYFUNCTION("IFERROR(SPLIT(A5,"",""),"""")"),46315.0)</f>
        <v>46315</v>
      </c>
      <c r="C5" t="str">
        <f>IFERROR(__xludf.DUMMYFUNCTION("""COMPUTED_VALUE"""),"Oklahoma City Thunder")</f>
        <v>Oklahoma City Thunder</v>
      </c>
      <c r="D5" t="str">
        <f>IFERROR(__xludf.DUMMYFUNCTION("""COMPUTED_VALUE"""),"San Antonio Spurs")</f>
        <v>San Antonio Spurs</v>
      </c>
      <c r="F5" t="s">
        <v>66</v>
      </c>
      <c r="G5" t="s">
        <v>36</v>
      </c>
    </row>
    <row r="6">
      <c r="A6" s="24" t="s">
        <v>67</v>
      </c>
      <c r="B6" s="19">
        <f>IFERROR(__xludf.DUMMYFUNCTION("IFERROR(SPLIT(A6,"",""),"""")"),46316.0)</f>
        <v>46316</v>
      </c>
      <c r="C6" t="str">
        <f>IFERROR(__xludf.DUMMYFUNCTION("""COMPUTED_VALUE"""),"Milwaukee Bucks")</f>
        <v>Milwaukee Bucks</v>
      </c>
      <c r="D6" t="str">
        <f>IFERROR(__xludf.DUMMYFUNCTION("""COMPUTED_VALUE"""),"Washington Wizards")</f>
        <v>Washington Wizards</v>
      </c>
      <c r="F6" t="s">
        <v>68</v>
      </c>
      <c r="G6" t="s">
        <v>38</v>
      </c>
    </row>
    <row r="7">
      <c r="A7" s="24" t="s">
        <v>69</v>
      </c>
      <c r="B7" s="19">
        <f>IFERROR(__xludf.DUMMYFUNCTION("IFERROR(SPLIT(A7,"",""),"""")"),46316.0)</f>
        <v>46316</v>
      </c>
      <c r="C7" t="str">
        <f>IFERROR(__xludf.DUMMYFUNCTION("""COMPUTED_VALUE"""),"Atlanta Hawks")</f>
        <v>Atlanta Hawks</v>
      </c>
      <c r="D7" t="str">
        <f>IFERROR(__xludf.DUMMYFUNCTION("""COMPUTED_VALUE"""),"Orlando Magic")</f>
        <v>Orlando Magic</v>
      </c>
      <c r="F7" t="s">
        <v>70</v>
      </c>
      <c r="G7" t="s">
        <v>53</v>
      </c>
    </row>
    <row r="8">
      <c r="A8" s="24" t="s">
        <v>71</v>
      </c>
      <c r="B8" s="19">
        <f>IFERROR(__xludf.DUMMYFUNCTION("IFERROR(SPLIT(A8,"",""),"""")"),46316.0)</f>
        <v>46316</v>
      </c>
      <c r="C8" t="str">
        <f>IFERROR(__xludf.DUMMYFUNCTION("""COMPUTED_VALUE"""),"Charlotte Hornets")</f>
        <v>Charlotte Hornets</v>
      </c>
      <c r="D8" t="str">
        <f>IFERROR(__xludf.DUMMYFUNCTION("""COMPUTED_VALUE"""),"Brooklyn Nets")</f>
        <v>Brooklyn Nets</v>
      </c>
      <c r="F8" t="s">
        <v>72</v>
      </c>
      <c r="G8" t="s">
        <v>45</v>
      </c>
    </row>
    <row r="9">
      <c r="A9" s="24" t="s">
        <v>73</v>
      </c>
      <c r="B9" s="19">
        <f>IFERROR(__xludf.DUMMYFUNCTION("IFERROR(SPLIT(A9,"",""),"""")"),46316.0)</f>
        <v>46316</v>
      </c>
      <c r="C9" t="str">
        <f>IFERROR(__xludf.DUMMYFUNCTION("""COMPUTED_VALUE"""),"Chicago Bulls")</f>
        <v>Chicago Bulls</v>
      </c>
      <c r="D9" t="str">
        <f>IFERROR(__xludf.DUMMYFUNCTION("""COMPUTED_VALUE"""),"Toronto Raptors")</f>
        <v>Toronto Raptors</v>
      </c>
      <c r="F9" t="s">
        <v>74</v>
      </c>
      <c r="G9" t="s">
        <v>54</v>
      </c>
    </row>
    <row r="10">
      <c r="A10" s="24" t="s">
        <v>75</v>
      </c>
      <c r="B10" s="19">
        <f>IFERROR(__xludf.DUMMYFUNCTION("IFERROR(SPLIT(A10,"",""),"""")"),46316.0)</f>
        <v>46316</v>
      </c>
      <c r="C10" t="str">
        <f>IFERROR(__xludf.DUMMYFUNCTION("""COMPUTED_VALUE"""),"Minnesota Timberwolves")</f>
        <v>Minnesota Timberwolves</v>
      </c>
      <c r="D10" t="str">
        <f>IFERROR(__xludf.DUMMYFUNCTION("""COMPUTED_VALUE"""),"Miami Heat")</f>
        <v>Miami Heat</v>
      </c>
      <c r="F10" t="s">
        <v>76</v>
      </c>
      <c r="G10" t="s">
        <v>27</v>
      </c>
    </row>
    <row r="11">
      <c r="A11" s="24" t="s">
        <v>77</v>
      </c>
      <c r="B11" s="19">
        <f>IFERROR(__xludf.DUMMYFUNCTION("IFERROR(SPLIT(A11,"",""),"""")"),46316.0)</f>
        <v>46316</v>
      </c>
      <c r="C11" t="str">
        <f>IFERROR(__xludf.DUMMYFUNCTION("""COMPUTED_VALUE"""),"Utah Jazz")</f>
        <v>Utah Jazz</v>
      </c>
      <c r="D11" t="str">
        <f>IFERROR(__xludf.DUMMYFUNCTION("""COMPUTED_VALUE"""),"Memphis Grizzlies")</f>
        <v>Memphis Grizzlies</v>
      </c>
      <c r="F11" t="s">
        <v>78</v>
      </c>
      <c r="G11" t="s">
        <v>47</v>
      </c>
    </row>
    <row r="12">
      <c r="A12" s="24" t="s">
        <v>79</v>
      </c>
      <c r="B12" s="19">
        <f>IFERROR(__xludf.DUMMYFUNCTION("IFERROR(SPLIT(A12,"",""),"""")"),46316.0)</f>
        <v>46316</v>
      </c>
      <c r="C12" t="str">
        <f>IFERROR(__xludf.DUMMYFUNCTION("""COMPUTED_VALUE"""),"Indiana Pacers")</f>
        <v>Indiana Pacers</v>
      </c>
      <c r="D12" t="str">
        <f>IFERROR(__xludf.DUMMYFUNCTION("""COMPUTED_VALUE"""),"New Orleans Pelicans")</f>
        <v>New Orleans Pelicans</v>
      </c>
      <c r="F12" t="s">
        <v>80</v>
      </c>
      <c r="G12" t="s">
        <v>46</v>
      </c>
    </row>
    <row r="13">
      <c r="A13" s="24" t="s">
        <v>81</v>
      </c>
      <c r="B13" s="19">
        <f>IFERROR(__xludf.DUMMYFUNCTION("IFERROR(SPLIT(A13,"",""),"""")"),46316.0)</f>
        <v>46316</v>
      </c>
      <c r="C13" t="str">
        <f>IFERROR(__xludf.DUMMYFUNCTION("""COMPUTED_VALUE"""),"Dallas Mavericks")</f>
        <v>Dallas Mavericks</v>
      </c>
      <c r="D13" t="str">
        <f>IFERROR(__xludf.DUMMYFUNCTION("""COMPUTED_VALUE"""),"Houston Rockets")</f>
        <v>Houston Rockets</v>
      </c>
      <c r="F13" t="s">
        <v>82</v>
      </c>
      <c r="G13" t="s">
        <v>43</v>
      </c>
    </row>
    <row r="14">
      <c r="A14" s="24" t="s">
        <v>83</v>
      </c>
      <c r="B14" s="19">
        <f>IFERROR(__xludf.DUMMYFUNCTION("IFERROR(SPLIT(A14,"",""),"""")"),46316.0)</f>
        <v>46316</v>
      </c>
      <c r="C14" t="str">
        <f>IFERROR(__xludf.DUMMYFUNCTION("""COMPUTED_VALUE"""),"Golden State Warriors")</f>
        <v>Golden State Warriors</v>
      </c>
      <c r="D14" t="str">
        <f>IFERROR(__xludf.DUMMYFUNCTION("""COMPUTED_VALUE"""),"Los Angeles Lakers")</f>
        <v>Los Angeles Lakers</v>
      </c>
      <c r="F14" t="s">
        <v>84</v>
      </c>
      <c r="G14" t="s">
        <v>52</v>
      </c>
    </row>
    <row r="15">
      <c r="A15" s="24" t="s">
        <v>85</v>
      </c>
      <c r="B15" s="19">
        <f>IFERROR(__xludf.DUMMYFUNCTION("IFERROR(SPLIT(A15,"",""),"""")"),46316.0)</f>
        <v>46316</v>
      </c>
      <c r="C15" t="str">
        <f>IFERROR(__xludf.DUMMYFUNCTION("""COMPUTED_VALUE"""),"Phoenix Suns")</f>
        <v>Phoenix Suns</v>
      </c>
      <c r="D15" t="str">
        <f>IFERROR(__xludf.DUMMYFUNCTION("""COMPUTED_VALUE"""),"Portland Trail Blazers")</f>
        <v>Portland Trail Blazers</v>
      </c>
      <c r="F15" t="s">
        <v>86</v>
      </c>
      <c r="G15" t="s">
        <v>48</v>
      </c>
    </row>
    <row r="16">
      <c r="A16" s="24" t="s">
        <v>87</v>
      </c>
      <c r="B16" s="19">
        <f>IFERROR(__xludf.DUMMYFUNCTION("IFERROR(SPLIT(A16,"",""),"""")"),46316.0)</f>
        <v>46316</v>
      </c>
      <c r="C16" t="str">
        <f>IFERROR(__xludf.DUMMYFUNCTION("""COMPUTED_VALUE"""),"Sacramento Kings")</f>
        <v>Sacramento Kings</v>
      </c>
      <c r="D16" t="str">
        <f>IFERROR(__xludf.DUMMYFUNCTION("""COMPUTED_VALUE"""),"Los Angeles Clippers")</f>
        <v>Los Angeles Clippers</v>
      </c>
      <c r="F16" t="s">
        <v>88</v>
      </c>
      <c r="G16" t="s">
        <v>42</v>
      </c>
    </row>
    <row r="17">
      <c r="A17" s="24" t="s">
        <v>89</v>
      </c>
      <c r="B17" s="19">
        <f>IFERROR(__xludf.DUMMYFUNCTION("IFERROR(SPLIT(A17,"",""),"""")"),46317.0)</f>
        <v>46317</v>
      </c>
      <c r="C17" t="str">
        <f>IFERROR(__xludf.DUMMYFUNCTION("""COMPUTED_VALUE"""),"Cleveland Cavaliers")</f>
        <v>Cleveland Cavaliers</v>
      </c>
      <c r="D17" t="str">
        <f>IFERROR(__xludf.DUMMYFUNCTION("""COMPUTED_VALUE"""),"Philadelphia 76ers")</f>
        <v>Philadelphia 76ers</v>
      </c>
      <c r="F17" t="s">
        <v>90</v>
      </c>
      <c r="G17" t="s">
        <v>40</v>
      </c>
    </row>
    <row r="18">
      <c r="A18" s="24" t="s">
        <v>91</v>
      </c>
      <c r="B18" s="19">
        <f>IFERROR(__xludf.DUMMYFUNCTION("IFERROR(SPLIT(A18,"",""),"""")"),46317.0)</f>
        <v>46317</v>
      </c>
      <c r="C18" t="str">
        <f>IFERROR(__xludf.DUMMYFUNCTION("""COMPUTED_VALUE"""),"Denver Nuggets")</f>
        <v>Denver Nuggets</v>
      </c>
      <c r="D18" t="str">
        <f>IFERROR(__xludf.DUMMYFUNCTION("""COMPUTED_VALUE"""),"Oklahoma City Thunder")</f>
        <v>Oklahoma City Thunder</v>
      </c>
      <c r="F18" t="s">
        <v>92</v>
      </c>
      <c r="G18" t="s">
        <v>32</v>
      </c>
    </row>
    <row r="19">
      <c r="A19" s="24" t="s">
        <v>93</v>
      </c>
      <c r="B19" s="19">
        <f>IFERROR(__xludf.DUMMYFUNCTION("IFERROR(SPLIT(A19,"",""),"""")"),46318.0)</f>
        <v>46318</v>
      </c>
      <c r="C19" t="str">
        <f>IFERROR(__xludf.DUMMYFUNCTION("""COMPUTED_VALUE"""),"Toronto Raptors")</f>
        <v>Toronto Raptors</v>
      </c>
      <c r="D19" t="str">
        <f>IFERROR(__xludf.DUMMYFUNCTION("""COMPUTED_VALUE"""),"Washington Wizards")</f>
        <v>Washington Wizards</v>
      </c>
      <c r="F19" t="s">
        <v>94</v>
      </c>
      <c r="G19" t="s">
        <v>5</v>
      </c>
    </row>
    <row r="20">
      <c r="A20" s="24" t="s">
        <v>95</v>
      </c>
      <c r="B20" s="19">
        <f>IFERROR(__xludf.DUMMYFUNCTION("IFERROR(SPLIT(A20,"",""),"""")"),46318.0)</f>
        <v>46318</v>
      </c>
      <c r="C20" t="str">
        <f>IFERROR(__xludf.DUMMYFUNCTION("""COMPUTED_VALUE"""),"Minnesota Timberwolves")</f>
        <v>Minnesota Timberwolves</v>
      </c>
      <c r="D20" t="str">
        <f>IFERROR(__xludf.DUMMYFUNCTION("""COMPUTED_VALUE"""),"Orlando Magic")</f>
        <v>Orlando Magic</v>
      </c>
      <c r="F20" t="s">
        <v>96</v>
      </c>
      <c r="G20" t="s">
        <v>44</v>
      </c>
    </row>
    <row r="21">
      <c r="A21" s="24" t="s">
        <v>97</v>
      </c>
      <c r="B21" s="19">
        <f>IFERROR(__xludf.DUMMYFUNCTION("IFERROR(SPLIT(A21,"",""),"""")"),46318.0)</f>
        <v>46318</v>
      </c>
      <c r="C21" t="str">
        <f>IFERROR(__xludf.DUMMYFUNCTION("""COMPUTED_VALUE"""),"Dallas Mavericks")</f>
        <v>Dallas Mavericks</v>
      </c>
      <c r="D21" t="str">
        <f>IFERROR(__xludf.DUMMYFUNCTION("""COMPUTED_VALUE"""),"Indiana Pacers")</f>
        <v>Indiana Pacers</v>
      </c>
      <c r="F21" t="s">
        <v>98</v>
      </c>
      <c r="G21" t="s">
        <v>29</v>
      </c>
    </row>
    <row r="22">
      <c r="A22" s="24" t="s">
        <v>99</v>
      </c>
      <c r="B22" s="19">
        <f>IFERROR(__xludf.DUMMYFUNCTION("IFERROR(SPLIT(A22,"",""),"""")"),46318.0)</f>
        <v>46318</v>
      </c>
      <c r="C22" t="str">
        <f>IFERROR(__xludf.DUMMYFUNCTION("""COMPUTED_VALUE"""),"Atlanta Hawks")</f>
        <v>Atlanta Hawks</v>
      </c>
      <c r="D22" t="str">
        <f>IFERROR(__xludf.DUMMYFUNCTION("""COMPUTED_VALUE"""),"Charlotte Hornets")</f>
        <v>Charlotte Hornets</v>
      </c>
      <c r="F22" t="s">
        <v>100</v>
      </c>
      <c r="G22" t="s">
        <v>30</v>
      </c>
    </row>
    <row r="23">
      <c r="A23" s="24" t="s">
        <v>101</v>
      </c>
      <c r="B23" s="19">
        <f>IFERROR(__xludf.DUMMYFUNCTION("IFERROR(SPLIT(A23,"",""),"""")"),46318.0)</f>
        <v>46318</v>
      </c>
      <c r="C23" t="str">
        <f>IFERROR(__xludf.DUMMYFUNCTION("""COMPUTED_VALUE"""),"New York Knicks")</f>
        <v>New York Knicks</v>
      </c>
      <c r="D23" t="str">
        <f>IFERROR(__xludf.DUMMYFUNCTION("""COMPUTED_VALUE"""),"Boston Celtics")</f>
        <v>Boston Celtics</v>
      </c>
      <c r="F23" t="s">
        <v>102</v>
      </c>
      <c r="G23" t="s">
        <v>35</v>
      </c>
    </row>
    <row r="24">
      <c r="A24" s="24" t="s">
        <v>103</v>
      </c>
      <c r="B24" s="19">
        <f>IFERROR(__xludf.DUMMYFUNCTION("IFERROR(SPLIT(A24,"",""),"""")"),46318.0)</f>
        <v>46318</v>
      </c>
      <c r="C24" t="str">
        <f>IFERROR(__xludf.DUMMYFUNCTION("""COMPUTED_VALUE"""),"Detroit Pistons")</f>
        <v>Detroit Pistons</v>
      </c>
      <c r="D24" t="str">
        <f>IFERROR(__xludf.DUMMYFUNCTION("""COMPUTED_VALUE"""),"Miami Heat")</f>
        <v>Miami Heat</v>
      </c>
      <c r="F24" t="s">
        <v>104</v>
      </c>
      <c r="G24" t="s">
        <v>28</v>
      </c>
    </row>
    <row r="25">
      <c r="A25" s="24" t="s">
        <v>105</v>
      </c>
      <c r="B25" s="19">
        <f>IFERROR(__xludf.DUMMYFUNCTION("IFERROR(SPLIT(A25,"",""),"""")"),46318.0)</f>
        <v>46318</v>
      </c>
      <c r="C25" t="str">
        <f>IFERROR(__xludf.DUMMYFUNCTION("""COMPUTED_VALUE"""),"Chicago Bulls")</f>
        <v>Chicago Bulls</v>
      </c>
      <c r="D25" t="str">
        <f>IFERROR(__xludf.DUMMYFUNCTION("""COMPUTED_VALUE"""),"Milwaukee Bucks")</f>
        <v>Milwaukee Bucks</v>
      </c>
      <c r="F25" t="s">
        <v>106</v>
      </c>
      <c r="G25" t="s">
        <v>49</v>
      </c>
    </row>
    <row r="26">
      <c r="A26" s="24" t="s">
        <v>107</v>
      </c>
      <c r="B26" s="19">
        <f>IFERROR(__xludf.DUMMYFUNCTION("IFERROR(SPLIT(A26,"",""),"""")"),46318.0)</f>
        <v>46318</v>
      </c>
      <c r="C26" t="str">
        <f>IFERROR(__xludf.DUMMYFUNCTION("""COMPUTED_VALUE"""),"Houston Rockets")</f>
        <v>Houston Rockets</v>
      </c>
      <c r="D26" t="str">
        <f>IFERROR(__xludf.DUMMYFUNCTION("""COMPUTED_VALUE"""),"San Antonio Spurs")</f>
        <v>San Antonio Spurs</v>
      </c>
      <c r="F26" t="s">
        <v>108</v>
      </c>
      <c r="G26" t="s">
        <v>50</v>
      </c>
    </row>
    <row r="27">
      <c r="A27" s="24" t="s">
        <v>109</v>
      </c>
      <c r="B27" s="19">
        <f>IFERROR(__xludf.DUMMYFUNCTION("IFERROR(SPLIT(A27,"",""),"""")"),46318.0)</f>
        <v>46318</v>
      </c>
      <c r="C27" t="str">
        <f>IFERROR(__xludf.DUMMYFUNCTION("""COMPUTED_VALUE"""),"New Orleans Pelicans")</f>
        <v>New Orleans Pelicans</v>
      </c>
      <c r="D27" t="str">
        <f>IFERROR(__xludf.DUMMYFUNCTION("""COMPUTED_VALUE"""),"Utah Jazz")</f>
        <v>Utah Jazz</v>
      </c>
      <c r="F27" t="s">
        <v>110</v>
      </c>
      <c r="G27" t="s">
        <v>51</v>
      </c>
    </row>
    <row r="28">
      <c r="A28" s="24" t="s">
        <v>111</v>
      </c>
      <c r="B28" s="19">
        <f>IFERROR(__xludf.DUMMYFUNCTION("IFERROR(SPLIT(A28,"",""),"""")"),46318.0)</f>
        <v>46318</v>
      </c>
      <c r="C28" t="str">
        <f>IFERROR(__xludf.DUMMYFUNCTION("""COMPUTED_VALUE"""),"Los Angeles Clippers")</f>
        <v>Los Angeles Clippers</v>
      </c>
      <c r="D28" t="str">
        <f>IFERROR(__xludf.DUMMYFUNCTION("""COMPUTED_VALUE"""),"Los Angeles Lakers")</f>
        <v>Los Angeles Lakers</v>
      </c>
      <c r="F28" t="s">
        <v>112</v>
      </c>
      <c r="G28" t="s">
        <v>31</v>
      </c>
    </row>
    <row r="29">
      <c r="A29" s="24" t="s">
        <v>113</v>
      </c>
      <c r="B29" s="19">
        <f>IFERROR(__xludf.DUMMYFUNCTION("IFERROR(SPLIT(A29,"",""),"""")"),46318.0)</f>
        <v>46318</v>
      </c>
      <c r="C29" t="str">
        <f>IFERROR(__xludf.DUMMYFUNCTION("""COMPUTED_VALUE"""),"Portland Trail Blazers")</f>
        <v>Portland Trail Blazers</v>
      </c>
      <c r="D29" t="str">
        <f>IFERROR(__xludf.DUMMYFUNCTION("""COMPUTED_VALUE"""),"Sacramento Kings")</f>
        <v>Sacramento Kings</v>
      </c>
      <c r="F29" t="s">
        <v>114</v>
      </c>
      <c r="G29" t="s">
        <v>39</v>
      </c>
    </row>
    <row r="30">
      <c r="A30" s="24" t="s">
        <v>115</v>
      </c>
      <c r="B30" s="19">
        <f>IFERROR(__xludf.DUMMYFUNCTION("IFERROR(SPLIT(A30,"",""),"""")"),46318.0)</f>
        <v>46318</v>
      </c>
      <c r="C30" t="str">
        <f>IFERROR(__xludf.DUMMYFUNCTION("""COMPUTED_VALUE"""),"Memphis Grizzlies")</f>
        <v>Memphis Grizzlies</v>
      </c>
      <c r="D30" t="str">
        <f>IFERROR(__xludf.DUMMYFUNCTION("""COMPUTED_VALUE"""),"Golden State Warriors")</f>
        <v>Golden State Warriors</v>
      </c>
      <c r="F30" t="s">
        <v>116</v>
      </c>
      <c r="G30" t="s">
        <v>41</v>
      </c>
    </row>
    <row r="31">
      <c r="A31" s="24" t="s">
        <v>117</v>
      </c>
      <c r="B31" s="19">
        <f>IFERROR(__xludf.DUMMYFUNCTION("IFERROR(SPLIT(A31,"",""),"""")"),46319.0)</f>
        <v>46319</v>
      </c>
      <c r="C31" t="str">
        <f>IFERROR(__xludf.DUMMYFUNCTION("""COMPUTED_VALUE"""),"Miami Heat")</f>
        <v>Miami Heat</v>
      </c>
      <c r="D31" t="str">
        <f>IFERROR(__xludf.DUMMYFUNCTION("""COMPUTED_VALUE"""),"Charlotte Hornets")</f>
        <v>Charlotte Hornets</v>
      </c>
      <c r="F31" t="s">
        <v>118</v>
      </c>
      <c r="G31" t="s">
        <v>33</v>
      </c>
    </row>
    <row r="32">
      <c r="A32" s="24" t="s">
        <v>119</v>
      </c>
      <c r="B32" s="19">
        <f>IFERROR(__xludf.DUMMYFUNCTION("IFERROR(SPLIT(A32,"",""),"""")"),46319.0)</f>
        <v>46319</v>
      </c>
      <c r="C32" t="str">
        <f>IFERROR(__xludf.DUMMYFUNCTION("""COMPUTED_VALUE"""),"Milwaukee Bucks")</f>
        <v>Milwaukee Bucks</v>
      </c>
      <c r="D32" t="str">
        <f>IFERROR(__xludf.DUMMYFUNCTION("""COMPUTED_VALUE"""),"Philadelphia 76ers")</f>
        <v>Philadelphia 76ers</v>
      </c>
    </row>
    <row r="33">
      <c r="A33" s="24" t="s">
        <v>120</v>
      </c>
      <c r="B33" s="19">
        <f>IFERROR(__xludf.DUMMYFUNCTION("IFERROR(SPLIT(A33,"",""),"""")"),46319.0)</f>
        <v>46319</v>
      </c>
      <c r="C33" t="str">
        <f>IFERROR(__xludf.DUMMYFUNCTION("""COMPUTED_VALUE"""),"Brooklyn Nets")</f>
        <v>Brooklyn Nets</v>
      </c>
      <c r="D33" t="str">
        <f>IFERROR(__xludf.DUMMYFUNCTION("""COMPUTED_VALUE"""),"Cleveland Cavaliers")</f>
        <v>Cleveland Cavaliers</v>
      </c>
    </row>
    <row r="34">
      <c r="A34" s="24" t="s">
        <v>121</v>
      </c>
      <c r="B34" s="19">
        <f>IFERROR(__xludf.DUMMYFUNCTION("IFERROR(SPLIT(A34,"",""),"""")"),46319.0)</f>
        <v>46319</v>
      </c>
      <c r="C34" t="str">
        <f>IFERROR(__xludf.DUMMYFUNCTION("""COMPUTED_VALUE"""),"San Antonio Spurs")</f>
        <v>San Antonio Spurs</v>
      </c>
      <c r="D34" t="str">
        <f>IFERROR(__xludf.DUMMYFUNCTION("""COMPUTED_VALUE"""),"Dallas Mavericks")</f>
        <v>Dallas Mavericks</v>
      </c>
    </row>
    <row r="35">
      <c r="A35" s="24" t="s">
        <v>122</v>
      </c>
      <c r="B35" s="19">
        <f>IFERROR(__xludf.DUMMYFUNCTION("IFERROR(SPLIT(A35,"",""),"""")"),46319.0)</f>
        <v>46319</v>
      </c>
      <c r="C35" t="str">
        <f>IFERROR(__xludf.DUMMYFUNCTION("""COMPUTED_VALUE"""),"Washington Wizards")</f>
        <v>Washington Wizards</v>
      </c>
      <c r="D35" t="str">
        <f>IFERROR(__xludf.DUMMYFUNCTION("""COMPUTED_VALUE"""),"Chicago Bulls")</f>
        <v>Chicago Bulls</v>
      </c>
    </row>
    <row r="36">
      <c r="A36" s="24" t="s">
        <v>123</v>
      </c>
      <c r="B36" s="19">
        <f>IFERROR(__xludf.DUMMYFUNCTION("IFERROR(SPLIT(A36,"",""),"""")"),46319.0)</f>
        <v>46319</v>
      </c>
      <c r="C36" t="str">
        <f>IFERROR(__xludf.DUMMYFUNCTION("""COMPUTED_VALUE"""),"Houston Rockets")</f>
        <v>Houston Rockets</v>
      </c>
      <c r="D36" t="str">
        <f>IFERROR(__xludf.DUMMYFUNCTION("""COMPUTED_VALUE"""),"Atlanta Hawks")</f>
        <v>Atlanta Hawks</v>
      </c>
    </row>
    <row r="37">
      <c r="A37" s="24" t="s">
        <v>124</v>
      </c>
      <c r="B37" s="19">
        <f>IFERROR(__xludf.DUMMYFUNCTION("IFERROR(SPLIT(A37,"",""),"""")"),46319.0)</f>
        <v>46319</v>
      </c>
      <c r="C37" t="str">
        <f>IFERROR(__xludf.DUMMYFUNCTION("""COMPUTED_VALUE"""),"New Orleans Pelicans")</f>
        <v>New Orleans Pelicans</v>
      </c>
      <c r="D37" t="str">
        <f>IFERROR(__xludf.DUMMYFUNCTION("""COMPUTED_VALUE"""),"Denver Nuggets")</f>
        <v>Denver Nuggets</v>
      </c>
    </row>
    <row r="38">
      <c r="A38" s="24" t="s">
        <v>125</v>
      </c>
      <c r="B38" s="19">
        <f>IFERROR(__xludf.DUMMYFUNCTION("IFERROR(SPLIT(A38,"",""),"""")"),46319.0)</f>
        <v>46319</v>
      </c>
      <c r="C38" t="str">
        <f>IFERROR(__xludf.DUMMYFUNCTION("""COMPUTED_VALUE"""),"Golden State Warriors")</f>
        <v>Golden State Warriors</v>
      </c>
      <c r="D38" t="str">
        <f>IFERROR(__xludf.DUMMYFUNCTION("""COMPUTED_VALUE"""),"Phoenix Suns")</f>
        <v>Phoenix Suns</v>
      </c>
    </row>
    <row r="39">
      <c r="A39" s="24" t="s">
        <v>126</v>
      </c>
      <c r="B39" s="19">
        <f>IFERROR(__xludf.DUMMYFUNCTION("IFERROR(SPLIT(A39,"",""),"""")"),46320.0)</f>
        <v>46320</v>
      </c>
      <c r="C39" t="str">
        <f>IFERROR(__xludf.DUMMYFUNCTION("""COMPUTED_VALUE"""),"Los Angeles Lakers")</f>
        <v>Los Angeles Lakers</v>
      </c>
      <c r="D39" t="str">
        <f>IFERROR(__xludf.DUMMYFUNCTION("""COMPUTED_VALUE"""),"Utah Jazz")</f>
        <v>Utah Jazz</v>
      </c>
    </row>
    <row r="40">
      <c r="A40" s="24" t="s">
        <v>127</v>
      </c>
      <c r="B40" s="19">
        <f>IFERROR(__xludf.DUMMYFUNCTION("IFERROR(SPLIT(A40,"",""),"""")"),46320.0)</f>
        <v>46320</v>
      </c>
      <c r="C40" t="str">
        <f>IFERROR(__xludf.DUMMYFUNCTION("""COMPUTED_VALUE"""),"Indiana Pacers")</f>
        <v>Indiana Pacers</v>
      </c>
      <c r="D40" t="str">
        <f>IFERROR(__xludf.DUMMYFUNCTION("""COMPUTED_VALUE"""),"Brooklyn Nets")</f>
        <v>Brooklyn Nets</v>
      </c>
    </row>
    <row r="41">
      <c r="A41" s="24" t="s">
        <v>128</v>
      </c>
      <c r="B41" s="19">
        <f>IFERROR(__xludf.DUMMYFUNCTION("IFERROR(SPLIT(A41,"",""),"""")"),46320.0)</f>
        <v>46320</v>
      </c>
      <c r="C41" t="str">
        <f>IFERROR(__xludf.DUMMYFUNCTION("""COMPUTED_VALUE"""),"Toronto Raptors")</f>
        <v>Toronto Raptors</v>
      </c>
      <c r="D41" t="str">
        <f>IFERROR(__xludf.DUMMYFUNCTION("""COMPUTED_VALUE"""),"Minnesota Timberwolves")</f>
        <v>Minnesota Timberwolves</v>
      </c>
    </row>
    <row r="42">
      <c r="A42" s="24" t="s">
        <v>129</v>
      </c>
      <c r="B42" s="19">
        <f>IFERROR(__xludf.DUMMYFUNCTION("IFERROR(SPLIT(A42,"",""),"""")"),46320.0)</f>
        <v>46320</v>
      </c>
      <c r="C42" t="str">
        <f>IFERROR(__xludf.DUMMYFUNCTION("""COMPUTED_VALUE"""),"Orlando Magic")</f>
        <v>Orlando Magic</v>
      </c>
      <c r="D42" t="str">
        <f>IFERROR(__xludf.DUMMYFUNCTION("""COMPUTED_VALUE"""),"New York Knicks")</f>
        <v>New York Knicks</v>
      </c>
    </row>
    <row r="43">
      <c r="A43" s="24" t="s">
        <v>130</v>
      </c>
      <c r="B43" s="19">
        <f>IFERROR(__xludf.DUMMYFUNCTION("IFERROR(SPLIT(A43,"",""),"""")"),46320.0)</f>
        <v>46320</v>
      </c>
      <c r="C43" t="str">
        <f>IFERROR(__xludf.DUMMYFUNCTION("""COMPUTED_VALUE"""),"Los Angeles Clippers")</f>
        <v>Los Angeles Clippers</v>
      </c>
      <c r="D43" t="str">
        <f>IFERROR(__xludf.DUMMYFUNCTION("""COMPUTED_VALUE"""),"Oklahoma City Thunder")</f>
        <v>Oklahoma City Thunder</v>
      </c>
    </row>
    <row r="44">
      <c r="A44" s="24" t="s">
        <v>131</v>
      </c>
      <c r="B44" s="19">
        <f>IFERROR(__xludf.DUMMYFUNCTION("IFERROR(SPLIT(A44,"",""),"""")"),46320.0)</f>
        <v>46320</v>
      </c>
      <c r="C44" t="str">
        <f>IFERROR(__xludf.DUMMYFUNCTION("""COMPUTED_VALUE"""),"Detroit Pistons")</f>
        <v>Detroit Pistons</v>
      </c>
      <c r="D44" t="str">
        <f>IFERROR(__xludf.DUMMYFUNCTION("""COMPUTED_VALUE"""),"Philadelphia 76ers")</f>
        <v>Philadelphia 76ers</v>
      </c>
    </row>
    <row r="45">
      <c r="A45" s="24" t="s">
        <v>132</v>
      </c>
      <c r="B45" s="19">
        <f>IFERROR(__xludf.DUMMYFUNCTION("IFERROR(SPLIT(A45,"",""),"""")"),46320.0)</f>
        <v>46320</v>
      </c>
      <c r="C45" t="str">
        <f>IFERROR(__xludf.DUMMYFUNCTION("""COMPUTED_VALUE"""),"Memphis Grizzlies")</f>
        <v>Memphis Grizzlies</v>
      </c>
      <c r="D45" t="str">
        <f>IFERROR(__xludf.DUMMYFUNCTION("""COMPUTED_VALUE"""),"Sacramento Kings")</f>
        <v>Sacramento Kings</v>
      </c>
    </row>
    <row r="46">
      <c r="A46" s="24" t="s">
        <v>133</v>
      </c>
      <c r="B46" s="19">
        <f>IFERROR(__xludf.DUMMYFUNCTION("IFERROR(SPLIT(A46,"",""),"""")"),46321.0)</f>
        <v>46321</v>
      </c>
      <c r="C46" t="str">
        <f>IFERROR(__xludf.DUMMYFUNCTION("""COMPUTED_VALUE"""),"Minnesota Timberwolves")</f>
        <v>Minnesota Timberwolves</v>
      </c>
      <c r="D46" t="str">
        <f>IFERROR(__xludf.DUMMYFUNCTION("""COMPUTED_VALUE"""),"Cleveland Cavaliers")</f>
        <v>Cleveland Cavaliers</v>
      </c>
    </row>
    <row r="47">
      <c r="A47" s="24" t="s">
        <v>134</v>
      </c>
      <c r="B47" s="19">
        <f>IFERROR(__xludf.DUMMYFUNCTION("IFERROR(SPLIT(A47,"",""),"""")"),46321.0)</f>
        <v>46321</v>
      </c>
      <c r="C47" t="str">
        <f>IFERROR(__xludf.DUMMYFUNCTION("""COMPUTED_VALUE"""),"Washington Wizards")</f>
        <v>Washington Wizards</v>
      </c>
      <c r="D47" t="str">
        <f>IFERROR(__xludf.DUMMYFUNCTION("""COMPUTED_VALUE"""),"Charlotte Hornets")</f>
        <v>Charlotte Hornets</v>
      </c>
    </row>
    <row r="48">
      <c r="A48" s="24" t="s">
        <v>135</v>
      </c>
      <c r="B48" s="19">
        <f>IFERROR(__xludf.DUMMYFUNCTION("IFERROR(SPLIT(A48,"",""),"""")"),46321.0)</f>
        <v>46321</v>
      </c>
      <c r="C48" t="str">
        <f>IFERROR(__xludf.DUMMYFUNCTION("""COMPUTED_VALUE"""),"Dallas Mavericks")</f>
        <v>Dallas Mavericks</v>
      </c>
      <c r="D48" t="str">
        <f>IFERROR(__xludf.DUMMYFUNCTION("""COMPUTED_VALUE"""),"Miami Heat")</f>
        <v>Miami Heat</v>
      </c>
    </row>
    <row r="49">
      <c r="A49" s="24" t="s">
        <v>136</v>
      </c>
      <c r="B49" s="19">
        <f>IFERROR(__xludf.DUMMYFUNCTION("IFERROR(SPLIT(A49,"",""),"""")"),46321.0)</f>
        <v>46321</v>
      </c>
      <c r="C49" t="str">
        <f>IFERROR(__xludf.DUMMYFUNCTION("""COMPUTED_VALUE"""),"Chicago Bulls")</f>
        <v>Chicago Bulls</v>
      </c>
      <c r="D49" t="str">
        <f>IFERROR(__xludf.DUMMYFUNCTION("""COMPUTED_VALUE"""),"Boston Celtics")</f>
        <v>Boston Celtics</v>
      </c>
    </row>
    <row r="50">
      <c r="A50" s="24" t="s">
        <v>138</v>
      </c>
      <c r="B50" s="19">
        <f>IFERROR(__xludf.DUMMYFUNCTION("IFERROR(SPLIT(A50,"",""),"""")"),46321.0)</f>
        <v>46321</v>
      </c>
      <c r="C50" t="str">
        <f>IFERROR(__xludf.DUMMYFUNCTION("""COMPUTED_VALUE"""),"Indiana Pacers")</f>
        <v>Indiana Pacers</v>
      </c>
      <c r="D50" t="str">
        <f>IFERROR(__xludf.DUMMYFUNCTION("""COMPUTED_VALUE"""),"Milwaukee Bucks")</f>
        <v>Milwaukee Bucks</v>
      </c>
    </row>
    <row r="51">
      <c r="A51" s="24" t="s">
        <v>139</v>
      </c>
      <c r="B51" s="19">
        <f>IFERROR(__xludf.DUMMYFUNCTION("IFERROR(SPLIT(A51,"",""),"""")"),46321.0)</f>
        <v>46321</v>
      </c>
      <c r="C51" t="str">
        <f>IFERROR(__xludf.DUMMYFUNCTION("""COMPUTED_VALUE"""),"Phoenix Suns")</f>
        <v>Phoenix Suns</v>
      </c>
      <c r="D51" t="str">
        <f>IFERROR(__xludf.DUMMYFUNCTION("""COMPUTED_VALUE"""),"Oklahoma City Thunder")</f>
        <v>Oklahoma City Thunder</v>
      </c>
    </row>
    <row r="52">
      <c r="A52" s="24" t="s">
        <v>140</v>
      </c>
      <c r="B52" s="19">
        <f>IFERROR(__xludf.DUMMYFUNCTION("IFERROR(SPLIT(A52,"",""),"""")"),46321.0)</f>
        <v>46321</v>
      </c>
      <c r="C52" t="str">
        <f>IFERROR(__xludf.DUMMYFUNCTION("""COMPUTED_VALUE"""),"Atlanta Hawks")</f>
        <v>Atlanta Hawks</v>
      </c>
      <c r="D52" t="str">
        <f>IFERROR(__xludf.DUMMYFUNCTION("""COMPUTED_VALUE"""),"Houston Rockets")</f>
        <v>Houston Rockets</v>
      </c>
    </row>
    <row r="53">
      <c r="A53" s="24" t="s">
        <v>141</v>
      </c>
      <c r="B53" s="19">
        <f>IFERROR(__xludf.DUMMYFUNCTION("IFERROR(SPLIT(A53,"",""),"""")"),46321.0)</f>
        <v>46321</v>
      </c>
      <c r="C53" t="str">
        <f>IFERROR(__xludf.DUMMYFUNCTION("""COMPUTED_VALUE"""),"Memphis Grizzlies")</f>
        <v>Memphis Grizzlies</v>
      </c>
      <c r="D53" t="str">
        <f>IFERROR(__xludf.DUMMYFUNCTION("""COMPUTED_VALUE"""),"Utah Jazz")</f>
        <v>Utah Jazz</v>
      </c>
    </row>
    <row r="54">
      <c r="A54" s="24" t="s">
        <v>142</v>
      </c>
      <c r="B54" s="19">
        <f>IFERROR(__xludf.DUMMYFUNCTION("IFERROR(SPLIT(A54,"",""),"""")"),46321.0)</f>
        <v>46321</v>
      </c>
      <c r="C54" t="str">
        <f>IFERROR(__xludf.DUMMYFUNCTION("""COMPUTED_VALUE"""),"Golden State Warriors")</f>
        <v>Golden State Warriors</v>
      </c>
      <c r="D54" t="str">
        <f>IFERROR(__xludf.DUMMYFUNCTION("""COMPUTED_VALUE"""),"Denver Nuggets")</f>
        <v>Denver Nuggets</v>
      </c>
    </row>
    <row r="55">
      <c r="A55" s="24" t="s">
        <v>143</v>
      </c>
      <c r="B55" s="19">
        <f>IFERROR(__xludf.DUMMYFUNCTION("IFERROR(SPLIT(A55,"",""),"""")"),46322.0)</f>
        <v>46322</v>
      </c>
      <c r="C55" t="str">
        <f>IFERROR(__xludf.DUMMYFUNCTION("""COMPUTED_VALUE"""),"Brooklyn Nets")</f>
        <v>Brooklyn Nets</v>
      </c>
      <c r="D55" t="str">
        <f>IFERROR(__xludf.DUMMYFUNCTION("""COMPUTED_VALUE"""),"Boston Celtics")</f>
        <v>Boston Celtics</v>
      </c>
    </row>
    <row r="56">
      <c r="A56" s="24" t="s">
        <v>144</v>
      </c>
      <c r="B56" s="19">
        <f>IFERROR(__xludf.DUMMYFUNCTION("IFERROR(SPLIT(A56,"",""),"""")"),46322.0)</f>
        <v>46322</v>
      </c>
      <c r="C56" t="str">
        <f>IFERROR(__xludf.DUMMYFUNCTION("""COMPUTED_VALUE"""),"Detroit Pistons")</f>
        <v>Detroit Pistons</v>
      </c>
      <c r="D56" t="str">
        <f>IFERROR(__xludf.DUMMYFUNCTION("""COMPUTED_VALUE"""),"New York Knicks")</f>
        <v>New York Knicks</v>
      </c>
    </row>
    <row r="57">
      <c r="A57" s="24" t="s">
        <v>145</v>
      </c>
      <c r="B57" s="19">
        <f>IFERROR(__xludf.DUMMYFUNCTION("IFERROR(SPLIT(A57,"",""),"""")"),46322.0)</f>
        <v>46322</v>
      </c>
      <c r="C57" t="str">
        <f>IFERROR(__xludf.DUMMYFUNCTION("""COMPUTED_VALUE"""),"Sacramento Kings")</f>
        <v>Sacramento Kings</v>
      </c>
      <c r="D57" t="str">
        <f>IFERROR(__xludf.DUMMYFUNCTION("""COMPUTED_VALUE"""),"San Antonio Spurs")</f>
        <v>San Antonio Spurs</v>
      </c>
    </row>
    <row r="58">
      <c r="A58" s="24" t="s">
        <v>146</v>
      </c>
      <c r="B58" s="19">
        <f>IFERROR(__xludf.DUMMYFUNCTION("IFERROR(SPLIT(A58,"",""),"""")"),46322.0)</f>
        <v>46322</v>
      </c>
      <c r="C58" t="str">
        <f>IFERROR(__xludf.DUMMYFUNCTION("""COMPUTED_VALUE"""),"Portland Trail Blazers")</f>
        <v>Portland Trail Blazers</v>
      </c>
      <c r="D58" t="str">
        <f>IFERROR(__xludf.DUMMYFUNCTION("""COMPUTED_VALUE"""),"Los Angeles Lakers")</f>
        <v>Los Angeles Lakers</v>
      </c>
    </row>
    <row r="59">
      <c r="A59" s="24" t="s">
        <v>147</v>
      </c>
      <c r="B59" s="19">
        <f>IFERROR(__xludf.DUMMYFUNCTION("IFERROR(SPLIT(A59,"",""),"""")"),46323.0)</f>
        <v>46323</v>
      </c>
      <c r="C59" t="str">
        <f>IFERROR(__xludf.DUMMYFUNCTION("""COMPUTED_VALUE"""),"Miami Heat")</f>
        <v>Miami Heat</v>
      </c>
      <c r="D59" t="str">
        <f>IFERROR(__xludf.DUMMYFUNCTION("""COMPUTED_VALUE"""),"Atlanta Hawks")</f>
        <v>Atlanta Hawks</v>
      </c>
    </row>
    <row r="60">
      <c r="A60" s="24" t="s">
        <v>148</v>
      </c>
      <c r="B60" s="19">
        <f>IFERROR(__xludf.DUMMYFUNCTION("IFERROR(SPLIT(A60,"",""),"""")"),46323.0)</f>
        <v>46323</v>
      </c>
      <c r="C60" t="str">
        <f>IFERROR(__xludf.DUMMYFUNCTION("""COMPUTED_VALUE"""),"Washington Wizards")</f>
        <v>Washington Wizards</v>
      </c>
      <c r="D60" t="str">
        <f>IFERROR(__xludf.DUMMYFUNCTION("""COMPUTED_VALUE"""),"Cleveland Cavaliers")</f>
        <v>Cleveland Cavaliers</v>
      </c>
    </row>
    <row r="61">
      <c r="A61" s="24" t="s">
        <v>149</v>
      </c>
      <c r="B61" s="19">
        <f>IFERROR(__xludf.DUMMYFUNCTION("IFERROR(SPLIT(A61,"",""),"""")"),46323.0)</f>
        <v>46323</v>
      </c>
      <c r="C61" t="str">
        <f>IFERROR(__xludf.DUMMYFUNCTION("""COMPUTED_VALUE"""),"Philadelphia 76ers")</f>
        <v>Philadelphia 76ers</v>
      </c>
      <c r="D61" t="str">
        <f>IFERROR(__xludf.DUMMYFUNCTION("""COMPUTED_VALUE"""),"Indiana Pacers")</f>
        <v>Indiana Pacers</v>
      </c>
    </row>
    <row r="62">
      <c r="A62" s="24" t="s">
        <v>150</v>
      </c>
      <c r="B62" s="19">
        <f>IFERROR(__xludf.DUMMYFUNCTION("IFERROR(SPLIT(A62,"",""),"""")"),46323.0)</f>
        <v>46323</v>
      </c>
      <c r="C62" t="str">
        <f>IFERROR(__xludf.DUMMYFUNCTION("""COMPUTED_VALUE"""),"Charlotte Hornets")</f>
        <v>Charlotte Hornets</v>
      </c>
      <c r="D62" t="str">
        <f>IFERROR(__xludf.DUMMYFUNCTION("""COMPUTED_VALUE"""),"Detroit Pistons")</f>
        <v>Detroit Pistons</v>
      </c>
    </row>
    <row r="63">
      <c r="A63" s="24" t="s">
        <v>151</v>
      </c>
      <c r="B63" s="19">
        <f>IFERROR(__xludf.DUMMYFUNCTION("IFERROR(SPLIT(A63,"",""),"""")"),46323.0)</f>
        <v>46323</v>
      </c>
      <c r="C63" t="str">
        <f>IFERROR(__xludf.DUMMYFUNCTION("""COMPUTED_VALUE"""),"Orlando Magic")</f>
        <v>Orlando Magic</v>
      </c>
      <c r="D63" t="str">
        <f>IFERROR(__xludf.DUMMYFUNCTION("""COMPUTED_VALUE"""),"Toronto Raptors")</f>
        <v>Toronto Raptors</v>
      </c>
    </row>
    <row r="64">
      <c r="A64" s="24" t="s">
        <v>152</v>
      </c>
      <c r="B64" s="19">
        <f>IFERROR(__xludf.DUMMYFUNCTION("IFERROR(SPLIT(A64,"",""),"""")"),46323.0)</f>
        <v>46323</v>
      </c>
      <c r="C64" t="str">
        <f>IFERROR(__xludf.DUMMYFUNCTION("""COMPUTED_VALUE"""),"Houston Rockets")</f>
        <v>Houston Rockets</v>
      </c>
      <c r="D64" t="str">
        <f>IFERROR(__xludf.DUMMYFUNCTION("""COMPUTED_VALUE"""),"Milwaukee Bucks")</f>
        <v>Milwaukee Bucks</v>
      </c>
    </row>
    <row r="65">
      <c r="A65" s="24" t="s">
        <v>153</v>
      </c>
      <c r="B65" s="19">
        <f>IFERROR(__xludf.DUMMYFUNCTION("IFERROR(SPLIT(A65,"",""),"""")"),46323.0)</f>
        <v>46323</v>
      </c>
      <c r="C65" t="str">
        <f>IFERROR(__xludf.DUMMYFUNCTION("""COMPUTED_VALUE"""),"Golden State Warriors")</f>
        <v>Golden State Warriors</v>
      </c>
      <c r="D65" t="str">
        <f>IFERROR(__xludf.DUMMYFUNCTION("""COMPUTED_VALUE"""),"Minnesota Timberwolves")</f>
        <v>Minnesota Timberwolves</v>
      </c>
    </row>
    <row r="66">
      <c r="A66" s="24" t="s">
        <v>154</v>
      </c>
      <c r="B66" s="19">
        <f>IFERROR(__xludf.DUMMYFUNCTION("IFERROR(SPLIT(A66,"",""),"""")"),46323.0)</f>
        <v>46323</v>
      </c>
      <c r="C66" t="str">
        <f>IFERROR(__xludf.DUMMYFUNCTION("""COMPUTED_VALUE"""),"Denver Nuggets")</f>
        <v>Denver Nuggets</v>
      </c>
      <c r="D66" t="str">
        <f>IFERROR(__xludf.DUMMYFUNCTION("""COMPUTED_VALUE"""),"New Orleans Pelicans")</f>
        <v>New Orleans Pelicans</v>
      </c>
    </row>
    <row r="67">
      <c r="A67" s="24" t="s">
        <v>155</v>
      </c>
      <c r="B67" s="19">
        <f>IFERROR(__xludf.DUMMYFUNCTION("IFERROR(SPLIT(A67,"",""),"""")"),46323.0)</f>
        <v>46323</v>
      </c>
      <c r="C67" t="str">
        <f>IFERROR(__xludf.DUMMYFUNCTION("""COMPUTED_VALUE"""),"New York Knicks")</f>
        <v>New York Knicks</v>
      </c>
      <c r="D67" t="str">
        <f>IFERROR(__xludf.DUMMYFUNCTION("""COMPUTED_VALUE"""),"Chicago Bulls")</f>
        <v>Chicago Bulls</v>
      </c>
    </row>
    <row r="68">
      <c r="A68" s="24" t="s">
        <v>156</v>
      </c>
      <c r="B68" s="19">
        <f>IFERROR(__xludf.DUMMYFUNCTION("IFERROR(SPLIT(A68,"",""),"""")"),46323.0)</f>
        <v>46323</v>
      </c>
      <c r="C68" t="str">
        <f>IFERROR(__xludf.DUMMYFUNCTION("""COMPUTED_VALUE"""),"San Antonio Spurs")</f>
        <v>San Antonio Spurs</v>
      </c>
      <c r="D68" t="str">
        <f>IFERROR(__xludf.DUMMYFUNCTION("""COMPUTED_VALUE"""),"Utah Jazz")</f>
        <v>Utah Jazz</v>
      </c>
    </row>
    <row r="69">
      <c r="A69" s="24" t="s">
        <v>157</v>
      </c>
      <c r="B69" s="19">
        <f>IFERROR(__xludf.DUMMYFUNCTION("IFERROR(SPLIT(A69,"",""),"""")"),46323.0)</f>
        <v>46323</v>
      </c>
      <c r="C69" t="str">
        <f>IFERROR(__xludf.DUMMYFUNCTION("""COMPUTED_VALUE"""),"Oklahoma City Thunder")</f>
        <v>Oklahoma City Thunder</v>
      </c>
      <c r="D69" t="str">
        <f>IFERROR(__xludf.DUMMYFUNCTION("""COMPUTED_VALUE"""),"Dallas Mavericks")</f>
        <v>Dallas Mavericks</v>
      </c>
    </row>
    <row r="70">
      <c r="A70" s="24" t="s">
        <v>158</v>
      </c>
      <c r="B70" s="19">
        <f>IFERROR(__xludf.DUMMYFUNCTION("IFERROR(SPLIT(A70,"",""),"""")"),46323.0)</f>
        <v>46323</v>
      </c>
      <c r="C70" t="str">
        <f>IFERROR(__xludf.DUMMYFUNCTION("""COMPUTED_VALUE"""),"Los Angeles Lakers")</f>
        <v>Los Angeles Lakers</v>
      </c>
      <c r="D70" t="str">
        <f>IFERROR(__xludf.DUMMYFUNCTION("""COMPUTED_VALUE"""),"Los Angeles Clippers")</f>
        <v>Los Angeles Clippers</v>
      </c>
    </row>
    <row r="71">
      <c r="A71" s="24" t="s">
        <v>159</v>
      </c>
      <c r="B71" s="19">
        <f>IFERROR(__xludf.DUMMYFUNCTION("IFERROR(SPLIT(A71,"",""),"""")"),46324.0)</f>
        <v>46324</v>
      </c>
      <c r="C71" t="str">
        <f>IFERROR(__xludf.DUMMYFUNCTION("""COMPUTED_VALUE"""),"Cleveland Cavaliers")</f>
        <v>Cleveland Cavaliers</v>
      </c>
      <c r="D71" t="str">
        <f>IFERROR(__xludf.DUMMYFUNCTION("""COMPUTED_VALUE"""),"Atlanta Hawks")</f>
        <v>Atlanta Hawks</v>
      </c>
    </row>
    <row r="72">
      <c r="A72" s="24" t="s">
        <v>160</v>
      </c>
      <c r="B72" s="19">
        <f>IFERROR(__xludf.DUMMYFUNCTION("IFERROR(SPLIT(A72,"",""),"""")"),46324.0)</f>
        <v>46324</v>
      </c>
      <c r="C72" t="str">
        <f>IFERROR(__xludf.DUMMYFUNCTION("""COMPUTED_VALUE"""),"Sacramento Kings")</f>
        <v>Sacramento Kings</v>
      </c>
      <c r="D72" t="str">
        <f>IFERROR(__xludf.DUMMYFUNCTION("""COMPUTED_VALUE"""),"New Orleans Pelicans")</f>
        <v>New Orleans Pelicans</v>
      </c>
    </row>
    <row r="73">
      <c r="A73" s="24" t="s">
        <v>161</v>
      </c>
      <c r="B73" s="19">
        <f>IFERROR(__xludf.DUMMYFUNCTION("IFERROR(SPLIT(A73,"",""),"""")"),46324.0)</f>
        <v>46324</v>
      </c>
      <c r="C73" t="str">
        <f>IFERROR(__xludf.DUMMYFUNCTION("""COMPUTED_VALUE"""),"Memphis Grizzlies")</f>
        <v>Memphis Grizzlies</v>
      </c>
      <c r="D73" t="str">
        <f>IFERROR(__xludf.DUMMYFUNCTION("""COMPUTED_VALUE"""),"Portland Trail Blazers")</f>
        <v>Portland Trail Blazers</v>
      </c>
    </row>
    <row r="74">
      <c r="A74" s="17" t="s">
        <v>162</v>
      </c>
      <c r="B74" s="19">
        <f>IFERROR(__xludf.DUMMYFUNCTION("IFERROR(SPLIT(A74,"",""),"""")"),46325.0)</f>
        <v>46325</v>
      </c>
      <c r="C74" t="str">
        <f>IFERROR(__xludf.DUMMYFUNCTION("""COMPUTED_VALUE"""),"Charlotte Hornets")</f>
        <v>Charlotte Hornets</v>
      </c>
      <c r="D74" t="str">
        <f>IFERROR(__xludf.DUMMYFUNCTION("""COMPUTED_VALUE"""),"Washington Wizards")</f>
        <v>Washington Wizards</v>
      </c>
    </row>
    <row r="75">
      <c r="A75" s="17" t="s">
        <v>163</v>
      </c>
      <c r="B75" s="19">
        <f>IFERROR(__xludf.DUMMYFUNCTION("IFERROR(SPLIT(A75,"",""),"""")"),46325.0)</f>
        <v>46325</v>
      </c>
      <c r="C75" t="str">
        <f>IFERROR(__xludf.DUMMYFUNCTION("""COMPUTED_VALUE"""),"Chicago Bulls")</f>
        <v>Chicago Bulls</v>
      </c>
      <c r="D75" t="str">
        <f>IFERROR(__xludf.DUMMYFUNCTION("""COMPUTED_VALUE"""),"Boston Celtics")</f>
        <v>Boston Celtics</v>
      </c>
    </row>
    <row r="76">
      <c r="A76" s="17" t="s">
        <v>164</v>
      </c>
      <c r="B76" s="19">
        <f>IFERROR(__xludf.DUMMYFUNCTION("IFERROR(SPLIT(A76,"",""),"""")"),46325.0)</f>
        <v>46325</v>
      </c>
      <c r="C76" t="str">
        <f>IFERROR(__xludf.DUMMYFUNCTION("""COMPUTED_VALUE"""),"Detroit Pistons")</f>
        <v>Detroit Pistons</v>
      </c>
      <c r="D76" t="str">
        <f>IFERROR(__xludf.DUMMYFUNCTION("""COMPUTED_VALUE"""),"Brooklyn Nets")</f>
        <v>Brooklyn Nets</v>
      </c>
    </row>
    <row r="77">
      <c r="A77" s="17" t="s">
        <v>165</v>
      </c>
      <c r="B77" s="19">
        <f>IFERROR(__xludf.DUMMYFUNCTION("IFERROR(SPLIT(A77,"",""),"""")"),46325.0)</f>
        <v>46325</v>
      </c>
      <c r="C77" t="str">
        <f>IFERROR(__xludf.DUMMYFUNCTION("""COMPUTED_VALUE"""),"New York Knicks")</f>
        <v>New York Knicks</v>
      </c>
      <c r="D77" t="str">
        <f>IFERROR(__xludf.DUMMYFUNCTION("""COMPUTED_VALUE"""),"Philadelphia 76ers")</f>
        <v>Philadelphia 76ers</v>
      </c>
    </row>
    <row r="78">
      <c r="A78" s="17" t="s">
        <v>166</v>
      </c>
      <c r="B78" s="19">
        <f>IFERROR(__xludf.DUMMYFUNCTION("IFERROR(SPLIT(A78,"",""),"""")"),46325.0)</f>
        <v>46325</v>
      </c>
      <c r="C78" t="str">
        <f>IFERROR(__xludf.DUMMYFUNCTION("""COMPUTED_VALUE"""),"Orlando Magic")</f>
        <v>Orlando Magic</v>
      </c>
      <c r="D78" t="str">
        <f>IFERROR(__xludf.DUMMYFUNCTION("""COMPUTED_VALUE"""),"Toronto Raptors")</f>
        <v>Toronto Raptors</v>
      </c>
    </row>
    <row r="79">
      <c r="A79" s="17" t="s">
        <v>167</v>
      </c>
      <c r="B79" s="19">
        <f>IFERROR(__xludf.DUMMYFUNCTION("IFERROR(SPLIT(A79,"",""),"""")"),46325.0)</f>
        <v>46325</v>
      </c>
      <c r="C79" t="str">
        <f>IFERROR(__xludf.DUMMYFUNCTION("""COMPUTED_VALUE"""),"Houston Rockets")</f>
        <v>Houston Rockets</v>
      </c>
      <c r="D79" t="str">
        <f>IFERROR(__xludf.DUMMYFUNCTION("""COMPUTED_VALUE"""),"Dallas Mavericks")</f>
        <v>Dallas Mavericks</v>
      </c>
    </row>
    <row r="80">
      <c r="A80" s="17" t="s">
        <v>168</v>
      </c>
      <c r="B80" s="19">
        <f>IFERROR(__xludf.DUMMYFUNCTION("IFERROR(SPLIT(A80,"",""),"""")"),46325.0)</f>
        <v>46325</v>
      </c>
      <c r="C80" t="str">
        <f>IFERROR(__xludf.DUMMYFUNCTION("""COMPUTED_VALUE"""),"Indiana Pacers")</f>
        <v>Indiana Pacers</v>
      </c>
      <c r="D80" t="str">
        <f>IFERROR(__xludf.DUMMYFUNCTION("""COMPUTED_VALUE"""),"Miami Heat")</f>
        <v>Miami Heat</v>
      </c>
    </row>
    <row r="81">
      <c r="A81" s="17" t="s">
        <v>169</v>
      </c>
      <c r="B81" s="19">
        <f>IFERROR(__xludf.DUMMYFUNCTION("IFERROR(SPLIT(A81,"",""),"""")"),46325.0)</f>
        <v>46325</v>
      </c>
      <c r="C81" t="str">
        <f>IFERROR(__xludf.DUMMYFUNCTION("""COMPUTED_VALUE"""),"Los Angeles Clippers")</f>
        <v>Los Angeles Clippers</v>
      </c>
      <c r="D81" t="str">
        <f>IFERROR(__xludf.DUMMYFUNCTION("""COMPUTED_VALUE"""),"Minnesota Timberwolves")</f>
        <v>Minnesota Timberwolves</v>
      </c>
    </row>
    <row r="82">
      <c r="A82" s="17" t="s">
        <v>170</v>
      </c>
      <c r="B82" s="19">
        <f>IFERROR(__xludf.DUMMYFUNCTION("IFERROR(SPLIT(A82,"",""),"""")"),46325.0)</f>
        <v>46325</v>
      </c>
      <c r="C82" t="str">
        <f>IFERROR(__xludf.DUMMYFUNCTION("""COMPUTED_VALUE"""),"Los Angeles Lakers")</f>
        <v>Los Angeles Lakers</v>
      </c>
      <c r="D82" t="str">
        <f>IFERROR(__xludf.DUMMYFUNCTION("""COMPUTED_VALUE"""),"Golden State Warriors")</f>
        <v>Golden State Warriors</v>
      </c>
    </row>
    <row r="83">
      <c r="A83" s="17" t="s">
        <v>171</v>
      </c>
      <c r="B83" s="19">
        <f>IFERROR(__xludf.DUMMYFUNCTION("IFERROR(SPLIT(A83,"",""),"""")"),46325.0)</f>
        <v>46325</v>
      </c>
      <c r="C83" t="str">
        <f>IFERROR(__xludf.DUMMYFUNCTION("""COMPUTED_VALUE"""),"Denver Nuggets")</f>
        <v>Denver Nuggets</v>
      </c>
      <c r="D83" t="str">
        <f>IFERROR(__xludf.DUMMYFUNCTION("""COMPUTED_VALUE"""),"Phoenix Suns")</f>
        <v>Phoenix Suns</v>
      </c>
    </row>
    <row r="84">
      <c r="A84" s="17" t="s">
        <v>172</v>
      </c>
      <c r="B84" s="19">
        <f>IFERROR(__xludf.DUMMYFUNCTION("IFERROR(SPLIT(A84,"",""),"""")"),46326.0)</f>
        <v>46326</v>
      </c>
      <c r="C84" t="str">
        <f>IFERROR(__xludf.DUMMYFUNCTION("""COMPUTED_VALUE"""),"Portland Trail Blazers")</f>
        <v>Portland Trail Blazers</v>
      </c>
      <c r="D84" t="str">
        <f>IFERROR(__xludf.DUMMYFUNCTION("""COMPUTED_VALUE"""),"Utah Jazz")</f>
        <v>Utah Jazz</v>
      </c>
    </row>
    <row r="85">
      <c r="A85" s="17" t="s">
        <v>173</v>
      </c>
      <c r="B85" s="19">
        <f>IFERROR(__xludf.DUMMYFUNCTION("IFERROR(SPLIT(A85,"",""),"""")"),46326.0)</f>
        <v>46326</v>
      </c>
      <c r="C85" t="str">
        <f>IFERROR(__xludf.DUMMYFUNCTION("""COMPUTED_VALUE"""),"Philadelphia 76ers")</f>
        <v>Philadelphia 76ers</v>
      </c>
      <c r="D85" t="str">
        <f>IFERROR(__xludf.DUMMYFUNCTION("""COMPUTED_VALUE"""),"Charlotte Hornets")</f>
        <v>Charlotte Hornets</v>
      </c>
    </row>
    <row r="86">
      <c r="A86" s="17" t="s">
        <v>174</v>
      </c>
      <c r="B86" s="19">
        <f>IFERROR(__xludf.DUMMYFUNCTION("IFERROR(SPLIT(A86,"",""),"""")"),46326.0)</f>
        <v>46326</v>
      </c>
      <c r="C86" t="str">
        <f>IFERROR(__xludf.DUMMYFUNCTION("""COMPUTED_VALUE"""),"Atlanta Hawks")</f>
        <v>Atlanta Hawks</v>
      </c>
      <c r="D86" t="str">
        <f>IFERROR(__xludf.DUMMYFUNCTION("""COMPUTED_VALUE"""),"New Orleans Pelicans")</f>
        <v>New Orleans Pelicans</v>
      </c>
    </row>
    <row r="87">
      <c r="A87" s="17" t="s">
        <v>175</v>
      </c>
      <c r="B87" s="19">
        <f>IFERROR(__xludf.DUMMYFUNCTION("IFERROR(SPLIT(A87,"",""),"""")"),46326.0)</f>
        <v>46326</v>
      </c>
      <c r="C87" t="str">
        <f>IFERROR(__xludf.DUMMYFUNCTION("""COMPUTED_VALUE"""),"Sacramento Kings")</f>
        <v>Sacramento Kings</v>
      </c>
      <c r="D87" t="str">
        <f>IFERROR(__xludf.DUMMYFUNCTION("""COMPUTED_VALUE"""),"Memphis Grizzlies")</f>
        <v>Memphis Grizzlies</v>
      </c>
    </row>
    <row r="88">
      <c r="A88" s="17" t="s">
        <v>176</v>
      </c>
      <c r="B88" s="19">
        <f>IFERROR(__xludf.DUMMYFUNCTION("IFERROR(SPLIT(A88,"",""),"""")"),46326.0)</f>
        <v>46326</v>
      </c>
      <c r="C88" t="str">
        <f>IFERROR(__xludf.DUMMYFUNCTION("""COMPUTED_VALUE"""),"Cleveland Cavaliers")</f>
        <v>Cleveland Cavaliers</v>
      </c>
      <c r="D88" t="str">
        <f>IFERROR(__xludf.DUMMYFUNCTION("""COMPUTED_VALUE"""),"Milwaukee Bucks")</f>
        <v>Milwaukee Bucks</v>
      </c>
    </row>
    <row r="89">
      <c r="A89" s="17" t="s">
        <v>177</v>
      </c>
      <c r="B89" s="19">
        <f>IFERROR(__xludf.DUMMYFUNCTION("IFERROR(SPLIT(A89,"",""),"""")"),46326.0)</f>
        <v>46326</v>
      </c>
      <c r="C89" t="str">
        <f>IFERROR(__xludf.DUMMYFUNCTION("""COMPUTED_VALUE"""),"Minnesota Timberwolves")</f>
        <v>Minnesota Timberwolves</v>
      </c>
      <c r="D89" t="str">
        <f>IFERROR(__xludf.DUMMYFUNCTION("""COMPUTED_VALUE"""),"San Antonio Spurs")</f>
        <v>San Antonio Spurs</v>
      </c>
    </row>
    <row r="90">
      <c r="A90" s="17" t="s">
        <v>178</v>
      </c>
      <c r="B90" s="19">
        <f>IFERROR(__xludf.DUMMYFUNCTION("IFERROR(SPLIT(A90,"",""),"""")"),46326.0)</f>
        <v>46326</v>
      </c>
      <c r="C90" t="str">
        <f>IFERROR(__xludf.DUMMYFUNCTION("""COMPUTED_VALUE"""),"Oklahoma City Thunder")</f>
        <v>Oklahoma City Thunder</v>
      </c>
      <c r="D90" t="str">
        <f>IFERROR(__xludf.DUMMYFUNCTION("""COMPUTED_VALUE"""),"Houston Rockets")</f>
        <v>Houston Rockets</v>
      </c>
    </row>
    <row r="91">
      <c r="A91" s="17" t="s">
        <v>179</v>
      </c>
      <c r="B91" s="19">
        <f>IFERROR(__xludf.DUMMYFUNCTION("IFERROR(SPLIT(A91,"",""),"""")"),46327.0)</f>
        <v>46327</v>
      </c>
      <c r="C91" t="str">
        <f>IFERROR(__xludf.DUMMYFUNCTION("""COMPUTED_VALUE"""),"Boston Celtics")</f>
        <v>Boston Celtics</v>
      </c>
      <c r="D91" t="str">
        <f>IFERROR(__xludf.DUMMYFUNCTION("""COMPUTED_VALUE"""),"Orlando Magic")</f>
        <v>Orlando Magic</v>
      </c>
    </row>
    <row r="92">
      <c r="A92" s="17" t="s">
        <v>180</v>
      </c>
      <c r="B92" s="19">
        <f>IFERROR(__xludf.DUMMYFUNCTION("IFERROR(SPLIT(A92,"",""),"""")"),46327.0)</f>
        <v>46327</v>
      </c>
      <c r="C92" t="str">
        <f>IFERROR(__xludf.DUMMYFUNCTION("""COMPUTED_VALUE"""),"Brooklyn Nets")</f>
        <v>Brooklyn Nets</v>
      </c>
      <c r="D92" t="str">
        <f>IFERROR(__xludf.DUMMYFUNCTION("""COMPUTED_VALUE"""),"Indiana Pacers")</f>
        <v>Indiana Pacers</v>
      </c>
    </row>
    <row r="93">
      <c r="A93" s="17" t="s">
        <v>181</v>
      </c>
      <c r="B93" s="19">
        <f>IFERROR(__xludf.DUMMYFUNCTION("IFERROR(SPLIT(A93,"",""),"""")"),46327.0)</f>
        <v>46327</v>
      </c>
      <c r="C93" t="str">
        <f>IFERROR(__xludf.DUMMYFUNCTION("""COMPUTED_VALUE"""),"Los Angeles Clippers")</f>
        <v>Los Angeles Clippers</v>
      </c>
      <c r="D93" t="str">
        <f>IFERROR(__xludf.DUMMYFUNCTION("""COMPUTED_VALUE"""),"Golden State Warriors")</f>
        <v>Golden State Warriors</v>
      </c>
    </row>
    <row r="94">
      <c r="A94" s="17" t="s">
        <v>182</v>
      </c>
      <c r="B94" s="19">
        <f>IFERROR(__xludf.DUMMYFUNCTION("IFERROR(SPLIT(A94,"",""),"""")"),46327.0)</f>
        <v>46327</v>
      </c>
      <c r="C94" t="str">
        <f>IFERROR(__xludf.DUMMYFUNCTION("""COMPUTED_VALUE"""),"Toronto Raptors")</f>
        <v>Toronto Raptors</v>
      </c>
      <c r="D94" t="str">
        <f>IFERROR(__xludf.DUMMYFUNCTION("""COMPUTED_VALUE"""),"Los Angeles Lakers")</f>
        <v>Los Angeles Lakers</v>
      </c>
    </row>
    <row r="95">
      <c r="A95" s="17" t="s">
        <v>183</v>
      </c>
      <c r="B95" s="19">
        <f>IFERROR(__xludf.DUMMYFUNCTION("IFERROR(SPLIT(A95,"",""),"""")"),46328.0)</f>
        <v>46328</v>
      </c>
      <c r="C95" t="str">
        <f>IFERROR(__xludf.DUMMYFUNCTION("""COMPUTED_VALUE"""),"Oklahoma City Thunder")</f>
        <v>Oklahoma City Thunder</v>
      </c>
      <c r="D95" t="str">
        <f>IFERROR(__xludf.DUMMYFUNCTION("""COMPUTED_VALUE"""),"Cleveland Cavaliers")</f>
        <v>Cleveland Cavaliers</v>
      </c>
    </row>
    <row r="96">
      <c r="A96" s="17" t="s">
        <v>184</v>
      </c>
      <c r="B96" s="19">
        <f>IFERROR(__xludf.DUMMYFUNCTION("IFERROR(SPLIT(A96,"",""),"""")"),46328.0)</f>
        <v>46328</v>
      </c>
      <c r="C96" t="str">
        <f>IFERROR(__xludf.DUMMYFUNCTION("""COMPUTED_VALUE"""),"Detroit Pistons")</f>
        <v>Detroit Pistons</v>
      </c>
      <c r="D96" t="str">
        <f>IFERROR(__xludf.DUMMYFUNCTION("""COMPUTED_VALUE"""),"Charlotte Hornets")</f>
        <v>Charlotte Hornets</v>
      </c>
    </row>
    <row r="97">
      <c r="A97" s="17" t="s">
        <v>185</v>
      </c>
      <c r="B97" s="19">
        <f>IFERROR(__xludf.DUMMYFUNCTION("IFERROR(SPLIT(A97,"",""),"""")"),46328.0)</f>
        <v>46328</v>
      </c>
      <c r="C97" t="str">
        <f>IFERROR(__xludf.DUMMYFUNCTION("""COMPUTED_VALUE"""),"Atlanta Hawks")</f>
        <v>Atlanta Hawks</v>
      </c>
      <c r="D97" t="str">
        <f>IFERROR(__xludf.DUMMYFUNCTION("""COMPUTED_VALUE"""),"Indiana Pacers")</f>
        <v>Indiana Pacers</v>
      </c>
    </row>
    <row r="98">
      <c r="A98" s="17" t="s">
        <v>186</v>
      </c>
      <c r="B98" s="19">
        <f>IFERROR(__xludf.DUMMYFUNCTION("IFERROR(SPLIT(A98,"",""),"""")"),46328.0)</f>
        <v>46328</v>
      </c>
      <c r="C98" t="str">
        <f>IFERROR(__xludf.DUMMYFUNCTION("""COMPUTED_VALUE"""),"Brooklyn Nets")</f>
        <v>Brooklyn Nets</v>
      </c>
      <c r="D98" t="str">
        <f>IFERROR(__xludf.DUMMYFUNCTION("""COMPUTED_VALUE"""),"New York Knicks")</f>
        <v>New York Knicks</v>
      </c>
    </row>
    <row r="99">
      <c r="A99" s="17" t="s">
        <v>187</v>
      </c>
      <c r="B99" s="19">
        <f>IFERROR(__xludf.DUMMYFUNCTION("IFERROR(SPLIT(A99,"",""),"""")"),46328.0)</f>
        <v>46328</v>
      </c>
      <c r="C99" t="str">
        <f>IFERROR(__xludf.DUMMYFUNCTION("""COMPUTED_VALUE"""),"Washington Wizards")</f>
        <v>Washington Wizards</v>
      </c>
      <c r="D99" t="str">
        <f>IFERROR(__xludf.DUMMYFUNCTION("""COMPUTED_VALUE"""),"Orlando Magic")</f>
        <v>Orlando Magic</v>
      </c>
    </row>
    <row r="100">
      <c r="A100" s="17" t="s">
        <v>188</v>
      </c>
      <c r="B100" s="19">
        <f>IFERROR(__xludf.DUMMYFUNCTION("IFERROR(SPLIT(A100,"",""),"""")"),46328.0)</f>
        <v>46328</v>
      </c>
      <c r="C100" t="str">
        <f>IFERROR(__xludf.DUMMYFUNCTION("""COMPUTED_VALUE"""),"Chicago Bulls")</f>
        <v>Chicago Bulls</v>
      </c>
      <c r="D100" t="str">
        <f>IFERROR(__xludf.DUMMYFUNCTION("""COMPUTED_VALUE"""),"Philadelphia 76ers")</f>
        <v>Philadelphia 76ers</v>
      </c>
    </row>
    <row r="101">
      <c r="A101" s="17" t="s">
        <v>189</v>
      </c>
      <c r="B101" s="19">
        <f>IFERROR(__xludf.DUMMYFUNCTION("IFERROR(SPLIT(A101,"",""),"""")"),46328.0)</f>
        <v>46328</v>
      </c>
      <c r="C101" t="str">
        <f>IFERROR(__xludf.DUMMYFUNCTION("""COMPUTED_VALUE"""),"Sacramento Kings")</f>
        <v>Sacramento Kings</v>
      </c>
      <c r="D101" t="str">
        <f>IFERROR(__xludf.DUMMYFUNCTION("""COMPUTED_VALUE"""),"Dallas Mavericks")</f>
        <v>Dallas Mavericks</v>
      </c>
    </row>
    <row r="102">
      <c r="A102" s="17" t="s">
        <v>190</v>
      </c>
      <c r="B102" s="19">
        <f>IFERROR(__xludf.DUMMYFUNCTION("IFERROR(SPLIT(A102,"",""),"""")"),46328.0)</f>
        <v>46328</v>
      </c>
      <c r="C102" t="str">
        <f>IFERROR(__xludf.DUMMYFUNCTION("""COMPUTED_VALUE"""),"New Orleans Pelicans")</f>
        <v>New Orleans Pelicans</v>
      </c>
      <c r="D102" t="str">
        <f>IFERROR(__xludf.DUMMYFUNCTION("""COMPUTED_VALUE"""),"Memphis Grizzlies")</f>
        <v>Memphis Grizzlies</v>
      </c>
    </row>
    <row r="103">
      <c r="A103" s="17" t="s">
        <v>191</v>
      </c>
      <c r="B103" s="19">
        <f>IFERROR(__xludf.DUMMYFUNCTION("IFERROR(SPLIT(A103,"",""),"""")"),46328.0)</f>
        <v>46328</v>
      </c>
      <c r="C103" t="str">
        <f>IFERROR(__xludf.DUMMYFUNCTION("""COMPUTED_VALUE"""),"Milwaukee Bucks")</f>
        <v>Milwaukee Bucks</v>
      </c>
      <c r="D103" t="str">
        <f>IFERROR(__xludf.DUMMYFUNCTION("""COMPUTED_VALUE"""),"Minnesota Timberwolves")</f>
        <v>Minnesota Timberwolves</v>
      </c>
    </row>
    <row r="104">
      <c r="A104" s="17" t="s">
        <v>192</v>
      </c>
      <c r="B104" s="19">
        <f>IFERROR(__xludf.DUMMYFUNCTION("IFERROR(SPLIT(A104,"",""),"""")"),46328.0)</f>
        <v>46328</v>
      </c>
      <c r="C104" t="str">
        <f>IFERROR(__xludf.DUMMYFUNCTION("""COMPUTED_VALUE"""),"Boston Celtics")</f>
        <v>Boston Celtics</v>
      </c>
      <c r="D104" t="str">
        <f>IFERROR(__xludf.DUMMYFUNCTION("""COMPUTED_VALUE"""),"Houston Rockets")</f>
        <v>Houston Rockets</v>
      </c>
    </row>
    <row r="105">
      <c r="A105" s="17" t="s">
        <v>193</v>
      </c>
      <c r="B105" s="19">
        <f>IFERROR(__xludf.DUMMYFUNCTION("IFERROR(SPLIT(A105,"",""),"""")"),46328.0)</f>
        <v>46328</v>
      </c>
      <c r="C105" t="str">
        <f>IFERROR(__xludf.DUMMYFUNCTION("""COMPUTED_VALUE"""),"Utah Jazz")</f>
        <v>Utah Jazz</v>
      </c>
      <c r="D105" t="str">
        <f>IFERROR(__xludf.DUMMYFUNCTION("""COMPUTED_VALUE"""),"San Antonio Spurs")</f>
        <v>San Antonio Spurs</v>
      </c>
    </row>
    <row r="106">
      <c r="A106" s="17" t="s">
        <v>194</v>
      </c>
      <c r="B106" s="19">
        <f>IFERROR(__xludf.DUMMYFUNCTION("IFERROR(SPLIT(A106,"",""),"""")"),46328.0)</f>
        <v>46328</v>
      </c>
      <c r="C106" t="str">
        <f>IFERROR(__xludf.DUMMYFUNCTION("""COMPUTED_VALUE"""),"Portland Trail Blazers")</f>
        <v>Portland Trail Blazers</v>
      </c>
      <c r="D106" t="str">
        <f>IFERROR(__xludf.DUMMYFUNCTION("""COMPUTED_VALUE"""),"Denver Nuggets")</f>
        <v>Denver Nuggets</v>
      </c>
    </row>
    <row r="107">
      <c r="A107" s="17" t="s">
        <v>195</v>
      </c>
      <c r="B107" s="19">
        <f>IFERROR(__xludf.DUMMYFUNCTION("IFERROR(SPLIT(A107,"",""),"""")"),46328.0)</f>
        <v>46328</v>
      </c>
      <c r="C107" t="str">
        <f>IFERROR(__xludf.DUMMYFUNCTION("""COMPUTED_VALUE"""),"Phoenix Suns")</f>
        <v>Phoenix Suns</v>
      </c>
      <c r="D107" t="str">
        <f>IFERROR(__xludf.DUMMYFUNCTION("""COMPUTED_VALUE"""),"Golden State Warriors")</f>
        <v>Golden State Warriors</v>
      </c>
    </row>
    <row r="108">
      <c r="A108" s="17" t="s">
        <v>196</v>
      </c>
      <c r="B108" s="19">
        <f>IFERROR(__xludf.DUMMYFUNCTION("IFERROR(SPLIT(A108,"",""),"""")"),46328.0)</f>
        <v>46328</v>
      </c>
      <c r="C108" t="str">
        <f>IFERROR(__xludf.DUMMYFUNCTION("""COMPUTED_VALUE"""),"Toronto Raptors")</f>
        <v>Toronto Raptors</v>
      </c>
      <c r="D108" t="str">
        <f>IFERROR(__xludf.DUMMYFUNCTION("""COMPUTED_VALUE"""),"Los Angeles Clippers")</f>
        <v>Los Angeles Clippers</v>
      </c>
    </row>
    <row r="109">
      <c r="A109" s="17" t="s">
        <v>197</v>
      </c>
      <c r="B109" s="19">
        <f>IFERROR(__xludf.DUMMYFUNCTION("IFERROR(SPLIT(A109,"",""),"""")"),46328.0)</f>
        <v>46328</v>
      </c>
      <c r="C109" t="str">
        <f>IFERROR(__xludf.DUMMYFUNCTION("""COMPUTED_VALUE"""),"Miami Heat")</f>
        <v>Miami Heat</v>
      </c>
      <c r="D109" t="str">
        <f>IFERROR(__xludf.DUMMYFUNCTION("""COMPUTED_VALUE"""),"Los Angeles Lakers")</f>
        <v>Los Angeles Lakers</v>
      </c>
    </row>
    <row r="110">
      <c r="A110" s="17" t="s">
        <v>198</v>
      </c>
      <c r="B110" s="19">
        <f>IFERROR(__xludf.DUMMYFUNCTION("IFERROR(SPLIT(A110,"",""),"""")"),46330.0)</f>
        <v>46330</v>
      </c>
      <c r="C110" t="str">
        <f>IFERROR(__xludf.DUMMYFUNCTION("""COMPUTED_VALUE"""),"Philadelphia 76ers")</f>
        <v>Philadelphia 76ers</v>
      </c>
      <c r="D110" t="str">
        <f>IFERROR(__xludf.DUMMYFUNCTION("""COMPUTED_VALUE"""),"Detroit Pistons")</f>
        <v>Detroit Pistons</v>
      </c>
    </row>
    <row r="111">
      <c r="A111" s="17" t="s">
        <v>199</v>
      </c>
      <c r="B111" s="19">
        <f>IFERROR(__xludf.DUMMYFUNCTION("IFERROR(SPLIT(A111,"",""),"""")"),46330.0)</f>
        <v>46330</v>
      </c>
      <c r="C111" t="str">
        <f>IFERROR(__xludf.DUMMYFUNCTION("""COMPUTED_VALUE"""),"Atlanta Hawks")</f>
        <v>Atlanta Hawks</v>
      </c>
      <c r="D111" t="str">
        <f>IFERROR(__xludf.DUMMYFUNCTION("""COMPUTED_VALUE"""),"Washington Wizards")</f>
        <v>Washington Wizards</v>
      </c>
    </row>
    <row r="112">
      <c r="A112" s="17" t="s">
        <v>200</v>
      </c>
      <c r="B112" s="19">
        <f>IFERROR(__xludf.DUMMYFUNCTION("IFERROR(SPLIT(A112,"",""),"""")"),46330.0)</f>
        <v>46330</v>
      </c>
      <c r="C112" t="str">
        <f>IFERROR(__xludf.DUMMYFUNCTION("""COMPUTED_VALUE"""),"Milwaukee Bucks")</f>
        <v>Milwaukee Bucks</v>
      </c>
      <c r="D112" t="str">
        <f>IFERROR(__xludf.DUMMYFUNCTION("""COMPUTED_VALUE"""),"Boston Celtics")</f>
        <v>Boston Celtics</v>
      </c>
    </row>
    <row r="113">
      <c r="A113" s="17" t="s">
        <v>201</v>
      </c>
      <c r="B113" s="19">
        <f>IFERROR(__xludf.DUMMYFUNCTION("IFERROR(SPLIT(A113,"",""),"""")"),46330.0)</f>
        <v>46330</v>
      </c>
      <c r="C113" t="str">
        <f>IFERROR(__xludf.DUMMYFUNCTION("""COMPUTED_VALUE"""),"Charlotte Hornets")</f>
        <v>Charlotte Hornets</v>
      </c>
      <c r="D113" t="str">
        <f>IFERROR(__xludf.DUMMYFUNCTION("""COMPUTED_VALUE"""),"Brooklyn Nets")</f>
        <v>Brooklyn Nets</v>
      </c>
    </row>
    <row r="114">
      <c r="A114" s="17" t="s">
        <v>202</v>
      </c>
      <c r="B114" s="19">
        <f>IFERROR(__xludf.DUMMYFUNCTION("IFERROR(SPLIT(A114,"",""),"""")"),46330.0)</f>
        <v>46330</v>
      </c>
      <c r="C114" t="str">
        <f>IFERROR(__xludf.DUMMYFUNCTION("""COMPUTED_VALUE"""),"Chicago Bulls")</f>
        <v>Chicago Bulls</v>
      </c>
      <c r="D114" t="str">
        <f>IFERROR(__xludf.DUMMYFUNCTION("""COMPUTED_VALUE"""),"New York Knicks")</f>
        <v>New York Knicks</v>
      </c>
    </row>
    <row r="115">
      <c r="A115" s="17" t="s">
        <v>203</v>
      </c>
      <c r="B115" s="19">
        <f>IFERROR(__xludf.DUMMYFUNCTION("IFERROR(SPLIT(A115,"",""),"""")"),46330.0)</f>
        <v>46330</v>
      </c>
      <c r="C115" t="str">
        <f>IFERROR(__xludf.DUMMYFUNCTION("""COMPUTED_VALUE"""),"Indiana Pacers")</f>
        <v>Indiana Pacers</v>
      </c>
      <c r="D115" t="str">
        <f>IFERROR(__xludf.DUMMYFUNCTION("""COMPUTED_VALUE"""),"Memphis Grizzlies")</f>
        <v>Memphis Grizzlies</v>
      </c>
    </row>
    <row r="116">
      <c r="A116" s="17" t="s">
        <v>204</v>
      </c>
      <c r="B116" s="19">
        <f>IFERROR(__xludf.DUMMYFUNCTION("IFERROR(SPLIT(A116,"",""),"""")"),46330.0)</f>
        <v>46330</v>
      </c>
      <c r="C116" t="str">
        <f>IFERROR(__xludf.DUMMYFUNCTION("""COMPUTED_VALUE"""),"Utah Jazz")</f>
        <v>Utah Jazz</v>
      </c>
      <c r="D116" t="str">
        <f>IFERROR(__xludf.DUMMYFUNCTION("""COMPUTED_VALUE"""),"New Orleans Pelicans")</f>
        <v>New Orleans Pelicans</v>
      </c>
    </row>
    <row r="117">
      <c r="A117" s="17" t="s">
        <v>205</v>
      </c>
      <c r="B117" s="19">
        <f>IFERROR(__xludf.DUMMYFUNCTION("IFERROR(SPLIT(A117,"",""),"""")"),46330.0)</f>
        <v>46330</v>
      </c>
      <c r="C117" t="str">
        <f>IFERROR(__xludf.DUMMYFUNCTION("""COMPUTED_VALUE"""),"Cleveland Cavaliers")</f>
        <v>Cleveland Cavaliers</v>
      </c>
      <c r="D117" t="str">
        <f>IFERROR(__xludf.DUMMYFUNCTION("""COMPUTED_VALUE"""),"Oklahoma City Thunder")</f>
        <v>Oklahoma City Thunder</v>
      </c>
    </row>
    <row r="118">
      <c r="A118" s="17" t="s">
        <v>206</v>
      </c>
      <c r="B118" s="19">
        <f>IFERROR(__xludf.DUMMYFUNCTION("IFERROR(SPLIT(A118,"",""),"""")"),46330.0)</f>
        <v>46330</v>
      </c>
      <c r="C118" t="str">
        <f>IFERROR(__xludf.DUMMYFUNCTION("""COMPUTED_VALUE"""),"Minnesota Timberwolves")</f>
        <v>Minnesota Timberwolves</v>
      </c>
      <c r="D118" t="str">
        <f>IFERROR(__xludf.DUMMYFUNCTION("""COMPUTED_VALUE"""),"Houston Rockets")</f>
        <v>Houston Rockets</v>
      </c>
    </row>
    <row r="119">
      <c r="A119" s="17" t="s">
        <v>207</v>
      </c>
      <c r="B119" s="19">
        <f>IFERROR(__xludf.DUMMYFUNCTION("IFERROR(SPLIT(A119,"",""),"""")"),46330.0)</f>
        <v>46330</v>
      </c>
      <c r="C119" t="str">
        <f>IFERROR(__xludf.DUMMYFUNCTION("""COMPUTED_VALUE"""),"Toronto Raptors")</f>
        <v>Toronto Raptors</v>
      </c>
      <c r="D119" t="str">
        <f>IFERROR(__xludf.DUMMYFUNCTION("""COMPUTED_VALUE"""),"Denver Nuggets")</f>
        <v>Denver Nuggets</v>
      </c>
    </row>
    <row r="120">
      <c r="A120" s="17" t="s">
        <v>208</v>
      </c>
      <c r="B120" s="19">
        <f>IFERROR(__xludf.DUMMYFUNCTION("IFERROR(SPLIT(A120,"",""),"""")"),46330.0)</f>
        <v>46330</v>
      </c>
      <c r="C120" t="str">
        <f>IFERROR(__xludf.DUMMYFUNCTION("""COMPUTED_VALUE"""),"Portland Trail Blazers")</f>
        <v>Portland Trail Blazers</v>
      </c>
      <c r="D120" t="str">
        <f>IFERROR(__xludf.DUMMYFUNCTION("""COMPUTED_VALUE"""),"Phoenix Suns")</f>
        <v>Phoenix Suns</v>
      </c>
    </row>
    <row r="121">
      <c r="A121" s="17" t="s">
        <v>209</v>
      </c>
      <c r="B121" s="19">
        <f>IFERROR(__xludf.DUMMYFUNCTION("IFERROR(SPLIT(A121,"",""),"""")"),46330.0)</f>
        <v>46330</v>
      </c>
      <c r="C121" t="str">
        <f>IFERROR(__xludf.DUMMYFUNCTION("""COMPUTED_VALUE"""),"Dallas Mavericks")</f>
        <v>Dallas Mavericks</v>
      </c>
      <c r="D121" t="str">
        <f>IFERROR(__xludf.DUMMYFUNCTION("""COMPUTED_VALUE"""),"San Antonio Spurs")</f>
        <v>San Antonio Spurs</v>
      </c>
    </row>
    <row r="122">
      <c r="A122" s="17" t="s">
        <v>210</v>
      </c>
      <c r="B122" s="19">
        <f>IFERROR(__xludf.DUMMYFUNCTION("IFERROR(SPLIT(A122,"",""),"""")"),46330.0)</f>
        <v>46330</v>
      </c>
      <c r="C122" t="str">
        <f>IFERROR(__xludf.DUMMYFUNCTION("""COMPUTED_VALUE"""),"Los Angeles Lakers")</f>
        <v>Los Angeles Lakers</v>
      </c>
      <c r="D122" t="str">
        <f>IFERROR(__xludf.DUMMYFUNCTION("""COMPUTED_VALUE"""),"Sacramento Kings")</f>
        <v>Sacramento Kings</v>
      </c>
    </row>
    <row r="123">
      <c r="A123" s="17" t="s">
        <v>211</v>
      </c>
      <c r="B123" s="19">
        <f>IFERROR(__xludf.DUMMYFUNCTION("IFERROR(SPLIT(A123,"",""),"""")"),46330.0)</f>
        <v>46330</v>
      </c>
      <c r="C123" t="str">
        <f>IFERROR(__xludf.DUMMYFUNCTION("""COMPUTED_VALUE"""),"Miami Heat")</f>
        <v>Miami Heat</v>
      </c>
      <c r="D123" t="str">
        <f>IFERROR(__xludf.DUMMYFUNCTION("""COMPUTED_VALUE"""),"Los Angeles Clippers")</f>
        <v>Los Angeles Clippers</v>
      </c>
    </row>
    <row r="124">
      <c r="A124" s="17" t="s">
        <v>212</v>
      </c>
      <c r="B124" s="19">
        <f>IFERROR(__xludf.DUMMYFUNCTION("IFERROR(SPLIT(A124,"",""),"""")"),46331.0)</f>
        <v>46331</v>
      </c>
      <c r="C124" t="str">
        <f>IFERROR(__xludf.DUMMYFUNCTION("""COMPUTED_VALUE"""),"Orlando Magic")</f>
        <v>Orlando Magic</v>
      </c>
      <c r="D124" t="str">
        <f>IFERROR(__xludf.DUMMYFUNCTION("""COMPUTED_VALUE"""),"Phoenix Suns")</f>
        <v>Phoenix Suns</v>
      </c>
    </row>
    <row r="125">
      <c r="A125" s="17" t="s">
        <v>213</v>
      </c>
      <c r="B125" s="19">
        <f>IFERROR(__xludf.DUMMYFUNCTION("IFERROR(SPLIT(A125,"",""),"""")"),46331.0)</f>
        <v>46331</v>
      </c>
      <c r="C125" t="str">
        <f>IFERROR(__xludf.DUMMYFUNCTION("""COMPUTED_VALUE"""),"Miami Heat")</f>
        <v>Miami Heat</v>
      </c>
      <c r="D125" t="str">
        <f>IFERROR(__xludf.DUMMYFUNCTION("""COMPUTED_VALUE"""),"Golden State Warriors")</f>
        <v>Golden State Warriors</v>
      </c>
    </row>
    <row r="126">
      <c r="A126" s="17" t="s">
        <v>214</v>
      </c>
      <c r="B126" s="19">
        <f>IFERROR(__xludf.DUMMYFUNCTION("IFERROR(SPLIT(A126,"",""),"""")"),46332.0)</f>
        <v>46332</v>
      </c>
      <c r="C126" t="str">
        <f>IFERROR(__xludf.DUMMYFUNCTION("""COMPUTED_VALUE"""),"Washington Wizards")</f>
        <v>Washington Wizards</v>
      </c>
      <c r="D126" t="str">
        <f>IFERROR(__xludf.DUMMYFUNCTION("""COMPUTED_VALUE"""),"Atlanta Hawks")</f>
        <v>Atlanta Hawks</v>
      </c>
    </row>
    <row r="127">
      <c r="A127" s="17" t="s">
        <v>215</v>
      </c>
      <c r="B127" s="19">
        <f>IFERROR(__xludf.DUMMYFUNCTION("IFERROR(SPLIT(A127,"",""),"""")"),46332.0)</f>
        <v>46332</v>
      </c>
      <c r="C127" t="str">
        <f>IFERROR(__xludf.DUMMYFUNCTION("""COMPUTED_VALUE"""),"Boston Celtics")</f>
        <v>Boston Celtics</v>
      </c>
      <c r="D127" t="str">
        <f>IFERROR(__xludf.DUMMYFUNCTION("""COMPUTED_VALUE"""),"Charlotte Hornets")</f>
        <v>Charlotte Hornets</v>
      </c>
    </row>
    <row r="128">
      <c r="A128" s="17" t="s">
        <v>216</v>
      </c>
      <c r="B128" s="19">
        <f>IFERROR(__xludf.DUMMYFUNCTION("IFERROR(SPLIT(A128,"",""),"""")"),46332.0)</f>
        <v>46332</v>
      </c>
      <c r="C128" t="str">
        <f>IFERROR(__xludf.DUMMYFUNCTION("""COMPUTED_VALUE"""),"Philadelphia 76ers")</f>
        <v>Philadelphia 76ers</v>
      </c>
      <c r="D128" t="str">
        <f>IFERROR(__xludf.DUMMYFUNCTION("""COMPUTED_VALUE"""),"Cleveland Cavaliers")</f>
        <v>Cleveland Cavaliers</v>
      </c>
    </row>
    <row r="129">
      <c r="A129" s="17" t="s">
        <v>217</v>
      </c>
      <c r="B129" s="19">
        <f>IFERROR(__xludf.DUMMYFUNCTION("IFERROR(SPLIT(A129,"",""),"""")"),46332.0)</f>
        <v>46332</v>
      </c>
      <c r="C129" t="str">
        <f>IFERROR(__xludf.DUMMYFUNCTION("""COMPUTED_VALUE"""),"Utah Jazz")</f>
        <v>Utah Jazz</v>
      </c>
      <c r="D129" t="str">
        <f>IFERROR(__xludf.DUMMYFUNCTION("""COMPUTED_VALUE"""),"Dallas Mavericks")</f>
        <v>Dallas Mavericks</v>
      </c>
    </row>
    <row r="130">
      <c r="A130" s="17" t="s">
        <v>218</v>
      </c>
      <c r="B130" s="19">
        <f>IFERROR(__xludf.DUMMYFUNCTION("IFERROR(SPLIT(A130,"",""),"""")"),46332.0)</f>
        <v>46332</v>
      </c>
      <c r="C130" t="str">
        <f>IFERROR(__xludf.DUMMYFUNCTION("""COMPUTED_VALUE"""),"Oklahoma City Thunder")</f>
        <v>Oklahoma City Thunder</v>
      </c>
      <c r="D130" t="str">
        <f>IFERROR(__xludf.DUMMYFUNCTION("""COMPUTED_VALUE"""),"Memphis Grizzlies")</f>
        <v>Memphis Grizzlies</v>
      </c>
    </row>
    <row r="131">
      <c r="A131" s="17" t="s">
        <v>219</v>
      </c>
      <c r="B131" s="19">
        <f>IFERROR(__xludf.DUMMYFUNCTION("IFERROR(SPLIT(A131,"",""),"""")"),46332.0)</f>
        <v>46332</v>
      </c>
      <c r="C131" t="str">
        <f>IFERROR(__xludf.DUMMYFUNCTION("""COMPUTED_VALUE"""),"Toronto Raptors")</f>
        <v>Toronto Raptors</v>
      </c>
      <c r="D131" t="str">
        <f>IFERROR(__xludf.DUMMYFUNCTION("""COMPUTED_VALUE"""),"Milwaukee Bucks")</f>
        <v>Milwaukee Bucks</v>
      </c>
    </row>
    <row r="132">
      <c r="A132" s="17" t="s">
        <v>220</v>
      </c>
      <c r="B132" s="19">
        <f>IFERROR(__xludf.DUMMYFUNCTION("IFERROR(SPLIT(A132,"",""),"""")"),46332.0)</f>
        <v>46332</v>
      </c>
      <c r="C132" t="str">
        <f>IFERROR(__xludf.DUMMYFUNCTION("""COMPUTED_VALUE"""),"Minnesota Timberwolves")</f>
        <v>Minnesota Timberwolves</v>
      </c>
      <c r="D132" t="str">
        <f>IFERROR(__xludf.DUMMYFUNCTION("""COMPUTED_VALUE"""),"New Orleans Pelicans")</f>
        <v>New Orleans Pelicans</v>
      </c>
    </row>
    <row r="133">
      <c r="A133" s="17" t="s">
        <v>221</v>
      </c>
      <c r="B133" s="19">
        <f>IFERROR(__xludf.DUMMYFUNCTION("IFERROR(SPLIT(A133,"",""),"""")"),46332.0)</f>
        <v>46332</v>
      </c>
      <c r="C133" t="str">
        <f>IFERROR(__xludf.DUMMYFUNCTION("""COMPUTED_VALUE"""),"Portland Trail Blazers")</f>
        <v>Portland Trail Blazers</v>
      </c>
      <c r="D133" t="str">
        <f>IFERROR(__xludf.DUMMYFUNCTION("""COMPUTED_VALUE"""),"Los Angeles Lakers")</f>
        <v>Los Angeles Lakers</v>
      </c>
    </row>
    <row r="134">
      <c r="A134" s="17" t="s">
        <v>222</v>
      </c>
      <c r="B134" s="19">
        <f>IFERROR(__xludf.DUMMYFUNCTION("IFERROR(SPLIT(A134,"",""),"""")"),46332.0)</f>
        <v>46332</v>
      </c>
      <c r="C134" t="str">
        <f>IFERROR(__xludf.DUMMYFUNCTION("""COMPUTED_VALUE"""),"San Antonio Spurs")</f>
        <v>San Antonio Spurs</v>
      </c>
      <c r="D134" t="str">
        <f>IFERROR(__xludf.DUMMYFUNCTION("""COMPUTED_VALUE"""),"Sacramento Kings")</f>
        <v>Sacramento Kings</v>
      </c>
    </row>
    <row r="135">
      <c r="A135" s="17" t="s">
        <v>223</v>
      </c>
      <c r="B135" s="19">
        <f>IFERROR(__xludf.DUMMYFUNCTION("IFERROR(SPLIT(A135,"",""),"""")"),46333.0)</f>
        <v>46333</v>
      </c>
      <c r="C135" t="str">
        <f>IFERROR(__xludf.DUMMYFUNCTION("""COMPUTED_VALUE"""),"Denver Nuggets")</f>
        <v>Denver Nuggets</v>
      </c>
      <c r="D135" t="str">
        <f>IFERROR(__xludf.DUMMYFUNCTION("""COMPUTED_VALUE"""),"Indiana Pacers")</f>
        <v>Indiana Pacers</v>
      </c>
    </row>
    <row r="136">
      <c r="A136" s="17" t="s">
        <v>224</v>
      </c>
      <c r="B136" s="19">
        <f>IFERROR(__xludf.DUMMYFUNCTION("IFERROR(SPLIT(A136,"",""),"""")"),46333.0)</f>
        <v>46333</v>
      </c>
      <c r="C136" t="str">
        <f>IFERROR(__xludf.DUMMYFUNCTION("""COMPUTED_VALUE"""),"Brooklyn Nets")</f>
        <v>Brooklyn Nets</v>
      </c>
      <c r="D136" t="str">
        <f>IFERROR(__xludf.DUMMYFUNCTION("""COMPUTED_VALUE"""),"Atlanta Hawks")</f>
        <v>Atlanta Hawks</v>
      </c>
    </row>
    <row r="137">
      <c r="A137" s="17" t="s">
        <v>225</v>
      </c>
      <c r="B137" s="19">
        <f>IFERROR(__xludf.DUMMYFUNCTION("IFERROR(SPLIT(A137,"",""),"""")"),46333.0)</f>
        <v>46333</v>
      </c>
      <c r="C137" t="str">
        <f>IFERROR(__xludf.DUMMYFUNCTION("""COMPUTED_VALUE"""),"New York Knicks")</f>
        <v>New York Knicks</v>
      </c>
      <c r="D137" t="str">
        <f>IFERROR(__xludf.DUMMYFUNCTION("""COMPUTED_VALUE"""),"Cleveland Cavaliers")</f>
        <v>Cleveland Cavaliers</v>
      </c>
    </row>
    <row r="138">
      <c r="A138" s="17" t="s">
        <v>226</v>
      </c>
      <c r="B138" s="19">
        <f>IFERROR(__xludf.DUMMYFUNCTION("IFERROR(SPLIT(A138,"",""),"""")"),46333.0)</f>
        <v>46333</v>
      </c>
      <c r="C138" t="str">
        <f>IFERROR(__xludf.DUMMYFUNCTION("""COMPUTED_VALUE"""),"Washington Wizards")</f>
        <v>Washington Wizards</v>
      </c>
      <c r="D138" t="str">
        <f>IFERROR(__xludf.DUMMYFUNCTION("""COMPUTED_VALUE"""),"Oklahoma City Thunder")</f>
        <v>Oklahoma City Thunder</v>
      </c>
    </row>
    <row r="139">
      <c r="A139" s="17" t="s">
        <v>227</v>
      </c>
      <c r="B139" s="19">
        <f>IFERROR(__xludf.DUMMYFUNCTION("IFERROR(SPLIT(A139,"",""),"""")"),46333.0)</f>
        <v>46333</v>
      </c>
      <c r="C139" t="str">
        <f>IFERROR(__xludf.DUMMYFUNCTION("""COMPUTED_VALUE"""),"Orlando Magic")</f>
        <v>Orlando Magic</v>
      </c>
      <c r="D139" t="str">
        <f>IFERROR(__xludf.DUMMYFUNCTION("""COMPUTED_VALUE"""),"Golden State Warriors")</f>
        <v>Golden State Warriors</v>
      </c>
    </row>
    <row r="140">
      <c r="A140" s="17" t="s">
        <v>228</v>
      </c>
      <c r="B140" s="19">
        <f>IFERROR(__xludf.DUMMYFUNCTION("IFERROR(SPLIT(A140,"",""),"""")"),46333.0)</f>
        <v>46333</v>
      </c>
      <c r="C140" t="str">
        <f>IFERROR(__xludf.DUMMYFUNCTION("""COMPUTED_VALUE"""),"Houston Rockets")</f>
        <v>Houston Rockets</v>
      </c>
      <c r="D140" t="str">
        <f>IFERROR(__xludf.DUMMYFUNCTION("""COMPUTED_VALUE"""),"Phoenix Suns")</f>
        <v>Phoenix Suns</v>
      </c>
    </row>
    <row r="141">
      <c r="A141" s="17" t="s">
        <v>229</v>
      </c>
      <c r="B141" s="19">
        <f>IFERROR(__xludf.DUMMYFUNCTION("IFERROR(SPLIT(A141,"",""),"""")"),46333.0)</f>
        <v>46333</v>
      </c>
      <c r="C141" t="str">
        <f>IFERROR(__xludf.DUMMYFUNCTION("""COMPUTED_VALUE"""),"San Antonio Spurs")</f>
        <v>San Antonio Spurs</v>
      </c>
      <c r="D141" t="str">
        <f>IFERROR(__xludf.DUMMYFUNCTION("""COMPUTED_VALUE"""),"Portland Trail Blazers")</f>
        <v>Portland Trail Blazers</v>
      </c>
    </row>
    <row r="142">
      <c r="A142" s="17" t="s">
        <v>230</v>
      </c>
      <c r="B142" s="19">
        <f>IFERROR(__xludf.DUMMYFUNCTION("IFERROR(SPLIT(A142,"",""),"""")"),46334.0)</f>
        <v>46334</v>
      </c>
      <c r="C142" t="str">
        <f>IFERROR(__xludf.DUMMYFUNCTION("""COMPUTED_VALUE"""),"Philadelphia 76ers")</f>
        <v>Philadelphia 76ers</v>
      </c>
      <c r="D142" t="str">
        <f>IFERROR(__xludf.DUMMYFUNCTION("""COMPUTED_VALUE"""),"Chicago Bulls")</f>
        <v>Chicago Bulls</v>
      </c>
    </row>
    <row r="143">
      <c r="A143" s="17" t="s">
        <v>231</v>
      </c>
      <c r="B143" s="19">
        <f>IFERROR(__xludf.DUMMYFUNCTION("IFERROR(SPLIT(A143,"",""),"""")"),46334.0)</f>
        <v>46334</v>
      </c>
      <c r="C143" t="str">
        <f>IFERROR(__xludf.DUMMYFUNCTION("""COMPUTED_VALUE"""),"Los Angeles Lakers")</f>
        <v>Los Angeles Lakers</v>
      </c>
      <c r="D143" t="str">
        <f>IFERROR(__xludf.DUMMYFUNCTION("""COMPUTED_VALUE"""),"Detroit Pistons")</f>
        <v>Detroit Pistons</v>
      </c>
    </row>
    <row r="144">
      <c r="A144" s="17" t="s">
        <v>232</v>
      </c>
      <c r="B144" s="19">
        <f>IFERROR(__xludf.DUMMYFUNCTION("IFERROR(SPLIT(A144,"",""),"""")"),46334.0)</f>
        <v>46334</v>
      </c>
      <c r="C144" t="str">
        <f>IFERROR(__xludf.DUMMYFUNCTION("""COMPUTED_VALUE"""),"Utah Jazz")</f>
        <v>Utah Jazz</v>
      </c>
      <c r="D144" t="str">
        <f>IFERROR(__xludf.DUMMYFUNCTION("""COMPUTED_VALUE"""),"Minnesota Timberwolves")</f>
        <v>Minnesota Timberwolves</v>
      </c>
    </row>
    <row r="145">
      <c r="A145" s="17" t="s">
        <v>233</v>
      </c>
      <c r="B145" s="19">
        <f>IFERROR(__xludf.DUMMYFUNCTION("IFERROR(SPLIT(A145,"",""),"""")"),46334.0)</f>
        <v>46334</v>
      </c>
      <c r="C145" t="str">
        <f>IFERROR(__xludf.DUMMYFUNCTION("""COMPUTED_VALUE"""),"Brooklyn Nets")</f>
        <v>Brooklyn Nets</v>
      </c>
      <c r="D145" t="str">
        <f>IFERROR(__xludf.DUMMYFUNCTION("""COMPUTED_VALUE"""),"Dallas Mavericks")</f>
        <v>Dallas Mavericks</v>
      </c>
    </row>
    <row r="146">
      <c r="A146" s="17" t="s">
        <v>234</v>
      </c>
      <c r="B146" s="19">
        <f>IFERROR(__xludf.DUMMYFUNCTION("IFERROR(SPLIT(A146,"",""),"""")"),46334.0)</f>
        <v>46334</v>
      </c>
      <c r="C146" t="str">
        <f>IFERROR(__xludf.DUMMYFUNCTION("""COMPUTED_VALUE"""),"Boston Celtics")</f>
        <v>Boston Celtics</v>
      </c>
      <c r="D146" t="str">
        <f>IFERROR(__xludf.DUMMYFUNCTION("""COMPUTED_VALUE"""),"Milwaukee Bucks")</f>
        <v>Milwaukee Bucks</v>
      </c>
    </row>
    <row r="147">
      <c r="A147" s="17" t="s">
        <v>235</v>
      </c>
      <c r="B147" s="19">
        <f>IFERROR(__xludf.DUMMYFUNCTION("IFERROR(SPLIT(A147,"",""),"""")"),46334.0)</f>
        <v>46334</v>
      </c>
      <c r="C147" t="str">
        <f>IFERROR(__xludf.DUMMYFUNCTION("""COMPUTED_VALUE"""),"New Orleans Pelicans")</f>
        <v>New Orleans Pelicans</v>
      </c>
      <c r="D147" t="str">
        <f>IFERROR(__xludf.DUMMYFUNCTION("""COMPUTED_VALUE"""),"Los Angeles Clippers")</f>
        <v>Los Angeles Clippers</v>
      </c>
    </row>
    <row r="148">
      <c r="A148" s="17" t="s">
        <v>236</v>
      </c>
      <c r="B148" s="19">
        <f>IFERROR(__xludf.DUMMYFUNCTION("IFERROR(SPLIT(A148,"",""),"""")"),46334.0)</f>
        <v>46334</v>
      </c>
      <c r="C148" t="str">
        <f>IFERROR(__xludf.DUMMYFUNCTION("""COMPUTED_VALUE"""),"Miami Heat")</f>
        <v>Miami Heat</v>
      </c>
      <c r="D148" t="str">
        <f>IFERROR(__xludf.DUMMYFUNCTION("""COMPUTED_VALUE"""),"Sacramento Kings")</f>
        <v>Sacramento Kings</v>
      </c>
    </row>
    <row r="149">
      <c r="A149" s="17" t="s">
        <v>237</v>
      </c>
      <c r="B149" s="19">
        <f>IFERROR(__xludf.DUMMYFUNCTION("IFERROR(SPLIT(A149,"",""),"""")"),46335.0)</f>
        <v>46335</v>
      </c>
      <c r="C149" t="str">
        <f>IFERROR(__xludf.DUMMYFUNCTION("""COMPUTED_VALUE"""),"Los Angeles Lakers")</f>
        <v>Los Angeles Lakers</v>
      </c>
      <c r="D149" t="str">
        <f>IFERROR(__xludf.DUMMYFUNCTION("""COMPUTED_VALUE"""),"Atlanta Hawks")</f>
        <v>Atlanta Hawks</v>
      </c>
    </row>
    <row r="150">
      <c r="A150" s="17" t="s">
        <v>238</v>
      </c>
      <c r="B150" s="19">
        <f>IFERROR(__xludf.DUMMYFUNCTION("IFERROR(SPLIT(A150,"",""),"""")"),46335.0)</f>
        <v>46335</v>
      </c>
      <c r="C150" t="str">
        <f>IFERROR(__xludf.DUMMYFUNCTION("""COMPUTED_VALUE"""),"Cleveland Cavaliers")</f>
        <v>Cleveland Cavaliers</v>
      </c>
      <c r="D150" t="str">
        <f>IFERROR(__xludf.DUMMYFUNCTION("""COMPUTED_VALUE"""),"Charlotte Hornets")</f>
        <v>Charlotte Hornets</v>
      </c>
    </row>
    <row r="151">
      <c r="A151" s="17" t="s">
        <v>239</v>
      </c>
      <c r="B151" s="19">
        <f>IFERROR(__xludf.DUMMYFUNCTION("IFERROR(SPLIT(A151,"",""),"""")"),46335.0)</f>
        <v>46335</v>
      </c>
      <c r="C151" t="str">
        <f>IFERROR(__xludf.DUMMYFUNCTION("""COMPUTED_VALUE"""),"Washington Wizards")</f>
        <v>Washington Wizards</v>
      </c>
      <c r="D151" t="str">
        <f>IFERROR(__xludf.DUMMYFUNCTION("""COMPUTED_VALUE"""),"Detroit Pistons")</f>
        <v>Detroit Pistons</v>
      </c>
    </row>
    <row r="152">
      <c r="A152" s="17" t="s">
        <v>240</v>
      </c>
      <c r="B152" s="19">
        <f>IFERROR(__xludf.DUMMYFUNCTION("IFERROR(SPLIT(A152,"",""),"""")"),46335.0)</f>
        <v>46335</v>
      </c>
      <c r="C152" t="str">
        <f>IFERROR(__xludf.DUMMYFUNCTION("""COMPUTED_VALUE"""),"Memphis Grizzlies")</f>
        <v>Memphis Grizzlies</v>
      </c>
      <c r="D152" t="str">
        <f>IFERROR(__xludf.DUMMYFUNCTION("""COMPUTED_VALUE"""),"Toronto Raptors")</f>
        <v>Toronto Raptors</v>
      </c>
    </row>
    <row r="153">
      <c r="A153" s="17" t="s">
        <v>241</v>
      </c>
      <c r="B153" s="19">
        <f>IFERROR(__xludf.DUMMYFUNCTION("IFERROR(SPLIT(A153,"",""),"""")"),46335.0)</f>
        <v>46335</v>
      </c>
      <c r="C153" t="str">
        <f>IFERROR(__xludf.DUMMYFUNCTION("""COMPUTED_VALUE"""),"Indiana Pacers")</f>
        <v>Indiana Pacers</v>
      </c>
      <c r="D153" t="str">
        <f>IFERROR(__xludf.DUMMYFUNCTION("""COMPUTED_VALUE"""),"Dallas Mavericks")</f>
        <v>Dallas Mavericks</v>
      </c>
    </row>
    <row r="154">
      <c r="A154" s="17" t="s">
        <v>242</v>
      </c>
      <c r="B154" s="19">
        <f>IFERROR(__xludf.DUMMYFUNCTION("IFERROR(SPLIT(A154,"",""),"""")"),46335.0)</f>
        <v>46335</v>
      </c>
      <c r="C154" t="str">
        <f>IFERROR(__xludf.DUMMYFUNCTION("""COMPUTED_VALUE"""),"Denver Nuggets")</f>
        <v>Denver Nuggets</v>
      </c>
      <c r="D154" t="str">
        <f>IFERROR(__xludf.DUMMYFUNCTION("""COMPUTED_VALUE"""),"Houston Rockets")</f>
        <v>Houston Rockets</v>
      </c>
    </row>
    <row r="155">
      <c r="A155" s="17" t="s">
        <v>243</v>
      </c>
      <c r="B155" s="19">
        <f>IFERROR(__xludf.DUMMYFUNCTION("IFERROR(SPLIT(A155,"",""),"""")"),46335.0)</f>
        <v>46335</v>
      </c>
      <c r="C155" t="str">
        <f>IFERROR(__xludf.DUMMYFUNCTION("""COMPUTED_VALUE"""),"San Antonio Spurs")</f>
        <v>San Antonio Spurs</v>
      </c>
      <c r="D155" t="str">
        <f>IFERROR(__xludf.DUMMYFUNCTION("""COMPUTED_VALUE"""),"Phoenix Suns")</f>
        <v>Phoenix Suns</v>
      </c>
    </row>
    <row r="156">
      <c r="A156" s="17" t="s">
        <v>244</v>
      </c>
      <c r="B156" s="19">
        <f>IFERROR(__xludf.DUMMYFUNCTION("IFERROR(SPLIT(A156,"",""),"""")"),46335.0)</f>
        <v>46335</v>
      </c>
      <c r="C156" t="str">
        <f>IFERROR(__xludf.DUMMYFUNCTION("""COMPUTED_VALUE"""),"New Orleans Pelicans")</f>
        <v>New Orleans Pelicans</v>
      </c>
      <c r="D156" t="str">
        <f>IFERROR(__xludf.DUMMYFUNCTION("""COMPUTED_VALUE"""),"Golden State Warriors")</f>
        <v>Golden State Warriors</v>
      </c>
    </row>
    <row r="157">
      <c r="A157" s="17" t="s">
        <v>245</v>
      </c>
      <c r="B157" s="19">
        <f>IFERROR(__xludf.DUMMYFUNCTION("IFERROR(SPLIT(A157,"",""),"""")"),46336.0)</f>
        <v>46336</v>
      </c>
      <c r="C157" t="str">
        <f>IFERROR(__xludf.DUMMYFUNCTION("""COMPUTED_VALUE"""),"Milwaukee Bucks")</f>
        <v>Milwaukee Bucks</v>
      </c>
      <c r="D157" t="str">
        <f>IFERROR(__xludf.DUMMYFUNCTION("""COMPUTED_VALUE"""),"New York Knicks")</f>
        <v>New York Knicks</v>
      </c>
    </row>
    <row r="158">
      <c r="A158" s="17" t="s">
        <v>246</v>
      </c>
      <c r="B158" s="19">
        <f>IFERROR(__xludf.DUMMYFUNCTION("IFERROR(SPLIT(A158,"",""),"""")"),46336.0)</f>
        <v>46336</v>
      </c>
      <c r="C158" t="str">
        <f>IFERROR(__xludf.DUMMYFUNCTION("""COMPUTED_VALUE"""),"Boston Celtics")</f>
        <v>Boston Celtics</v>
      </c>
      <c r="D158" t="str">
        <f>IFERROR(__xludf.DUMMYFUNCTION("""COMPUTED_VALUE"""),"Philadelphia 76ers")</f>
        <v>Philadelphia 76ers</v>
      </c>
    </row>
    <row r="159">
      <c r="A159" s="17" t="s">
        <v>247</v>
      </c>
      <c r="B159" s="19">
        <f>IFERROR(__xludf.DUMMYFUNCTION("IFERROR(SPLIT(A159,"",""),"""")"),46336.0)</f>
        <v>46336</v>
      </c>
      <c r="C159" t="str">
        <f>IFERROR(__xludf.DUMMYFUNCTION("""COMPUTED_VALUE"""),"Los Angeles Clippers")</f>
        <v>Los Angeles Clippers</v>
      </c>
      <c r="D159" t="str">
        <f>IFERROR(__xludf.DUMMYFUNCTION("""COMPUTED_VALUE"""),"Phoenix Suns")</f>
        <v>Phoenix Suns</v>
      </c>
    </row>
    <row r="160">
      <c r="A160" s="17" t="s">
        <v>248</v>
      </c>
      <c r="B160" s="19">
        <f>IFERROR(__xludf.DUMMYFUNCTION("IFERROR(SPLIT(A160,"",""),"""")"),46336.0)</f>
        <v>46336</v>
      </c>
      <c r="C160" t="str">
        <f>IFERROR(__xludf.DUMMYFUNCTION("""COMPUTED_VALUE"""),"Miami Heat")</f>
        <v>Miami Heat</v>
      </c>
      <c r="D160" t="str">
        <f>IFERROR(__xludf.DUMMYFUNCTION("""COMPUTED_VALUE"""),"Utah Jazz")</f>
        <v>Utah Jazz</v>
      </c>
    </row>
    <row r="161">
      <c r="A161" s="17" t="s">
        <v>249</v>
      </c>
      <c r="B161" s="19">
        <f>IFERROR(__xludf.DUMMYFUNCTION("IFERROR(SPLIT(A161,"",""),"""")"),46336.0)</f>
        <v>46336</v>
      </c>
      <c r="C161" t="str">
        <f>IFERROR(__xludf.DUMMYFUNCTION("""COMPUTED_VALUE"""),"Orlando Magic")</f>
        <v>Orlando Magic</v>
      </c>
      <c r="D161" t="str">
        <f>IFERROR(__xludf.DUMMYFUNCTION("""COMPUTED_VALUE"""),"Sacramento Kings")</f>
        <v>Sacramento Kings</v>
      </c>
    </row>
    <row r="162">
      <c r="A162" s="17" t="s">
        <v>250</v>
      </c>
      <c r="B162" s="19">
        <f>IFERROR(__xludf.DUMMYFUNCTION("IFERROR(SPLIT(A162,"",""),"""")"),46336.0)</f>
        <v>46336</v>
      </c>
      <c r="C162" t="str">
        <f>IFERROR(__xludf.DUMMYFUNCTION("""COMPUTED_VALUE"""),"Oklahoma City Thunder")</f>
        <v>Oklahoma City Thunder</v>
      </c>
      <c r="D162" t="str">
        <f>IFERROR(__xludf.DUMMYFUNCTION("""COMPUTED_VALUE"""),"Portland Trail Blazers")</f>
        <v>Portland Trail Blazers</v>
      </c>
    </row>
    <row r="163">
      <c r="A163" s="17" t="s">
        <v>251</v>
      </c>
      <c r="B163" s="19">
        <f>IFERROR(__xludf.DUMMYFUNCTION("IFERROR(SPLIT(A163,"",""),"""")"),46337.0)</f>
        <v>46337</v>
      </c>
      <c r="C163" t="str">
        <f>IFERROR(__xludf.DUMMYFUNCTION("""COMPUTED_VALUE"""),"Washington Wizards")</f>
        <v>Washington Wizards</v>
      </c>
      <c r="D163" t="str">
        <f>IFERROR(__xludf.DUMMYFUNCTION("""COMPUTED_VALUE"""),"Indiana Pacers")</f>
        <v>Indiana Pacers</v>
      </c>
    </row>
    <row r="164">
      <c r="A164" s="17" t="s">
        <v>252</v>
      </c>
      <c r="B164" s="19">
        <f>IFERROR(__xludf.DUMMYFUNCTION("IFERROR(SPLIT(A164,"",""),"""")"),46337.0)</f>
        <v>46337</v>
      </c>
      <c r="C164" t="str">
        <f>IFERROR(__xludf.DUMMYFUNCTION("""COMPUTED_VALUE"""),"Cleveland Cavaliers")</f>
        <v>Cleveland Cavaliers</v>
      </c>
      <c r="D164" t="str">
        <f>IFERROR(__xludf.DUMMYFUNCTION("""COMPUTED_VALUE"""),"New York Knicks")</f>
        <v>New York Knicks</v>
      </c>
    </row>
    <row r="165">
      <c r="A165" s="17" t="s">
        <v>253</v>
      </c>
      <c r="B165" s="19">
        <f>IFERROR(__xludf.DUMMYFUNCTION("IFERROR(SPLIT(A165,"",""),"""")"),46337.0)</f>
        <v>46337</v>
      </c>
      <c r="C165" t="str">
        <f>IFERROR(__xludf.DUMMYFUNCTION("""COMPUTED_VALUE"""),"Boston Celtics")</f>
        <v>Boston Celtics</v>
      </c>
      <c r="D165" t="str">
        <f>IFERROR(__xludf.DUMMYFUNCTION("""COMPUTED_VALUE"""),"Toronto Raptors")</f>
        <v>Toronto Raptors</v>
      </c>
    </row>
    <row r="166">
      <c r="A166" s="17" t="s">
        <v>254</v>
      </c>
      <c r="B166" s="19">
        <f>IFERROR(__xludf.DUMMYFUNCTION("IFERROR(SPLIT(A166,"",""),"""")"),46337.0)</f>
        <v>46337</v>
      </c>
      <c r="C166" t="str">
        <f>IFERROR(__xludf.DUMMYFUNCTION("""COMPUTED_VALUE"""),"San Antonio Spurs")</f>
        <v>San Antonio Spurs</v>
      </c>
      <c r="D166" t="str">
        <f>IFERROR(__xludf.DUMMYFUNCTION("""COMPUTED_VALUE"""),"Chicago Bulls")</f>
        <v>Chicago Bulls</v>
      </c>
    </row>
    <row r="167">
      <c r="A167" s="17" t="s">
        <v>255</v>
      </c>
      <c r="B167" s="19">
        <f>IFERROR(__xludf.DUMMYFUNCTION("IFERROR(SPLIT(A167,"",""),"""")"),46337.0)</f>
        <v>46337</v>
      </c>
      <c r="C167" t="str">
        <f>IFERROR(__xludf.DUMMYFUNCTION("""COMPUTED_VALUE"""),"Denver Nuggets")</f>
        <v>Denver Nuggets</v>
      </c>
      <c r="D167" t="str">
        <f>IFERROR(__xludf.DUMMYFUNCTION("""COMPUTED_VALUE"""),"Memphis Grizzlies")</f>
        <v>Memphis Grizzlies</v>
      </c>
    </row>
    <row r="168">
      <c r="A168" s="17" t="s">
        <v>256</v>
      </c>
      <c r="B168" s="19">
        <f>IFERROR(__xludf.DUMMYFUNCTION("IFERROR(SPLIT(A168,"",""),"""")"),46337.0)</f>
        <v>46337</v>
      </c>
      <c r="C168" t="str">
        <f>IFERROR(__xludf.DUMMYFUNCTION("""COMPUTED_VALUE"""),"Los Angeles Lakers")</f>
        <v>Los Angeles Lakers</v>
      </c>
      <c r="D168" t="str">
        <f>IFERROR(__xludf.DUMMYFUNCTION("""COMPUTED_VALUE"""),"Milwaukee Bucks")</f>
        <v>Milwaukee Bucks</v>
      </c>
    </row>
    <row r="169">
      <c r="A169" s="17" t="s">
        <v>257</v>
      </c>
      <c r="B169" s="19">
        <f>IFERROR(__xludf.DUMMYFUNCTION("IFERROR(SPLIT(A169,"",""),"""")"),46337.0)</f>
        <v>46337</v>
      </c>
      <c r="C169" t="str">
        <f>IFERROR(__xludf.DUMMYFUNCTION("""COMPUTED_VALUE"""),"Brooklyn Nets")</f>
        <v>Brooklyn Nets</v>
      </c>
      <c r="D169" t="str">
        <f>IFERROR(__xludf.DUMMYFUNCTION("""COMPUTED_VALUE"""),"New Orleans Pelicans")</f>
        <v>New Orleans Pelicans</v>
      </c>
    </row>
    <row r="170">
      <c r="A170" s="17" t="s">
        <v>258</v>
      </c>
      <c r="B170" s="19">
        <f>IFERROR(__xludf.DUMMYFUNCTION("IFERROR(SPLIT(A170,"",""),"""")"),46337.0)</f>
        <v>46337</v>
      </c>
      <c r="C170" t="str">
        <f>IFERROR(__xludf.DUMMYFUNCTION("""COMPUTED_VALUE"""),"Orlando Magic")</f>
        <v>Orlando Magic</v>
      </c>
      <c r="D170" t="str">
        <f>IFERROR(__xludf.DUMMYFUNCTION("""COMPUTED_VALUE"""),"Utah Jazz")</f>
        <v>Utah Jazz</v>
      </c>
    </row>
    <row r="171">
      <c r="A171" s="17" t="s">
        <v>259</v>
      </c>
      <c r="B171" s="19">
        <f>IFERROR(__xludf.DUMMYFUNCTION("IFERROR(SPLIT(A171,"",""),"""")"),46337.0)</f>
        <v>46337</v>
      </c>
      <c r="C171" t="str">
        <f>IFERROR(__xludf.DUMMYFUNCTION("""COMPUTED_VALUE"""),"Golden State Warriors")</f>
        <v>Golden State Warriors</v>
      </c>
      <c r="D171" t="str">
        <f>IFERROR(__xludf.DUMMYFUNCTION("""COMPUTED_VALUE"""),"Houston Rockets")</f>
        <v>Houston Rockets</v>
      </c>
    </row>
    <row r="172">
      <c r="A172" s="17" t="s">
        <v>260</v>
      </c>
      <c r="B172" s="19">
        <f>IFERROR(__xludf.DUMMYFUNCTION("IFERROR(SPLIT(A172,"",""),"""")"),46337.0)</f>
        <v>46337</v>
      </c>
      <c r="C172" t="str">
        <f>IFERROR(__xludf.DUMMYFUNCTION("""COMPUTED_VALUE"""),"Oklahoma City Thunder")</f>
        <v>Oklahoma City Thunder</v>
      </c>
      <c r="D172" t="str">
        <f>IFERROR(__xludf.DUMMYFUNCTION("""COMPUTED_VALUE"""),"Portland Trail Blazers")</f>
        <v>Portland Trail Blazers</v>
      </c>
    </row>
    <row r="173">
      <c r="A173" s="17" t="s">
        <v>261</v>
      </c>
      <c r="B173" s="19">
        <f>IFERROR(__xludf.DUMMYFUNCTION("IFERROR(SPLIT(A173,"",""),"""")"),46338.0)</f>
        <v>46338</v>
      </c>
      <c r="C173" t="str">
        <f>IFERROR(__xludf.DUMMYFUNCTION("""COMPUTED_VALUE"""),"Toronto Raptors")</f>
        <v>Toronto Raptors</v>
      </c>
      <c r="D173" t="str">
        <f>IFERROR(__xludf.DUMMYFUNCTION("""COMPUTED_VALUE"""),"Philadelphia 76ers")</f>
        <v>Philadelphia 76ers</v>
      </c>
    </row>
    <row r="174">
      <c r="A174" s="17" t="s">
        <v>262</v>
      </c>
      <c r="B174" s="19">
        <f>IFERROR(__xludf.DUMMYFUNCTION("IFERROR(SPLIT(A174,"",""),"""")"),46338.0)</f>
        <v>46338</v>
      </c>
      <c r="C174" t="str">
        <f>IFERROR(__xludf.DUMMYFUNCTION("""COMPUTED_VALUE"""),"Detroit Pistons")</f>
        <v>Detroit Pistons</v>
      </c>
      <c r="D174" t="str">
        <f>IFERROR(__xludf.DUMMYFUNCTION("""COMPUTED_VALUE"""),"Washington Wizards")</f>
        <v>Washington Wizards</v>
      </c>
    </row>
    <row r="175">
      <c r="A175" s="17" t="s">
        <v>263</v>
      </c>
      <c r="B175" s="19">
        <f>IFERROR(__xludf.DUMMYFUNCTION("IFERROR(SPLIT(A175,"",""),"""")"),46338.0)</f>
        <v>46338</v>
      </c>
      <c r="C175" t="str">
        <f>IFERROR(__xludf.DUMMYFUNCTION("""COMPUTED_VALUE"""),"Dallas Mavericks")</f>
        <v>Dallas Mavericks</v>
      </c>
      <c r="D175" t="str">
        <f>IFERROR(__xludf.DUMMYFUNCTION("""COMPUTED_VALUE"""),"Minnesota Timberwolves")</f>
        <v>Minnesota Timberwolves</v>
      </c>
    </row>
    <row r="176">
      <c r="A176" s="17" t="s">
        <v>264</v>
      </c>
      <c r="B176" s="19">
        <f>IFERROR(__xludf.DUMMYFUNCTION("IFERROR(SPLIT(A176,"",""),"""")"),46338.0)</f>
        <v>46338</v>
      </c>
      <c r="C176" t="str">
        <f>IFERROR(__xludf.DUMMYFUNCTION("""COMPUTED_VALUE"""),"Charlotte Hornets")</f>
        <v>Charlotte Hornets</v>
      </c>
      <c r="D176" t="str">
        <f>IFERROR(__xludf.DUMMYFUNCTION("""COMPUTED_VALUE"""),"Phoenix Suns")</f>
        <v>Phoenix Suns</v>
      </c>
    </row>
    <row r="177">
      <c r="A177" s="17" t="s">
        <v>265</v>
      </c>
      <c r="B177" s="19">
        <f>IFERROR(__xludf.DUMMYFUNCTION("IFERROR(SPLIT(A177,"",""),"""")"),46339.0)</f>
        <v>46339</v>
      </c>
      <c r="C177" t="str">
        <f>IFERROR(__xludf.DUMMYFUNCTION("""COMPUTED_VALUE"""),"New York Knicks")</f>
        <v>New York Knicks</v>
      </c>
      <c r="D177" t="str">
        <f>IFERROR(__xludf.DUMMYFUNCTION("""COMPUTED_VALUE"""),"Indiana Pacers")</f>
        <v>Indiana Pacers</v>
      </c>
    </row>
    <row r="178">
      <c r="A178" s="17" t="s">
        <v>266</v>
      </c>
      <c r="B178" s="19">
        <f>IFERROR(__xludf.DUMMYFUNCTION("IFERROR(SPLIT(A178,"",""),"""")"),46339.0)</f>
        <v>46339</v>
      </c>
      <c r="C178" t="str">
        <f>IFERROR(__xludf.DUMMYFUNCTION("""COMPUTED_VALUE"""),"Milwaukee Bucks")</f>
        <v>Milwaukee Bucks</v>
      </c>
      <c r="D178" t="str">
        <f>IFERROR(__xludf.DUMMYFUNCTION("""COMPUTED_VALUE"""),"Orlando Magic")</f>
        <v>Orlando Magic</v>
      </c>
    </row>
    <row r="179">
      <c r="A179" s="17" t="s">
        <v>267</v>
      </c>
      <c r="B179" s="19">
        <f>IFERROR(__xludf.DUMMYFUNCTION("IFERROR(SPLIT(A179,"",""),"""")"),46339.0)</f>
        <v>46339</v>
      </c>
      <c r="C179" t="str">
        <f>IFERROR(__xludf.DUMMYFUNCTION("""COMPUTED_VALUE"""),"Atlanta Hawks")</f>
        <v>Atlanta Hawks</v>
      </c>
      <c r="D179" t="str">
        <f>IFERROR(__xludf.DUMMYFUNCTION("""COMPUTED_VALUE"""),"Chicago Bulls")</f>
        <v>Chicago Bulls</v>
      </c>
    </row>
    <row r="180">
      <c r="A180" s="17" t="s">
        <v>268</v>
      </c>
      <c r="B180" s="19">
        <f>IFERROR(__xludf.DUMMYFUNCTION("IFERROR(SPLIT(A180,"",""),"""")"),46339.0)</f>
        <v>46339</v>
      </c>
      <c r="C180" t="str">
        <f>IFERROR(__xludf.DUMMYFUNCTION("""COMPUTED_VALUE"""),"Cleveland Cavaliers")</f>
        <v>Cleveland Cavaliers</v>
      </c>
      <c r="D180" t="str">
        <f>IFERROR(__xludf.DUMMYFUNCTION("""COMPUTED_VALUE"""),"Miami Heat")</f>
        <v>Miami Heat</v>
      </c>
    </row>
    <row r="181">
      <c r="A181" s="17" t="s">
        <v>269</v>
      </c>
      <c r="B181" s="19">
        <f>IFERROR(__xludf.DUMMYFUNCTION("IFERROR(SPLIT(A181,"",""),"""")"),46339.0)</f>
        <v>46339</v>
      </c>
      <c r="C181" t="str">
        <f>IFERROR(__xludf.DUMMYFUNCTION("""COMPUTED_VALUE"""),"Memphis Grizzlies")</f>
        <v>Memphis Grizzlies</v>
      </c>
      <c r="D181" t="str">
        <f>IFERROR(__xludf.DUMMYFUNCTION("""COMPUTED_VALUE"""),"New Orleans Pelicans")</f>
        <v>New Orleans Pelicans</v>
      </c>
    </row>
    <row r="182">
      <c r="A182" s="17" t="s">
        <v>270</v>
      </c>
      <c r="B182" s="19">
        <f>IFERROR(__xludf.DUMMYFUNCTION("IFERROR(SPLIT(A182,"",""),"""")"),46339.0)</f>
        <v>46339</v>
      </c>
      <c r="C182" t="str">
        <f>IFERROR(__xludf.DUMMYFUNCTION("""COMPUTED_VALUE"""),"Utah Jazz")</f>
        <v>Utah Jazz</v>
      </c>
      <c r="D182" t="str">
        <f>IFERROR(__xludf.DUMMYFUNCTION("""COMPUTED_VALUE"""),"Houston Rockets")</f>
        <v>Houston Rockets</v>
      </c>
    </row>
    <row r="183">
      <c r="A183" s="17" t="s">
        <v>271</v>
      </c>
      <c r="B183" s="19">
        <f>IFERROR(__xludf.DUMMYFUNCTION("IFERROR(SPLIT(A183,"",""),"""")"),46339.0)</f>
        <v>46339</v>
      </c>
      <c r="C183" t="str">
        <f>IFERROR(__xludf.DUMMYFUNCTION("""COMPUTED_VALUE"""),"Golden State Warriors")</f>
        <v>Golden State Warriors</v>
      </c>
      <c r="D183" t="str">
        <f>IFERROR(__xludf.DUMMYFUNCTION("""COMPUTED_VALUE"""),"San Antonio Spurs")</f>
        <v>San Antonio Spurs</v>
      </c>
    </row>
    <row r="184">
      <c r="A184" s="17" t="s">
        <v>272</v>
      </c>
      <c r="B184" s="19">
        <f>IFERROR(__xludf.DUMMYFUNCTION("IFERROR(SPLIT(A184,"",""),"""")"),46339.0)</f>
        <v>46339</v>
      </c>
      <c r="C184" t="str">
        <f>IFERROR(__xludf.DUMMYFUNCTION("""COMPUTED_VALUE"""),"Portland Trail Blazers")</f>
        <v>Portland Trail Blazers</v>
      </c>
      <c r="D184" t="str">
        <f>IFERROR(__xludf.DUMMYFUNCTION("""COMPUTED_VALUE"""),"Sacramento Kings")</f>
        <v>Sacramento Kings</v>
      </c>
    </row>
    <row r="185">
      <c r="A185" s="17" t="s">
        <v>273</v>
      </c>
      <c r="B185" s="19">
        <f>IFERROR(__xludf.DUMMYFUNCTION("IFERROR(SPLIT(A185,"",""),"""")"),46339.0)</f>
        <v>46339</v>
      </c>
      <c r="C185" t="str">
        <f>IFERROR(__xludf.DUMMYFUNCTION("""COMPUTED_VALUE"""),"Oklahoma City Thunder")</f>
        <v>Oklahoma City Thunder</v>
      </c>
      <c r="D185" t="str">
        <f>IFERROR(__xludf.DUMMYFUNCTION("""COMPUTED_VALUE"""),"Los Angeles Clippers")</f>
        <v>Los Angeles Clippers</v>
      </c>
    </row>
    <row r="186">
      <c r="A186" s="17" t="s">
        <v>274</v>
      </c>
      <c r="B186" s="19">
        <f>IFERROR(__xludf.DUMMYFUNCTION("IFERROR(SPLIT(A186,"",""),"""")"),46340.0)</f>
        <v>46340</v>
      </c>
      <c r="C186" t="str">
        <f>IFERROR(__xludf.DUMMYFUNCTION("""COMPUTED_VALUE"""),"Denver Nuggets")</f>
        <v>Denver Nuggets</v>
      </c>
      <c r="D186" t="str">
        <f>IFERROR(__xludf.DUMMYFUNCTION("""COMPUTED_VALUE"""),"New Orleans Pelicans")</f>
        <v>New Orleans Pelicans</v>
      </c>
    </row>
    <row r="187">
      <c r="A187" s="17" t="s">
        <v>275</v>
      </c>
      <c r="B187" s="19">
        <f>IFERROR(__xludf.DUMMYFUNCTION("IFERROR(SPLIT(A187,"",""),"""")"),46340.0)</f>
        <v>46340</v>
      </c>
      <c r="C187" t="str">
        <f>IFERROR(__xludf.DUMMYFUNCTION("""COMPUTED_VALUE"""),"Dallas Mavericks")</f>
        <v>Dallas Mavericks</v>
      </c>
      <c r="D187" t="str">
        <f>IFERROR(__xludf.DUMMYFUNCTION("""COMPUTED_VALUE"""),"Cleveland Cavaliers")</f>
        <v>Cleveland Cavaliers</v>
      </c>
    </row>
    <row r="188">
      <c r="A188" s="17" t="s">
        <v>276</v>
      </c>
      <c r="B188" s="19">
        <f>IFERROR(__xludf.DUMMYFUNCTION("IFERROR(SPLIT(A188,"",""),"""")"),46340.0)</f>
        <v>46340</v>
      </c>
      <c r="C188" t="str">
        <f>IFERROR(__xludf.DUMMYFUNCTION("""COMPUTED_VALUE"""),"Brooklyn Nets")</f>
        <v>Brooklyn Nets</v>
      </c>
      <c r="D188" t="str">
        <f>IFERROR(__xludf.DUMMYFUNCTION("""COMPUTED_VALUE"""),"Memphis Grizzlies")</f>
        <v>Memphis Grizzlies</v>
      </c>
    </row>
    <row r="189">
      <c r="A189" s="17" t="s">
        <v>277</v>
      </c>
      <c r="B189" s="19">
        <f>IFERROR(__xludf.DUMMYFUNCTION("IFERROR(SPLIT(A189,"",""),"""")"),46340.0)</f>
        <v>46340</v>
      </c>
      <c r="C189" t="str">
        <f>IFERROR(__xludf.DUMMYFUNCTION("""COMPUTED_VALUE"""),"Detroit Pistons")</f>
        <v>Detroit Pistons</v>
      </c>
      <c r="D189" t="str">
        <f>IFERROR(__xludf.DUMMYFUNCTION("""COMPUTED_VALUE"""),"Miami Heat")</f>
        <v>Miami Heat</v>
      </c>
    </row>
    <row r="190">
      <c r="A190" s="17" t="s">
        <v>278</v>
      </c>
      <c r="B190" s="19">
        <f>IFERROR(__xludf.DUMMYFUNCTION("IFERROR(SPLIT(A190,"",""),"""")"),46340.0)</f>
        <v>46340</v>
      </c>
      <c r="C190" t="str">
        <f>IFERROR(__xludf.DUMMYFUNCTION("""COMPUTED_VALUE"""),"Chicago Bulls")</f>
        <v>Chicago Bulls</v>
      </c>
      <c r="D190" t="str">
        <f>IFERROR(__xludf.DUMMYFUNCTION("""COMPUTED_VALUE"""),"Minnesota Timberwolves")</f>
        <v>Minnesota Timberwolves</v>
      </c>
    </row>
    <row r="191">
      <c r="A191" s="17" t="s">
        <v>279</v>
      </c>
      <c r="B191" s="19">
        <f>IFERROR(__xludf.DUMMYFUNCTION("IFERROR(SPLIT(A191,"",""),"""")"),46341.0)</f>
        <v>46341</v>
      </c>
      <c r="C191" t="str">
        <f>IFERROR(__xludf.DUMMYFUNCTION("""COMPUTED_VALUE"""),"Indiana Pacers")</f>
        <v>Indiana Pacers</v>
      </c>
      <c r="D191" t="str">
        <f>IFERROR(__xludf.DUMMYFUNCTION("""COMPUTED_VALUE"""),"Philadelphia 76ers")</f>
        <v>Philadelphia 76ers</v>
      </c>
    </row>
    <row r="192">
      <c r="A192" s="17" t="s">
        <v>280</v>
      </c>
      <c r="B192" s="19">
        <f>IFERROR(__xludf.DUMMYFUNCTION("IFERROR(SPLIT(A192,"",""),"""")"),46341.0)</f>
        <v>46341</v>
      </c>
      <c r="C192" t="str">
        <f>IFERROR(__xludf.DUMMYFUNCTION("""COMPUTED_VALUE"""),"Los Angeles Lakers")</f>
        <v>Los Angeles Lakers</v>
      </c>
      <c r="D192" t="str">
        <f>IFERROR(__xludf.DUMMYFUNCTION("""COMPUTED_VALUE"""),"Phoenix Suns")</f>
        <v>Phoenix Suns</v>
      </c>
    </row>
    <row r="193">
      <c r="A193" s="17" t="s">
        <v>281</v>
      </c>
      <c r="B193" s="19">
        <f>IFERROR(__xludf.DUMMYFUNCTION("IFERROR(SPLIT(A193,"",""),"""")"),46341.0)</f>
        <v>46341</v>
      </c>
      <c r="C193" t="str">
        <f>IFERROR(__xludf.DUMMYFUNCTION("""COMPUTED_VALUE"""),"Charlotte Hornets")</f>
        <v>Charlotte Hornets</v>
      </c>
      <c r="D193" t="str">
        <f>IFERROR(__xludf.DUMMYFUNCTION("""COMPUTED_VALUE"""),"Los Angeles Clippers")</f>
        <v>Los Angeles Clippers</v>
      </c>
    </row>
    <row r="194">
      <c r="A194" s="17" t="s">
        <v>282</v>
      </c>
      <c r="B194" s="19">
        <f>IFERROR(__xludf.DUMMYFUNCTION("IFERROR(SPLIT(A194,"",""),"""")"),46341.0)</f>
        <v>46341</v>
      </c>
      <c r="C194" t="str">
        <f>IFERROR(__xludf.DUMMYFUNCTION("""COMPUTED_VALUE"""),"San Antonio Spurs")</f>
        <v>San Antonio Spurs</v>
      </c>
      <c r="D194" t="str">
        <f>IFERROR(__xludf.DUMMYFUNCTION("""COMPUTED_VALUE"""),"Utah Jazz")</f>
        <v>Utah Jazz</v>
      </c>
    </row>
    <row r="195">
      <c r="A195" s="17" t="s">
        <v>283</v>
      </c>
      <c r="B195" s="19">
        <f>IFERROR(__xludf.DUMMYFUNCTION("IFERROR(SPLIT(A195,"",""),"""")"),46341.0)</f>
        <v>46341</v>
      </c>
      <c r="C195" t="str">
        <f>IFERROR(__xludf.DUMMYFUNCTION("""COMPUTED_VALUE"""),"Dallas Mavericks")</f>
        <v>Dallas Mavericks</v>
      </c>
      <c r="D195" t="str">
        <f>IFERROR(__xludf.DUMMYFUNCTION("""COMPUTED_VALUE"""),"Boston Celtics")</f>
        <v>Boston Celtics</v>
      </c>
    </row>
    <row r="196">
      <c r="A196" s="17" t="s">
        <v>284</v>
      </c>
      <c r="B196" s="19">
        <f>IFERROR(__xludf.DUMMYFUNCTION("IFERROR(SPLIT(A196,"",""),"""")"),46341.0)</f>
        <v>46341</v>
      </c>
      <c r="C196" t="str">
        <f>IFERROR(__xludf.DUMMYFUNCTION("""COMPUTED_VALUE"""),"New York Knicks")</f>
        <v>New York Knicks</v>
      </c>
      <c r="D196" t="str">
        <f>IFERROR(__xludf.DUMMYFUNCTION("""COMPUTED_VALUE"""),"Toronto Raptors")</f>
        <v>Toronto Raptors</v>
      </c>
    </row>
    <row r="197">
      <c r="A197" s="17" t="s">
        <v>285</v>
      </c>
      <c r="B197" s="19">
        <f>IFERROR(__xludf.DUMMYFUNCTION("IFERROR(SPLIT(A197,"",""),"""")"),46341.0)</f>
        <v>46341</v>
      </c>
      <c r="C197" t="str">
        <f>IFERROR(__xludf.DUMMYFUNCTION("""COMPUTED_VALUE"""),"Houston Rockets")</f>
        <v>Houston Rockets</v>
      </c>
      <c r="D197" t="str">
        <f>IFERROR(__xludf.DUMMYFUNCTION("""COMPUTED_VALUE"""),"Washington Wizards")</f>
        <v>Washington Wizards</v>
      </c>
    </row>
    <row r="198">
      <c r="A198" s="17" t="s">
        <v>286</v>
      </c>
      <c r="B198" s="19">
        <f>IFERROR(__xludf.DUMMYFUNCTION("IFERROR(SPLIT(A198,"",""),"""")"),46341.0)</f>
        <v>46341</v>
      </c>
      <c r="C198" t="str">
        <f>IFERROR(__xludf.DUMMYFUNCTION("""COMPUTED_VALUE"""),"Atlanta Hawks")</f>
        <v>Atlanta Hawks</v>
      </c>
      <c r="D198" t="str">
        <f>IFERROR(__xludf.DUMMYFUNCTION("""COMPUTED_VALUE"""),"Milwaukee Bucks")</f>
        <v>Milwaukee Bucks</v>
      </c>
    </row>
    <row r="199">
      <c r="A199" s="17" t="s">
        <v>287</v>
      </c>
      <c r="B199" s="19">
        <f>IFERROR(__xludf.DUMMYFUNCTION("IFERROR(SPLIT(A199,"",""),"""")"),46341.0)</f>
        <v>46341</v>
      </c>
      <c r="C199" t="str">
        <f>IFERROR(__xludf.DUMMYFUNCTION("""COMPUTED_VALUE"""),"Oklahoma City Thunder")</f>
        <v>Oklahoma City Thunder</v>
      </c>
      <c r="D199" t="str">
        <f>IFERROR(__xludf.DUMMYFUNCTION("""COMPUTED_VALUE"""),"Sacramento Kings")</f>
        <v>Sacramento Kings</v>
      </c>
    </row>
    <row r="200">
      <c r="A200" s="17" t="s">
        <v>288</v>
      </c>
      <c r="B200" s="19">
        <f>IFERROR(__xludf.DUMMYFUNCTION("IFERROR(SPLIT(A200,"",""),"""")"),46342.0)</f>
        <v>46342</v>
      </c>
      <c r="C200" t="str">
        <f>IFERROR(__xludf.DUMMYFUNCTION("""COMPUTED_VALUE"""),"Orlando Magic")</f>
        <v>Orlando Magic</v>
      </c>
      <c r="D200" t="str">
        <f>IFERROR(__xludf.DUMMYFUNCTION("""COMPUTED_VALUE"""),"Boston Celtics")</f>
        <v>Boston Celtics</v>
      </c>
    </row>
    <row r="201">
      <c r="A201" s="17" t="s">
        <v>289</v>
      </c>
      <c r="B201" s="19">
        <f>IFERROR(__xludf.DUMMYFUNCTION("IFERROR(SPLIT(A201,"",""),"""")"),46342.0)</f>
        <v>46342</v>
      </c>
      <c r="C201" t="str">
        <f>IFERROR(__xludf.DUMMYFUNCTION("""COMPUTED_VALUE"""),"Chicago Bulls")</f>
        <v>Chicago Bulls</v>
      </c>
      <c r="D201" t="str">
        <f>IFERROR(__xludf.DUMMYFUNCTION("""COMPUTED_VALUE"""),"Cleveland Cavaliers")</f>
        <v>Cleveland Cavaliers</v>
      </c>
    </row>
    <row r="202">
      <c r="A202" s="17" t="s">
        <v>290</v>
      </c>
      <c r="B202" s="19">
        <f>IFERROR(__xludf.DUMMYFUNCTION("IFERROR(SPLIT(A202,"",""),"""")"),46342.0)</f>
        <v>46342</v>
      </c>
      <c r="C202" t="str">
        <f>IFERROR(__xludf.DUMMYFUNCTION("""COMPUTED_VALUE"""),"Memphis Grizzlies")</f>
        <v>Memphis Grizzlies</v>
      </c>
      <c r="D202" t="str">
        <f>IFERROR(__xludf.DUMMYFUNCTION("""COMPUTED_VALUE"""),"Washington Wizards")</f>
        <v>Washington Wizards</v>
      </c>
    </row>
    <row r="203">
      <c r="A203" s="17" t="s">
        <v>291</v>
      </c>
      <c r="B203" s="19">
        <f>IFERROR(__xludf.DUMMYFUNCTION("IFERROR(SPLIT(A203,"",""),"""")"),46342.0)</f>
        <v>46342</v>
      </c>
      <c r="C203" t="str">
        <f>IFERROR(__xludf.DUMMYFUNCTION("""COMPUTED_VALUE"""),"Philadelphia 76ers")</f>
        <v>Philadelphia 76ers</v>
      </c>
      <c r="D203" t="str">
        <f>IFERROR(__xludf.DUMMYFUNCTION("""COMPUTED_VALUE"""),"Brooklyn Nets")</f>
        <v>Brooklyn Nets</v>
      </c>
    </row>
    <row r="204">
      <c r="A204" s="17" t="s">
        <v>292</v>
      </c>
      <c r="B204" s="19">
        <f>IFERROR(__xludf.DUMMYFUNCTION("IFERROR(SPLIT(A204,"",""),"""")"),46342.0)</f>
        <v>46342</v>
      </c>
      <c r="C204" t="str">
        <f>IFERROR(__xludf.DUMMYFUNCTION("""COMPUTED_VALUE"""),"Houston Rockets")</f>
        <v>Houston Rockets</v>
      </c>
      <c r="D204" t="str">
        <f>IFERROR(__xludf.DUMMYFUNCTION("""COMPUTED_VALUE"""),"Miami Heat")</f>
        <v>Miami Heat</v>
      </c>
    </row>
    <row r="205">
      <c r="A205" s="17" t="s">
        <v>293</v>
      </c>
      <c r="B205" s="19">
        <f>IFERROR(__xludf.DUMMYFUNCTION("IFERROR(SPLIT(A205,"",""),"""")"),46342.0)</f>
        <v>46342</v>
      </c>
      <c r="C205" t="str">
        <f>IFERROR(__xludf.DUMMYFUNCTION("""COMPUTED_VALUE"""),"Portland Trail Blazers")</f>
        <v>Portland Trail Blazers</v>
      </c>
      <c r="D205" t="str">
        <f>IFERROR(__xludf.DUMMYFUNCTION("""COMPUTED_VALUE"""),"Minnesota Timberwolves")</f>
        <v>Minnesota Timberwolves</v>
      </c>
    </row>
    <row r="206">
      <c r="A206" s="17" t="s">
        <v>294</v>
      </c>
      <c r="B206" s="19">
        <f>IFERROR(__xludf.DUMMYFUNCTION("IFERROR(SPLIT(A206,"",""),"""")"),46342.0)</f>
        <v>46342</v>
      </c>
      <c r="C206" t="str">
        <f>IFERROR(__xludf.DUMMYFUNCTION("""COMPUTED_VALUE"""),"Golden State Warriors")</f>
        <v>Golden State Warriors</v>
      </c>
      <c r="D206" t="str">
        <f>IFERROR(__xludf.DUMMYFUNCTION("""COMPUTED_VALUE"""),"New Orleans Pelicans")</f>
        <v>New Orleans Pelicans</v>
      </c>
    </row>
    <row r="207">
      <c r="A207" s="17" t="s">
        <v>295</v>
      </c>
      <c r="B207" s="19">
        <f>IFERROR(__xludf.DUMMYFUNCTION("IFERROR(SPLIT(A207,"",""),"""")"),46342.0)</f>
        <v>46342</v>
      </c>
      <c r="C207" t="str">
        <f>IFERROR(__xludf.DUMMYFUNCTION("""COMPUTED_VALUE"""),"Phoenix Suns")</f>
        <v>Phoenix Suns</v>
      </c>
      <c r="D207" t="str">
        <f>IFERROR(__xludf.DUMMYFUNCTION("""COMPUTED_VALUE"""),"Denver Nuggets")</f>
        <v>Denver Nuggets</v>
      </c>
    </row>
    <row r="208">
      <c r="A208" s="17" t="s">
        <v>296</v>
      </c>
      <c r="B208" s="19">
        <f>IFERROR(__xludf.DUMMYFUNCTION("IFERROR(SPLIT(A208,"",""),"""")"),46343.0)</f>
        <v>46343</v>
      </c>
      <c r="C208" t="str">
        <f>IFERROR(__xludf.DUMMYFUNCTION("""COMPUTED_VALUE"""),"New York Knicks")</f>
        <v>New York Knicks</v>
      </c>
      <c r="D208" t="str">
        <f>IFERROR(__xludf.DUMMYFUNCTION("""COMPUTED_VALUE"""),"Toronto Raptors")</f>
        <v>Toronto Raptors</v>
      </c>
    </row>
    <row r="209">
      <c r="A209" s="17" t="s">
        <v>297</v>
      </c>
      <c r="B209" s="19">
        <f>IFERROR(__xludf.DUMMYFUNCTION("IFERROR(SPLIT(A209,"",""),"""")"),46343.0)</f>
        <v>46343</v>
      </c>
      <c r="C209" t="str">
        <f>IFERROR(__xludf.DUMMYFUNCTION("""COMPUTED_VALUE"""),"Portland Trail Blazers")</f>
        <v>Portland Trail Blazers</v>
      </c>
      <c r="D209" t="str">
        <f>IFERROR(__xludf.DUMMYFUNCTION("""COMPUTED_VALUE"""),"Minnesota Timberwolves")</f>
        <v>Minnesota Timberwolves</v>
      </c>
    </row>
    <row r="210">
      <c r="A210" s="17" t="s">
        <v>298</v>
      </c>
      <c r="B210" s="19">
        <f>IFERROR(__xludf.DUMMYFUNCTION("IFERROR(SPLIT(A210,"",""),"""")"),46343.0)</f>
        <v>46343</v>
      </c>
      <c r="C210" t="str">
        <f>IFERROR(__xludf.DUMMYFUNCTION("""COMPUTED_VALUE"""),"Detroit Pistons")</f>
        <v>Detroit Pistons</v>
      </c>
      <c r="D210" t="str">
        <f>IFERROR(__xludf.DUMMYFUNCTION("""COMPUTED_VALUE"""),"San Antonio Spurs")</f>
        <v>San Antonio Spurs</v>
      </c>
    </row>
    <row r="211">
      <c r="A211" s="17" t="s">
        <v>299</v>
      </c>
      <c r="B211" s="19">
        <f>IFERROR(__xludf.DUMMYFUNCTION("IFERROR(SPLIT(A211,"",""),"""")"),46343.0)</f>
        <v>46343</v>
      </c>
      <c r="C211" t="str">
        <f>IFERROR(__xludf.DUMMYFUNCTION("""COMPUTED_VALUE"""),"Charlotte Hornets")</f>
        <v>Charlotte Hornets</v>
      </c>
      <c r="D211" t="str">
        <f>IFERROR(__xludf.DUMMYFUNCTION("""COMPUTED_VALUE"""),"Los Angeles Lakers")</f>
        <v>Los Angeles Lakers</v>
      </c>
    </row>
    <row r="212">
      <c r="A212" s="17" t="s">
        <v>300</v>
      </c>
      <c r="B212" s="19">
        <f>IFERROR(__xludf.DUMMYFUNCTION("IFERROR(SPLIT(A212,"",""),"""")"),46343.0)</f>
        <v>46343</v>
      </c>
      <c r="C212" t="str">
        <f>IFERROR(__xludf.DUMMYFUNCTION("""COMPUTED_VALUE"""),"Utah Jazz")</f>
        <v>Utah Jazz</v>
      </c>
      <c r="D212" t="str">
        <f>IFERROR(__xludf.DUMMYFUNCTION("""COMPUTED_VALUE"""),"Los Angeles Clippers")</f>
        <v>Los Angeles Clippers</v>
      </c>
    </row>
    <row r="213">
      <c r="A213" s="17" t="s">
        <v>301</v>
      </c>
      <c r="B213" s="19">
        <f>IFERROR(__xludf.DUMMYFUNCTION("IFERROR(SPLIT(A213,"",""),"""")"),46344.0)</f>
        <v>46344</v>
      </c>
      <c r="C213" t="str">
        <f>IFERROR(__xludf.DUMMYFUNCTION("""COMPUTED_VALUE"""),"Memphis Grizzlies")</f>
        <v>Memphis Grizzlies</v>
      </c>
      <c r="D213" t="str">
        <f>IFERROR(__xludf.DUMMYFUNCTION("""COMPUTED_VALUE"""),"Cleveland Cavaliers")</f>
        <v>Cleveland Cavaliers</v>
      </c>
    </row>
    <row r="214">
      <c r="A214" s="17" t="s">
        <v>302</v>
      </c>
      <c r="B214" s="19">
        <f>IFERROR(__xludf.DUMMYFUNCTION("IFERROR(SPLIT(A214,"",""),"""")"),46344.0)</f>
        <v>46344</v>
      </c>
      <c r="C214" t="str">
        <f>IFERROR(__xludf.DUMMYFUNCTION("""COMPUTED_VALUE"""),"Houston Rockets")</f>
        <v>Houston Rockets</v>
      </c>
      <c r="D214" t="str">
        <f>IFERROR(__xludf.DUMMYFUNCTION("""COMPUTED_VALUE"""),"Indiana Pacers")</f>
        <v>Indiana Pacers</v>
      </c>
    </row>
    <row r="215">
      <c r="A215" s="17" t="s">
        <v>303</v>
      </c>
      <c r="B215" s="19">
        <f>IFERROR(__xludf.DUMMYFUNCTION("IFERROR(SPLIT(A215,"",""),"""")"),46344.0)</f>
        <v>46344</v>
      </c>
      <c r="C215" t="str">
        <f>IFERROR(__xludf.DUMMYFUNCTION("""COMPUTED_VALUE"""),"Milwaukee Bucks")</f>
        <v>Milwaukee Bucks</v>
      </c>
      <c r="D215" t="str">
        <f>IFERROR(__xludf.DUMMYFUNCTION("""COMPUTED_VALUE"""),"Miami Heat")</f>
        <v>Miami Heat</v>
      </c>
    </row>
    <row r="216">
      <c r="A216" s="17" t="s">
        <v>304</v>
      </c>
      <c r="B216" s="19">
        <f>IFERROR(__xludf.DUMMYFUNCTION("IFERROR(SPLIT(A216,"",""),"""")"),46344.0)</f>
        <v>46344</v>
      </c>
      <c r="C216" t="str">
        <f>IFERROR(__xludf.DUMMYFUNCTION("""COMPUTED_VALUE"""),"Philadelphia 76ers")</f>
        <v>Philadelphia 76ers</v>
      </c>
      <c r="D216" t="str">
        <f>IFERROR(__xludf.DUMMYFUNCTION("""COMPUTED_VALUE"""),"Orlando Magic")</f>
        <v>Orlando Magic</v>
      </c>
    </row>
    <row r="217">
      <c r="A217" s="17" t="s">
        <v>305</v>
      </c>
      <c r="B217" s="19">
        <f>IFERROR(__xludf.DUMMYFUNCTION("IFERROR(SPLIT(A217,"",""),"""")"),46344.0)</f>
        <v>46344</v>
      </c>
      <c r="C217" t="str">
        <f>IFERROR(__xludf.DUMMYFUNCTION("""COMPUTED_VALUE"""),"Chicago Bulls")</f>
        <v>Chicago Bulls</v>
      </c>
      <c r="D217" t="str">
        <f>IFERROR(__xludf.DUMMYFUNCTION("""COMPUTED_VALUE"""),"Brooklyn Nets")</f>
        <v>Brooklyn Nets</v>
      </c>
    </row>
    <row r="218">
      <c r="A218" s="17" t="s">
        <v>306</v>
      </c>
      <c r="B218" s="19">
        <f>IFERROR(__xludf.DUMMYFUNCTION("IFERROR(SPLIT(A218,"",""),"""")"),46344.0)</f>
        <v>46344</v>
      </c>
      <c r="C218" t="str">
        <f>IFERROR(__xludf.DUMMYFUNCTION("""COMPUTED_VALUE"""),"Washington Wizards")</f>
        <v>Washington Wizards</v>
      </c>
      <c r="D218" t="str">
        <f>IFERROR(__xludf.DUMMYFUNCTION("""COMPUTED_VALUE"""),"Toronto Raptors")</f>
        <v>Toronto Raptors</v>
      </c>
    </row>
    <row r="219">
      <c r="A219" s="17" t="s">
        <v>307</v>
      </c>
      <c r="B219" s="19">
        <f>IFERROR(__xludf.DUMMYFUNCTION("IFERROR(SPLIT(A219,"",""),"""")"),46344.0)</f>
        <v>46344</v>
      </c>
      <c r="C219" t="str">
        <f>IFERROR(__xludf.DUMMYFUNCTION("""COMPUTED_VALUE"""),"Detroit Pistons")</f>
        <v>Detroit Pistons</v>
      </c>
      <c r="D219" t="str">
        <f>IFERROR(__xludf.DUMMYFUNCTION("""COMPUTED_VALUE"""),"New Orleans Pelicans")</f>
        <v>New Orleans Pelicans</v>
      </c>
    </row>
    <row r="220">
      <c r="A220" s="17" t="s">
        <v>308</v>
      </c>
      <c r="B220" s="19">
        <f>IFERROR(__xludf.DUMMYFUNCTION("IFERROR(SPLIT(A220,"",""),"""")"),46344.0)</f>
        <v>46344</v>
      </c>
      <c r="C220" t="str">
        <f>IFERROR(__xludf.DUMMYFUNCTION("""COMPUTED_VALUE"""),"Atlanta Hawks")</f>
        <v>Atlanta Hawks</v>
      </c>
      <c r="D220" t="str">
        <f>IFERROR(__xludf.DUMMYFUNCTION("""COMPUTED_VALUE"""),"Oklahoma City Thunder")</f>
        <v>Oklahoma City Thunder</v>
      </c>
    </row>
    <row r="221">
      <c r="A221" s="17" t="s">
        <v>309</v>
      </c>
      <c r="B221" s="19">
        <f>IFERROR(__xludf.DUMMYFUNCTION("IFERROR(SPLIT(A221,"",""),"""")"),46344.0)</f>
        <v>46344</v>
      </c>
      <c r="C221" t="str">
        <f>IFERROR(__xludf.DUMMYFUNCTION("""COMPUTED_VALUE"""),"Boston Celtics")</f>
        <v>Boston Celtics</v>
      </c>
      <c r="D221" t="str">
        <f>IFERROR(__xludf.DUMMYFUNCTION("""COMPUTED_VALUE"""),"Denver Nuggets")</f>
        <v>Denver Nuggets</v>
      </c>
    </row>
    <row r="222">
      <c r="A222" s="17" t="s">
        <v>310</v>
      </c>
      <c r="B222" s="19">
        <f>IFERROR(__xludf.DUMMYFUNCTION("IFERROR(SPLIT(A222,"",""),"""")"),46344.0)</f>
        <v>46344</v>
      </c>
      <c r="C222" t="str">
        <f>IFERROR(__xludf.DUMMYFUNCTION("""COMPUTED_VALUE"""),"Golden State Warriors")</f>
        <v>Golden State Warriors</v>
      </c>
      <c r="D222" t="str">
        <f>IFERROR(__xludf.DUMMYFUNCTION("""COMPUTED_VALUE"""),"Dallas Mavericks")</f>
        <v>Dallas Mavericks</v>
      </c>
    </row>
    <row r="223">
      <c r="A223" s="17" t="s">
        <v>311</v>
      </c>
      <c r="B223" s="19">
        <f>IFERROR(__xludf.DUMMYFUNCTION("IFERROR(SPLIT(A223,"",""),"""")"),46344.0)</f>
        <v>46344</v>
      </c>
      <c r="C223" t="str">
        <f>IFERROR(__xludf.DUMMYFUNCTION("""COMPUTED_VALUE"""),"Utah Jazz")</f>
        <v>Utah Jazz</v>
      </c>
      <c r="D223" t="str">
        <f>IFERROR(__xludf.DUMMYFUNCTION("""COMPUTED_VALUE"""),"Los Angeles Lakers")</f>
        <v>Los Angeles Lakers</v>
      </c>
    </row>
    <row r="224">
      <c r="A224" s="17" t="s">
        <v>312</v>
      </c>
      <c r="B224" s="19">
        <f>IFERROR(__xludf.DUMMYFUNCTION("IFERROR(SPLIT(A224,"",""),"""")"),46344.0)</f>
        <v>46344</v>
      </c>
      <c r="C224" t="str">
        <f>IFERROR(__xludf.DUMMYFUNCTION("""COMPUTED_VALUE"""),"Phoenix Suns")</f>
        <v>Phoenix Suns</v>
      </c>
      <c r="D224" t="str">
        <f>IFERROR(__xludf.DUMMYFUNCTION("""COMPUTED_VALUE"""),"Sacramento Kings")</f>
        <v>Sacramento Kings</v>
      </c>
    </row>
    <row r="225">
      <c r="A225" s="17" t="s">
        <v>313</v>
      </c>
      <c r="B225" s="19">
        <f>IFERROR(__xludf.DUMMYFUNCTION("IFERROR(SPLIT(A225,"",""),"""")"),46345.0)</f>
        <v>46345</v>
      </c>
      <c r="C225" t="str">
        <f>IFERROR(__xludf.DUMMYFUNCTION("""COMPUTED_VALUE"""),"Golden State Warriors")</f>
        <v>Golden State Warriors</v>
      </c>
      <c r="D225" t="str">
        <f>IFERROR(__xludf.DUMMYFUNCTION("""COMPUTED_VALUE"""),"Memphis Grizzlies")</f>
        <v>Memphis Grizzlies</v>
      </c>
    </row>
    <row r="226">
      <c r="A226" s="17" t="s">
        <v>314</v>
      </c>
      <c r="B226" s="19">
        <f>IFERROR(__xludf.DUMMYFUNCTION("IFERROR(SPLIT(A226,"",""),"""")"),46345.0)</f>
        <v>46345</v>
      </c>
      <c r="C226" t="str">
        <f>IFERROR(__xludf.DUMMYFUNCTION("""COMPUTED_VALUE"""),"Portland Trail Blazers")</f>
        <v>Portland Trail Blazers</v>
      </c>
      <c r="D226" t="str">
        <f>IFERROR(__xludf.DUMMYFUNCTION("""COMPUTED_VALUE"""),"Milwaukee Bucks")</f>
        <v>Milwaukee Bucks</v>
      </c>
    </row>
    <row r="227">
      <c r="A227" s="17" t="s">
        <v>315</v>
      </c>
      <c r="B227" s="19">
        <f>IFERROR(__xludf.DUMMYFUNCTION("IFERROR(SPLIT(A227,"",""),"""")"),46345.0)</f>
        <v>46345</v>
      </c>
      <c r="C227" t="str">
        <f>IFERROR(__xludf.DUMMYFUNCTION("""COMPUTED_VALUE"""),"New York Knicks")</f>
        <v>New York Knicks</v>
      </c>
      <c r="D227" t="str">
        <f>IFERROR(__xludf.DUMMYFUNCTION("""COMPUTED_VALUE"""),"Minnesota Timberwolves")</f>
        <v>Minnesota Timberwolves</v>
      </c>
    </row>
    <row r="228">
      <c r="A228" s="17" t="s">
        <v>316</v>
      </c>
      <c r="B228" s="19">
        <f>IFERROR(__xludf.DUMMYFUNCTION("IFERROR(SPLIT(A228,"",""),"""")"),46345.0)</f>
        <v>46345</v>
      </c>
      <c r="C228" t="str">
        <f>IFERROR(__xludf.DUMMYFUNCTION("""COMPUTED_VALUE"""),"Los Angeles Clippers")</f>
        <v>Los Angeles Clippers</v>
      </c>
      <c r="D228" t="str">
        <f>IFERROR(__xludf.DUMMYFUNCTION("""COMPUTED_VALUE"""),"San Antonio Spurs")</f>
        <v>San Antonio Spurs</v>
      </c>
    </row>
    <row r="229">
      <c r="A229" s="17" t="s">
        <v>317</v>
      </c>
      <c r="B229" s="19">
        <f>IFERROR(__xludf.DUMMYFUNCTION("IFERROR(SPLIT(A229,"",""),"""")"),46346.0)</f>
        <v>46346</v>
      </c>
      <c r="C229" t="str">
        <f>IFERROR(__xludf.DUMMYFUNCTION("""COMPUTED_VALUE"""),"Charlotte Hornets")</f>
        <v>Charlotte Hornets</v>
      </c>
      <c r="D229" t="str">
        <f>IFERROR(__xludf.DUMMYFUNCTION("""COMPUTED_VALUE"""),"Atlanta Hawks")</f>
        <v>Atlanta Hawks</v>
      </c>
    </row>
    <row r="230">
      <c r="A230" s="17" t="s">
        <v>318</v>
      </c>
      <c r="B230" s="19">
        <f>IFERROR(__xludf.DUMMYFUNCTION("IFERROR(SPLIT(A230,"",""),"""")"),46346.0)</f>
        <v>46346</v>
      </c>
      <c r="C230" t="str">
        <f>IFERROR(__xludf.DUMMYFUNCTION("""COMPUTED_VALUE"""),"Orlando Magic")</f>
        <v>Orlando Magic</v>
      </c>
      <c r="D230" t="str">
        <f>IFERROR(__xludf.DUMMYFUNCTION("""COMPUTED_VALUE"""),"Brooklyn Nets")</f>
        <v>Brooklyn Nets</v>
      </c>
    </row>
    <row r="231">
      <c r="A231" s="17" t="s">
        <v>319</v>
      </c>
      <c r="B231" s="19">
        <f>IFERROR(__xludf.DUMMYFUNCTION("IFERROR(SPLIT(A231,"",""),"""")"),46346.0)</f>
        <v>46346</v>
      </c>
      <c r="C231" t="str">
        <f>IFERROR(__xludf.DUMMYFUNCTION("""COMPUTED_VALUE"""),"Indiana Pacers")</f>
        <v>Indiana Pacers</v>
      </c>
      <c r="D231" t="str">
        <f>IFERROR(__xludf.DUMMYFUNCTION("""COMPUTED_VALUE"""),"Cleveland Cavaliers")</f>
        <v>Cleveland Cavaliers</v>
      </c>
    </row>
    <row r="232">
      <c r="A232" s="17" t="s">
        <v>320</v>
      </c>
      <c r="B232" s="19">
        <f>IFERROR(__xludf.DUMMYFUNCTION("IFERROR(SPLIT(A232,"",""),"""")"),46346.0)</f>
        <v>46346</v>
      </c>
      <c r="C232" t="str">
        <f>IFERROR(__xludf.DUMMYFUNCTION("""COMPUTED_VALUE"""),"Toronto Raptors")</f>
        <v>Toronto Raptors</v>
      </c>
      <c r="D232" t="str">
        <f>IFERROR(__xludf.DUMMYFUNCTION("""COMPUTED_VALUE"""),"Detroit Pistons")</f>
        <v>Detroit Pistons</v>
      </c>
    </row>
    <row r="233">
      <c r="A233" s="17" t="s">
        <v>321</v>
      </c>
      <c r="B233" s="19">
        <f>IFERROR(__xludf.DUMMYFUNCTION("IFERROR(SPLIT(A233,"",""),"""")"),46346.0)</f>
        <v>46346</v>
      </c>
      <c r="C233" t="str">
        <f>IFERROR(__xludf.DUMMYFUNCTION("""COMPUTED_VALUE"""),"Washington Wizards")</f>
        <v>Washington Wizards</v>
      </c>
      <c r="D233" t="str">
        <f>IFERROR(__xludf.DUMMYFUNCTION("""COMPUTED_VALUE"""),"Chicago Bulls")</f>
        <v>Chicago Bulls</v>
      </c>
    </row>
    <row r="234">
      <c r="A234" s="17" t="s">
        <v>322</v>
      </c>
      <c r="B234" s="19">
        <f>IFERROR(__xludf.DUMMYFUNCTION("IFERROR(SPLIT(A234,"",""),"""")"),46346.0)</f>
        <v>46346</v>
      </c>
      <c r="C234" t="str">
        <f>IFERROR(__xludf.DUMMYFUNCTION("""COMPUTED_VALUE"""),"New Orleans Pelicans")</f>
        <v>New Orleans Pelicans</v>
      </c>
      <c r="D234" t="str">
        <f>IFERROR(__xludf.DUMMYFUNCTION("""COMPUTED_VALUE"""),"Oklahoma City Thunder")</f>
        <v>Oklahoma City Thunder</v>
      </c>
    </row>
    <row r="235">
      <c r="A235" s="17" t="s">
        <v>323</v>
      </c>
      <c r="B235" s="19">
        <f>IFERROR(__xludf.DUMMYFUNCTION("IFERROR(SPLIT(A235,"",""),"""")"),46346.0)</f>
        <v>46346</v>
      </c>
      <c r="C235" t="str">
        <f>IFERROR(__xludf.DUMMYFUNCTION("""COMPUTED_VALUE"""),"Phoenix Suns")</f>
        <v>Phoenix Suns</v>
      </c>
      <c r="D235" t="str">
        <f>IFERROR(__xludf.DUMMYFUNCTION("""COMPUTED_VALUE"""),"Utah Jazz")</f>
        <v>Utah Jazz</v>
      </c>
    </row>
    <row r="236">
      <c r="A236" s="17" t="s">
        <v>324</v>
      </c>
      <c r="B236" s="19">
        <f>IFERROR(__xludf.DUMMYFUNCTION("IFERROR(SPLIT(A236,"",""),"""")"),46346.0)</f>
        <v>46346</v>
      </c>
      <c r="C236" t="str">
        <f>IFERROR(__xludf.DUMMYFUNCTION("""COMPUTED_VALUE"""),"Houston Rockets")</f>
        <v>Houston Rockets</v>
      </c>
      <c r="D236" t="str">
        <f>IFERROR(__xludf.DUMMYFUNCTION("""COMPUTED_VALUE"""),"Denver Nuggets")</f>
        <v>Denver Nuggets</v>
      </c>
    </row>
    <row r="237">
      <c r="A237" s="17" t="s">
        <v>325</v>
      </c>
      <c r="B237" s="19">
        <f>IFERROR(__xludf.DUMMYFUNCTION("IFERROR(SPLIT(A237,"",""),"""")"),46346.0)</f>
        <v>46346</v>
      </c>
      <c r="C237" t="str">
        <f>IFERROR(__xludf.DUMMYFUNCTION("""COMPUTED_VALUE"""),"Sacramento Kings")</f>
        <v>Sacramento Kings</v>
      </c>
      <c r="D237" t="str">
        <f>IFERROR(__xludf.DUMMYFUNCTION("""COMPUTED_VALUE"""),"Los Angeles Lakers")</f>
        <v>Los Angeles Lakers</v>
      </c>
    </row>
    <row r="238">
      <c r="A238" s="17" t="s">
        <v>326</v>
      </c>
      <c r="B238" s="19">
        <f>IFERROR(__xludf.DUMMYFUNCTION("IFERROR(SPLIT(A238,"",""),"""")"),46347.0)</f>
        <v>46347</v>
      </c>
      <c r="C238" t="str">
        <f>IFERROR(__xludf.DUMMYFUNCTION("""COMPUTED_VALUE"""),"Milwaukee Bucks")</f>
        <v>Milwaukee Bucks</v>
      </c>
      <c r="D238" t="str">
        <f>IFERROR(__xludf.DUMMYFUNCTION("""COMPUTED_VALUE"""),"Philadelphia 76ers")</f>
        <v>Philadelphia 76ers</v>
      </c>
    </row>
    <row r="239">
      <c r="A239" s="17" t="s">
        <v>327</v>
      </c>
      <c r="B239" s="19">
        <f>IFERROR(__xludf.DUMMYFUNCTION("IFERROR(SPLIT(A239,"",""),"""")"),46347.0)</f>
        <v>46347</v>
      </c>
      <c r="C239" t="str">
        <f>IFERROR(__xludf.DUMMYFUNCTION("""COMPUTED_VALUE"""),"Portland Trail Blazers")</f>
        <v>Portland Trail Blazers</v>
      </c>
      <c r="D239" t="str">
        <f>IFERROR(__xludf.DUMMYFUNCTION("""COMPUTED_VALUE"""),"New York Knicks")</f>
        <v>New York Knicks</v>
      </c>
    </row>
    <row r="240">
      <c r="A240" s="17" t="s">
        <v>328</v>
      </c>
      <c r="B240" s="19">
        <f>IFERROR(__xludf.DUMMYFUNCTION("IFERROR(SPLIT(A240,"",""),"""")"),46347.0)</f>
        <v>46347</v>
      </c>
      <c r="C240" t="str">
        <f>IFERROR(__xludf.DUMMYFUNCTION("""COMPUTED_VALUE"""),"Los Angeles Clippers")</f>
        <v>Los Angeles Clippers</v>
      </c>
      <c r="D240" t="str">
        <f>IFERROR(__xludf.DUMMYFUNCTION("""COMPUTED_VALUE"""),"Dallas Mavericks")</f>
        <v>Dallas Mavericks</v>
      </c>
    </row>
    <row r="241">
      <c r="A241" s="17" t="s">
        <v>329</v>
      </c>
      <c r="B241" s="19">
        <f>IFERROR(__xludf.DUMMYFUNCTION("IFERROR(SPLIT(A241,"",""),"""")"),46347.0)</f>
        <v>46347</v>
      </c>
      <c r="C241" t="str">
        <f>IFERROR(__xludf.DUMMYFUNCTION("""COMPUTED_VALUE"""),"Memphis Grizzlies")</f>
        <v>Memphis Grizzlies</v>
      </c>
      <c r="D241" t="str">
        <f>IFERROR(__xludf.DUMMYFUNCTION("""COMPUTED_VALUE"""),"Minnesota Timberwolves")</f>
        <v>Minnesota Timberwolves</v>
      </c>
    </row>
    <row r="242">
      <c r="A242" s="17" t="s">
        <v>330</v>
      </c>
      <c r="B242" s="19">
        <f>IFERROR(__xludf.DUMMYFUNCTION("IFERROR(SPLIT(A242,"",""),"""")"),46347.0)</f>
        <v>46347</v>
      </c>
      <c r="C242" t="str">
        <f>IFERROR(__xludf.DUMMYFUNCTION("""COMPUTED_VALUE"""),"New Orleans Pelicans")</f>
        <v>New Orleans Pelicans</v>
      </c>
      <c r="D242" t="str">
        <f>IFERROR(__xludf.DUMMYFUNCTION("""COMPUTED_VALUE"""),"San Antonio Spurs")</f>
        <v>San Antonio Spurs</v>
      </c>
    </row>
    <row r="243">
      <c r="A243" s="17" t="s">
        <v>331</v>
      </c>
      <c r="B243" s="19">
        <f>IFERROR(__xludf.DUMMYFUNCTION("IFERROR(SPLIT(A243,"",""),"""")"),46347.0)</f>
        <v>46347</v>
      </c>
      <c r="C243" t="str">
        <f>IFERROR(__xludf.DUMMYFUNCTION("""COMPUTED_VALUE"""),"Boston Celtics")</f>
        <v>Boston Celtics</v>
      </c>
      <c r="D243" t="str">
        <f>IFERROR(__xludf.DUMMYFUNCTION("""COMPUTED_VALUE"""),"Sacramento Kings")</f>
        <v>Sacramento Kings</v>
      </c>
    </row>
    <row r="244">
      <c r="A244" s="17" t="s">
        <v>332</v>
      </c>
      <c r="B244" s="19">
        <f>IFERROR(__xludf.DUMMYFUNCTION("IFERROR(SPLIT(A244,"",""),"""")"),46348.0)</f>
        <v>46348</v>
      </c>
      <c r="C244" t="str">
        <f>IFERROR(__xludf.DUMMYFUNCTION("""COMPUTED_VALUE"""),"Detroit Pistons")</f>
        <v>Detroit Pistons</v>
      </c>
      <c r="D244" t="str">
        <f>IFERROR(__xludf.DUMMYFUNCTION("""COMPUTED_VALUE"""),"Atlanta Hawks")</f>
        <v>Atlanta Hawks</v>
      </c>
    </row>
    <row r="245">
      <c r="A245" s="17" t="s">
        <v>333</v>
      </c>
      <c r="B245" s="19">
        <f>IFERROR(__xludf.DUMMYFUNCTION("IFERROR(SPLIT(A245,"",""),"""")"),46348.0)</f>
        <v>46348</v>
      </c>
      <c r="C245" t="str">
        <f>IFERROR(__xludf.DUMMYFUNCTION("""COMPUTED_VALUE"""),"Oklahoma City Thunder")</f>
        <v>Oklahoma City Thunder</v>
      </c>
      <c r="D245" t="str">
        <f>IFERROR(__xludf.DUMMYFUNCTION("""COMPUTED_VALUE"""),"Miami Heat")</f>
        <v>Miami Heat</v>
      </c>
    </row>
    <row r="246">
      <c r="A246" s="17" t="s">
        <v>334</v>
      </c>
      <c r="B246" s="19">
        <f>IFERROR(__xludf.DUMMYFUNCTION("IFERROR(SPLIT(A246,"",""),"""")"),46348.0)</f>
        <v>46348</v>
      </c>
      <c r="C246" t="str">
        <f>IFERROR(__xludf.DUMMYFUNCTION("""COMPUTED_VALUE"""),"Denver Nuggets")</f>
        <v>Denver Nuggets</v>
      </c>
      <c r="D246" t="str">
        <f>IFERROR(__xludf.DUMMYFUNCTION("""COMPUTED_VALUE"""),"Chicago Bulls")</f>
        <v>Chicago Bulls</v>
      </c>
    </row>
    <row r="247">
      <c r="A247" s="17" t="s">
        <v>335</v>
      </c>
      <c r="B247" s="19">
        <f>IFERROR(__xludf.DUMMYFUNCTION("IFERROR(SPLIT(A247,"",""),"""")"),46348.0)</f>
        <v>46348</v>
      </c>
      <c r="C247" t="str">
        <f>IFERROR(__xludf.DUMMYFUNCTION("""COMPUTED_VALUE"""),"Dallas Mavericks")</f>
        <v>Dallas Mavericks</v>
      </c>
      <c r="D247" t="str">
        <f>IFERROR(__xludf.DUMMYFUNCTION("""COMPUTED_VALUE"""),"Utah Jazz")</f>
        <v>Utah Jazz</v>
      </c>
    </row>
    <row r="248">
      <c r="A248" s="17" t="s">
        <v>336</v>
      </c>
      <c r="B248" s="19">
        <f>IFERROR(__xludf.DUMMYFUNCTION("IFERROR(SPLIT(A248,"",""),"""")"),46348.0)</f>
        <v>46348</v>
      </c>
      <c r="C248" t="str">
        <f>IFERROR(__xludf.DUMMYFUNCTION("""COMPUTED_VALUE"""),"Orlando Magic")</f>
        <v>Orlando Magic</v>
      </c>
      <c r="D248" t="str">
        <f>IFERROR(__xludf.DUMMYFUNCTION("""COMPUTED_VALUE"""),"Washington Wizards")</f>
        <v>Washington Wizards</v>
      </c>
    </row>
    <row r="249">
      <c r="A249" s="17" t="s">
        <v>337</v>
      </c>
      <c r="B249" s="19">
        <f>IFERROR(__xludf.DUMMYFUNCTION("IFERROR(SPLIT(A249,"",""),"""")"),46348.0)</f>
        <v>46348</v>
      </c>
      <c r="C249" t="str">
        <f>IFERROR(__xludf.DUMMYFUNCTION("""COMPUTED_VALUE"""),"Indiana Pacers")</f>
        <v>Indiana Pacers</v>
      </c>
      <c r="D249" t="str">
        <f>IFERROR(__xludf.DUMMYFUNCTION("""COMPUTED_VALUE"""),"New York Knicks")</f>
        <v>New York Knicks</v>
      </c>
    </row>
    <row r="250">
      <c r="A250" s="17" t="s">
        <v>338</v>
      </c>
      <c r="B250" s="19">
        <f>IFERROR(__xludf.DUMMYFUNCTION("IFERROR(SPLIT(A250,"",""),"""")"),46348.0)</f>
        <v>46348</v>
      </c>
      <c r="C250" t="str">
        <f>IFERROR(__xludf.DUMMYFUNCTION("""COMPUTED_VALUE"""),"Boston Celtics")</f>
        <v>Boston Celtics</v>
      </c>
      <c r="D250" t="str">
        <f>IFERROR(__xludf.DUMMYFUNCTION("""COMPUTED_VALUE"""),"Golden State Warriors")</f>
        <v>Golden State Warriors</v>
      </c>
    </row>
    <row r="251">
      <c r="A251" s="17" t="s">
        <v>339</v>
      </c>
      <c r="B251" s="19">
        <f>IFERROR(__xludf.DUMMYFUNCTION("IFERROR(SPLIT(A251,"",""),"""")"),46349.0)</f>
        <v>46349</v>
      </c>
      <c r="C251" t="str">
        <f>IFERROR(__xludf.DUMMYFUNCTION("""COMPUTED_VALUE"""),"Memphis Grizzlies")</f>
        <v>Memphis Grizzlies</v>
      </c>
      <c r="D251" t="str">
        <f>IFERROR(__xludf.DUMMYFUNCTION("""COMPUTED_VALUE"""),"Charlotte Hornets")</f>
        <v>Charlotte Hornets</v>
      </c>
    </row>
    <row r="252">
      <c r="A252" s="17" t="s">
        <v>340</v>
      </c>
      <c r="B252" s="19">
        <f>IFERROR(__xludf.DUMMYFUNCTION("IFERROR(SPLIT(A252,"",""),"""")"),46349.0)</f>
        <v>46349</v>
      </c>
      <c r="C252" t="str">
        <f>IFERROR(__xludf.DUMMYFUNCTION("""COMPUTED_VALUE"""),"Portland Trail Blazers")</f>
        <v>Portland Trail Blazers</v>
      </c>
      <c r="D252" t="str">
        <f>IFERROR(__xludf.DUMMYFUNCTION("""COMPUTED_VALUE"""),"Philadelphia 76ers")</f>
        <v>Philadelphia 76ers</v>
      </c>
    </row>
    <row r="253">
      <c r="A253" s="17" t="s">
        <v>341</v>
      </c>
      <c r="B253" s="19">
        <f>IFERROR(__xludf.DUMMYFUNCTION("IFERROR(SPLIT(A253,"",""),"""")"),46349.0)</f>
        <v>46349</v>
      </c>
      <c r="C253" t="str">
        <f>IFERROR(__xludf.DUMMYFUNCTION("""COMPUTED_VALUE"""),"Oklahoma City Thunder")</f>
        <v>Oklahoma City Thunder</v>
      </c>
      <c r="D253" t="str">
        <f>IFERROR(__xludf.DUMMYFUNCTION("""COMPUTED_VALUE"""),"Indiana Pacers")</f>
        <v>Indiana Pacers</v>
      </c>
    </row>
    <row r="254">
      <c r="A254" s="17" t="s">
        <v>342</v>
      </c>
      <c r="B254" s="19">
        <f>IFERROR(__xludf.DUMMYFUNCTION("IFERROR(SPLIT(A254,"",""),"""")"),46349.0)</f>
        <v>46349</v>
      </c>
      <c r="C254" t="str">
        <f>IFERROR(__xludf.DUMMYFUNCTION("""COMPUTED_VALUE"""),"Brooklyn Nets")</f>
        <v>Brooklyn Nets</v>
      </c>
      <c r="D254" t="str">
        <f>IFERROR(__xludf.DUMMYFUNCTION("""COMPUTED_VALUE"""),"Minnesota Timberwolves")</f>
        <v>Minnesota Timberwolves</v>
      </c>
    </row>
    <row r="255">
      <c r="A255" s="17" t="s">
        <v>343</v>
      </c>
      <c r="B255" s="19">
        <f>IFERROR(__xludf.DUMMYFUNCTION("IFERROR(SPLIT(A255,"",""),"""")"),46349.0)</f>
        <v>46349</v>
      </c>
      <c r="C255" t="str">
        <f>IFERROR(__xludf.DUMMYFUNCTION("""COMPUTED_VALUE"""),"Milwaukee Bucks")</f>
        <v>Milwaukee Bucks</v>
      </c>
      <c r="D255" t="str">
        <f>IFERROR(__xludf.DUMMYFUNCTION("""COMPUTED_VALUE"""),"Toronto Raptors")</f>
        <v>Toronto Raptors</v>
      </c>
    </row>
    <row r="256">
      <c r="A256" s="17" t="s">
        <v>344</v>
      </c>
      <c r="B256" s="19">
        <f>IFERROR(__xludf.DUMMYFUNCTION("IFERROR(SPLIT(A256,"",""),"""")"),46349.0)</f>
        <v>46349</v>
      </c>
      <c r="C256" t="str">
        <f>IFERROR(__xludf.DUMMYFUNCTION("""COMPUTED_VALUE"""),"Cleveland Cavaliers")</f>
        <v>Cleveland Cavaliers</v>
      </c>
      <c r="D256" t="str">
        <f>IFERROR(__xludf.DUMMYFUNCTION("""COMPUTED_VALUE"""),"Chicago Bulls")</f>
        <v>Chicago Bulls</v>
      </c>
    </row>
    <row r="257">
      <c r="A257" s="17" t="s">
        <v>345</v>
      </c>
      <c r="B257" s="19">
        <f>IFERROR(__xludf.DUMMYFUNCTION("IFERROR(SPLIT(A257,"",""),"""")"),46349.0)</f>
        <v>46349</v>
      </c>
      <c r="C257" t="str">
        <f>IFERROR(__xludf.DUMMYFUNCTION("""COMPUTED_VALUE"""),"Phoenix Suns")</f>
        <v>Phoenix Suns</v>
      </c>
      <c r="D257" t="str">
        <f>IFERROR(__xludf.DUMMYFUNCTION("""COMPUTED_VALUE"""),"New Orleans Pelicans")</f>
        <v>New Orleans Pelicans</v>
      </c>
    </row>
    <row r="258">
      <c r="A258" s="17" t="s">
        <v>346</v>
      </c>
      <c r="B258" s="19">
        <f>IFERROR(__xludf.DUMMYFUNCTION("IFERROR(SPLIT(A258,"",""),"""")"),46349.0)</f>
        <v>46349</v>
      </c>
      <c r="C258" t="str">
        <f>IFERROR(__xludf.DUMMYFUNCTION("""COMPUTED_VALUE"""),"Los Angeles Clippers")</f>
        <v>Los Angeles Clippers</v>
      </c>
      <c r="D258" t="str">
        <f>IFERROR(__xludf.DUMMYFUNCTION("""COMPUTED_VALUE"""),"Houston Rockets")</f>
        <v>Houston Rockets</v>
      </c>
    </row>
    <row r="259">
      <c r="A259" s="17" t="s">
        <v>347</v>
      </c>
      <c r="B259" s="19">
        <f>IFERROR(__xludf.DUMMYFUNCTION("IFERROR(SPLIT(A259,"",""),"""")"),46349.0)</f>
        <v>46349</v>
      </c>
      <c r="C259" t="str">
        <f>IFERROR(__xludf.DUMMYFUNCTION("""COMPUTED_VALUE"""),"Utah Jazz")</f>
        <v>Utah Jazz</v>
      </c>
      <c r="D259" t="str">
        <f>IFERROR(__xludf.DUMMYFUNCTION("""COMPUTED_VALUE"""),"Los Angeles Lakers")</f>
        <v>Los Angeles Lakers</v>
      </c>
    </row>
    <row r="260">
      <c r="A260" s="17" t="s">
        <v>348</v>
      </c>
      <c r="B260" s="19">
        <f>IFERROR(__xludf.DUMMYFUNCTION("IFERROR(SPLIT(A260,"",""),"""")"),46349.0)</f>
        <v>46349</v>
      </c>
      <c r="C260" t="str">
        <f>IFERROR(__xludf.DUMMYFUNCTION("""COMPUTED_VALUE"""),"San Antonio Spurs")</f>
        <v>San Antonio Spurs</v>
      </c>
      <c r="D260" t="str">
        <f>IFERROR(__xludf.DUMMYFUNCTION("""COMPUTED_VALUE"""),"Sacramento Kings")</f>
        <v>Sacramento Kings</v>
      </c>
    </row>
    <row r="261">
      <c r="A261" s="17" t="s">
        <v>349</v>
      </c>
      <c r="B261" s="19">
        <f>IFERROR(__xludf.DUMMYFUNCTION("IFERROR(SPLIT(A261,"",""),"""")"),46350.0)</f>
        <v>46350</v>
      </c>
      <c r="C261" t="str">
        <f>IFERROR(__xludf.DUMMYFUNCTION("""COMPUTED_VALUE"""),"Detroit Pistons")</f>
        <v>Detroit Pistons</v>
      </c>
      <c r="D261" t="str">
        <f>IFERROR(__xludf.DUMMYFUNCTION("""COMPUTED_VALUE"""),"Orlando Magic")</f>
        <v>Orlando Magic</v>
      </c>
    </row>
    <row r="262">
      <c r="A262" s="17" t="s">
        <v>350</v>
      </c>
      <c r="B262" s="19">
        <f>IFERROR(__xludf.DUMMYFUNCTION("IFERROR(SPLIT(A262,"",""),"""")"),46350.0)</f>
        <v>46350</v>
      </c>
      <c r="C262" t="str">
        <f>IFERROR(__xludf.DUMMYFUNCTION("""COMPUTED_VALUE"""),"Boston Celtics")</f>
        <v>Boston Celtics</v>
      </c>
      <c r="D262" t="str">
        <f>IFERROR(__xludf.DUMMYFUNCTION("""COMPUTED_VALUE"""),"Washington Wizards")</f>
        <v>Washington Wizards</v>
      </c>
    </row>
    <row r="263">
      <c r="A263" s="17" t="s">
        <v>351</v>
      </c>
      <c r="B263" s="19">
        <f>IFERROR(__xludf.DUMMYFUNCTION("IFERROR(SPLIT(A263,"",""),"""")"),46350.0)</f>
        <v>46350</v>
      </c>
      <c r="C263" t="str">
        <f>IFERROR(__xludf.DUMMYFUNCTION("""COMPUTED_VALUE"""),"Dallas Mavericks")</f>
        <v>Dallas Mavericks</v>
      </c>
      <c r="D263" t="str">
        <f>IFERROR(__xludf.DUMMYFUNCTION("""COMPUTED_VALUE"""),"Denver Nuggets")</f>
        <v>Denver Nuggets</v>
      </c>
    </row>
    <row r="264">
      <c r="A264" s="17" t="s">
        <v>352</v>
      </c>
      <c r="B264" s="19">
        <f>IFERROR(__xludf.DUMMYFUNCTION("IFERROR(SPLIT(A264,"",""),"""")"),46351.0)</f>
        <v>46351</v>
      </c>
      <c r="C264" t="str">
        <f>IFERROR(__xludf.DUMMYFUNCTION("""COMPUTED_VALUE"""),"Miami Heat")</f>
        <v>Miami Heat</v>
      </c>
      <c r="D264" t="str">
        <f>IFERROR(__xludf.DUMMYFUNCTION("""COMPUTED_VALUE"""),"Philadelphia 76ers")</f>
        <v>Philadelphia 76ers</v>
      </c>
    </row>
    <row r="265">
      <c r="A265" s="17" t="s">
        <v>353</v>
      </c>
      <c r="B265" s="19">
        <f>IFERROR(__xludf.DUMMYFUNCTION("IFERROR(SPLIT(A265,"",""),"""")"),46351.0)</f>
        <v>46351</v>
      </c>
      <c r="C265" t="str">
        <f>IFERROR(__xludf.DUMMYFUNCTION("""COMPUTED_VALUE"""),"Chicago Bulls")</f>
        <v>Chicago Bulls</v>
      </c>
      <c r="D265" t="str">
        <f>IFERROR(__xludf.DUMMYFUNCTION("""COMPUTED_VALUE"""),"Charlotte Hornets")</f>
        <v>Charlotte Hornets</v>
      </c>
    </row>
    <row r="266">
      <c r="A266" s="17" t="s">
        <v>354</v>
      </c>
      <c r="B266" s="19">
        <f>IFERROR(__xludf.DUMMYFUNCTION("IFERROR(SPLIT(A266,"",""),"""")"),46351.0)</f>
        <v>46351</v>
      </c>
      <c r="C266" t="str">
        <f>IFERROR(__xludf.DUMMYFUNCTION("""COMPUTED_VALUE"""),"Cleveland Cavaliers")</f>
        <v>Cleveland Cavaliers</v>
      </c>
      <c r="D266" t="str">
        <f>IFERROR(__xludf.DUMMYFUNCTION("""COMPUTED_VALUE"""),"New York Knicks")</f>
        <v>New York Knicks</v>
      </c>
    </row>
    <row r="267">
      <c r="A267" s="17" t="s">
        <v>355</v>
      </c>
      <c r="B267" s="19">
        <f>IFERROR(__xludf.DUMMYFUNCTION("IFERROR(SPLIT(A267,"",""),"""")"),46351.0)</f>
        <v>46351</v>
      </c>
      <c r="C267" t="str">
        <f>IFERROR(__xludf.DUMMYFUNCTION("""COMPUTED_VALUE"""),"Minnesota Timberwolves")</f>
        <v>Minnesota Timberwolves</v>
      </c>
      <c r="D267" t="str">
        <f>IFERROR(__xludf.DUMMYFUNCTION("""COMPUTED_VALUE"""),"Oklahoma City Thunder")</f>
        <v>Oklahoma City Thunder</v>
      </c>
    </row>
    <row r="268">
      <c r="A268" s="17" t="s">
        <v>356</v>
      </c>
      <c r="B268" s="19">
        <f>IFERROR(__xludf.DUMMYFUNCTION("IFERROR(SPLIT(A268,"",""),"""")"),46351.0)</f>
        <v>46351</v>
      </c>
      <c r="C268" t="str">
        <f>IFERROR(__xludf.DUMMYFUNCTION("""COMPUTED_VALUE"""),"Los Angeles Clippers")</f>
        <v>Los Angeles Clippers</v>
      </c>
      <c r="D268" t="str">
        <f>IFERROR(__xludf.DUMMYFUNCTION("""COMPUTED_VALUE"""),"Memphis Grizzlies")</f>
        <v>Memphis Grizzlies</v>
      </c>
    </row>
    <row r="269">
      <c r="A269" s="17" t="s">
        <v>357</v>
      </c>
      <c r="B269" s="19">
        <f>IFERROR(__xludf.DUMMYFUNCTION("IFERROR(SPLIT(A269,"",""),"""")"),46351.0)</f>
        <v>46351</v>
      </c>
      <c r="C269" t="str">
        <f>IFERROR(__xludf.DUMMYFUNCTION("""COMPUTED_VALUE"""),"Brooklyn Nets")</f>
        <v>Brooklyn Nets</v>
      </c>
      <c r="D269" t="str">
        <f>IFERROR(__xludf.DUMMYFUNCTION("""COMPUTED_VALUE"""),"Milwaukee Bucks")</f>
        <v>Milwaukee Bucks</v>
      </c>
    </row>
    <row r="270">
      <c r="A270" s="17" t="s">
        <v>358</v>
      </c>
      <c r="B270" s="19">
        <f>IFERROR(__xludf.DUMMYFUNCTION("IFERROR(SPLIT(A270,"",""),"""")"),46351.0)</f>
        <v>46351</v>
      </c>
      <c r="C270" t="str">
        <f>IFERROR(__xludf.DUMMYFUNCTION("""COMPUTED_VALUE"""),"Phoenix Suns")</f>
        <v>Phoenix Suns</v>
      </c>
      <c r="D270" t="str">
        <f>IFERROR(__xludf.DUMMYFUNCTION("""COMPUTED_VALUE"""),"Houston Rockets")</f>
        <v>Houston Rockets</v>
      </c>
    </row>
    <row r="271">
      <c r="A271" s="17" t="s">
        <v>359</v>
      </c>
      <c r="B271" s="19">
        <f>IFERROR(__xludf.DUMMYFUNCTION("IFERROR(SPLIT(A271,"",""),"""")"),46351.0)</f>
        <v>46351</v>
      </c>
      <c r="C271" t="str">
        <f>IFERROR(__xludf.DUMMYFUNCTION("""COMPUTED_VALUE"""),"Sacramento Kings")</f>
        <v>Sacramento Kings</v>
      </c>
      <c r="D271" t="str">
        <f>IFERROR(__xludf.DUMMYFUNCTION("""COMPUTED_VALUE"""),"Golden State Warriors")</f>
        <v>Golden State Warriors</v>
      </c>
    </row>
    <row r="272">
      <c r="A272" s="17" t="s">
        <v>360</v>
      </c>
      <c r="B272" s="19">
        <f>IFERROR(__xludf.DUMMYFUNCTION("IFERROR(SPLIT(A272,"",""),"""")"),46351.0)</f>
        <v>46351</v>
      </c>
      <c r="C272" t="str">
        <f>IFERROR(__xludf.DUMMYFUNCTION("""COMPUTED_VALUE"""),"San Antonio Spurs")</f>
        <v>San Antonio Spurs</v>
      </c>
      <c r="D272" t="str">
        <f>IFERROR(__xludf.DUMMYFUNCTION("""COMPUTED_VALUE"""),"Portland Trail Blazers")</f>
        <v>Portland Trail Blazers</v>
      </c>
    </row>
    <row r="273">
      <c r="A273" s="17" t="s">
        <v>361</v>
      </c>
      <c r="B273" s="19">
        <f>IFERROR(__xludf.DUMMYFUNCTION("IFERROR(SPLIT(A273,"",""),"""")"),46353.0)</f>
        <v>46353</v>
      </c>
      <c r="C273" t="str">
        <f>IFERROR(__xludf.DUMMYFUNCTION("""COMPUTED_VALUE"""),"Miami Heat")</f>
        <v>Miami Heat</v>
      </c>
      <c r="D273" t="str">
        <f>IFERROR(__xludf.DUMMYFUNCTION("""COMPUTED_VALUE"""),"New York Knicks")</f>
        <v>New York Knicks</v>
      </c>
    </row>
    <row r="274">
      <c r="A274" s="17" t="s">
        <v>362</v>
      </c>
      <c r="B274" s="19">
        <f>IFERROR(__xludf.DUMMYFUNCTION("IFERROR(SPLIT(A274,"",""),"""")"),46353.0)</f>
        <v>46353</v>
      </c>
      <c r="C274" t="str">
        <f>IFERROR(__xludf.DUMMYFUNCTION("""COMPUTED_VALUE"""),"Milwaukee Bucks")</f>
        <v>Milwaukee Bucks</v>
      </c>
      <c r="D274" t="str">
        <f>IFERROR(__xludf.DUMMYFUNCTION("""COMPUTED_VALUE"""),"Detroit Pistons")</f>
        <v>Detroit Pistons</v>
      </c>
    </row>
    <row r="275">
      <c r="A275" s="17" t="s">
        <v>363</v>
      </c>
      <c r="B275" s="19">
        <f>IFERROR(__xludf.DUMMYFUNCTION("IFERROR(SPLIT(A275,"",""),"""")"),46353.0)</f>
        <v>46353</v>
      </c>
      <c r="C275" t="str">
        <f>IFERROR(__xludf.DUMMYFUNCTION("""COMPUTED_VALUE"""),"Philadelphia 76ers")</f>
        <v>Philadelphia 76ers</v>
      </c>
      <c r="D275" t="str">
        <f>IFERROR(__xludf.DUMMYFUNCTION("""COMPUTED_VALUE"""),"Indiana Pacers")</f>
        <v>Indiana Pacers</v>
      </c>
    </row>
    <row r="276">
      <c r="A276" s="17" t="s">
        <v>364</v>
      </c>
      <c r="B276" s="19">
        <f>IFERROR(__xludf.DUMMYFUNCTION("IFERROR(SPLIT(A276,"",""),"""")"),46353.0)</f>
        <v>46353</v>
      </c>
      <c r="C276" t="str">
        <f>IFERROR(__xludf.DUMMYFUNCTION("""COMPUTED_VALUE"""),"Brooklyn Nets")</f>
        <v>Brooklyn Nets</v>
      </c>
      <c r="D276" t="str">
        <f>IFERROR(__xludf.DUMMYFUNCTION("""COMPUTED_VALUE"""),"Toronto Raptors")</f>
        <v>Toronto Raptors</v>
      </c>
    </row>
    <row r="277">
      <c r="A277" s="17" t="s">
        <v>365</v>
      </c>
      <c r="B277" s="19">
        <f>IFERROR(__xludf.DUMMYFUNCTION("IFERROR(SPLIT(A277,"",""),"""")"),46353.0)</f>
        <v>46353</v>
      </c>
      <c r="C277" t="str">
        <f>IFERROR(__xludf.DUMMYFUNCTION("""COMPUTED_VALUE"""),"Atlanta Hawks")</f>
        <v>Atlanta Hawks</v>
      </c>
      <c r="D277" t="str">
        <f>IFERROR(__xludf.DUMMYFUNCTION("""COMPUTED_VALUE"""),"Boston Celtics")</f>
        <v>Boston Celtics</v>
      </c>
    </row>
    <row r="278">
      <c r="A278" s="17" t="s">
        <v>366</v>
      </c>
      <c r="B278" s="19">
        <f>IFERROR(__xludf.DUMMYFUNCTION("IFERROR(SPLIT(A278,"",""),"""")"),46353.0)</f>
        <v>46353</v>
      </c>
      <c r="C278" t="str">
        <f>IFERROR(__xludf.DUMMYFUNCTION("""COMPUTED_VALUE"""),"Memphis Grizzlies")</f>
        <v>Memphis Grizzlies</v>
      </c>
      <c r="D278" t="str">
        <f>IFERROR(__xludf.DUMMYFUNCTION("""COMPUTED_VALUE"""),"Minnesota Timberwolves")</f>
        <v>Minnesota Timberwolves</v>
      </c>
    </row>
    <row r="279">
      <c r="A279" s="17" t="s">
        <v>367</v>
      </c>
      <c r="B279" s="19">
        <f>IFERROR(__xludf.DUMMYFUNCTION("IFERROR(SPLIT(A279,"",""),"""")"),46353.0)</f>
        <v>46353</v>
      </c>
      <c r="C279" t="str">
        <f>IFERROR(__xludf.DUMMYFUNCTION("""COMPUTED_VALUE"""),"Dallas Mavericks")</f>
        <v>Dallas Mavericks</v>
      </c>
      <c r="D279" t="str">
        <f>IFERROR(__xludf.DUMMYFUNCTION("""COMPUTED_VALUE"""),"Phoenix Suns")</f>
        <v>Phoenix Suns</v>
      </c>
    </row>
    <row r="280">
      <c r="A280" s="17" t="s">
        <v>368</v>
      </c>
      <c r="B280" s="19">
        <f>IFERROR(__xludf.DUMMYFUNCTION("IFERROR(SPLIT(A280,"",""),"""")"),46353.0)</f>
        <v>46353</v>
      </c>
      <c r="C280" t="str">
        <f>IFERROR(__xludf.DUMMYFUNCTION("""COMPUTED_VALUE"""),"New Orleans Pelicans")</f>
        <v>New Orleans Pelicans</v>
      </c>
      <c r="D280" t="str">
        <f>IFERROR(__xludf.DUMMYFUNCTION("""COMPUTED_VALUE"""),"Los Angeles Clippers")</f>
        <v>Los Angeles Clippers</v>
      </c>
    </row>
    <row r="281">
      <c r="A281" s="17" t="s">
        <v>369</v>
      </c>
      <c r="B281" s="19">
        <f>IFERROR(__xludf.DUMMYFUNCTION("IFERROR(SPLIT(A281,"",""),"""")"),46353.0)</f>
        <v>46353</v>
      </c>
      <c r="C281" t="str">
        <f>IFERROR(__xludf.DUMMYFUNCTION("""COMPUTED_VALUE"""),"Golden State Warriors")</f>
        <v>Golden State Warriors</v>
      </c>
      <c r="D281" t="str">
        <f>IFERROR(__xludf.DUMMYFUNCTION("""COMPUTED_VALUE"""),"Portland Trail Blazers")</f>
        <v>Portland Trail Blazers</v>
      </c>
    </row>
    <row r="282">
      <c r="A282" s="17" t="s">
        <v>370</v>
      </c>
      <c r="B282" s="19">
        <f>IFERROR(__xludf.DUMMYFUNCTION("IFERROR(SPLIT(A282,"",""),"""")"),46353.0)</f>
        <v>46353</v>
      </c>
      <c r="C282" t="str">
        <f>IFERROR(__xludf.DUMMYFUNCTION("""COMPUTED_VALUE"""),"Los Angeles Lakers")</f>
        <v>Los Angeles Lakers</v>
      </c>
      <c r="D282" t="str">
        <f>IFERROR(__xludf.DUMMYFUNCTION("""COMPUTED_VALUE"""),"San Antonio Spurs")</f>
        <v>San Antonio Spurs</v>
      </c>
    </row>
    <row r="283">
      <c r="A283" s="17" t="s">
        <v>371</v>
      </c>
      <c r="B283" s="19">
        <f>IFERROR(__xludf.DUMMYFUNCTION("IFERROR(SPLIT(A283,"",""),"""")"),46353.0)</f>
        <v>46353</v>
      </c>
      <c r="C283" t="str">
        <f>IFERROR(__xludf.DUMMYFUNCTION("""COMPUTED_VALUE"""),"Denver Nuggets")</f>
        <v>Denver Nuggets</v>
      </c>
      <c r="D283" t="str">
        <f>IFERROR(__xludf.DUMMYFUNCTION("""COMPUTED_VALUE"""),"Utah Jazz")</f>
        <v>Utah Jazz</v>
      </c>
    </row>
    <row r="284">
      <c r="A284" s="17" t="s">
        <v>372</v>
      </c>
      <c r="B284" s="19">
        <f>IFERROR(__xludf.DUMMYFUNCTION("IFERROR(SPLIT(A284,"",""),"""")"),46354.0)</f>
        <v>46354</v>
      </c>
      <c r="C284" t="str">
        <f>IFERROR(__xludf.DUMMYFUNCTION("""COMPUTED_VALUE"""),"Orlando Magic")</f>
        <v>Orlando Magic</v>
      </c>
      <c r="D284" t="str">
        <f>IFERROR(__xludf.DUMMYFUNCTION("""COMPUTED_VALUE"""),"Washington Wizards")</f>
        <v>Washington Wizards</v>
      </c>
    </row>
    <row r="285">
      <c r="A285" s="17" t="s">
        <v>373</v>
      </c>
      <c r="B285" s="19">
        <f>IFERROR(__xludf.DUMMYFUNCTION("IFERROR(SPLIT(A285,"",""),"""")"),46354.0)</f>
        <v>46354</v>
      </c>
      <c r="C285" t="str">
        <f>IFERROR(__xludf.DUMMYFUNCTION("""COMPUTED_VALUE"""),"Brooklyn Nets")</f>
        <v>Brooklyn Nets</v>
      </c>
      <c r="D285" t="str">
        <f>IFERROR(__xludf.DUMMYFUNCTION("""COMPUTED_VALUE"""),"Charlotte Hornets")</f>
        <v>Charlotte Hornets</v>
      </c>
    </row>
    <row r="286">
      <c r="A286" s="17" t="s">
        <v>374</v>
      </c>
      <c r="B286" s="19">
        <f>IFERROR(__xludf.DUMMYFUNCTION("IFERROR(SPLIT(A286,"",""),"""")"),46354.0)</f>
        <v>46354</v>
      </c>
      <c r="C286" t="str">
        <f>IFERROR(__xludf.DUMMYFUNCTION("""COMPUTED_VALUE"""),"Indiana Pacers")</f>
        <v>Indiana Pacers</v>
      </c>
      <c r="D286" t="str">
        <f>IFERROR(__xludf.DUMMYFUNCTION("""COMPUTED_VALUE"""),"Chicago Bulls")</f>
        <v>Chicago Bulls</v>
      </c>
    </row>
    <row r="287">
      <c r="A287" s="17" t="s">
        <v>375</v>
      </c>
      <c r="B287" s="19">
        <f>IFERROR(__xludf.DUMMYFUNCTION("IFERROR(SPLIT(A287,"",""),"""")"),46354.0)</f>
        <v>46354</v>
      </c>
      <c r="C287" t="str">
        <f>IFERROR(__xludf.DUMMYFUNCTION("""COMPUTED_VALUE"""),"Oklahoma City Thunder")</f>
        <v>Oklahoma City Thunder</v>
      </c>
      <c r="D287" t="str">
        <f>IFERROR(__xludf.DUMMYFUNCTION("""COMPUTED_VALUE"""),"Milwaukee Bucks")</f>
        <v>Milwaukee Bucks</v>
      </c>
    </row>
    <row r="288">
      <c r="A288" s="17" t="s">
        <v>376</v>
      </c>
      <c r="B288" s="19">
        <f>IFERROR(__xludf.DUMMYFUNCTION("IFERROR(SPLIT(A288,"",""),"""")"),46354.0)</f>
        <v>46354</v>
      </c>
      <c r="C288" t="str">
        <f>IFERROR(__xludf.DUMMYFUNCTION("""COMPUTED_VALUE"""),"Philadelphia 76ers")</f>
        <v>Philadelphia 76ers</v>
      </c>
      <c r="D288" t="str">
        <f>IFERROR(__xludf.DUMMYFUNCTION("""COMPUTED_VALUE"""),"Houston Rockets")</f>
        <v>Houston Rockets</v>
      </c>
    </row>
    <row r="289">
      <c r="A289" s="17" t="s">
        <v>377</v>
      </c>
      <c r="B289" s="19">
        <f>IFERROR(__xludf.DUMMYFUNCTION("IFERROR(SPLIT(A289,"",""),"""")"),46355.0)</f>
        <v>46355</v>
      </c>
      <c r="C289" t="str">
        <f>IFERROR(__xludf.DUMMYFUNCTION("""COMPUTED_VALUE"""),"Los Angeles Lakers")</f>
        <v>Los Angeles Lakers</v>
      </c>
      <c r="D289" t="str">
        <f>IFERROR(__xludf.DUMMYFUNCTION("""COMPUTED_VALUE"""),"Memphis Grizzlies")</f>
        <v>Memphis Grizzlies</v>
      </c>
    </row>
    <row r="290">
      <c r="A290" s="17" t="s">
        <v>378</v>
      </c>
      <c r="B290" s="19">
        <f>IFERROR(__xludf.DUMMYFUNCTION("IFERROR(SPLIT(A290,"",""),"""")"),46355.0)</f>
        <v>46355</v>
      </c>
      <c r="C290" t="str">
        <f>IFERROR(__xludf.DUMMYFUNCTION("""COMPUTED_VALUE"""),"Boston Celtics")</f>
        <v>Boston Celtics</v>
      </c>
      <c r="D290" t="str">
        <f>IFERROR(__xludf.DUMMYFUNCTION("""COMPUTED_VALUE"""),"San Antonio Spurs")</f>
        <v>San Antonio Spurs</v>
      </c>
    </row>
    <row r="291">
      <c r="A291" s="17" t="s">
        <v>379</v>
      </c>
      <c r="B291" s="19">
        <f>IFERROR(__xludf.DUMMYFUNCTION("IFERROR(SPLIT(A291,"",""),"""")"),46355.0)</f>
        <v>46355</v>
      </c>
      <c r="C291" t="str">
        <f>IFERROR(__xludf.DUMMYFUNCTION("""COMPUTED_VALUE"""),"Phoenix Suns")</f>
        <v>Phoenix Suns</v>
      </c>
      <c r="D291" t="str">
        <f>IFERROR(__xludf.DUMMYFUNCTION("""COMPUTED_VALUE"""),"Utah Jazz")</f>
        <v>Utah Jazz</v>
      </c>
    </row>
    <row r="292">
      <c r="A292" s="17" t="s">
        <v>380</v>
      </c>
      <c r="B292" s="19">
        <f>IFERROR(__xludf.DUMMYFUNCTION("IFERROR(SPLIT(A292,"",""),"""")"),46355.0)</f>
        <v>46355</v>
      </c>
      <c r="C292" t="str">
        <f>IFERROR(__xludf.DUMMYFUNCTION("""COMPUTED_VALUE"""),"Miami Heat")</f>
        <v>Miami Heat</v>
      </c>
      <c r="D292" t="str">
        <f>IFERROR(__xludf.DUMMYFUNCTION("""COMPUTED_VALUE"""),"Cleveland Cavaliers")</f>
        <v>Cleveland Cavaliers</v>
      </c>
    </row>
    <row r="293">
      <c r="A293" s="17" t="s">
        <v>381</v>
      </c>
      <c r="B293" s="19">
        <f>IFERROR(__xludf.DUMMYFUNCTION("IFERROR(SPLIT(A293,"",""),"""")"),46355.0)</f>
        <v>46355</v>
      </c>
      <c r="C293" t="str">
        <f>IFERROR(__xludf.DUMMYFUNCTION("""COMPUTED_VALUE"""),"Orlando Magic")</f>
        <v>Orlando Magic</v>
      </c>
      <c r="D293" t="str">
        <f>IFERROR(__xludf.DUMMYFUNCTION("""COMPUTED_VALUE"""),"Detroit Pistons")</f>
        <v>Detroit Pistons</v>
      </c>
    </row>
    <row r="294">
      <c r="A294" s="17" t="s">
        <v>382</v>
      </c>
      <c r="B294" s="19">
        <f>IFERROR(__xludf.DUMMYFUNCTION("IFERROR(SPLIT(A294,"",""),"""")"),46355.0)</f>
        <v>46355</v>
      </c>
      <c r="C294" t="str">
        <f>IFERROR(__xludf.DUMMYFUNCTION("""COMPUTED_VALUE"""),"Atlanta Hawks")</f>
        <v>Atlanta Hawks</v>
      </c>
      <c r="D294" t="str">
        <f>IFERROR(__xludf.DUMMYFUNCTION("""COMPUTED_VALUE"""),"New York Knicks")</f>
        <v>New York Knicks</v>
      </c>
    </row>
    <row r="295">
      <c r="A295" s="17" t="s">
        <v>383</v>
      </c>
      <c r="B295" s="19">
        <f>IFERROR(__xludf.DUMMYFUNCTION("IFERROR(SPLIT(A295,"",""),"""")"),46355.0)</f>
        <v>46355</v>
      </c>
      <c r="C295" t="str">
        <f>IFERROR(__xludf.DUMMYFUNCTION("""COMPUTED_VALUE"""),"New Orleans Pelicans")</f>
        <v>New Orleans Pelicans</v>
      </c>
      <c r="D295" t="str">
        <f>IFERROR(__xludf.DUMMYFUNCTION("""COMPUTED_VALUE"""),"Portland Trail Blazers")</f>
        <v>Portland Trail Blazers</v>
      </c>
    </row>
    <row r="296">
      <c r="A296" s="17" t="s">
        <v>384</v>
      </c>
      <c r="B296" s="19">
        <f>IFERROR(__xludf.DUMMYFUNCTION("IFERROR(SPLIT(A296,"",""),"""")"),46355.0)</f>
        <v>46355</v>
      </c>
      <c r="C296" t="str">
        <f>IFERROR(__xludf.DUMMYFUNCTION("""COMPUTED_VALUE"""),"Denver Nuggets")</f>
        <v>Denver Nuggets</v>
      </c>
      <c r="D296" t="str">
        <f>IFERROR(__xludf.DUMMYFUNCTION("""COMPUTED_VALUE"""),"Toronto Raptors")</f>
        <v>Toronto Raptors</v>
      </c>
    </row>
    <row r="297">
      <c r="A297" s="17" t="s">
        <v>385</v>
      </c>
      <c r="B297" s="19">
        <f>IFERROR(__xludf.DUMMYFUNCTION("IFERROR(SPLIT(A297,"",""),"""")"),46355.0)</f>
        <v>46355</v>
      </c>
      <c r="C297" t="str">
        <f>IFERROR(__xludf.DUMMYFUNCTION("""COMPUTED_VALUE"""),"Los Angeles Clippers")</f>
        <v>Los Angeles Clippers</v>
      </c>
      <c r="D297" t="str">
        <f>IFERROR(__xludf.DUMMYFUNCTION("""COMPUTED_VALUE"""),"Golden State Warriors")</f>
        <v>Golden State Warriors</v>
      </c>
    </row>
    <row r="298">
      <c r="A298" s="17" t="s">
        <v>386</v>
      </c>
      <c r="B298" s="19">
        <f>IFERROR(__xludf.DUMMYFUNCTION("IFERROR(SPLIT(A298,"",""),"""")"),46355.0)</f>
        <v>46355</v>
      </c>
      <c r="C298" t="str">
        <f>IFERROR(__xludf.DUMMYFUNCTION("""COMPUTED_VALUE"""),"Minnesota Timberwolves")</f>
        <v>Minnesota Timberwolves</v>
      </c>
      <c r="D298" t="str">
        <f>IFERROR(__xludf.DUMMYFUNCTION("""COMPUTED_VALUE"""),"Sacramento Kings")</f>
        <v>Sacramento Kings</v>
      </c>
    </row>
    <row r="299">
      <c r="A299" s="17" t="s">
        <v>387</v>
      </c>
      <c r="B299" s="19">
        <f>IFERROR(__xludf.DUMMYFUNCTION("IFERROR(SPLIT(A299,"",""),"""")"),46356.0)</f>
        <v>46356</v>
      </c>
      <c r="C299" t="str">
        <f>IFERROR(__xludf.DUMMYFUNCTION("""COMPUTED_VALUE"""),"Washington Wizards")</f>
        <v>Washington Wizards</v>
      </c>
      <c r="D299" t="str">
        <f>IFERROR(__xludf.DUMMYFUNCTION("""COMPUTED_VALUE"""),"Charlotte Hornets")</f>
        <v>Charlotte Hornets</v>
      </c>
    </row>
    <row r="300">
      <c r="A300" s="17" t="s">
        <v>388</v>
      </c>
      <c r="B300" s="19">
        <f>IFERROR(__xludf.DUMMYFUNCTION("IFERROR(SPLIT(A300,"",""),"""")"),46356.0)</f>
        <v>46356</v>
      </c>
      <c r="C300" t="str">
        <f>IFERROR(__xludf.DUMMYFUNCTION("""COMPUTED_VALUE"""),"Denver Nuggets")</f>
        <v>Denver Nuggets</v>
      </c>
      <c r="D300" t="str">
        <f>IFERROR(__xludf.DUMMYFUNCTION("""COMPUTED_VALUE"""),"Detroit Pistons")</f>
        <v>Detroit Pistons</v>
      </c>
    </row>
    <row r="301">
      <c r="A301" s="17" t="s">
        <v>389</v>
      </c>
      <c r="B301" s="19">
        <f>IFERROR(__xludf.DUMMYFUNCTION("IFERROR(SPLIT(A301,"",""),"""")"),46356.0)</f>
        <v>46356</v>
      </c>
      <c r="C301" t="str">
        <f>IFERROR(__xludf.DUMMYFUNCTION("""COMPUTED_VALUE"""),"Oklahoma City Thunder")</f>
        <v>Oklahoma City Thunder</v>
      </c>
      <c r="D301" t="str">
        <f>IFERROR(__xludf.DUMMYFUNCTION("""COMPUTED_VALUE"""),"Brooklyn Nets")</f>
        <v>Brooklyn Nets</v>
      </c>
    </row>
    <row r="302">
      <c r="A302" s="17" t="s">
        <v>390</v>
      </c>
      <c r="B302" s="19">
        <f>IFERROR(__xludf.DUMMYFUNCTION("IFERROR(SPLIT(A302,"",""),"""")"),46356.0)</f>
        <v>46356</v>
      </c>
      <c r="C302" t="str">
        <f>IFERROR(__xludf.DUMMYFUNCTION("""COMPUTED_VALUE"""),"Los Angeles Lakers")</f>
        <v>Los Angeles Lakers</v>
      </c>
      <c r="D302" t="str">
        <f>IFERROR(__xludf.DUMMYFUNCTION("""COMPUTED_VALUE"""),"Houston Rockets")</f>
        <v>Houston Rockets</v>
      </c>
    </row>
    <row r="303">
      <c r="A303" s="17" t="s">
        <v>391</v>
      </c>
      <c r="B303" s="19">
        <f>IFERROR(__xludf.DUMMYFUNCTION("IFERROR(SPLIT(A303,"",""),"""")"),46356.0)</f>
        <v>46356</v>
      </c>
      <c r="C303" t="str">
        <f>IFERROR(__xludf.DUMMYFUNCTION("""COMPUTED_VALUE"""),"Boston Celtics")</f>
        <v>Boston Celtics</v>
      </c>
      <c r="D303" t="str">
        <f>IFERROR(__xludf.DUMMYFUNCTION("""COMPUTED_VALUE"""),"Dallas Mavericks")</f>
        <v>Dallas Mavericks</v>
      </c>
    </row>
    <row r="304">
      <c r="A304" s="17" t="s">
        <v>392</v>
      </c>
      <c r="B304" s="19">
        <f>IFERROR(__xludf.DUMMYFUNCTION("IFERROR(SPLIT(A304,"",""),"""")"),46356.0)</f>
        <v>46356</v>
      </c>
      <c r="C304" t="str">
        <f>IFERROR(__xludf.DUMMYFUNCTION("""COMPUTED_VALUE"""),"San Antonio Spurs")</f>
        <v>San Antonio Spurs</v>
      </c>
      <c r="D304" t="str">
        <f>IFERROR(__xludf.DUMMYFUNCTION("""COMPUTED_VALUE"""),"Milwaukee Bucks")</f>
        <v>Milwaukee Bucks</v>
      </c>
    </row>
    <row r="305">
      <c r="A305" s="17" t="s">
        <v>393</v>
      </c>
      <c r="B305" s="19">
        <f>IFERROR(__xludf.DUMMYFUNCTION("IFERROR(SPLIT(A305,"",""),"""")"),46356.0)</f>
        <v>46356</v>
      </c>
      <c r="C305" t="str">
        <f>IFERROR(__xludf.DUMMYFUNCTION("""COMPUTED_VALUE"""),"New Orleans Pelicans")</f>
        <v>New Orleans Pelicans</v>
      </c>
      <c r="D305" t="str">
        <f>IFERROR(__xludf.DUMMYFUNCTION("""COMPUTED_VALUE"""),"Sacramento Kings")</f>
        <v>Sacramento Kings</v>
      </c>
    </row>
    <row r="306">
      <c r="A306" s="17" t="s">
        <v>394</v>
      </c>
      <c r="B306" s="19">
        <f>IFERROR(__xludf.DUMMYFUNCTION("IFERROR(SPLIT(A306,"",""),"""")"),46357.0)</f>
        <v>46357</v>
      </c>
      <c r="C306" t="str">
        <f>IFERROR(__xludf.DUMMYFUNCTION("""COMPUTED_VALUE"""),"Indiana Pacers")</f>
        <v>Indiana Pacers</v>
      </c>
      <c r="D306" t="str">
        <f>IFERROR(__xludf.DUMMYFUNCTION("""COMPUTED_VALUE"""),"Cleveland Cavaliers")</f>
        <v>Cleveland Cavaliers</v>
      </c>
    </row>
    <row r="307">
      <c r="A307" s="17" t="s">
        <v>395</v>
      </c>
      <c r="B307" s="19">
        <f>IFERROR(__xludf.DUMMYFUNCTION("IFERROR(SPLIT(A307,"",""),"""")"),46357.0)</f>
        <v>46357</v>
      </c>
      <c r="C307" t="str">
        <f>IFERROR(__xludf.DUMMYFUNCTION("""COMPUTED_VALUE"""),"Memphis Grizzlies")</f>
        <v>Memphis Grizzlies</v>
      </c>
      <c r="D307" t="str">
        <f>IFERROR(__xludf.DUMMYFUNCTION("""COMPUTED_VALUE"""),"Philadelphia 76ers")</f>
        <v>Philadelphia 76ers</v>
      </c>
    </row>
    <row r="308">
      <c r="A308" s="17" t="s">
        <v>396</v>
      </c>
      <c r="B308" s="19">
        <f>IFERROR(__xludf.DUMMYFUNCTION("IFERROR(SPLIT(A308,"",""),"""")"),46357.0)</f>
        <v>46357</v>
      </c>
      <c r="C308" t="str">
        <f>IFERROR(__xludf.DUMMYFUNCTION("""COMPUTED_VALUE"""),"Atlanta Hawks")</f>
        <v>Atlanta Hawks</v>
      </c>
      <c r="D308" t="str">
        <f>IFERROR(__xludf.DUMMYFUNCTION("""COMPUTED_VALUE"""),"Miami Heat")</f>
        <v>Miami Heat</v>
      </c>
    </row>
    <row r="309">
      <c r="A309" s="17" t="s">
        <v>397</v>
      </c>
      <c r="B309" s="19">
        <f>IFERROR(__xludf.DUMMYFUNCTION("IFERROR(SPLIT(A309,"",""),"""")"),46357.0)</f>
        <v>46357</v>
      </c>
      <c r="C309" t="str">
        <f>IFERROR(__xludf.DUMMYFUNCTION("""COMPUTED_VALUE"""),"New York Knicks")</f>
        <v>New York Knicks</v>
      </c>
      <c r="D309" t="str">
        <f>IFERROR(__xludf.DUMMYFUNCTION("""COMPUTED_VALUE"""),"Chicago Bulls")</f>
        <v>Chicago Bulls</v>
      </c>
    </row>
    <row r="310">
      <c r="A310" s="17" t="s">
        <v>398</v>
      </c>
      <c r="B310" s="19">
        <f>IFERROR(__xludf.DUMMYFUNCTION("IFERROR(SPLIT(A310,"",""),"""")"),46357.0)</f>
        <v>46357</v>
      </c>
      <c r="C310" t="str">
        <f>IFERROR(__xludf.DUMMYFUNCTION("""COMPUTED_VALUE"""),"Toronto Raptors")</f>
        <v>Toronto Raptors</v>
      </c>
      <c r="D310" t="str">
        <f>IFERROR(__xludf.DUMMYFUNCTION("""COMPUTED_VALUE"""),"Houston Rockets")</f>
        <v>Houston Rockets</v>
      </c>
    </row>
    <row r="311">
      <c r="A311" s="17" t="s">
        <v>399</v>
      </c>
      <c r="B311" s="19">
        <f>IFERROR(__xludf.DUMMYFUNCTION("IFERROR(SPLIT(A311,"",""),"""")"),46357.0)</f>
        <v>46357</v>
      </c>
      <c r="C311" t="str">
        <f>IFERROR(__xludf.DUMMYFUNCTION("""COMPUTED_VALUE"""),"Los Angeles Clippers")</f>
        <v>Los Angeles Clippers</v>
      </c>
      <c r="D311" t="str">
        <f>IFERROR(__xludf.DUMMYFUNCTION("""COMPUTED_VALUE"""),"Phoenix Suns")</f>
        <v>Phoenix Suns</v>
      </c>
    </row>
    <row r="312">
      <c r="A312" s="17" t="s">
        <v>400</v>
      </c>
      <c r="B312" s="19">
        <f>IFERROR(__xludf.DUMMYFUNCTION("IFERROR(SPLIT(A312,"",""),"""")"),46357.0)</f>
        <v>46357</v>
      </c>
      <c r="C312" t="str">
        <f>IFERROR(__xludf.DUMMYFUNCTION("""COMPUTED_VALUE"""),"Minnesota Timberwolves")</f>
        <v>Minnesota Timberwolves</v>
      </c>
      <c r="D312" t="str">
        <f>IFERROR(__xludf.DUMMYFUNCTION("""COMPUTED_VALUE"""),"Portland Trail Blazers")</f>
        <v>Portland Trail Blazers</v>
      </c>
    </row>
    <row r="313">
      <c r="A313" s="17" t="s">
        <v>401</v>
      </c>
      <c r="B313" s="19">
        <f>IFERROR(__xludf.DUMMYFUNCTION("IFERROR(SPLIT(A313,"",""),"""")"),46357.0)</f>
        <v>46357</v>
      </c>
      <c r="C313" t="str">
        <f>IFERROR(__xludf.DUMMYFUNCTION("""COMPUTED_VALUE"""),"Utah Jazz")</f>
        <v>Utah Jazz</v>
      </c>
      <c r="D313" t="str">
        <f>IFERROR(__xludf.DUMMYFUNCTION("""COMPUTED_VALUE"""),"Golden State Warriors")</f>
        <v>Golden State Warriors</v>
      </c>
    </row>
    <row r="314">
      <c r="A314" s="17" t="s">
        <v>402</v>
      </c>
      <c r="B314" s="19">
        <f>IFERROR(__xludf.DUMMYFUNCTION("IFERROR(SPLIT(A314,"",""),"""")"),46358.0)</f>
        <v>46358</v>
      </c>
      <c r="C314" t="str">
        <f>IFERROR(__xludf.DUMMYFUNCTION("""COMPUTED_VALUE"""),"Memphis Grizzlies")</f>
        <v>Memphis Grizzlies</v>
      </c>
      <c r="D314" t="str">
        <f>IFERROR(__xludf.DUMMYFUNCTION("""COMPUTED_VALUE"""),"Detroit Pistons")</f>
        <v>Detroit Pistons</v>
      </c>
    </row>
    <row r="315">
      <c r="A315" s="17" t="s">
        <v>403</v>
      </c>
      <c r="B315" s="19">
        <f>IFERROR(__xludf.DUMMYFUNCTION("IFERROR(SPLIT(A315,"",""),"""")"),46358.0)</f>
        <v>46358</v>
      </c>
      <c r="C315" t="str">
        <f>IFERROR(__xludf.DUMMYFUNCTION("""COMPUTED_VALUE"""),"Denver Nuggets")</f>
        <v>Denver Nuggets</v>
      </c>
      <c r="D315" t="str">
        <f>IFERROR(__xludf.DUMMYFUNCTION("""COMPUTED_VALUE"""),"Philadelphia 76ers")</f>
        <v>Philadelphia 76ers</v>
      </c>
    </row>
    <row r="316">
      <c r="A316" s="17" t="s">
        <v>404</v>
      </c>
      <c r="B316" s="19">
        <f>IFERROR(__xludf.DUMMYFUNCTION("IFERROR(SPLIT(A316,"",""),"""")"),46358.0)</f>
        <v>46358</v>
      </c>
      <c r="C316" t="str">
        <f>IFERROR(__xludf.DUMMYFUNCTION("""COMPUTED_VALUE"""),"Charlotte Hornets")</f>
        <v>Charlotte Hornets</v>
      </c>
      <c r="D316" t="str">
        <f>IFERROR(__xludf.DUMMYFUNCTION("""COMPUTED_VALUE"""),"Boston Celtics")</f>
        <v>Boston Celtics</v>
      </c>
    </row>
    <row r="317">
      <c r="A317" s="17" t="s">
        <v>405</v>
      </c>
      <c r="B317" s="19">
        <f>IFERROR(__xludf.DUMMYFUNCTION("IFERROR(SPLIT(A317,"",""),"""")"),46358.0)</f>
        <v>46358</v>
      </c>
      <c r="C317" t="str">
        <f>IFERROR(__xludf.DUMMYFUNCTION("""COMPUTED_VALUE"""),"Orlando Magic")</f>
        <v>Orlando Magic</v>
      </c>
      <c r="D317" t="str">
        <f>IFERROR(__xludf.DUMMYFUNCTION("""COMPUTED_VALUE"""),"Dallas Mavericks")</f>
        <v>Dallas Mavericks</v>
      </c>
    </row>
    <row r="318">
      <c r="A318" s="17" t="s">
        <v>406</v>
      </c>
      <c r="B318" s="19">
        <f>IFERROR(__xludf.DUMMYFUNCTION("IFERROR(SPLIT(A318,"",""),"""")"),46358.0)</f>
        <v>46358</v>
      </c>
      <c r="C318" t="str">
        <f>IFERROR(__xludf.DUMMYFUNCTION("""COMPUTED_VALUE"""),"New York Knicks")</f>
        <v>New York Knicks</v>
      </c>
      <c r="D318" t="str">
        <f>IFERROR(__xludf.DUMMYFUNCTION("""COMPUTED_VALUE"""),"Milwaukee Bucks")</f>
        <v>Milwaukee Bucks</v>
      </c>
    </row>
    <row r="319">
      <c r="A319" s="17" t="s">
        <v>407</v>
      </c>
      <c r="B319" s="19">
        <f>IFERROR(__xludf.DUMMYFUNCTION("IFERROR(SPLIT(A319,"",""),"""")"),46358.0)</f>
        <v>46358</v>
      </c>
      <c r="C319" t="str">
        <f>IFERROR(__xludf.DUMMYFUNCTION("""COMPUTED_VALUE"""),"Los Angeles Lakers")</f>
        <v>Los Angeles Lakers</v>
      </c>
      <c r="D319" t="str">
        <f>IFERROR(__xludf.DUMMYFUNCTION("""COMPUTED_VALUE"""),"New Orleans Pelicans")</f>
        <v>New Orleans Pelicans</v>
      </c>
    </row>
    <row r="320">
      <c r="A320" s="17" t="s">
        <v>408</v>
      </c>
      <c r="B320" s="19">
        <f>IFERROR(__xludf.DUMMYFUNCTION("IFERROR(SPLIT(A320,"",""),"""")"),46358.0)</f>
        <v>46358</v>
      </c>
      <c r="C320" t="str">
        <f>IFERROR(__xludf.DUMMYFUNCTION("""COMPUTED_VALUE"""),"Brooklyn Nets")</f>
        <v>Brooklyn Nets</v>
      </c>
      <c r="D320" t="str">
        <f>IFERROR(__xludf.DUMMYFUNCTION("""COMPUTED_VALUE"""),"Oklahoma City Thunder")</f>
        <v>Oklahoma City Thunder</v>
      </c>
    </row>
    <row r="321">
      <c r="A321" s="17" t="s">
        <v>409</v>
      </c>
      <c r="B321" s="19">
        <f>IFERROR(__xludf.DUMMYFUNCTION("IFERROR(SPLIT(A321,"",""),"""")"),46358.0)</f>
        <v>46358</v>
      </c>
      <c r="C321" t="str">
        <f>IFERROR(__xludf.DUMMYFUNCTION("""COMPUTED_VALUE"""),"Sacramento Kings")</f>
        <v>Sacramento Kings</v>
      </c>
      <c r="D321" t="str">
        <f>IFERROR(__xludf.DUMMYFUNCTION("""COMPUTED_VALUE"""),"Phoenix Suns")</f>
        <v>Phoenix Suns</v>
      </c>
    </row>
    <row r="322">
      <c r="A322" s="17" t="s">
        <v>410</v>
      </c>
      <c r="B322" s="19">
        <f>IFERROR(__xludf.DUMMYFUNCTION("IFERROR(SPLIT(A322,"",""),"""")"),46358.0)</f>
        <v>46358</v>
      </c>
      <c r="C322" t="str">
        <f>IFERROR(__xludf.DUMMYFUNCTION("""COMPUTED_VALUE"""),"Minnesota Timberwolves")</f>
        <v>Minnesota Timberwolves</v>
      </c>
      <c r="D322" t="str">
        <f>IFERROR(__xludf.DUMMYFUNCTION("""COMPUTED_VALUE"""),"Los Angeles Clippers")</f>
        <v>Los Angeles Clippers</v>
      </c>
    </row>
    <row r="323">
      <c r="A323" s="17" t="s">
        <v>411</v>
      </c>
      <c r="B323" s="19">
        <f>IFERROR(__xludf.DUMMYFUNCTION("IFERROR(SPLIT(A323,"",""),"""")"),46359.0)</f>
        <v>46359</v>
      </c>
      <c r="C323" t="str">
        <f>IFERROR(__xludf.DUMMYFUNCTION("""COMPUTED_VALUE"""),"Indiana Pacers")</f>
        <v>Indiana Pacers</v>
      </c>
      <c r="D323" t="str">
        <f>IFERROR(__xludf.DUMMYFUNCTION("""COMPUTED_VALUE"""),"Atlanta Hawks")</f>
        <v>Atlanta Hawks</v>
      </c>
    </row>
    <row r="324">
      <c r="A324" s="17" t="s">
        <v>412</v>
      </c>
      <c r="B324" s="19">
        <f>IFERROR(__xludf.DUMMYFUNCTION("IFERROR(SPLIT(A324,"",""),"""")"),46359.0)</f>
        <v>46359</v>
      </c>
      <c r="C324" t="str">
        <f>IFERROR(__xludf.DUMMYFUNCTION("""COMPUTED_VALUE"""),"Washington Wizards")</f>
        <v>Washington Wizards</v>
      </c>
      <c r="D324" t="str">
        <f>IFERROR(__xludf.DUMMYFUNCTION("""COMPUTED_VALUE"""),"Miami Heat")</f>
        <v>Miami Heat</v>
      </c>
    </row>
    <row r="325">
      <c r="A325" s="17" t="s">
        <v>413</v>
      </c>
      <c r="B325" s="19">
        <f>IFERROR(__xludf.DUMMYFUNCTION("IFERROR(SPLIT(A325,"",""),"""")"),46359.0)</f>
        <v>46359</v>
      </c>
      <c r="C325" t="str">
        <f>IFERROR(__xludf.DUMMYFUNCTION("""COMPUTED_VALUE"""),"Cleveland Cavaliers")</f>
        <v>Cleveland Cavaliers</v>
      </c>
      <c r="D325" t="str">
        <f>IFERROR(__xludf.DUMMYFUNCTION("""COMPUTED_VALUE"""),"Chicago Bulls")</f>
        <v>Chicago Bulls</v>
      </c>
    </row>
    <row r="326">
      <c r="A326" s="17" t="s">
        <v>414</v>
      </c>
      <c r="B326" s="19">
        <f>IFERROR(__xludf.DUMMYFUNCTION("IFERROR(SPLIT(A326,"",""),"""")"),46359.0)</f>
        <v>46359</v>
      </c>
      <c r="C326" t="str">
        <f>IFERROR(__xludf.DUMMYFUNCTION("""COMPUTED_VALUE"""),"Toronto Raptors")</f>
        <v>Toronto Raptors</v>
      </c>
      <c r="D326" t="str">
        <f>IFERROR(__xludf.DUMMYFUNCTION("""COMPUTED_VALUE"""),"San Antonio Spurs")</f>
        <v>San Antonio Spurs</v>
      </c>
    </row>
    <row r="327">
      <c r="A327" s="17" t="s">
        <v>415</v>
      </c>
      <c r="B327" s="19">
        <f>IFERROR(__xludf.DUMMYFUNCTION("IFERROR(SPLIT(A327,"",""),"""")"),46359.0)</f>
        <v>46359</v>
      </c>
      <c r="C327" t="str">
        <f>IFERROR(__xludf.DUMMYFUNCTION("""COMPUTED_VALUE"""),"Utah Jazz")</f>
        <v>Utah Jazz</v>
      </c>
      <c r="D327" t="str">
        <f>IFERROR(__xludf.DUMMYFUNCTION("""COMPUTED_VALUE"""),"Portland Trail Blazers")</f>
        <v>Portland Trail Blazers</v>
      </c>
    </row>
    <row r="328">
      <c r="A328" s="17" t="s">
        <v>416</v>
      </c>
      <c r="B328" s="19">
        <f>IFERROR(__xludf.DUMMYFUNCTION("IFERROR(SPLIT(A328,"",""),"""")"),46368.0)</f>
        <v>46368</v>
      </c>
      <c r="C328" t="str">
        <f>IFERROR(__xludf.DUMMYFUNCTION("""COMPUTED_VALUE"""),"Milwaukee Bucks")</f>
        <v>Milwaukee Bucks</v>
      </c>
      <c r="D328" t="str">
        <f>IFERROR(__xludf.DUMMYFUNCTION("""COMPUTED_VALUE"""),"Memphis Grizzlies")</f>
        <v>Memphis Grizzlies</v>
      </c>
    </row>
    <row r="329">
      <c r="A329" s="17" t="s">
        <v>417</v>
      </c>
      <c r="B329" s="19">
        <f>IFERROR(__xludf.DUMMYFUNCTION("IFERROR(SPLIT(A329,"",""),"""")"),46368.0)</f>
        <v>46368</v>
      </c>
      <c r="C329" t="str">
        <f>IFERROR(__xludf.DUMMYFUNCTION("""COMPUTED_VALUE"""),"Charlotte Hornets")</f>
        <v>Charlotte Hornets</v>
      </c>
      <c r="D329" t="str">
        <f>IFERROR(__xludf.DUMMYFUNCTION("""COMPUTED_VALUE"""),"Washington Wizards")</f>
        <v>Washington Wizards</v>
      </c>
    </row>
    <row r="330">
      <c r="A330" s="17" t="s">
        <v>418</v>
      </c>
      <c r="B330" s="19">
        <f>IFERROR(__xludf.DUMMYFUNCTION("IFERROR(SPLIT(A330,"",""),"""")"),46368.0)</f>
        <v>46368</v>
      </c>
      <c r="C330" t="str">
        <f>IFERROR(__xludf.DUMMYFUNCTION("""COMPUTED_VALUE"""),"Orlando Magic")</f>
        <v>Orlando Magic</v>
      </c>
      <c r="D330" t="str">
        <f>IFERROR(__xludf.DUMMYFUNCTION("""COMPUTED_VALUE"""),"Philadelphia 76ers")</f>
        <v>Philadelphia 76ers</v>
      </c>
    </row>
    <row r="331">
      <c r="A331" s="17" t="s">
        <v>419</v>
      </c>
      <c r="B331" s="19">
        <f>IFERROR(__xludf.DUMMYFUNCTION("IFERROR(SPLIT(A331,"",""),"""")"),46368.0)</f>
        <v>46368</v>
      </c>
      <c r="C331" t="str">
        <f>IFERROR(__xludf.DUMMYFUNCTION("""COMPUTED_VALUE"""),"Golden State Warriors")</f>
        <v>Golden State Warriors</v>
      </c>
      <c r="D331" t="str">
        <f>IFERROR(__xludf.DUMMYFUNCTION("""COMPUTED_VALUE"""),"Cleveland Cavaliers")</f>
        <v>Cleveland Cavaliers</v>
      </c>
    </row>
    <row r="332">
      <c r="A332" s="17" t="s">
        <v>420</v>
      </c>
      <c r="B332" s="19">
        <f>IFERROR(__xludf.DUMMYFUNCTION("IFERROR(SPLIT(A332,"",""),"""")"),46368.0)</f>
        <v>46368</v>
      </c>
      <c r="C332" t="str">
        <f>IFERROR(__xludf.DUMMYFUNCTION("""COMPUTED_VALUE"""),"New York Knicks")</f>
        <v>New York Knicks</v>
      </c>
      <c r="D332" t="str">
        <f>IFERROR(__xludf.DUMMYFUNCTION("""COMPUTED_VALUE"""),"Miami Heat")</f>
        <v>Miami Heat</v>
      </c>
    </row>
    <row r="333">
      <c r="A333" s="17" t="s">
        <v>421</v>
      </c>
      <c r="B333" s="19">
        <f>IFERROR(__xludf.DUMMYFUNCTION("IFERROR(SPLIT(A333,"",""),"""")"),46368.0)</f>
        <v>46368</v>
      </c>
      <c r="C333" t="str">
        <f>IFERROR(__xludf.DUMMYFUNCTION("""COMPUTED_VALUE"""),"Minnesota Timberwolves")</f>
        <v>Minnesota Timberwolves</v>
      </c>
      <c r="D333" t="str">
        <f>IFERROR(__xludf.DUMMYFUNCTION("""COMPUTED_VALUE"""),"Phoenix Suns")</f>
        <v>Phoenix Suns</v>
      </c>
    </row>
    <row r="334">
      <c r="A334" s="17" t="s">
        <v>422</v>
      </c>
      <c r="B334" s="19">
        <f>IFERROR(__xludf.DUMMYFUNCTION("IFERROR(SPLIT(A334,"",""),"""")"),46368.0)</f>
        <v>46368</v>
      </c>
      <c r="C334" t="str">
        <f>IFERROR(__xludf.DUMMYFUNCTION("""COMPUTED_VALUE"""),"Denver Nuggets")</f>
        <v>Denver Nuggets</v>
      </c>
      <c r="D334" t="str">
        <f>IFERROR(__xludf.DUMMYFUNCTION("""COMPUTED_VALUE"""),"Utah Jazz")</f>
        <v>Utah Jazz</v>
      </c>
    </row>
    <row r="335">
      <c r="A335" s="17" t="s">
        <v>423</v>
      </c>
      <c r="B335" s="19">
        <f>IFERROR(__xludf.DUMMYFUNCTION("IFERROR(SPLIT(A335,"",""),"""")"),46368.0)</f>
        <v>46368</v>
      </c>
      <c r="C335" t="str">
        <f>IFERROR(__xludf.DUMMYFUNCTION("""COMPUTED_VALUE"""),"Atlanta Hawks")</f>
        <v>Atlanta Hawks</v>
      </c>
      <c r="D335" t="str">
        <f>IFERROR(__xludf.DUMMYFUNCTION("""COMPUTED_VALUE"""),"Portland Trail Blazers")</f>
        <v>Portland Trail Blazers</v>
      </c>
    </row>
    <row r="336">
      <c r="A336" s="17" t="s">
        <v>424</v>
      </c>
      <c r="B336" s="19">
        <f>IFERROR(__xludf.DUMMYFUNCTION("IFERROR(SPLIT(A336,"",""),"""")"),46369.0)</f>
        <v>46369</v>
      </c>
      <c r="C336" t="str">
        <f>IFERROR(__xludf.DUMMYFUNCTION("""COMPUTED_VALUE"""),"Boston Celtics")</f>
        <v>Boston Celtics</v>
      </c>
      <c r="D336" t="str">
        <f>IFERROR(__xludf.DUMMYFUNCTION("""COMPUTED_VALUE"""),"Brooklyn Nets")</f>
        <v>Brooklyn Nets</v>
      </c>
    </row>
    <row r="337">
      <c r="A337" s="17" t="s">
        <v>425</v>
      </c>
      <c r="B337" s="19">
        <f>IFERROR(__xludf.DUMMYFUNCTION("IFERROR(SPLIT(A337,"",""),"""")"),46369.0)</f>
        <v>46369</v>
      </c>
      <c r="C337" t="str">
        <f>IFERROR(__xludf.DUMMYFUNCTION("""COMPUTED_VALUE"""),"Toronto Raptors")</f>
        <v>Toronto Raptors</v>
      </c>
      <c r="D337" t="str">
        <f>IFERROR(__xludf.DUMMYFUNCTION("""COMPUTED_VALUE"""),"Oklahoma City Thunder")</f>
        <v>Oklahoma City Thunder</v>
      </c>
    </row>
    <row r="338">
      <c r="A338" s="17" t="s">
        <v>426</v>
      </c>
      <c r="B338" s="19">
        <f>IFERROR(__xludf.DUMMYFUNCTION("IFERROR(SPLIT(A338,"",""),"""")"),46369.0)</f>
        <v>46369</v>
      </c>
      <c r="C338" t="str">
        <f>IFERROR(__xludf.DUMMYFUNCTION("""COMPUTED_VALUE"""),"Detroit Pistons")</f>
        <v>Detroit Pistons</v>
      </c>
      <c r="D338" t="str">
        <f>IFERROR(__xludf.DUMMYFUNCTION("""COMPUTED_VALUE"""),"Indiana Pacers")</f>
        <v>Indiana Pacers</v>
      </c>
    </row>
    <row r="339">
      <c r="A339" s="17" t="s">
        <v>427</v>
      </c>
      <c r="B339" s="19">
        <f>IFERROR(__xludf.DUMMYFUNCTION("IFERROR(SPLIT(A339,"",""),"""")"),46369.0)</f>
        <v>46369</v>
      </c>
      <c r="C339" t="str">
        <f>IFERROR(__xludf.DUMMYFUNCTION("""COMPUTED_VALUE"""),"Houston Rockets")</f>
        <v>Houston Rockets</v>
      </c>
      <c r="D339" t="str">
        <f>IFERROR(__xludf.DUMMYFUNCTION("""COMPUTED_VALUE"""),"Chicago Bulls")</f>
        <v>Chicago Bulls</v>
      </c>
    </row>
    <row r="340">
      <c r="A340" s="17" t="s">
        <v>428</v>
      </c>
      <c r="B340" s="19">
        <f>IFERROR(__xludf.DUMMYFUNCTION("IFERROR(SPLIT(A340,"",""),"""")"),46369.0)</f>
        <v>46369</v>
      </c>
      <c r="C340" t="str">
        <f>IFERROR(__xludf.DUMMYFUNCTION("""COMPUTED_VALUE"""),"Los Angeles Clippers")</f>
        <v>Los Angeles Clippers</v>
      </c>
      <c r="D340" t="str">
        <f>IFERROR(__xludf.DUMMYFUNCTION("""COMPUTED_VALUE"""),"San Antonio Spurs")</f>
        <v>San Antonio Spurs</v>
      </c>
    </row>
    <row r="341">
      <c r="A341" s="17" t="s">
        <v>429</v>
      </c>
      <c r="B341" s="19">
        <f>IFERROR(__xludf.DUMMYFUNCTION("IFERROR(SPLIT(A341,"",""),"""")"),46369.0)</f>
        <v>46369</v>
      </c>
      <c r="C341" t="str">
        <f>IFERROR(__xludf.DUMMYFUNCTION("""COMPUTED_VALUE"""),"New Orleans Pelicans")</f>
        <v>New Orleans Pelicans</v>
      </c>
      <c r="D341" t="str">
        <f>IFERROR(__xludf.DUMMYFUNCTION("""COMPUTED_VALUE"""),"Sacramento Kings")</f>
        <v>Sacramento Kings</v>
      </c>
    </row>
    <row r="342">
      <c r="A342" s="17" t="s">
        <v>430</v>
      </c>
      <c r="B342" s="19">
        <f>IFERROR(__xludf.DUMMYFUNCTION("IFERROR(SPLIT(A342,"",""),"""")"),46370.0)</f>
        <v>46370</v>
      </c>
      <c r="C342" t="str">
        <f>IFERROR(__xludf.DUMMYFUNCTION("""COMPUTED_VALUE"""),"Toronto Raptors")</f>
        <v>Toronto Raptors</v>
      </c>
      <c r="D342" t="str">
        <f>IFERROR(__xludf.DUMMYFUNCTION("""COMPUTED_VALUE"""),"Charlotte Hornets")</f>
        <v>Charlotte Hornets</v>
      </c>
    </row>
    <row r="343">
      <c r="A343" s="17" t="s">
        <v>431</v>
      </c>
      <c r="B343" s="19">
        <f>IFERROR(__xludf.DUMMYFUNCTION("IFERROR(SPLIT(A343,"",""),"""")"),46370.0)</f>
        <v>46370</v>
      </c>
      <c r="C343" t="str">
        <f>IFERROR(__xludf.DUMMYFUNCTION("""COMPUTED_VALUE"""),"Brooklyn Nets")</f>
        <v>Brooklyn Nets</v>
      </c>
      <c r="D343" t="str">
        <f>IFERROR(__xludf.DUMMYFUNCTION("""COMPUTED_VALUE"""),"Detroit Pistons")</f>
        <v>Detroit Pistons</v>
      </c>
    </row>
    <row r="344">
      <c r="A344" s="17" t="s">
        <v>432</v>
      </c>
      <c r="B344" s="19">
        <f>IFERROR(__xludf.DUMMYFUNCTION("IFERROR(SPLIT(A344,"",""),"""")"),46370.0)</f>
        <v>46370</v>
      </c>
      <c r="C344" t="str">
        <f>IFERROR(__xludf.DUMMYFUNCTION("""COMPUTED_VALUE"""),"Philadelphia 76ers")</f>
        <v>Philadelphia 76ers</v>
      </c>
      <c r="D344" t="str">
        <f>IFERROR(__xludf.DUMMYFUNCTION("""COMPUTED_VALUE"""),"Orlando Magic")</f>
        <v>Orlando Magic</v>
      </c>
    </row>
    <row r="345">
      <c r="A345" s="17" t="s">
        <v>433</v>
      </c>
      <c r="B345" s="19">
        <f>IFERROR(__xludf.DUMMYFUNCTION("IFERROR(SPLIT(A345,"",""),"""")"),46370.0)</f>
        <v>46370</v>
      </c>
      <c r="C345" t="str">
        <f>IFERROR(__xludf.DUMMYFUNCTION("""COMPUTED_VALUE"""),"Washington Wizards")</f>
        <v>Washington Wizards</v>
      </c>
      <c r="D345" t="str">
        <f>IFERROR(__xludf.DUMMYFUNCTION("""COMPUTED_VALUE"""),"Boston Celtics")</f>
        <v>Boston Celtics</v>
      </c>
    </row>
    <row r="346">
      <c r="A346" s="17" t="s">
        <v>434</v>
      </c>
      <c r="B346" s="19">
        <f>IFERROR(__xludf.DUMMYFUNCTION("IFERROR(SPLIT(A346,"",""),"""")"),46370.0)</f>
        <v>46370</v>
      </c>
      <c r="C346" t="str">
        <f>IFERROR(__xludf.DUMMYFUNCTION("""COMPUTED_VALUE"""),"Miami Heat")</f>
        <v>Miami Heat</v>
      </c>
      <c r="D346" t="str">
        <f>IFERROR(__xludf.DUMMYFUNCTION("""COMPUTED_VALUE"""),"Chicago Bulls")</f>
        <v>Chicago Bulls</v>
      </c>
    </row>
    <row r="347">
      <c r="A347" s="17" t="s">
        <v>435</v>
      </c>
      <c r="B347" s="19">
        <f>IFERROR(__xludf.DUMMYFUNCTION("IFERROR(SPLIT(A347,"",""),"""")"),46370.0)</f>
        <v>46370</v>
      </c>
      <c r="C347" t="str">
        <f>IFERROR(__xludf.DUMMYFUNCTION("""COMPUTED_VALUE"""),"Milwaukee Bucks")</f>
        <v>Milwaukee Bucks</v>
      </c>
      <c r="D347" t="str">
        <f>IFERROR(__xludf.DUMMYFUNCTION("""COMPUTED_VALUE"""),"Dallas Mavericks")</f>
        <v>Dallas Mavericks</v>
      </c>
    </row>
    <row r="348">
      <c r="A348" s="17" t="s">
        <v>436</v>
      </c>
      <c r="B348" s="19">
        <f>IFERROR(__xludf.DUMMYFUNCTION("IFERROR(SPLIT(A348,"",""),"""")"),46370.0)</f>
        <v>46370</v>
      </c>
      <c r="C348" t="str">
        <f>IFERROR(__xludf.DUMMYFUNCTION("""COMPUTED_VALUE"""),"Golden State Warriors")</f>
        <v>Golden State Warriors</v>
      </c>
      <c r="D348" t="str">
        <f>IFERROR(__xludf.DUMMYFUNCTION("""COMPUTED_VALUE"""),"Memphis Grizzlies")</f>
        <v>Memphis Grizzlies</v>
      </c>
    </row>
    <row r="349">
      <c r="A349" s="17" t="s">
        <v>437</v>
      </c>
      <c r="B349" s="19">
        <f>IFERROR(__xludf.DUMMYFUNCTION("IFERROR(SPLIT(A349,"",""),"""")"),46370.0)</f>
        <v>46370</v>
      </c>
      <c r="C349" t="str">
        <f>IFERROR(__xludf.DUMMYFUNCTION("""COMPUTED_VALUE"""),"New York Knicks")</f>
        <v>New York Knicks</v>
      </c>
      <c r="D349" t="str">
        <f>IFERROR(__xludf.DUMMYFUNCTION("""COMPUTED_VALUE"""),"Houston Rockets")</f>
        <v>Houston Rockets</v>
      </c>
    </row>
    <row r="350">
      <c r="A350" s="17" t="s">
        <v>438</v>
      </c>
      <c r="B350" s="19">
        <f>IFERROR(__xludf.DUMMYFUNCTION("IFERROR(SPLIT(A350,"",""),"""")"),46370.0)</f>
        <v>46370</v>
      </c>
      <c r="C350" t="str">
        <f>IFERROR(__xludf.DUMMYFUNCTION("""COMPUTED_VALUE"""),"Atlanta Hawks")</f>
        <v>Atlanta Hawks</v>
      </c>
      <c r="D350" t="str">
        <f>IFERROR(__xludf.DUMMYFUNCTION("""COMPUTED_VALUE"""),"Phoenix Suns")</f>
        <v>Phoenix Suns</v>
      </c>
    </row>
    <row r="351">
      <c r="A351" s="17" t="s">
        <v>439</v>
      </c>
      <c r="B351" s="19">
        <f>IFERROR(__xludf.DUMMYFUNCTION("IFERROR(SPLIT(A351,"",""),"""")"),46370.0)</f>
        <v>46370</v>
      </c>
      <c r="C351" t="str">
        <f>IFERROR(__xludf.DUMMYFUNCTION("""COMPUTED_VALUE"""),"Minnesota Timberwolves")</f>
        <v>Minnesota Timberwolves</v>
      </c>
      <c r="D351" t="str">
        <f>IFERROR(__xludf.DUMMYFUNCTION("""COMPUTED_VALUE"""),"Utah Jazz")</f>
        <v>Utah Jazz</v>
      </c>
    </row>
    <row r="352">
      <c r="A352" s="17" t="s">
        <v>440</v>
      </c>
      <c r="B352" s="19">
        <f>IFERROR(__xludf.DUMMYFUNCTION("IFERROR(SPLIT(A352,"",""),"""")"),46370.0)</f>
        <v>46370</v>
      </c>
      <c r="C352" t="str">
        <f>IFERROR(__xludf.DUMMYFUNCTION("""COMPUTED_VALUE"""),"New Orleans Pelicans")</f>
        <v>New Orleans Pelicans</v>
      </c>
      <c r="D352" t="str">
        <f>IFERROR(__xludf.DUMMYFUNCTION("""COMPUTED_VALUE"""),"Los Angeles Lakers")</f>
        <v>Los Angeles Lakers</v>
      </c>
    </row>
    <row r="353">
      <c r="A353" s="17" t="s">
        <v>441</v>
      </c>
      <c r="B353" s="19">
        <f>IFERROR(__xludf.DUMMYFUNCTION("IFERROR(SPLIT(A353,"",""),"""")"),46371.0)</f>
        <v>46371</v>
      </c>
      <c r="C353" t="str">
        <f>IFERROR(__xludf.DUMMYFUNCTION("""COMPUTED_VALUE"""),"San Antonio Spurs")</f>
        <v>San Antonio Spurs</v>
      </c>
      <c r="D353" t="str">
        <f>IFERROR(__xludf.DUMMYFUNCTION("""COMPUTED_VALUE"""),"Cleveland Cavaliers")</f>
        <v>Cleveland Cavaliers</v>
      </c>
    </row>
    <row r="354">
      <c r="A354" s="17" t="s">
        <v>442</v>
      </c>
      <c r="B354" s="19">
        <f>IFERROR(__xludf.DUMMYFUNCTION("IFERROR(SPLIT(A354,"",""),"""")"),46371.0)</f>
        <v>46371</v>
      </c>
      <c r="C354" t="str">
        <f>IFERROR(__xludf.DUMMYFUNCTION("""COMPUTED_VALUE"""),"Denver Nuggets")</f>
        <v>Denver Nuggets</v>
      </c>
      <c r="D354" t="str">
        <f>IFERROR(__xludf.DUMMYFUNCTION("""COMPUTED_VALUE"""),"Portland Trail Blazers")</f>
        <v>Portland Trail Blazers</v>
      </c>
    </row>
    <row r="355">
      <c r="A355" s="17" t="s">
        <v>443</v>
      </c>
      <c r="B355" s="19">
        <f>IFERROR(__xludf.DUMMYFUNCTION("IFERROR(SPLIT(A355,"",""),"""")"),46372.0)</f>
        <v>46372</v>
      </c>
      <c r="C355" t="str">
        <f>IFERROR(__xludf.DUMMYFUNCTION("""COMPUTED_VALUE"""),"Washington Wizards")</f>
        <v>Washington Wizards</v>
      </c>
      <c r="D355" t="str">
        <f>IFERROR(__xludf.DUMMYFUNCTION("""COMPUTED_VALUE"""),"Boston Celtics")</f>
        <v>Boston Celtics</v>
      </c>
    </row>
    <row r="356">
      <c r="A356" s="17" t="s">
        <v>444</v>
      </c>
      <c r="B356" s="19">
        <f>IFERROR(__xludf.DUMMYFUNCTION("IFERROR(SPLIT(A356,"",""),"""")"),46372.0)</f>
        <v>46372</v>
      </c>
      <c r="C356" t="str">
        <f>IFERROR(__xludf.DUMMYFUNCTION("""COMPUTED_VALUE"""),"Los Angeles Clippers")</f>
        <v>Los Angeles Clippers</v>
      </c>
      <c r="D356" t="str">
        <f>IFERROR(__xludf.DUMMYFUNCTION("""COMPUTED_VALUE"""),"Charlotte Hornets")</f>
        <v>Charlotte Hornets</v>
      </c>
    </row>
    <row r="357">
      <c r="A357" s="17" t="s">
        <v>445</v>
      </c>
      <c r="B357" s="19">
        <f>IFERROR(__xludf.DUMMYFUNCTION("IFERROR(SPLIT(A357,"",""),"""")"),46372.0)</f>
        <v>46372</v>
      </c>
      <c r="C357" t="str">
        <f>IFERROR(__xludf.DUMMYFUNCTION("""COMPUTED_VALUE"""),"Phoenix Suns")</f>
        <v>Phoenix Suns</v>
      </c>
      <c r="D357" t="str">
        <f>IFERROR(__xludf.DUMMYFUNCTION("""COMPUTED_VALUE"""),"Detroit Pistons")</f>
        <v>Detroit Pistons</v>
      </c>
    </row>
    <row r="358">
      <c r="A358" s="17" t="s">
        <v>446</v>
      </c>
      <c r="B358" s="19">
        <f>IFERROR(__xludf.DUMMYFUNCTION("IFERROR(SPLIT(A358,"",""),"""")"),46372.0)</f>
        <v>46372</v>
      </c>
      <c r="C358" t="str">
        <f>IFERROR(__xludf.DUMMYFUNCTION("""COMPUTED_VALUE"""),"Golden State Warriors")</f>
        <v>Golden State Warriors</v>
      </c>
      <c r="D358" t="str">
        <f>IFERROR(__xludf.DUMMYFUNCTION("""COMPUTED_VALUE"""),"Indiana Pacers")</f>
        <v>Indiana Pacers</v>
      </c>
    </row>
    <row r="359">
      <c r="A359" s="17" t="s">
        <v>447</v>
      </c>
      <c r="B359" s="19">
        <f>IFERROR(__xludf.DUMMYFUNCTION("IFERROR(SPLIT(A359,"",""),"""")"),46372.0)</f>
        <v>46372</v>
      </c>
      <c r="C359" t="str">
        <f>IFERROR(__xludf.DUMMYFUNCTION("""COMPUTED_VALUE"""),"Cleveland Cavaliers")</f>
        <v>Cleveland Cavaliers</v>
      </c>
      <c r="D359" t="str">
        <f>IFERROR(__xludf.DUMMYFUNCTION("""COMPUTED_VALUE"""),"Orlando Magic")</f>
        <v>Orlando Magic</v>
      </c>
    </row>
    <row r="360">
      <c r="A360" s="17" t="s">
        <v>448</v>
      </c>
      <c r="B360" s="19">
        <f>IFERROR(__xludf.DUMMYFUNCTION("IFERROR(SPLIT(A360,"",""),"""")"),46372.0)</f>
        <v>46372</v>
      </c>
      <c r="C360" t="str">
        <f>IFERROR(__xludf.DUMMYFUNCTION("""COMPUTED_VALUE"""),"Dallas Mavericks")</f>
        <v>Dallas Mavericks</v>
      </c>
      <c r="D360" t="str">
        <f>IFERROR(__xludf.DUMMYFUNCTION("""COMPUTED_VALUE"""),"Brooklyn Nets")</f>
        <v>Brooklyn Nets</v>
      </c>
    </row>
    <row r="361">
      <c r="A361" s="17" t="s">
        <v>449</v>
      </c>
      <c r="B361" s="19">
        <f>IFERROR(__xludf.DUMMYFUNCTION("IFERROR(SPLIT(A361,"",""),"""")"),46372.0)</f>
        <v>46372</v>
      </c>
      <c r="C361" t="str">
        <f>IFERROR(__xludf.DUMMYFUNCTION("""COMPUTED_VALUE"""),"San Antonio Spurs")</f>
        <v>San Antonio Spurs</v>
      </c>
      <c r="D361" t="str">
        <f>IFERROR(__xludf.DUMMYFUNCTION("""COMPUTED_VALUE"""),"Toronto Raptors")</f>
        <v>Toronto Raptors</v>
      </c>
    </row>
    <row r="362">
      <c r="A362" s="17" t="s">
        <v>450</v>
      </c>
      <c r="B362" s="19">
        <f>IFERROR(__xludf.DUMMYFUNCTION("IFERROR(SPLIT(A362,"",""),"""")"),46372.0)</f>
        <v>46372</v>
      </c>
      <c r="C362" t="str">
        <f>IFERROR(__xludf.DUMMYFUNCTION("""COMPUTED_VALUE"""),"Utah Jazz")</f>
        <v>Utah Jazz</v>
      </c>
      <c r="D362" t="str">
        <f>IFERROR(__xludf.DUMMYFUNCTION("""COMPUTED_VALUE"""),"Chicago Bulls")</f>
        <v>Chicago Bulls</v>
      </c>
    </row>
    <row r="363">
      <c r="A363" s="17" t="s">
        <v>451</v>
      </c>
      <c r="B363" s="19">
        <f>IFERROR(__xludf.DUMMYFUNCTION("IFERROR(SPLIT(A363,"",""),"""")"),46372.0)</f>
        <v>46372</v>
      </c>
      <c r="C363" t="str">
        <f>IFERROR(__xludf.DUMMYFUNCTION("""COMPUTED_VALUE"""),"Miami Heat")</f>
        <v>Miami Heat</v>
      </c>
      <c r="D363" t="str">
        <f>IFERROR(__xludf.DUMMYFUNCTION("""COMPUTED_VALUE"""),"Memphis Grizzlies")</f>
        <v>Memphis Grizzlies</v>
      </c>
    </row>
    <row r="364">
      <c r="A364" s="17" t="s">
        <v>452</v>
      </c>
      <c r="B364" s="19">
        <f>IFERROR(__xludf.DUMMYFUNCTION("IFERROR(SPLIT(A364,"",""),"""")"),46372.0)</f>
        <v>46372</v>
      </c>
      <c r="C364" t="str">
        <f>IFERROR(__xludf.DUMMYFUNCTION("""COMPUTED_VALUE"""),"New York Knicks")</f>
        <v>New York Knicks</v>
      </c>
      <c r="D364" t="str">
        <f>IFERROR(__xludf.DUMMYFUNCTION("""COMPUTED_VALUE"""),"New Orleans Pelicans")</f>
        <v>New Orleans Pelicans</v>
      </c>
    </row>
    <row r="365">
      <c r="A365" s="17" t="s">
        <v>453</v>
      </c>
      <c r="B365" s="19">
        <f>IFERROR(__xludf.DUMMYFUNCTION("IFERROR(SPLIT(A365,"",""),"""")"),46372.0)</f>
        <v>46372</v>
      </c>
      <c r="C365" t="str">
        <f>IFERROR(__xludf.DUMMYFUNCTION("""COMPUTED_VALUE"""),"Sacramento Kings")</f>
        <v>Sacramento Kings</v>
      </c>
      <c r="D365" t="str">
        <f>IFERROR(__xludf.DUMMYFUNCTION("""COMPUTED_VALUE"""),"Oklahoma City Thunder")</f>
        <v>Oklahoma City Thunder</v>
      </c>
    </row>
    <row r="366">
      <c r="A366" s="17" t="s">
        <v>454</v>
      </c>
      <c r="B366" s="19">
        <f>IFERROR(__xludf.DUMMYFUNCTION("IFERROR(SPLIT(A366,"",""),"""")"),46372.0)</f>
        <v>46372</v>
      </c>
      <c r="C366" t="str">
        <f>IFERROR(__xludf.DUMMYFUNCTION("""COMPUTED_VALUE"""),"Milwaukee Bucks")</f>
        <v>Milwaukee Bucks</v>
      </c>
      <c r="D366" t="str">
        <f>IFERROR(__xludf.DUMMYFUNCTION("""COMPUTED_VALUE"""),"Houston Rockets")</f>
        <v>Houston Rockets</v>
      </c>
    </row>
    <row r="367">
      <c r="A367" s="17" t="s">
        <v>455</v>
      </c>
      <c r="B367" s="19">
        <f>IFERROR(__xludf.DUMMYFUNCTION("IFERROR(SPLIT(A367,"",""),"""")"),46372.0)</f>
        <v>46372</v>
      </c>
      <c r="C367" t="str">
        <f>IFERROR(__xludf.DUMMYFUNCTION("""COMPUTED_VALUE"""),"Los Angeles Lakers")</f>
        <v>Los Angeles Lakers</v>
      </c>
      <c r="D367" t="str">
        <f>IFERROR(__xludf.DUMMYFUNCTION("""COMPUTED_VALUE"""),"Minnesota Timberwolves")</f>
        <v>Minnesota Timberwolves</v>
      </c>
    </row>
    <row r="368">
      <c r="A368" s="17" t="s">
        <v>456</v>
      </c>
      <c r="B368" s="19">
        <f>IFERROR(__xludf.DUMMYFUNCTION("IFERROR(SPLIT(A368,"",""),"""")"),46373.0)</f>
        <v>46373</v>
      </c>
      <c r="C368" t="str">
        <f>IFERROR(__xludf.DUMMYFUNCTION("""COMPUTED_VALUE"""),"Portland Trail Blazers")</f>
        <v>Portland Trail Blazers</v>
      </c>
      <c r="D368" t="str">
        <f>IFERROR(__xludf.DUMMYFUNCTION("""COMPUTED_VALUE"""),"Indiana Pacers")</f>
        <v>Indiana Pacers</v>
      </c>
    </row>
    <row r="369">
      <c r="A369" s="17" t="s">
        <v>457</v>
      </c>
      <c r="B369" s="19">
        <f>IFERROR(__xludf.DUMMYFUNCTION("IFERROR(SPLIT(A369,"",""),"""")"),46373.0)</f>
        <v>46373</v>
      </c>
      <c r="C369" t="str">
        <f>IFERROR(__xludf.DUMMYFUNCTION("""COMPUTED_VALUE"""),"Dallas Mavericks")</f>
        <v>Dallas Mavericks</v>
      </c>
      <c r="D369" t="str">
        <f>IFERROR(__xludf.DUMMYFUNCTION("""COMPUTED_VALUE"""),"Philadelphia 76ers")</f>
        <v>Philadelphia 76ers</v>
      </c>
    </row>
    <row r="370">
      <c r="A370" s="17" t="s">
        <v>458</v>
      </c>
      <c r="B370" s="19">
        <f>IFERROR(__xludf.DUMMYFUNCTION("IFERROR(SPLIT(A370,"",""),"""")"),46373.0)</f>
        <v>46373</v>
      </c>
      <c r="C370" t="str">
        <f>IFERROR(__xludf.DUMMYFUNCTION("""COMPUTED_VALUE"""),"Atlanta Hawks")</f>
        <v>Atlanta Hawks</v>
      </c>
      <c r="D370" t="str">
        <f>IFERROR(__xludf.DUMMYFUNCTION("""COMPUTED_VALUE"""),"Denver Nuggets")</f>
        <v>Denver Nuggets</v>
      </c>
    </row>
    <row r="371">
      <c r="A371" s="17" t="s">
        <v>459</v>
      </c>
      <c r="B371" s="19">
        <f>IFERROR(__xludf.DUMMYFUNCTION("IFERROR(SPLIT(A371,"",""),"""")"),46374.0)</f>
        <v>46374</v>
      </c>
      <c r="C371" t="str">
        <f>IFERROR(__xludf.DUMMYFUNCTION("""COMPUTED_VALUE"""),"Oklahoma City Thunder")</f>
        <v>Oklahoma City Thunder</v>
      </c>
      <c r="D371" t="str">
        <f>IFERROR(__xludf.DUMMYFUNCTION("""COMPUTED_VALUE"""),"Charlotte Hornets")</f>
        <v>Charlotte Hornets</v>
      </c>
    </row>
    <row r="372">
      <c r="A372" s="17" t="s">
        <v>460</v>
      </c>
      <c r="B372" s="19">
        <f>IFERROR(__xludf.DUMMYFUNCTION("IFERROR(SPLIT(A372,"",""),"""")"),46374.0)</f>
        <v>46374</v>
      </c>
      <c r="C372" t="str">
        <f>IFERROR(__xludf.DUMMYFUNCTION("""COMPUTED_VALUE"""),"Los Angeles Clippers")</f>
        <v>Los Angeles Clippers</v>
      </c>
      <c r="D372" t="str">
        <f>IFERROR(__xludf.DUMMYFUNCTION("""COMPUTED_VALUE"""),"Miami Heat")</f>
        <v>Miami Heat</v>
      </c>
    </row>
    <row r="373">
      <c r="A373" s="17" t="s">
        <v>461</v>
      </c>
      <c r="B373" s="19">
        <f>IFERROR(__xludf.DUMMYFUNCTION("IFERROR(SPLIT(A373,"",""),"""")"),46374.0)</f>
        <v>46374</v>
      </c>
      <c r="C373" t="str">
        <f>IFERROR(__xludf.DUMMYFUNCTION("""COMPUTED_VALUE"""),"New York Knicks")</f>
        <v>New York Knicks</v>
      </c>
      <c r="D373" t="str">
        <f>IFERROR(__xludf.DUMMYFUNCTION("""COMPUTED_VALUE"""),"Washington Wizards")</f>
        <v>Washington Wizards</v>
      </c>
    </row>
    <row r="374">
      <c r="A374" s="17" t="s">
        <v>462</v>
      </c>
      <c r="B374" s="19">
        <f>IFERROR(__xludf.DUMMYFUNCTION("IFERROR(SPLIT(A374,"",""),"""")"),46374.0)</f>
        <v>46374</v>
      </c>
      <c r="C374" t="str">
        <f>IFERROR(__xludf.DUMMYFUNCTION("""COMPUTED_VALUE"""),"Utah Jazz")</f>
        <v>Utah Jazz</v>
      </c>
      <c r="D374" t="str">
        <f>IFERROR(__xludf.DUMMYFUNCTION("""COMPUTED_VALUE"""),"Boston Celtics")</f>
        <v>Boston Celtics</v>
      </c>
    </row>
    <row r="375">
      <c r="A375" s="17" t="s">
        <v>463</v>
      </c>
      <c r="B375" s="19">
        <f>IFERROR(__xludf.DUMMYFUNCTION("IFERROR(SPLIT(A375,"",""),"""")"),46374.0)</f>
        <v>46374</v>
      </c>
      <c r="C375" t="str">
        <f>IFERROR(__xludf.DUMMYFUNCTION("""COMPUTED_VALUE"""),"Orlando Magic")</f>
        <v>Orlando Magic</v>
      </c>
      <c r="D375" t="str">
        <f>IFERROR(__xludf.DUMMYFUNCTION("""COMPUTED_VALUE"""),"Brooklyn Nets")</f>
        <v>Brooklyn Nets</v>
      </c>
    </row>
    <row r="376">
      <c r="A376" s="17" t="s">
        <v>464</v>
      </c>
      <c r="B376" s="19">
        <f>IFERROR(__xludf.DUMMYFUNCTION("IFERROR(SPLIT(A376,"",""),"""")"),46374.0)</f>
        <v>46374</v>
      </c>
      <c r="C376" t="str">
        <f>IFERROR(__xludf.DUMMYFUNCTION("""COMPUTED_VALUE"""),"Cleveland Cavaliers")</f>
        <v>Cleveland Cavaliers</v>
      </c>
      <c r="D376" t="str">
        <f>IFERROR(__xludf.DUMMYFUNCTION("""COMPUTED_VALUE"""),"Detroit Pistons")</f>
        <v>Detroit Pistons</v>
      </c>
    </row>
    <row r="377">
      <c r="A377" s="17" t="s">
        <v>465</v>
      </c>
      <c r="B377" s="19">
        <f>IFERROR(__xludf.DUMMYFUNCTION("IFERROR(SPLIT(A377,"",""),"""")"),46374.0)</f>
        <v>46374</v>
      </c>
      <c r="C377" t="str">
        <f>IFERROR(__xludf.DUMMYFUNCTION("""COMPUTED_VALUE"""),"Golden State Warriors")</f>
        <v>Golden State Warriors</v>
      </c>
      <c r="D377" t="str">
        <f>IFERROR(__xludf.DUMMYFUNCTION("""COMPUTED_VALUE"""),"Toronto Raptors")</f>
        <v>Toronto Raptors</v>
      </c>
    </row>
    <row r="378">
      <c r="A378" s="17" t="s">
        <v>466</v>
      </c>
      <c r="B378" s="19">
        <f>IFERROR(__xludf.DUMMYFUNCTION("IFERROR(SPLIT(A378,"",""),"""")"),46374.0)</f>
        <v>46374</v>
      </c>
      <c r="C378" t="str">
        <f>IFERROR(__xludf.DUMMYFUNCTION("""COMPUTED_VALUE"""),"Houston Rockets")</f>
        <v>Houston Rockets</v>
      </c>
      <c r="D378" t="str">
        <f>IFERROR(__xludf.DUMMYFUNCTION("""COMPUTED_VALUE"""),"Memphis Grizzlies")</f>
        <v>Memphis Grizzlies</v>
      </c>
    </row>
    <row r="379">
      <c r="A379" s="17" t="s">
        <v>467</v>
      </c>
      <c r="B379" s="19">
        <f>IFERROR(__xludf.DUMMYFUNCTION("IFERROR(SPLIT(A379,"",""),"""")"),46374.0)</f>
        <v>46374</v>
      </c>
      <c r="C379" t="str">
        <f>IFERROR(__xludf.DUMMYFUNCTION("""COMPUTED_VALUE"""),"Phoenix Suns")</f>
        <v>Phoenix Suns</v>
      </c>
      <c r="D379" t="str">
        <f>IFERROR(__xludf.DUMMYFUNCTION("""COMPUTED_VALUE"""),"Milwaukee Bucks")</f>
        <v>Milwaukee Bucks</v>
      </c>
    </row>
    <row r="380">
      <c r="A380" s="17" t="s">
        <v>468</v>
      </c>
      <c r="B380" s="19">
        <f>IFERROR(__xludf.DUMMYFUNCTION("IFERROR(SPLIT(A380,"",""),"""")"),46374.0)</f>
        <v>46374</v>
      </c>
      <c r="C380" t="str">
        <f>IFERROR(__xludf.DUMMYFUNCTION("""COMPUTED_VALUE"""),"Los Angeles Lakers")</f>
        <v>Los Angeles Lakers</v>
      </c>
      <c r="D380" t="str">
        <f>IFERROR(__xludf.DUMMYFUNCTION("""COMPUTED_VALUE"""),"Minnesota Timberwolves")</f>
        <v>Minnesota Timberwolves</v>
      </c>
    </row>
    <row r="381">
      <c r="A381" s="17" t="s">
        <v>469</v>
      </c>
      <c r="B381" s="19">
        <f>IFERROR(__xludf.DUMMYFUNCTION("IFERROR(SPLIT(A381,"",""),"""")"),46374.0)</f>
        <v>46374</v>
      </c>
      <c r="C381" t="str">
        <f>IFERROR(__xludf.DUMMYFUNCTION("""COMPUTED_VALUE"""),"Sacramento Kings")</f>
        <v>Sacramento Kings</v>
      </c>
      <c r="D381" t="str">
        <f>IFERROR(__xludf.DUMMYFUNCTION("""COMPUTED_VALUE"""),"New Orleans Pelicans")</f>
        <v>New Orleans Pelicans</v>
      </c>
    </row>
    <row r="382">
      <c r="A382" s="17" t="s">
        <v>470</v>
      </c>
      <c r="B382" s="19">
        <f>IFERROR(__xludf.DUMMYFUNCTION("IFERROR(SPLIT(A382,"",""),"""")"),46374.0)</f>
        <v>46374</v>
      </c>
      <c r="C382" t="str">
        <f>IFERROR(__xludf.DUMMYFUNCTION("""COMPUTED_VALUE"""),"Chicago Bulls")</f>
        <v>Chicago Bulls</v>
      </c>
      <c r="D382" t="str">
        <f>IFERROR(__xludf.DUMMYFUNCTION("""COMPUTED_VALUE"""),"San Antonio Spurs")</f>
        <v>San Antonio Spurs</v>
      </c>
    </row>
    <row r="383">
      <c r="A383" s="17" t="s">
        <v>471</v>
      </c>
      <c r="B383" s="19">
        <f>IFERROR(__xludf.DUMMYFUNCTION("IFERROR(SPLIT(A383,"",""),"""")"),46375.0)</f>
        <v>46375</v>
      </c>
      <c r="C383" t="str">
        <f>IFERROR(__xludf.DUMMYFUNCTION("""COMPUTED_VALUE"""),"Portland Trail Blazers")</f>
        <v>Portland Trail Blazers</v>
      </c>
      <c r="D383" t="str">
        <f>IFERROR(__xludf.DUMMYFUNCTION("""COMPUTED_VALUE"""),"Charlotte Hornets")</f>
        <v>Charlotte Hornets</v>
      </c>
    </row>
    <row r="384">
      <c r="A384" s="17" t="s">
        <v>472</v>
      </c>
      <c r="B384" s="19">
        <f>IFERROR(__xludf.DUMMYFUNCTION("IFERROR(SPLIT(A384,"",""),"""")"),46375.0)</f>
        <v>46375</v>
      </c>
      <c r="C384" t="str">
        <f>IFERROR(__xludf.DUMMYFUNCTION("""COMPUTED_VALUE"""),"Orlando Magic")</f>
        <v>Orlando Magic</v>
      </c>
      <c r="D384" t="str">
        <f>IFERROR(__xludf.DUMMYFUNCTION("""COMPUTED_VALUE"""),"Atlanta Hawks")</f>
        <v>Atlanta Hawks</v>
      </c>
    </row>
    <row r="385">
      <c r="A385" s="17" t="s">
        <v>473</v>
      </c>
      <c r="B385" s="19">
        <f>IFERROR(__xludf.DUMMYFUNCTION("IFERROR(SPLIT(A385,"",""),"""")"),46375.0)</f>
        <v>46375</v>
      </c>
      <c r="C385" t="str">
        <f>IFERROR(__xludf.DUMMYFUNCTION("""COMPUTED_VALUE"""),"Chicago Bulls")</f>
        <v>Chicago Bulls</v>
      </c>
      <c r="D385" t="str">
        <f>IFERROR(__xludf.DUMMYFUNCTION("""COMPUTED_VALUE"""),"Dallas Mavericks")</f>
        <v>Dallas Mavericks</v>
      </c>
    </row>
    <row r="386">
      <c r="A386" s="17" t="s">
        <v>474</v>
      </c>
      <c r="B386" s="19">
        <f>IFERROR(__xludf.DUMMYFUNCTION("IFERROR(SPLIT(A386,"",""),"""")"),46375.0)</f>
        <v>46375</v>
      </c>
      <c r="C386" t="str">
        <f>IFERROR(__xludf.DUMMYFUNCTION("""COMPUTED_VALUE"""),"Los Angeles Lakers")</f>
        <v>Los Angeles Lakers</v>
      </c>
      <c r="D386" t="str">
        <f>IFERROR(__xludf.DUMMYFUNCTION("""COMPUTED_VALUE"""),"Denver Nuggets")</f>
        <v>Denver Nuggets</v>
      </c>
    </row>
    <row r="387">
      <c r="A387" s="17" t="s">
        <v>475</v>
      </c>
      <c r="B387" s="19">
        <f>IFERROR(__xludf.DUMMYFUNCTION("IFERROR(SPLIT(A387,"",""),"""")"),46376.0)</f>
        <v>46376</v>
      </c>
      <c r="C387" t="str">
        <f>IFERROR(__xludf.DUMMYFUNCTION("""COMPUTED_VALUE"""),"Washington Wizards")</f>
        <v>Washington Wizards</v>
      </c>
      <c r="D387" t="str">
        <f>IFERROR(__xludf.DUMMYFUNCTION("""COMPUTED_VALUE"""),"Brooklyn Nets")</f>
        <v>Brooklyn Nets</v>
      </c>
    </row>
    <row r="388">
      <c r="A388" s="17" t="s">
        <v>476</v>
      </c>
      <c r="B388" s="19">
        <f>IFERROR(__xludf.DUMMYFUNCTION("IFERROR(SPLIT(A388,"",""),"""")"),46376.0)</f>
        <v>46376</v>
      </c>
      <c r="C388" t="str">
        <f>IFERROR(__xludf.DUMMYFUNCTION("""COMPUTED_VALUE"""),"Houston Rockets")</f>
        <v>Houston Rockets</v>
      </c>
      <c r="D388" t="str">
        <f>IFERROR(__xludf.DUMMYFUNCTION("""COMPUTED_VALUE"""),"Toronto Raptors")</f>
        <v>Toronto Raptors</v>
      </c>
    </row>
    <row r="389">
      <c r="A389" s="17" t="s">
        <v>477</v>
      </c>
      <c r="B389" s="19">
        <f>IFERROR(__xludf.DUMMYFUNCTION("IFERROR(SPLIT(A389,"",""),"""")"),46376.0)</f>
        <v>46376</v>
      </c>
      <c r="C389" t="str">
        <f>IFERROR(__xludf.DUMMYFUNCTION("""COMPUTED_VALUE"""),"Phoenix Suns")</f>
        <v>Phoenix Suns</v>
      </c>
      <c r="D389" t="str">
        <f>IFERROR(__xludf.DUMMYFUNCTION("""COMPUTED_VALUE"""),"Memphis Grizzlies")</f>
        <v>Memphis Grizzlies</v>
      </c>
    </row>
    <row r="390">
      <c r="A390" s="17" t="s">
        <v>478</v>
      </c>
      <c r="B390" s="19">
        <f>IFERROR(__xludf.DUMMYFUNCTION("IFERROR(SPLIT(A390,"",""),"""")"),46376.0)</f>
        <v>46376</v>
      </c>
      <c r="C390" t="str">
        <f>IFERROR(__xludf.DUMMYFUNCTION("""COMPUTED_VALUE"""),"Utah Jazz")</f>
        <v>Utah Jazz</v>
      </c>
      <c r="D390" t="str">
        <f>IFERROR(__xludf.DUMMYFUNCTION("""COMPUTED_VALUE"""),"Cleveland Cavaliers")</f>
        <v>Cleveland Cavaliers</v>
      </c>
    </row>
    <row r="391">
      <c r="A391" s="17" t="s">
        <v>479</v>
      </c>
      <c r="B391" s="19">
        <f>IFERROR(__xludf.DUMMYFUNCTION("IFERROR(SPLIT(A391,"",""),"""")"),46376.0)</f>
        <v>46376</v>
      </c>
      <c r="C391" t="str">
        <f>IFERROR(__xludf.DUMMYFUNCTION("""COMPUTED_VALUE"""),"Sacramento Kings")</f>
        <v>Sacramento Kings</v>
      </c>
      <c r="D391" t="str">
        <f>IFERROR(__xludf.DUMMYFUNCTION("""COMPUTED_VALUE"""),"Miami Heat")</f>
        <v>Miami Heat</v>
      </c>
    </row>
    <row r="392">
      <c r="A392" s="17" t="s">
        <v>480</v>
      </c>
      <c r="B392" s="19">
        <f>IFERROR(__xludf.DUMMYFUNCTION("IFERROR(SPLIT(A392,"",""),"""")"),46376.0)</f>
        <v>46376</v>
      </c>
      <c r="C392" t="str">
        <f>IFERROR(__xludf.DUMMYFUNCTION("""COMPUTED_VALUE"""),"Oklahoma City Thunder")</f>
        <v>Oklahoma City Thunder</v>
      </c>
      <c r="D392" t="str">
        <f>IFERROR(__xludf.DUMMYFUNCTION("""COMPUTED_VALUE"""),"Atlanta Hawks")</f>
        <v>Atlanta Hawks</v>
      </c>
    </row>
    <row r="393">
      <c r="A393" s="17" t="s">
        <v>481</v>
      </c>
      <c r="B393" s="19">
        <f>IFERROR(__xludf.DUMMYFUNCTION("IFERROR(SPLIT(A393,"",""),"""")"),46376.0)</f>
        <v>46376</v>
      </c>
      <c r="C393" t="str">
        <f>IFERROR(__xludf.DUMMYFUNCTION("""COMPUTED_VALUE"""),"San Antonio Spurs")</f>
        <v>San Antonio Spurs</v>
      </c>
      <c r="D393" t="str">
        <f>IFERROR(__xludf.DUMMYFUNCTION("""COMPUTED_VALUE"""),"New Orleans Pelicans")</f>
        <v>New Orleans Pelicans</v>
      </c>
    </row>
    <row r="394">
      <c r="A394" s="17" t="s">
        <v>482</v>
      </c>
      <c r="B394" s="19">
        <f>IFERROR(__xludf.DUMMYFUNCTION("IFERROR(SPLIT(A394,"",""),"""")"),46376.0)</f>
        <v>46376</v>
      </c>
      <c r="C394" t="str">
        <f>IFERROR(__xludf.DUMMYFUNCTION("""COMPUTED_VALUE"""),"Detroit Pistons")</f>
        <v>Detroit Pistons</v>
      </c>
      <c r="D394" t="str">
        <f>IFERROR(__xludf.DUMMYFUNCTION("""COMPUTED_VALUE"""),"Boston Celtics")</f>
        <v>Boston Celtics</v>
      </c>
    </row>
    <row r="395">
      <c r="A395" s="17" t="s">
        <v>483</v>
      </c>
      <c r="B395" s="19">
        <f>IFERROR(__xludf.DUMMYFUNCTION("IFERROR(SPLIT(A395,"",""),"""")"),46376.0)</f>
        <v>46376</v>
      </c>
      <c r="C395" t="str">
        <f>IFERROR(__xludf.DUMMYFUNCTION("""COMPUTED_VALUE"""),"Golden State Warriors")</f>
        <v>Golden State Warriors</v>
      </c>
      <c r="D395" t="str">
        <f>IFERROR(__xludf.DUMMYFUNCTION("""COMPUTED_VALUE"""),"Milwaukee Bucks")</f>
        <v>Milwaukee Bucks</v>
      </c>
    </row>
    <row r="396">
      <c r="A396" s="17" t="s">
        <v>484</v>
      </c>
      <c r="B396" s="19">
        <f>IFERROR(__xludf.DUMMYFUNCTION("IFERROR(SPLIT(A396,"",""),"""")"),46376.0)</f>
        <v>46376</v>
      </c>
      <c r="C396" t="str">
        <f>IFERROR(__xludf.DUMMYFUNCTION("""COMPUTED_VALUE"""),"Indiana Pacers")</f>
        <v>Indiana Pacers</v>
      </c>
      <c r="D396" t="str">
        <f>IFERROR(__xludf.DUMMYFUNCTION("""COMPUTED_VALUE"""),"Los Angeles Clippers")</f>
        <v>Los Angeles Clippers</v>
      </c>
    </row>
    <row r="397">
      <c r="A397" s="17" t="s">
        <v>485</v>
      </c>
      <c r="B397" s="19">
        <f>IFERROR(__xludf.DUMMYFUNCTION("IFERROR(SPLIT(A397,"",""),"""")"),46377.0)</f>
        <v>46377</v>
      </c>
      <c r="C397" t="str">
        <f>IFERROR(__xludf.DUMMYFUNCTION("""COMPUTED_VALUE"""),"Philadelphia 76ers")</f>
        <v>Philadelphia 76ers</v>
      </c>
      <c r="D397" t="str">
        <f>IFERROR(__xludf.DUMMYFUNCTION("""COMPUTED_VALUE"""),"Charlotte Hornets")</f>
        <v>Charlotte Hornets</v>
      </c>
    </row>
    <row r="398">
      <c r="A398" s="17" t="s">
        <v>486</v>
      </c>
      <c r="B398" s="19">
        <f>IFERROR(__xludf.DUMMYFUNCTION("IFERROR(SPLIT(A398,"",""),"""")"),46377.0)</f>
        <v>46377</v>
      </c>
      <c r="C398" t="str">
        <f>IFERROR(__xludf.DUMMYFUNCTION("""COMPUTED_VALUE"""),"New York Knicks")</f>
        <v>New York Knicks</v>
      </c>
      <c r="D398" t="str">
        <f>IFERROR(__xludf.DUMMYFUNCTION("""COMPUTED_VALUE"""),"Cleveland Cavaliers")</f>
        <v>Cleveland Cavaliers</v>
      </c>
    </row>
    <row r="399">
      <c r="A399" s="17" t="s">
        <v>487</v>
      </c>
      <c r="B399" s="19">
        <f>IFERROR(__xludf.DUMMYFUNCTION("IFERROR(SPLIT(A399,"",""),"""")"),46377.0)</f>
        <v>46377</v>
      </c>
      <c r="C399" t="str">
        <f>IFERROR(__xludf.DUMMYFUNCTION("""COMPUTED_VALUE"""),"Sacramento Kings")</f>
        <v>Sacramento Kings</v>
      </c>
      <c r="D399" t="str">
        <f>IFERROR(__xludf.DUMMYFUNCTION("""COMPUTED_VALUE"""),"Orlando Magic")</f>
        <v>Orlando Magic</v>
      </c>
    </row>
    <row r="400">
      <c r="A400" s="17" t="s">
        <v>488</v>
      </c>
      <c r="B400" s="19">
        <f>IFERROR(__xludf.DUMMYFUNCTION("IFERROR(SPLIT(A400,"",""),"""")"),46377.0)</f>
        <v>46377</v>
      </c>
      <c r="C400" t="str">
        <f>IFERROR(__xludf.DUMMYFUNCTION("""COMPUTED_VALUE"""),"Portland Trail Blazers")</f>
        <v>Portland Trail Blazers</v>
      </c>
      <c r="D400" t="str">
        <f>IFERROR(__xludf.DUMMYFUNCTION("""COMPUTED_VALUE"""),"Brooklyn Nets")</f>
        <v>Brooklyn Nets</v>
      </c>
    </row>
    <row r="401">
      <c r="A401" s="17" t="s">
        <v>489</v>
      </c>
      <c r="B401" s="19">
        <f>IFERROR(__xludf.DUMMYFUNCTION("IFERROR(SPLIT(A401,"",""),"""")"),46377.0)</f>
        <v>46377</v>
      </c>
      <c r="C401" t="str">
        <f>IFERROR(__xludf.DUMMYFUNCTION("""COMPUTED_VALUE"""),"Chicago Bulls")</f>
        <v>Chicago Bulls</v>
      </c>
      <c r="D401" t="str">
        <f>IFERROR(__xludf.DUMMYFUNCTION("""COMPUTED_VALUE"""),"Miami Heat")</f>
        <v>Miami Heat</v>
      </c>
    </row>
    <row r="402">
      <c r="A402" s="17" t="s">
        <v>490</v>
      </c>
      <c r="B402" s="19">
        <f>IFERROR(__xludf.DUMMYFUNCTION("IFERROR(SPLIT(A402,"",""),"""")"),46377.0)</f>
        <v>46377</v>
      </c>
      <c r="C402" t="str">
        <f>IFERROR(__xludf.DUMMYFUNCTION("""COMPUTED_VALUE"""),"Phoenix Suns")</f>
        <v>Phoenix Suns</v>
      </c>
      <c r="D402" t="str">
        <f>IFERROR(__xludf.DUMMYFUNCTION("""COMPUTED_VALUE"""),"Minnesota Timberwolves")</f>
        <v>Minnesota Timberwolves</v>
      </c>
    </row>
    <row r="403">
      <c r="A403" s="17" t="s">
        <v>491</v>
      </c>
      <c r="B403" s="19">
        <f>IFERROR(__xludf.DUMMYFUNCTION("IFERROR(SPLIT(A403,"",""),"""")"),46377.0)</f>
        <v>46377</v>
      </c>
      <c r="C403" t="str">
        <f>IFERROR(__xludf.DUMMYFUNCTION("""COMPUTED_VALUE"""),"Memphis Grizzlies")</f>
        <v>Memphis Grizzlies</v>
      </c>
      <c r="D403" t="str">
        <f>IFERROR(__xludf.DUMMYFUNCTION("""COMPUTED_VALUE"""),"New Orleans Pelicans")</f>
        <v>New Orleans Pelicans</v>
      </c>
    </row>
    <row r="404">
      <c r="A404" s="17" t="s">
        <v>492</v>
      </c>
      <c r="B404" s="19">
        <f>IFERROR(__xludf.DUMMYFUNCTION("IFERROR(SPLIT(A404,"",""),"""")"),46377.0)</f>
        <v>46377</v>
      </c>
      <c r="C404" t="str">
        <f>IFERROR(__xludf.DUMMYFUNCTION("""COMPUTED_VALUE"""),"Milwaukee Bucks")</f>
        <v>Milwaukee Bucks</v>
      </c>
      <c r="D404" t="str">
        <f>IFERROR(__xludf.DUMMYFUNCTION("""COMPUTED_VALUE"""),"San Antonio Spurs")</f>
        <v>San Antonio Spurs</v>
      </c>
    </row>
    <row r="405">
      <c r="A405" s="17" t="s">
        <v>493</v>
      </c>
      <c r="B405" s="19">
        <f>IFERROR(__xludf.DUMMYFUNCTION("IFERROR(SPLIT(A405,"",""),"""")"),46377.0)</f>
        <v>46377</v>
      </c>
      <c r="C405" t="str">
        <f>IFERROR(__xludf.DUMMYFUNCTION("""COMPUTED_VALUE"""),"Indiana Pacers")</f>
        <v>Indiana Pacers</v>
      </c>
      <c r="D405" t="str">
        <f>IFERROR(__xludf.DUMMYFUNCTION("""COMPUTED_VALUE"""),"Los Angeles Lakers")</f>
        <v>Los Angeles Lakers</v>
      </c>
    </row>
    <row r="406">
      <c r="A406" s="17" t="s">
        <v>494</v>
      </c>
      <c r="B406" s="19">
        <f>IFERROR(__xludf.DUMMYFUNCTION("IFERROR(SPLIT(A406,"",""),"""")"),46377.0)</f>
        <v>46377</v>
      </c>
      <c r="C406" t="str">
        <f>IFERROR(__xludf.DUMMYFUNCTION("""COMPUTED_VALUE"""),"Denver Nuggets")</f>
        <v>Denver Nuggets</v>
      </c>
      <c r="D406" t="str">
        <f>IFERROR(__xludf.DUMMYFUNCTION("""COMPUTED_VALUE"""),"Los Angeles Clippers")</f>
        <v>Los Angeles Clippers</v>
      </c>
    </row>
    <row r="407">
      <c r="A407" s="17" t="s">
        <v>495</v>
      </c>
      <c r="B407" s="19">
        <f>IFERROR(__xludf.DUMMYFUNCTION("IFERROR(SPLIT(A407,"",""),"""")"),46378.0)</f>
        <v>46378</v>
      </c>
      <c r="C407" t="str">
        <f>IFERROR(__xludf.DUMMYFUNCTION("""COMPUTED_VALUE"""),"Toronto Raptors")</f>
        <v>Toronto Raptors</v>
      </c>
      <c r="D407" t="str">
        <f>IFERROR(__xludf.DUMMYFUNCTION("""COMPUTED_VALUE"""),"Washington Wizards")</f>
        <v>Washington Wizards</v>
      </c>
    </row>
    <row r="408">
      <c r="A408" s="17" t="s">
        <v>496</v>
      </c>
      <c r="B408" s="19">
        <f>IFERROR(__xludf.DUMMYFUNCTION("IFERROR(SPLIT(A408,"",""),"""")"),46378.0)</f>
        <v>46378</v>
      </c>
      <c r="C408" t="str">
        <f>IFERROR(__xludf.DUMMYFUNCTION("""COMPUTED_VALUE"""),"Detroit Pistons")</f>
        <v>Detroit Pistons</v>
      </c>
      <c r="D408" t="str">
        <f>IFERROR(__xludf.DUMMYFUNCTION("""COMPUTED_VALUE"""),"Oklahoma City Thunder")</f>
        <v>Oklahoma City Thunder</v>
      </c>
    </row>
    <row r="409">
      <c r="A409" s="17" t="s">
        <v>497</v>
      </c>
      <c r="B409" s="19">
        <f>IFERROR(__xludf.DUMMYFUNCTION("IFERROR(SPLIT(A409,"",""),"""")"),46378.0)</f>
        <v>46378</v>
      </c>
      <c r="C409" t="str">
        <f>IFERROR(__xludf.DUMMYFUNCTION("""COMPUTED_VALUE"""),"Dallas Mavericks")</f>
        <v>Dallas Mavericks</v>
      </c>
      <c r="D409" t="str">
        <f>IFERROR(__xludf.DUMMYFUNCTION("""COMPUTED_VALUE"""),"Golden State Warriors")</f>
        <v>Golden State Warriors</v>
      </c>
    </row>
    <row r="410">
      <c r="A410" s="17" t="s">
        <v>498</v>
      </c>
      <c r="B410" s="19">
        <f>IFERROR(__xludf.DUMMYFUNCTION("IFERROR(SPLIT(A410,"",""),"""")"),46379.0)</f>
        <v>46379</v>
      </c>
      <c r="C410" t="str">
        <f>IFERROR(__xludf.DUMMYFUNCTION("""COMPUTED_VALUE"""),"Detroit Pistons")</f>
        <v>Detroit Pistons</v>
      </c>
      <c r="D410" t="str">
        <f>IFERROR(__xludf.DUMMYFUNCTION("""COMPUTED_VALUE"""),"Atlanta Hawks")</f>
        <v>Atlanta Hawks</v>
      </c>
    </row>
    <row r="411">
      <c r="A411" s="17" t="s">
        <v>499</v>
      </c>
      <c r="B411" s="19">
        <f>IFERROR(__xludf.DUMMYFUNCTION("IFERROR(SPLIT(A411,"",""),"""")"),46379.0)</f>
        <v>46379</v>
      </c>
      <c r="C411" t="str">
        <f>IFERROR(__xludf.DUMMYFUNCTION("""COMPUTED_VALUE"""),"Charlotte Hornets")</f>
        <v>Charlotte Hornets</v>
      </c>
      <c r="D411" t="str">
        <f>IFERROR(__xludf.DUMMYFUNCTION("""COMPUTED_VALUE"""),"Orlando Magic")</f>
        <v>Orlando Magic</v>
      </c>
    </row>
    <row r="412">
      <c r="A412" s="17" t="s">
        <v>500</v>
      </c>
      <c r="B412" s="19">
        <f>IFERROR(__xludf.DUMMYFUNCTION("IFERROR(SPLIT(A412,"",""),"""")"),46379.0)</f>
        <v>46379</v>
      </c>
      <c r="C412" t="str">
        <f>IFERROR(__xludf.DUMMYFUNCTION("""COMPUTED_VALUE"""),"Cleveland Cavaliers")</f>
        <v>Cleveland Cavaliers</v>
      </c>
      <c r="D412" t="str">
        <f>IFERROR(__xludf.DUMMYFUNCTION("""COMPUTED_VALUE"""),"Washington Wizards")</f>
        <v>Washington Wizards</v>
      </c>
    </row>
    <row r="413">
      <c r="A413" s="17" t="s">
        <v>501</v>
      </c>
      <c r="B413" s="19">
        <f>IFERROR(__xludf.DUMMYFUNCTION("IFERROR(SPLIT(A413,"",""),"""")"),46379.0)</f>
        <v>46379</v>
      </c>
      <c r="C413" t="str">
        <f>IFERROR(__xludf.DUMMYFUNCTION("""COMPUTED_VALUE"""),"Portland Trail Blazers")</f>
        <v>Portland Trail Blazers</v>
      </c>
      <c r="D413" t="str">
        <f>IFERROR(__xludf.DUMMYFUNCTION("""COMPUTED_VALUE"""),"Boston Celtics")</f>
        <v>Boston Celtics</v>
      </c>
    </row>
    <row r="414">
      <c r="A414" s="17" t="s">
        <v>502</v>
      </c>
      <c r="B414" s="19">
        <f>IFERROR(__xludf.DUMMYFUNCTION("IFERROR(SPLIT(A414,"",""),"""")"),46379.0)</f>
        <v>46379</v>
      </c>
      <c r="C414" t="str">
        <f>IFERROR(__xludf.DUMMYFUNCTION("""COMPUTED_VALUE"""),"San Antonio Spurs")</f>
        <v>San Antonio Spurs</v>
      </c>
      <c r="D414" t="str">
        <f>IFERROR(__xludf.DUMMYFUNCTION("""COMPUTED_VALUE"""),"Brooklyn Nets")</f>
        <v>Brooklyn Nets</v>
      </c>
    </row>
    <row r="415">
      <c r="A415" s="17" t="s">
        <v>503</v>
      </c>
      <c r="B415" s="19">
        <f>IFERROR(__xludf.DUMMYFUNCTION("IFERROR(SPLIT(A415,"",""),"""")"),46379.0)</f>
        <v>46379</v>
      </c>
      <c r="C415" t="str">
        <f>IFERROR(__xludf.DUMMYFUNCTION("""COMPUTED_VALUE"""),"Chicago Bulls")</f>
        <v>Chicago Bulls</v>
      </c>
      <c r="D415" t="str">
        <f>IFERROR(__xludf.DUMMYFUNCTION("""COMPUTED_VALUE"""),"Miami Heat")</f>
        <v>Miami Heat</v>
      </c>
    </row>
    <row r="416">
      <c r="A416" s="17" t="s">
        <v>504</v>
      </c>
      <c r="B416" s="19">
        <f>IFERROR(__xludf.DUMMYFUNCTION("IFERROR(SPLIT(A416,"",""),"""")"),46379.0)</f>
        <v>46379</v>
      </c>
      <c r="C416" t="str">
        <f>IFERROR(__xludf.DUMMYFUNCTION("""COMPUTED_VALUE"""),"Utah Jazz")</f>
        <v>Utah Jazz</v>
      </c>
      <c r="D416" t="str">
        <f>IFERROR(__xludf.DUMMYFUNCTION("""COMPUTED_VALUE"""),"New York Knicks")</f>
        <v>New York Knicks</v>
      </c>
    </row>
    <row r="417">
      <c r="A417" s="17" t="s">
        <v>505</v>
      </c>
      <c r="B417" s="19">
        <f>IFERROR(__xludf.DUMMYFUNCTION("IFERROR(SPLIT(A417,"",""),"""")"),46379.0)</f>
        <v>46379</v>
      </c>
      <c r="C417" t="str">
        <f>IFERROR(__xludf.DUMMYFUNCTION("""COMPUTED_VALUE"""),"Houston Rockets")</f>
        <v>Houston Rockets</v>
      </c>
      <c r="D417" t="str">
        <f>IFERROR(__xludf.DUMMYFUNCTION("""COMPUTED_VALUE"""),"Philadelphia 76ers")</f>
        <v>Philadelphia 76ers</v>
      </c>
    </row>
    <row r="418">
      <c r="A418" s="17" t="s">
        <v>506</v>
      </c>
      <c r="B418" s="19">
        <f>IFERROR(__xludf.DUMMYFUNCTION("IFERROR(SPLIT(A418,"",""),"""")"),46379.0)</f>
        <v>46379</v>
      </c>
      <c r="C418" t="str">
        <f>IFERROR(__xludf.DUMMYFUNCTION("""COMPUTED_VALUE"""),"Toronto Raptors")</f>
        <v>Toronto Raptors</v>
      </c>
      <c r="D418" t="str">
        <f>IFERROR(__xludf.DUMMYFUNCTION("""COMPUTED_VALUE"""),"Memphis Grizzlies")</f>
        <v>Memphis Grizzlies</v>
      </c>
    </row>
    <row r="419">
      <c r="A419" s="17" t="s">
        <v>507</v>
      </c>
      <c r="B419" s="19">
        <f>IFERROR(__xludf.DUMMYFUNCTION("IFERROR(SPLIT(A419,"",""),"""")"),46379.0)</f>
        <v>46379</v>
      </c>
      <c r="C419" t="str">
        <f>IFERROR(__xludf.DUMMYFUNCTION("""COMPUTED_VALUE"""),"Minnesota Timberwolves")</f>
        <v>Minnesota Timberwolves</v>
      </c>
      <c r="D419" t="str">
        <f>IFERROR(__xludf.DUMMYFUNCTION("""COMPUTED_VALUE"""),"Milwaukee Bucks")</f>
        <v>Milwaukee Bucks</v>
      </c>
    </row>
    <row r="420">
      <c r="A420" s="17" t="s">
        <v>508</v>
      </c>
      <c r="B420" s="19">
        <f>IFERROR(__xludf.DUMMYFUNCTION("IFERROR(SPLIT(A420,"",""),"""")"),46379.0)</f>
        <v>46379</v>
      </c>
      <c r="C420" t="str">
        <f>IFERROR(__xludf.DUMMYFUNCTION("""COMPUTED_VALUE"""),"Oklahoma City Thunder")</f>
        <v>Oklahoma City Thunder</v>
      </c>
      <c r="D420" t="str">
        <f>IFERROR(__xludf.DUMMYFUNCTION("""COMPUTED_VALUE"""),"New Orleans Pelicans")</f>
        <v>New Orleans Pelicans</v>
      </c>
    </row>
    <row r="421">
      <c r="A421" s="17" t="s">
        <v>509</v>
      </c>
      <c r="B421" s="19">
        <f>IFERROR(__xludf.DUMMYFUNCTION("IFERROR(SPLIT(A421,"",""),"""")"),46379.0)</f>
        <v>46379</v>
      </c>
      <c r="C421" t="str">
        <f>IFERROR(__xludf.DUMMYFUNCTION("""COMPUTED_VALUE"""),"Indiana Pacers")</f>
        <v>Indiana Pacers</v>
      </c>
      <c r="D421" t="str">
        <f>IFERROR(__xludf.DUMMYFUNCTION("""COMPUTED_VALUE"""),"Phoenix Suns")</f>
        <v>Phoenix Suns</v>
      </c>
    </row>
    <row r="422">
      <c r="A422" s="17" t="s">
        <v>510</v>
      </c>
      <c r="B422" s="19">
        <f>IFERROR(__xludf.DUMMYFUNCTION("IFERROR(SPLIT(A422,"",""),"""")"),46379.0)</f>
        <v>46379</v>
      </c>
      <c r="C422" t="str">
        <f>IFERROR(__xludf.DUMMYFUNCTION("""COMPUTED_VALUE"""),"Denver Nuggets")</f>
        <v>Denver Nuggets</v>
      </c>
      <c r="D422" t="str">
        <f>IFERROR(__xludf.DUMMYFUNCTION("""COMPUTED_VALUE"""),"Los Angeles Lakers")</f>
        <v>Los Angeles Lakers</v>
      </c>
    </row>
    <row r="423">
      <c r="A423" s="17" t="s">
        <v>511</v>
      </c>
      <c r="B423" s="19">
        <f>IFERROR(__xludf.DUMMYFUNCTION("IFERROR(SPLIT(A423,"",""),"""")"),46379.0)</f>
        <v>46379</v>
      </c>
      <c r="C423" t="str">
        <f>IFERROR(__xludf.DUMMYFUNCTION("""COMPUTED_VALUE"""),"Dallas Mavericks")</f>
        <v>Dallas Mavericks</v>
      </c>
      <c r="D423" t="str">
        <f>IFERROR(__xludf.DUMMYFUNCTION("""COMPUTED_VALUE"""),"Sacramento Kings")</f>
        <v>Sacramento Kings</v>
      </c>
    </row>
    <row r="424">
      <c r="A424" s="17" t="s">
        <v>512</v>
      </c>
      <c r="B424" s="19">
        <f>IFERROR(__xludf.DUMMYFUNCTION("IFERROR(SPLIT(A424,"",""),"""")"),46379.0)</f>
        <v>46379</v>
      </c>
      <c r="C424" t="str">
        <f>IFERROR(__xludf.DUMMYFUNCTION("""COMPUTED_VALUE"""),"Golden State Warriors")</f>
        <v>Golden State Warriors</v>
      </c>
      <c r="D424" t="str">
        <f>IFERROR(__xludf.DUMMYFUNCTION("""COMPUTED_VALUE"""),"Los Angeles Clippers")</f>
        <v>Los Angeles Clippers</v>
      </c>
    </row>
    <row r="425">
      <c r="A425" s="17" t="s">
        <v>513</v>
      </c>
      <c r="B425" s="19">
        <f>IFERROR(__xludf.DUMMYFUNCTION("IFERROR(SPLIT(A425,"",""),"""")"),46381.0)</f>
        <v>46381</v>
      </c>
      <c r="C425" t="str">
        <f>IFERROR(__xludf.DUMMYFUNCTION("""COMPUTED_VALUE"""),"San Antonio Spurs")</f>
        <v>San Antonio Spurs</v>
      </c>
      <c r="D425" t="str">
        <f>IFERROR(__xludf.DUMMYFUNCTION("""COMPUTED_VALUE"""),"New York Knicks")</f>
        <v>New York Knicks</v>
      </c>
    </row>
    <row r="426">
      <c r="A426" s="17" t="s">
        <v>514</v>
      </c>
      <c r="B426" s="19">
        <f>IFERROR(__xludf.DUMMYFUNCTION("IFERROR(SPLIT(A426,"",""),"""")"),46381.0)</f>
        <v>46381</v>
      </c>
      <c r="C426" t="str">
        <f>IFERROR(__xludf.DUMMYFUNCTION("""COMPUTED_VALUE"""),"Miami Heat")</f>
        <v>Miami Heat</v>
      </c>
      <c r="D426" t="str">
        <f>IFERROR(__xludf.DUMMYFUNCTION("""COMPUTED_VALUE"""),"Boston Celtics")</f>
        <v>Boston Celtics</v>
      </c>
    </row>
    <row r="427">
      <c r="A427" s="17" t="s">
        <v>515</v>
      </c>
      <c r="B427" s="19">
        <f>IFERROR(__xludf.DUMMYFUNCTION("IFERROR(SPLIT(A427,"",""),"""")"),46381.0)</f>
        <v>46381</v>
      </c>
      <c r="C427" t="str">
        <f>IFERROR(__xludf.DUMMYFUNCTION("""COMPUTED_VALUE"""),"Philadelphia 76ers")</f>
        <v>Philadelphia 76ers</v>
      </c>
      <c r="D427" t="str">
        <f>IFERROR(__xludf.DUMMYFUNCTION("""COMPUTED_VALUE"""),"Los Angeles Lakers")</f>
        <v>Los Angeles Lakers</v>
      </c>
    </row>
    <row r="428">
      <c r="A428" s="17" t="s">
        <v>516</v>
      </c>
      <c r="B428" s="19">
        <f>IFERROR(__xludf.DUMMYFUNCTION("IFERROR(SPLIT(A428,"",""),"""")"),46381.0)</f>
        <v>46381</v>
      </c>
      <c r="C428" t="str">
        <f>IFERROR(__xludf.DUMMYFUNCTION("""COMPUTED_VALUE"""),"Oklahoma City Thunder")</f>
        <v>Oklahoma City Thunder</v>
      </c>
      <c r="D428" t="str">
        <f>IFERROR(__xludf.DUMMYFUNCTION("""COMPUTED_VALUE"""),"Minnesota Timberwolves")</f>
        <v>Minnesota Timberwolves</v>
      </c>
    </row>
    <row r="429">
      <c r="A429" s="17" t="s">
        <v>517</v>
      </c>
      <c r="B429" s="19">
        <f>IFERROR(__xludf.DUMMYFUNCTION("IFERROR(SPLIT(A429,"",""),"""")"),46381.0)</f>
        <v>46381</v>
      </c>
      <c r="C429" t="str">
        <f>IFERROR(__xludf.DUMMYFUNCTION("""COMPUTED_VALUE"""),"Denver Nuggets")</f>
        <v>Denver Nuggets</v>
      </c>
      <c r="D429" t="str">
        <f>IFERROR(__xludf.DUMMYFUNCTION("""COMPUTED_VALUE"""),"Golden State Warriors")</f>
        <v>Golden State Warriors</v>
      </c>
    </row>
    <row r="430">
      <c r="A430" s="17" t="s">
        <v>518</v>
      </c>
      <c r="B430" s="19">
        <f>IFERROR(__xludf.DUMMYFUNCTION("IFERROR(SPLIT(A430,"",""),"""")"),46382.0)</f>
        <v>46382</v>
      </c>
      <c r="C430" t="str">
        <f>IFERROR(__xludf.DUMMYFUNCTION("""COMPUTED_VALUE"""),"Portland Trail Blazers")</f>
        <v>Portland Trail Blazers</v>
      </c>
      <c r="D430" t="str">
        <f>IFERROR(__xludf.DUMMYFUNCTION("""COMPUTED_VALUE"""),"Washington Wizards")</f>
        <v>Washington Wizards</v>
      </c>
    </row>
    <row r="431">
      <c r="A431" s="17" t="s">
        <v>519</v>
      </c>
      <c r="B431" s="19">
        <f>IFERROR(__xludf.DUMMYFUNCTION("IFERROR(SPLIT(A431,"",""),"""")"),46382.0)</f>
        <v>46382</v>
      </c>
      <c r="C431" t="str">
        <f>IFERROR(__xludf.DUMMYFUNCTION("""COMPUTED_VALUE"""),"Charlotte Hornets")</f>
        <v>Charlotte Hornets</v>
      </c>
      <c r="D431" t="str">
        <f>IFERROR(__xludf.DUMMYFUNCTION("""COMPUTED_VALUE"""),"Atlanta Hawks")</f>
        <v>Atlanta Hawks</v>
      </c>
    </row>
    <row r="432">
      <c r="A432" s="17" t="s">
        <v>520</v>
      </c>
      <c r="B432" s="19">
        <f>IFERROR(__xludf.DUMMYFUNCTION("IFERROR(SPLIT(A432,"",""),"""")"),46382.0)</f>
        <v>46382</v>
      </c>
      <c r="C432" t="str">
        <f>IFERROR(__xludf.DUMMYFUNCTION("""COMPUTED_VALUE"""),"Indiana Pacers")</f>
        <v>Indiana Pacers</v>
      </c>
      <c r="D432" t="str">
        <f>IFERROR(__xludf.DUMMYFUNCTION("""COMPUTED_VALUE"""),"Utah Jazz")</f>
        <v>Utah Jazz</v>
      </c>
    </row>
    <row r="433">
      <c r="A433" s="17" t="s">
        <v>521</v>
      </c>
      <c r="B433" s="19">
        <f>IFERROR(__xludf.DUMMYFUNCTION("IFERROR(SPLIT(A433,"",""),"""")"),46382.0)</f>
        <v>46382</v>
      </c>
      <c r="C433" t="str">
        <f>IFERROR(__xludf.DUMMYFUNCTION("""COMPUTED_VALUE"""),"New Orleans Pelicans")</f>
        <v>New Orleans Pelicans</v>
      </c>
      <c r="D433" t="str">
        <f>IFERROR(__xludf.DUMMYFUNCTION("""COMPUTED_VALUE"""),"Brooklyn Nets")</f>
        <v>Brooklyn Nets</v>
      </c>
    </row>
    <row r="434">
      <c r="A434" s="17" t="s">
        <v>522</v>
      </c>
      <c r="B434" s="19">
        <f>IFERROR(__xludf.DUMMYFUNCTION("IFERROR(SPLIT(A434,"",""),"""")"),46382.0)</f>
        <v>46382</v>
      </c>
      <c r="C434" t="str">
        <f>IFERROR(__xludf.DUMMYFUNCTION("""COMPUTED_VALUE"""),"Toronto Raptors")</f>
        <v>Toronto Raptors</v>
      </c>
      <c r="D434" t="str">
        <f>IFERROR(__xludf.DUMMYFUNCTION("""COMPUTED_VALUE"""),"Orlando Magic")</f>
        <v>Orlando Magic</v>
      </c>
    </row>
    <row r="435">
      <c r="A435" s="17" t="s">
        <v>523</v>
      </c>
      <c r="B435" s="19">
        <f>IFERROR(__xludf.DUMMYFUNCTION("IFERROR(SPLIT(A435,"",""),"""")"),46382.0)</f>
        <v>46382</v>
      </c>
      <c r="C435" t="str">
        <f>IFERROR(__xludf.DUMMYFUNCTION("""COMPUTED_VALUE"""),"Detroit Pistons")</f>
        <v>Detroit Pistons</v>
      </c>
      <c r="D435" t="str">
        <f>IFERROR(__xludf.DUMMYFUNCTION("""COMPUTED_VALUE"""),"Chicago Bulls")</f>
        <v>Chicago Bulls</v>
      </c>
    </row>
    <row r="436">
      <c r="A436" s="17" t="s">
        <v>524</v>
      </c>
      <c r="B436" s="19">
        <f>IFERROR(__xludf.DUMMYFUNCTION("IFERROR(SPLIT(A436,"",""),"""")"),46382.0)</f>
        <v>46382</v>
      </c>
      <c r="C436" t="str">
        <f>IFERROR(__xludf.DUMMYFUNCTION("""COMPUTED_VALUE"""),"Phoenix Suns")</f>
        <v>Phoenix Suns</v>
      </c>
      <c r="D436" t="str">
        <f>IFERROR(__xludf.DUMMYFUNCTION("""COMPUTED_VALUE"""),"Dallas Mavericks")</f>
        <v>Dallas Mavericks</v>
      </c>
    </row>
    <row r="437">
      <c r="A437" s="17" t="s">
        <v>525</v>
      </c>
      <c r="B437" s="19">
        <f>IFERROR(__xludf.DUMMYFUNCTION("IFERROR(SPLIT(A437,"",""),"""")"),46382.0)</f>
        <v>46382</v>
      </c>
      <c r="C437" t="str">
        <f>IFERROR(__xludf.DUMMYFUNCTION("""COMPUTED_VALUE"""),"Memphis Grizzlies")</f>
        <v>Memphis Grizzlies</v>
      </c>
      <c r="D437" t="str">
        <f>IFERROR(__xludf.DUMMYFUNCTION("""COMPUTED_VALUE"""),"Los Angeles Clippers")</f>
        <v>Los Angeles Clippers</v>
      </c>
    </row>
    <row r="438">
      <c r="A438" s="17" t="s">
        <v>526</v>
      </c>
      <c r="B438" s="19">
        <f>IFERROR(__xludf.DUMMYFUNCTION("IFERROR(SPLIT(A438,"",""),"""")"),46383.0)</f>
        <v>46383</v>
      </c>
      <c r="C438" t="str">
        <f>IFERROR(__xludf.DUMMYFUNCTION("""COMPUTED_VALUE"""),"Oklahoma City Thunder")</f>
        <v>Oklahoma City Thunder</v>
      </c>
      <c r="D438" t="str">
        <f>IFERROR(__xludf.DUMMYFUNCTION("""COMPUTED_VALUE"""),"Houston Rockets")</f>
        <v>Houston Rockets</v>
      </c>
    </row>
    <row r="439">
      <c r="A439" s="17" t="s">
        <v>527</v>
      </c>
      <c r="B439" s="19">
        <f>IFERROR(__xludf.DUMMYFUNCTION("IFERROR(SPLIT(A439,"",""),"""")"),46383.0)</f>
        <v>46383</v>
      </c>
      <c r="C439" t="str">
        <f>IFERROR(__xludf.DUMMYFUNCTION("""COMPUTED_VALUE"""),"Washington Wizards")</f>
        <v>Washington Wizards</v>
      </c>
      <c r="D439" t="str">
        <f>IFERROR(__xludf.DUMMYFUNCTION("""COMPUTED_VALUE"""),"Cleveland Cavaliers")</f>
        <v>Cleveland Cavaliers</v>
      </c>
    </row>
    <row r="440">
      <c r="A440" s="17" t="s">
        <v>528</v>
      </c>
      <c r="B440" s="19">
        <f>IFERROR(__xludf.DUMMYFUNCTION("IFERROR(SPLIT(A440,"",""),"""")"),46383.0)</f>
        <v>46383</v>
      </c>
      <c r="C440" t="str">
        <f>IFERROR(__xludf.DUMMYFUNCTION("""COMPUTED_VALUE"""),"Charlotte Hornets")</f>
        <v>Charlotte Hornets</v>
      </c>
      <c r="D440" t="str">
        <f>IFERROR(__xludf.DUMMYFUNCTION("""COMPUTED_VALUE"""),"Miami Heat")</f>
        <v>Miami Heat</v>
      </c>
    </row>
    <row r="441">
      <c r="A441" s="17" t="s">
        <v>529</v>
      </c>
      <c r="B441" s="19">
        <f>IFERROR(__xludf.DUMMYFUNCTION("IFERROR(SPLIT(A441,"",""),"""")"),46383.0)</f>
        <v>46383</v>
      </c>
      <c r="C441" t="str">
        <f>IFERROR(__xludf.DUMMYFUNCTION("""COMPUTED_VALUE"""),"Brooklyn Nets")</f>
        <v>Brooklyn Nets</v>
      </c>
      <c r="D441" t="str">
        <f>IFERROR(__xludf.DUMMYFUNCTION("""COMPUTED_VALUE"""),"New York Knicks")</f>
        <v>New York Knicks</v>
      </c>
    </row>
    <row r="442">
      <c r="A442" s="17" t="s">
        <v>530</v>
      </c>
      <c r="B442" s="19">
        <f>IFERROR(__xludf.DUMMYFUNCTION("IFERROR(SPLIT(A442,"",""),"""")"),46383.0)</f>
        <v>46383</v>
      </c>
      <c r="C442" t="str">
        <f>IFERROR(__xludf.DUMMYFUNCTION("""COMPUTED_VALUE"""),"Milwaukee Bucks")</f>
        <v>Milwaukee Bucks</v>
      </c>
      <c r="D442" t="str">
        <f>IFERROR(__xludf.DUMMYFUNCTION("""COMPUTED_VALUE"""),"Orlando Magic")</f>
        <v>Orlando Magic</v>
      </c>
    </row>
    <row r="443">
      <c r="A443" s="17" t="s">
        <v>531</v>
      </c>
      <c r="B443" s="19">
        <f>IFERROR(__xludf.DUMMYFUNCTION("IFERROR(SPLIT(A443,"",""),"""")"),46383.0)</f>
        <v>46383</v>
      </c>
      <c r="C443" t="str">
        <f>IFERROR(__xludf.DUMMYFUNCTION("""COMPUTED_VALUE"""),"Utah Jazz")</f>
        <v>Utah Jazz</v>
      </c>
      <c r="D443" t="str">
        <f>IFERROR(__xludf.DUMMYFUNCTION("""COMPUTED_VALUE"""),"Sacramento Kings")</f>
        <v>Sacramento Kings</v>
      </c>
    </row>
    <row r="444">
      <c r="A444" s="17" t="s">
        <v>532</v>
      </c>
      <c r="B444" s="19">
        <f>IFERROR(__xludf.DUMMYFUNCTION("IFERROR(SPLIT(A444,"",""),"""")"),46383.0)</f>
        <v>46383</v>
      </c>
      <c r="C444" t="str">
        <f>IFERROR(__xludf.DUMMYFUNCTION("""COMPUTED_VALUE"""),"Portland Trail Blazers")</f>
        <v>Portland Trail Blazers</v>
      </c>
      <c r="D444" t="str">
        <f>IFERROR(__xludf.DUMMYFUNCTION("""COMPUTED_VALUE"""),"Detroit Pistons")</f>
        <v>Detroit Pistons</v>
      </c>
    </row>
    <row r="445">
      <c r="A445" s="17" t="s">
        <v>533</v>
      </c>
      <c r="B445" s="19">
        <f>IFERROR(__xludf.DUMMYFUNCTION("IFERROR(SPLIT(A445,"",""),"""")"),46383.0)</f>
        <v>46383</v>
      </c>
      <c r="C445" t="str">
        <f>IFERROR(__xludf.DUMMYFUNCTION("""COMPUTED_VALUE"""),"Atlanta Hawks")</f>
        <v>Atlanta Hawks</v>
      </c>
      <c r="D445" t="str">
        <f>IFERROR(__xludf.DUMMYFUNCTION("""COMPUTED_VALUE"""),"San Antonio Spurs")</f>
        <v>San Antonio Spurs</v>
      </c>
    </row>
    <row r="446">
      <c r="A446" s="17" t="s">
        <v>534</v>
      </c>
      <c r="B446" s="19">
        <f>IFERROR(__xludf.DUMMYFUNCTION("IFERROR(SPLIT(A446,"",""),"""")"),46383.0)</f>
        <v>46383</v>
      </c>
      <c r="C446" t="str">
        <f>IFERROR(__xludf.DUMMYFUNCTION("""COMPUTED_VALUE"""),"Indiana Pacers")</f>
        <v>Indiana Pacers</v>
      </c>
      <c r="D446" t="str">
        <f>IFERROR(__xludf.DUMMYFUNCTION("""COMPUTED_VALUE"""),"Denver Nuggets")</f>
        <v>Denver Nuggets</v>
      </c>
    </row>
    <row r="447">
      <c r="A447" s="17" t="s">
        <v>535</v>
      </c>
      <c r="B447" s="19">
        <f>IFERROR(__xludf.DUMMYFUNCTION("IFERROR(SPLIT(A447,"",""),"""")"),46383.0)</f>
        <v>46383</v>
      </c>
      <c r="C447" t="str">
        <f>IFERROR(__xludf.DUMMYFUNCTION("""COMPUTED_VALUE"""),"Minnesota Timberwolves")</f>
        <v>Minnesota Timberwolves</v>
      </c>
      <c r="D447" t="str">
        <f>IFERROR(__xludf.DUMMYFUNCTION("""COMPUTED_VALUE"""),"Golden State Warriors")</f>
        <v>Golden State Warriors</v>
      </c>
    </row>
    <row r="448">
      <c r="A448" s="17" t="s">
        <v>536</v>
      </c>
      <c r="B448" s="19">
        <f>IFERROR(__xludf.DUMMYFUNCTION("IFERROR(SPLIT(A448,"",""),"""")"),46383.0)</f>
        <v>46383</v>
      </c>
      <c r="C448" t="str">
        <f>IFERROR(__xludf.DUMMYFUNCTION("""COMPUTED_VALUE"""),"Philadelphia 76ers")</f>
        <v>Philadelphia 76ers</v>
      </c>
      <c r="D448" t="str">
        <f>IFERROR(__xludf.DUMMYFUNCTION("""COMPUTED_VALUE"""),"Los Angeles Clippers")</f>
        <v>Los Angeles Clippers</v>
      </c>
    </row>
    <row r="449">
      <c r="A449" s="17" t="s">
        <v>537</v>
      </c>
      <c r="B449" s="19">
        <f>IFERROR(__xludf.DUMMYFUNCTION("IFERROR(SPLIT(A449,"",""),"""")"),46383.0)</f>
        <v>46383</v>
      </c>
      <c r="C449" t="str">
        <f>IFERROR(__xludf.DUMMYFUNCTION("""COMPUTED_VALUE"""),"Memphis Grizzlies")</f>
        <v>Memphis Grizzlies</v>
      </c>
      <c r="D449" t="str">
        <f>IFERROR(__xludf.DUMMYFUNCTION("""COMPUTED_VALUE"""),"Los Angeles Lakers")</f>
        <v>Los Angeles Lakers</v>
      </c>
    </row>
    <row r="450">
      <c r="A450" s="17" t="s">
        <v>538</v>
      </c>
      <c r="B450" s="19">
        <f>IFERROR(__xludf.DUMMYFUNCTION("IFERROR(SPLIT(A450,"",""),"""")"),46384.0)</f>
        <v>46384</v>
      </c>
      <c r="C450" t="str">
        <f>IFERROR(__xludf.DUMMYFUNCTION("""COMPUTED_VALUE"""),"New Orleans Pelicans")</f>
        <v>New Orleans Pelicans</v>
      </c>
      <c r="D450" t="str">
        <f>IFERROR(__xludf.DUMMYFUNCTION("""COMPUTED_VALUE"""),"Toronto Raptors")</f>
        <v>Toronto Raptors</v>
      </c>
    </row>
    <row r="451">
      <c r="A451" s="17" t="s">
        <v>539</v>
      </c>
      <c r="B451" s="19">
        <f>IFERROR(__xludf.DUMMYFUNCTION("IFERROR(SPLIT(A451,"",""),"""")"),46384.0)</f>
        <v>46384</v>
      </c>
      <c r="C451" t="str">
        <f>IFERROR(__xludf.DUMMYFUNCTION("""COMPUTED_VALUE"""),"Cleveland Cavaliers")</f>
        <v>Cleveland Cavaliers</v>
      </c>
      <c r="D451" t="str">
        <f>IFERROR(__xludf.DUMMYFUNCTION("""COMPUTED_VALUE"""),"Boston Celtics")</f>
        <v>Boston Celtics</v>
      </c>
    </row>
    <row r="452">
      <c r="A452" s="17" t="s">
        <v>540</v>
      </c>
      <c r="B452" s="19">
        <f>IFERROR(__xludf.DUMMYFUNCTION("IFERROR(SPLIT(A452,"",""),"""")"),46384.0)</f>
        <v>46384</v>
      </c>
      <c r="C452" t="str">
        <f>IFERROR(__xludf.DUMMYFUNCTION("""COMPUTED_VALUE"""),"Golden State Warriors")</f>
        <v>Golden State Warriors</v>
      </c>
      <c r="D452" t="str">
        <f>IFERROR(__xludf.DUMMYFUNCTION("""COMPUTED_VALUE"""),"Phoenix Suns")</f>
        <v>Phoenix Suns</v>
      </c>
    </row>
    <row r="453">
      <c r="A453" s="17" t="s">
        <v>541</v>
      </c>
      <c r="B453" s="19">
        <f>IFERROR(__xludf.DUMMYFUNCTION("IFERROR(SPLIT(A453,"",""),"""")"),46384.0)</f>
        <v>46384</v>
      </c>
      <c r="C453" t="str">
        <f>IFERROR(__xludf.DUMMYFUNCTION("""COMPUTED_VALUE"""),"Minnesota Timberwolves")</f>
        <v>Minnesota Timberwolves</v>
      </c>
      <c r="D453" t="str">
        <f>IFERROR(__xludf.DUMMYFUNCTION("""COMPUTED_VALUE"""),"Denver Nuggets")</f>
        <v>Denver Nuggets</v>
      </c>
    </row>
    <row r="454">
      <c r="A454" s="17" t="s">
        <v>542</v>
      </c>
      <c r="B454" s="19">
        <f>IFERROR(__xludf.DUMMYFUNCTION("IFERROR(SPLIT(A454,"",""),"""")"),46385.0)</f>
        <v>46385</v>
      </c>
      <c r="C454" t="str">
        <f>IFERROR(__xludf.DUMMYFUNCTION("""COMPUTED_VALUE"""),"Chicago Bulls")</f>
        <v>Chicago Bulls</v>
      </c>
      <c r="D454" t="str">
        <f>IFERROR(__xludf.DUMMYFUNCTION("""COMPUTED_VALUE"""),"Atlanta Hawks")</f>
        <v>Atlanta Hawks</v>
      </c>
    </row>
    <row r="455">
      <c r="A455" s="17" t="s">
        <v>543</v>
      </c>
      <c r="B455" s="19">
        <f>IFERROR(__xludf.DUMMYFUNCTION("IFERROR(SPLIT(A455,"",""),"""")"),46385.0)</f>
        <v>46385</v>
      </c>
      <c r="C455" t="str">
        <f>IFERROR(__xludf.DUMMYFUNCTION("""COMPUTED_VALUE"""),"Orlando Magic")</f>
        <v>Orlando Magic</v>
      </c>
      <c r="D455" t="str">
        <f>IFERROR(__xludf.DUMMYFUNCTION("""COMPUTED_VALUE"""),"Charlotte Hornets")</f>
        <v>Charlotte Hornets</v>
      </c>
    </row>
    <row r="456">
      <c r="A456" s="17" t="s">
        <v>544</v>
      </c>
      <c r="B456" s="19">
        <f>IFERROR(__xludf.DUMMYFUNCTION("IFERROR(SPLIT(A456,"",""),"""")"),46385.0)</f>
        <v>46385</v>
      </c>
      <c r="C456" t="str">
        <f>IFERROR(__xludf.DUMMYFUNCTION("""COMPUTED_VALUE"""),"Los Angeles Clippers")</f>
        <v>Los Angeles Clippers</v>
      </c>
      <c r="D456" t="str">
        <f>IFERROR(__xludf.DUMMYFUNCTION("""COMPUTED_VALUE"""),"Indiana Pacers")</f>
        <v>Indiana Pacers</v>
      </c>
    </row>
    <row r="457">
      <c r="A457" s="17" t="s">
        <v>545</v>
      </c>
      <c r="B457" s="19">
        <f>IFERROR(__xludf.DUMMYFUNCTION("IFERROR(SPLIT(A457,"",""),"""")"),46385.0)</f>
        <v>46385</v>
      </c>
      <c r="C457" t="str">
        <f>IFERROR(__xludf.DUMMYFUNCTION("""COMPUTED_VALUE"""),"Miami Heat")</f>
        <v>Miami Heat</v>
      </c>
      <c r="D457" t="str">
        <f>IFERROR(__xludf.DUMMYFUNCTION("""COMPUTED_VALUE"""),"Dallas Mavericks")</f>
        <v>Dallas Mavericks</v>
      </c>
    </row>
    <row r="458">
      <c r="A458" s="17" t="s">
        <v>546</v>
      </c>
      <c r="B458" s="19">
        <f>IFERROR(__xludf.DUMMYFUNCTION("IFERROR(SPLIT(A458,"",""),"""")"),46385.0)</f>
        <v>46385</v>
      </c>
      <c r="C458" t="str">
        <f>IFERROR(__xludf.DUMMYFUNCTION("""COMPUTED_VALUE"""),"San Antonio Spurs")</f>
        <v>San Antonio Spurs</v>
      </c>
      <c r="D458" t="str">
        <f>IFERROR(__xludf.DUMMYFUNCTION("""COMPUTED_VALUE"""),"Memphis Grizzlies")</f>
        <v>Memphis Grizzlies</v>
      </c>
    </row>
    <row r="459">
      <c r="A459" s="17" t="s">
        <v>547</v>
      </c>
      <c r="B459" s="19">
        <f>IFERROR(__xludf.DUMMYFUNCTION("IFERROR(SPLIT(A459,"",""),"""")"),46385.0)</f>
        <v>46385</v>
      </c>
      <c r="C459" t="str">
        <f>IFERROR(__xludf.DUMMYFUNCTION("""COMPUTED_VALUE"""),"Milwaukee Bucks")</f>
        <v>Milwaukee Bucks</v>
      </c>
      <c r="D459" t="str">
        <f>IFERROR(__xludf.DUMMYFUNCTION("""COMPUTED_VALUE"""),"Oklahoma City Thunder")</f>
        <v>Oklahoma City Thunder</v>
      </c>
    </row>
    <row r="460">
      <c r="A460" s="17" t="s">
        <v>548</v>
      </c>
      <c r="B460" s="19">
        <f>IFERROR(__xludf.DUMMYFUNCTION("IFERROR(SPLIT(A460,"",""),"""")"),46385.0)</f>
        <v>46385</v>
      </c>
      <c r="C460" t="str">
        <f>IFERROR(__xludf.DUMMYFUNCTION("""COMPUTED_VALUE"""),"Brooklyn Nets")</f>
        <v>Brooklyn Nets</v>
      </c>
      <c r="D460" t="str">
        <f>IFERROR(__xludf.DUMMYFUNCTION("""COMPUTED_VALUE"""),"Portland Trail Blazers")</f>
        <v>Portland Trail Blazers</v>
      </c>
    </row>
    <row r="461">
      <c r="A461" s="17" t="s">
        <v>549</v>
      </c>
      <c r="B461" s="19">
        <f>IFERROR(__xludf.DUMMYFUNCTION("IFERROR(SPLIT(A461,"",""),"""")"),46385.0)</f>
        <v>46385</v>
      </c>
      <c r="C461" t="str">
        <f>IFERROR(__xludf.DUMMYFUNCTION("""COMPUTED_VALUE"""),"Philadelphia 76ers")</f>
        <v>Philadelphia 76ers</v>
      </c>
      <c r="D461" t="str">
        <f>IFERROR(__xludf.DUMMYFUNCTION("""COMPUTED_VALUE"""),"Sacramento Kings")</f>
        <v>Sacramento Kings</v>
      </c>
    </row>
    <row r="462">
      <c r="A462" s="17" t="s">
        <v>550</v>
      </c>
      <c r="B462" s="19">
        <f>IFERROR(__xludf.DUMMYFUNCTION("IFERROR(SPLIT(A462,"",""),"""")"),46385.0)</f>
        <v>46385</v>
      </c>
      <c r="C462" t="str">
        <f>IFERROR(__xludf.DUMMYFUNCTION("""COMPUTED_VALUE"""),"Houston Rockets")</f>
        <v>Houston Rockets</v>
      </c>
      <c r="D462" t="str">
        <f>IFERROR(__xludf.DUMMYFUNCTION("""COMPUTED_VALUE"""),"Los Angeles Lakers")</f>
        <v>Los Angeles Lakers</v>
      </c>
    </row>
    <row r="463">
      <c r="A463" s="17" t="s">
        <v>551</v>
      </c>
      <c r="B463" s="19">
        <f>IFERROR(__xludf.DUMMYFUNCTION("IFERROR(SPLIT(A463,"",""),"""")"),46386.0)</f>
        <v>46386</v>
      </c>
      <c r="C463" t="str">
        <f>IFERROR(__xludf.DUMMYFUNCTION("""COMPUTED_VALUE"""),"New Orleans Pelicans")</f>
        <v>New Orleans Pelicans</v>
      </c>
      <c r="D463" t="str">
        <f>IFERROR(__xludf.DUMMYFUNCTION("""COMPUTED_VALUE"""),"Detroit Pistons")</f>
        <v>Detroit Pistons</v>
      </c>
    </row>
    <row r="464">
      <c r="A464" s="17" t="s">
        <v>552</v>
      </c>
      <c r="B464" s="19">
        <f>IFERROR(__xludf.DUMMYFUNCTION("IFERROR(SPLIT(A464,"",""),"""")"),46386.0)</f>
        <v>46386</v>
      </c>
      <c r="C464" t="str">
        <f>IFERROR(__xludf.DUMMYFUNCTION("""COMPUTED_VALUE"""),"Washington Wizards")</f>
        <v>Washington Wizards</v>
      </c>
      <c r="D464" t="str">
        <f>IFERROR(__xludf.DUMMYFUNCTION("""COMPUTED_VALUE"""),"Toronto Raptors")</f>
        <v>Toronto Raptors</v>
      </c>
    </row>
    <row r="465">
      <c r="A465" s="17" t="s">
        <v>553</v>
      </c>
      <c r="B465" s="19">
        <f>IFERROR(__xludf.DUMMYFUNCTION("IFERROR(SPLIT(A465,"",""),"""")"),46386.0)</f>
        <v>46386</v>
      </c>
      <c r="C465" t="str">
        <f>IFERROR(__xludf.DUMMYFUNCTION("""COMPUTED_VALUE"""),"Boston Celtics")</f>
        <v>Boston Celtics</v>
      </c>
      <c r="D465" t="str">
        <f>IFERROR(__xludf.DUMMYFUNCTION("""COMPUTED_VALUE"""),"Chicago Bulls")</f>
        <v>Chicago Bulls</v>
      </c>
    </row>
    <row r="466">
      <c r="A466" s="17" t="s">
        <v>554</v>
      </c>
      <c r="B466" s="19">
        <f>IFERROR(__xludf.DUMMYFUNCTION("IFERROR(SPLIT(A466,"",""),"""")"),46386.0)</f>
        <v>46386</v>
      </c>
      <c r="C466" t="str">
        <f>IFERROR(__xludf.DUMMYFUNCTION("""COMPUTED_VALUE"""),"Philadelphia 76ers")</f>
        <v>Philadelphia 76ers</v>
      </c>
      <c r="D466" t="str">
        <f>IFERROR(__xludf.DUMMYFUNCTION("""COMPUTED_VALUE"""),"Phoenix Suns")</f>
        <v>Phoenix Suns</v>
      </c>
    </row>
    <row r="467">
      <c r="A467" s="17" t="s">
        <v>555</v>
      </c>
      <c r="B467" s="19">
        <f>IFERROR(__xludf.DUMMYFUNCTION("IFERROR(SPLIT(A467,"",""),"""")"),46386.0)</f>
        <v>46386</v>
      </c>
      <c r="C467" t="str">
        <f>IFERROR(__xludf.DUMMYFUNCTION("""COMPUTED_VALUE"""),"New York Knicks")</f>
        <v>New York Knicks</v>
      </c>
      <c r="D467" t="str">
        <f>IFERROR(__xludf.DUMMYFUNCTION("""COMPUTED_VALUE"""),"Utah Jazz")</f>
        <v>Utah Jazz</v>
      </c>
    </row>
    <row r="468">
      <c r="A468" s="17" t="s">
        <v>556</v>
      </c>
      <c r="B468" s="19">
        <f>IFERROR(__xludf.DUMMYFUNCTION("IFERROR(SPLIT(A468,"",""),"""")"),46386.0)</f>
        <v>46386</v>
      </c>
      <c r="C468" t="str">
        <f>IFERROR(__xludf.DUMMYFUNCTION("""COMPUTED_VALUE"""),"Houston Rockets")</f>
        <v>Houston Rockets</v>
      </c>
      <c r="D468" t="str">
        <f>IFERROR(__xludf.DUMMYFUNCTION("""COMPUTED_VALUE"""),"Golden State Warriors")</f>
        <v>Golden State Warriors</v>
      </c>
    </row>
    <row r="469">
      <c r="A469" s="17" t="s">
        <v>557</v>
      </c>
      <c r="B469" s="19">
        <f>IFERROR(__xludf.DUMMYFUNCTION("IFERROR(SPLIT(A469,"",""),"""")"),46387.0)</f>
        <v>46387</v>
      </c>
      <c r="C469" t="str">
        <f>IFERROR(__xludf.DUMMYFUNCTION("""COMPUTED_VALUE"""),"San Antonio Spurs")</f>
        <v>San Antonio Spurs</v>
      </c>
      <c r="D469" t="str">
        <f>IFERROR(__xludf.DUMMYFUNCTION("""COMPUTED_VALUE"""),"Charlotte Hornets")</f>
        <v>Charlotte Hornets</v>
      </c>
    </row>
    <row r="470">
      <c r="A470" s="17" t="s">
        <v>558</v>
      </c>
      <c r="B470" s="19">
        <f>IFERROR(__xludf.DUMMYFUNCTION("IFERROR(SPLIT(A470,"",""),"""")"),46387.0)</f>
        <v>46387</v>
      </c>
      <c r="C470" t="str">
        <f>IFERROR(__xludf.DUMMYFUNCTION("""COMPUTED_VALUE"""),"Milwaukee Bucks")</f>
        <v>Milwaukee Bucks</v>
      </c>
      <c r="D470" t="str">
        <f>IFERROR(__xludf.DUMMYFUNCTION("""COMPUTED_VALUE"""),"Atlanta Hawks")</f>
        <v>Atlanta Hawks</v>
      </c>
    </row>
    <row r="471">
      <c r="A471" s="17" t="s">
        <v>559</v>
      </c>
      <c r="B471" s="19">
        <f>IFERROR(__xludf.DUMMYFUNCTION("IFERROR(SPLIT(A471,"",""),"""")"),46387.0)</f>
        <v>46387</v>
      </c>
      <c r="C471" t="str">
        <f>IFERROR(__xludf.DUMMYFUNCTION("""COMPUTED_VALUE"""),"Los Angeles Clippers")</f>
        <v>Los Angeles Clippers</v>
      </c>
      <c r="D471" t="str">
        <f>IFERROR(__xludf.DUMMYFUNCTION("""COMPUTED_VALUE"""),"Cleveland Cavaliers")</f>
        <v>Cleveland Cavaliers</v>
      </c>
    </row>
    <row r="472">
      <c r="A472" s="17" t="s">
        <v>560</v>
      </c>
      <c r="B472" s="19">
        <f>IFERROR(__xludf.DUMMYFUNCTION("IFERROR(SPLIT(A472,"",""),"""")"),46387.0)</f>
        <v>46387</v>
      </c>
      <c r="C472" t="str">
        <f>IFERROR(__xludf.DUMMYFUNCTION("""COMPUTED_VALUE"""),"Orlando Magic")</f>
        <v>Orlando Magic</v>
      </c>
      <c r="D472" t="str">
        <f>IFERROR(__xludf.DUMMYFUNCTION("""COMPUTED_VALUE"""),"Indiana Pacers")</f>
        <v>Indiana Pacers</v>
      </c>
    </row>
    <row r="473">
      <c r="A473" s="17" t="s">
        <v>561</v>
      </c>
      <c r="B473" s="19">
        <f>IFERROR(__xludf.DUMMYFUNCTION("IFERROR(SPLIT(A473,"",""),"""")"),46387.0)</f>
        <v>46387</v>
      </c>
      <c r="C473" t="str">
        <f>IFERROR(__xludf.DUMMYFUNCTION("""COMPUTED_VALUE"""),"Denver Nuggets")</f>
        <v>Denver Nuggets</v>
      </c>
      <c r="D473" t="str">
        <f>IFERROR(__xludf.DUMMYFUNCTION("""COMPUTED_VALUE"""),"Minnesota Timberwolves")</f>
        <v>Minnesota Timberwolves</v>
      </c>
    </row>
    <row r="474">
      <c r="A474" s="17" t="s">
        <v>562</v>
      </c>
      <c r="B474" s="19">
        <f>IFERROR(__xludf.DUMMYFUNCTION("IFERROR(SPLIT(A474,"",""),"""")"),46387.0)</f>
        <v>46387</v>
      </c>
      <c r="C474" t="str">
        <f>IFERROR(__xludf.DUMMYFUNCTION("""COMPUTED_VALUE"""),"Brooklyn Nets")</f>
        <v>Brooklyn Nets</v>
      </c>
      <c r="D474" t="str">
        <f>IFERROR(__xludf.DUMMYFUNCTION("""COMPUTED_VALUE"""),"Sacramento Kings")</f>
        <v>Sacramento Kings</v>
      </c>
    </row>
    <row r="475">
      <c r="A475" s="17" t="s">
        <v>563</v>
      </c>
      <c r="B475" s="19">
        <f>IFERROR(__xludf.DUMMYFUNCTION("IFERROR(SPLIT(A475,"",""),"""")"),46387.0)</f>
        <v>46387</v>
      </c>
      <c r="C475" t="str">
        <f>IFERROR(__xludf.DUMMYFUNCTION("""COMPUTED_VALUE"""),"Los Angeles Lakers")</f>
        <v>Los Angeles Lakers</v>
      </c>
      <c r="D475" t="str">
        <f>IFERROR(__xludf.DUMMYFUNCTION("""COMPUTED_VALUE"""),"New Orleans Pelicans")</f>
        <v>New Orleans Pelicans</v>
      </c>
    </row>
    <row r="476">
      <c r="A476" s="17" t="s">
        <v>564</v>
      </c>
      <c r="B476" s="19">
        <f>IFERROR(__xludf.DUMMYFUNCTION("IFERROR(SPLIT(A476,"",""),"""")"),46387.0)</f>
        <v>46387</v>
      </c>
      <c r="C476" t="str">
        <f>IFERROR(__xludf.DUMMYFUNCTION("""COMPUTED_VALUE"""),"Miami Heat")</f>
        <v>Miami Heat</v>
      </c>
      <c r="D476" t="str">
        <f>IFERROR(__xludf.DUMMYFUNCTION("""COMPUTED_VALUE"""),"Oklahoma City Thunder")</f>
        <v>Oklahoma City Thunder</v>
      </c>
    </row>
    <row r="477">
      <c r="A477" s="17" t="s">
        <v>565</v>
      </c>
      <c r="B477" s="19">
        <f>IFERROR(__xludf.DUMMYFUNCTION("IFERROR(SPLIT(A477,"",""),"""")"),46387.0)</f>
        <v>46387</v>
      </c>
      <c r="C477" t="str">
        <f>IFERROR(__xludf.DUMMYFUNCTION("""COMPUTED_VALUE"""),"New York Knicks")</f>
        <v>New York Knicks</v>
      </c>
      <c r="D477" t="str">
        <f>IFERROR(__xludf.DUMMYFUNCTION("""COMPUTED_VALUE"""),"Phoenix Suns")</f>
        <v>Phoenix Suns</v>
      </c>
    </row>
    <row r="478">
      <c r="A478" s="17" t="s">
        <v>566</v>
      </c>
      <c r="B478" s="19">
        <f>IFERROR(__xludf.DUMMYFUNCTION("IFERROR(SPLIT(A478,"",""),"""")"),46388.0)</f>
        <v>46388</v>
      </c>
      <c r="C478" t="str">
        <f>IFERROR(__xludf.DUMMYFUNCTION("""COMPUTED_VALUE"""),"San Antonio Spurs")</f>
        <v>San Antonio Spurs</v>
      </c>
      <c r="D478" t="str">
        <f>IFERROR(__xludf.DUMMYFUNCTION("""COMPUTED_VALUE"""),"Washington Wizards")</f>
        <v>Washington Wizards</v>
      </c>
    </row>
    <row r="479">
      <c r="A479" s="17" t="s">
        <v>567</v>
      </c>
      <c r="B479" s="19">
        <f>IFERROR(__xludf.DUMMYFUNCTION("IFERROR(SPLIT(A479,"",""),"""")"),46388.0)</f>
        <v>46388</v>
      </c>
      <c r="C479" t="str">
        <f>IFERROR(__xludf.DUMMYFUNCTION("""COMPUTED_VALUE"""),"Orlando Magic")</f>
        <v>Orlando Magic</v>
      </c>
      <c r="D479" t="str">
        <f>IFERROR(__xludf.DUMMYFUNCTION("""COMPUTED_VALUE"""),"Detroit Pistons")</f>
        <v>Detroit Pistons</v>
      </c>
    </row>
    <row r="480">
      <c r="A480" s="17" t="s">
        <v>568</v>
      </c>
      <c r="B480" s="19">
        <f>IFERROR(__xludf.DUMMYFUNCTION("IFERROR(SPLIT(A480,"",""),"""")"),46388.0)</f>
        <v>46388</v>
      </c>
      <c r="C480" t="str">
        <f>IFERROR(__xludf.DUMMYFUNCTION("""COMPUTED_VALUE"""),"Los Angeles Clippers")</f>
        <v>Los Angeles Clippers</v>
      </c>
      <c r="D480" t="str">
        <f>IFERROR(__xludf.DUMMYFUNCTION("""COMPUTED_VALUE"""),"Toronto Raptors")</f>
        <v>Toronto Raptors</v>
      </c>
    </row>
    <row r="481">
      <c r="A481" s="17" t="s">
        <v>569</v>
      </c>
      <c r="B481" s="19">
        <f>IFERROR(__xludf.DUMMYFUNCTION("IFERROR(SPLIT(A481,"",""),"""")"),46388.0)</f>
        <v>46388</v>
      </c>
      <c r="C481" t="str">
        <f>IFERROR(__xludf.DUMMYFUNCTION("""COMPUTED_VALUE"""),"Philadelphia 76ers")</f>
        <v>Philadelphia 76ers</v>
      </c>
      <c r="D481" t="str">
        <f>IFERROR(__xludf.DUMMYFUNCTION("""COMPUTED_VALUE"""),"Milwaukee Bucks")</f>
        <v>Milwaukee Bucks</v>
      </c>
    </row>
    <row r="482">
      <c r="A482" s="17" t="s">
        <v>570</v>
      </c>
      <c r="B482" s="19">
        <f>IFERROR(__xludf.DUMMYFUNCTION("IFERROR(SPLIT(A482,"",""),"""")"),46388.0)</f>
        <v>46388</v>
      </c>
      <c r="C482" t="str">
        <f>IFERROR(__xludf.DUMMYFUNCTION("""COMPUTED_VALUE"""),"Dallas Mavericks")</f>
        <v>Dallas Mavericks</v>
      </c>
      <c r="D482" t="str">
        <f>IFERROR(__xludf.DUMMYFUNCTION("""COMPUTED_VALUE"""),"Houston Rockets")</f>
        <v>Houston Rockets</v>
      </c>
    </row>
    <row r="483">
      <c r="A483" s="17" t="s">
        <v>571</v>
      </c>
      <c r="B483" s="19">
        <f>IFERROR(__xludf.DUMMYFUNCTION("IFERROR(SPLIT(A483,"",""),"""")"),46388.0)</f>
        <v>46388</v>
      </c>
      <c r="C483" t="str">
        <f>IFERROR(__xludf.DUMMYFUNCTION("""COMPUTED_VALUE"""),"Boston Celtics")</f>
        <v>Boston Celtics</v>
      </c>
      <c r="D483" t="str">
        <f>IFERROR(__xludf.DUMMYFUNCTION("""COMPUTED_VALUE"""),"Utah Jazz")</f>
        <v>Utah Jazz</v>
      </c>
    </row>
    <row r="484">
      <c r="A484" s="17" t="s">
        <v>572</v>
      </c>
      <c r="B484" s="19">
        <f>IFERROR(__xludf.DUMMYFUNCTION("IFERROR(SPLIT(A484,"",""),"""")"),46389.0)</f>
        <v>46389</v>
      </c>
      <c r="C484" t="str">
        <f>IFERROR(__xludf.DUMMYFUNCTION("""COMPUTED_VALUE"""),"Cleveland Cavaliers")</f>
        <v>Cleveland Cavaliers</v>
      </c>
      <c r="D484" t="str">
        <f>IFERROR(__xludf.DUMMYFUNCTION("""COMPUTED_VALUE"""),"Charlotte Hornets")</f>
        <v>Charlotte Hornets</v>
      </c>
    </row>
    <row r="485">
      <c r="A485" s="17" t="s">
        <v>573</v>
      </c>
      <c r="B485" s="19">
        <f>IFERROR(__xludf.DUMMYFUNCTION("IFERROR(SPLIT(A485,"",""),"""")"),46389.0)</f>
        <v>46389</v>
      </c>
      <c r="C485" t="str">
        <f>IFERROR(__xludf.DUMMYFUNCTION("""COMPUTED_VALUE"""),"New York Knicks")</f>
        <v>New York Knicks</v>
      </c>
      <c r="D485" t="str">
        <f>IFERROR(__xludf.DUMMYFUNCTION("""COMPUTED_VALUE"""),"Denver Nuggets")</f>
        <v>Denver Nuggets</v>
      </c>
    </row>
    <row r="486">
      <c r="A486" s="17" t="s">
        <v>574</v>
      </c>
      <c r="B486" s="19">
        <f>IFERROR(__xludf.DUMMYFUNCTION("IFERROR(SPLIT(A486,"",""),"""")"),46389.0)</f>
        <v>46389</v>
      </c>
      <c r="C486" t="str">
        <f>IFERROR(__xludf.DUMMYFUNCTION("""COMPUTED_VALUE"""),"Minnesota Timberwolves")</f>
        <v>Minnesota Timberwolves</v>
      </c>
      <c r="D486" t="str">
        <f>IFERROR(__xludf.DUMMYFUNCTION("""COMPUTED_VALUE"""),"Indiana Pacers")</f>
        <v>Indiana Pacers</v>
      </c>
    </row>
    <row r="487">
      <c r="A487" s="17" t="s">
        <v>575</v>
      </c>
      <c r="B487" s="19">
        <f>IFERROR(__xludf.DUMMYFUNCTION("IFERROR(SPLIT(A487,"",""),"""")"),46389.0)</f>
        <v>46389</v>
      </c>
      <c r="C487" t="str">
        <f>IFERROR(__xludf.DUMMYFUNCTION("""COMPUTED_VALUE"""),"Miami Heat")</f>
        <v>Miami Heat</v>
      </c>
      <c r="D487" t="str">
        <f>IFERROR(__xludf.DUMMYFUNCTION("""COMPUTED_VALUE"""),"New Orleans Pelicans")</f>
        <v>New Orleans Pelicans</v>
      </c>
    </row>
    <row r="488">
      <c r="A488" s="17" t="s">
        <v>576</v>
      </c>
      <c r="B488" s="19">
        <f>IFERROR(__xludf.DUMMYFUNCTION("IFERROR(SPLIT(A488,"",""),"""")"),46389.0)</f>
        <v>46389</v>
      </c>
      <c r="C488" t="str">
        <f>IFERROR(__xludf.DUMMYFUNCTION("""COMPUTED_VALUE"""),"Dallas Mavericks")</f>
        <v>Dallas Mavericks</v>
      </c>
      <c r="D488" t="str">
        <f>IFERROR(__xludf.DUMMYFUNCTION("""COMPUTED_VALUE"""),"Atlanta Hawks")</f>
        <v>Atlanta Hawks</v>
      </c>
    </row>
    <row r="489">
      <c r="A489" s="17" t="s">
        <v>577</v>
      </c>
      <c r="B489" s="19">
        <f>IFERROR(__xludf.DUMMYFUNCTION("IFERROR(SPLIT(A489,"",""),"""")"),46389.0)</f>
        <v>46389</v>
      </c>
      <c r="C489" t="str">
        <f>IFERROR(__xludf.DUMMYFUNCTION("""COMPUTED_VALUE"""),"Los Angeles Lakers")</f>
        <v>Los Angeles Lakers</v>
      </c>
      <c r="D489" t="str">
        <f>IFERROR(__xludf.DUMMYFUNCTION("""COMPUTED_VALUE"""),"Chicago Bulls")</f>
        <v>Chicago Bulls</v>
      </c>
    </row>
    <row r="490">
      <c r="A490" s="17" t="s">
        <v>578</v>
      </c>
      <c r="B490" s="19">
        <f>IFERROR(__xludf.DUMMYFUNCTION("IFERROR(SPLIT(A490,"",""),"""")"),46389.0)</f>
        <v>46389</v>
      </c>
      <c r="C490" t="str">
        <f>IFERROR(__xludf.DUMMYFUNCTION("""COMPUTED_VALUE"""),"Utah Jazz")</f>
        <v>Utah Jazz</v>
      </c>
      <c r="D490" t="str">
        <f>IFERROR(__xludf.DUMMYFUNCTION("""COMPUTED_VALUE"""),"Oklahoma City Thunder")</f>
        <v>Oklahoma City Thunder</v>
      </c>
    </row>
    <row r="491">
      <c r="A491" s="17" t="s">
        <v>579</v>
      </c>
      <c r="B491" s="19">
        <f>IFERROR(__xludf.DUMMYFUNCTION("IFERROR(SPLIT(A491,"",""),"""")"),46389.0)</f>
        <v>46389</v>
      </c>
      <c r="C491" t="str">
        <f>IFERROR(__xludf.DUMMYFUNCTION("""COMPUTED_VALUE"""),"Brooklyn Nets")</f>
        <v>Brooklyn Nets</v>
      </c>
      <c r="D491" t="str">
        <f>IFERROR(__xludf.DUMMYFUNCTION("""COMPUTED_VALUE"""),"Golden State Warriors")</f>
        <v>Golden State Warriors</v>
      </c>
    </row>
    <row r="492">
      <c r="A492" s="17" t="s">
        <v>580</v>
      </c>
      <c r="B492" s="19">
        <f>IFERROR(__xludf.DUMMYFUNCTION("IFERROR(SPLIT(A492,"",""),"""")"),46389.0)</f>
        <v>46389</v>
      </c>
      <c r="C492" t="str">
        <f>IFERROR(__xludf.DUMMYFUNCTION("""COMPUTED_VALUE"""),"Sacramento Kings")</f>
        <v>Sacramento Kings</v>
      </c>
      <c r="D492" t="str">
        <f>IFERROR(__xludf.DUMMYFUNCTION("""COMPUTED_VALUE"""),"Phoenix Suns")</f>
        <v>Phoenix Suns</v>
      </c>
    </row>
    <row r="493">
      <c r="A493" s="17" t="s">
        <v>581</v>
      </c>
      <c r="B493" s="19">
        <f>IFERROR(__xludf.DUMMYFUNCTION("IFERROR(SPLIT(A493,"",""),"""")"),46389.0)</f>
        <v>46389</v>
      </c>
      <c r="C493" t="str">
        <f>IFERROR(__xludf.DUMMYFUNCTION("""COMPUTED_VALUE"""),"Boston Celtics")</f>
        <v>Boston Celtics</v>
      </c>
      <c r="D493" t="str">
        <f>IFERROR(__xludf.DUMMYFUNCTION("""COMPUTED_VALUE"""),"Portland Trail Blazers")</f>
        <v>Portland Trail Blazers</v>
      </c>
    </row>
    <row r="494">
      <c r="A494" s="17" t="s">
        <v>582</v>
      </c>
      <c r="B494" s="19">
        <f>IFERROR(__xludf.DUMMYFUNCTION("IFERROR(SPLIT(A494,"",""),"""")"),46390.0)</f>
        <v>46390</v>
      </c>
      <c r="C494" t="str">
        <f>IFERROR(__xludf.DUMMYFUNCTION("""COMPUTED_VALUE"""),"Detroit Pistons")</f>
        <v>Detroit Pistons</v>
      </c>
      <c r="D494" t="str">
        <f>IFERROR(__xludf.DUMMYFUNCTION("""COMPUTED_VALUE"""),"Denver Nuggets")</f>
        <v>Denver Nuggets</v>
      </c>
    </row>
    <row r="495">
      <c r="A495" s="17" t="s">
        <v>583</v>
      </c>
      <c r="B495" s="19">
        <f>IFERROR(__xludf.DUMMYFUNCTION("IFERROR(SPLIT(A495,"",""),"""")"),46390.0)</f>
        <v>46390</v>
      </c>
      <c r="C495" t="str">
        <f>IFERROR(__xludf.DUMMYFUNCTION("""COMPUTED_VALUE"""),"Charlotte Hornets")</f>
        <v>Charlotte Hornets</v>
      </c>
      <c r="D495" t="str">
        <f>IFERROR(__xludf.DUMMYFUNCTION("""COMPUTED_VALUE"""),"Milwaukee Bucks")</f>
        <v>Milwaukee Bucks</v>
      </c>
    </row>
    <row r="496">
      <c r="A496" s="17" t="s">
        <v>584</v>
      </c>
      <c r="B496" s="19">
        <f>IFERROR(__xludf.DUMMYFUNCTION("IFERROR(SPLIT(A496,"",""),"""")"),46390.0)</f>
        <v>46390</v>
      </c>
      <c r="C496" t="str">
        <f>IFERROR(__xludf.DUMMYFUNCTION("""COMPUTED_VALUE"""),"Memphis Grizzlies")</f>
        <v>Memphis Grizzlies</v>
      </c>
      <c r="D496" t="str">
        <f>IFERROR(__xludf.DUMMYFUNCTION("""COMPUTED_VALUE"""),"Orlando Magic")</f>
        <v>Orlando Magic</v>
      </c>
    </row>
    <row r="497">
      <c r="A497" s="17" t="s">
        <v>585</v>
      </c>
      <c r="B497" s="19">
        <f>IFERROR(__xludf.DUMMYFUNCTION("IFERROR(SPLIT(A497,"",""),"""")"),46390.0)</f>
        <v>46390</v>
      </c>
      <c r="C497" t="str">
        <f>IFERROR(__xludf.DUMMYFUNCTION("""COMPUTED_VALUE"""),"Cleveland Cavaliers")</f>
        <v>Cleveland Cavaliers</v>
      </c>
      <c r="D497" t="str">
        <f>IFERROR(__xludf.DUMMYFUNCTION("""COMPUTED_VALUE"""),"Houston Rockets")</f>
        <v>Houston Rockets</v>
      </c>
    </row>
    <row r="498">
      <c r="A498" s="17" t="s">
        <v>586</v>
      </c>
      <c r="B498" s="19">
        <f>IFERROR(__xludf.DUMMYFUNCTION("IFERROR(SPLIT(A498,"",""),"""")"),46390.0)</f>
        <v>46390</v>
      </c>
      <c r="C498" t="str">
        <f>IFERROR(__xludf.DUMMYFUNCTION("""COMPUTED_VALUE"""),"San Antonio Spurs")</f>
        <v>San Antonio Spurs</v>
      </c>
      <c r="D498" t="str">
        <f>IFERROR(__xludf.DUMMYFUNCTION("""COMPUTED_VALUE"""),"Minnesota Timberwolves")</f>
        <v>Minnesota Timberwolves</v>
      </c>
    </row>
    <row r="499">
      <c r="A499" s="17" t="s">
        <v>587</v>
      </c>
      <c r="B499" s="19">
        <f>IFERROR(__xludf.DUMMYFUNCTION("IFERROR(SPLIT(A499,"",""),"""")"),46390.0)</f>
        <v>46390</v>
      </c>
      <c r="C499" t="str">
        <f>IFERROR(__xludf.DUMMYFUNCTION("""COMPUTED_VALUE"""),"Los Angeles Lakers")</f>
        <v>Los Angeles Lakers</v>
      </c>
      <c r="D499" t="str">
        <f>IFERROR(__xludf.DUMMYFUNCTION("""COMPUTED_VALUE"""),"Toronto Raptors")</f>
        <v>Toronto Raptors</v>
      </c>
    </row>
    <row r="500">
      <c r="A500" s="17" t="s">
        <v>588</v>
      </c>
      <c r="B500" s="19">
        <f>IFERROR(__xludf.DUMMYFUNCTION("IFERROR(SPLIT(A500,"",""),"""")"),46390.0)</f>
        <v>46390</v>
      </c>
      <c r="C500" t="str">
        <f>IFERROR(__xludf.DUMMYFUNCTION("""COMPUTED_VALUE"""),"Los Angeles Clippers")</f>
        <v>Los Angeles Clippers</v>
      </c>
      <c r="D500" t="str">
        <f>IFERROR(__xludf.DUMMYFUNCTION("""COMPUTED_VALUE"""),"Washington Wizards")</f>
        <v>Washington Wizards</v>
      </c>
    </row>
    <row r="501">
      <c r="A501" s="17" t="s">
        <v>589</v>
      </c>
      <c r="B501" s="19">
        <f>IFERROR(__xludf.DUMMYFUNCTION("IFERROR(SPLIT(A501,"",""),"""")"),46390.0)</f>
        <v>46390</v>
      </c>
      <c r="C501" t="str">
        <f>IFERROR(__xludf.DUMMYFUNCTION("""COMPUTED_VALUE"""),"Sacramento Kings")</f>
        <v>Sacramento Kings</v>
      </c>
      <c r="D501" t="str">
        <f>IFERROR(__xludf.DUMMYFUNCTION("""COMPUTED_VALUE"""),"Oklahoma City Thunder")</f>
        <v>Oklahoma City Thunder</v>
      </c>
    </row>
    <row r="502">
      <c r="A502" s="17" t="s">
        <v>590</v>
      </c>
      <c r="B502" s="19">
        <f>IFERROR(__xludf.DUMMYFUNCTION("IFERROR(SPLIT(A502,"",""),"""")"),46391.0)</f>
        <v>46391</v>
      </c>
      <c r="C502" t="str">
        <f>IFERROR(__xludf.DUMMYFUNCTION("""COMPUTED_VALUE"""),"Chicago Bulls")</f>
        <v>Chicago Bulls</v>
      </c>
      <c r="D502" t="str">
        <f>IFERROR(__xludf.DUMMYFUNCTION("""COMPUTED_VALUE"""),"Indiana Pacers")</f>
        <v>Indiana Pacers</v>
      </c>
    </row>
    <row r="503">
      <c r="A503" s="17" t="s">
        <v>591</v>
      </c>
      <c r="B503" s="19">
        <f>IFERROR(__xludf.DUMMYFUNCTION("IFERROR(SPLIT(A503,"",""),"""")"),46391.0)</f>
        <v>46391</v>
      </c>
      <c r="C503" t="str">
        <f>IFERROR(__xludf.DUMMYFUNCTION("""COMPUTED_VALUE"""),"Atlanta Hawks")</f>
        <v>Atlanta Hawks</v>
      </c>
      <c r="D503" t="str">
        <f>IFERROR(__xludf.DUMMYFUNCTION("""COMPUTED_VALUE"""),"Philadelphia 76ers")</f>
        <v>Philadelphia 76ers</v>
      </c>
    </row>
    <row r="504">
      <c r="A504" s="17" t="s">
        <v>592</v>
      </c>
      <c r="B504" s="19">
        <f>IFERROR(__xludf.DUMMYFUNCTION("IFERROR(SPLIT(A504,"",""),"""")"),46391.0)</f>
        <v>46391</v>
      </c>
      <c r="C504" t="str">
        <f>IFERROR(__xludf.DUMMYFUNCTION("""COMPUTED_VALUE"""),"Dallas Mavericks")</f>
        <v>Dallas Mavericks</v>
      </c>
      <c r="D504" t="str">
        <f>IFERROR(__xludf.DUMMYFUNCTION("""COMPUTED_VALUE"""),"New Orleans Pelicans")</f>
        <v>New Orleans Pelicans</v>
      </c>
    </row>
    <row r="505">
      <c r="A505" s="17" t="s">
        <v>593</v>
      </c>
      <c r="B505" s="19">
        <f>IFERROR(__xludf.DUMMYFUNCTION("IFERROR(SPLIT(A505,"",""),"""")"),46391.0)</f>
        <v>46391</v>
      </c>
      <c r="C505" t="str">
        <f>IFERROR(__xludf.DUMMYFUNCTION("""COMPUTED_VALUE"""),"Boston Celtics")</f>
        <v>Boston Celtics</v>
      </c>
      <c r="D505" t="str">
        <f>IFERROR(__xludf.DUMMYFUNCTION("""COMPUTED_VALUE"""),"Phoenix Suns")</f>
        <v>Phoenix Suns</v>
      </c>
    </row>
    <row r="506">
      <c r="A506" s="17" t="s">
        <v>594</v>
      </c>
      <c r="B506" s="19">
        <f>IFERROR(__xludf.DUMMYFUNCTION("IFERROR(SPLIT(A506,"",""),"""")"),46391.0)</f>
        <v>46391</v>
      </c>
      <c r="C506" t="str">
        <f>IFERROR(__xludf.DUMMYFUNCTION("""COMPUTED_VALUE"""),"Brooklyn Nets")</f>
        <v>Brooklyn Nets</v>
      </c>
      <c r="D506" t="str">
        <f>IFERROR(__xludf.DUMMYFUNCTION("""COMPUTED_VALUE"""),"Utah Jazz")</f>
        <v>Utah Jazz</v>
      </c>
    </row>
    <row r="507">
      <c r="A507" s="17" t="s">
        <v>595</v>
      </c>
      <c r="B507" s="19">
        <f>IFERROR(__xludf.DUMMYFUNCTION("IFERROR(SPLIT(A507,"",""),"""")"),46391.0)</f>
        <v>46391</v>
      </c>
      <c r="C507" t="str">
        <f>IFERROR(__xludf.DUMMYFUNCTION("""COMPUTED_VALUE"""),"New York Knicks")</f>
        <v>New York Knicks</v>
      </c>
      <c r="D507" t="str">
        <f>IFERROR(__xludf.DUMMYFUNCTION("""COMPUTED_VALUE"""),"Portland Trail Blazers")</f>
        <v>Portland Trail Blazers</v>
      </c>
    </row>
    <row r="508">
      <c r="A508" s="17" t="s">
        <v>596</v>
      </c>
      <c r="B508" s="19">
        <f>IFERROR(__xludf.DUMMYFUNCTION("IFERROR(SPLIT(A508,"",""),"""")"),46392.0)</f>
        <v>46392</v>
      </c>
      <c r="C508" t="str">
        <f>IFERROR(__xludf.DUMMYFUNCTION("""COMPUTED_VALUE"""),"Atlanta Hawks")</f>
        <v>Atlanta Hawks</v>
      </c>
      <c r="D508" t="str">
        <f>IFERROR(__xludf.DUMMYFUNCTION("""COMPUTED_VALUE"""),"Charlotte Hornets")</f>
        <v>Charlotte Hornets</v>
      </c>
    </row>
    <row r="509">
      <c r="A509" s="17" t="s">
        <v>597</v>
      </c>
      <c r="B509" s="19">
        <f>IFERROR(__xludf.DUMMYFUNCTION("IFERROR(SPLIT(A509,"",""),"""")"),46392.0)</f>
        <v>46392</v>
      </c>
      <c r="C509" t="str">
        <f>IFERROR(__xludf.DUMMYFUNCTION("""COMPUTED_VALUE"""),"Toronto Raptors")</f>
        <v>Toronto Raptors</v>
      </c>
      <c r="D509" t="str">
        <f>IFERROR(__xludf.DUMMYFUNCTION("""COMPUTED_VALUE"""),"Cleveland Cavaliers")</f>
        <v>Cleveland Cavaliers</v>
      </c>
    </row>
    <row r="510">
      <c r="A510" s="17" t="s">
        <v>598</v>
      </c>
      <c r="B510" s="19">
        <f>IFERROR(__xludf.DUMMYFUNCTION("IFERROR(SPLIT(A510,"",""),"""")"),46392.0)</f>
        <v>46392</v>
      </c>
      <c r="C510" t="str">
        <f>IFERROR(__xludf.DUMMYFUNCTION("""COMPUTED_VALUE"""),"Los Angeles Clippers")</f>
        <v>Los Angeles Clippers</v>
      </c>
      <c r="D510" t="str">
        <f>IFERROR(__xludf.DUMMYFUNCTION("""COMPUTED_VALUE"""),"Orlando Magic")</f>
        <v>Orlando Magic</v>
      </c>
    </row>
    <row r="511">
      <c r="A511" s="17" t="s">
        <v>599</v>
      </c>
      <c r="B511" s="19">
        <f>IFERROR(__xludf.DUMMYFUNCTION("IFERROR(SPLIT(A511,"",""),"""")"),46392.0)</f>
        <v>46392</v>
      </c>
      <c r="C511" t="str">
        <f>IFERROR(__xludf.DUMMYFUNCTION("""COMPUTED_VALUE"""),"Los Angeles Lakers")</f>
        <v>Los Angeles Lakers</v>
      </c>
      <c r="D511" t="str">
        <f>IFERROR(__xludf.DUMMYFUNCTION("""COMPUTED_VALUE"""),"Washington Wizards")</f>
        <v>Washington Wizards</v>
      </c>
    </row>
    <row r="512">
      <c r="A512" s="17" t="s">
        <v>600</v>
      </c>
      <c r="B512" s="19">
        <f>IFERROR(__xludf.DUMMYFUNCTION("IFERROR(SPLIT(A512,"",""),"""")"),46392.0)</f>
        <v>46392</v>
      </c>
      <c r="C512" t="str">
        <f>IFERROR(__xludf.DUMMYFUNCTION("""COMPUTED_VALUE"""),"Memphis Grizzlies")</f>
        <v>Memphis Grizzlies</v>
      </c>
      <c r="D512" t="str">
        <f>IFERROR(__xludf.DUMMYFUNCTION("""COMPUTED_VALUE"""),"Miami Heat")</f>
        <v>Miami Heat</v>
      </c>
    </row>
    <row r="513">
      <c r="A513" s="17" t="s">
        <v>601</v>
      </c>
      <c r="B513" s="19">
        <f>IFERROR(__xludf.DUMMYFUNCTION("IFERROR(SPLIT(A513,"",""),"""")"),46392.0)</f>
        <v>46392</v>
      </c>
      <c r="C513" t="str">
        <f>IFERROR(__xludf.DUMMYFUNCTION("""COMPUTED_VALUE"""),"Milwaukee Bucks")</f>
        <v>Milwaukee Bucks</v>
      </c>
      <c r="D513" t="str">
        <f>IFERROR(__xludf.DUMMYFUNCTION("""COMPUTED_VALUE"""),"Chicago Bulls")</f>
        <v>Chicago Bulls</v>
      </c>
    </row>
    <row r="514">
      <c r="A514" s="17" t="s">
        <v>602</v>
      </c>
      <c r="B514" s="19">
        <f>IFERROR(__xludf.DUMMYFUNCTION("IFERROR(SPLIT(A514,"",""),"""")"),46392.0)</f>
        <v>46392</v>
      </c>
      <c r="C514" t="str">
        <f>IFERROR(__xludf.DUMMYFUNCTION("""COMPUTED_VALUE"""),"Minnesota Timberwolves")</f>
        <v>Minnesota Timberwolves</v>
      </c>
      <c r="D514" t="str">
        <f>IFERROR(__xludf.DUMMYFUNCTION("""COMPUTED_VALUE"""),"Houston Rockets")</f>
        <v>Houston Rockets</v>
      </c>
    </row>
    <row r="515">
      <c r="A515" s="17" t="s">
        <v>603</v>
      </c>
      <c r="B515" s="19">
        <f>IFERROR(__xludf.DUMMYFUNCTION("IFERROR(SPLIT(A515,"",""),"""")"),46392.0)</f>
        <v>46392</v>
      </c>
      <c r="C515" t="str">
        <f>IFERROR(__xludf.DUMMYFUNCTION("""COMPUTED_VALUE"""),"Phoenix Suns")</f>
        <v>Phoenix Suns</v>
      </c>
      <c r="D515" t="str">
        <f>IFERROR(__xludf.DUMMYFUNCTION("""COMPUTED_VALUE"""),"Denver Nuggets")</f>
        <v>Denver Nuggets</v>
      </c>
    </row>
    <row r="516">
      <c r="A516" s="17" t="s">
        <v>604</v>
      </c>
      <c r="B516" s="19">
        <f>IFERROR(__xludf.DUMMYFUNCTION("IFERROR(SPLIT(A516,"",""),"""")"),46392.0)</f>
        <v>46392</v>
      </c>
      <c r="C516" t="str">
        <f>IFERROR(__xludf.DUMMYFUNCTION("""COMPUTED_VALUE"""),"Detroit Pistons")</f>
        <v>Detroit Pistons</v>
      </c>
      <c r="D516" t="str">
        <f>IFERROR(__xludf.DUMMYFUNCTION("""COMPUTED_VALUE"""),"Sacramento Kings")</f>
        <v>Sacramento Kings</v>
      </c>
    </row>
    <row r="517">
      <c r="A517" s="17" t="s">
        <v>605</v>
      </c>
      <c r="B517" s="19">
        <f>IFERROR(__xludf.DUMMYFUNCTION("IFERROR(SPLIT(A517,"",""),"""")"),46393.0)</f>
        <v>46393</v>
      </c>
      <c r="C517" t="str">
        <f>IFERROR(__xludf.DUMMYFUNCTION("""COMPUTED_VALUE"""),"Utah Jazz")</f>
        <v>Utah Jazz</v>
      </c>
      <c r="D517" t="str">
        <f>IFERROR(__xludf.DUMMYFUNCTION("""COMPUTED_VALUE"""),"Brooklyn Nets")</f>
        <v>Brooklyn Nets</v>
      </c>
    </row>
    <row r="518">
      <c r="A518" s="17" t="s">
        <v>606</v>
      </c>
      <c r="B518" s="19">
        <f>IFERROR(__xludf.DUMMYFUNCTION("IFERROR(SPLIT(A518,"",""),"""")"),46393.0)</f>
        <v>46393</v>
      </c>
      <c r="C518" t="str">
        <f>IFERROR(__xludf.DUMMYFUNCTION("""COMPUTED_VALUE"""),"Oklahoma City Thunder")</f>
        <v>Oklahoma City Thunder</v>
      </c>
      <c r="D518" t="str">
        <f>IFERROR(__xludf.DUMMYFUNCTION("""COMPUTED_VALUE"""),"Philadelphia 76ers")</f>
        <v>Philadelphia 76ers</v>
      </c>
    </row>
    <row r="519">
      <c r="A519" s="17" t="s">
        <v>607</v>
      </c>
      <c r="B519" s="19">
        <f>IFERROR(__xludf.DUMMYFUNCTION("IFERROR(SPLIT(A519,"",""),"""")"),46393.0)</f>
        <v>46393</v>
      </c>
      <c r="C519" t="str">
        <f>IFERROR(__xludf.DUMMYFUNCTION("""COMPUTED_VALUE"""),"Portland Trail Blazers")</f>
        <v>Portland Trail Blazers</v>
      </c>
      <c r="D519" t="str">
        <f>IFERROR(__xludf.DUMMYFUNCTION("""COMPUTED_VALUE"""),"New Orleans Pelicans")</f>
        <v>New Orleans Pelicans</v>
      </c>
    </row>
    <row r="520">
      <c r="A520" s="17" t="s">
        <v>608</v>
      </c>
      <c r="B520" s="19">
        <f>IFERROR(__xludf.DUMMYFUNCTION("IFERROR(SPLIT(A520,"",""),"""")"),46393.0)</f>
        <v>46393</v>
      </c>
      <c r="C520" t="str">
        <f>IFERROR(__xludf.DUMMYFUNCTION("""COMPUTED_VALUE"""),"Indiana Pacers")</f>
        <v>Indiana Pacers</v>
      </c>
      <c r="D520" t="str">
        <f>IFERROR(__xludf.DUMMYFUNCTION("""COMPUTED_VALUE"""),"San Antonio Spurs")</f>
        <v>San Antonio Spurs</v>
      </c>
    </row>
    <row r="521">
      <c r="A521" s="17" t="s">
        <v>609</v>
      </c>
      <c r="B521" s="19">
        <f>IFERROR(__xludf.DUMMYFUNCTION("IFERROR(SPLIT(A521,"",""),"""")"),46393.0)</f>
        <v>46393</v>
      </c>
      <c r="C521" t="str">
        <f>IFERROR(__xludf.DUMMYFUNCTION("""COMPUTED_VALUE"""),"New York Knicks")</f>
        <v>New York Knicks</v>
      </c>
      <c r="D521" t="str">
        <f>IFERROR(__xludf.DUMMYFUNCTION("""COMPUTED_VALUE"""),"Golden State Warriors")</f>
        <v>Golden State Warriors</v>
      </c>
    </row>
    <row r="522">
      <c r="A522" s="17" t="s">
        <v>610</v>
      </c>
      <c r="B522" s="19">
        <f>IFERROR(__xludf.DUMMYFUNCTION("IFERROR(SPLIT(A522,"",""),"""")"),46394.0)</f>
        <v>46394</v>
      </c>
      <c r="C522" t="str">
        <f>IFERROR(__xludf.DUMMYFUNCTION("""COMPUTED_VALUE"""),"Indiana Pacers")</f>
        <v>Indiana Pacers</v>
      </c>
      <c r="D522" t="str">
        <f>IFERROR(__xludf.DUMMYFUNCTION("""COMPUTED_VALUE"""),"Atlanta Hawks")</f>
        <v>Atlanta Hawks</v>
      </c>
    </row>
    <row r="523">
      <c r="A523" s="17" t="s">
        <v>611</v>
      </c>
      <c r="B523" s="19">
        <f>IFERROR(__xludf.DUMMYFUNCTION("IFERROR(SPLIT(A523,"",""),"""")"),46394.0)</f>
        <v>46394</v>
      </c>
      <c r="C523" t="str">
        <f>IFERROR(__xludf.DUMMYFUNCTION("""COMPUTED_VALUE"""),"Denver Nuggets")</f>
        <v>Denver Nuggets</v>
      </c>
      <c r="D523" t="str">
        <f>IFERROR(__xludf.DUMMYFUNCTION("""COMPUTED_VALUE"""),"Charlotte Hornets")</f>
        <v>Charlotte Hornets</v>
      </c>
    </row>
    <row r="524">
      <c r="A524" s="17" t="s">
        <v>612</v>
      </c>
      <c r="B524" s="19">
        <f>IFERROR(__xludf.DUMMYFUNCTION("IFERROR(SPLIT(A524,"",""),"""")"),46394.0)</f>
        <v>46394</v>
      </c>
      <c r="C524" t="str">
        <f>IFERROR(__xludf.DUMMYFUNCTION("""COMPUTED_VALUE"""),"Cleveland Cavaliers")</f>
        <v>Cleveland Cavaliers</v>
      </c>
      <c r="D524" t="str">
        <f>IFERROR(__xludf.DUMMYFUNCTION("""COMPUTED_VALUE"""),"Orlando Magic")</f>
        <v>Orlando Magic</v>
      </c>
    </row>
    <row r="525">
      <c r="A525" s="17" t="s">
        <v>613</v>
      </c>
      <c r="B525" s="19">
        <f>IFERROR(__xludf.DUMMYFUNCTION("IFERROR(SPLIT(A525,"",""),"""")"),46394.0)</f>
        <v>46394</v>
      </c>
      <c r="C525" t="str">
        <f>IFERROR(__xludf.DUMMYFUNCTION("""COMPUTED_VALUE"""),"Oklahoma City Thunder")</f>
        <v>Oklahoma City Thunder</v>
      </c>
      <c r="D525" t="str">
        <f>IFERROR(__xludf.DUMMYFUNCTION("""COMPUTED_VALUE"""),"Washington Wizards")</f>
        <v>Washington Wizards</v>
      </c>
    </row>
    <row r="526">
      <c r="A526" s="17" t="s">
        <v>614</v>
      </c>
      <c r="B526" s="19">
        <f>IFERROR(__xludf.DUMMYFUNCTION("IFERROR(SPLIT(A526,"",""),"""")"),46394.0)</f>
        <v>46394</v>
      </c>
      <c r="C526" t="str">
        <f>IFERROR(__xludf.DUMMYFUNCTION("""COMPUTED_VALUE"""),"Miami Heat")</f>
        <v>Miami Heat</v>
      </c>
      <c r="D526" t="str">
        <f>IFERROR(__xludf.DUMMYFUNCTION("""COMPUTED_VALUE"""),"Brooklyn Nets")</f>
        <v>Brooklyn Nets</v>
      </c>
    </row>
    <row r="527">
      <c r="A527" s="17" t="s">
        <v>615</v>
      </c>
      <c r="B527" s="19">
        <f>IFERROR(__xludf.DUMMYFUNCTION("IFERROR(SPLIT(A527,"",""),"""")"),46394.0)</f>
        <v>46394</v>
      </c>
      <c r="C527" t="str">
        <f>IFERROR(__xludf.DUMMYFUNCTION("""COMPUTED_VALUE"""),"Minnesota Timberwolves")</f>
        <v>Minnesota Timberwolves</v>
      </c>
      <c r="D527" t="str">
        <f>IFERROR(__xludf.DUMMYFUNCTION("""COMPUTED_VALUE"""),"Toronto Raptors")</f>
        <v>Toronto Raptors</v>
      </c>
    </row>
    <row r="528">
      <c r="A528" s="17" t="s">
        <v>616</v>
      </c>
      <c r="B528" s="19">
        <f>IFERROR(__xludf.DUMMYFUNCTION("IFERROR(SPLIT(A528,"",""),"""")"),46394.0)</f>
        <v>46394</v>
      </c>
      <c r="C528" t="str">
        <f>IFERROR(__xludf.DUMMYFUNCTION("""COMPUTED_VALUE"""),"Portland Trail Blazers")</f>
        <v>Portland Trail Blazers</v>
      </c>
      <c r="D528" t="str">
        <f>IFERROR(__xludf.DUMMYFUNCTION("""COMPUTED_VALUE"""),"Dallas Mavericks")</f>
        <v>Dallas Mavericks</v>
      </c>
    </row>
    <row r="529">
      <c r="A529" s="17" t="s">
        <v>617</v>
      </c>
      <c r="B529" s="19">
        <f>IFERROR(__xludf.DUMMYFUNCTION("IFERROR(SPLIT(A529,"",""),"""")"),46394.0)</f>
        <v>46394</v>
      </c>
      <c r="C529" t="str">
        <f>IFERROR(__xludf.DUMMYFUNCTION("""COMPUTED_VALUE"""),"Los Angeles Clippers")</f>
        <v>Los Angeles Clippers</v>
      </c>
      <c r="D529" t="str">
        <f>IFERROR(__xludf.DUMMYFUNCTION("""COMPUTED_VALUE"""),"Milwaukee Bucks")</f>
        <v>Milwaukee Bucks</v>
      </c>
    </row>
    <row r="530">
      <c r="A530" s="17" t="s">
        <v>618</v>
      </c>
      <c r="B530" s="19">
        <f>IFERROR(__xludf.DUMMYFUNCTION("IFERROR(SPLIT(A530,"",""),"""")"),46394.0)</f>
        <v>46394</v>
      </c>
      <c r="C530" t="str">
        <f>IFERROR(__xludf.DUMMYFUNCTION("""COMPUTED_VALUE"""),"Memphis Grizzlies")</f>
        <v>Memphis Grizzlies</v>
      </c>
      <c r="D530" t="str">
        <f>IFERROR(__xludf.DUMMYFUNCTION("""COMPUTED_VALUE"""),"Houston Rockets")</f>
        <v>Houston Rockets</v>
      </c>
    </row>
    <row r="531">
      <c r="A531" s="17" t="s">
        <v>619</v>
      </c>
      <c r="B531" s="19">
        <f>IFERROR(__xludf.DUMMYFUNCTION("IFERROR(SPLIT(A531,"",""),"""")"),46394.0)</f>
        <v>46394</v>
      </c>
      <c r="C531" t="str">
        <f>IFERROR(__xludf.DUMMYFUNCTION("""COMPUTED_VALUE"""),"Detroit Pistons")</f>
        <v>Detroit Pistons</v>
      </c>
      <c r="D531" t="str">
        <f>IFERROR(__xludf.DUMMYFUNCTION("""COMPUTED_VALUE"""),"Golden State Warriors")</f>
        <v>Golden State Warriors</v>
      </c>
    </row>
    <row r="532">
      <c r="A532" s="17" t="s">
        <v>620</v>
      </c>
      <c r="B532" s="19">
        <f>IFERROR(__xludf.DUMMYFUNCTION("IFERROR(SPLIT(A532,"",""),"""")"),46394.0)</f>
        <v>46394</v>
      </c>
      <c r="C532" t="str">
        <f>IFERROR(__xludf.DUMMYFUNCTION("""COMPUTED_VALUE"""),"Boston Celtics")</f>
        <v>Boston Celtics</v>
      </c>
      <c r="D532" t="str">
        <f>IFERROR(__xludf.DUMMYFUNCTION("""COMPUTED_VALUE"""),"Los Angeles Lakers")</f>
        <v>Los Angeles Lakers</v>
      </c>
    </row>
    <row r="533">
      <c r="A533" s="17" t="s">
        <v>621</v>
      </c>
      <c r="B533" s="19">
        <f>IFERROR(__xludf.DUMMYFUNCTION("IFERROR(SPLIT(A533,"",""),"""")"),46394.0)</f>
        <v>46394</v>
      </c>
      <c r="C533" t="str">
        <f>IFERROR(__xludf.DUMMYFUNCTION("""COMPUTED_VALUE"""),"Chicago Bulls")</f>
        <v>Chicago Bulls</v>
      </c>
      <c r="D533" t="str">
        <f>IFERROR(__xludf.DUMMYFUNCTION("""COMPUTED_VALUE"""),"Sacramento Kings")</f>
        <v>Sacramento Kings</v>
      </c>
    </row>
    <row r="534">
      <c r="A534" s="17" t="s">
        <v>622</v>
      </c>
      <c r="B534" s="19">
        <f>IFERROR(__xludf.DUMMYFUNCTION("IFERROR(SPLIT(A534,"",""),"""")"),46395.0)</f>
        <v>46395</v>
      </c>
      <c r="C534" t="str">
        <f>IFERROR(__xludf.DUMMYFUNCTION("""COMPUTED_VALUE"""),"Miami Heat")</f>
        <v>Miami Heat</v>
      </c>
      <c r="D534" t="str">
        <f>IFERROR(__xludf.DUMMYFUNCTION("""COMPUTED_VALUE"""),"Philadelphia 76ers")</f>
        <v>Philadelphia 76ers</v>
      </c>
    </row>
    <row r="535">
      <c r="A535" s="17" t="s">
        <v>623</v>
      </c>
      <c r="B535" s="19">
        <f>IFERROR(__xludf.DUMMYFUNCTION("IFERROR(SPLIT(A535,"",""),"""")"),46395.0)</f>
        <v>46395</v>
      </c>
      <c r="C535" t="str">
        <f>IFERROR(__xludf.DUMMYFUNCTION("""COMPUTED_VALUE"""),"Minnesota Timberwolves")</f>
        <v>Minnesota Timberwolves</v>
      </c>
      <c r="D535" t="str">
        <f>IFERROR(__xludf.DUMMYFUNCTION("""COMPUTED_VALUE"""),"Washington Wizards")</f>
        <v>Washington Wizards</v>
      </c>
    </row>
    <row r="536">
      <c r="A536" s="17" t="s">
        <v>624</v>
      </c>
      <c r="B536" s="19">
        <f>IFERROR(__xludf.DUMMYFUNCTION("IFERROR(SPLIT(A536,"",""),"""")"),46395.0)</f>
        <v>46395</v>
      </c>
      <c r="C536" t="str">
        <f>IFERROR(__xludf.DUMMYFUNCTION("""COMPUTED_VALUE"""),"Utah Jazz")</f>
        <v>Utah Jazz</v>
      </c>
      <c r="D536" t="str">
        <f>IFERROR(__xludf.DUMMYFUNCTION("""COMPUTED_VALUE"""),"Toronto Raptors")</f>
        <v>Toronto Raptors</v>
      </c>
    </row>
    <row r="537">
      <c r="A537" s="17" t="s">
        <v>625</v>
      </c>
      <c r="B537" s="19">
        <f>IFERROR(__xludf.DUMMYFUNCTION("IFERROR(SPLIT(A537,"",""),"""")"),46395.0)</f>
        <v>46395</v>
      </c>
      <c r="C537" t="str">
        <f>IFERROR(__xludf.DUMMYFUNCTION("""COMPUTED_VALUE"""),"Orlando Magic")</f>
        <v>Orlando Magic</v>
      </c>
      <c r="D537" t="str">
        <f>IFERROR(__xludf.DUMMYFUNCTION("""COMPUTED_VALUE"""),"New Orleans Pelicans")</f>
        <v>New Orleans Pelicans</v>
      </c>
    </row>
    <row r="538">
      <c r="A538" s="17" t="s">
        <v>626</v>
      </c>
      <c r="B538" s="19">
        <f>IFERROR(__xludf.DUMMYFUNCTION("IFERROR(SPLIT(A538,"",""),"""")"),46395.0)</f>
        <v>46395</v>
      </c>
      <c r="C538" t="str">
        <f>IFERROR(__xludf.DUMMYFUNCTION("""COMPUTED_VALUE"""),"Memphis Grizzlies")</f>
        <v>Memphis Grizzlies</v>
      </c>
      <c r="D538" t="str">
        <f>IFERROR(__xludf.DUMMYFUNCTION("""COMPUTED_VALUE"""),"San Antonio Spurs")</f>
        <v>San Antonio Spurs</v>
      </c>
    </row>
    <row r="539">
      <c r="A539" s="17" t="s">
        <v>627</v>
      </c>
      <c r="B539" s="19">
        <f>IFERROR(__xludf.DUMMYFUNCTION("IFERROR(SPLIT(A539,"",""),"""")"),46395.0)</f>
        <v>46395</v>
      </c>
      <c r="C539" t="str">
        <f>IFERROR(__xludf.DUMMYFUNCTION("""COMPUTED_VALUE"""),"Phoenix Suns")</f>
        <v>Phoenix Suns</v>
      </c>
      <c r="D539" t="str">
        <f>IFERROR(__xludf.DUMMYFUNCTION("""COMPUTED_VALUE"""),"Dallas Mavericks")</f>
        <v>Dallas Mavericks</v>
      </c>
    </row>
    <row r="540">
      <c r="A540" s="17" t="s">
        <v>628</v>
      </c>
      <c r="B540" s="19">
        <f>IFERROR(__xludf.DUMMYFUNCTION("IFERROR(SPLIT(A540,"",""),"""")"),46395.0)</f>
        <v>46395</v>
      </c>
      <c r="C540" t="str">
        <f>IFERROR(__xludf.DUMMYFUNCTION("""COMPUTED_VALUE"""),"Detroit Pistons")</f>
        <v>Detroit Pistons</v>
      </c>
      <c r="D540" t="str">
        <f>IFERROR(__xludf.DUMMYFUNCTION("""COMPUTED_VALUE"""),"Los Angeles Lakers")</f>
        <v>Los Angeles Lakers</v>
      </c>
    </row>
    <row r="541">
      <c r="A541" s="17" t="s">
        <v>629</v>
      </c>
      <c r="B541" s="19">
        <f>IFERROR(__xludf.DUMMYFUNCTION("IFERROR(SPLIT(A541,"",""),"""")"),46395.0)</f>
        <v>46395</v>
      </c>
      <c r="C541" t="str">
        <f>IFERROR(__xludf.DUMMYFUNCTION("""COMPUTED_VALUE"""),"New York Knicks")</f>
        <v>New York Knicks</v>
      </c>
      <c r="D541" t="str">
        <f>IFERROR(__xludf.DUMMYFUNCTION("""COMPUTED_VALUE"""),"Sacramento Kings")</f>
        <v>Sacramento Kings</v>
      </c>
    </row>
    <row r="542">
      <c r="A542" s="17" t="s">
        <v>630</v>
      </c>
      <c r="B542" s="19">
        <f>IFERROR(__xludf.DUMMYFUNCTION("IFERROR(SPLIT(A542,"",""),"""")"),46396.0)</f>
        <v>46396</v>
      </c>
      <c r="C542" t="str">
        <f>IFERROR(__xludf.DUMMYFUNCTION("""COMPUTED_VALUE"""),"Denver Nuggets")</f>
        <v>Denver Nuggets</v>
      </c>
      <c r="D542" t="str">
        <f>IFERROR(__xludf.DUMMYFUNCTION("""COMPUTED_VALUE"""),"Cleveland Cavaliers")</f>
        <v>Cleveland Cavaliers</v>
      </c>
    </row>
    <row r="543">
      <c r="A543" s="17" t="s">
        <v>631</v>
      </c>
      <c r="B543" s="19">
        <f>IFERROR(__xludf.DUMMYFUNCTION("IFERROR(SPLIT(A543,"",""),"""")"),46396.0)</f>
        <v>46396</v>
      </c>
      <c r="C543" t="str">
        <f>IFERROR(__xludf.DUMMYFUNCTION("""COMPUTED_VALUE"""),"Houston Rockets")</f>
        <v>Houston Rockets</v>
      </c>
      <c r="D543" t="str">
        <f>IFERROR(__xludf.DUMMYFUNCTION("""COMPUTED_VALUE"""),"Brooklyn Nets")</f>
        <v>Brooklyn Nets</v>
      </c>
    </row>
    <row r="544">
      <c r="A544" s="17" t="s">
        <v>632</v>
      </c>
      <c r="B544" s="19">
        <f>IFERROR(__xludf.DUMMYFUNCTION("IFERROR(SPLIT(A544,"",""),"""")"),46396.0)</f>
        <v>46396</v>
      </c>
      <c r="C544" t="str">
        <f>IFERROR(__xludf.DUMMYFUNCTION("""COMPUTED_VALUE"""),"Milwaukee Bucks")</f>
        <v>Milwaukee Bucks</v>
      </c>
      <c r="D544" t="str">
        <f>IFERROR(__xludf.DUMMYFUNCTION("""COMPUTED_VALUE"""),"Indiana Pacers")</f>
        <v>Indiana Pacers</v>
      </c>
    </row>
    <row r="545">
      <c r="A545" s="17" t="s">
        <v>633</v>
      </c>
      <c r="B545" s="19">
        <f>IFERROR(__xludf.DUMMYFUNCTION("IFERROR(SPLIT(A545,"",""),"""")"),46396.0)</f>
        <v>46396</v>
      </c>
      <c r="C545" t="str">
        <f>IFERROR(__xludf.DUMMYFUNCTION("""COMPUTED_VALUE"""),"Chicago Bulls")</f>
        <v>Chicago Bulls</v>
      </c>
      <c r="D545" t="str">
        <f>IFERROR(__xludf.DUMMYFUNCTION("""COMPUTED_VALUE"""),"Golden State Warriors")</f>
        <v>Golden State Warriors</v>
      </c>
    </row>
    <row r="546">
      <c r="A546" s="17" t="s">
        <v>634</v>
      </c>
      <c r="B546" s="19">
        <f>IFERROR(__xludf.DUMMYFUNCTION("IFERROR(SPLIT(A546,"",""),"""")"),46396.0)</f>
        <v>46396</v>
      </c>
      <c r="C546" t="str">
        <f>IFERROR(__xludf.DUMMYFUNCTION("""COMPUTED_VALUE"""),"Charlotte Hornets")</f>
        <v>Charlotte Hornets</v>
      </c>
      <c r="D546" t="str">
        <f>IFERROR(__xludf.DUMMYFUNCTION("""COMPUTED_VALUE"""),"Portland Trail Blazers")</f>
        <v>Portland Trail Blazers</v>
      </c>
    </row>
    <row r="547">
      <c r="A547" s="17" t="s">
        <v>635</v>
      </c>
      <c r="B547" s="19">
        <f>IFERROR(__xludf.DUMMYFUNCTION("IFERROR(SPLIT(A547,"",""),"""")"),46396.0)</f>
        <v>46396</v>
      </c>
      <c r="C547" t="str">
        <f>IFERROR(__xludf.DUMMYFUNCTION("""COMPUTED_VALUE"""),"Boston Celtics")</f>
        <v>Boston Celtics</v>
      </c>
      <c r="D547" t="str">
        <f>IFERROR(__xludf.DUMMYFUNCTION("""COMPUTED_VALUE"""),"Los Angeles Clippers")</f>
        <v>Los Angeles Clippers</v>
      </c>
    </row>
    <row r="548">
      <c r="A548" s="17" t="s">
        <v>636</v>
      </c>
      <c r="B548" s="19">
        <f>IFERROR(__xludf.DUMMYFUNCTION("IFERROR(SPLIT(A548,"",""),"""")"),46397.0)</f>
        <v>46397</v>
      </c>
      <c r="C548" t="str">
        <f>IFERROR(__xludf.DUMMYFUNCTION("""COMPUTED_VALUE"""),"San Antonio Spurs")</f>
        <v>San Antonio Spurs</v>
      </c>
      <c r="D548" t="str">
        <f>IFERROR(__xludf.DUMMYFUNCTION("""COMPUTED_VALUE"""),"Atlanta Hawks")</f>
        <v>Atlanta Hawks</v>
      </c>
    </row>
    <row r="549">
      <c r="A549" s="17" t="s">
        <v>637</v>
      </c>
      <c r="B549" s="19">
        <f>IFERROR(__xludf.DUMMYFUNCTION("IFERROR(SPLIT(A549,"",""),"""")"),46397.0)</f>
        <v>46397</v>
      </c>
      <c r="C549" t="str">
        <f>IFERROR(__xludf.DUMMYFUNCTION("""COMPUTED_VALUE"""),"Utah Jazz")</f>
        <v>Utah Jazz</v>
      </c>
      <c r="D549" t="str">
        <f>IFERROR(__xludf.DUMMYFUNCTION("""COMPUTED_VALUE"""),"Detroit Pistons")</f>
        <v>Detroit Pistons</v>
      </c>
    </row>
    <row r="550">
      <c r="A550" s="17" t="s">
        <v>638</v>
      </c>
      <c r="B550" s="19">
        <f>IFERROR(__xludf.DUMMYFUNCTION("IFERROR(SPLIT(A550,"",""),"""")"),46397.0)</f>
        <v>46397</v>
      </c>
      <c r="C550" t="str">
        <f>IFERROR(__xludf.DUMMYFUNCTION("""COMPUTED_VALUE"""),"Dallas Mavericks")</f>
        <v>Dallas Mavericks</v>
      </c>
      <c r="D550" t="str">
        <f>IFERROR(__xludf.DUMMYFUNCTION("""COMPUTED_VALUE"""),"Memphis Grizzlies")</f>
        <v>Memphis Grizzlies</v>
      </c>
    </row>
    <row r="551">
      <c r="A551" s="17" t="s">
        <v>639</v>
      </c>
      <c r="B551" s="19">
        <f>IFERROR(__xludf.DUMMYFUNCTION("IFERROR(SPLIT(A551,"",""),"""")"),46397.0)</f>
        <v>46397</v>
      </c>
      <c r="C551" t="str">
        <f>IFERROR(__xludf.DUMMYFUNCTION("""COMPUTED_VALUE"""),"New Orleans Pelicans")</f>
        <v>New Orleans Pelicans</v>
      </c>
      <c r="D551" t="str">
        <f>IFERROR(__xludf.DUMMYFUNCTION("""COMPUTED_VALUE"""),"Miami Heat")</f>
        <v>Miami Heat</v>
      </c>
    </row>
    <row r="552">
      <c r="A552" s="17" t="s">
        <v>640</v>
      </c>
      <c r="B552" s="19">
        <f>IFERROR(__xludf.DUMMYFUNCTION("IFERROR(SPLIT(A552,"",""),"""")"),46397.0)</f>
        <v>46397</v>
      </c>
      <c r="C552" t="str">
        <f>IFERROR(__xludf.DUMMYFUNCTION("""COMPUTED_VALUE"""),"Oklahoma City Thunder")</f>
        <v>Oklahoma City Thunder</v>
      </c>
      <c r="D552" t="str">
        <f>IFERROR(__xludf.DUMMYFUNCTION("""COMPUTED_VALUE"""),"Orlando Magic")</f>
        <v>Orlando Magic</v>
      </c>
    </row>
    <row r="553">
      <c r="A553" s="17" t="s">
        <v>641</v>
      </c>
      <c r="B553" s="19">
        <f>IFERROR(__xludf.DUMMYFUNCTION("IFERROR(SPLIT(A553,"",""),"""")"),46397.0)</f>
        <v>46397</v>
      </c>
      <c r="C553" t="str">
        <f>IFERROR(__xludf.DUMMYFUNCTION("""COMPUTED_VALUE"""),"Philadelphia 76ers")</f>
        <v>Philadelphia 76ers</v>
      </c>
      <c r="D553" t="str">
        <f>IFERROR(__xludf.DUMMYFUNCTION("""COMPUTED_VALUE"""),"Toronto Raptors")</f>
        <v>Toronto Raptors</v>
      </c>
    </row>
    <row r="554">
      <c r="A554" s="17" t="s">
        <v>642</v>
      </c>
      <c r="B554" s="19">
        <f>IFERROR(__xludf.DUMMYFUNCTION("IFERROR(SPLIT(A554,"",""),"""")"),46397.0)</f>
        <v>46397</v>
      </c>
      <c r="C554" t="str">
        <f>IFERROR(__xludf.DUMMYFUNCTION("""COMPUTED_VALUE"""),"Chicago Bulls")</f>
        <v>Chicago Bulls</v>
      </c>
      <c r="D554" t="str">
        <f>IFERROR(__xludf.DUMMYFUNCTION("""COMPUTED_VALUE"""),"Phoenix Suns")</f>
        <v>Phoenix Suns</v>
      </c>
    </row>
    <row r="555">
      <c r="A555" s="17" t="s">
        <v>643</v>
      </c>
      <c r="B555" s="19">
        <f>IFERROR(__xludf.DUMMYFUNCTION("IFERROR(SPLIT(A555,"",""),"""")"),46397.0)</f>
        <v>46397</v>
      </c>
      <c r="C555" t="str">
        <f>IFERROR(__xludf.DUMMYFUNCTION("""COMPUTED_VALUE"""),"Charlotte Hornets")</f>
        <v>Charlotte Hornets</v>
      </c>
      <c r="D555" t="str">
        <f>IFERROR(__xludf.DUMMYFUNCTION("""COMPUTED_VALUE"""),"Sacramento Kings")</f>
        <v>Sacramento Kings</v>
      </c>
    </row>
    <row r="556">
      <c r="A556" s="17" t="s">
        <v>644</v>
      </c>
      <c r="B556" s="19">
        <f>IFERROR(__xludf.DUMMYFUNCTION("IFERROR(SPLIT(A556,"",""),"""")"),46398.0)</f>
        <v>46398</v>
      </c>
      <c r="C556" t="str">
        <f>IFERROR(__xludf.DUMMYFUNCTION("""COMPUTED_VALUE"""),"Brooklyn Nets")</f>
        <v>Brooklyn Nets</v>
      </c>
      <c r="D556" t="str">
        <f>IFERROR(__xludf.DUMMYFUNCTION("""COMPUTED_VALUE"""),"Indiana Pacers")</f>
        <v>Indiana Pacers</v>
      </c>
    </row>
    <row r="557">
      <c r="A557" s="17" t="s">
        <v>645</v>
      </c>
      <c r="B557" s="19">
        <f>IFERROR(__xludf.DUMMYFUNCTION("IFERROR(SPLIT(A557,"",""),"""")"),46398.0)</f>
        <v>46398</v>
      </c>
      <c r="C557" t="str">
        <f>IFERROR(__xludf.DUMMYFUNCTION("""COMPUTED_VALUE"""),"Atlanta Hawks")</f>
        <v>Atlanta Hawks</v>
      </c>
      <c r="D557" t="str">
        <f>IFERROR(__xludf.DUMMYFUNCTION("""COMPUTED_VALUE"""),"Washington Wizards")</f>
        <v>Washington Wizards</v>
      </c>
    </row>
    <row r="558">
      <c r="A558" s="17" t="s">
        <v>646</v>
      </c>
      <c r="B558" s="19">
        <f>IFERROR(__xludf.DUMMYFUNCTION("IFERROR(SPLIT(A558,"",""),"""")"),46398.0)</f>
        <v>46398</v>
      </c>
      <c r="C558" t="str">
        <f>IFERROR(__xludf.DUMMYFUNCTION("""COMPUTED_VALUE"""),"Houston Rockets")</f>
        <v>Houston Rockets</v>
      </c>
      <c r="D558" t="str">
        <f>IFERROR(__xludf.DUMMYFUNCTION("""COMPUTED_VALUE"""),"Boston Celtics")</f>
        <v>Boston Celtics</v>
      </c>
    </row>
    <row r="559">
      <c r="A559" s="17" t="s">
        <v>647</v>
      </c>
      <c r="B559" s="19">
        <f>IFERROR(__xludf.DUMMYFUNCTION("IFERROR(SPLIT(A559,"",""),"""")"),46398.0)</f>
        <v>46398</v>
      </c>
      <c r="C559" t="str">
        <f>IFERROR(__xludf.DUMMYFUNCTION("""COMPUTED_VALUE"""),"Denver Nuggets")</f>
        <v>Denver Nuggets</v>
      </c>
      <c r="D559" t="str">
        <f>IFERROR(__xludf.DUMMYFUNCTION("""COMPUTED_VALUE"""),"New York Knicks")</f>
        <v>New York Knicks</v>
      </c>
    </row>
    <row r="560">
      <c r="A560" s="17" t="s">
        <v>648</v>
      </c>
      <c r="B560" s="19">
        <f>IFERROR(__xludf.DUMMYFUNCTION("IFERROR(SPLIT(A560,"",""),"""")"),46398.0)</f>
        <v>46398</v>
      </c>
      <c r="C560" t="str">
        <f>IFERROR(__xludf.DUMMYFUNCTION("""COMPUTED_VALUE"""),"Cleveland Cavaliers")</f>
        <v>Cleveland Cavaliers</v>
      </c>
      <c r="D560" t="str">
        <f>IFERROR(__xludf.DUMMYFUNCTION("""COMPUTED_VALUE"""),"Minnesota Timberwolves")</f>
        <v>Minnesota Timberwolves</v>
      </c>
    </row>
    <row r="561">
      <c r="A561" s="17" t="s">
        <v>649</v>
      </c>
      <c r="B561" s="19">
        <f>IFERROR(__xludf.DUMMYFUNCTION("IFERROR(SPLIT(A561,"",""),"""")"),46398.0)</f>
        <v>46398</v>
      </c>
      <c r="C561" t="str">
        <f>IFERROR(__xludf.DUMMYFUNCTION("""COMPUTED_VALUE"""),"Los Angeles Lakers")</f>
        <v>Los Angeles Lakers</v>
      </c>
      <c r="D561" t="str">
        <f>IFERROR(__xludf.DUMMYFUNCTION("""COMPUTED_VALUE"""),"Los Angeles Clippers")</f>
        <v>Los Angeles Clippers</v>
      </c>
    </row>
    <row r="562">
      <c r="A562" s="17" t="s">
        <v>650</v>
      </c>
      <c r="B562" s="19">
        <f>IFERROR(__xludf.DUMMYFUNCTION("IFERROR(SPLIT(A562,"",""),"""")"),46399.0)</f>
        <v>46399</v>
      </c>
      <c r="C562" t="str">
        <f>IFERROR(__xludf.DUMMYFUNCTION("""COMPUTED_VALUE"""),"Brooklyn Nets")</f>
        <v>Brooklyn Nets</v>
      </c>
      <c r="D562" t="str">
        <f>IFERROR(__xludf.DUMMYFUNCTION("""COMPUTED_VALUE"""),"Miami Heat")</f>
        <v>Miami Heat</v>
      </c>
    </row>
    <row r="563">
      <c r="A563" s="17" t="s">
        <v>651</v>
      </c>
      <c r="B563" s="19">
        <f>IFERROR(__xludf.DUMMYFUNCTION("IFERROR(SPLIT(A563,"",""),"""")"),46399.0)</f>
        <v>46399</v>
      </c>
      <c r="C563" t="str">
        <f>IFERROR(__xludf.DUMMYFUNCTION("""COMPUTED_VALUE"""),"Detroit Pistons")</f>
        <v>Detroit Pistons</v>
      </c>
      <c r="D563" t="str">
        <f>IFERROR(__xludf.DUMMYFUNCTION("""COMPUTED_VALUE"""),"Toronto Raptors")</f>
        <v>Toronto Raptors</v>
      </c>
    </row>
    <row r="564">
      <c r="A564" s="17" t="s">
        <v>652</v>
      </c>
      <c r="B564" s="19">
        <f>IFERROR(__xludf.DUMMYFUNCTION("IFERROR(SPLIT(A564,"",""),"""")"),46399.0)</f>
        <v>46399</v>
      </c>
      <c r="C564" t="str">
        <f>IFERROR(__xludf.DUMMYFUNCTION("""COMPUTED_VALUE"""),"Dallas Mavericks")</f>
        <v>Dallas Mavericks</v>
      </c>
      <c r="D564" t="str">
        <f>IFERROR(__xludf.DUMMYFUNCTION("""COMPUTED_VALUE"""),"Memphis Grizzlies")</f>
        <v>Memphis Grizzlies</v>
      </c>
    </row>
    <row r="565">
      <c r="A565" s="17" t="s">
        <v>653</v>
      </c>
      <c r="B565" s="19">
        <f>IFERROR(__xludf.DUMMYFUNCTION("IFERROR(SPLIT(A565,"",""),"""")"),46399.0)</f>
        <v>46399</v>
      </c>
      <c r="C565" t="str">
        <f>IFERROR(__xludf.DUMMYFUNCTION("""COMPUTED_VALUE"""),"Denver Nuggets")</f>
        <v>Denver Nuggets</v>
      </c>
      <c r="D565" t="str">
        <f>IFERROR(__xludf.DUMMYFUNCTION("""COMPUTED_VALUE"""),"Milwaukee Bucks")</f>
        <v>Milwaukee Bucks</v>
      </c>
    </row>
    <row r="566">
      <c r="A566" s="17" t="s">
        <v>654</v>
      </c>
      <c r="B566" s="19">
        <f>IFERROR(__xludf.DUMMYFUNCTION("IFERROR(SPLIT(A566,"",""),"""")"),46399.0)</f>
        <v>46399</v>
      </c>
      <c r="C566" t="str">
        <f>IFERROR(__xludf.DUMMYFUNCTION("""COMPUTED_VALUE"""),"Washington Wizards")</f>
        <v>Washington Wizards</v>
      </c>
      <c r="D566" t="str">
        <f>IFERROR(__xludf.DUMMYFUNCTION("""COMPUTED_VALUE"""),"Philadelphia 76ers")</f>
        <v>Philadelphia 76ers</v>
      </c>
    </row>
    <row r="567">
      <c r="A567" s="17" t="s">
        <v>655</v>
      </c>
      <c r="B567" s="19">
        <f>IFERROR(__xludf.DUMMYFUNCTION("IFERROR(SPLIT(A567,"",""),"""")"),46399.0)</f>
        <v>46399</v>
      </c>
      <c r="C567" t="str">
        <f>IFERROR(__xludf.DUMMYFUNCTION("""COMPUTED_VALUE"""),"Chicago Bulls")</f>
        <v>Chicago Bulls</v>
      </c>
      <c r="D567" t="str">
        <f>IFERROR(__xludf.DUMMYFUNCTION("""COMPUTED_VALUE"""),"Utah Jazz")</f>
        <v>Utah Jazz</v>
      </c>
    </row>
    <row r="568">
      <c r="A568" s="17" t="s">
        <v>656</v>
      </c>
      <c r="B568" s="19">
        <f>IFERROR(__xludf.DUMMYFUNCTION("IFERROR(SPLIT(A568,"",""),"""")"),46399.0)</f>
        <v>46399</v>
      </c>
      <c r="C568" t="str">
        <f>IFERROR(__xludf.DUMMYFUNCTION("""COMPUTED_VALUE"""),"Orlando Magic")</f>
        <v>Orlando Magic</v>
      </c>
      <c r="D568" t="str">
        <f>IFERROR(__xludf.DUMMYFUNCTION("""COMPUTED_VALUE"""),"Portland Trail Blazers")</f>
        <v>Portland Trail Blazers</v>
      </c>
    </row>
    <row r="569">
      <c r="A569" s="17" t="s">
        <v>657</v>
      </c>
      <c r="B569" s="19">
        <f>IFERROR(__xludf.DUMMYFUNCTION("IFERROR(SPLIT(A569,"",""),"""")"),46399.0)</f>
        <v>46399</v>
      </c>
      <c r="C569" t="str">
        <f>IFERROR(__xludf.DUMMYFUNCTION("""COMPUTED_VALUE"""),"Sacramento Kings")</f>
        <v>Sacramento Kings</v>
      </c>
      <c r="D569" t="str">
        <f>IFERROR(__xludf.DUMMYFUNCTION("""COMPUTED_VALUE"""),"Golden State Warriors")</f>
        <v>Golden State Warriors</v>
      </c>
    </row>
    <row r="570">
      <c r="A570" s="17" t="s">
        <v>658</v>
      </c>
      <c r="B570" s="19">
        <f>IFERROR(__xludf.DUMMYFUNCTION("IFERROR(SPLIT(A570,"",""),"""")"),46400.0)</f>
        <v>46400</v>
      </c>
      <c r="C570" t="str">
        <f>IFERROR(__xludf.DUMMYFUNCTION("""COMPUTED_VALUE"""),"Cleveland Cavaliers")</f>
        <v>Cleveland Cavaliers</v>
      </c>
      <c r="D570" t="str">
        <f>IFERROR(__xludf.DUMMYFUNCTION("""COMPUTED_VALUE"""),"Atlanta Hawks")</f>
        <v>Atlanta Hawks</v>
      </c>
    </row>
    <row r="571">
      <c r="A571" s="17" t="s">
        <v>659</v>
      </c>
      <c r="B571" s="19">
        <f>IFERROR(__xludf.DUMMYFUNCTION("IFERROR(SPLIT(A571,"",""),"""")"),46400.0)</f>
        <v>46400</v>
      </c>
      <c r="C571" t="str">
        <f>IFERROR(__xludf.DUMMYFUNCTION("""COMPUTED_VALUE"""),"New York Knicks")</f>
        <v>New York Knicks</v>
      </c>
      <c r="D571" t="str">
        <f>IFERROR(__xludf.DUMMYFUNCTION("""COMPUTED_VALUE"""),"Boston Celtics")</f>
        <v>Boston Celtics</v>
      </c>
    </row>
    <row r="572">
      <c r="A572" s="17" t="s">
        <v>660</v>
      </c>
      <c r="B572" s="19">
        <f>IFERROR(__xludf.DUMMYFUNCTION("IFERROR(SPLIT(A572,"",""),"""")"),46400.0)</f>
        <v>46400</v>
      </c>
      <c r="C572" t="str">
        <f>IFERROR(__xludf.DUMMYFUNCTION("""COMPUTED_VALUE"""),"Milwaukee Bucks")</f>
        <v>Milwaukee Bucks</v>
      </c>
      <c r="D572" t="str">
        <f>IFERROR(__xludf.DUMMYFUNCTION("""COMPUTED_VALUE"""),"Indiana Pacers")</f>
        <v>Indiana Pacers</v>
      </c>
    </row>
    <row r="573">
      <c r="A573" s="17" t="s">
        <v>661</v>
      </c>
      <c r="B573" s="19">
        <f>IFERROR(__xludf.DUMMYFUNCTION("IFERROR(SPLIT(A573,"",""),"""")"),46400.0)</f>
        <v>46400</v>
      </c>
      <c r="C573" t="str">
        <f>IFERROR(__xludf.DUMMYFUNCTION("""COMPUTED_VALUE"""),"Phoenix Suns")</f>
        <v>Phoenix Suns</v>
      </c>
      <c r="D573" t="str">
        <f>IFERROR(__xludf.DUMMYFUNCTION("""COMPUTED_VALUE"""),"Toronto Raptors")</f>
        <v>Toronto Raptors</v>
      </c>
    </row>
    <row r="574">
      <c r="A574" s="17" t="s">
        <v>662</v>
      </c>
      <c r="B574" s="19">
        <f>IFERROR(__xludf.DUMMYFUNCTION("IFERROR(SPLIT(A574,"",""),"""")"),46400.0)</f>
        <v>46400</v>
      </c>
      <c r="C574" t="str">
        <f>IFERROR(__xludf.DUMMYFUNCTION("""COMPUTED_VALUE"""),"Houston Rockets")</f>
        <v>Houston Rockets</v>
      </c>
      <c r="D574" t="str">
        <f>IFERROR(__xludf.DUMMYFUNCTION("""COMPUTED_VALUE"""),"Oklahoma City Thunder")</f>
        <v>Oklahoma City Thunder</v>
      </c>
    </row>
    <row r="575">
      <c r="A575" s="17" t="s">
        <v>663</v>
      </c>
      <c r="B575" s="19">
        <f>IFERROR(__xludf.DUMMYFUNCTION("IFERROR(SPLIT(A575,"",""),"""")"),46400.0)</f>
        <v>46400</v>
      </c>
      <c r="C575" t="str">
        <f>IFERROR(__xludf.DUMMYFUNCTION("""COMPUTED_VALUE"""),"Charlotte Hornets")</f>
        <v>Charlotte Hornets</v>
      </c>
      <c r="D575" t="str">
        <f>IFERROR(__xludf.DUMMYFUNCTION("""COMPUTED_VALUE"""),"Golden State Warriors")</f>
        <v>Golden State Warriors</v>
      </c>
    </row>
    <row r="576">
      <c r="A576" s="17" t="s">
        <v>664</v>
      </c>
      <c r="B576" s="19">
        <f>IFERROR(__xludf.DUMMYFUNCTION("IFERROR(SPLIT(A576,"",""),"""")"),46400.0)</f>
        <v>46400</v>
      </c>
      <c r="C576" t="str">
        <f>IFERROR(__xludf.DUMMYFUNCTION("""COMPUTED_VALUE"""),"Los Angeles Lakers")</f>
        <v>Los Angeles Lakers</v>
      </c>
      <c r="D576" t="str">
        <f>IFERROR(__xludf.DUMMYFUNCTION("""COMPUTED_VALUE"""),"Portland Trail Blazers")</f>
        <v>Portland Trail Blazers</v>
      </c>
    </row>
    <row r="577">
      <c r="A577" s="17" t="s">
        <v>665</v>
      </c>
      <c r="B577" s="19">
        <f>IFERROR(__xludf.DUMMYFUNCTION("IFERROR(SPLIT(A577,"",""),"""")"),46401.0)</f>
        <v>46401</v>
      </c>
      <c r="C577" t="str">
        <f>IFERROR(__xludf.DUMMYFUNCTION("""COMPUTED_VALUE"""),"New Orleans Pelicans")</f>
        <v>New Orleans Pelicans</v>
      </c>
      <c r="D577" t="str">
        <f>IFERROR(__xludf.DUMMYFUNCTION("""COMPUTED_VALUE"""),"San Antonio Spurs")</f>
        <v>San Antonio Spurs</v>
      </c>
    </row>
    <row r="578">
      <c r="A578" s="17" t="s">
        <v>666</v>
      </c>
      <c r="B578" s="19">
        <f>IFERROR(__xludf.DUMMYFUNCTION("IFERROR(SPLIT(A578,"",""),"""")"),46401.0)</f>
        <v>46401</v>
      </c>
      <c r="C578" t="str">
        <f>IFERROR(__xludf.DUMMYFUNCTION("""COMPUTED_VALUE"""),"Dallas Mavericks")</f>
        <v>Dallas Mavericks</v>
      </c>
      <c r="D578" t="str">
        <f>IFERROR(__xludf.DUMMYFUNCTION("""COMPUTED_VALUE"""),"Detroit Pistons")</f>
        <v>Detroit Pistons</v>
      </c>
    </row>
    <row r="579">
      <c r="A579" s="17" t="s">
        <v>667</v>
      </c>
      <c r="B579" s="19">
        <f>IFERROR(__xludf.DUMMYFUNCTION("IFERROR(SPLIT(A579,"",""),"""")"),46401.0)</f>
        <v>46401</v>
      </c>
      <c r="C579" t="str">
        <f>IFERROR(__xludf.DUMMYFUNCTION("""COMPUTED_VALUE"""),"Brooklyn Nets")</f>
        <v>Brooklyn Nets</v>
      </c>
      <c r="D579" t="str">
        <f>IFERROR(__xludf.DUMMYFUNCTION("""COMPUTED_VALUE"""),"Philadelphia 76ers")</f>
        <v>Philadelphia 76ers</v>
      </c>
    </row>
    <row r="580">
      <c r="A580" s="17" t="s">
        <v>668</v>
      </c>
      <c r="B580" s="19">
        <f>IFERROR(__xludf.DUMMYFUNCTION("IFERROR(SPLIT(A580,"",""),"""")"),46401.0)</f>
        <v>46401</v>
      </c>
      <c r="C580" t="str">
        <f>IFERROR(__xludf.DUMMYFUNCTION("""COMPUTED_VALUE"""),"Miami Heat")</f>
        <v>Miami Heat</v>
      </c>
      <c r="D580" t="str">
        <f>IFERROR(__xludf.DUMMYFUNCTION("""COMPUTED_VALUE"""),"New York Knicks")</f>
        <v>New York Knicks</v>
      </c>
    </row>
    <row r="581">
      <c r="A581" s="17" t="s">
        <v>669</v>
      </c>
      <c r="B581" s="19">
        <f>IFERROR(__xludf.DUMMYFUNCTION("IFERROR(SPLIT(A581,"",""),"""")"),46401.0)</f>
        <v>46401</v>
      </c>
      <c r="C581" t="str">
        <f>IFERROR(__xludf.DUMMYFUNCTION("""COMPUTED_VALUE"""),"Minnesota Timberwolves")</f>
        <v>Minnesota Timberwolves</v>
      </c>
      <c r="D581" t="str">
        <f>IFERROR(__xludf.DUMMYFUNCTION("""COMPUTED_VALUE"""),"Chicago Bulls")</f>
        <v>Chicago Bulls</v>
      </c>
    </row>
    <row r="582">
      <c r="A582" s="17" t="s">
        <v>670</v>
      </c>
      <c r="B582" s="19">
        <f>IFERROR(__xludf.DUMMYFUNCTION("IFERROR(SPLIT(A582,"",""),"""")"),46401.0)</f>
        <v>46401</v>
      </c>
      <c r="C582" t="str">
        <f>IFERROR(__xludf.DUMMYFUNCTION("""COMPUTED_VALUE"""),"Memphis Grizzlies")</f>
        <v>Memphis Grizzlies</v>
      </c>
      <c r="D582" t="str">
        <f>IFERROR(__xludf.DUMMYFUNCTION("""COMPUTED_VALUE"""),"Denver Nuggets")</f>
        <v>Denver Nuggets</v>
      </c>
    </row>
    <row r="583">
      <c r="A583" s="17" t="s">
        <v>671</v>
      </c>
      <c r="B583" s="19">
        <f>IFERROR(__xludf.DUMMYFUNCTION("IFERROR(SPLIT(A583,"",""),"""")"),46401.0)</f>
        <v>46401</v>
      </c>
      <c r="C583" t="str">
        <f>IFERROR(__xludf.DUMMYFUNCTION("""COMPUTED_VALUE"""),"Charlotte Hornets")</f>
        <v>Charlotte Hornets</v>
      </c>
      <c r="D583" t="str">
        <f>IFERROR(__xludf.DUMMYFUNCTION("""COMPUTED_VALUE"""),"Utah Jazz")</f>
        <v>Utah Jazz</v>
      </c>
    </row>
    <row r="584">
      <c r="A584" s="17" t="s">
        <v>672</v>
      </c>
      <c r="B584" s="19">
        <f>IFERROR(__xludf.DUMMYFUNCTION("IFERROR(SPLIT(A584,"",""),"""")"),46401.0)</f>
        <v>46401</v>
      </c>
      <c r="C584" t="str">
        <f>IFERROR(__xludf.DUMMYFUNCTION("""COMPUTED_VALUE"""),"Orlando Magic")</f>
        <v>Orlando Magic</v>
      </c>
      <c r="D584" t="str">
        <f>IFERROR(__xludf.DUMMYFUNCTION("""COMPUTED_VALUE"""),"Los Angeles Lakers")</f>
        <v>Los Angeles Lakers</v>
      </c>
    </row>
    <row r="585">
      <c r="A585" s="17" t="s">
        <v>673</v>
      </c>
      <c r="B585" s="19">
        <f>IFERROR(__xludf.DUMMYFUNCTION("IFERROR(SPLIT(A585,"",""),"""")"),46401.0)</f>
        <v>46401</v>
      </c>
      <c r="C585" t="str">
        <f>IFERROR(__xludf.DUMMYFUNCTION("""COMPUTED_VALUE"""),"Los Angeles Clippers")</f>
        <v>Los Angeles Clippers</v>
      </c>
      <c r="D585" t="str">
        <f>IFERROR(__xludf.DUMMYFUNCTION("""COMPUTED_VALUE"""),"Sacramento Kings")</f>
        <v>Sacramento Kings</v>
      </c>
    </row>
    <row r="586">
      <c r="A586" s="17" t="s">
        <v>674</v>
      </c>
      <c r="B586" s="19">
        <f>IFERROR(__xludf.DUMMYFUNCTION("IFERROR(SPLIT(A586,"",""),"""")"),46402.0)</f>
        <v>46402</v>
      </c>
      <c r="C586" t="str">
        <f>IFERROR(__xludf.DUMMYFUNCTION("""COMPUTED_VALUE"""),"Golden State Warriors")</f>
        <v>Golden State Warriors</v>
      </c>
      <c r="D586" t="str">
        <f>IFERROR(__xludf.DUMMYFUNCTION("""COMPUTED_VALUE"""),"Atlanta Hawks")</f>
        <v>Atlanta Hawks</v>
      </c>
    </row>
    <row r="587">
      <c r="A587" s="17" t="s">
        <v>675</v>
      </c>
      <c r="B587" s="19">
        <f>IFERROR(__xludf.DUMMYFUNCTION("IFERROR(SPLIT(A587,"",""),"""")"),46402.0)</f>
        <v>46402</v>
      </c>
      <c r="C587" t="str">
        <f>IFERROR(__xludf.DUMMYFUNCTION("""COMPUTED_VALUE"""),"Phoenix Suns")</f>
        <v>Phoenix Suns</v>
      </c>
      <c r="D587" t="str">
        <f>IFERROR(__xludf.DUMMYFUNCTION("""COMPUTED_VALUE"""),"Indiana Pacers")</f>
        <v>Indiana Pacers</v>
      </c>
    </row>
    <row r="588">
      <c r="A588" s="17" t="s">
        <v>676</v>
      </c>
      <c r="B588" s="19">
        <f>IFERROR(__xludf.DUMMYFUNCTION("IFERROR(SPLIT(A588,"",""),"""")"),46402.0)</f>
        <v>46402</v>
      </c>
      <c r="C588" t="str">
        <f>IFERROR(__xludf.DUMMYFUNCTION("""COMPUTED_VALUE"""),"Miami Heat")</f>
        <v>Miami Heat</v>
      </c>
      <c r="D588" t="str">
        <f>IFERROR(__xludf.DUMMYFUNCTION("""COMPUTED_VALUE"""),"Toronto Raptors")</f>
        <v>Toronto Raptors</v>
      </c>
    </row>
    <row r="589">
      <c r="A589" s="17" t="s">
        <v>677</v>
      </c>
      <c r="B589" s="19">
        <f>IFERROR(__xludf.DUMMYFUNCTION("IFERROR(SPLIT(A589,"",""),"""")"),46402.0)</f>
        <v>46402</v>
      </c>
      <c r="C589" t="str">
        <f>IFERROR(__xludf.DUMMYFUNCTION("""COMPUTED_VALUE"""),"Cleveland Cavaliers")</f>
        <v>Cleveland Cavaliers</v>
      </c>
      <c r="D589" t="str">
        <f>IFERROR(__xludf.DUMMYFUNCTION("""COMPUTED_VALUE"""),"Milwaukee Bucks")</f>
        <v>Milwaukee Bucks</v>
      </c>
    </row>
    <row r="590">
      <c r="A590" s="17" t="s">
        <v>678</v>
      </c>
      <c r="B590" s="19">
        <f>IFERROR(__xludf.DUMMYFUNCTION("IFERROR(SPLIT(A590,"",""),"""")"),46402.0)</f>
        <v>46402</v>
      </c>
      <c r="C590" t="str">
        <f>IFERROR(__xludf.DUMMYFUNCTION("""COMPUTED_VALUE"""),"Utah Jazz")</f>
        <v>Utah Jazz</v>
      </c>
      <c r="D590" t="str">
        <f>IFERROR(__xludf.DUMMYFUNCTION("""COMPUTED_VALUE"""),"Oklahoma City Thunder")</f>
        <v>Oklahoma City Thunder</v>
      </c>
    </row>
    <row r="591">
      <c r="A591" s="17" t="s">
        <v>679</v>
      </c>
      <c r="B591" s="19">
        <f>IFERROR(__xludf.DUMMYFUNCTION("IFERROR(SPLIT(A591,"",""),"""")"),46402.0)</f>
        <v>46402</v>
      </c>
      <c r="C591" t="str">
        <f>IFERROR(__xludf.DUMMYFUNCTION("""COMPUTED_VALUE"""),"Washington Wizards")</f>
        <v>Washington Wizards</v>
      </c>
      <c r="D591" t="str">
        <f>IFERROR(__xludf.DUMMYFUNCTION("""COMPUTED_VALUE"""),"Houston Rockets")</f>
        <v>Houston Rockets</v>
      </c>
    </row>
    <row r="592">
      <c r="A592" s="17" t="s">
        <v>680</v>
      </c>
      <c r="B592" s="19">
        <f>IFERROR(__xludf.DUMMYFUNCTION("IFERROR(SPLIT(A592,"",""),"""")"),46402.0)</f>
        <v>46402</v>
      </c>
      <c r="C592" t="str">
        <f>IFERROR(__xludf.DUMMYFUNCTION("""COMPUTED_VALUE"""),"Sacramento Kings")</f>
        <v>Sacramento Kings</v>
      </c>
      <c r="D592" t="str">
        <f>IFERROR(__xludf.DUMMYFUNCTION("""COMPUTED_VALUE"""),"Portland Trail Blazers")</f>
        <v>Portland Trail Blazers</v>
      </c>
    </row>
    <row r="593">
      <c r="A593" s="17" t="s">
        <v>681</v>
      </c>
      <c r="B593" s="19">
        <f>IFERROR(__xludf.DUMMYFUNCTION("IFERROR(SPLIT(A593,"",""),"""")"),46402.0)</f>
        <v>46402</v>
      </c>
      <c r="C593" t="str">
        <f>IFERROR(__xludf.DUMMYFUNCTION("""COMPUTED_VALUE"""),"Orlando Magic")</f>
        <v>Orlando Magic</v>
      </c>
      <c r="D593" t="str">
        <f>IFERROR(__xludf.DUMMYFUNCTION("""COMPUTED_VALUE"""),"Los Angeles Clippers")</f>
        <v>Los Angeles Clippers</v>
      </c>
    </row>
    <row r="594">
      <c r="A594" s="17" t="s">
        <v>682</v>
      </c>
      <c r="B594" s="19">
        <f>IFERROR(__xludf.DUMMYFUNCTION("IFERROR(SPLIT(A594,"",""),"""")"),46403.0)</f>
        <v>46403</v>
      </c>
      <c r="C594" t="str">
        <f>IFERROR(__xludf.DUMMYFUNCTION("""COMPUTED_VALUE"""),"Minnesota Timberwolves")</f>
        <v>Minnesota Timberwolves</v>
      </c>
      <c r="D594" t="str">
        <f>IFERROR(__xludf.DUMMYFUNCTION("""COMPUTED_VALUE"""),"Philadelphia 76ers")</f>
        <v>Philadelphia 76ers</v>
      </c>
    </row>
    <row r="595">
      <c r="A595" s="17" t="s">
        <v>683</v>
      </c>
      <c r="B595" s="19">
        <f>IFERROR(__xludf.DUMMYFUNCTION("IFERROR(SPLIT(A595,"",""),"""")"),46403.0)</f>
        <v>46403</v>
      </c>
      <c r="C595" t="str">
        <f>IFERROR(__xludf.DUMMYFUNCTION("""COMPUTED_VALUE"""),"Brooklyn Nets")</f>
        <v>Brooklyn Nets</v>
      </c>
      <c r="D595" t="str">
        <f>IFERROR(__xludf.DUMMYFUNCTION("""COMPUTED_VALUE"""),"Boston Celtics")</f>
        <v>Boston Celtics</v>
      </c>
    </row>
    <row r="596">
      <c r="A596" s="17" t="s">
        <v>684</v>
      </c>
      <c r="B596" s="19">
        <f>IFERROR(__xludf.DUMMYFUNCTION("IFERROR(SPLIT(A596,"",""),"""")"),46403.0)</f>
        <v>46403</v>
      </c>
      <c r="C596" t="str">
        <f>IFERROR(__xludf.DUMMYFUNCTION("""COMPUTED_VALUE"""),"Dallas Mavericks")</f>
        <v>Dallas Mavericks</v>
      </c>
      <c r="D596" t="str">
        <f>IFERROR(__xludf.DUMMYFUNCTION("""COMPUTED_VALUE"""),"New York Knicks")</f>
        <v>New York Knicks</v>
      </c>
    </row>
    <row r="597">
      <c r="A597" s="17" t="s">
        <v>685</v>
      </c>
      <c r="B597" s="19">
        <f>IFERROR(__xludf.DUMMYFUNCTION("IFERROR(SPLIT(A597,"",""),"""")"),46403.0)</f>
        <v>46403</v>
      </c>
      <c r="C597" t="str">
        <f>IFERROR(__xludf.DUMMYFUNCTION("""COMPUTED_VALUE"""),"Cleveland Cavaliers")</f>
        <v>Cleveland Cavaliers</v>
      </c>
      <c r="D597" t="str">
        <f>IFERROR(__xludf.DUMMYFUNCTION("""COMPUTED_VALUE"""),"Memphis Grizzlies")</f>
        <v>Memphis Grizzlies</v>
      </c>
    </row>
    <row r="598">
      <c r="A598" s="17" t="s">
        <v>686</v>
      </c>
      <c r="B598" s="19">
        <f>IFERROR(__xludf.DUMMYFUNCTION("IFERROR(SPLIT(A598,"",""),"""")"),46403.0)</f>
        <v>46403</v>
      </c>
      <c r="C598" t="str">
        <f>IFERROR(__xludf.DUMMYFUNCTION("""COMPUTED_VALUE"""),"Detroit Pistons")</f>
        <v>Detroit Pistons</v>
      </c>
      <c r="D598" t="str">
        <f>IFERROR(__xludf.DUMMYFUNCTION("""COMPUTED_VALUE"""),"Houston Rockets")</f>
        <v>Houston Rockets</v>
      </c>
    </row>
    <row r="599">
      <c r="A599" s="17" t="s">
        <v>687</v>
      </c>
      <c r="B599" s="19">
        <f>IFERROR(__xludf.DUMMYFUNCTION("IFERROR(SPLIT(A599,"",""),"""")"),46403.0)</f>
        <v>46403</v>
      </c>
      <c r="C599" t="str">
        <f>IFERROR(__xludf.DUMMYFUNCTION("""COMPUTED_VALUE"""),"Charlotte Hornets")</f>
        <v>Charlotte Hornets</v>
      </c>
      <c r="D599" t="str">
        <f>IFERROR(__xludf.DUMMYFUNCTION("""COMPUTED_VALUE"""),"Denver Nuggets")</f>
        <v>Denver Nuggets</v>
      </c>
    </row>
    <row r="600">
      <c r="A600" s="17" t="s">
        <v>688</v>
      </c>
      <c r="B600" s="19">
        <f>IFERROR(__xludf.DUMMYFUNCTION("IFERROR(SPLIT(A600,"",""),"""")"),46404.0)</f>
        <v>46404</v>
      </c>
      <c r="C600" t="str">
        <f>IFERROR(__xludf.DUMMYFUNCTION("""COMPUTED_VALUE"""),"San Antonio Spurs")</f>
        <v>San Antonio Spurs</v>
      </c>
      <c r="D600" t="str">
        <f>IFERROR(__xludf.DUMMYFUNCTION("""COMPUTED_VALUE"""),"New Orleans Pelicans")</f>
        <v>New Orleans Pelicans</v>
      </c>
    </row>
    <row r="601">
      <c r="A601" s="17" t="s">
        <v>689</v>
      </c>
      <c r="B601" s="19">
        <f>IFERROR(__xludf.DUMMYFUNCTION("IFERROR(SPLIT(A601,"",""),"""")"),46404.0)</f>
        <v>46404</v>
      </c>
      <c r="C601" t="str">
        <f>IFERROR(__xludf.DUMMYFUNCTION("""COMPUTED_VALUE"""),"Indiana Pacers")</f>
        <v>Indiana Pacers</v>
      </c>
      <c r="D601" t="str">
        <f>IFERROR(__xludf.DUMMYFUNCTION("""COMPUTED_VALUE"""),"Washington Wizards")</f>
        <v>Washington Wizards</v>
      </c>
    </row>
    <row r="602">
      <c r="A602" s="17" t="s">
        <v>690</v>
      </c>
      <c r="B602" s="19">
        <f>IFERROR(__xludf.DUMMYFUNCTION("IFERROR(SPLIT(A602,"",""),"""")"),46404.0)</f>
        <v>46404</v>
      </c>
      <c r="C602" t="str">
        <f>IFERROR(__xludf.DUMMYFUNCTION("""COMPUTED_VALUE"""),"Toronto Raptors")</f>
        <v>Toronto Raptors</v>
      </c>
      <c r="D602" t="str">
        <f>IFERROR(__xludf.DUMMYFUNCTION("""COMPUTED_VALUE"""),"Chicago Bulls")</f>
        <v>Chicago Bulls</v>
      </c>
    </row>
    <row r="603">
      <c r="A603" s="17" t="s">
        <v>691</v>
      </c>
      <c r="B603" s="19">
        <f>IFERROR(__xludf.DUMMYFUNCTION("IFERROR(SPLIT(A603,"",""),"""")"),46404.0)</f>
        <v>46404</v>
      </c>
      <c r="C603" t="str">
        <f>IFERROR(__xludf.DUMMYFUNCTION("""COMPUTED_VALUE"""),"Portland Trail Blazers")</f>
        <v>Portland Trail Blazers</v>
      </c>
      <c r="D603" t="str">
        <f>IFERROR(__xludf.DUMMYFUNCTION("""COMPUTED_VALUE"""),"Oklahoma City Thunder")</f>
        <v>Oklahoma City Thunder</v>
      </c>
    </row>
    <row r="604">
      <c r="A604" s="17" t="s">
        <v>692</v>
      </c>
      <c r="B604" s="19">
        <f>IFERROR(__xludf.DUMMYFUNCTION("IFERROR(SPLIT(A604,"",""),"""")"),46404.0)</f>
        <v>46404</v>
      </c>
      <c r="C604" t="str">
        <f>IFERROR(__xludf.DUMMYFUNCTION("""COMPUTED_VALUE"""),"Sacramento Kings")</f>
        <v>Sacramento Kings</v>
      </c>
      <c r="D604" t="str">
        <f>IFERROR(__xludf.DUMMYFUNCTION("""COMPUTED_VALUE"""),"Utah Jazz")</f>
        <v>Utah Jazz</v>
      </c>
    </row>
    <row r="605">
      <c r="A605" s="17" t="s">
        <v>693</v>
      </c>
      <c r="B605" s="19">
        <f>IFERROR(__xludf.DUMMYFUNCTION("IFERROR(SPLIT(A605,"",""),"""")"),46404.0)</f>
        <v>46404</v>
      </c>
      <c r="C605" t="str">
        <f>IFERROR(__xludf.DUMMYFUNCTION("""COMPUTED_VALUE"""),"Golden State Warriors")</f>
        <v>Golden State Warriors</v>
      </c>
      <c r="D605" t="str">
        <f>IFERROR(__xludf.DUMMYFUNCTION("""COMPUTED_VALUE"""),"Miami Heat")</f>
        <v>Miami Heat</v>
      </c>
    </row>
    <row r="606">
      <c r="A606" s="17" t="s">
        <v>694</v>
      </c>
      <c r="B606" s="19">
        <f>IFERROR(__xludf.DUMMYFUNCTION("IFERROR(SPLIT(A606,"",""),"""")"),46404.0)</f>
        <v>46404</v>
      </c>
      <c r="C606" t="str">
        <f>IFERROR(__xludf.DUMMYFUNCTION("""COMPUTED_VALUE"""),"Orlando Magic")</f>
        <v>Orlando Magic</v>
      </c>
      <c r="D606" t="str">
        <f>IFERROR(__xludf.DUMMYFUNCTION("""COMPUTED_VALUE"""),"Denver Nuggets")</f>
        <v>Denver Nuggets</v>
      </c>
    </row>
    <row r="607">
      <c r="A607" s="17" t="s">
        <v>695</v>
      </c>
      <c r="B607" s="19">
        <f>IFERROR(__xludf.DUMMYFUNCTION("IFERROR(SPLIT(A607,"",""),"""")"),46404.0)</f>
        <v>46404</v>
      </c>
      <c r="C607" t="str">
        <f>IFERROR(__xludf.DUMMYFUNCTION("""COMPUTED_VALUE"""),"Milwaukee Bucks")</f>
        <v>Milwaukee Bucks</v>
      </c>
      <c r="D607" t="str">
        <f>IFERROR(__xludf.DUMMYFUNCTION("""COMPUTED_VALUE"""),"Los Angeles Lakers")</f>
        <v>Los Angeles Lakers</v>
      </c>
    </row>
    <row r="608">
      <c r="A608" s="17" t="s">
        <v>696</v>
      </c>
      <c r="B608" s="19">
        <f>IFERROR(__xludf.DUMMYFUNCTION("IFERROR(SPLIT(A608,"",""),"""")"),46405.0)</f>
        <v>46405</v>
      </c>
      <c r="C608" t="str">
        <f>IFERROR(__xludf.DUMMYFUNCTION("""COMPUTED_VALUE"""),"Detroit Pistons")</f>
        <v>Detroit Pistons</v>
      </c>
      <c r="D608" t="str">
        <f>IFERROR(__xludf.DUMMYFUNCTION("""COMPUTED_VALUE"""),"Cleveland Cavaliers")</f>
        <v>Cleveland Cavaliers</v>
      </c>
    </row>
    <row r="609">
      <c r="A609" s="17" t="s">
        <v>697</v>
      </c>
      <c r="B609" s="19">
        <f>IFERROR(__xludf.DUMMYFUNCTION("IFERROR(SPLIT(A609,"",""),"""")"),46405.0)</f>
        <v>46405</v>
      </c>
      <c r="C609" t="str">
        <f>IFERROR(__xludf.DUMMYFUNCTION("""COMPUTED_VALUE"""),"Philadelphia 76ers")</f>
        <v>Philadelphia 76ers</v>
      </c>
      <c r="D609" t="str">
        <f>IFERROR(__xludf.DUMMYFUNCTION("""COMPUTED_VALUE"""),"Atlanta Hawks")</f>
        <v>Atlanta Hawks</v>
      </c>
    </row>
    <row r="610">
      <c r="A610" s="17" t="s">
        <v>698</v>
      </c>
      <c r="B610" s="19">
        <f>IFERROR(__xludf.DUMMYFUNCTION("IFERROR(SPLIT(A610,"",""),"""")"),46405.0)</f>
        <v>46405</v>
      </c>
      <c r="C610" t="str">
        <f>IFERROR(__xludf.DUMMYFUNCTION("""COMPUTED_VALUE"""),"Boston Celtics")</f>
        <v>Boston Celtics</v>
      </c>
      <c r="D610" t="str">
        <f>IFERROR(__xludf.DUMMYFUNCTION("""COMPUTED_VALUE"""),"Washington Wizards")</f>
        <v>Washington Wizards</v>
      </c>
    </row>
    <row r="611">
      <c r="A611" s="17" t="s">
        <v>699</v>
      </c>
      <c r="B611" s="19">
        <f>IFERROR(__xludf.DUMMYFUNCTION("IFERROR(SPLIT(A611,"",""),"""")"),46405.0)</f>
        <v>46405</v>
      </c>
      <c r="C611" t="str">
        <f>IFERROR(__xludf.DUMMYFUNCTION("""COMPUTED_VALUE"""),"Minnesota Timberwolves")</f>
        <v>Minnesota Timberwolves</v>
      </c>
      <c r="D611" t="str">
        <f>IFERROR(__xludf.DUMMYFUNCTION("""COMPUTED_VALUE"""),"New York Knicks")</f>
        <v>New York Knicks</v>
      </c>
    </row>
    <row r="612">
      <c r="A612" s="17" t="s">
        <v>700</v>
      </c>
      <c r="B612" s="19">
        <f>IFERROR(__xludf.DUMMYFUNCTION("IFERROR(SPLIT(A612,"",""),"""")"),46405.0)</f>
        <v>46405</v>
      </c>
      <c r="C612" t="str">
        <f>IFERROR(__xludf.DUMMYFUNCTION("""COMPUTED_VALUE"""),"Houston Rockets")</f>
        <v>Houston Rockets</v>
      </c>
      <c r="D612" t="str">
        <f>IFERROR(__xludf.DUMMYFUNCTION("""COMPUTED_VALUE"""),"Memphis Grizzlies")</f>
        <v>Memphis Grizzlies</v>
      </c>
    </row>
    <row r="613">
      <c r="A613" s="17" t="s">
        <v>701</v>
      </c>
      <c r="B613" s="19">
        <f>IFERROR(__xludf.DUMMYFUNCTION("IFERROR(SPLIT(A613,"",""),"""")"),46405.0)</f>
        <v>46405</v>
      </c>
      <c r="C613" t="str">
        <f>IFERROR(__xludf.DUMMYFUNCTION("""COMPUTED_VALUE"""),"Oklahoma City Thunder")</f>
        <v>Oklahoma City Thunder</v>
      </c>
      <c r="D613" t="str">
        <f>IFERROR(__xludf.DUMMYFUNCTION("""COMPUTED_VALUE"""),"Dallas Mavericks")</f>
        <v>Dallas Mavericks</v>
      </c>
    </row>
    <row r="614">
      <c r="A614" s="17" t="s">
        <v>702</v>
      </c>
      <c r="B614" s="19">
        <f>IFERROR(__xludf.DUMMYFUNCTION("IFERROR(SPLIT(A614,"",""),"""")"),46405.0)</f>
        <v>46405</v>
      </c>
      <c r="C614" t="str">
        <f>IFERROR(__xludf.DUMMYFUNCTION("""COMPUTED_VALUE"""),"Phoenix Suns")</f>
        <v>Phoenix Suns</v>
      </c>
      <c r="D614" t="str">
        <f>IFERROR(__xludf.DUMMYFUNCTION("""COMPUTED_VALUE"""),"Los Angeles Clippers")</f>
        <v>Los Angeles Clippers</v>
      </c>
    </row>
    <row r="615">
      <c r="A615" s="17" t="s">
        <v>703</v>
      </c>
      <c r="B615" s="19">
        <f>IFERROR(__xludf.DUMMYFUNCTION("IFERROR(SPLIT(A615,"",""),"""")"),46406.0)</f>
        <v>46406</v>
      </c>
      <c r="C615" t="str">
        <f>IFERROR(__xludf.DUMMYFUNCTION("""COMPUTED_VALUE"""),"Golden State Warriors")</f>
        <v>Golden State Warriors</v>
      </c>
      <c r="D615" t="str">
        <f>IFERROR(__xludf.DUMMYFUNCTION("""COMPUTED_VALUE"""),"Orlando Magic")</f>
        <v>Orlando Magic</v>
      </c>
    </row>
    <row r="616">
      <c r="A616" s="17" t="s">
        <v>704</v>
      </c>
      <c r="B616" s="19">
        <f>IFERROR(__xludf.DUMMYFUNCTION("IFERROR(SPLIT(A616,"",""),"""")"),46406.0)</f>
        <v>46406</v>
      </c>
      <c r="C616" t="str">
        <f>IFERROR(__xludf.DUMMYFUNCTION("""COMPUTED_VALUE"""),"Indiana Pacers")</f>
        <v>Indiana Pacers</v>
      </c>
      <c r="D616" t="str">
        <f>IFERROR(__xludf.DUMMYFUNCTION("""COMPUTED_VALUE"""),"Philadelphia 76ers")</f>
        <v>Philadelphia 76ers</v>
      </c>
    </row>
    <row r="617">
      <c r="A617" s="17" t="s">
        <v>705</v>
      </c>
      <c r="B617" s="19">
        <f>IFERROR(__xludf.DUMMYFUNCTION("IFERROR(SPLIT(A617,"",""),"""")"),46406.0)</f>
        <v>46406</v>
      </c>
      <c r="C617" t="str">
        <f>IFERROR(__xludf.DUMMYFUNCTION("""COMPUTED_VALUE"""),"Chicago Bulls")</f>
        <v>Chicago Bulls</v>
      </c>
      <c r="D617" t="str">
        <f>IFERROR(__xludf.DUMMYFUNCTION("""COMPUTED_VALUE"""),"Toronto Raptors")</f>
        <v>Toronto Raptors</v>
      </c>
    </row>
    <row r="618">
      <c r="A618" s="17" t="s">
        <v>706</v>
      </c>
      <c r="B618" s="19">
        <f>IFERROR(__xludf.DUMMYFUNCTION("IFERROR(SPLIT(A618,"",""),"""")"),46406.0)</f>
        <v>46406</v>
      </c>
      <c r="C618" t="str">
        <f>IFERROR(__xludf.DUMMYFUNCTION("""COMPUTED_VALUE"""),"Portland Trail Blazers")</f>
        <v>Portland Trail Blazers</v>
      </c>
      <c r="D618" t="str">
        <f>IFERROR(__xludf.DUMMYFUNCTION("""COMPUTED_VALUE"""),"Miami Heat")</f>
        <v>Miami Heat</v>
      </c>
    </row>
    <row r="619">
      <c r="A619" s="17" t="s">
        <v>707</v>
      </c>
      <c r="B619" s="19">
        <f>IFERROR(__xludf.DUMMYFUNCTION("IFERROR(SPLIT(A619,"",""),"""")"),46406.0)</f>
        <v>46406</v>
      </c>
      <c r="C619" t="str">
        <f>IFERROR(__xludf.DUMMYFUNCTION("""COMPUTED_VALUE"""),"Charlotte Hornets")</f>
        <v>Charlotte Hornets</v>
      </c>
      <c r="D619" t="str">
        <f>IFERROR(__xludf.DUMMYFUNCTION("""COMPUTED_VALUE"""),"Dallas Mavericks")</f>
        <v>Dallas Mavericks</v>
      </c>
    </row>
    <row r="620">
      <c r="A620" s="17" t="s">
        <v>708</v>
      </c>
      <c r="B620" s="19">
        <f>IFERROR(__xludf.DUMMYFUNCTION("IFERROR(SPLIT(A620,"",""),"""")"),46406.0)</f>
        <v>46406</v>
      </c>
      <c r="C620" t="str">
        <f>IFERROR(__xludf.DUMMYFUNCTION("""COMPUTED_VALUE"""),"Utah Jazz")</f>
        <v>Utah Jazz</v>
      </c>
      <c r="D620" t="str">
        <f>IFERROR(__xludf.DUMMYFUNCTION("""COMPUTED_VALUE"""),"Denver Nuggets")</f>
        <v>Denver Nuggets</v>
      </c>
    </row>
    <row r="621">
      <c r="A621" s="17" t="s">
        <v>709</v>
      </c>
      <c r="B621" s="19">
        <f>IFERROR(__xludf.DUMMYFUNCTION("IFERROR(SPLIT(A621,"",""),"""")"),46406.0)</f>
        <v>46406</v>
      </c>
      <c r="C621" t="str">
        <f>IFERROR(__xludf.DUMMYFUNCTION("""COMPUTED_VALUE"""),"Los Angeles Lakers")</f>
        <v>Los Angeles Lakers</v>
      </c>
      <c r="D621" t="str">
        <f>IFERROR(__xludf.DUMMYFUNCTION("""COMPUTED_VALUE"""),"Sacramento Kings")</f>
        <v>Sacramento Kings</v>
      </c>
    </row>
    <row r="622">
      <c r="A622" s="17" t="s">
        <v>710</v>
      </c>
      <c r="B622" s="19">
        <f>IFERROR(__xludf.DUMMYFUNCTION("IFERROR(SPLIT(A622,"",""),"""")"),46407.0)</f>
        <v>46407</v>
      </c>
      <c r="C622" t="str">
        <f>IFERROR(__xludf.DUMMYFUNCTION("""COMPUTED_VALUE"""),"Portland Trail Blazers")</f>
        <v>Portland Trail Blazers</v>
      </c>
      <c r="D622" t="str">
        <f>IFERROR(__xludf.DUMMYFUNCTION("""COMPUTED_VALUE"""),"Atlanta Hawks")</f>
        <v>Atlanta Hawks</v>
      </c>
    </row>
    <row r="623">
      <c r="A623" s="17" t="s">
        <v>711</v>
      </c>
      <c r="B623" s="19">
        <f>IFERROR(__xludf.DUMMYFUNCTION("IFERROR(SPLIT(A623,"",""),"""")"),46407.0)</f>
        <v>46407</v>
      </c>
      <c r="C623" t="str">
        <f>IFERROR(__xludf.DUMMYFUNCTION("""COMPUTED_VALUE"""),"Chicago Bulls")</f>
        <v>Chicago Bulls</v>
      </c>
      <c r="D623" t="str">
        <f>IFERROR(__xludf.DUMMYFUNCTION("""COMPUTED_VALUE"""),"Brooklyn Nets")</f>
        <v>Brooklyn Nets</v>
      </c>
    </row>
    <row r="624">
      <c r="A624" s="17" t="s">
        <v>712</v>
      </c>
      <c r="B624" s="19">
        <f>IFERROR(__xludf.DUMMYFUNCTION("IFERROR(SPLIT(A624,"",""),"""")"),46407.0)</f>
        <v>46407</v>
      </c>
      <c r="C624" t="str">
        <f>IFERROR(__xludf.DUMMYFUNCTION("""COMPUTED_VALUE"""),"Indiana Pacers")</f>
        <v>Indiana Pacers</v>
      </c>
      <c r="D624" t="str">
        <f>IFERROR(__xludf.DUMMYFUNCTION("""COMPUTED_VALUE"""),"Boston Celtics")</f>
        <v>Boston Celtics</v>
      </c>
    </row>
    <row r="625">
      <c r="A625" s="17" t="s">
        <v>713</v>
      </c>
      <c r="B625" s="19">
        <f>IFERROR(__xludf.DUMMYFUNCTION("IFERROR(SPLIT(A625,"",""),"""")"),46407.0)</f>
        <v>46407</v>
      </c>
      <c r="C625" t="str">
        <f>IFERROR(__xludf.DUMMYFUNCTION("""COMPUTED_VALUE"""),"Toronto Raptors")</f>
        <v>Toronto Raptors</v>
      </c>
      <c r="D625" t="str">
        <f>IFERROR(__xludf.DUMMYFUNCTION("""COMPUTED_VALUE"""),"New York Knicks")</f>
        <v>New York Knicks</v>
      </c>
    </row>
    <row r="626">
      <c r="A626" s="17" t="s">
        <v>714</v>
      </c>
      <c r="B626" s="19">
        <f>IFERROR(__xludf.DUMMYFUNCTION("IFERROR(SPLIT(A626,"",""),"""")"),46407.0)</f>
        <v>46407</v>
      </c>
      <c r="C626" t="str">
        <f>IFERROR(__xludf.DUMMYFUNCTION("""COMPUTED_VALUE"""),"Houston Rockets")</f>
        <v>Houston Rockets</v>
      </c>
      <c r="D626" t="str">
        <f>IFERROR(__xludf.DUMMYFUNCTION("""COMPUTED_VALUE"""),"Minnesota Timberwolves")</f>
        <v>Minnesota Timberwolves</v>
      </c>
    </row>
    <row r="627">
      <c r="A627" s="17" t="s">
        <v>715</v>
      </c>
      <c r="B627" s="19">
        <f>IFERROR(__xludf.DUMMYFUNCTION("IFERROR(SPLIT(A627,"",""),"""")"),46407.0)</f>
        <v>46407</v>
      </c>
      <c r="C627" t="str">
        <f>IFERROR(__xludf.DUMMYFUNCTION("""COMPUTED_VALUE"""),"Oklahoma City Thunder")</f>
        <v>Oklahoma City Thunder</v>
      </c>
      <c r="D627" t="str">
        <f>IFERROR(__xludf.DUMMYFUNCTION("""COMPUTED_VALUE"""),"New Orleans Pelicans")</f>
        <v>New Orleans Pelicans</v>
      </c>
    </row>
    <row r="628">
      <c r="A628" s="17" t="s">
        <v>716</v>
      </c>
      <c r="B628" s="19">
        <f>IFERROR(__xludf.DUMMYFUNCTION("IFERROR(SPLIT(A628,"",""),"""")"),46407.0)</f>
        <v>46407</v>
      </c>
      <c r="C628" t="str">
        <f>IFERROR(__xludf.DUMMYFUNCTION("""COMPUTED_VALUE"""),"Memphis Grizzlies")</f>
        <v>Memphis Grizzlies</v>
      </c>
      <c r="D628" t="str">
        <f>IFERROR(__xludf.DUMMYFUNCTION("""COMPUTED_VALUE"""),"Phoenix Suns")</f>
        <v>Phoenix Suns</v>
      </c>
    </row>
    <row r="629">
      <c r="A629" s="17" t="s">
        <v>717</v>
      </c>
      <c r="B629" s="19">
        <f>IFERROR(__xludf.DUMMYFUNCTION("IFERROR(SPLIT(A629,"",""),"""")"),46407.0)</f>
        <v>46407</v>
      </c>
      <c r="C629" t="str">
        <f>IFERROR(__xludf.DUMMYFUNCTION("""COMPUTED_VALUE"""),"Los Angeles Clippers")</f>
        <v>Los Angeles Clippers</v>
      </c>
      <c r="D629" t="str">
        <f>IFERROR(__xludf.DUMMYFUNCTION("""COMPUTED_VALUE"""),"Utah Jazz")</f>
        <v>Utah Jazz</v>
      </c>
    </row>
    <row r="630">
      <c r="A630" s="17" t="s">
        <v>718</v>
      </c>
      <c r="B630" s="19">
        <f>IFERROR(__xludf.DUMMYFUNCTION("IFERROR(SPLIT(A630,"",""),"""")"),46407.0)</f>
        <v>46407</v>
      </c>
      <c r="C630" t="str">
        <f>IFERROR(__xludf.DUMMYFUNCTION("""COMPUTED_VALUE"""),"Miami Heat")</f>
        <v>Miami Heat</v>
      </c>
      <c r="D630" t="str">
        <f>IFERROR(__xludf.DUMMYFUNCTION("""COMPUTED_VALUE"""),"San Antonio Spurs")</f>
        <v>San Antonio Spurs</v>
      </c>
    </row>
    <row r="631">
      <c r="A631" s="17" t="s">
        <v>719</v>
      </c>
      <c r="B631" s="19">
        <f>IFERROR(__xludf.DUMMYFUNCTION("IFERROR(SPLIT(A631,"",""),"""")"),46407.0)</f>
        <v>46407</v>
      </c>
      <c r="C631" t="str">
        <f>IFERROR(__xludf.DUMMYFUNCTION("""COMPUTED_VALUE"""),"Milwaukee Bucks")</f>
        <v>Milwaukee Bucks</v>
      </c>
      <c r="D631" t="str">
        <f>IFERROR(__xludf.DUMMYFUNCTION("""COMPUTED_VALUE"""),"Sacramento Kings")</f>
        <v>Sacramento Kings</v>
      </c>
    </row>
    <row r="632">
      <c r="A632" s="17" t="s">
        <v>720</v>
      </c>
      <c r="B632" s="19">
        <f>IFERROR(__xludf.DUMMYFUNCTION("IFERROR(SPLIT(A632,"",""),"""")"),46408.0)</f>
        <v>46408</v>
      </c>
      <c r="C632" t="str">
        <f>IFERROR(__xludf.DUMMYFUNCTION("""COMPUTED_VALUE"""),"Philadelphia 76ers")</f>
        <v>Philadelphia 76ers</v>
      </c>
      <c r="D632" t="str">
        <f>IFERROR(__xludf.DUMMYFUNCTION("""COMPUTED_VALUE"""),"Boston Celtics")</f>
        <v>Boston Celtics</v>
      </c>
    </row>
    <row r="633">
      <c r="A633" s="17" t="s">
        <v>721</v>
      </c>
      <c r="B633" s="19">
        <f>IFERROR(__xludf.DUMMYFUNCTION("IFERROR(SPLIT(A633,"",""),"""")"),46408.0)</f>
        <v>46408</v>
      </c>
      <c r="C633" t="str">
        <f>IFERROR(__xludf.DUMMYFUNCTION("""COMPUTED_VALUE"""),"Cleveland Cavaliers")</f>
        <v>Cleveland Cavaliers</v>
      </c>
      <c r="D633" t="str">
        <f>IFERROR(__xludf.DUMMYFUNCTION("""COMPUTED_VALUE"""),"Brooklyn Nets")</f>
        <v>Brooklyn Nets</v>
      </c>
    </row>
    <row r="634">
      <c r="A634" s="17" t="s">
        <v>722</v>
      </c>
      <c r="B634" s="19">
        <f>IFERROR(__xludf.DUMMYFUNCTION("IFERROR(SPLIT(A634,"",""),"""")"),46408.0)</f>
        <v>46408</v>
      </c>
      <c r="C634" t="str">
        <f>IFERROR(__xludf.DUMMYFUNCTION("""COMPUTED_VALUE"""),"Washington Wizards")</f>
        <v>Washington Wizards</v>
      </c>
      <c r="D634" t="str">
        <f>IFERROR(__xludf.DUMMYFUNCTION("""COMPUTED_VALUE"""),"Denver Nuggets")</f>
        <v>Denver Nuggets</v>
      </c>
    </row>
    <row r="635">
      <c r="A635" s="17" t="s">
        <v>723</v>
      </c>
      <c r="B635" s="19">
        <f>IFERROR(__xludf.DUMMYFUNCTION("IFERROR(SPLIT(A635,"",""),"""")"),46408.0)</f>
        <v>46408</v>
      </c>
      <c r="C635" t="str">
        <f>IFERROR(__xludf.DUMMYFUNCTION("""COMPUTED_VALUE"""),"Los Angeles Lakers")</f>
        <v>Los Angeles Lakers</v>
      </c>
      <c r="D635" t="str">
        <f>IFERROR(__xludf.DUMMYFUNCTION("""COMPUTED_VALUE"""),"Golden State Warriors")</f>
        <v>Golden State Warriors</v>
      </c>
    </row>
    <row r="636">
      <c r="A636" s="17" t="s">
        <v>724</v>
      </c>
      <c r="B636" s="19">
        <f>IFERROR(__xludf.DUMMYFUNCTION("IFERROR(SPLIT(A636,"",""),"""")"),46409.0)</f>
        <v>46409</v>
      </c>
      <c r="C636" t="str">
        <f>IFERROR(__xludf.DUMMYFUNCTION("""COMPUTED_VALUE"""),"New York Knicks")</f>
        <v>New York Knicks</v>
      </c>
      <c r="D636" t="str">
        <f>IFERROR(__xludf.DUMMYFUNCTION("""COMPUTED_VALUE"""),"Atlanta Hawks")</f>
        <v>Atlanta Hawks</v>
      </c>
    </row>
    <row r="637">
      <c r="A637" s="17" t="s">
        <v>725</v>
      </c>
      <c r="B637" s="19">
        <f>IFERROR(__xludf.DUMMYFUNCTION("IFERROR(SPLIT(A637,"",""),"""")"),46409.0)</f>
        <v>46409</v>
      </c>
      <c r="C637" t="str">
        <f>IFERROR(__xludf.DUMMYFUNCTION("""COMPUTED_VALUE"""),"Houston Rockets")</f>
        <v>Houston Rockets</v>
      </c>
      <c r="D637" t="str">
        <f>IFERROR(__xludf.DUMMYFUNCTION("""COMPUTED_VALUE"""),"Charlotte Hornets")</f>
        <v>Charlotte Hornets</v>
      </c>
    </row>
    <row r="638">
      <c r="A638" s="17" t="s">
        <v>726</v>
      </c>
      <c r="B638" s="19">
        <f>IFERROR(__xludf.DUMMYFUNCTION("IFERROR(SPLIT(A638,"",""),"""")"),46409.0)</f>
        <v>46409</v>
      </c>
      <c r="C638" t="str">
        <f>IFERROR(__xludf.DUMMYFUNCTION("""COMPUTED_VALUE"""),"Portland Trail Blazers")</f>
        <v>Portland Trail Blazers</v>
      </c>
      <c r="D638" t="str">
        <f>IFERROR(__xludf.DUMMYFUNCTION("""COMPUTED_VALUE"""),"Orlando Magic")</f>
        <v>Orlando Magic</v>
      </c>
    </row>
    <row r="639">
      <c r="A639" s="17" t="s">
        <v>727</v>
      </c>
      <c r="B639" s="19">
        <f>IFERROR(__xludf.DUMMYFUNCTION("IFERROR(SPLIT(A639,"",""),"""")"),46409.0)</f>
        <v>46409</v>
      </c>
      <c r="C639" t="str">
        <f>IFERROR(__xludf.DUMMYFUNCTION("""COMPUTED_VALUE"""),"Indiana Pacers")</f>
        <v>Indiana Pacers</v>
      </c>
      <c r="D639" t="str">
        <f>IFERROR(__xludf.DUMMYFUNCTION("""COMPUTED_VALUE"""),"Detroit Pistons")</f>
        <v>Detroit Pistons</v>
      </c>
    </row>
    <row r="640">
      <c r="A640" s="17" t="s">
        <v>728</v>
      </c>
      <c r="B640" s="19">
        <f>IFERROR(__xludf.DUMMYFUNCTION("IFERROR(SPLIT(A640,"",""),"""")"),46409.0)</f>
        <v>46409</v>
      </c>
      <c r="C640" t="str">
        <f>IFERROR(__xludf.DUMMYFUNCTION("""COMPUTED_VALUE"""),"Dallas Mavericks")</f>
        <v>Dallas Mavericks</v>
      </c>
      <c r="D640" t="str">
        <f>IFERROR(__xludf.DUMMYFUNCTION("""COMPUTED_VALUE"""),"New Orleans Pelicans")</f>
        <v>New Orleans Pelicans</v>
      </c>
    </row>
    <row r="641">
      <c r="A641" s="17" t="s">
        <v>729</v>
      </c>
      <c r="B641" s="19">
        <f>IFERROR(__xludf.DUMMYFUNCTION("IFERROR(SPLIT(A641,"",""),"""")"),46409.0)</f>
        <v>46409</v>
      </c>
      <c r="C641" t="str">
        <f>IFERROR(__xludf.DUMMYFUNCTION("""COMPUTED_VALUE"""),"Memphis Grizzlies")</f>
        <v>Memphis Grizzlies</v>
      </c>
      <c r="D641" t="str">
        <f>IFERROR(__xludf.DUMMYFUNCTION("""COMPUTED_VALUE"""),"Oklahoma City Thunder")</f>
        <v>Oklahoma City Thunder</v>
      </c>
    </row>
    <row r="642">
      <c r="A642" s="17" t="s">
        <v>730</v>
      </c>
      <c r="B642" s="19">
        <f>IFERROR(__xludf.DUMMYFUNCTION("IFERROR(SPLIT(A642,"",""),"""")"),46409.0)</f>
        <v>46409</v>
      </c>
      <c r="C642" t="str">
        <f>IFERROR(__xludf.DUMMYFUNCTION("""COMPUTED_VALUE"""),"Utah Jazz")</f>
        <v>Utah Jazz</v>
      </c>
      <c r="D642" t="str">
        <f>IFERROR(__xludf.DUMMYFUNCTION("""COMPUTED_VALUE"""),"Phoenix Suns")</f>
        <v>Phoenix Suns</v>
      </c>
    </row>
    <row r="643">
      <c r="A643" s="17" t="s">
        <v>731</v>
      </c>
      <c r="B643" s="19">
        <f>IFERROR(__xludf.DUMMYFUNCTION("IFERROR(SPLIT(A643,"",""),"""")"),46409.0)</f>
        <v>46409</v>
      </c>
      <c r="C643" t="str">
        <f>IFERROR(__xludf.DUMMYFUNCTION("""COMPUTED_VALUE"""),"Minnesota Timberwolves")</f>
        <v>Minnesota Timberwolves</v>
      </c>
      <c r="D643" t="str">
        <f>IFERROR(__xludf.DUMMYFUNCTION("""COMPUTED_VALUE"""),"San Antonio Spurs")</f>
        <v>San Antonio Spurs</v>
      </c>
    </row>
    <row r="644">
      <c r="A644" s="17" t="s">
        <v>732</v>
      </c>
      <c r="B644" s="19">
        <f>IFERROR(__xludf.DUMMYFUNCTION("IFERROR(SPLIT(A644,"",""),"""")"),46409.0)</f>
        <v>46409</v>
      </c>
      <c r="C644" t="str">
        <f>IFERROR(__xludf.DUMMYFUNCTION("""COMPUTED_VALUE"""),"Milwaukee Bucks")</f>
        <v>Milwaukee Bucks</v>
      </c>
      <c r="D644" t="str">
        <f>IFERROR(__xludf.DUMMYFUNCTION("""COMPUTED_VALUE"""),"Golden State Warriors")</f>
        <v>Golden State Warriors</v>
      </c>
    </row>
    <row r="645">
      <c r="A645" s="17" t="s">
        <v>733</v>
      </c>
      <c r="B645" s="19">
        <f>IFERROR(__xludf.DUMMYFUNCTION("IFERROR(SPLIT(A645,"",""),"""")"),46409.0)</f>
        <v>46409</v>
      </c>
      <c r="C645" t="str">
        <f>IFERROR(__xludf.DUMMYFUNCTION("""COMPUTED_VALUE"""),"Sacramento Kings")</f>
        <v>Sacramento Kings</v>
      </c>
      <c r="D645" t="str">
        <f>IFERROR(__xludf.DUMMYFUNCTION("""COMPUTED_VALUE"""),"Los Angeles Lakers")</f>
        <v>Los Angeles Lakers</v>
      </c>
    </row>
    <row r="646">
      <c r="A646" s="17" t="s">
        <v>734</v>
      </c>
      <c r="B646" s="19">
        <f>IFERROR(__xludf.DUMMYFUNCTION("IFERROR(SPLIT(A646,"",""),"""")"),46409.0)</f>
        <v>46409</v>
      </c>
      <c r="C646" t="str">
        <f>IFERROR(__xludf.DUMMYFUNCTION("""COMPUTED_VALUE"""),"Washington Wizards")</f>
        <v>Washington Wizards</v>
      </c>
      <c r="D646" t="str">
        <f>IFERROR(__xludf.DUMMYFUNCTION("""COMPUTED_VALUE"""),"Los Angeles Clippers")</f>
        <v>Los Angeles Clippers</v>
      </c>
    </row>
    <row r="647">
      <c r="A647" s="17" t="s">
        <v>735</v>
      </c>
      <c r="B647" s="19">
        <f>IFERROR(__xludf.DUMMYFUNCTION("IFERROR(SPLIT(A647,"",""),"""")"),46410.0)</f>
        <v>46410</v>
      </c>
      <c r="C647" t="str">
        <f>IFERROR(__xludf.DUMMYFUNCTION("""COMPUTED_VALUE"""),"Philadelphia 76ers")</f>
        <v>Philadelphia 76ers</v>
      </c>
      <c r="D647" t="str">
        <f>IFERROR(__xludf.DUMMYFUNCTION("""COMPUTED_VALUE"""),"Chicago Bulls")</f>
        <v>Chicago Bulls</v>
      </c>
    </row>
    <row r="648">
      <c r="A648" s="17" t="s">
        <v>736</v>
      </c>
      <c r="B648" s="19">
        <f>IFERROR(__xludf.DUMMYFUNCTION("IFERROR(SPLIT(A648,"",""),"""")"),46410.0)</f>
        <v>46410</v>
      </c>
      <c r="C648" t="str">
        <f>IFERROR(__xludf.DUMMYFUNCTION("""COMPUTED_VALUE"""),"Toronto Raptors")</f>
        <v>Toronto Raptors</v>
      </c>
      <c r="D648" t="str">
        <f>IFERROR(__xludf.DUMMYFUNCTION("""COMPUTED_VALUE"""),"Brooklyn Nets")</f>
        <v>Brooklyn Nets</v>
      </c>
    </row>
    <row r="649">
      <c r="A649" s="17" t="s">
        <v>737</v>
      </c>
      <c r="B649" s="19">
        <f>IFERROR(__xludf.DUMMYFUNCTION("IFERROR(SPLIT(A649,"",""),"""")"),46410.0)</f>
        <v>46410</v>
      </c>
      <c r="C649" t="str">
        <f>IFERROR(__xludf.DUMMYFUNCTION("""COMPUTED_VALUE"""),"Charlotte Hornets")</f>
        <v>Charlotte Hornets</v>
      </c>
      <c r="D649" t="str">
        <f>IFERROR(__xludf.DUMMYFUNCTION("""COMPUTED_VALUE"""),"Boston Celtics")</f>
        <v>Boston Celtics</v>
      </c>
    </row>
    <row r="650">
      <c r="A650" s="17" t="s">
        <v>738</v>
      </c>
      <c r="B650" s="19">
        <f>IFERROR(__xludf.DUMMYFUNCTION("IFERROR(SPLIT(A650,"",""),"""")"),46410.0)</f>
        <v>46410</v>
      </c>
      <c r="C650" t="str">
        <f>IFERROR(__xludf.DUMMYFUNCTION("""COMPUTED_VALUE"""),"Cleveland Cavaliers")</f>
        <v>Cleveland Cavaliers</v>
      </c>
      <c r="D650" t="str">
        <f>IFERROR(__xludf.DUMMYFUNCTION("""COMPUTED_VALUE"""),"Dallas Mavericks")</f>
        <v>Dallas Mavericks</v>
      </c>
    </row>
    <row r="651">
      <c r="A651" s="17" t="s">
        <v>739</v>
      </c>
      <c r="B651" s="19">
        <f>IFERROR(__xludf.DUMMYFUNCTION("IFERROR(SPLIT(A651,"",""),"""")"),46410.0)</f>
        <v>46410</v>
      </c>
      <c r="C651" t="str">
        <f>IFERROR(__xludf.DUMMYFUNCTION("""COMPUTED_VALUE"""),"Atlanta Hawks")</f>
        <v>Atlanta Hawks</v>
      </c>
      <c r="D651" t="str">
        <f>IFERROR(__xludf.DUMMYFUNCTION("""COMPUTED_VALUE"""),"Miami Heat")</f>
        <v>Miami Heat</v>
      </c>
    </row>
    <row r="652">
      <c r="A652" s="17" t="s">
        <v>740</v>
      </c>
      <c r="B652" s="19">
        <f>IFERROR(__xludf.DUMMYFUNCTION("IFERROR(SPLIT(A652,"",""),"""")"),46410.0)</f>
        <v>46410</v>
      </c>
      <c r="C652" t="str">
        <f>IFERROR(__xludf.DUMMYFUNCTION("""COMPUTED_VALUE"""),"Milwaukee Bucks")</f>
        <v>Milwaukee Bucks</v>
      </c>
      <c r="D652" t="str">
        <f>IFERROR(__xludf.DUMMYFUNCTION("""COMPUTED_VALUE"""),"Denver Nuggets")</f>
        <v>Denver Nuggets</v>
      </c>
    </row>
    <row r="653">
      <c r="A653" s="17" t="s">
        <v>741</v>
      </c>
      <c r="B653" s="19">
        <f>IFERROR(__xludf.DUMMYFUNCTION("IFERROR(SPLIT(A653,"",""),"""")"),46411.0)</f>
        <v>46411</v>
      </c>
      <c r="C653" t="str">
        <f>IFERROR(__xludf.DUMMYFUNCTION("""COMPUTED_VALUE"""),"Portland Trail Blazers")</f>
        <v>Portland Trail Blazers</v>
      </c>
      <c r="D653" t="str">
        <f>IFERROR(__xludf.DUMMYFUNCTION("""COMPUTED_VALUE"""),"San Antonio Spurs")</f>
        <v>San Antonio Spurs</v>
      </c>
    </row>
    <row r="654">
      <c r="A654" s="17" t="s">
        <v>742</v>
      </c>
      <c r="B654" s="19">
        <f>IFERROR(__xludf.DUMMYFUNCTION("IFERROR(SPLIT(A654,"",""),"""")"),46411.0)</f>
        <v>46411</v>
      </c>
      <c r="C654" t="str">
        <f>IFERROR(__xludf.DUMMYFUNCTION("""COMPUTED_VALUE"""),"Washington Wizards")</f>
        <v>Washington Wizards</v>
      </c>
      <c r="D654" t="str">
        <f>IFERROR(__xludf.DUMMYFUNCTION("""COMPUTED_VALUE"""),"Los Angeles Lakers")</f>
        <v>Los Angeles Lakers</v>
      </c>
    </row>
    <row r="655">
      <c r="A655" s="17" t="s">
        <v>743</v>
      </c>
      <c r="B655" s="19">
        <f>IFERROR(__xludf.DUMMYFUNCTION("IFERROR(SPLIT(A655,"",""),"""")"),46411.0)</f>
        <v>46411</v>
      </c>
      <c r="C655" t="str">
        <f>IFERROR(__xludf.DUMMYFUNCTION("""COMPUTED_VALUE"""),"Utah Jazz")</f>
        <v>Utah Jazz</v>
      </c>
      <c r="D655" t="str">
        <f>IFERROR(__xludf.DUMMYFUNCTION("""COMPUTED_VALUE"""),"Phoenix Suns")</f>
        <v>Phoenix Suns</v>
      </c>
    </row>
    <row r="656">
      <c r="A656" s="17" t="s">
        <v>744</v>
      </c>
      <c r="B656" s="19">
        <f>IFERROR(__xludf.DUMMYFUNCTION("IFERROR(SPLIT(A656,"",""),"""")"),46411.0)</f>
        <v>46411</v>
      </c>
      <c r="C656" t="str">
        <f>IFERROR(__xludf.DUMMYFUNCTION("""COMPUTED_VALUE"""),"Minnesota Timberwolves")</f>
        <v>Minnesota Timberwolves</v>
      </c>
      <c r="D656" t="str">
        <f>IFERROR(__xludf.DUMMYFUNCTION("""COMPUTED_VALUE"""),"Detroit Pistons")</f>
        <v>Detroit Pistons</v>
      </c>
    </row>
    <row r="657">
      <c r="A657" s="17" t="s">
        <v>745</v>
      </c>
      <c r="B657" s="19">
        <f>IFERROR(__xludf.DUMMYFUNCTION("IFERROR(SPLIT(A657,"",""),"""")"),46411.0)</f>
        <v>46411</v>
      </c>
      <c r="C657" t="str">
        <f>IFERROR(__xludf.DUMMYFUNCTION("""COMPUTED_VALUE"""),"Houston Rockets")</f>
        <v>Houston Rockets</v>
      </c>
      <c r="D657" t="str">
        <f>IFERROR(__xludf.DUMMYFUNCTION("""COMPUTED_VALUE"""),"Orlando Magic")</f>
        <v>Orlando Magic</v>
      </c>
    </row>
    <row r="658">
      <c r="A658" s="17" t="s">
        <v>746</v>
      </c>
      <c r="B658" s="19">
        <f>IFERROR(__xludf.DUMMYFUNCTION("IFERROR(SPLIT(A658,"",""),"""")"),46411.0)</f>
        <v>46411</v>
      </c>
      <c r="C658" t="str">
        <f>IFERROR(__xludf.DUMMYFUNCTION("""COMPUTED_VALUE"""),"Los Angeles Clippers")</f>
        <v>Los Angeles Clippers</v>
      </c>
      <c r="D658" t="str">
        <f>IFERROR(__xludf.DUMMYFUNCTION("""COMPUTED_VALUE"""),"New York Knicks")</f>
        <v>New York Knicks</v>
      </c>
    </row>
    <row r="659">
      <c r="A659" s="17" t="s">
        <v>747</v>
      </c>
      <c r="B659" s="19">
        <f>IFERROR(__xludf.DUMMYFUNCTION("IFERROR(SPLIT(A659,"",""),"""")"),46411.0)</f>
        <v>46411</v>
      </c>
      <c r="C659" t="str">
        <f>IFERROR(__xludf.DUMMYFUNCTION("""COMPUTED_VALUE"""),"Oklahoma City Thunder")</f>
        <v>Oklahoma City Thunder</v>
      </c>
      <c r="D659" t="str">
        <f>IFERROR(__xludf.DUMMYFUNCTION("""COMPUTED_VALUE"""),"Golden State Warriors")</f>
        <v>Golden State Warriors</v>
      </c>
    </row>
    <row r="660">
      <c r="A660" s="17" t="s">
        <v>748</v>
      </c>
      <c r="B660" s="19">
        <f>IFERROR(__xludf.DUMMYFUNCTION("IFERROR(SPLIT(A660,"",""),"""")"),46412.0)</f>
        <v>46412</v>
      </c>
      <c r="C660" t="str">
        <f>IFERROR(__xludf.DUMMYFUNCTION("""COMPUTED_VALUE"""),"Toronto Raptors")</f>
        <v>Toronto Raptors</v>
      </c>
      <c r="D660" t="str">
        <f>IFERROR(__xludf.DUMMYFUNCTION("""COMPUTED_VALUE"""),"Boston Celtics")</f>
        <v>Boston Celtics</v>
      </c>
    </row>
    <row r="661">
      <c r="A661" s="17" t="s">
        <v>749</v>
      </c>
      <c r="B661" s="19">
        <f>IFERROR(__xludf.DUMMYFUNCTION("IFERROR(SPLIT(A661,"",""),"""")"),46412.0)</f>
        <v>46412</v>
      </c>
      <c r="C661" t="str">
        <f>IFERROR(__xludf.DUMMYFUNCTION("""COMPUTED_VALUE"""),"Orlando Magic")</f>
        <v>Orlando Magic</v>
      </c>
      <c r="D661" t="str">
        <f>IFERROR(__xludf.DUMMYFUNCTION("""COMPUTED_VALUE"""),"Charlotte Hornets")</f>
        <v>Charlotte Hornets</v>
      </c>
    </row>
    <row r="662">
      <c r="A662" s="17" t="s">
        <v>750</v>
      </c>
      <c r="B662" s="19">
        <f>IFERROR(__xludf.DUMMYFUNCTION("IFERROR(SPLIT(A662,"",""),"""")"),46412.0)</f>
        <v>46412</v>
      </c>
      <c r="C662" t="str">
        <f>IFERROR(__xludf.DUMMYFUNCTION("""COMPUTED_VALUE"""),"Los Angeles Clippers")</f>
        <v>Los Angeles Clippers</v>
      </c>
      <c r="D662" t="str">
        <f>IFERROR(__xludf.DUMMYFUNCTION("""COMPUTED_VALUE"""),"Philadelphia 76ers")</f>
        <v>Philadelphia 76ers</v>
      </c>
    </row>
    <row r="663">
      <c r="A663" s="17" t="s">
        <v>751</v>
      </c>
      <c r="B663" s="19">
        <f>IFERROR(__xludf.DUMMYFUNCTION("IFERROR(SPLIT(A663,"",""),"""")"),46412.0)</f>
        <v>46412</v>
      </c>
      <c r="C663" t="str">
        <f>IFERROR(__xludf.DUMMYFUNCTION("""COMPUTED_VALUE"""),"Miami Heat")</f>
        <v>Miami Heat</v>
      </c>
      <c r="D663" t="str">
        <f>IFERROR(__xludf.DUMMYFUNCTION("""COMPUTED_VALUE"""),"Brooklyn Nets")</f>
        <v>Brooklyn Nets</v>
      </c>
    </row>
    <row r="664">
      <c r="A664" s="17" t="s">
        <v>752</v>
      </c>
      <c r="B664" s="19">
        <f>IFERROR(__xludf.DUMMYFUNCTION("IFERROR(SPLIT(A664,"",""),"""")"),46412.0)</f>
        <v>46412</v>
      </c>
      <c r="C664" t="str">
        <f>IFERROR(__xludf.DUMMYFUNCTION("""COMPUTED_VALUE"""),"Dallas Mavericks")</f>
        <v>Dallas Mavericks</v>
      </c>
      <c r="D664" t="str">
        <f>IFERROR(__xludf.DUMMYFUNCTION("""COMPUTED_VALUE"""),"Chicago Bulls")</f>
        <v>Chicago Bulls</v>
      </c>
    </row>
    <row r="665">
      <c r="A665" s="17" t="s">
        <v>753</v>
      </c>
      <c r="B665" s="19">
        <f>IFERROR(__xludf.DUMMYFUNCTION("IFERROR(SPLIT(A665,"",""),"""")"),46412.0)</f>
        <v>46412</v>
      </c>
      <c r="C665" t="str">
        <f>IFERROR(__xludf.DUMMYFUNCTION("""COMPUTED_VALUE"""),"Minnesota Timberwolves")</f>
        <v>Minnesota Timberwolves</v>
      </c>
      <c r="D665" t="str">
        <f>IFERROR(__xludf.DUMMYFUNCTION("""COMPUTED_VALUE"""),"Memphis Grizzlies")</f>
        <v>Memphis Grizzlies</v>
      </c>
    </row>
    <row r="666">
      <c r="A666" s="17" t="s">
        <v>754</v>
      </c>
      <c r="B666" s="19">
        <f>IFERROR(__xludf.DUMMYFUNCTION("IFERROR(SPLIT(A666,"",""),"""")"),46412.0)</f>
        <v>46412</v>
      </c>
      <c r="C666" t="str">
        <f>IFERROR(__xludf.DUMMYFUNCTION("""COMPUTED_VALUE"""),"Cleveland Cavaliers")</f>
        <v>Cleveland Cavaliers</v>
      </c>
      <c r="D666" t="str">
        <f>IFERROR(__xludf.DUMMYFUNCTION("""COMPUTED_VALUE"""),"New Orleans Pelicans")</f>
        <v>New Orleans Pelicans</v>
      </c>
    </row>
    <row r="667">
      <c r="A667" s="17" t="s">
        <v>755</v>
      </c>
      <c r="B667" s="19">
        <f>IFERROR(__xludf.DUMMYFUNCTION("IFERROR(SPLIT(A667,"",""),"""")"),46412.0)</f>
        <v>46412</v>
      </c>
      <c r="C667" t="str">
        <f>IFERROR(__xludf.DUMMYFUNCTION("""COMPUTED_VALUE"""),"Sacramento Kings")</f>
        <v>Sacramento Kings</v>
      </c>
      <c r="D667" t="str">
        <f>IFERROR(__xludf.DUMMYFUNCTION("""COMPUTED_VALUE"""),"Denver Nuggets")</f>
        <v>Denver Nuggets</v>
      </c>
    </row>
    <row r="668">
      <c r="A668" s="17" t="s">
        <v>756</v>
      </c>
      <c r="B668" s="19">
        <f>IFERROR(__xludf.DUMMYFUNCTION("IFERROR(SPLIT(A668,"",""),"""")"),46413.0)</f>
        <v>46413</v>
      </c>
      <c r="C668" t="str">
        <f>IFERROR(__xludf.DUMMYFUNCTION("""COMPUTED_VALUE"""),"Atlanta Hawks")</f>
        <v>Atlanta Hawks</v>
      </c>
      <c r="D668" t="str">
        <f>IFERROR(__xludf.DUMMYFUNCTION("""COMPUTED_VALUE"""),"Detroit Pistons")</f>
        <v>Detroit Pistons</v>
      </c>
    </row>
    <row r="669">
      <c r="A669" s="17" t="s">
        <v>757</v>
      </c>
      <c r="B669" s="19">
        <f>IFERROR(__xludf.DUMMYFUNCTION("IFERROR(SPLIT(A669,"",""),"""")"),46413.0)</f>
        <v>46413</v>
      </c>
      <c r="C669" t="str">
        <f>IFERROR(__xludf.DUMMYFUNCTION("""COMPUTED_VALUE"""),"Chicago Bulls")</f>
        <v>Chicago Bulls</v>
      </c>
      <c r="D669" t="str">
        <f>IFERROR(__xludf.DUMMYFUNCTION("""COMPUTED_VALUE"""),"Indiana Pacers")</f>
        <v>Indiana Pacers</v>
      </c>
    </row>
    <row r="670">
      <c r="A670" s="17" t="s">
        <v>758</v>
      </c>
      <c r="B670" s="19">
        <f>IFERROR(__xludf.DUMMYFUNCTION("IFERROR(SPLIT(A670,"",""),"""")"),46413.0)</f>
        <v>46413</v>
      </c>
      <c r="C670" t="str">
        <f>IFERROR(__xludf.DUMMYFUNCTION("""COMPUTED_VALUE"""),"Phoenix Suns")</f>
        <v>Phoenix Suns</v>
      </c>
      <c r="D670" t="str">
        <f>IFERROR(__xludf.DUMMYFUNCTION("""COMPUTED_VALUE"""),"New York Knicks")</f>
        <v>New York Knicks</v>
      </c>
    </row>
    <row r="671">
      <c r="A671" s="17" t="s">
        <v>759</v>
      </c>
      <c r="B671" s="19">
        <f>IFERROR(__xludf.DUMMYFUNCTION("IFERROR(SPLIT(A671,"",""),"""")"),46413.0)</f>
        <v>46413</v>
      </c>
      <c r="C671" t="str">
        <f>IFERROR(__xludf.DUMMYFUNCTION("""COMPUTED_VALUE"""),"Houston Rockets")</f>
        <v>Houston Rockets</v>
      </c>
      <c r="D671" t="str">
        <f>IFERROR(__xludf.DUMMYFUNCTION("""COMPUTED_VALUE"""),"San Antonio Spurs")</f>
        <v>San Antonio Spurs</v>
      </c>
    </row>
    <row r="672">
      <c r="A672" s="17" t="s">
        <v>760</v>
      </c>
      <c r="B672" s="19">
        <f>IFERROR(__xludf.DUMMYFUNCTION("IFERROR(SPLIT(A672,"",""),"""")"),46413.0)</f>
        <v>46413</v>
      </c>
      <c r="C672" t="str">
        <f>IFERROR(__xludf.DUMMYFUNCTION("""COMPUTED_VALUE"""),"Milwaukee Bucks")</f>
        <v>Milwaukee Bucks</v>
      </c>
      <c r="D672" t="str">
        <f>IFERROR(__xludf.DUMMYFUNCTION("""COMPUTED_VALUE"""),"Utah Jazz")</f>
        <v>Utah Jazz</v>
      </c>
    </row>
    <row r="673">
      <c r="A673" s="17" t="s">
        <v>761</v>
      </c>
      <c r="B673" s="19">
        <f>IFERROR(__xludf.DUMMYFUNCTION("IFERROR(SPLIT(A673,"",""),"""")"),46413.0)</f>
        <v>46413</v>
      </c>
      <c r="C673" t="str">
        <f>IFERROR(__xludf.DUMMYFUNCTION("""COMPUTED_VALUE"""),"Washington Wizards")</f>
        <v>Washington Wizards</v>
      </c>
      <c r="D673" t="str">
        <f>IFERROR(__xludf.DUMMYFUNCTION("""COMPUTED_VALUE"""),"Portland Trail Blazers")</f>
        <v>Portland Trail Blazers</v>
      </c>
    </row>
    <row r="674">
      <c r="A674" s="17" t="s">
        <v>762</v>
      </c>
      <c r="B674" s="19">
        <f>IFERROR(__xludf.DUMMYFUNCTION("IFERROR(SPLIT(A674,"",""),"""")"),46413.0)</f>
        <v>46413</v>
      </c>
      <c r="C674" t="str">
        <f>IFERROR(__xludf.DUMMYFUNCTION("""COMPUTED_VALUE"""),"Oklahoma City Thunder")</f>
        <v>Oklahoma City Thunder</v>
      </c>
      <c r="D674" t="str">
        <f>IFERROR(__xludf.DUMMYFUNCTION("""COMPUTED_VALUE"""),"Los Angeles Lakers")</f>
        <v>Los Angeles Lakers</v>
      </c>
    </row>
    <row r="675">
      <c r="A675" s="17" t="s">
        <v>763</v>
      </c>
      <c r="B675" s="19">
        <f>IFERROR(__xludf.DUMMYFUNCTION("IFERROR(SPLIT(A675,"",""),"""")"),46414.0)</f>
        <v>46414</v>
      </c>
      <c r="C675" t="str">
        <f>IFERROR(__xludf.DUMMYFUNCTION("""COMPUTED_VALUE"""),"Detroit Pistons")</f>
        <v>Detroit Pistons</v>
      </c>
      <c r="D675" t="str">
        <f>IFERROR(__xludf.DUMMYFUNCTION("""COMPUTED_VALUE"""),"Cleveland Cavaliers")</f>
        <v>Cleveland Cavaliers</v>
      </c>
    </row>
    <row r="676">
      <c r="A676" s="17" t="s">
        <v>764</v>
      </c>
      <c r="B676" s="19">
        <f>IFERROR(__xludf.DUMMYFUNCTION("IFERROR(SPLIT(A676,"",""),"""")"),46414.0)</f>
        <v>46414</v>
      </c>
      <c r="C676" t="str">
        <f>IFERROR(__xludf.DUMMYFUNCTION("""COMPUTED_VALUE"""),"Sacramento Kings")</f>
        <v>Sacramento Kings</v>
      </c>
      <c r="D676" t="str">
        <f>IFERROR(__xludf.DUMMYFUNCTION("""COMPUTED_VALUE"""),"Philadelphia 76ers")</f>
        <v>Philadelphia 76ers</v>
      </c>
    </row>
    <row r="677">
      <c r="A677" s="17" t="s">
        <v>765</v>
      </c>
      <c r="B677" s="19">
        <f>IFERROR(__xludf.DUMMYFUNCTION("IFERROR(SPLIT(A677,"",""),"""")"),46414.0)</f>
        <v>46414</v>
      </c>
      <c r="C677" t="str">
        <f>IFERROR(__xludf.DUMMYFUNCTION("""COMPUTED_VALUE"""),"Los Angeles Clippers")</f>
        <v>Los Angeles Clippers</v>
      </c>
      <c r="D677" t="str">
        <f>IFERROR(__xludf.DUMMYFUNCTION("""COMPUTED_VALUE"""),"Boston Celtics")</f>
        <v>Boston Celtics</v>
      </c>
    </row>
    <row r="678">
      <c r="A678" s="17" t="s">
        <v>766</v>
      </c>
      <c r="B678" s="19">
        <f>IFERROR(__xludf.DUMMYFUNCTION("IFERROR(SPLIT(A678,"",""),"""")"),46414.0)</f>
        <v>46414</v>
      </c>
      <c r="C678" t="str">
        <f>IFERROR(__xludf.DUMMYFUNCTION("""COMPUTED_VALUE"""),"Phoenix Suns")</f>
        <v>Phoenix Suns</v>
      </c>
      <c r="D678" t="str">
        <f>IFERROR(__xludf.DUMMYFUNCTION("""COMPUTED_VALUE"""),"Brooklyn Nets")</f>
        <v>Brooklyn Nets</v>
      </c>
    </row>
    <row r="679">
      <c r="A679" s="17" t="s">
        <v>767</v>
      </c>
      <c r="B679" s="19">
        <f>IFERROR(__xludf.DUMMYFUNCTION("IFERROR(SPLIT(A679,"",""),"""")"),46414.0)</f>
        <v>46414</v>
      </c>
      <c r="C679" t="str">
        <f>IFERROR(__xludf.DUMMYFUNCTION("""COMPUTED_VALUE"""),"Dallas Mavericks")</f>
        <v>Dallas Mavericks</v>
      </c>
      <c r="D679" t="str">
        <f>IFERROR(__xludf.DUMMYFUNCTION("""COMPUTED_VALUE"""),"Toronto Raptors")</f>
        <v>Toronto Raptors</v>
      </c>
    </row>
    <row r="680">
      <c r="A680" s="17" t="s">
        <v>768</v>
      </c>
      <c r="B680" s="19">
        <f>IFERROR(__xludf.DUMMYFUNCTION("IFERROR(SPLIT(A680,"",""),"""")"),46414.0)</f>
        <v>46414</v>
      </c>
      <c r="C680" t="str">
        <f>IFERROR(__xludf.DUMMYFUNCTION("""COMPUTED_VALUE"""),"Charlotte Hornets")</f>
        <v>Charlotte Hornets</v>
      </c>
      <c r="D680" t="str">
        <f>IFERROR(__xludf.DUMMYFUNCTION("""COMPUTED_VALUE"""),"San Antonio Spurs")</f>
        <v>San Antonio Spurs</v>
      </c>
    </row>
    <row r="681">
      <c r="A681" s="17" t="s">
        <v>769</v>
      </c>
      <c r="B681" s="19">
        <f>IFERROR(__xludf.DUMMYFUNCTION("IFERROR(SPLIT(A681,"",""),"""")"),46414.0)</f>
        <v>46414</v>
      </c>
      <c r="C681" t="str">
        <f>IFERROR(__xludf.DUMMYFUNCTION("""COMPUTED_VALUE"""),"New Orleans Pelicans")</f>
        <v>New Orleans Pelicans</v>
      </c>
      <c r="D681" t="str">
        <f>IFERROR(__xludf.DUMMYFUNCTION("""COMPUTED_VALUE"""),"Houston Rockets")</f>
        <v>Houston Rockets</v>
      </c>
    </row>
    <row r="682">
      <c r="A682" s="17" t="s">
        <v>770</v>
      </c>
      <c r="B682" s="19">
        <f>IFERROR(__xludf.DUMMYFUNCTION("IFERROR(SPLIT(A682,"",""),"""")"),46414.0)</f>
        <v>46414</v>
      </c>
      <c r="C682" t="str">
        <f>IFERROR(__xludf.DUMMYFUNCTION("""COMPUTED_VALUE"""),"Denver Nuggets")</f>
        <v>Denver Nuggets</v>
      </c>
      <c r="D682" t="str">
        <f>IFERROR(__xludf.DUMMYFUNCTION("""COMPUTED_VALUE"""),"Minnesota Timberwolves")</f>
        <v>Minnesota Timberwolves</v>
      </c>
    </row>
    <row r="683">
      <c r="A683" s="17" t="s">
        <v>771</v>
      </c>
      <c r="B683" s="19">
        <f>IFERROR(__xludf.DUMMYFUNCTION("IFERROR(SPLIT(A683,"",""),"""")"),46414.0)</f>
        <v>46414</v>
      </c>
      <c r="C683" t="str">
        <f>IFERROR(__xludf.DUMMYFUNCTION("""COMPUTED_VALUE"""),"Golden State Warriors")</f>
        <v>Golden State Warriors</v>
      </c>
      <c r="D683" t="str">
        <f>IFERROR(__xludf.DUMMYFUNCTION("""COMPUTED_VALUE"""),"Portland Trail Blazers")</f>
        <v>Portland Trail Blazers</v>
      </c>
    </row>
    <row r="684">
      <c r="A684" s="17" t="s">
        <v>772</v>
      </c>
      <c r="B684" s="19">
        <f>IFERROR(__xludf.DUMMYFUNCTION("IFERROR(SPLIT(A684,"",""),"""")"),46415.0)</f>
        <v>46415</v>
      </c>
      <c r="C684" t="str">
        <f>IFERROR(__xludf.DUMMYFUNCTION("""COMPUTED_VALUE"""),"Los Angeles Lakers")</f>
        <v>Los Angeles Lakers</v>
      </c>
      <c r="D684" t="str">
        <f>IFERROR(__xludf.DUMMYFUNCTION("""COMPUTED_VALUE"""),"Indiana Pacers")</f>
        <v>Indiana Pacers</v>
      </c>
    </row>
    <row r="685">
      <c r="A685" s="17" t="s">
        <v>773</v>
      </c>
      <c r="B685" s="19">
        <f>IFERROR(__xludf.DUMMYFUNCTION("IFERROR(SPLIT(A685,"",""),"""")"),46415.0)</f>
        <v>46415</v>
      </c>
      <c r="C685" t="str">
        <f>IFERROR(__xludf.DUMMYFUNCTION("""COMPUTED_VALUE"""),"Atlanta Hawks")</f>
        <v>Atlanta Hawks</v>
      </c>
      <c r="D685" t="str">
        <f>IFERROR(__xludf.DUMMYFUNCTION("""COMPUTED_VALUE"""),"New York Knicks")</f>
        <v>New York Knicks</v>
      </c>
    </row>
    <row r="686">
      <c r="A686" s="17" t="s">
        <v>774</v>
      </c>
      <c r="B686" s="19">
        <f>IFERROR(__xludf.DUMMYFUNCTION("IFERROR(SPLIT(A686,"",""),"""")"),46415.0)</f>
        <v>46415</v>
      </c>
      <c r="C686" t="str">
        <f>IFERROR(__xludf.DUMMYFUNCTION("""COMPUTED_VALUE"""),"Chicago Bulls")</f>
        <v>Chicago Bulls</v>
      </c>
      <c r="D686" t="str">
        <f>IFERROR(__xludf.DUMMYFUNCTION("""COMPUTED_VALUE"""),"Orlando Magic")</f>
        <v>Orlando Magic</v>
      </c>
    </row>
    <row r="687">
      <c r="A687" s="17" t="s">
        <v>775</v>
      </c>
      <c r="B687" s="19">
        <f>IFERROR(__xludf.DUMMYFUNCTION("IFERROR(SPLIT(A687,"",""),"""")"),46415.0)</f>
        <v>46415</v>
      </c>
      <c r="C687" t="str">
        <f>IFERROR(__xludf.DUMMYFUNCTION("""COMPUTED_VALUE"""),"Sacramento Kings")</f>
        <v>Sacramento Kings</v>
      </c>
      <c r="D687" t="str">
        <f>IFERROR(__xludf.DUMMYFUNCTION("""COMPUTED_VALUE"""),"Washington Wizards")</f>
        <v>Washington Wizards</v>
      </c>
    </row>
    <row r="688">
      <c r="A688" s="17" t="s">
        <v>776</v>
      </c>
      <c r="B688" s="19">
        <f>IFERROR(__xludf.DUMMYFUNCTION("IFERROR(SPLIT(A688,"",""),"""")"),46415.0)</f>
        <v>46415</v>
      </c>
      <c r="C688" t="str">
        <f>IFERROR(__xludf.DUMMYFUNCTION("""COMPUTED_VALUE"""),"Philadelphia 76ers")</f>
        <v>Philadelphia 76ers</v>
      </c>
      <c r="D688" t="str">
        <f>IFERROR(__xludf.DUMMYFUNCTION("""COMPUTED_VALUE"""),"New Orleans Pelicans")</f>
        <v>New Orleans Pelicans</v>
      </c>
    </row>
    <row r="689">
      <c r="A689" s="17" t="s">
        <v>777</v>
      </c>
      <c r="B689" s="19">
        <f>IFERROR(__xludf.DUMMYFUNCTION("IFERROR(SPLIT(A689,"",""),"""")"),46415.0)</f>
        <v>46415</v>
      </c>
      <c r="C689" t="str">
        <f>IFERROR(__xludf.DUMMYFUNCTION("""COMPUTED_VALUE"""),"Memphis Grizzlies")</f>
        <v>Memphis Grizzlies</v>
      </c>
      <c r="D689" t="str">
        <f>IFERROR(__xludf.DUMMYFUNCTION("""COMPUTED_VALUE"""),"Oklahoma City Thunder")</f>
        <v>Oklahoma City Thunder</v>
      </c>
    </row>
    <row r="690">
      <c r="A690" s="17" t="s">
        <v>778</v>
      </c>
      <c r="B690" s="19">
        <f>IFERROR(__xludf.DUMMYFUNCTION("IFERROR(SPLIT(A690,"",""),"""")"),46415.0)</f>
        <v>46415</v>
      </c>
      <c r="C690" t="str">
        <f>IFERROR(__xludf.DUMMYFUNCTION("""COMPUTED_VALUE"""),"Golden State Warriors")</f>
        <v>Golden State Warriors</v>
      </c>
      <c r="D690" t="str">
        <f>IFERROR(__xludf.DUMMYFUNCTION("""COMPUTED_VALUE"""),"Utah Jazz")</f>
        <v>Utah Jazz</v>
      </c>
    </row>
    <row r="691">
      <c r="A691" s="17" t="s">
        <v>779</v>
      </c>
      <c r="B691" s="19">
        <f>IFERROR(__xludf.DUMMYFUNCTION("IFERROR(SPLIT(A691,"",""),"""")"),46415.0)</f>
        <v>46415</v>
      </c>
      <c r="C691" t="str">
        <f>IFERROR(__xludf.DUMMYFUNCTION("""COMPUTED_VALUE"""),"Miami Heat")</f>
        <v>Miami Heat</v>
      </c>
      <c r="D691" t="str">
        <f>IFERROR(__xludf.DUMMYFUNCTION("""COMPUTED_VALUE"""),"Milwaukee Bucks")</f>
        <v>Milwaukee Bucks</v>
      </c>
    </row>
    <row r="692">
      <c r="A692" s="17" t="s">
        <v>780</v>
      </c>
      <c r="B692" s="19">
        <f>IFERROR(__xludf.DUMMYFUNCTION("IFERROR(SPLIT(A692,"",""),"""")"),46416.0)</f>
        <v>46416</v>
      </c>
      <c r="C692" t="str">
        <f>IFERROR(__xludf.DUMMYFUNCTION("""COMPUTED_VALUE"""),"Cleveland Cavaliers")</f>
        <v>Cleveland Cavaliers</v>
      </c>
      <c r="D692" t="str">
        <f>IFERROR(__xludf.DUMMYFUNCTION("""COMPUTED_VALUE"""),"Toronto Raptors")</f>
        <v>Toronto Raptors</v>
      </c>
    </row>
    <row r="693">
      <c r="A693" s="17" t="s">
        <v>781</v>
      </c>
      <c r="B693" s="19">
        <f>IFERROR(__xludf.DUMMYFUNCTION("IFERROR(SPLIT(A693,"",""),"""")"),46416.0)</f>
        <v>46416</v>
      </c>
      <c r="C693" t="str">
        <f>IFERROR(__xludf.DUMMYFUNCTION("""COMPUTED_VALUE"""),"Phoenix Suns")</f>
        <v>Phoenix Suns</v>
      </c>
      <c r="D693" t="str">
        <f>IFERROR(__xludf.DUMMYFUNCTION("""COMPUTED_VALUE"""),"Boston Celtics")</f>
        <v>Boston Celtics</v>
      </c>
    </row>
    <row r="694">
      <c r="A694" s="17" t="s">
        <v>782</v>
      </c>
      <c r="B694" s="19">
        <f>IFERROR(__xludf.DUMMYFUNCTION("IFERROR(SPLIT(A694,"",""),"""")"),46416.0)</f>
        <v>46416</v>
      </c>
      <c r="C694" t="str">
        <f>IFERROR(__xludf.DUMMYFUNCTION("""COMPUTED_VALUE"""),"Los Angeles Clippers")</f>
        <v>Los Angeles Clippers</v>
      </c>
      <c r="D694" t="str">
        <f>IFERROR(__xludf.DUMMYFUNCTION("""COMPUTED_VALUE"""),"Brooklyn Nets")</f>
        <v>Brooklyn Nets</v>
      </c>
    </row>
    <row r="695">
      <c r="A695" s="17" t="s">
        <v>783</v>
      </c>
      <c r="B695" s="19">
        <f>IFERROR(__xludf.DUMMYFUNCTION("IFERROR(SPLIT(A695,"",""),"""")"),46416.0)</f>
        <v>46416</v>
      </c>
      <c r="C695" t="str">
        <f>IFERROR(__xludf.DUMMYFUNCTION("""COMPUTED_VALUE"""),"Detroit Pistons")</f>
        <v>Detroit Pistons</v>
      </c>
      <c r="D695" t="str">
        <f>IFERROR(__xludf.DUMMYFUNCTION("""COMPUTED_VALUE"""),"Dallas Mavericks")</f>
        <v>Dallas Mavericks</v>
      </c>
    </row>
    <row r="696">
      <c r="A696" s="17" t="s">
        <v>784</v>
      </c>
      <c r="B696" s="19">
        <f>IFERROR(__xludf.DUMMYFUNCTION("IFERROR(SPLIT(A696,"",""),"""")"),46416.0)</f>
        <v>46416</v>
      </c>
      <c r="C696" t="str">
        <f>IFERROR(__xludf.DUMMYFUNCTION("""COMPUTED_VALUE"""),"Orlando Magic")</f>
        <v>Orlando Magic</v>
      </c>
      <c r="D696" t="str">
        <f>IFERROR(__xludf.DUMMYFUNCTION("""COMPUTED_VALUE"""),"Houston Rockets")</f>
        <v>Houston Rockets</v>
      </c>
    </row>
    <row r="697">
      <c r="A697" s="17" t="s">
        <v>785</v>
      </c>
      <c r="B697" s="19">
        <f>IFERROR(__xludf.DUMMYFUNCTION("IFERROR(SPLIT(A697,"",""),"""")"),46416.0)</f>
        <v>46416</v>
      </c>
      <c r="C697" t="str">
        <f>IFERROR(__xludf.DUMMYFUNCTION("""COMPUTED_VALUE"""),"Charlotte Hornets")</f>
        <v>Charlotte Hornets</v>
      </c>
      <c r="D697" t="str">
        <f>IFERROR(__xludf.DUMMYFUNCTION("""COMPUTED_VALUE"""),"Minnesota Timberwolves")</f>
        <v>Minnesota Timberwolves</v>
      </c>
    </row>
    <row r="698">
      <c r="A698" s="17" t="s">
        <v>786</v>
      </c>
      <c r="B698" s="19">
        <f>IFERROR(__xludf.DUMMYFUNCTION("IFERROR(SPLIT(A698,"",""),"""")"),46417.0)</f>
        <v>46417</v>
      </c>
      <c r="C698" t="str">
        <f>IFERROR(__xludf.DUMMYFUNCTION("""COMPUTED_VALUE"""),"Philadelphia 76ers")</f>
        <v>Philadelphia 76ers</v>
      </c>
      <c r="D698" t="str">
        <f>IFERROR(__xludf.DUMMYFUNCTION("""COMPUTED_VALUE"""),"Miami Heat")</f>
        <v>Miami Heat</v>
      </c>
    </row>
    <row r="699">
      <c r="A699" s="17" t="s">
        <v>787</v>
      </c>
      <c r="B699" s="19">
        <f>IFERROR(__xludf.DUMMYFUNCTION("IFERROR(SPLIT(A699,"",""),"""")"),46417.0)</f>
        <v>46417</v>
      </c>
      <c r="C699" t="str">
        <f>IFERROR(__xludf.DUMMYFUNCTION("""COMPUTED_VALUE"""),"Denver Nuggets")</f>
        <v>Denver Nuggets</v>
      </c>
      <c r="D699" t="str">
        <f>IFERROR(__xludf.DUMMYFUNCTION("""COMPUTED_VALUE"""),"Oklahoma City Thunder")</f>
        <v>Oklahoma City Thunder</v>
      </c>
    </row>
    <row r="700">
      <c r="A700" s="17" t="s">
        <v>788</v>
      </c>
      <c r="B700" s="19">
        <f>IFERROR(__xludf.DUMMYFUNCTION("IFERROR(SPLIT(A700,"",""),"""")"),46417.0)</f>
        <v>46417</v>
      </c>
      <c r="C700" t="str">
        <f>IFERROR(__xludf.DUMMYFUNCTION("""COMPUTED_VALUE"""),"San Antonio Spurs")</f>
        <v>San Antonio Spurs</v>
      </c>
      <c r="D700" t="str">
        <f>IFERROR(__xludf.DUMMYFUNCTION("""COMPUTED_VALUE"""),"Golden State Warriors")</f>
        <v>Golden State Warriors</v>
      </c>
    </row>
    <row r="701">
      <c r="A701" s="17" t="s">
        <v>789</v>
      </c>
      <c r="B701" s="19">
        <f>IFERROR(__xludf.DUMMYFUNCTION("IFERROR(SPLIT(A701,"",""),"""")"),46417.0)</f>
        <v>46417</v>
      </c>
      <c r="C701" t="str">
        <f>IFERROR(__xludf.DUMMYFUNCTION("""COMPUTED_VALUE"""),"Washington Wizards")</f>
        <v>Washington Wizards</v>
      </c>
      <c r="D701" t="str">
        <f>IFERROR(__xludf.DUMMYFUNCTION("""COMPUTED_VALUE"""),"Indiana Pacers")</f>
        <v>Indiana Pacers</v>
      </c>
    </row>
    <row r="702">
      <c r="A702" s="17" t="s">
        <v>790</v>
      </c>
      <c r="B702" s="19">
        <f>IFERROR(__xludf.DUMMYFUNCTION("IFERROR(SPLIT(A702,"",""),"""")"),46417.0)</f>
        <v>46417</v>
      </c>
      <c r="C702" t="str">
        <f>IFERROR(__xludf.DUMMYFUNCTION("""COMPUTED_VALUE"""),"New Orleans Pelicans")</f>
        <v>New Orleans Pelicans</v>
      </c>
      <c r="D702" t="str">
        <f>IFERROR(__xludf.DUMMYFUNCTION("""COMPUTED_VALUE"""),"Cleveland Cavaliers")</f>
        <v>Cleveland Cavaliers</v>
      </c>
    </row>
    <row r="703">
      <c r="A703" s="17" t="s">
        <v>791</v>
      </c>
      <c r="B703" s="19">
        <f>IFERROR(__xludf.DUMMYFUNCTION("IFERROR(SPLIT(A703,"",""),"""")"),46417.0)</f>
        <v>46417</v>
      </c>
      <c r="C703" t="str">
        <f>IFERROR(__xludf.DUMMYFUNCTION("""COMPUTED_VALUE"""),"Atlanta Hawks")</f>
        <v>Atlanta Hawks</v>
      </c>
      <c r="D703" t="str">
        <f>IFERROR(__xludf.DUMMYFUNCTION("""COMPUTED_VALUE"""),"Milwaukee Bucks")</f>
        <v>Milwaukee Bucks</v>
      </c>
    </row>
    <row r="704">
      <c r="A704" s="17" t="s">
        <v>792</v>
      </c>
      <c r="B704" s="19">
        <f>IFERROR(__xludf.DUMMYFUNCTION("IFERROR(SPLIT(A704,"",""),"""")"),46417.0)</f>
        <v>46417</v>
      </c>
      <c r="C704" t="str">
        <f>IFERROR(__xludf.DUMMYFUNCTION("""COMPUTED_VALUE"""),"Los Angeles Lakers")</f>
        <v>Los Angeles Lakers</v>
      </c>
      <c r="D704" t="str">
        <f>IFERROR(__xludf.DUMMYFUNCTION("""COMPUTED_VALUE"""),"New York Knicks")</f>
        <v>New York Knicks</v>
      </c>
    </row>
    <row r="705">
      <c r="A705" s="17" t="s">
        <v>793</v>
      </c>
      <c r="B705" s="19">
        <f>IFERROR(__xludf.DUMMYFUNCTION("IFERROR(SPLIT(A705,"",""),"""")"),46417.0)</f>
        <v>46417</v>
      </c>
      <c r="C705" t="str">
        <f>IFERROR(__xludf.DUMMYFUNCTION("""COMPUTED_VALUE"""),"Memphis Grizzlies")</f>
        <v>Memphis Grizzlies</v>
      </c>
      <c r="D705" t="str">
        <f>IFERROR(__xludf.DUMMYFUNCTION("""COMPUTED_VALUE"""),"Utah Jazz")</f>
        <v>Utah Jazz</v>
      </c>
    </row>
    <row r="706">
      <c r="A706" s="17" t="s">
        <v>794</v>
      </c>
      <c r="B706" s="19">
        <f>IFERROR(__xludf.DUMMYFUNCTION("IFERROR(SPLIT(A706,"",""),"""")"),46418.0)</f>
        <v>46418</v>
      </c>
      <c r="C706" t="str">
        <f>IFERROR(__xludf.DUMMYFUNCTION("""COMPUTED_VALUE"""),"Sacramento Kings")</f>
        <v>Sacramento Kings</v>
      </c>
      <c r="D706" t="str">
        <f>IFERROR(__xludf.DUMMYFUNCTION("""COMPUTED_VALUE"""),"Detroit Pistons")</f>
        <v>Detroit Pistons</v>
      </c>
    </row>
    <row r="707">
      <c r="A707" s="17" t="s">
        <v>795</v>
      </c>
      <c r="B707" s="19">
        <f>IFERROR(__xludf.DUMMYFUNCTION("IFERROR(SPLIT(A707,"",""),"""")"),46418.0)</f>
        <v>46418</v>
      </c>
      <c r="C707" t="str">
        <f>IFERROR(__xludf.DUMMYFUNCTION("""COMPUTED_VALUE"""),"Phoenix Suns")</f>
        <v>Phoenix Suns</v>
      </c>
      <c r="D707" t="str">
        <f>IFERROR(__xludf.DUMMYFUNCTION("""COMPUTED_VALUE"""),"Minnesota Timberwolves")</f>
        <v>Minnesota Timberwolves</v>
      </c>
    </row>
    <row r="708">
      <c r="A708" s="17" t="s">
        <v>796</v>
      </c>
      <c r="B708" s="19">
        <f>IFERROR(__xludf.DUMMYFUNCTION("IFERROR(SPLIT(A708,"",""),"""")"),46418.0)</f>
        <v>46418</v>
      </c>
      <c r="C708" t="str">
        <f>IFERROR(__xludf.DUMMYFUNCTION("""COMPUTED_VALUE"""),"Chicago Bulls")</f>
        <v>Chicago Bulls</v>
      </c>
      <c r="D708" t="str">
        <f>IFERROR(__xludf.DUMMYFUNCTION("""COMPUTED_VALUE"""),"Oklahoma City Thunder")</f>
        <v>Oklahoma City Thunder</v>
      </c>
    </row>
    <row r="709">
      <c r="A709" s="17" t="s">
        <v>797</v>
      </c>
      <c r="B709" s="19">
        <f>IFERROR(__xludf.DUMMYFUNCTION("IFERROR(SPLIT(A709,"",""),"""")"),46418.0)</f>
        <v>46418</v>
      </c>
      <c r="C709" t="str">
        <f>IFERROR(__xludf.DUMMYFUNCTION("""COMPUTED_VALUE"""),"Brooklyn Nets")</f>
        <v>Brooklyn Nets</v>
      </c>
      <c r="D709" t="str">
        <f>IFERROR(__xludf.DUMMYFUNCTION("""COMPUTED_VALUE"""),"Orlando Magic")</f>
        <v>Orlando Magic</v>
      </c>
    </row>
    <row r="710">
      <c r="A710" s="17" t="s">
        <v>798</v>
      </c>
      <c r="B710" s="19">
        <f>IFERROR(__xludf.DUMMYFUNCTION("IFERROR(SPLIT(A710,"",""),"""")"),46418.0)</f>
        <v>46418</v>
      </c>
      <c r="C710" t="str">
        <f>IFERROR(__xludf.DUMMYFUNCTION("""COMPUTED_VALUE"""),"Boston Celtics")</f>
        <v>Boston Celtics</v>
      </c>
      <c r="D710" t="str">
        <f>IFERROR(__xludf.DUMMYFUNCTION("""COMPUTED_VALUE"""),"Toronto Raptors")</f>
        <v>Toronto Raptors</v>
      </c>
    </row>
    <row r="711">
      <c r="A711" s="17" t="s">
        <v>799</v>
      </c>
      <c r="B711" s="19">
        <f>IFERROR(__xludf.DUMMYFUNCTION("IFERROR(SPLIT(A711,"",""),"""")"),46418.0)</f>
        <v>46418</v>
      </c>
      <c r="C711" t="str">
        <f>IFERROR(__xludf.DUMMYFUNCTION("""COMPUTED_VALUE"""),"Los Angeles Lakers")</f>
        <v>Los Angeles Lakers</v>
      </c>
      <c r="D711" t="str">
        <f>IFERROR(__xludf.DUMMYFUNCTION("""COMPUTED_VALUE"""),"Charlotte Hornets")</f>
        <v>Charlotte Hornets</v>
      </c>
    </row>
    <row r="712">
      <c r="A712" s="17" t="s">
        <v>800</v>
      </c>
      <c r="B712" s="19">
        <f>IFERROR(__xludf.DUMMYFUNCTION("IFERROR(SPLIT(A712,"",""),"""")"),46418.0)</f>
        <v>46418</v>
      </c>
      <c r="C712" t="str">
        <f>IFERROR(__xludf.DUMMYFUNCTION("""COMPUTED_VALUE"""),"Portland Trail Blazers")</f>
        <v>Portland Trail Blazers</v>
      </c>
      <c r="D712" t="str">
        <f>IFERROR(__xludf.DUMMYFUNCTION("""COMPUTED_VALUE"""),"Denver Nuggets")</f>
        <v>Denver Nuggets</v>
      </c>
    </row>
    <row r="713">
      <c r="A713" s="17" t="s">
        <v>801</v>
      </c>
      <c r="B713" s="19">
        <f>IFERROR(__xludf.DUMMYFUNCTION("IFERROR(SPLIT(A713,"",""),"""")"),46418.0)</f>
        <v>46418</v>
      </c>
      <c r="C713" t="str">
        <f>IFERROR(__xludf.DUMMYFUNCTION("""COMPUTED_VALUE"""),"Houston Rockets")</f>
        <v>Houston Rockets</v>
      </c>
      <c r="D713" t="str">
        <f>IFERROR(__xludf.DUMMYFUNCTION("""COMPUTED_VALUE"""),"Dallas Mavericks")</f>
        <v>Dallas Mavericks</v>
      </c>
    </row>
    <row r="714">
      <c r="A714" s="17" t="s">
        <v>802</v>
      </c>
      <c r="B714" s="19">
        <f>IFERROR(__xludf.DUMMYFUNCTION("IFERROR(SPLIT(A714,"",""),"""")"),46419.0)</f>
        <v>46419</v>
      </c>
      <c r="C714" t="str">
        <f>IFERROR(__xludf.DUMMYFUNCTION("""COMPUTED_VALUE"""),"Washington Wizards")</f>
        <v>Washington Wizards</v>
      </c>
      <c r="D714" t="str">
        <f>IFERROR(__xludf.DUMMYFUNCTION("""COMPUTED_VALUE"""),"Atlanta Hawks")</f>
        <v>Atlanta Hawks</v>
      </c>
    </row>
    <row r="715">
      <c r="A715" s="17" t="s">
        <v>803</v>
      </c>
      <c r="B715" s="19">
        <f>IFERROR(__xludf.DUMMYFUNCTION("IFERROR(SPLIT(A715,"",""),"""")"),46419.0)</f>
        <v>46419</v>
      </c>
      <c r="C715" t="str">
        <f>IFERROR(__xludf.DUMMYFUNCTION("""COMPUTED_VALUE"""),"New Orleans Pelicans")</f>
        <v>New Orleans Pelicans</v>
      </c>
      <c r="D715" t="str">
        <f>IFERROR(__xludf.DUMMYFUNCTION("""COMPUTED_VALUE"""),"Philadelphia 76ers")</f>
        <v>Philadelphia 76ers</v>
      </c>
    </row>
    <row r="716">
      <c r="A716" s="17" t="s">
        <v>804</v>
      </c>
      <c r="B716" s="19">
        <f>IFERROR(__xludf.DUMMYFUNCTION("IFERROR(SPLIT(A716,"",""),"""")"),46419.0)</f>
        <v>46419</v>
      </c>
      <c r="C716" t="str">
        <f>IFERROR(__xludf.DUMMYFUNCTION("""COMPUTED_VALUE"""),"New York Knicks")</f>
        <v>New York Knicks</v>
      </c>
      <c r="D716" t="str">
        <f>IFERROR(__xludf.DUMMYFUNCTION("""COMPUTED_VALUE"""),"Brooklyn Nets")</f>
        <v>Brooklyn Nets</v>
      </c>
    </row>
    <row r="717">
      <c r="A717" s="17" t="s">
        <v>805</v>
      </c>
      <c r="B717" s="19">
        <f>IFERROR(__xludf.DUMMYFUNCTION("IFERROR(SPLIT(A717,"",""),"""")"),46419.0)</f>
        <v>46419</v>
      </c>
      <c r="C717" t="str">
        <f>IFERROR(__xludf.DUMMYFUNCTION("""COMPUTED_VALUE"""),"Miami Heat")</f>
        <v>Miami Heat</v>
      </c>
      <c r="D717" t="str">
        <f>IFERROR(__xludf.DUMMYFUNCTION("""COMPUTED_VALUE"""),"Indiana Pacers")</f>
        <v>Indiana Pacers</v>
      </c>
    </row>
    <row r="718">
      <c r="A718" s="17" t="s">
        <v>806</v>
      </c>
      <c r="B718" s="19">
        <f>IFERROR(__xludf.DUMMYFUNCTION("IFERROR(SPLIT(A718,"",""),"""")"),46419.0)</f>
        <v>46419</v>
      </c>
      <c r="C718" t="str">
        <f>IFERROR(__xludf.DUMMYFUNCTION("""COMPUTED_VALUE"""),"Memphis Grizzlies")</f>
        <v>Memphis Grizzlies</v>
      </c>
      <c r="D718" t="str">
        <f>IFERROR(__xludf.DUMMYFUNCTION("""COMPUTED_VALUE"""),"Milwaukee Bucks")</f>
        <v>Milwaukee Bucks</v>
      </c>
    </row>
    <row r="719">
      <c r="A719" s="17" t="s">
        <v>807</v>
      </c>
      <c r="B719" s="19">
        <f>IFERROR(__xludf.DUMMYFUNCTION("IFERROR(SPLIT(A719,"",""),"""")"),46419.0)</f>
        <v>46419</v>
      </c>
      <c r="C719" t="str">
        <f>IFERROR(__xludf.DUMMYFUNCTION("""COMPUTED_VALUE"""),"Cleveland Cavaliers")</f>
        <v>Cleveland Cavaliers</v>
      </c>
      <c r="D719" t="str">
        <f>IFERROR(__xludf.DUMMYFUNCTION("""COMPUTED_VALUE"""),"Utah Jazz")</f>
        <v>Utah Jazz</v>
      </c>
    </row>
    <row r="720">
      <c r="A720" s="17" t="s">
        <v>808</v>
      </c>
      <c r="B720" s="19">
        <f>IFERROR(__xludf.DUMMYFUNCTION("IFERROR(SPLIT(A720,"",""),"""")"),46419.0)</f>
        <v>46419</v>
      </c>
      <c r="C720" t="str">
        <f>IFERROR(__xludf.DUMMYFUNCTION("""COMPUTED_VALUE"""),"San Antonio Spurs")</f>
        <v>San Antonio Spurs</v>
      </c>
      <c r="D720" t="str">
        <f>IFERROR(__xludf.DUMMYFUNCTION("""COMPUTED_VALUE"""),"Golden State Warriors")</f>
        <v>Golden State Warriors</v>
      </c>
    </row>
    <row r="721">
      <c r="A721" s="17" t="s">
        <v>809</v>
      </c>
      <c r="B721" s="19">
        <f>IFERROR(__xludf.DUMMYFUNCTION("IFERROR(SPLIT(A721,"",""),"""")"),46420.0)</f>
        <v>46420</v>
      </c>
      <c r="C721" t="str">
        <f>IFERROR(__xludf.DUMMYFUNCTION("""COMPUTED_VALUE"""),"Chicago Bulls")</f>
        <v>Chicago Bulls</v>
      </c>
      <c r="D721" t="str">
        <f>IFERROR(__xludf.DUMMYFUNCTION("""COMPUTED_VALUE"""),"Detroit Pistons")</f>
        <v>Detroit Pistons</v>
      </c>
    </row>
    <row r="722">
      <c r="A722" s="17" t="s">
        <v>810</v>
      </c>
      <c r="B722" s="19">
        <f>IFERROR(__xludf.DUMMYFUNCTION("IFERROR(SPLIT(A722,"",""),"""")"),46420.0)</f>
        <v>46420</v>
      </c>
      <c r="C722" t="str">
        <f>IFERROR(__xludf.DUMMYFUNCTION("""COMPUTED_VALUE"""),"New Orleans Pelicans")</f>
        <v>New Orleans Pelicans</v>
      </c>
      <c r="D722" t="str">
        <f>IFERROR(__xludf.DUMMYFUNCTION("""COMPUTED_VALUE"""),"Orlando Magic")</f>
        <v>Orlando Magic</v>
      </c>
    </row>
    <row r="723">
      <c r="A723" s="17" t="s">
        <v>811</v>
      </c>
      <c r="B723" s="19">
        <f>IFERROR(__xludf.DUMMYFUNCTION("IFERROR(SPLIT(A723,"",""),"""")"),46420.0)</f>
        <v>46420</v>
      </c>
      <c r="C723" t="str">
        <f>IFERROR(__xludf.DUMMYFUNCTION("""COMPUTED_VALUE"""),"Charlotte Hornets")</f>
        <v>Charlotte Hornets</v>
      </c>
      <c r="D723" t="str">
        <f>IFERROR(__xludf.DUMMYFUNCTION("""COMPUTED_VALUE"""),"Miami Heat")</f>
        <v>Miami Heat</v>
      </c>
    </row>
    <row r="724">
      <c r="A724" s="17" t="s">
        <v>812</v>
      </c>
      <c r="B724" s="19">
        <f>IFERROR(__xludf.DUMMYFUNCTION("IFERROR(SPLIT(A724,"",""),"""")"),46420.0)</f>
        <v>46420</v>
      </c>
      <c r="C724" t="str">
        <f>IFERROR(__xludf.DUMMYFUNCTION("""COMPUTED_VALUE"""),"Los Angeles Lakers")</f>
        <v>Los Angeles Lakers</v>
      </c>
      <c r="D724" t="str">
        <f>IFERROR(__xludf.DUMMYFUNCTION("""COMPUTED_VALUE"""),"Boston Celtics")</f>
        <v>Boston Celtics</v>
      </c>
    </row>
    <row r="725">
      <c r="A725" s="17" t="s">
        <v>813</v>
      </c>
      <c r="B725" s="19">
        <f>IFERROR(__xludf.DUMMYFUNCTION("IFERROR(SPLIT(A725,"",""),"""")"),46420.0)</f>
        <v>46420</v>
      </c>
      <c r="C725" t="str">
        <f>IFERROR(__xludf.DUMMYFUNCTION("""COMPUTED_VALUE"""),"Toronto Raptors")</f>
        <v>Toronto Raptors</v>
      </c>
      <c r="D725" t="str">
        <f>IFERROR(__xludf.DUMMYFUNCTION("""COMPUTED_VALUE"""),"Dallas Mavericks")</f>
        <v>Dallas Mavericks</v>
      </c>
    </row>
    <row r="726">
      <c r="A726" s="17" t="s">
        <v>814</v>
      </c>
      <c r="B726" s="19">
        <f>IFERROR(__xludf.DUMMYFUNCTION("IFERROR(SPLIT(A726,"",""),"""")"),46420.0)</f>
        <v>46420</v>
      </c>
      <c r="C726" t="str">
        <f>IFERROR(__xludf.DUMMYFUNCTION("""COMPUTED_VALUE"""),"Oklahoma City Thunder")</f>
        <v>Oklahoma City Thunder</v>
      </c>
      <c r="D726" t="str">
        <f>IFERROR(__xludf.DUMMYFUNCTION("""COMPUTED_VALUE"""),"Denver Nuggets")</f>
        <v>Denver Nuggets</v>
      </c>
    </row>
    <row r="727">
      <c r="A727" s="17" t="s">
        <v>815</v>
      </c>
      <c r="B727" s="19">
        <f>IFERROR(__xludf.DUMMYFUNCTION("IFERROR(SPLIT(A727,"",""),"""")"),46420.0)</f>
        <v>46420</v>
      </c>
      <c r="C727" t="str">
        <f>IFERROR(__xludf.DUMMYFUNCTION("""COMPUTED_VALUE"""),"San Antonio Spurs")</f>
        <v>San Antonio Spurs</v>
      </c>
      <c r="D727" t="str">
        <f>IFERROR(__xludf.DUMMYFUNCTION("""COMPUTED_VALUE"""),"Los Angeles Clippers")</f>
        <v>Los Angeles Clippers</v>
      </c>
    </row>
    <row r="728">
      <c r="A728" s="17" t="s">
        <v>816</v>
      </c>
      <c r="B728" s="19">
        <f>IFERROR(__xludf.DUMMYFUNCTION("IFERROR(SPLIT(A728,"",""),"""")"),46420.0)</f>
        <v>46420</v>
      </c>
      <c r="C728" t="str">
        <f>IFERROR(__xludf.DUMMYFUNCTION("""COMPUTED_VALUE"""),"Minnesota Timberwolves")</f>
        <v>Minnesota Timberwolves</v>
      </c>
      <c r="D728" t="str">
        <f>IFERROR(__xludf.DUMMYFUNCTION("""COMPUTED_VALUE"""),"Portland Trail Blazers")</f>
        <v>Portland Trail Blazers</v>
      </c>
    </row>
    <row r="729">
      <c r="A729" s="17" t="s">
        <v>817</v>
      </c>
      <c r="B729" s="19">
        <f>IFERROR(__xludf.DUMMYFUNCTION("IFERROR(SPLIT(A729,"",""),"""")"),46421.0)</f>
        <v>46421</v>
      </c>
      <c r="C729" t="str">
        <f>IFERROR(__xludf.DUMMYFUNCTION("""COMPUTED_VALUE"""),"New York Knicks")</f>
        <v>New York Knicks</v>
      </c>
      <c r="D729" t="str">
        <f>IFERROR(__xludf.DUMMYFUNCTION("""COMPUTED_VALUE"""),"Detroit Pistons")</f>
        <v>Detroit Pistons</v>
      </c>
    </row>
    <row r="730">
      <c r="A730" s="17" t="s">
        <v>818</v>
      </c>
      <c r="B730" s="19">
        <f>IFERROR(__xludf.DUMMYFUNCTION("IFERROR(SPLIT(A730,"",""),"""")"),46421.0)</f>
        <v>46421</v>
      </c>
      <c r="C730" t="str">
        <f>IFERROR(__xludf.DUMMYFUNCTION("""COMPUTED_VALUE"""),"Atlanta Hawks")</f>
        <v>Atlanta Hawks</v>
      </c>
      <c r="D730" t="str">
        <f>IFERROR(__xludf.DUMMYFUNCTION("""COMPUTED_VALUE"""),"Indiana Pacers")</f>
        <v>Indiana Pacers</v>
      </c>
    </row>
    <row r="731">
      <c r="A731" s="17" t="s">
        <v>819</v>
      </c>
      <c r="B731" s="19">
        <f>IFERROR(__xludf.DUMMYFUNCTION("IFERROR(SPLIT(A731,"",""),"""")"),46421.0)</f>
        <v>46421</v>
      </c>
      <c r="C731" t="str">
        <f>IFERROR(__xludf.DUMMYFUNCTION("""COMPUTED_VALUE"""),"Philadelphia 76ers")</f>
        <v>Philadelphia 76ers</v>
      </c>
      <c r="D731" t="str">
        <f>IFERROR(__xludf.DUMMYFUNCTION("""COMPUTED_VALUE"""),"Memphis Grizzlies")</f>
        <v>Memphis Grizzlies</v>
      </c>
    </row>
    <row r="732">
      <c r="A732" s="17" t="s">
        <v>820</v>
      </c>
      <c r="B732" s="19">
        <f>IFERROR(__xludf.DUMMYFUNCTION("IFERROR(SPLIT(A732,"",""),"""")"),46421.0)</f>
        <v>46421</v>
      </c>
      <c r="C732" t="str">
        <f>IFERROR(__xludf.DUMMYFUNCTION("""COMPUTED_VALUE"""),"Cleveland Cavaliers")</f>
        <v>Cleveland Cavaliers</v>
      </c>
      <c r="D732" t="str">
        <f>IFERROR(__xludf.DUMMYFUNCTION("""COMPUTED_VALUE"""),"Phoenix Suns")</f>
        <v>Phoenix Suns</v>
      </c>
    </row>
    <row r="733">
      <c r="A733" s="17" t="s">
        <v>821</v>
      </c>
      <c r="B733" s="19">
        <f>IFERROR(__xludf.DUMMYFUNCTION("IFERROR(SPLIT(A733,"",""),"""")"),46421.0)</f>
        <v>46421</v>
      </c>
      <c r="C733" t="str">
        <f>IFERROR(__xludf.DUMMYFUNCTION("""COMPUTED_VALUE"""),"Utah Jazz")</f>
        <v>Utah Jazz</v>
      </c>
      <c r="D733" t="str">
        <f>IFERROR(__xludf.DUMMYFUNCTION("""COMPUTED_VALUE"""),"Houston Rockets")</f>
        <v>Houston Rockets</v>
      </c>
    </row>
    <row r="734">
      <c r="A734" s="17" t="s">
        <v>822</v>
      </c>
      <c r="B734" s="19">
        <f>IFERROR(__xludf.DUMMYFUNCTION("IFERROR(SPLIT(A734,"",""),"""")"),46421.0)</f>
        <v>46421</v>
      </c>
      <c r="C734" t="str">
        <f>IFERROR(__xludf.DUMMYFUNCTION("""COMPUTED_VALUE"""),"Golden State Warriors")</f>
        <v>Golden State Warriors</v>
      </c>
      <c r="D734" t="str">
        <f>IFERROR(__xludf.DUMMYFUNCTION("""COMPUTED_VALUE"""),"Los Angeles Clippers")</f>
        <v>Los Angeles Clippers</v>
      </c>
    </row>
    <row r="735">
      <c r="A735" s="17" t="s">
        <v>823</v>
      </c>
      <c r="B735" s="19">
        <f>IFERROR(__xludf.DUMMYFUNCTION("IFERROR(SPLIT(A735,"",""),"""")"),46422.0)</f>
        <v>46422</v>
      </c>
      <c r="C735" t="str">
        <f>IFERROR(__xludf.DUMMYFUNCTION("""COMPUTED_VALUE"""),"New Orleans Pelicans")</f>
        <v>New Orleans Pelicans</v>
      </c>
      <c r="D735" t="str">
        <f>IFERROR(__xludf.DUMMYFUNCTION("""COMPUTED_VALUE"""),"Washington Wizards")</f>
        <v>Washington Wizards</v>
      </c>
    </row>
    <row r="736">
      <c r="A736" s="17" t="s">
        <v>824</v>
      </c>
      <c r="B736" s="19">
        <f>IFERROR(__xludf.DUMMYFUNCTION("IFERROR(SPLIT(A736,"",""),"""")"),46422.0)</f>
        <v>46422</v>
      </c>
      <c r="C736" t="str">
        <f>IFERROR(__xludf.DUMMYFUNCTION("""COMPUTED_VALUE"""),"Los Angeles Lakers")</f>
        <v>Los Angeles Lakers</v>
      </c>
      <c r="D736" t="str">
        <f>IFERROR(__xludf.DUMMYFUNCTION("""COMPUTED_VALUE"""),"Brooklyn Nets")</f>
        <v>Brooklyn Nets</v>
      </c>
    </row>
    <row r="737">
      <c r="A737" s="17" t="s">
        <v>825</v>
      </c>
      <c r="B737" s="19">
        <f>IFERROR(__xludf.DUMMYFUNCTION("IFERROR(SPLIT(A737,"",""),"""")"),46422.0)</f>
        <v>46422</v>
      </c>
      <c r="C737" t="str">
        <f>IFERROR(__xludf.DUMMYFUNCTION("""COMPUTED_VALUE"""),"Boston Celtics")</f>
        <v>Boston Celtics</v>
      </c>
      <c r="D737" t="str">
        <f>IFERROR(__xludf.DUMMYFUNCTION("""COMPUTED_VALUE"""),"Charlotte Hornets")</f>
        <v>Charlotte Hornets</v>
      </c>
    </row>
    <row r="738">
      <c r="A738" s="17" t="s">
        <v>826</v>
      </c>
      <c r="B738" s="19">
        <f>IFERROR(__xludf.DUMMYFUNCTION("IFERROR(SPLIT(A738,"",""),"""")"),46422.0)</f>
        <v>46422</v>
      </c>
      <c r="C738" t="str">
        <f>IFERROR(__xludf.DUMMYFUNCTION("""COMPUTED_VALUE"""),"Milwaukee Bucks")</f>
        <v>Milwaukee Bucks</v>
      </c>
      <c r="D738" t="str">
        <f>IFERROR(__xludf.DUMMYFUNCTION("""COMPUTED_VALUE"""),"Miami Heat")</f>
        <v>Miami Heat</v>
      </c>
    </row>
    <row r="739">
      <c r="A739" s="17" t="s">
        <v>827</v>
      </c>
      <c r="B739" s="19">
        <f>IFERROR(__xludf.DUMMYFUNCTION("IFERROR(SPLIT(A739,"",""),"""")"),46422.0)</f>
        <v>46422</v>
      </c>
      <c r="C739" t="str">
        <f>IFERROR(__xludf.DUMMYFUNCTION("""COMPUTED_VALUE"""),"Toronto Raptors")</f>
        <v>Toronto Raptors</v>
      </c>
      <c r="D739" t="str">
        <f>IFERROR(__xludf.DUMMYFUNCTION("""COMPUTED_VALUE"""),"New York Knicks")</f>
        <v>New York Knicks</v>
      </c>
    </row>
    <row r="740">
      <c r="A740" s="17" t="s">
        <v>828</v>
      </c>
      <c r="B740" s="19">
        <f>IFERROR(__xludf.DUMMYFUNCTION("IFERROR(SPLIT(A740,"",""),"""")"),46422.0)</f>
        <v>46422</v>
      </c>
      <c r="C740" t="str">
        <f>IFERROR(__xludf.DUMMYFUNCTION("""COMPUTED_VALUE"""),"Oklahoma City Thunder")</f>
        <v>Oklahoma City Thunder</v>
      </c>
      <c r="D740" t="str">
        <f>IFERROR(__xludf.DUMMYFUNCTION("""COMPUTED_VALUE"""),"Chicago Bulls")</f>
        <v>Chicago Bulls</v>
      </c>
    </row>
    <row r="741">
      <c r="A741" s="17" t="s">
        <v>829</v>
      </c>
      <c r="B741" s="19">
        <f>IFERROR(__xludf.DUMMYFUNCTION("IFERROR(SPLIT(A741,"",""),"""")"),46422.0)</f>
        <v>46422</v>
      </c>
      <c r="C741" t="str">
        <f>IFERROR(__xludf.DUMMYFUNCTION("""COMPUTED_VALUE"""),"Orlando Magic")</f>
        <v>Orlando Magic</v>
      </c>
      <c r="D741" t="str">
        <f>IFERROR(__xludf.DUMMYFUNCTION("""COMPUTED_VALUE"""),"San Antonio Spurs")</f>
        <v>San Antonio Spurs</v>
      </c>
    </row>
    <row r="742">
      <c r="A742" s="17" t="s">
        <v>830</v>
      </c>
      <c r="B742" s="19">
        <f>IFERROR(__xludf.DUMMYFUNCTION("IFERROR(SPLIT(A742,"",""),"""")"),46422.0)</f>
        <v>46422</v>
      </c>
      <c r="C742" t="str">
        <f>IFERROR(__xludf.DUMMYFUNCTION("""COMPUTED_VALUE"""),"Dallas Mavericks")</f>
        <v>Dallas Mavericks</v>
      </c>
      <c r="D742" t="str">
        <f>IFERROR(__xludf.DUMMYFUNCTION("""COMPUTED_VALUE"""),"Denver Nuggets")</f>
        <v>Denver Nuggets</v>
      </c>
    </row>
    <row r="743">
      <c r="A743" s="17" t="s">
        <v>831</v>
      </c>
      <c r="B743" s="19">
        <f>IFERROR(__xludf.DUMMYFUNCTION("IFERROR(SPLIT(A743,"",""),"""")"),46422.0)</f>
        <v>46422</v>
      </c>
      <c r="C743" t="str">
        <f>IFERROR(__xludf.DUMMYFUNCTION("""COMPUTED_VALUE"""),"Cleveland Cavaliers")</f>
        <v>Cleveland Cavaliers</v>
      </c>
      <c r="D743" t="str">
        <f>IFERROR(__xludf.DUMMYFUNCTION("""COMPUTED_VALUE"""),"Portland Trail Blazers")</f>
        <v>Portland Trail Blazers</v>
      </c>
    </row>
    <row r="744">
      <c r="A744" s="17" t="s">
        <v>832</v>
      </c>
      <c r="B744" s="19">
        <f>IFERROR(__xludf.DUMMYFUNCTION("IFERROR(SPLIT(A744,"",""),"""")"),46422.0)</f>
        <v>46422</v>
      </c>
      <c r="C744" t="str">
        <f>IFERROR(__xludf.DUMMYFUNCTION("""COMPUTED_VALUE"""),"Minnesota Timberwolves")</f>
        <v>Minnesota Timberwolves</v>
      </c>
      <c r="D744" t="str">
        <f>IFERROR(__xludf.DUMMYFUNCTION("""COMPUTED_VALUE"""),"Sacramento Kings")</f>
        <v>Sacramento Kings</v>
      </c>
    </row>
    <row r="745">
      <c r="A745" s="17" t="s">
        <v>833</v>
      </c>
      <c r="B745" s="19">
        <f>IFERROR(__xludf.DUMMYFUNCTION("IFERROR(SPLIT(A745,"",""),"""")"),46423.0)</f>
        <v>46423</v>
      </c>
      <c r="C745" t="str">
        <f>IFERROR(__xludf.DUMMYFUNCTION("""COMPUTED_VALUE"""),"Boston Celtics")</f>
        <v>Boston Celtics</v>
      </c>
      <c r="D745" t="str">
        <f>IFERROR(__xludf.DUMMYFUNCTION("""COMPUTED_VALUE"""),"Atlanta Hawks")</f>
        <v>Atlanta Hawks</v>
      </c>
    </row>
    <row r="746">
      <c r="A746" s="17" t="s">
        <v>834</v>
      </c>
      <c r="B746" s="19">
        <f>IFERROR(__xludf.DUMMYFUNCTION("IFERROR(SPLIT(A746,"",""),"""")"),46423.0)</f>
        <v>46423</v>
      </c>
      <c r="C746" t="str">
        <f>IFERROR(__xludf.DUMMYFUNCTION("""COMPUTED_VALUE"""),"Golden State Warriors")</f>
        <v>Golden State Warriors</v>
      </c>
      <c r="D746" t="str">
        <f>IFERROR(__xludf.DUMMYFUNCTION("""COMPUTED_VALUE"""),"Charlotte Hornets")</f>
        <v>Charlotte Hornets</v>
      </c>
    </row>
    <row r="747">
      <c r="A747" s="17" t="s">
        <v>835</v>
      </c>
      <c r="B747" s="19">
        <f>IFERROR(__xludf.DUMMYFUNCTION("IFERROR(SPLIT(A747,"",""),"""")"),46423.0)</f>
        <v>46423</v>
      </c>
      <c r="C747" t="str">
        <f>IFERROR(__xludf.DUMMYFUNCTION("""COMPUTED_VALUE"""),"Detroit Pistons")</f>
        <v>Detroit Pistons</v>
      </c>
      <c r="D747" t="str">
        <f>IFERROR(__xludf.DUMMYFUNCTION("""COMPUTED_VALUE"""),"Philadelphia 76ers")</f>
        <v>Philadelphia 76ers</v>
      </c>
    </row>
    <row r="748">
      <c r="A748" s="17" t="s">
        <v>836</v>
      </c>
      <c r="B748" s="19">
        <f>IFERROR(__xludf.DUMMYFUNCTION("IFERROR(SPLIT(A748,"",""),"""")"),46423.0)</f>
        <v>46423</v>
      </c>
      <c r="C748" t="str">
        <f>IFERROR(__xludf.DUMMYFUNCTION("""COMPUTED_VALUE"""),"Los Angeles Clippers")</f>
        <v>Los Angeles Clippers</v>
      </c>
      <c r="D748" t="str">
        <f>IFERROR(__xludf.DUMMYFUNCTION("""COMPUTED_VALUE"""),"Denver Nuggets")</f>
        <v>Denver Nuggets</v>
      </c>
    </row>
    <row r="749">
      <c r="A749" s="17" t="s">
        <v>837</v>
      </c>
      <c r="B749" s="19">
        <f>IFERROR(__xludf.DUMMYFUNCTION("IFERROR(SPLIT(A749,"",""),"""")"),46423.0)</f>
        <v>46423</v>
      </c>
      <c r="C749" t="str">
        <f>IFERROR(__xludf.DUMMYFUNCTION("""COMPUTED_VALUE"""),"Houston Rockets")</f>
        <v>Houston Rockets</v>
      </c>
      <c r="D749" t="str">
        <f>IFERROR(__xludf.DUMMYFUNCTION("""COMPUTED_VALUE"""),"Phoenix Suns")</f>
        <v>Phoenix Suns</v>
      </c>
    </row>
    <row r="750">
      <c r="A750" s="17" t="s">
        <v>838</v>
      </c>
      <c r="B750" s="19">
        <f>IFERROR(__xludf.DUMMYFUNCTION("IFERROR(SPLIT(A750,"",""),"""")"),46423.0)</f>
        <v>46423</v>
      </c>
      <c r="C750" t="str">
        <f>IFERROR(__xludf.DUMMYFUNCTION("""COMPUTED_VALUE"""),"Indiana Pacers")</f>
        <v>Indiana Pacers</v>
      </c>
      <c r="D750" t="str">
        <f>IFERROR(__xludf.DUMMYFUNCTION("""COMPUTED_VALUE"""),"Oklahoma City Thunder")</f>
        <v>Oklahoma City Thunder</v>
      </c>
    </row>
    <row r="751">
      <c r="A751" s="17" t="s">
        <v>839</v>
      </c>
      <c r="B751" s="19">
        <f>IFERROR(__xludf.DUMMYFUNCTION("IFERROR(SPLIT(A751,"",""),"""")"),46424.0)</f>
        <v>46424</v>
      </c>
      <c r="C751" t="str">
        <f>IFERROR(__xludf.DUMMYFUNCTION("""COMPUTED_VALUE"""),"Utah Jazz")</f>
        <v>Utah Jazz</v>
      </c>
      <c r="D751" t="str">
        <f>IFERROR(__xludf.DUMMYFUNCTION("""COMPUTED_VALUE"""),"Dallas Mavericks")</f>
        <v>Dallas Mavericks</v>
      </c>
    </row>
    <row r="752">
      <c r="A752" s="17" t="s">
        <v>840</v>
      </c>
      <c r="B752" s="19">
        <f>IFERROR(__xludf.DUMMYFUNCTION("IFERROR(SPLIT(A752,"",""),"""")"),46424.0)</f>
        <v>46424</v>
      </c>
      <c r="C752" t="str">
        <f>IFERROR(__xludf.DUMMYFUNCTION("""COMPUTED_VALUE"""),"Miami Heat")</f>
        <v>Miami Heat</v>
      </c>
      <c r="D752" t="str">
        <f>IFERROR(__xludf.DUMMYFUNCTION("""COMPUTED_VALUE"""),"Minnesota Timberwolves")</f>
        <v>Minnesota Timberwolves</v>
      </c>
    </row>
    <row r="753">
      <c r="A753" s="17" t="s">
        <v>841</v>
      </c>
      <c r="B753" s="19">
        <f>IFERROR(__xludf.DUMMYFUNCTION("IFERROR(SPLIT(A753,"",""),"""")"),46424.0)</f>
        <v>46424</v>
      </c>
      <c r="C753" t="str">
        <f>IFERROR(__xludf.DUMMYFUNCTION("""COMPUTED_VALUE"""),"Portland Trail Blazers")</f>
        <v>Portland Trail Blazers</v>
      </c>
      <c r="D753" t="str">
        <f>IFERROR(__xludf.DUMMYFUNCTION("""COMPUTED_VALUE"""),"Memphis Grizzlies")</f>
        <v>Memphis Grizzlies</v>
      </c>
    </row>
    <row r="754">
      <c r="A754" s="17" t="s">
        <v>842</v>
      </c>
      <c r="B754" s="19">
        <f>IFERROR(__xludf.DUMMYFUNCTION("IFERROR(SPLIT(A754,"",""),"""")"),46424.0)</f>
        <v>46424</v>
      </c>
      <c r="C754" t="str">
        <f>IFERROR(__xludf.DUMMYFUNCTION("""COMPUTED_VALUE"""),"Washington Wizards")</f>
        <v>Washington Wizards</v>
      </c>
      <c r="D754" t="str">
        <f>IFERROR(__xludf.DUMMYFUNCTION("""COMPUTED_VALUE"""),"Brooklyn Nets")</f>
        <v>Brooklyn Nets</v>
      </c>
    </row>
    <row r="755">
      <c r="A755" s="17" t="s">
        <v>843</v>
      </c>
      <c r="B755" s="19">
        <f>IFERROR(__xludf.DUMMYFUNCTION("IFERROR(SPLIT(A755,"",""),"""")"),46424.0)</f>
        <v>46424</v>
      </c>
      <c r="C755" t="str">
        <f>IFERROR(__xludf.DUMMYFUNCTION("""COMPUTED_VALUE"""),"Orlando Magic")</f>
        <v>Orlando Magic</v>
      </c>
      <c r="D755" t="str">
        <f>IFERROR(__xludf.DUMMYFUNCTION("""COMPUTED_VALUE"""),"Cleveland Cavaliers")</f>
        <v>Cleveland Cavaliers</v>
      </c>
    </row>
    <row r="756">
      <c r="A756" s="17" t="s">
        <v>844</v>
      </c>
      <c r="B756" s="19">
        <f>IFERROR(__xludf.DUMMYFUNCTION("IFERROR(SPLIT(A756,"",""),"""")"),46424.0)</f>
        <v>46424</v>
      </c>
      <c r="C756" t="str">
        <f>IFERROR(__xludf.DUMMYFUNCTION("""COMPUTED_VALUE"""),"Milwaukee Bucks")</f>
        <v>Milwaukee Bucks</v>
      </c>
      <c r="D756" t="str">
        <f>IFERROR(__xludf.DUMMYFUNCTION("""COMPUTED_VALUE"""),"Toronto Raptors")</f>
        <v>Toronto Raptors</v>
      </c>
    </row>
    <row r="757">
      <c r="A757" s="17" t="s">
        <v>845</v>
      </c>
      <c r="B757" s="19">
        <f>IFERROR(__xludf.DUMMYFUNCTION("IFERROR(SPLIT(A757,"",""),"""")"),46424.0)</f>
        <v>46424</v>
      </c>
      <c r="C757" t="str">
        <f>IFERROR(__xludf.DUMMYFUNCTION("""COMPUTED_VALUE"""),"New Orleans Pelicans")</f>
        <v>New Orleans Pelicans</v>
      </c>
      <c r="D757" t="str">
        <f>IFERROR(__xludf.DUMMYFUNCTION("""COMPUTED_VALUE"""),"Chicago Bulls")</f>
        <v>Chicago Bulls</v>
      </c>
    </row>
    <row r="758">
      <c r="A758" s="17" t="s">
        <v>846</v>
      </c>
      <c r="B758" s="19">
        <f>IFERROR(__xludf.DUMMYFUNCTION("IFERROR(SPLIT(A758,"",""),"""")"),46424.0)</f>
        <v>46424</v>
      </c>
      <c r="C758" t="str">
        <f>IFERROR(__xludf.DUMMYFUNCTION("""COMPUTED_VALUE"""),"Los Angeles Lakers")</f>
        <v>Los Angeles Lakers</v>
      </c>
      <c r="D758" t="str">
        <f>IFERROR(__xludf.DUMMYFUNCTION("""COMPUTED_VALUE"""),"San Antonio Spurs")</f>
        <v>San Antonio Spurs</v>
      </c>
    </row>
    <row r="759">
      <c r="A759" s="17" t="s">
        <v>847</v>
      </c>
      <c r="B759" s="19">
        <f>IFERROR(__xludf.DUMMYFUNCTION("IFERROR(SPLIT(A759,"",""),"""")"),46424.0)</f>
        <v>46424</v>
      </c>
      <c r="C759" t="str">
        <f>IFERROR(__xludf.DUMMYFUNCTION("""COMPUTED_VALUE"""),"Phoenix Suns")</f>
        <v>Phoenix Suns</v>
      </c>
      <c r="D759" t="str">
        <f>IFERROR(__xludf.DUMMYFUNCTION("""COMPUTED_VALUE"""),"Sacramento Kings")</f>
        <v>Sacramento Kings</v>
      </c>
    </row>
    <row r="760">
      <c r="A760" s="17" t="s">
        <v>848</v>
      </c>
      <c r="B760" s="19">
        <f>IFERROR(__xludf.DUMMYFUNCTION("IFERROR(SPLIT(A760,"",""),"""")"),46425.0)</f>
        <v>46425</v>
      </c>
      <c r="C760" t="str">
        <f>IFERROR(__xludf.DUMMYFUNCTION("""COMPUTED_VALUE"""),"Denver Nuggets")</f>
        <v>Denver Nuggets</v>
      </c>
      <c r="D760" t="str">
        <f>IFERROR(__xludf.DUMMYFUNCTION("""COMPUTED_VALUE"""),"Atlanta Hawks")</f>
        <v>Atlanta Hawks</v>
      </c>
    </row>
    <row r="761">
      <c r="A761" s="17" t="s">
        <v>849</v>
      </c>
      <c r="B761" s="19">
        <f>IFERROR(__xludf.DUMMYFUNCTION("IFERROR(SPLIT(A761,"",""),"""")"),46425.0)</f>
        <v>46425</v>
      </c>
      <c r="C761" t="str">
        <f>IFERROR(__xludf.DUMMYFUNCTION("""COMPUTED_VALUE"""),"Golden State Warriors")</f>
        <v>Golden State Warriors</v>
      </c>
      <c r="D761" t="str">
        <f>IFERROR(__xludf.DUMMYFUNCTION("""COMPUTED_VALUE"""),"Detroit Pistons")</f>
        <v>Detroit Pistons</v>
      </c>
    </row>
    <row r="762">
      <c r="A762" s="17" t="s">
        <v>850</v>
      </c>
      <c r="B762" s="19">
        <f>IFERROR(__xludf.DUMMYFUNCTION("IFERROR(SPLIT(A762,"",""),"""")"),46425.0)</f>
        <v>46425</v>
      </c>
      <c r="C762" t="str">
        <f>IFERROR(__xludf.DUMMYFUNCTION("""COMPUTED_VALUE"""),"Utah Jazz")</f>
        <v>Utah Jazz</v>
      </c>
      <c r="D762" t="str">
        <f>IFERROR(__xludf.DUMMYFUNCTION("""COMPUTED_VALUE"""),"Minnesota Timberwolves")</f>
        <v>Minnesota Timberwolves</v>
      </c>
    </row>
    <row r="763">
      <c r="A763" s="17" t="s">
        <v>851</v>
      </c>
      <c r="B763" s="19">
        <f>IFERROR(__xludf.DUMMYFUNCTION("IFERROR(SPLIT(A763,"",""),"""")"),46425.0)</f>
        <v>46425</v>
      </c>
      <c r="C763" t="str">
        <f>IFERROR(__xludf.DUMMYFUNCTION("""COMPUTED_VALUE"""),"Los Angeles Clippers")</f>
        <v>Los Angeles Clippers</v>
      </c>
      <c r="D763" t="str">
        <f>IFERROR(__xludf.DUMMYFUNCTION("""COMPUTED_VALUE"""),"Dallas Mavericks")</f>
        <v>Dallas Mavericks</v>
      </c>
    </row>
    <row r="764">
      <c r="A764" s="17" t="s">
        <v>852</v>
      </c>
      <c r="B764" s="19">
        <f>IFERROR(__xludf.DUMMYFUNCTION("IFERROR(SPLIT(A764,"",""),"""")"),46425.0)</f>
        <v>46425</v>
      </c>
      <c r="C764" t="str">
        <f>IFERROR(__xludf.DUMMYFUNCTION("""COMPUTED_VALUE"""),"Charlotte Hornets")</f>
        <v>Charlotte Hornets</v>
      </c>
      <c r="D764" t="str">
        <f>IFERROR(__xludf.DUMMYFUNCTION("""COMPUTED_VALUE"""),"Toronto Raptors")</f>
        <v>Toronto Raptors</v>
      </c>
    </row>
    <row r="765">
      <c r="A765" s="17" t="s">
        <v>853</v>
      </c>
      <c r="B765" s="19">
        <f>IFERROR(__xludf.DUMMYFUNCTION("IFERROR(SPLIT(A765,"",""),"""")"),46425.0)</f>
        <v>46425</v>
      </c>
      <c r="C765" t="str">
        <f>IFERROR(__xludf.DUMMYFUNCTION("""COMPUTED_VALUE"""),"Boston Celtics")</f>
        <v>Boston Celtics</v>
      </c>
      <c r="D765" t="str">
        <f>IFERROR(__xludf.DUMMYFUNCTION("""COMPUTED_VALUE"""),"Philadelphia 76ers")</f>
        <v>Philadelphia 76ers</v>
      </c>
    </row>
    <row r="766">
      <c r="A766" s="17" t="s">
        <v>854</v>
      </c>
      <c r="B766" s="19">
        <f>IFERROR(__xludf.DUMMYFUNCTION("IFERROR(SPLIT(A766,"",""),"""")"),46425.0)</f>
        <v>46425</v>
      </c>
      <c r="C766" t="str">
        <f>IFERROR(__xludf.DUMMYFUNCTION("""COMPUTED_VALUE"""),"New York Knicks")</f>
        <v>New York Knicks</v>
      </c>
      <c r="D766" t="str">
        <f>IFERROR(__xludf.DUMMYFUNCTION("""COMPUTED_VALUE"""),"Oklahoma City Thunder")</f>
        <v>Oklahoma City Thunder</v>
      </c>
    </row>
    <row r="767">
      <c r="A767" s="17" t="s">
        <v>855</v>
      </c>
      <c r="B767" s="19">
        <f>IFERROR(__xludf.DUMMYFUNCTION("IFERROR(SPLIT(A767,"",""),"""")"),46425.0)</f>
        <v>46425</v>
      </c>
      <c r="C767" t="str">
        <f>IFERROR(__xludf.DUMMYFUNCTION("""COMPUTED_VALUE"""),"Houston Rockets")</f>
        <v>Houston Rockets</v>
      </c>
      <c r="D767" t="str">
        <f>IFERROR(__xludf.DUMMYFUNCTION("""COMPUTED_VALUE"""),"Sacramento Kings")</f>
        <v>Sacramento Kings</v>
      </c>
    </row>
    <row r="768">
      <c r="A768" s="17" t="s">
        <v>856</v>
      </c>
      <c r="B768" s="19">
        <f>IFERROR(__xludf.DUMMYFUNCTION("IFERROR(SPLIT(A768,"",""),"""")"),46426.0)</f>
        <v>46426</v>
      </c>
      <c r="C768" t="str">
        <f>IFERROR(__xludf.DUMMYFUNCTION("""COMPUTED_VALUE"""),"Miami Heat")</f>
        <v>Miami Heat</v>
      </c>
      <c r="D768" t="str">
        <f>IFERROR(__xludf.DUMMYFUNCTION("""COMPUTED_VALUE"""),"Atlanta Hawks")</f>
        <v>Atlanta Hawks</v>
      </c>
    </row>
    <row r="769">
      <c r="A769" s="17" t="s">
        <v>857</v>
      </c>
      <c r="B769" s="19">
        <f>IFERROR(__xludf.DUMMYFUNCTION("IFERROR(SPLIT(A769,"",""),"""")"),46426.0)</f>
        <v>46426</v>
      </c>
      <c r="C769" t="str">
        <f>IFERROR(__xludf.DUMMYFUNCTION("""COMPUTED_VALUE"""),"New Orleans Pelicans")</f>
        <v>New Orleans Pelicans</v>
      </c>
      <c r="D769" t="str">
        <f>IFERROR(__xludf.DUMMYFUNCTION("""COMPUTED_VALUE"""),"Indiana Pacers")</f>
        <v>Indiana Pacers</v>
      </c>
    </row>
    <row r="770">
      <c r="A770" s="17" t="s">
        <v>858</v>
      </c>
      <c r="B770" s="19">
        <f>IFERROR(__xludf.DUMMYFUNCTION("IFERROR(SPLIT(A770,"",""),"""")"),46426.0)</f>
        <v>46426</v>
      </c>
      <c r="C770" t="str">
        <f>IFERROR(__xludf.DUMMYFUNCTION("""COMPUTED_VALUE"""),"Brooklyn Nets")</f>
        <v>Brooklyn Nets</v>
      </c>
      <c r="D770" t="str">
        <f>IFERROR(__xludf.DUMMYFUNCTION("""COMPUTED_VALUE"""),"Philadelphia 76ers")</f>
        <v>Philadelphia 76ers</v>
      </c>
    </row>
    <row r="771">
      <c r="A771" s="17" t="s">
        <v>859</v>
      </c>
      <c r="B771" s="19">
        <f>IFERROR(__xludf.DUMMYFUNCTION("IFERROR(SPLIT(A771,"",""),"""")"),46426.0)</f>
        <v>46426</v>
      </c>
      <c r="C771" t="str">
        <f>IFERROR(__xludf.DUMMYFUNCTION("""COMPUTED_VALUE"""),"Chicago Bulls")</f>
        <v>Chicago Bulls</v>
      </c>
      <c r="D771" t="str">
        <f>IFERROR(__xludf.DUMMYFUNCTION("""COMPUTED_VALUE"""),"Washington Wizards")</f>
        <v>Washington Wizards</v>
      </c>
    </row>
    <row r="772">
      <c r="A772" s="17" t="s">
        <v>860</v>
      </c>
      <c r="B772" s="19">
        <f>IFERROR(__xludf.DUMMYFUNCTION("IFERROR(SPLIT(A772,"",""),"""")"),46426.0)</f>
        <v>46426</v>
      </c>
      <c r="C772" t="str">
        <f>IFERROR(__xludf.DUMMYFUNCTION("""COMPUTED_VALUE"""),"Portland Trail Blazers")</f>
        <v>Portland Trail Blazers</v>
      </c>
      <c r="D772" t="str">
        <f>IFERROR(__xludf.DUMMYFUNCTION("""COMPUTED_VALUE"""),"Memphis Grizzlies")</f>
        <v>Memphis Grizzlies</v>
      </c>
    </row>
    <row r="773">
      <c r="A773" s="17" t="s">
        <v>861</v>
      </c>
      <c r="B773" s="19">
        <f>IFERROR(__xludf.DUMMYFUNCTION("IFERROR(SPLIT(A773,"",""),"""")"),46426.0)</f>
        <v>46426</v>
      </c>
      <c r="C773" t="str">
        <f>IFERROR(__xludf.DUMMYFUNCTION("""COMPUTED_VALUE"""),"Orlando Magic")</f>
        <v>Orlando Magic</v>
      </c>
      <c r="D773" t="str">
        <f>IFERROR(__xludf.DUMMYFUNCTION("""COMPUTED_VALUE"""),"Milwaukee Bucks")</f>
        <v>Milwaukee Bucks</v>
      </c>
    </row>
    <row r="774">
      <c r="A774" s="17" t="s">
        <v>862</v>
      </c>
      <c r="B774" s="19">
        <f>IFERROR(__xludf.DUMMYFUNCTION("IFERROR(SPLIT(A774,"",""),"""")"),46426.0)</f>
        <v>46426</v>
      </c>
      <c r="C774" t="str">
        <f>IFERROR(__xludf.DUMMYFUNCTION("""COMPUTED_VALUE"""),"Los Angeles Lakers")</f>
        <v>Los Angeles Lakers</v>
      </c>
      <c r="D774" t="str">
        <f>IFERROR(__xludf.DUMMYFUNCTION("""COMPUTED_VALUE"""),"Phoenix Suns")</f>
        <v>Phoenix Suns</v>
      </c>
    </row>
    <row r="775">
      <c r="A775" s="17" t="s">
        <v>863</v>
      </c>
      <c r="B775" s="19">
        <f>IFERROR(__xludf.DUMMYFUNCTION("IFERROR(SPLIT(A775,"",""),"""")"),46427.0)</f>
        <v>46427</v>
      </c>
      <c r="C775" t="str">
        <f>IFERROR(__xludf.DUMMYFUNCTION("""COMPUTED_VALUE"""),"Toronto Raptors")</f>
        <v>Toronto Raptors</v>
      </c>
      <c r="D775" t="str">
        <f>IFERROR(__xludf.DUMMYFUNCTION("""COMPUTED_VALUE"""),"Cleveland Cavaliers")</f>
        <v>Cleveland Cavaliers</v>
      </c>
    </row>
    <row r="776">
      <c r="A776" s="17" t="s">
        <v>864</v>
      </c>
      <c r="B776" s="19">
        <f>IFERROR(__xludf.DUMMYFUNCTION("IFERROR(SPLIT(A776,"",""),"""")"),46427.0)</f>
        <v>46427</v>
      </c>
      <c r="C776" t="str">
        <f>IFERROR(__xludf.DUMMYFUNCTION("""COMPUTED_VALUE"""),"Denver Nuggets")</f>
        <v>Denver Nuggets</v>
      </c>
      <c r="D776" t="str">
        <f>IFERROR(__xludf.DUMMYFUNCTION("""COMPUTED_VALUE"""),"Boston Celtics")</f>
        <v>Boston Celtics</v>
      </c>
    </row>
    <row r="777">
      <c r="A777" s="17" t="s">
        <v>865</v>
      </c>
      <c r="B777" s="19">
        <f>IFERROR(__xludf.DUMMYFUNCTION("IFERROR(SPLIT(A777,"",""),"""")"),46427.0)</f>
        <v>46427</v>
      </c>
      <c r="C777" t="str">
        <f>IFERROR(__xludf.DUMMYFUNCTION("""COMPUTED_VALUE"""),"Minnesota Timberwolves")</f>
        <v>Minnesota Timberwolves</v>
      </c>
      <c r="D777" t="str">
        <f>IFERROR(__xludf.DUMMYFUNCTION("""COMPUTED_VALUE"""),"Brooklyn Nets")</f>
        <v>Brooklyn Nets</v>
      </c>
    </row>
    <row r="778">
      <c r="A778" s="17" t="s">
        <v>866</v>
      </c>
      <c r="B778" s="19">
        <f>IFERROR(__xludf.DUMMYFUNCTION("IFERROR(SPLIT(A778,"",""),"""")"),46427.0)</f>
        <v>46427</v>
      </c>
      <c r="C778" t="str">
        <f>IFERROR(__xludf.DUMMYFUNCTION("""COMPUTED_VALUE"""),"Charlotte Hornets")</f>
        <v>Charlotte Hornets</v>
      </c>
      <c r="D778" t="str">
        <f>IFERROR(__xludf.DUMMYFUNCTION("""COMPUTED_VALUE"""),"New York Knicks")</f>
        <v>New York Knicks</v>
      </c>
    </row>
    <row r="779">
      <c r="A779" s="17" t="s">
        <v>867</v>
      </c>
      <c r="B779" s="19">
        <f>IFERROR(__xludf.DUMMYFUNCTION("IFERROR(SPLIT(A779,"",""),"""")"),46427.0)</f>
        <v>46427</v>
      </c>
      <c r="C779" t="str">
        <f>IFERROR(__xludf.DUMMYFUNCTION("""COMPUTED_VALUE"""),"Golden State Warriors")</f>
        <v>Golden State Warriors</v>
      </c>
      <c r="D779" t="str">
        <f>IFERROR(__xludf.DUMMYFUNCTION("""COMPUTED_VALUE"""),"Chicago Bulls")</f>
        <v>Chicago Bulls</v>
      </c>
    </row>
    <row r="780">
      <c r="A780" s="17" t="s">
        <v>868</v>
      </c>
      <c r="B780" s="19">
        <f>IFERROR(__xludf.DUMMYFUNCTION("IFERROR(SPLIT(A780,"",""),"""")"),46427.0)</f>
        <v>46427</v>
      </c>
      <c r="C780" t="str">
        <f>IFERROR(__xludf.DUMMYFUNCTION("""COMPUTED_VALUE"""),"San Antonio Spurs")</f>
        <v>San Antonio Spurs</v>
      </c>
      <c r="D780" t="str">
        <f>IFERROR(__xludf.DUMMYFUNCTION("""COMPUTED_VALUE"""),"Dallas Mavericks")</f>
        <v>Dallas Mavericks</v>
      </c>
    </row>
    <row r="781">
      <c r="A781" s="17" t="s">
        <v>869</v>
      </c>
      <c r="B781" s="19">
        <f>IFERROR(__xludf.DUMMYFUNCTION("IFERROR(SPLIT(A781,"",""),"""")"),46427.0)</f>
        <v>46427</v>
      </c>
      <c r="C781" t="str">
        <f>IFERROR(__xludf.DUMMYFUNCTION("""COMPUTED_VALUE"""),"Sacramento Kings")</f>
        <v>Sacramento Kings</v>
      </c>
      <c r="D781" t="str">
        <f>IFERROR(__xludf.DUMMYFUNCTION("""COMPUTED_VALUE"""),"Milwaukee Bucks")</f>
        <v>Milwaukee Bucks</v>
      </c>
    </row>
    <row r="782">
      <c r="A782" s="17" t="s">
        <v>870</v>
      </c>
      <c r="B782" s="19">
        <f>IFERROR(__xludf.DUMMYFUNCTION("IFERROR(SPLIT(A782,"",""),"""")"),46427.0)</f>
        <v>46427</v>
      </c>
      <c r="C782" t="str">
        <f>IFERROR(__xludf.DUMMYFUNCTION("""COMPUTED_VALUE"""),"Portland Trail Blazers")</f>
        <v>Portland Trail Blazers</v>
      </c>
      <c r="D782" t="str">
        <f>IFERROR(__xludf.DUMMYFUNCTION("""COMPUTED_VALUE"""),"Oklahoma City Thunder")</f>
        <v>Oklahoma City Thunder</v>
      </c>
    </row>
    <row r="783">
      <c r="A783" s="17" t="s">
        <v>871</v>
      </c>
      <c r="B783" s="19">
        <f>IFERROR(__xludf.DUMMYFUNCTION("IFERROR(SPLIT(A783,"",""),"""")"),46427.0)</f>
        <v>46427</v>
      </c>
      <c r="C783" t="str">
        <f>IFERROR(__xludf.DUMMYFUNCTION("""COMPUTED_VALUE"""),"Houston Rockets")</f>
        <v>Houston Rockets</v>
      </c>
      <c r="D783" t="str">
        <f>IFERROR(__xludf.DUMMYFUNCTION("""COMPUTED_VALUE"""),"Utah Jazz")</f>
        <v>Utah Jazz</v>
      </c>
    </row>
    <row r="784">
      <c r="A784" s="17" t="s">
        <v>872</v>
      </c>
      <c r="B784" s="19">
        <f>IFERROR(__xludf.DUMMYFUNCTION("IFERROR(SPLIT(A784,"",""),"""")"),46427.0)</f>
        <v>46427</v>
      </c>
      <c r="C784" t="str">
        <f>IFERROR(__xludf.DUMMYFUNCTION("""COMPUTED_VALUE"""),"Detroit Pistons")</f>
        <v>Detroit Pistons</v>
      </c>
      <c r="D784" t="str">
        <f>IFERROR(__xludf.DUMMYFUNCTION("""COMPUTED_VALUE"""),"Los Angeles Clippers")</f>
        <v>Los Angeles Clippers</v>
      </c>
    </row>
    <row r="785">
      <c r="A785" s="17" t="s">
        <v>873</v>
      </c>
      <c r="B785" s="19">
        <f>IFERROR(__xludf.DUMMYFUNCTION("IFERROR(SPLIT(A785,"",""),"""")"),46428.0)</f>
        <v>46428</v>
      </c>
      <c r="C785" t="str">
        <f>IFERROR(__xludf.DUMMYFUNCTION("""COMPUTED_VALUE"""),"New Orleans Pelicans")</f>
        <v>New Orleans Pelicans</v>
      </c>
      <c r="D785" t="str">
        <f>IFERROR(__xludf.DUMMYFUNCTION("""COMPUTED_VALUE"""),"Atlanta Hawks")</f>
        <v>Atlanta Hawks</v>
      </c>
    </row>
    <row r="786">
      <c r="A786" s="17" t="s">
        <v>874</v>
      </c>
      <c r="B786" s="19">
        <f>IFERROR(__xludf.DUMMYFUNCTION("IFERROR(SPLIT(A786,"",""),"""")"),46428.0)</f>
        <v>46428</v>
      </c>
      <c r="C786" t="str">
        <f>IFERROR(__xludf.DUMMYFUNCTION("""COMPUTED_VALUE"""),"Cleveland Cavaliers")</f>
        <v>Cleveland Cavaliers</v>
      </c>
      <c r="D786" t="str">
        <f>IFERROR(__xludf.DUMMYFUNCTION("""COMPUTED_VALUE"""),"Indiana Pacers")</f>
        <v>Indiana Pacers</v>
      </c>
    </row>
    <row r="787">
      <c r="A787" s="17" t="s">
        <v>875</v>
      </c>
      <c r="B787" s="19">
        <f>IFERROR(__xludf.DUMMYFUNCTION("IFERROR(SPLIT(A787,"",""),"""")"),46428.0)</f>
        <v>46428</v>
      </c>
      <c r="C787" t="str">
        <f>IFERROR(__xludf.DUMMYFUNCTION("""COMPUTED_VALUE"""),"Miami Heat")</f>
        <v>Miami Heat</v>
      </c>
      <c r="D787" t="str">
        <f>IFERROR(__xludf.DUMMYFUNCTION("""COMPUTED_VALUE"""),"Washington Wizards")</f>
        <v>Washington Wizards</v>
      </c>
    </row>
    <row r="788">
      <c r="A788" s="17" t="s">
        <v>876</v>
      </c>
      <c r="B788" s="19">
        <f>IFERROR(__xludf.DUMMYFUNCTION("IFERROR(SPLIT(A788,"",""),"""")"),46428.0)</f>
        <v>46428</v>
      </c>
      <c r="C788" t="str">
        <f>IFERROR(__xludf.DUMMYFUNCTION("""COMPUTED_VALUE"""),"Golden State Warriors")</f>
        <v>Golden State Warriors</v>
      </c>
      <c r="D788" t="str">
        <f>IFERROR(__xludf.DUMMYFUNCTION("""COMPUTED_VALUE"""),"Boston Celtics")</f>
        <v>Boston Celtics</v>
      </c>
    </row>
    <row r="789">
      <c r="A789" s="17" t="s">
        <v>877</v>
      </c>
      <c r="B789" s="19">
        <f>IFERROR(__xludf.DUMMYFUNCTION("IFERROR(SPLIT(A789,"",""),"""")"),46428.0)</f>
        <v>46428</v>
      </c>
      <c r="C789" t="str">
        <f>IFERROR(__xludf.DUMMYFUNCTION("""COMPUTED_VALUE"""),"Orlando Magic")</f>
        <v>Orlando Magic</v>
      </c>
      <c r="D789" t="str">
        <f>IFERROR(__xludf.DUMMYFUNCTION("""COMPUTED_VALUE"""),"Memphis Grizzlies")</f>
        <v>Memphis Grizzlies</v>
      </c>
    </row>
    <row r="790">
      <c r="A790" s="17" t="s">
        <v>878</v>
      </c>
      <c r="B790" s="19">
        <f>IFERROR(__xludf.DUMMYFUNCTION("IFERROR(SPLIT(A790,"",""),"""")"),46428.0)</f>
        <v>46428</v>
      </c>
      <c r="C790" t="str">
        <f>IFERROR(__xludf.DUMMYFUNCTION("""COMPUTED_VALUE"""),"Detroit Pistons")</f>
        <v>Detroit Pistons</v>
      </c>
      <c r="D790" t="str">
        <f>IFERROR(__xludf.DUMMYFUNCTION("""COMPUTED_VALUE"""),"Phoenix Suns")</f>
        <v>Phoenix Suns</v>
      </c>
    </row>
    <row r="791">
      <c r="A791" s="17" t="s">
        <v>879</v>
      </c>
      <c r="B791" s="19">
        <f>IFERROR(__xludf.DUMMYFUNCTION("IFERROR(SPLIT(A791,"",""),"""")"),46428.0)</f>
        <v>46428</v>
      </c>
      <c r="C791" t="str">
        <f>IFERROR(__xludf.DUMMYFUNCTION("""COMPUTED_VALUE"""),"Los Angeles Clippers")</f>
        <v>Los Angeles Clippers</v>
      </c>
      <c r="D791" t="str">
        <f>IFERROR(__xludf.DUMMYFUNCTION("""COMPUTED_VALUE"""),"Los Angeles Lakers")</f>
        <v>Los Angeles Lakers</v>
      </c>
    </row>
    <row r="792">
      <c r="A792" s="17" t="s">
        <v>880</v>
      </c>
      <c r="B792" s="19">
        <f>IFERROR(__xludf.DUMMYFUNCTION("IFERROR(SPLIT(A792,"",""),"""")"),46429.0)</f>
        <v>46429</v>
      </c>
      <c r="C792" t="str">
        <f>IFERROR(__xludf.DUMMYFUNCTION("""COMPUTED_VALUE"""),"Milwaukee Bucks")</f>
        <v>Milwaukee Bucks</v>
      </c>
      <c r="D792" t="str">
        <f>IFERROR(__xludf.DUMMYFUNCTION("""COMPUTED_VALUE"""),"Charlotte Hornets")</f>
        <v>Charlotte Hornets</v>
      </c>
    </row>
    <row r="793">
      <c r="A793" s="17" t="s">
        <v>881</v>
      </c>
      <c r="B793" s="19">
        <f>IFERROR(__xludf.DUMMYFUNCTION("IFERROR(SPLIT(A793,"",""),"""")"),46429.0)</f>
        <v>46429</v>
      </c>
      <c r="C793" t="str">
        <f>IFERROR(__xludf.DUMMYFUNCTION("""COMPUTED_VALUE"""),"Utah Jazz")</f>
        <v>Utah Jazz</v>
      </c>
      <c r="D793" t="str">
        <f>IFERROR(__xludf.DUMMYFUNCTION("""COMPUTED_VALUE"""),"Indiana Pacers")</f>
        <v>Indiana Pacers</v>
      </c>
    </row>
    <row r="794">
      <c r="A794" s="17" t="s">
        <v>882</v>
      </c>
      <c r="B794" s="19">
        <f>IFERROR(__xludf.DUMMYFUNCTION("IFERROR(SPLIT(A794,"",""),"""")"),46429.0)</f>
        <v>46429</v>
      </c>
      <c r="C794" t="str">
        <f>IFERROR(__xludf.DUMMYFUNCTION("""COMPUTED_VALUE"""),"New York Knicks")</f>
        <v>New York Knicks</v>
      </c>
      <c r="D794" t="str">
        <f>IFERROR(__xludf.DUMMYFUNCTION("""COMPUTED_VALUE"""),"Philadelphia 76ers")</f>
        <v>Philadelphia 76ers</v>
      </c>
    </row>
    <row r="795">
      <c r="A795" s="17" t="s">
        <v>883</v>
      </c>
      <c r="B795" s="19">
        <f>IFERROR(__xludf.DUMMYFUNCTION("IFERROR(SPLIT(A795,"",""),"""")"),46429.0)</f>
        <v>46429</v>
      </c>
      <c r="C795" t="str">
        <f>IFERROR(__xludf.DUMMYFUNCTION("""COMPUTED_VALUE"""),"Portland Trail Blazers")</f>
        <v>Portland Trail Blazers</v>
      </c>
      <c r="D795" t="str">
        <f>IFERROR(__xludf.DUMMYFUNCTION("""COMPUTED_VALUE"""),"Dallas Mavericks")</f>
        <v>Dallas Mavericks</v>
      </c>
    </row>
    <row r="796">
      <c r="A796" s="17" t="s">
        <v>884</v>
      </c>
      <c r="B796" s="19">
        <f>IFERROR(__xludf.DUMMYFUNCTION("IFERROR(SPLIT(A796,"",""),"""")"),46429.0)</f>
        <v>46429</v>
      </c>
      <c r="C796" t="str">
        <f>IFERROR(__xludf.DUMMYFUNCTION("""COMPUTED_VALUE"""),"Sacramento Kings")</f>
        <v>Sacramento Kings</v>
      </c>
      <c r="D796" t="str">
        <f>IFERROR(__xludf.DUMMYFUNCTION("""COMPUTED_VALUE"""),"Houston Rockets")</f>
        <v>Houston Rockets</v>
      </c>
    </row>
    <row r="797">
      <c r="A797" s="17" t="s">
        <v>885</v>
      </c>
      <c r="B797" s="19">
        <f>IFERROR(__xludf.DUMMYFUNCTION("IFERROR(SPLIT(A797,"",""),"""")"),46429.0)</f>
        <v>46429</v>
      </c>
      <c r="C797" t="str">
        <f>IFERROR(__xludf.DUMMYFUNCTION("""COMPUTED_VALUE"""),"Chicago Bulls")</f>
        <v>Chicago Bulls</v>
      </c>
      <c r="D797" t="str">
        <f>IFERROR(__xludf.DUMMYFUNCTION("""COMPUTED_VALUE"""),"Denver Nuggets")</f>
        <v>Denver Nuggets</v>
      </c>
    </row>
    <row r="798">
      <c r="A798" s="17" t="s">
        <v>886</v>
      </c>
      <c r="B798" s="19">
        <f>IFERROR(__xludf.DUMMYFUNCTION("IFERROR(SPLIT(A798,"",""),"""")"),46429.0)</f>
        <v>46429</v>
      </c>
      <c r="C798" t="str">
        <f>IFERROR(__xludf.DUMMYFUNCTION("""COMPUTED_VALUE"""),"San Antonio Spurs")</f>
        <v>San Antonio Spurs</v>
      </c>
      <c r="D798" t="str">
        <f>IFERROR(__xludf.DUMMYFUNCTION("""COMPUTED_VALUE"""),"Oklahoma City Thunder")</f>
        <v>Oklahoma City Thunder</v>
      </c>
    </row>
    <row r="799">
      <c r="A799" s="17" t="s">
        <v>887</v>
      </c>
      <c r="B799" s="19">
        <f>IFERROR(__xludf.DUMMYFUNCTION("IFERROR(SPLIT(A799,"",""),"""")"),46430.0)</f>
        <v>46430</v>
      </c>
      <c r="C799" t="str">
        <f>IFERROR(__xludf.DUMMYFUNCTION("""COMPUTED_VALUE"""),"Phoenix Suns")</f>
        <v>Phoenix Suns</v>
      </c>
      <c r="D799" t="str">
        <f>IFERROR(__xludf.DUMMYFUNCTION("""COMPUTED_VALUE"""),"Atlanta Hawks")</f>
        <v>Atlanta Hawks</v>
      </c>
    </row>
    <row r="800">
      <c r="A800" s="17" t="s">
        <v>888</v>
      </c>
      <c r="B800" s="19">
        <f>IFERROR(__xludf.DUMMYFUNCTION("IFERROR(SPLIT(A800,"",""),"""")"),46430.0)</f>
        <v>46430</v>
      </c>
      <c r="C800" t="str">
        <f>IFERROR(__xludf.DUMMYFUNCTION("""COMPUTED_VALUE"""),"Miami Heat")</f>
        <v>Miami Heat</v>
      </c>
      <c r="D800" t="str">
        <f>IFERROR(__xludf.DUMMYFUNCTION("""COMPUTED_VALUE"""),"Orlando Magic")</f>
        <v>Orlando Magic</v>
      </c>
    </row>
    <row r="801">
      <c r="A801" s="17" t="s">
        <v>889</v>
      </c>
      <c r="B801" s="19">
        <f>IFERROR(__xludf.DUMMYFUNCTION("IFERROR(SPLIT(A801,"",""),"""")"),46430.0)</f>
        <v>46430</v>
      </c>
      <c r="C801" t="str">
        <f>IFERROR(__xludf.DUMMYFUNCTION("""COMPUTED_VALUE"""),"Brooklyn Nets")</f>
        <v>Brooklyn Nets</v>
      </c>
      <c r="D801" t="str">
        <f>IFERROR(__xludf.DUMMYFUNCTION("""COMPUTED_VALUE"""),"Washington Wizards")</f>
        <v>Washington Wizards</v>
      </c>
    </row>
    <row r="802">
      <c r="A802" s="17" t="s">
        <v>890</v>
      </c>
      <c r="B802" s="19">
        <f>IFERROR(__xludf.DUMMYFUNCTION("IFERROR(SPLIT(A802,"",""),"""")"),46430.0)</f>
        <v>46430</v>
      </c>
      <c r="C802" t="str">
        <f>IFERROR(__xludf.DUMMYFUNCTION("""COMPUTED_VALUE"""),"Cleveland Cavaliers")</f>
        <v>Cleveland Cavaliers</v>
      </c>
      <c r="D802" t="str">
        <f>IFERROR(__xludf.DUMMYFUNCTION("""COMPUTED_VALUE"""),"Toronto Raptors")</f>
        <v>Toronto Raptors</v>
      </c>
    </row>
    <row r="803">
      <c r="A803" s="17" t="s">
        <v>891</v>
      </c>
      <c r="B803" s="19">
        <f>IFERROR(__xludf.DUMMYFUNCTION("IFERROR(SPLIT(A803,"",""),"""")"),46430.0)</f>
        <v>46430</v>
      </c>
      <c r="C803" t="str">
        <f>IFERROR(__xludf.DUMMYFUNCTION("""COMPUTED_VALUE"""),"Minnesota Timberwolves")</f>
        <v>Minnesota Timberwolves</v>
      </c>
      <c r="D803" t="str">
        <f>IFERROR(__xludf.DUMMYFUNCTION("""COMPUTED_VALUE"""),"Boston Celtics")</f>
        <v>Boston Celtics</v>
      </c>
    </row>
    <row r="804">
      <c r="A804" s="17" t="s">
        <v>892</v>
      </c>
      <c r="B804" s="19">
        <f>IFERROR(__xludf.DUMMYFUNCTION("IFERROR(SPLIT(A804,"",""),"""")"),46430.0)</f>
        <v>46430</v>
      </c>
      <c r="C804" t="str">
        <f>IFERROR(__xludf.DUMMYFUNCTION("""COMPUTED_VALUE"""),"Los Angeles Clippers")</f>
        <v>Los Angeles Clippers</v>
      </c>
      <c r="D804" t="str">
        <f>IFERROR(__xludf.DUMMYFUNCTION("""COMPUTED_VALUE"""),"Memphis Grizzlies")</f>
        <v>Memphis Grizzlies</v>
      </c>
    </row>
    <row r="805">
      <c r="A805" s="17" t="s">
        <v>893</v>
      </c>
      <c r="B805" s="19">
        <f>IFERROR(__xludf.DUMMYFUNCTION("IFERROR(SPLIT(A805,"",""),"""")"),46430.0)</f>
        <v>46430</v>
      </c>
      <c r="C805" t="str">
        <f>IFERROR(__xludf.DUMMYFUNCTION("""COMPUTED_VALUE"""),"Houston Rockets")</f>
        <v>Houston Rockets</v>
      </c>
      <c r="D805" t="str">
        <f>IFERROR(__xludf.DUMMYFUNCTION("""COMPUTED_VALUE"""),"New Orleans Pelicans")</f>
        <v>New Orleans Pelicans</v>
      </c>
    </row>
    <row r="806">
      <c r="A806" s="17" t="s">
        <v>894</v>
      </c>
      <c r="B806" s="19">
        <f>IFERROR(__xludf.DUMMYFUNCTION("IFERROR(SPLIT(A806,"",""),"""")"),46430.0)</f>
        <v>46430</v>
      </c>
      <c r="C806" t="str">
        <f>IFERROR(__xludf.DUMMYFUNCTION("""COMPUTED_VALUE"""),"Denver Nuggets")</f>
        <v>Denver Nuggets</v>
      </c>
      <c r="D806" t="str">
        <f>IFERROR(__xludf.DUMMYFUNCTION("""COMPUTED_VALUE"""),"Los Angeles Lakers")</f>
        <v>Los Angeles Lakers</v>
      </c>
    </row>
    <row r="807">
      <c r="A807" s="17" t="s">
        <v>895</v>
      </c>
      <c r="B807" s="19">
        <f>IFERROR(__xludf.DUMMYFUNCTION("IFERROR(SPLIT(A807,"",""),"""")"),46431.0)</f>
        <v>46431</v>
      </c>
      <c r="C807" t="str">
        <f>IFERROR(__xludf.DUMMYFUNCTION("""COMPUTED_VALUE"""),"Sacramento Kings")</f>
        <v>Sacramento Kings</v>
      </c>
      <c r="D807" t="str">
        <f>IFERROR(__xludf.DUMMYFUNCTION("""COMPUTED_VALUE"""),"Indiana Pacers")</f>
        <v>Indiana Pacers</v>
      </c>
    </row>
    <row r="808">
      <c r="A808" s="17" t="s">
        <v>896</v>
      </c>
      <c r="B808" s="19">
        <f>IFERROR(__xludf.DUMMYFUNCTION("IFERROR(SPLIT(A808,"",""),"""")"),46431.0)</f>
        <v>46431</v>
      </c>
      <c r="C808" t="str">
        <f>IFERROR(__xludf.DUMMYFUNCTION("""COMPUTED_VALUE"""),"Dallas Mavericks")</f>
        <v>Dallas Mavericks</v>
      </c>
      <c r="D808" t="str">
        <f>IFERROR(__xludf.DUMMYFUNCTION("""COMPUTED_VALUE"""),"Charlotte Hornets")</f>
        <v>Charlotte Hornets</v>
      </c>
    </row>
    <row r="809">
      <c r="A809" s="17" t="s">
        <v>897</v>
      </c>
      <c r="B809" s="19">
        <f>IFERROR(__xludf.DUMMYFUNCTION("IFERROR(SPLIT(A809,"",""),"""")"),46431.0)</f>
        <v>46431</v>
      </c>
      <c r="C809" t="str">
        <f>IFERROR(__xludf.DUMMYFUNCTION("""COMPUTED_VALUE"""),"Detroit Pistons")</f>
        <v>Detroit Pistons</v>
      </c>
      <c r="D809" t="str">
        <f>IFERROR(__xludf.DUMMYFUNCTION("""COMPUTED_VALUE"""),"Portland Trail Blazers")</f>
        <v>Portland Trail Blazers</v>
      </c>
    </row>
    <row r="810">
      <c r="A810" s="17" t="s">
        <v>898</v>
      </c>
      <c r="B810" s="19">
        <f>IFERROR(__xludf.DUMMYFUNCTION("IFERROR(SPLIT(A810,"",""),"""")"),46431.0)</f>
        <v>46431</v>
      </c>
      <c r="C810" t="str">
        <f>IFERROR(__xludf.DUMMYFUNCTION("""COMPUTED_VALUE"""),"Philadelphia 76ers")</f>
        <v>Philadelphia 76ers</v>
      </c>
      <c r="D810" t="str">
        <f>IFERROR(__xludf.DUMMYFUNCTION("""COMPUTED_VALUE"""),"Oklahoma City Thunder")</f>
        <v>Oklahoma City Thunder</v>
      </c>
    </row>
    <row r="811">
      <c r="A811" s="17" t="s">
        <v>899</v>
      </c>
      <c r="B811" s="19">
        <f>IFERROR(__xludf.DUMMYFUNCTION("IFERROR(SPLIT(A811,"",""),"""")"),46431.0)</f>
        <v>46431</v>
      </c>
      <c r="C811" t="str">
        <f>IFERROR(__xludf.DUMMYFUNCTION("""COMPUTED_VALUE"""),"San Antonio Spurs")</f>
        <v>San Antonio Spurs</v>
      </c>
      <c r="D811" t="str">
        <f>IFERROR(__xludf.DUMMYFUNCTION("""COMPUTED_VALUE"""),"Orlando Magic")</f>
        <v>Orlando Magic</v>
      </c>
    </row>
    <row r="812">
      <c r="A812" s="17" t="s">
        <v>900</v>
      </c>
      <c r="B812" s="19">
        <f>IFERROR(__xludf.DUMMYFUNCTION("IFERROR(SPLIT(A812,"",""),"""")"),46431.0)</f>
        <v>46431</v>
      </c>
      <c r="C812" t="str">
        <f>IFERROR(__xludf.DUMMYFUNCTION("""COMPUTED_VALUE"""),"Milwaukee Bucks")</f>
        <v>Milwaukee Bucks</v>
      </c>
      <c r="D812" t="str">
        <f>IFERROR(__xludf.DUMMYFUNCTION("""COMPUTED_VALUE"""),"Washington Wizards")</f>
        <v>Washington Wizards</v>
      </c>
    </row>
    <row r="813">
      <c r="A813" s="17" t="s">
        <v>901</v>
      </c>
      <c r="B813" s="19">
        <f>IFERROR(__xludf.DUMMYFUNCTION("IFERROR(SPLIT(A813,"",""),"""")"),46431.0)</f>
        <v>46431</v>
      </c>
      <c r="C813" t="str">
        <f>IFERROR(__xludf.DUMMYFUNCTION("""COMPUTED_VALUE"""),"Golden State Warriors")</f>
        <v>Golden State Warriors</v>
      </c>
      <c r="D813" t="str">
        <f>IFERROR(__xludf.DUMMYFUNCTION("""COMPUTED_VALUE"""),"New York Knicks")</f>
        <v>New York Knicks</v>
      </c>
    </row>
    <row r="814">
      <c r="A814" s="17" t="s">
        <v>902</v>
      </c>
      <c r="B814" s="19">
        <f>IFERROR(__xludf.DUMMYFUNCTION("IFERROR(SPLIT(A814,"",""),"""")"),46432.0)</f>
        <v>46432</v>
      </c>
      <c r="C814" t="str">
        <f>IFERROR(__xludf.DUMMYFUNCTION("""COMPUTED_VALUE"""),"Sacramento Kings")</f>
        <v>Sacramento Kings</v>
      </c>
      <c r="D814" t="str">
        <f>IFERROR(__xludf.DUMMYFUNCTION("""COMPUTED_VALUE"""),"Atlanta Hawks")</f>
        <v>Atlanta Hawks</v>
      </c>
    </row>
    <row r="815">
      <c r="A815" s="17" t="s">
        <v>903</v>
      </c>
      <c r="B815" s="19">
        <f>IFERROR(__xludf.DUMMYFUNCTION("IFERROR(SPLIT(A815,"",""),"""")"),46432.0)</f>
        <v>46432</v>
      </c>
      <c r="C815" t="str">
        <f>IFERROR(__xludf.DUMMYFUNCTION("""COMPUTED_VALUE"""),"Toronto Raptors")</f>
        <v>Toronto Raptors</v>
      </c>
      <c r="D815" t="str">
        <f>IFERROR(__xludf.DUMMYFUNCTION("""COMPUTED_VALUE"""),"Boston Celtics")</f>
        <v>Boston Celtics</v>
      </c>
    </row>
    <row r="816">
      <c r="A816" s="17" t="s">
        <v>904</v>
      </c>
      <c r="B816" s="19">
        <f>IFERROR(__xludf.DUMMYFUNCTION("IFERROR(SPLIT(A816,"",""),"""")"),46432.0)</f>
        <v>46432</v>
      </c>
      <c r="C816" t="str">
        <f>IFERROR(__xludf.DUMMYFUNCTION("""COMPUTED_VALUE"""),"Phoenix Suns")</f>
        <v>Phoenix Suns</v>
      </c>
      <c r="D816" t="str">
        <f>IFERROR(__xludf.DUMMYFUNCTION("""COMPUTED_VALUE"""),"Cleveland Cavaliers")</f>
        <v>Cleveland Cavaliers</v>
      </c>
    </row>
    <row r="817">
      <c r="A817" s="17" t="s">
        <v>905</v>
      </c>
      <c r="B817" s="19">
        <f>IFERROR(__xludf.DUMMYFUNCTION("IFERROR(SPLIT(A817,"",""),"""")"),46432.0)</f>
        <v>46432</v>
      </c>
      <c r="C817" t="str">
        <f>IFERROR(__xludf.DUMMYFUNCTION("""COMPUTED_VALUE"""),"Brooklyn Nets")</f>
        <v>Brooklyn Nets</v>
      </c>
      <c r="D817" t="str">
        <f>IFERROR(__xludf.DUMMYFUNCTION("""COMPUTED_VALUE"""),"Miami Heat")</f>
        <v>Miami Heat</v>
      </c>
    </row>
    <row r="818">
      <c r="A818" s="17" t="s">
        <v>906</v>
      </c>
      <c r="B818" s="19">
        <f>IFERROR(__xludf.DUMMYFUNCTION("IFERROR(SPLIT(A818,"",""),"""")"),46432.0)</f>
        <v>46432</v>
      </c>
      <c r="C818" t="str">
        <f>IFERROR(__xludf.DUMMYFUNCTION("""COMPUTED_VALUE"""),"Denver Nuggets")</f>
        <v>Denver Nuggets</v>
      </c>
      <c r="D818" t="str">
        <f>IFERROR(__xludf.DUMMYFUNCTION("""COMPUTED_VALUE"""),"Houston Rockets")</f>
        <v>Houston Rockets</v>
      </c>
    </row>
    <row r="819">
      <c r="A819" s="17" t="s">
        <v>907</v>
      </c>
      <c r="B819" s="19">
        <f>IFERROR(__xludf.DUMMYFUNCTION("IFERROR(SPLIT(A819,"",""),"""")"),46432.0)</f>
        <v>46432</v>
      </c>
      <c r="C819" t="str">
        <f>IFERROR(__xludf.DUMMYFUNCTION("""COMPUTED_VALUE"""),"Los Angeles Clippers")</f>
        <v>Los Angeles Clippers</v>
      </c>
      <c r="D819" t="str">
        <f>IFERROR(__xludf.DUMMYFUNCTION("""COMPUTED_VALUE"""),"New Orleans Pelicans")</f>
        <v>New Orleans Pelicans</v>
      </c>
    </row>
    <row r="820">
      <c r="A820" s="17" t="s">
        <v>908</v>
      </c>
      <c r="B820" s="19">
        <f>IFERROR(__xludf.DUMMYFUNCTION("IFERROR(SPLIT(A820,"",""),"""")"),46432.0)</f>
        <v>46432</v>
      </c>
      <c r="C820" t="str">
        <f>IFERROR(__xludf.DUMMYFUNCTION("""COMPUTED_VALUE"""),"Chicago Bulls")</f>
        <v>Chicago Bulls</v>
      </c>
      <c r="D820" t="str">
        <f>IFERROR(__xludf.DUMMYFUNCTION("""COMPUTED_VALUE"""),"Portland Trail Blazers")</f>
        <v>Portland Trail Blazers</v>
      </c>
    </row>
    <row r="821">
      <c r="A821" s="17" t="s">
        <v>909</v>
      </c>
      <c r="B821" s="19">
        <f>IFERROR(__xludf.DUMMYFUNCTION("IFERROR(SPLIT(A821,"",""),"""")"),46433.0)</f>
        <v>46433</v>
      </c>
      <c r="C821" t="str">
        <f>IFERROR(__xludf.DUMMYFUNCTION("""COMPUTED_VALUE"""),"Minnesota Timberwolves")</f>
        <v>Minnesota Timberwolves</v>
      </c>
      <c r="D821" t="str">
        <f>IFERROR(__xludf.DUMMYFUNCTION("""COMPUTED_VALUE"""),"Charlotte Hornets")</f>
        <v>Charlotte Hornets</v>
      </c>
    </row>
    <row r="822">
      <c r="A822" s="17" t="s">
        <v>910</v>
      </c>
      <c r="B822" s="19">
        <f>IFERROR(__xludf.DUMMYFUNCTION("IFERROR(SPLIT(A822,"",""),"""")"),46433.0)</f>
        <v>46433</v>
      </c>
      <c r="C822" t="str">
        <f>IFERROR(__xludf.DUMMYFUNCTION("""COMPUTED_VALUE"""),"Philadelphia 76ers")</f>
        <v>Philadelphia 76ers</v>
      </c>
      <c r="D822" t="str">
        <f>IFERROR(__xludf.DUMMYFUNCTION("""COMPUTED_VALUE"""),"Dallas Mavericks")</f>
        <v>Dallas Mavericks</v>
      </c>
    </row>
    <row r="823">
      <c r="A823" s="17" t="s">
        <v>911</v>
      </c>
      <c r="B823" s="19">
        <f>IFERROR(__xludf.DUMMYFUNCTION("IFERROR(SPLIT(A823,"",""),"""")"),46433.0)</f>
        <v>46433</v>
      </c>
      <c r="C823" t="str">
        <f>IFERROR(__xludf.DUMMYFUNCTION("""COMPUTED_VALUE"""),"San Antonio Spurs")</f>
        <v>San Antonio Spurs</v>
      </c>
      <c r="D823" t="str">
        <f>IFERROR(__xludf.DUMMYFUNCTION("""COMPUTED_VALUE"""),"Miami Heat")</f>
        <v>Miami Heat</v>
      </c>
    </row>
    <row r="824">
      <c r="A824" s="17" t="s">
        <v>912</v>
      </c>
      <c r="B824" s="19">
        <f>IFERROR(__xludf.DUMMYFUNCTION("IFERROR(SPLIT(A824,"",""),"""")"),46433.0)</f>
        <v>46433</v>
      </c>
      <c r="C824" t="str">
        <f>IFERROR(__xludf.DUMMYFUNCTION("""COMPUTED_VALUE"""),"Phoenix Suns")</f>
        <v>Phoenix Suns</v>
      </c>
      <c r="D824" t="str">
        <f>IFERROR(__xludf.DUMMYFUNCTION("""COMPUTED_VALUE"""),"Washington Wizards")</f>
        <v>Washington Wizards</v>
      </c>
    </row>
    <row r="825">
      <c r="A825" s="17" t="s">
        <v>913</v>
      </c>
      <c r="B825" s="19">
        <f>IFERROR(__xludf.DUMMYFUNCTION("IFERROR(SPLIT(A825,"",""),"""")"),46433.0)</f>
        <v>46433</v>
      </c>
      <c r="C825" t="str">
        <f>IFERROR(__xludf.DUMMYFUNCTION("""COMPUTED_VALUE"""),"Indiana Pacers")</f>
        <v>Indiana Pacers</v>
      </c>
      <c r="D825" t="str">
        <f>IFERROR(__xludf.DUMMYFUNCTION("""COMPUTED_VALUE"""),"Golden State Warriors")</f>
        <v>Golden State Warriors</v>
      </c>
    </row>
    <row r="826">
      <c r="A826" s="17" t="s">
        <v>914</v>
      </c>
      <c r="B826" s="19">
        <f>IFERROR(__xludf.DUMMYFUNCTION("IFERROR(SPLIT(A826,"",""),"""")"),46433.0)</f>
        <v>46433</v>
      </c>
      <c r="C826" t="str">
        <f>IFERROR(__xludf.DUMMYFUNCTION("""COMPUTED_VALUE"""),"New York Knicks")</f>
        <v>New York Knicks</v>
      </c>
      <c r="D826" t="str">
        <f>IFERROR(__xludf.DUMMYFUNCTION("""COMPUTED_VALUE"""),"Memphis Grizzlies")</f>
        <v>Memphis Grizzlies</v>
      </c>
    </row>
    <row r="827">
      <c r="A827" s="17" t="s">
        <v>915</v>
      </c>
      <c r="B827" s="19">
        <f>IFERROR(__xludf.DUMMYFUNCTION("IFERROR(SPLIT(A827,"",""),"""")"),46433.0)</f>
        <v>46433</v>
      </c>
      <c r="C827" t="str">
        <f>IFERROR(__xludf.DUMMYFUNCTION("""COMPUTED_VALUE"""),"Orlando Magic")</f>
        <v>Orlando Magic</v>
      </c>
      <c r="D827" t="str">
        <f>IFERROR(__xludf.DUMMYFUNCTION("""COMPUTED_VALUE"""),"Oklahoma City Thunder")</f>
        <v>Oklahoma City Thunder</v>
      </c>
    </row>
    <row r="828">
      <c r="A828" s="17" t="s">
        <v>916</v>
      </c>
      <c r="B828" s="19">
        <f>IFERROR(__xludf.DUMMYFUNCTION("IFERROR(SPLIT(A828,"",""),"""")"),46433.0)</f>
        <v>46433</v>
      </c>
      <c r="C828" t="str">
        <f>IFERROR(__xludf.DUMMYFUNCTION("""COMPUTED_VALUE"""),"Detroit Pistons")</f>
        <v>Detroit Pistons</v>
      </c>
      <c r="D828" t="str">
        <f>IFERROR(__xludf.DUMMYFUNCTION("""COMPUTED_VALUE"""),"Utah Jazz")</f>
        <v>Utah Jazz</v>
      </c>
    </row>
    <row r="829">
      <c r="A829" s="17" t="s">
        <v>917</v>
      </c>
      <c r="B829" s="19">
        <f>IFERROR(__xludf.DUMMYFUNCTION("IFERROR(SPLIT(A829,"",""),"""")"),46434.0)</f>
        <v>46434</v>
      </c>
      <c r="C829" t="str">
        <f>IFERROR(__xludf.DUMMYFUNCTION("""COMPUTED_VALUE"""),"Milwaukee Bucks")</f>
        <v>Milwaukee Bucks</v>
      </c>
      <c r="D829" t="str">
        <f>IFERROR(__xludf.DUMMYFUNCTION("""COMPUTED_VALUE"""),"Cleveland Cavaliers")</f>
        <v>Cleveland Cavaliers</v>
      </c>
    </row>
    <row r="830">
      <c r="A830" s="17" t="s">
        <v>918</v>
      </c>
      <c r="B830" s="19">
        <f>IFERROR(__xludf.DUMMYFUNCTION("IFERROR(SPLIT(A830,"",""),"""")"),46434.0)</f>
        <v>46434</v>
      </c>
      <c r="C830" t="str">
        <f>IFERROR(__xludf.DUMMYFUNCTION("""COMPUTED_VALUE"""),"Toronto Raptors")</f>
        <v>Toronto Raptors</v>
      </c>
      <c r="D830" t="str">
        <f>IFERROR(__xludf.DUMMYFUNCTION("""COMPUTED_VALUE"""),"Atlanta Hawks")</f>
        <v>Atlanta Hawks</v>
      </c>
    </row>
    <row r="831">
      <c r="A831" s="17" t="s">
        <v>919</v>
      </c>
      <c r="B831" s="19">
        <f>IFERROR(__xludf.DUMMYFUNCTION("IFERROR(SPLIT(A831,"",""),"""")"),46434.0)</f>
        <v>46434</v>
      </c>
      <c r="C831" t="str">
        <f>IFERROR(__xludf.DUMMYFUNCTION("""COMPUTED_VALUE"""),"Chicago Bulls")</f>
        <v>Chicago Bulls</v>
      </c>
      <c r="D831" t="str">
        <f>IFERROR(__xludf.DUMMYFUNCTION("""COMPUTED_VALUE"""),"Los Angeles Lakers")</f>
        <v>Los Angeles Lakers</v>
      </c>
    </row>
    <row r="832">
      <c r="A832" s="17" t="s">
        <v>920</v>
      </c>
      <c r="B832" s="19">
        <f>IFERROR(__xludf.DUMMYFUNCTION("IFERROR(SPLIT(A832,"",""),"""")"),46434.0)</f>
        <v>46434</v>
      </c>
      <c r="C832" t="str">
        <f>IFERROR(__xludf.DUMMYFUNCTION("""COMPUTED_VALUE"""),"New Orleans Pelicans")</f>
        <v>New Orleans Pelicans</v>
      </c>
      <c r="D832" t="str">
        <f>IFERROR(__xludf.DUMMYFUNCTION("""COMPUTED_VALUE"""),"Portland Trail Blazers")</f>
        <v>Portland Trail Blazers</v>
      </c>
    </row>
    <row r="833">
      <c r="A833" s="17" t="s">
        <v>921</v>
      </c>
      <c r="B833" s="19">
        <f>IFERROR(__xludf.DUMMYFUNCTION("IFERROR(SPLIT(A833,"",""),"""")"),46434.0)</f>
        <v>46434</v>
      </c>
      <c r="C833" t="str">
        <f>IFERROR(__xludf.DUMMYFUNCTION("""COMPUTED_VALUE"""),"Houston Rockets")</f>
        <v>Houston Rockets</v>
      </c>
      <c r="D833" t="str">
        <f>IFERROR(__xludf.DUMMYFUNCTION("""COMPUTED_VALUE"""),"Los Angeles Clippers")</f>
        <v>Los Angeles Clippers</v>
      </c>
    </row>
    <row r="834">
      <c r="A834" s="17" t="s">
        <v>922</v>
      </c>
      <c r="B834" s="19">
        <f>IFERROR(__xludf.DUMMYFUNCTION("IFERROR(SPLIT(A834,"",""),"""")"),46435.0)</f>
        <v>46435</v>
      </c>
      <c r="C834" t="str">
        <f>IFERROR(__xludf.DUMMYFUNCTION("""COMPUTED_VALUE"""),"Toronto Raptors")</f>
        <v>Toronto Raptors</v>
      </c>
      <c r="D834" t="str">
        <f>IFERROR(__xludf.DUMMYFUNCTION("""COMPUTED_VALUE"""),"Charlotte Hornets")</f>
        <v>Charlotte Hornets</v>
      </c>
    </row>
    <row r="835">
      <c r="A835" s="17" t="s">
        <v>923</v>
      </c>
      <c r="B835" s="19">
        <f>IFERROR(__xludf.DUMMYFUNCTION("IFERROR(SPLIT(A835,"",""),"""")"),46435.0)</f>
        <v>46435</v>
      </c>
      <c r="C835" t="str">
        <f>IFERROR(__xludf.DUMMYFUNCTION("""COMPUTED_VALUE"""),"Milwaukee Bucks")</f>
        <v>Milwaukee Bucks</v>
      </c>
      <c r="D835" t="str">
        <f>IFERROR(__xludf.DUMMYFUNCTION("""COMPUTED_VALUE"""),"Cleveland Cavaliers")</f>
        <v>Cleveland Cavaliers</v>
      </c>
    </row>
    <row r="836">
      <c r="A836" s="17" t="s">
        <v>924</v>
      </c>
      <c r="B836" s="19">
        <f>IFERROR(__xludf.DUMMYFUNCTION("IFERROR(SPLIT(A836,"",""),"""")"),46435.0)</f>
        <v>46435</v>
      </c>
      <c r="C836" t="str">
        <f>IFERROR(__xludf.DUMMYFUNCTION("""COMPUTED_VALUE"""),"New York Knicks")</f>
        <v>New York Knicks</v>
      </c>
      <c r="D836" t="str">
        <f>IFERROR(__xludf.DUMMYFUNCTION("""COMPUTED_VALUE"""),"Detroit Pistons")</f>
        <v>Detroit Pistons</v>
      </c>
    </row>
    <row r="837">
      <c r="A837" s="17" t="s">
        <v>925</v>
      </c>
      <c r="B837" s="19">
        <f>IFERROR(__xludf.DUMMYFUNCTION("IFERROR(SPLIT(A837,"",""),"""")"),46435.0)</f>
        <v>46435</v>
      </c>
      <c r="C837" t="str">
        <f>IFERROR(__xludf.DUMMYFUNCTION("""COMPUTED_VALUE"""),"Dallas Mavericks")</f>
        <v>Dallas Mavericks</v>
      </c>
      <c r="D837" t="str">
        <f>IFERROR(__xludf.DUMMYFUNCTION("""COMPUTED_VALUE"""),"Orlando Magic")</f>
        <v>Orlando Magic</v>
      </c>
    </row>
    <row r="838">
      <c r="A838" s="17" t="s">
        <v>926</v>
      </c>
      <c r="B838" s="19">
        <f>IFERROR(__xludf.DUMMYFUNCTION("IFERROR(SPLIT(A838,"",""),"""")"),46435.0)</f>
        <v>46435</v>
      </c>
      <c r="C838" t="str">
        <f>IFERROR(__xludf.DUMMYFUNCTION("""COMPUTED_VALUE"""),"Phoenix Suns")</f>
        <v>Phoenix Suns</v>
      </c>
      <c r="D838" t="str">
        <f>IFERROR(__xludf.DUMMYFUNCTION("""COMPUTED_VALUE"""),"Philadelphia 76ers")</f>
        <v>Philadelphia 76ers</v>
      </c>
    </row>
    <row r="839">
      <c r="A839" s="17" t="s">
        <v>927</v>
      </c>
      <c r="B839" s="19">
        <f>IFERROR(__xludf.DUMMYFUNCTION("IFERROR(SPLIT(A839,"",""),"""")"),46435.0)</f>
        <v>46435</v>
      </c>
      <c r="C839" t="str">
        <f>IFERROR(__xludf.DUMMYFUNCTION("""COMPUTED_VALUE"""),"Miami Heat")</f>
        <v>Miami Heat</v>
      </c>
      <c r="D839" t="str">
        <f>IFERROR(__xludf.DUMMYFUNCTION("""COMPUTED_VALUE"""),"Washington Wizards")</f>
        <v>Washington Wizards</v>
      </c>
    </row>
    <row r="840">
      <c r="A840" s="17" t="s">
        <v>928</v>
      </c>
      <c r="B840" s="19">
        <f>IFERROR(__xludf.DUMMYFUNCTION("IFERROR(SPLIT(A840,"",""),"""")"),46435.0)</f>
        <v>46435</v>
      </c>
      <c r="C840" t="str">
        <f>IFERROR(__xludf.DUMMYFUNCTION("""COMPUTED_VALUE"""),"Atlanta Hawks")</f>
        <v>Atlanta Hawks</v>
      </c>
      <c r="D840" t="str">
        <f>IFERROR(__xludf.DUMMYFUNCTION("""COMPUTED_VALUE"""),"Brooklyn Nets")</f>
        <v>Brooklyn Nets</v>
      </c>
    </row>
    <row r="841">
      <c r="A841" s="17" t="s">
        <v>929</v>
      </c>
      <c r="B841" s="19">
        <f>IFERROR(__xludf.DUMMYFUNCTION("IFERROR(SPLIT(A841,"",""),"""")"),46435.0)</f>
        <v>46435</v>
      </c>
      <c r="C841" t="str">
        <f>IFERROR(__xludf.DUMMYFUNCTION("""COMPUTED_VALUE"""),"San Antonio Spurs")</f>
        <v>San Antonio Spurs</v>
      </c>
      <c r="D841" t="str">
        <f>IFERROR(__xludf.DUMMYFUNCTION("""COMPUTED_VALUE"""),"Memphis Grizzlies")</f>
        <v>Memphis Grizzlies</v>
      </c>
    </row>
    <row r="842">
      <c r="A842" s="17" t="s">
        <v>930</v>
      </c>
      <c r="B842" s="19">
        <f>IFERROR(__xludf.DUMMYFUNCTION("IFERROR(SPLIT(A842,"",""),"""")"),46435.0)</f>
        <v>46435</v>
      </c>
      <c r="C842" t="str">
        <f>IFERROR(__xludf.DUMMYFUNCTION("""COMPUTED_VALUE"""),"Utah Jazz")</f>
        <v>Utah Jazz</v>
      </c>
      <c r="D842" t="str">
        <f>IFERROR(__xludf.DUMMYFUNCTION("""COMPUTED_VALUE"""),"Denver Nuggets")</f>
        <v>Denver Nuggets</v>
      </c>
    </row>
    <row r="843">
      <c r="A843" s="17" t="s">
        <v>931</v>
      </c>
      <c r="B843" s="19">
        <f>IFERROR(__xludf.DUMMYFUNCTION("IFERROR(SPLIT(A843,"",""),"""")"),46435.0)</f>
        <v>46435</v>
      </c>
      <c r="C843" t="str">
        <f>IFERROR(__xludf.DUMMYFUNCTION("""COMPUTED_VALUE"""),"Boston Celtics")</f>
        <v>Boston Celtics</v>
      </c>
      <c r="D843" t="str">
        <f>IFERROR(__xludf.DUMMYFUNCTION("""COMPUTED_VALUE"""),"Oklahoma City Thunder")</f>
        <v>Oklahoma City Thunder</v>
      </c>
    </row>
    <row r="844">
      <c r="A844" s="17" t="s">
        <v>932</v>
      </c>
      <c r="B844" s="19">
        <f>IFERROR(__xludf.DUMMYFUNCTION("IFERROR(SPLIT(A844,"",""),"""")"),46435.0)</f>
        <v>46435</v>
      </c>
      <c r="C844" t="str">
        <f>IFERROR(__xludf.DUMMYFUNCTION("""COMPUTED_VALUE"""),"New Orleans Pelicans")</f>
        <v>New Orleans Pelicans</v>
      </c>
      <c r="D844" t="str">
        <f>IFERROR(__xludf.DUMMYFUNCTION("""COMPUTED_VALUE"""),"Golden State Warriors")</f>
        <v>Golden State Warriors</v>
      </c>
    </row>
    <row r="845">
      <c r="A845" s="17" t="s">
        <v>933</v>
      </c>
      <c r="B845" s="19">
        <f>IFERROR(__xludf.DUMMYFUNCTION("IFERROR(SPLIT(A845,"",""),"""")"),46435.0)</f>
        <v>46435</v>
      </c>
      <c r="C845" t="str">
        <f>IFERROR(__xludf.DUMMYFUNCTION("""COMPUTED_VALUE"""),"Indiana Pacers")</f>
        <v>Indiana Pacers</v>
      </c>
      <c r="D845" t="str">
        <f>IFERROR(__xludf.DUMMYFUNCTION("""COMPUTED_VALUE"""),"Sacramento Kings")</f>
        <v>Sacramento Kings</v>
      </c>
    </row>
    <row r="846">
      <c r="A846" s="17" t="s">
        <v>934</v>
      </c>
      <c r="B846" s="19">
        <f>IFERROR(__xludf.DUMMYFUNCTION("IFERROR(SPLIT(A846,"",""),"""")"),46435.0)</f>
        <v>46435</v>
      </c>
      <c r="C846" t="str">
        <f>IFERROR(__xludf.DUMMYFUNCTION("""COMPUTED_VALUE"""),"Chicago Bulls")</f>
        <v>Chicago Bulls</v>
      </c>
      <c r="D846" t="str">
        <f>IFERROR(__xludf.DUMMYFUNCTION("""COMPUTED_VALUE"""),"Los Angeles Clippers")</f>
        <v>Los Angeles Clippers</v>
      </c>
    </row>
    <row r="847">
      <c r="A847" s="17" t="s">
        <v>935</v>
      </c>
      <c r="B847" s="19">
        <f>IFERROR(__xludf.DUMMYFUNCTION("IFERROR(SPLIT(A847,"",""),"""")"),46436.0)</f>
        <v>46436</v>
      </c>
      <c r="C847" t="str">
        <f>IFERROR(__xludf.DUMMYFUNCTION("""COMPUTED_VALUE"""),"San Antonio Spurs")</f>
        <v>San Antonio Spurs</v>
      </c>
      <c r="D847" t="str">
        <f>IFERROR(__xludf.DUMMYFUNCTION("""COMPUTED_VALUE"""),"Minnesota Timberwolves")</f>
        <v>Minnesota Timberwolves</v>
      </c>
    </row>
    <row r="848">
      <c r="A848" s="17" t="s">
        <v>936</v>
      </c>
      <c r="B848" s="19">
        <f>IFERROR(__xludf.DUMMYFUNCTION("IFERROR(SPLIT(A848,"",""),"""")"),46436.0)</f>
        <v>46436</v>
      </c>
      <c r="C848" t="str">
        <f>IFERROR(__xludf.DUMMYFUNCTION("""COMPUTED_VALUE"""),"Boston Celtics")</f>
        <v>Boston Celtics</v>
      </c>
      <c r="D848" t="str">
        <f>IFERROR(__xludf.DUMMYFUNCTION("""COMPUTED_VALUE"""),"Memphis Grizzlies")</f>
        <v>Memphis Grizzlies</v>
      </c>
    </row>
    <row r="849">
      <c r="A849" s="17" t="s">
        <v>937</v>
      </c>
      <c r="B849" s="19">
        <f>IFERROR(__xludf.DUMMYFUNCTION("IFERROR(SPLIT(A849,"",""),"""")"),46436.0)</f>
        <v>46436</v>
      </c>
      <c r="C849" t="str">
        <f>IFERROR(__xludf.DUMMYFUNCTION("""COMPUTED_VALUE"""),"Houston Rockets")</f>
        <v>Houston Rockets</v>
      </c>
      <c r="D849" t="str">
        <f>IFERROR(__xludf.DUMMYFUNCTION("""COMPUTED_VALUE"""),"Los Angeles Lakers")</f>
        <v>Los Angeles Lakers</v>
      </c>
    </row>
    <row r="850">
      <c r="A850" s="17" t="s">
        <v>938</v>
      </c>
      <c r="B850" s="19">
        <f>IFERROR(__xludf.DUMMYFUNCTION("IFERROR(SPLIT(A850,"",""),"""")"),46436.0)</f>
        <v>46436</v>
      </c>
      <c r="C850" t="str">
        <f>IFERROR(__xludf.DUMMYFUNCTION("""COMPUTED_VALUE"""),"Indiana Pacers")</f>
        <v>Indiana Pacers</v>
      </c>
      <c r="D850" t="str">
        <f>IFERROR(__xludf.DUMMYFUNCTION("""COMPUTED_VALUE"""),"Portland Trail Blazers")</f>
        <v>Portland Trail Blazers</v>
      </c>
    </row>
    <row r="851">
      <c r="A851" s="17" t="s">
        <v>939</v>
      </c>
      <c r="B851" s="19">
        <f>IFERROR(__xludf.DUMMYFUNCTION("IFERROR(SPLIT(A851,"",""),"""")"),46443.0)</f>
        <v>46443</v>
      </c>
      <c r="C851" t="str">
        <f>IFERROR(__xludf.DUMMYFUNCTION("""COMPUTED_VALUE"""),"Sacramento Kings")</f>
        <v>Sacramento Kings</v>
      </c>
      <c r="D851" t="str">
        <f>IFERROR(__xludf.DUMMYFUNCTION("""COMPUTED_VALUE"""),"Cleveland Cavaliers")</f>
        <v>Cleveland Cavaliers</v>
      </c>
    </row>
    <row r="852">
      <c r="A852" s="17" t="s">
        <v>940</v>
      </c>
      <c r="B852" s="19">
        <f>IFERROR(__xludf.DUMMYFUNCTION("IFERROR(SPLIT(A852,"",""),"""")"),46443.0)</f>
        <v>46443</v>
      </c>
      <c r="C852" t="str">
        <f>IFERROR(__xludf.DUMMYFUNCTION("""COMPUTED_VALUE"""),"Miami Heat")</f>
        <v>Miami Heat</v>
      </c>
      <c r="D852" t="str">
        <f>IFERROR(__xludf.DUMMYFUNCTION("""COMPUTED_VALUE"""),"Detroit Pistons")</f>
        <v>Detroit Pistons</v>
      </c>
    </row>
    <row r="853">
      <c r="A853" s="17" t="s">
        <v>941</v>
      </c>
      <c r="B853" s="19">
        <f>IFERROR(__xludf.DUMMYFUNCTION("IFERROR(SPLIT(A853,"",""),"""")"),46443.0)</f>
        <v>46443</v>
      </c>
      <c r="C853" t="str">
        <f>IFERROR(__xludf.DUMMYFUNCTION("""COMPUTED_VALUE"""),"Charlotte Hornets")</f>
        <v>Charlotte Hornets</v>
      </c>
      <c r="D853" t="str">
        <f>IFERROR(__xludf.DUMMYFUNCTION("""COMPUTED_VALUE"""),"Orlando Magic")</f>
        <v>Orlando Magic</v>
      </c>
    </row>
    <row r="854">
      <c r="A854" s="17" t="s">
        <v>942</v>
      </c>
      <c r="B854" s="19">
        <f>IFERROR(__xludf.DUMMYFUNCTION("IFERROR(SPLIT(A854,"",""),"""")"),46443.0)</f>
        <v>46443</v>
      </c>
      <c r="C854" t="str">
        <f>IFERROR(__xludf.DUMMYFUNCTION("""COMPUTED_VALUE"""),"Philadelphia 76ers")</f>
        <v>Philadelphia 76ers</v>
      </c>
      <c r="D854" t="str">
        <f>IFERROR(__xludf.DUMMYFUNCTION("""COMPUTED_VALUE"""),"Brooklyn Nets")</f>
        <v>Brooklyn Nets</v>
      </c>
    </row>
    <row r="855">
      <c r="A855" s="17" t="s">
        <v>943</v>
      </c>
      <c r="B855" s="19">
        <f>IFERROR(__xludf.DUMMYFUNCTION("IFERROR(SPLIT(A855,"",""),"""")"),46443.0)</f>
        <v>46443</v>
      </c>
      <c r="C855" t="str">
        <f>IFERROR(__xludf.DUMMYFUNCTION("""COMPUTED_VALUE"""),"Oklahoma City Thunder")</f>
        <v>Oklahoma City Thunder</v>
      </c>
      <c r="D855" t="str">
        <f>IFERROR(__xludf.DUMMYFUNCTION("""COMPUTED_VALUE"""),"New York Knicks")</f>
        <v>New York Knicks</v>
      </c>
    </row>
    <row r="856">
      <c r="A856" s="17" t="s">
        <v>944</v>
      </c>
      <c r="B856" s="19">
        <f>IFERROR(__xludf.DUMMYFUNCTION("IFERROR(SPLIT(A856,"",""),"""")"),46443.0)</f>
        <v>46443</v>
      </c>
      <c r="C856" t="str">
        <f>IFERROR(__xludf.DUMMYFUNCTION("""COMPUTED_VALUE"""),"Atlanta Hawks")</f>
        <v>Atlanta Hawks</v>
      </c>
      <c r="D856" t="str">
        <f>IFERROR(__xludf.DUMMYFUNCTION("""COMPUTED_VALUE"""),"Chicago Bulls")</f>
        <v>Chicago Bulls</v>
      </c>
    </row>
    <row r="857">
      <c r="A857" s="17" t="s">
        <v>945</v>
      </c>
      <c r="B857" s="19">
        <f>IFERROR(__xludf.DUMMYFUNCTION("IFERROR(SPLIT(A857,"",""),"""")"),46443.0)</f>
        <v>46443</v>
      </c>
      <c r="C857" t="str">
        <f>IFERROR(__xludf.DUMMYFUNCTION("""COMPUTED_VALUE"""),"Washington Wizards")</f>
        <v>Washington Wizards</v>
      </c>
      <c r="D857" t="str">
        <f>IFERROR(__xludf.DUMMYFUNCTION("""COMPUTED_VALUE"""),"Milwaukee Bucks")</f>
        <v>Milwaukee Bucks</v>
      </c>
    </row>
    <row r="858">
      <c r="A858" s="17" t="s">
        <v>946</v>
      </c>
      <c r="B858" s="19">
        <f>IFERROR(__xludf.DUMMYFUNCTION("IFERROR(SPLIT(A858,"",""),"""")"),46443.0)</f>
        <v>46443</v>
      </c>
      <c r="C858" t="str">
        <f>IFERROR(__xludf.DUMMYFUNCTION("""COMPUTED_VALUE"""),"Phoenix Suns")</f>
        <v>Phoenix Suns</v>
      </c>
      <c r="D858" t="str">
        <f>IFERROR(__xludf.DUMMYFUNCTION("""COMPUTED_VALUE"""),"New Orleans Pelicans")</f>
        <v>New Orleans Pelicans</v>
      </c>
    </row>
    <row r="859">
      <c r="A859" s="17" t="s">
        <v>947</v>
      </c>
      <c r="B859" s="19">
        <f>IFERROR(__xludf.DUMMYFUNCTION("IFERROR(SPLIT(A859,"",""),"""")"),46443.0)</f>
        <v>46443</v>
      </c>
      <c r="C859" t="str">
        <f>IFERROR(__xludf.DUMMYFUNCTION("""COMPUTED_VALUE"""),"Dallas Mavericks")</f>
        <v>Dallas Mavericks</v>
      </c>
      <c r="D859" t="str">
        <f>IFERROR(__xludf.DUMMYFUNCTION("""COMPUTED_VALUE"""),"Golden State Warriors")</f>
        <v>Golden State Warriors</v>
      </c>
    </row>
    <row r="860">
      <c r="A860" s="17" t="s">
        <v>948</v>
      </c>
      <c r="B860" s="19">
        <f>IFERROR(__xludf.DUMMYFUNCTION("IFERROR(SPLIT(A860,"",""),"""")"),46443.0)</f>
        <v>46443</v>
      </c>
      <c r="C860" t="str">
        <f>IFERROR(__xludf.DUMMYFUNCTION("""COMPUTED_VALUE"""),"Utah Jazz")</f>
        <v>Utah Jazz</v>
      </c>
      <c r="D860" t="str">
        <f>IFERROR(__xludf.DUMMYFUNCTION("""COMPUTED_VALUE"""),"Los Angeles Clippers")</f>
        <v>Los Angeles Clippers</v>
      </c>
    </row>
    <row r="861">
      <c r="A861" s="17" t="s">
        <v>949</v>
      </c>
      <c r="B861" s="19">
        <f>IFERROR(__xludf.DUMMYFUNCTION("IFERROR(SPLIT(A861,"",""),"""")"),46444.0)</f>
        <v>46444</v>
      </c>
      <c r="C861" t="str">
        <f>IFERROR(__xludf.DUMMYFUNCTION("""COMPUTED_VALUE"""),"Cleveland Cavaliers")</f>
        <v>Cleveland Cavaliers</v>
      </c>
      <c r="D861" t="str">
        <f>IFERROR(__xludf.DUMMYFUNCTION("""COMPUTED_VALUE"""),"Boston Celtics")</f>
        <v>Boston Celtics</v>
      </c>
    </row>
    <row r="862">
      <c r="A862" s="17" t="s">
        <v>950</v>
      </c>
      <c r="B862" s="19">
        <f>IFERROR(__xludf.DUMMYFUNCTION("IFERROR(SPLIT(A862,"",""),"""")"),46444.0)</f>
        <v>46444</v>
      </c>
      <c r="C862" t="str">
        <f>IFERROR(__xludf.DUMMYFUNCTION("""COMPUTED_VALUE"""),"Atlanta Hawks")</f>
        <v>Atlanta Hawks</v>
      </c>
      <c r="D862" t="str">
        <f>IFERROR(__xludf.DUMMYFUNCTION("""COMPUTED_VALUE"""),"Toronto Raptors")</f>
        <v>Toronto Raptors</v>
      </c>
    </row>
    <row r="863">
      <c r="A863" s="17" t="s">
        <v>951</v>
      </c>
      <c r="B863" s="19">
        <f>IFERROR(__xludf.DUMMYFUNCTION("IFERROR(SPLIT(A863,"",""),"""")"),46444.0)</f>
        <v>46444</v>
      </c>
      <c r="C863" t="str">
        <f>IFERROR(__xludf.DUMMYFUNCTION("""COMPUTED_VALUE"""),"Indiana Pacers")</f>
        <v>Indiana Pacers</v>
      </c>
      <c r="D863" t="str">
        <f>IFERROR(__xludf.DUMMYFUNCTION("""COMPUTED_VALUE"""),"Minnesota Timberwolves")</f>
        <v>Minnesota Timberwolves</v>
      </c>
    </row>
    <row r="864">
      <c r="A864" s="17" t="s">
        <v>952</v>
      </c>
      <c r="B864" s="19">
        <f>IFERROR(__xludf.DUMMYFUNCTION("IFERROR(SPLIT(A864,"",""),"""")"),46444.0)</f>
        <v>46444</v>
      </c>
      <c r="C864" t="str">
        <f>IFERROR(__xludf.DUMMYFUNCTION("""COMPUTED_VALUE"""),"Memphis Grizzlies")</f>
        <v>Memphis Grizzlies</v>
      </c>
      <c r="D864" t="str">
        <f>IFERROR(__xludf.DUMMYFUNCTION("""COMPUTED_VALUE"""),"San Antonio Spurs")</f>
        <v>San Antonio Spurs</v>
      </c>
    </row>
    <row r="865">
      <c r="A865" s="17" t="s">
        <v>953</v>
      </c>
      <c r="B865" s="19">
        <f>IFERROR(__xludf.DUMMYFUNCTION("IFERROR(SPLIT(A865,"",""),"""")"),46444.0)</f>
        <v>46444</v>
      </c>
      <c r="C865" t="str">
        <f>IFERROR(__xludf.DUMMYFUNCTION("""COMPUTED_VALUE"""),"Charlotte Hornets")</f>
        <v>Charlotte Hornets</v>
      </c>
      <c r="D865" t="str">
        <f>IFERROR(__xludf.DUMMYFUNCTION("""COMPUTED_VALUE"""),"Houston Rockets")</f>
        <v>Houston Rockets</v>
      </c>
    </row>
    <row r="866">
      <c r="A866" s="17" t="s">
        <v>954</v>
      </c>
      <c r="B866" s="19">
        <f>IFERROR(__xludf.DUMMYFUNCTION("IFERROR(SPLIT(A866,"",""),"""")"),46444.0)</f>
        <v>46444</v>
      </c>
      <c r="C866" t="str">
        <f>IFERROR(__xludf.DUMMYFUNCTION("""COMPUTED_VALUE"""),"Los Angeles Lakers")</f>
        <v>Los Angeles Lakers</v>
      </c>
      <c r="D866" t="str">
        <f>IFERROR(__xludf.DUMMYFUNCTION("""COMPUTED_VALUE"""),"Denver Nuggets")</f>
        <v>Denver Nuggets</v>
      </c>
    </row>
    <row r="867">
      <c r="A867" s="17" t="s">
        <v>955</v>
      </c>
      <c r="B867" s="19">
        <f>IFERROR(__xludf.DUMMYFUNCTION("IFERROR(SPLIT(A867,"",""),"""")"),46444.0)</f>
        <v>46444</v>
      </c>
      <c r="C867" t="str">
        <f>IFERROR(__xludf.DUMMYFUNCTION("""COMPUTED_VALUE"""),"Dallas Mavericks")</f>
        <v>Dallas Mavericks</v>
      </c>
      <c r="D867" t="str">
        <f>IFERROR(__xludf.DUMMYFUNCTION("""COMPUTED_VALUE"""),"Portland Trail Blazers")</f>
        <v>Portland Trail Blazers</v>
      </c>
    </row>
    <row r="868">
      <c r="A868" s="17" t="s">
        <v>956</v>
      </c>
      <c r="B868" s="19">
        <f>IFERROR(__xludf.DUMMYFUNCTION("IFERROR(SPLIT(A868,"",""),"""")"),46445.0)</f>
        <v>46445</v>
      </c>
      <c r="C868" t="str">
        <f>IFERROR(__xludf.DUMMYFUNCTION("""COMPUTED_VALUE"""),"Washington Wizards")</f>
        <v>Washington Wizards</v>
      </c>
      <c r="D868" t="str">
        <f>IFERROR(__xludf.DUMMYFUNCTION("""COMPUTED_VALUE"""),"Utah Jazz")</f>
        <v>Utah Jazz</v>
      </c>
    </row>
    <row r="869">
      <c r="A869" s="17" t="s">
        <v>957</v>
      </c>
      <c r="B869" s="19">
        <f>IFERROR(__xludf.DUMMYFUNCTION("IFERROR(SPLIT(A869,"",""),"""")"),46445.0)</f>
        <v>46445</v>
      </c>
      <c r="C869" t="str">
        <f>IFERROR(__xludf.DUMMYFUNCTION("""COMPUTED_VALUE"""),"Oklahoma City Thunder")</f>
        <v>Oklahoma City Thunder</v>
      </c>
      <c r="D869" t="str">
        <f>IFERROR(__xludf.DUMMYFUNCTION("""COMPUTED_VALUE"""),"Detroit Pistons")</f>
        <v>Detroit Pistons</v>
      </c>
    </row>
    <row r="870">
      <c r="A870" s="17" t="s">
        <v>958</v>
      </c>
      <c r="B870" s="19">
        <f>IFERROR(__xludf.DUMMYFUNCTION("IFERROR(SPLIT(A870,"",""),"""")"),46445.0)</f>
        <v>46445</v>
      </c>
      <c r="C870" t="str">
        <f>IFERROR(__xludf.DUMMYFUNCTION("""COMPUTED_VALUE"""),"Brooklyn Nets")</f>
        <v>Brooklyn Nets</v>
      </c>
      <c r="D870" t="str">
        <f>IFERROR(__xludf.DUMMYFUNCTION("""COMPUTED_VALUE"""),"Chicago Bulls")</f>
        <v>Chicago Bulls</v>
      </c>
    </row>
    <row r="871">
      <c r="A871" s="17" t="s">
        <v>959</v>
      </c>
      <c r="B871" s="19">
        <f>IFERROR(__xludf.DUMMYFUNCTION("IFERROR(SPLIT(A871,"",""),"""")"),46445.0)</f>
        <v>46445</v>
      </c>
      <c r="C871" t="str">
        <f>IFERROR(__xludf.DUMMYFUNCTION("""COMPUTED_VALUE"""),"Sacramento Kings")</f>
        <v>Sacramento Kings</v>
      </c>
      <c r="D871" t="str">
        <f>IFERROR(__xludf.DUMMYFUNCTION("""COMPUTED_VALUE"""),"Memphis Grizzlies")</f>
        <v>Memphis Grizzlies</v>
      </c>
    </row>
    <row r="872">
      <c r="A872" s="17" t="s">
        <v>960</v>
      </c>
      <c r="B872" s="19">
        <f>IFERROR(__xludf.DUMMYFUNCTION("IFERROR(SPLIT(A872,"",""),"""")"),46445.0)</f>
        <v>46445</v>
      </c>
      <c r="C872" t="str">
        <f>IFERROR(__xludf.DUMMYFUNCTION("""COMPUTED_VALUE"""),"Philadelphia 76ers")</f>
        <v>Philadelphia 76ers</v>
      </c>
      <c r="D872" t="str">
        <f>IFERROR(__xludf.DUMMYFUNCTION("""COMPUTED_VALUE"""),"New York Knicks")</f>
        <v>New York Knicks</v>
      </c>
    </row>
    <row r="873">
      <c r="A873" s="17" t="s">
        <v>961</v>
      </c>
      <c r="B873" s="19">
        <f>IFERROR(__xludf.DUMMYFUNCTION("IFERROR(SPLIT(A873,"",""),"""")"),46445.0)</f>
        <v>46445</v>
      </c>
      <c r="C873" t="str">
        <f>IFERROR(__xludf.DUMMYFUNCTION("""COMPUTED_VALUE"""),"New Orleans Pelicans")</f>
        <v>New Orleans Pelicans</v>
      </c>
      <c r="D873" t="str">
        <f>IFERROR(__xludf.DUMMYFUNCTION("""COMPUTED_VALUE"""),"Phoenix Suns")</f>
        <v>Phoenix Suns</v>
      </c>
    </row>
    <row r="874">
      <c r="A874" s="17" t="s">
        <v>962</v>
      </c>
      <c r="B874" s="19">
        <f>IFERROR(__xludf.DUMMYFUNCTION("IFERROR(SPLIT(A874,"",""),"""")"),46446.0)</f>
        <v>46446</v>
      </c>
      <c r="C874" t="str">
        <f>IFERROR(__xludf.DUMMYFUNCTION("""COMPUTED_VALUE"""),"Denver Nuggets")</f>
        <v>Denver Nuggets</v>
      </c>
      <c r="D874" t="str">
        <f>IFERROR(__xludf.DUMMYFUNCTION("""COMPUTED_VALUE"""),"San Antonio Spurs")</f>
        <v>San Antonio Spurs</v>
      </c>
    </row>
    <row r="875">
      <c r="A875" s="17" t="s">
        <v>963</v>
      </c>
      <c r="B875" s="19">
        <f>IFERROR(__xludf.DUMMYFUNCTION("IFERROR(SPLIT(A875,"",""),"""")"),46446.0)</f>
        <v>46446</v>
      </c>
      <c r="C875" t="str">
        <f>IFERROR(__xludf.DUMMYFUNCTION("""COMPUTED_VALUE"""),"Los Angeles Lakers")</f>
        <v>Los Angeles Lakers</v>
      </c>
      <c r="D875" t="str">
        <f>IFERROR(__xludf.DUMMYFUNCTION("""COMPUTED_VALUE"""),"Dallas Mavericks")</f>
        <v>Dallas Mavericks</v>
      </c>
    </row>
    <row r="876">
      <c r="A876" s="17" t="s">
        <v>964</v>
      </c>
      <c r="B876" s="19">
        <f>IFERROR(__xludf.DUMMYFUNCTION("IFERROR(SPLIT(A876,"",""),"""")"),46446.0)</f>
        <v>46446</v>
      </c>
      <c r="C876" t="str">
        <f>IFERROR(__xludf.DUMMYFUNCTION("""COMPUTED_VALUE"""),"Toronto Raptors")</f>
        <v>Toronto Raptors</v>
      </c>
      <c r="D876" t="str">
        <f>IFERROR(__xludf.DUMMYFUNCTION("""COMPUTED_VALUE"""),"Indiana Pacers")</f>
        <v>Indiana Pacers</v>
      </c>
    </row>
    <row r="877">
      <c r="A877" s="17" t="s">
        <v>965</v>
      </c>
      <c r="B877" s="19">
        <f>IFERROR(__xludf.DUMMYFUNCTION("IFERROR(SPLIT(A877,"",""),"""")"),46446.0)</f>
        <v>46446</v>
      </c>
      <c r="C877" t="str">
        <f>IFERROR(__xludf.DUMMYFUNCTION("""COMPUTED_VALUE"""),"Atlanta Hawks")</f>
        <v>Atlanta Hawks</v>
      </c>
      <c r="D877" t="str">
        <f>IFERROR(__xludf.DUMMYFUNCTION("""COMPUTED_VALUE"""),"Orlando Magic")</f>
        <v>Orlando Magic</v>
      </c>
    </row>
    <row r="878">
      <c r="A878" s="17" t="s">
        <v>966</v>
      </c>
      <c r="B878" s="19">
        <f>IFERROR(__xludf.DUMMYFUNCTION("IFERROR(SPLIT(A878,"",""),"""")"),46446.0)</f>
        <v>46446</v>
      </c>
      <c r="C878" t="str">
        <f>IFERROR(__xludf.DUMMYFUNCTION("""COMPUTED_VALUE"""),"Sacramento Kings")</f>
        <v>Sacramento Kings</v>
      </c>
      <c r="D878" t="str">
        <f>IFERROR(__xludf.DUMMYFUNCTION("""COMPUTED_VALUE"""),"Charlotte Hornets")</f>
        <v>Charlotte Hornets</v>
      </c>
    </row>
    <row r="879">
      <c r="A879" s="17" t="s">
        <v>967</v>
      </c>
      <c r="B879" s="19">
        <f>IFERROR(__xludf.DUMMYFUNCTION("IFERROR(SPLIT(A879,"",""),"""")"),46446.0)</f>
        <v>46446</v>
      </c>
      <c r="C879" t="str">
        <f>IFERROR(__xludf.DUMMYFUNCTION("""COMPUTED_VALUE"""),"Boston Celtics")</f>
        <v>Boston Celtics</v>
      </c>
      <c r="D879" t="str">
        <f>IFERROR(__xludf.DUMMYFUNCTION("""COMPUTED_VALUE"""),"Minnesota Timberwolves")</f>
        <v>Minnesota Timberwolves</v>
      </c>
    </row>
    <row r="880">
      <c r="A880" s="17" t="s">
        <v>968</v>
      </c>
      <c r="B880" s="19">
        <f>IFERROR(__xludf.DUMMYFUNCTION("IFERROR(SPLIT(A880,"",""),"""")"),46446.0)</f>
        <v>46446</v>
      </c>
      <c r="C880" t="str">
        <f>IFERROR(__xludf.DUMMYFUNCTION("""COMPUTED_VALUE"""),"Milwaukee Bucks")</f>
        <v>Milwaukee Bucks</v>
      </c>
      <c r="D880" t="str">
        <f>IFERROR(__xludf.DUMMYFUNCTION("""COMPUTED_VALUE"""),"New York Knicks")</f>
        <v>New York Knicks</v>
      </c>
    </row>
    <row r="881">
      <c r="A881" s="17" t="s">
        <v>969</v>
      </c>
      <c r="B881" s="19">
        <f>IFERROR(__xludf.DUMMYFUNCTION("IFERROR(SPLIT(A881,"",""),"""")"),46446.0)</f>
        <v>46446</v>
      </c>
      <c r="C881" t="str">
        <f>IFERROR(__xludf.DUMMYFUNCTION("""COMPUTED_VALUE"""),"Miami Heat")</f>
        <v>Miami Heat</v>
      </c>
      <c r="D881" t="str">
        <f>IFERROR(__xludf.DUMMYFUNCTION("""COMPUTED_VALUE"""),"Houston Rockets")</f>
        <v>Houston Rockets</v>
      </c>
    </row>
    <row r="882">
      <c r="A882" s="17" t="s">
        <v>970</v>
      </c>
      <c r="B882" s="19">
        <f>IFERROR(__xludf.DUMMYFUNCTION("IFERROR(SPLIT(A882,"",""),"""")"),46446.0)</f>
        <v>46446</v>
      </c>
      <c r="C882" t="str">
        <f>IFERROR(__xludf.DUMMYFUNCTION("""COMPUTED_VALUE"""),"Portland Trail Blazers")</f>
        <v>Portland Trail Blazers</v>
      </c>
      <c r="D882" t="str">
        <f>IFERROR(__xludf.DUMMYFUNCTION("""COMPUTED_VALUE"""),"Los Angeles Clippers")</f>
        <v>Los Angeles Clippers</v>
      </c>
    </row>
    <row r="883">
      <c r="A883" s="17" t="s">
        <v>971</v>
      </c>
      <c r="B883" s="19">
        <f>IFERROR(__xludf.DUMMYFUNCTION("IFERROR(SPLIT(A883,"",""),"""")"),46447.0)</f>
        <v>46447</v>
      </c>
      <c r="C883" t="str">
        <f>IFERROR(__xludf.DUMMYFUNCTION("""COMPUTED_VALUE"""),"Philadelphia 76ers")</f>
        <v>Philadelphia 76ers</v>
      </c>
      <c r="D883" t="str">
        <f>IFERROR(__xludf.DUMMYFUNCTION("""COMPUTED_VALUE"""),"Cleveland Cavaliers")</f>
        <v>Cleveland Cavaliers</v>
      </c>
    </row>
    <row r="884">
      <c r="A884" s="17" t="s">
        <v>972</v>
      </c>
      <c r="B884" s="19">
        <f>IFERROR(__xludf.DUMMYFUNCTION("IFERROR(SPLIT(A884,"",""),"""")"),46447.0)</f>
        <v>46447</v>
      </c>
      <c r="C884" t="str">
        <f>IFERROR(__xludf.DUMMYFUNCTION("""COMPUTED_VALUE"""),"Chicago Bulls")</f>
        <v>Chicago Bulls</v>
      </c>
      <c r="D884" t="str">
        <f>IFERROR(__xludf.DUMMYFUNCTION("""COMPUTED_VALUE"""),"Detroit Pistons")</f>
        <v>Detroit Pistons</v>
      </c>
    </row>
    <row r="885">
      <c r="A885" s="17" t="s">
        <v>973</v>
      </c>
      <c r="B885" s="19">
        <f>IFERROR(__xludf.DUMMYFUNCTION("IFERROR(SPLIT(A885,"",""),"""")"),46447.0)</f>
        <v>46447</v>
      </c>
      <c r="C885" t="str">
        <f>IFERROR(__xludf.DUMMYFUNCTION("""COMPUTED_VALUE"""),"Utah Jazz")</f>
        <v>Utah Jazz</v>
      </c>
      <c r="D885" t="str">
        <f>IFERROR(__xludf.DUMMYFUNCTION("""COMPUTED_VALUE"""),"New Orleans Pelicans")</f>
        <v>New Orleans Pelicans</v>
      </c>
    </row>
    <row r="886">
      <c r="A886" s="17" t="s">
        <v>974</v>
      </c>
      <c r="B886" s="19">
        <f>IFERROR(__xludf.DUMMYFUNCTION("IFERROR(SPLIT(A886,"",""),"""")"),46447.0)</f>
        <v>46447</v>
      </c>
      <c r="C886" t="str">
        <f>IFERROR(__xludf.DUMMYFUNCTION("""COMPUTED_VALUE"""),"Golden State Warriors")</f>
        <v>Golden State Warriors</v>
      </c>
      <c r="D886" t="str">
        <f>IFERROR(__xludf.DUMMYFUNCTION("""COMPUTED_VALUE"""),"Houston Rockets")</f>
        <v>Houston Rockets</v>
      </c>
    </row>
    <row r="887">
      <c r="A887" s="17" t="s">
        <v>975</v>
      </c>
      <c r="B887" s="19">
        <f>IFERROR(__xludf.DUMMYFUNCTION("IFERROR(SPLIT(A887,"",""),"""")"),46447.0)</f>
        <v>46447</v>
      </c>
      <c r="C887" t="str">
        <f>IFERROR(__xludf.DUMMYFUNCTION("""COMPUTED_VALUE"""),"Brooklyn Nets")</f>
        <v>Brooklyn Nets</v>
      </c>
      <c r="D887" t="str">
        <f>IFERROR(__xludf.DUMMYFUNCTION("""COMPUTED_VALUE"""),"Denver Nuggets")</f>
        <v>Denver Nuggets</v>
      </c>
    </row>
    <row r="888">
      <c r="A888" s="17" t="s">
        <v>976</v>
      </c>
      <c r="B888" s="19">
        <f>IFERROR(__xludf.DUMMYFUNCTION("IFERROR(SPLIT(A888,"",""),"""")"),46447.0)</f>
        <v>46447</v>
      </c>
      <c r="C888" t="str">
        <f>IFERROR(__xludf.DUMMYFUNCTION("""COMPUTED_VALUE"""),"Washington Wizards")</f>
        <v>Washington Wizards</v>
      </c>
      <c r="D888" t="str">
        <f>IFERROR(__xludf.DUMMYFUNCTION("""COMPUTED_VALUE"""),"Phoenix Suns")</f>
        <v>Phoenix Suns</v>
      </c>
    </row>
    <row r="889">
      <c r="A889" s="17" t="s">
        <v>977</v>
      </c>
      <c r="B889" s="19">
        <f>IFERROR(__xludf.DUMMYFUNCTION("IFERROR(SPLIT(A889,"",""),"""")"),46448.0)</f>
        <v>46448</v>
      </c>
      <c r="C889" t="str">
        <f>IFERROR(__xludf.DUMMYFUNCTION("""COMPUTED_VALUE"""),"Boston Celtics")</f>
        <v>Boston Celtics</v>
      </c>
      <c r="D889" t="str">
        <f>IFERROR(__xludf.DUMMYFUNCTION("""COMPUTED_VALUE"""),"Indiana Pacers")</f>
        <v>Indiana Pacers</v>
      </c>
    </row>
    <row r="890">
      <c r="A890" s="17" t="s">
        <v>978</v>
      </c>
      <c r="B890" s="19">
        <f>IFERROR(__xludf.DUMMYFUNCTION("IFERROR(SPLIT(A890,"",""),"""")"),46448.0)</f>
        <v>46448</v>
      </c>
      <c r="C890" t="str">
        <f>IFERROR(__xludf.DUMMYFUNCTION("""COMPUTED_VALUE"""),"Los Angeles Lakers")</f>
        <v>Los Angeles Lakers</v>
      </c>
      <c r="D890" t="str">
        <f>IFERROR(__xludf.DUMMYFUNCTION("""COMPUTED_VALUE"""),"Orlando Magic")</f>
        <v>Orlando Magic</v>
      </c>
    </row>
    <row r="891">
      <c r="A891" s="17" t="s">
        <v>979</v>
      </c>
      <c r="B891" s="19">
        <f>IFERROR(__xludf.DUMMYFUNCTION("IFERROR(SPLIT(A891,"",""),"""")"),46448.0)</f>
        <v>46448</v>
      </c>
      <c r="C891" t="str">
        <f>IFERROR(__xludf.DUMMYFUNCTION("""COMPUTED_VALUE"""),"Toronto Raptors")</f>
        <v>Toronto Raptors</v>
      </c>
      <c r="D891" t="str">
        <f>IFERROR(__xludf.DUMMYFUNCTION("""COMPUTED_VALUE"""),"Miami Heat")</f>
        <v>Miami Heat</v>
      </c>
    </row>
    <row r="892">
      <c r="A892" s="17" t="s">
        <v>980</v>
      </c>
      <c r="B892" s="19">
        <f>IFERROR(__xludf.DUMMYFUNCTION("IFERROR(SPLIT(A892,"",""),"""")"),46448.0)</f>
        <v>46448</v>
      </c>
      <c r="C892" t="str">
        <f>IFERROR(__xludf.DUMMYFUNCTION("""COMPUTED_VALUE"""),"Memphis Grizzlies")</f>
        <v>Memphis Grizzlies</v>
      </c>
      <c r="D892" t="str">
        <f>IFERROR(__xludf.DUMMYFUNCTION("""COMPUTED_VALUE"""),"New York Knicks")</f>
        <v>New York Knicks</v>
      </c>
    </row>
    <row r="893">
      <c r="A893" s="17" t="s">
        <v>981</v>
      </c>
      <c r="B893" s="19">
        <f>IFERROR(__xludf.DUMMYFUNCTION("IFERROR(SPLIT(A893,"",""),"""")"),46448.0)</f>
        <v>46448</v>
      </c>
      <c r="C893" t="str">
        <f>IFERROR(__xludf.DUMMYFUNCTION("""COMPUTED_VALUE"""),"Golden State Warriors")</f>
        <v>Golden State Warriors</v>
      </c>
      <c r="D893" t="str">
        <f>IFERROR(__xludf.DUMMYFUNCTION("""COMPUTED_VALUE"""),"Dallas Mavericks")</f>
        <v>Dallas Mavericks</v>
      </c>
    </row>
    <row r="894">
      <c r="A894" s="17" t="s">
        <v>982</v>
      </c>
      <c r="B894" s="19">
        <f>IFERROR(__xludf.DUMMYFUNCTION("IFERROR(SPLIT(A894,"",""),"""")"),46448.0)</f>
        <v>46448</v>
      </c>
      <c r="C894" t="str">
        <f>IFERROR(__xludf.DUMMYFUNCTION("""COMPUTED_VALUE"""),"Detroit Pistons")</f>
        <v>Detroit Pistons</v>
      </c>
      <c r="D894" t="str">
        <f>IFERROR(__xludf.DUMMYFUNCTION("""COMPUTED_VALUE"""),"Milwaukee Bucks")</f>
        <v>Milwaukee Bucks</v>
      </c>
    </row>
    <row r="895">
      <c r="A895" s="17" t="s">
        <v>983</v>
      </c>
      <c r="B895" s="19">
        <f>IFERROR(__xludf.DUMMYFUNCTION("IFERROR(SPLIT(A895,"",""),"""")"),46448.0)</f>
        <v>46448</v>
      </c>
      <c r="C895" t="str">
        <f>IFERROR(__xludf.DUMMYFUNCTION("""COMPUTED_VALUE"""),"Minnesota Timberwolves")</f>
        <v>Minnesota Timberwolves</v>
      </c>
      <c r="D895" t="str">
        <f>IFERROR(__xludf.DUMMYFUNCTION("""COMPUTED_VALUE"""),"Oklahoma City Thunder")</f>
        <v>Oklahoma City Thunder</v>
      </c>
    </row>
    <row r="896">
      <c r="A896" s="17" t="s">
        <v>984</v>
      </c>
      <c r="B896" s="19">
        <f>IFERROR(__xludf.DUMMYFUNCTION("IFERROR(SPLIT(A896,"",""),"""")"),46448.0)</f>
        <v>46448</v>
      </c>
      <c r="C896" t="str">
        <f>IFERROR(__xludf.DUMMYFUNCTION("""COMPUTED_VALUE"""),"Washington Wizards")</f>
        <v>Washington Wizards</v>
      </c>
      <c r="D896" t="str">
        <f>IFERROR(__xludf.DUMMYFUNCTION("""COMPUTED_VALUE"""),"Sacramento Kings")</f>
        <v>Sacramento Kings</v>
      </c>
    </row>
    <row r="897">
      <c r="A897" s="17" t="s">
        <v>985</v>
      </c>
      <c r="B897" s="19">
        <f>IFERROR(__xludf.DUMMYFUNCTION("IFERROR(SPLIT(A897,"",""),"""")"),46448.0)</f>
        <v>46448</v>
      </c>
      <c r="C897" t="str">
        <f>IFERROR(__xludf.DUMMYFUNCTION("""COMPUTED_VALUE"""),"Los Angeles Clippers")</f>
        <v>Los Angeles Clippers</v>
      </c>
      <c r="D897" t="str">
        <f>IFERROR(__xludf.DUMMYFUNCTION("""COMPUTED_VALUE"""),"Portland Trail Blazers")</f>
        <v>Portland Trail Blazers</v>
      </c>
    </row>
    <row r="898">
      <c r="A898" s="17" t="s">
        <v>986</v>
      </c>
      <c r="B898" s="19">
        <f>IFERROR(__xludf.DUMMYFUNCTION("IFERROR(SPLIT(A898,"",""),"""")"),46449.0)</f>
        <v>46449</v>
      </c>
      <c r="C898" t="str">
        <f>IFERROR(__xludf.DUMMYFUNCTION("""COMPUTED_VALUE"""),"Chicago Bulls")</f>
        <v>Chicago Bulls</v>
      </c>
      <c r="D898" t="str">
        <f>IFERROR(__xludf.DUMMYFUNCTION("""COMPUTED_VALUE"""),"Atlanta Hawks")</f>
        <v>Atlanta Hawks</v>
      </c>
    </row>
    <row r="899">
      <c r="A899" s="17" t="s">
        <v>987</v>
      </c>
      <c r="B899" s="19">
        <f>IFERROR(__xludf.DUMMYFUNCTION("IFERROR(SPLIT(A899,"",""),"""")"),46449.0)</f>
        <v>46449</v>
      </c>
      <c r="C899" t="str">
        <f>IFERROR(__xludf.DUMMYFUNCTION("""COMPUTED_VALUE"""),"Charlotte Hornets")</f>
        <v>Charlotte Hornets</v>
      </c>
      <c r="D899" t="str">
        <f>IFERROR(__xludf.DUMMYFUNCTION("""COMPUTED_VALUE"""),"Philadelphia 76ers")</f>
        <v>Philadelphia 76ers</v>
      </c>
    </row>
    <row r="900">
      <c r="A900" s="17" t="s">
        <v>988</v>
      </c>
      <c r="B900" s="19">
        <f>IFERROR(__xludf.DUMMYFUNCTION("IFERROR(SPLIT(A900,"",""),"""")"),46449.0)</f>
        <v>46449</v>
      </c>
      <c r="C900" t="str">
        <f>IFERROR(__xludf.DUMMYFUNCTION("""COMPUTED_VALUE"""),"Toronto Raptors")</f>
        <v>Toronto Raptors</v>
      </c>
      <c r="D900" t="str">
        <f>IFERROR(__xludf.DUMMYFUNCTION("""COMPUTED_VALUE"""),"Miami Heat")</f>
        <v>Miami Heat</v>
      </c>
    </row>
    <row r="901">
      <c r="A901" s="17" t="s">
        <v>989</v>
      </c>
      <c r="B901" s="19">
        <f>IFERROR(__xludf.DUMMYFUNCTION("IFERROR(SPLIT(A901,"",""),"""")"),46449.0)</f>
        <v>46449</v>
      </c>
      <c r="C901" t="str">
        <f>IFERROR(__xludf.DUMMYFUNCTION("""COMPUTED_VALUE"""),"Utah Jazz")</f>
        <v>Utah Jazz</v>
      </c>
      <c r="D901" t="str">
        <f>IFERROR(__xludf.DUMMYFUNCTION("""COMPUTED_VALUE"""),"Milwaukee Bucks")</f>
        <v>Milwaukee Bucks</v>
      </c>
    </row>
    <row r="902">
      <c r="A902" s="17" t="s">
        <v>990</v>
      </c>
      <c r="B902" s="19">
        <f>IFERROR(__xludf.DUMMYFUNCTION("IFERROR(SPLIT(A902,"",""),"""")"),46449.0)</f>
        <v>46449</v>
      </c>
      <c r="C902" t="str">
        <f>IFERROR(__xludf.DUMMYFUNCTION("""COMPUTED_VALUE"""),"New Orleans Pelicans")</f>
        <v>New Orleans Pelicans</v>
      </c>
      <c r="D902" t="str">
        <f>IFERROR(__xludf.DUMMYFUNCTION("""COMPUTED_VALUE"""),"Houston Rockets")</f>
        <v>Houston Rockets</v>
      </c>
    </row>
    <row r="903">
      <c r="A903" s="17" t="s">
        <v>991</v>
      </c>
      <c r="B903" s="19">
        <f>IFERROR(__xludf.DUMMYFUNCTION("IFERROR(SPLIT(A903,"",""),"""")"),46449.0)</f>
        <v>46449</v>
      </c>
      <c r="C903" t="str">
        <f>IFERROR(__xludf.DUMMYFUNCTION("""COMPUTED_VALUE"""),"Brooklyn Nets")</f>
        <v>Brooklyn Nets</v>
      </c>
      <c r="D903" t="str">
        <f>IFERROR(__xludf.DUMMYFUNCTION("""COMPUTED_VALUE"""),"Phoenix Suns")</f>
        <v>Phoenix Suns</v>
      </c>
    </row>
    <row r="904">
      <c r="A904" s="17" t="s">
        <v>992</v>
      </c>
      <c r="B904" s="19">
        <f>IFERROR(__xludf.DUMMYFUNCTION("IFERROR(SPLIT(A904,"",""),"""")"),46449.0)</f>
        <v>46449</v>
      </c>
      <c r="C904" t="str">
        <f>IFERROR(__xludf.DUMMYFUNCTION("""COMPUTED_VALUE"""),"San Antonio Spurs")</f>
        <v>San Antonio Spurs</v>
      </c>
      <c r="D904" t="str">
        <f>IFERROR(__xludf.DUMMYFUNCTION("""COMPUTED_VALUE"""),"Denver Nuggets")</f>
        <v>Denver Nuggets</v>
      </c>
    </row>
    <row r="905">
      <c r="A905" s="17" t="s">
        <v>993</v>
      </c>
      <c r="B905" s="19">
        <f>IFERROR(__xludf.DUMMYFUNCTION("IFERROR(SPLIT(A905,"",""),"""")"),46450.0)</f>
        <v>46450</v>
      </c>
      <c r="C905" t="str">
        <f>IFERROR(__xludf.DUMMYFUNCTION("""COMPUTED_VALUE"""),"Portland Trail Blazers")</f>
        <v>Portland Trail Blazers</v>
      </c>
      <c r="D905" t="str">
        <f>IFERROR(__xludf.DUMMYFUNCTION("""COMPUTED_VALUE"""),"Cleveland Cavaliers")</f>
        <v>Cleveland Cavaliers</v>
      </c>
    </row>
    <row r="906">
      <c r="A906" s="17" t="s">
        <v>994</v>
      </c>
      <c r="B906" s="19">
        <f>IFERROR(__xludf.DUMMYFUNCTION("IFERROR(SPLIT(A906,"",""),"""")"),46450.0)</f>
        <v>46450</v>
      </c>
      <c r="C906" t="str">
        <f>IFERROR(__xludf.DUMMYFUNCTION("""COMPUTED_VALUE"""),"Indiana Pacers")</f>
        <v>Indiana Pacers</v>
      </c>
      <c r="D906" t="str">
        <f>IFERROR(__xludf.DUMMYFUNCTION("""COMPUTED_VALUE"""),"Orlando Magic")</f>
        <v>Orlando Magic</v>
      </c>
    </row>
    <row r="907">
      <c r="A907" s="17" t="s">
        <v>995</v>
      </c>
      <c r="B907" s="19">
        <f>IFERROR(__xludf.DUMMYFUNCTION("IFERROR(SPLIT(A907,"",""),"""")"),46450.0)</f>
        <v>46450</v>
      </c>
      <c r="C907" t="str">
        <f>IFERROR(__xludf.DUMMYFUNCTION("""COMPUTED_VALUE"""),"Los Angeles Lakers")</f>
        <v>Los Angeles Lakers</v>
      </c>
      <c r="D907" t="str">
        <f>IFERROR(__xludf.DUMMYFUNCTION("""COMPUTED_VALUE"""),"Philadelphia 76ers")</f>
        <v>Philadelphia 76ers</v>
      </c>
    </row>
    <row r="908">
      <c r="A908" s="17" t="s">
        <v>996</v>
      </c>
      <c r="B908" s="19">
        <f>IFERROR(__xludf.DUMMYFUNCTION("IFERROR(SPLIT(A908,"",""),"""")"),46450.0)</f>
        <v>46450</v>
      </c>
      <c r="C908" t="str">
        <f>IFERROR(__xludf.DUMMYFUNCTION("""COMPUTED_VALUE"""),"Memphis Grizzlies")</f>
        <v>Memphis Grizzlies</v>
      </c>
      <c r="D908" t="str">
        <f>IFERROR(__xludf.DUMMYFUNCTION("""COMPUTED_VALUE"""),"Atlanta Hawks")</f>
        <v>Atlanta Hawks</v>
      </c>
    </row>
    <row r="909">
      <c r="A909" s="17" t="s">
        <v>997</v>
      </c>
      <c r="B909" s="19">
        <f>IFERROR(__xludf.DUMMYFUNCTION("IFERROR(SPLIT(A909,"",""),"""")"),46450.0)</f>
        <v>46450</v>
      </c>
      <c r="C909" t="str">
        <f>IFERROR(__xludf.DUMMYFUNCTION("""COMPUTED_VALUE"""),"New York Knicks")</f>
        <v>New York Knicks</v>
      </c>
      <c r="D909" t="str">
        <f>IFERROR(__xludf.DUMMYFUNCTION("""COMPUTED_VALUE"""),"Dallas Mavericks")</f>
        <v>Dallas Mavericks</v>
      </c>
    </row>
    <row r="910">
      <c r="A910" s="17" t="s">
        <v>998</v>
      </c>
      <c r="B910" s="19">
        <f>IFERROR(__xludf.DUMMYFUNCTION("IFERROR(SPLIT(A910,"",""),"""")"),46450.0)</f>
        <v>46450</v>
      </c>
      <c r="C910" t="str">
        <f>IFERROR(__xludf.DUMMYFUNCTION("""COMPUTED_VALUE"""),"Washington Wizards")</f>
        <v>Washington Wizards</v>
      </c>
      <c r="D910" t="str">
        <f>IFERROR(__xludf.DUMMYFUNCTION("""COMPUTED_VALUE"""),"Golden State Warriors")</f>
        <v>Golden State Warriors</v>
      </c>
    </row>
    <row r="911">
      <c r="A911" s="17" t="s">
        <v>999</v>
      </c>
      <c r="B911" s="19">
        <f>IFERROR(__xludf.DUMMYFUNCTION("IFERROR(SPLIT(A911,"",""),"""")"),46450.0)</f>
        <v>46450</v>
      </c>
      <c r="C911" t="str">
        <f>IFERROR(__xludf.DUMMYFUNCTION("""COMPUTED_VALUE"""),"Oklahoma City Thunder")</f>
        <v>Oklahoma City Thunder</v>
      </c>
      <c r="D911" t="str">
        <f>IFERROR(__xludf.DUMMYFUNCTION("""COMPUTED_VALUE"""),"Sacramento Kings")</f>
        <v>Sacramento Kings</v>
      </c>
    </row>
    <row r="912">
      <c r="A912" s="17" t="s">
        <v>1000</v>
      </c>
      <c r="B912" s="19">
        <f>IFERROR(__xludf.DUMMYFUNCTION("IFERROR(SPLIT(A912,"",""),"""")"),46450.0)</f>
        <v>46450</v>
      </c>
      <c r="C912" t="str">
        <f>IFERROR(__xludf.DUMMYFUNCTION("""COMPUTED_VALUE"""),"Brooklyn Nets")</f>
        <v>Brooklyn Nets</v>
      </c>
      <c r="D912" t="str">
        <f>IFERROR(__xludf.DUMMYFUNCTION("""COMPUTED_VALUE"""),"Los Angeles Clippers")</f>
        <v>Los Angeles Clippers</v>
      </c>
    </row>
    <row r="913">
      <c r="A913" s="17" t="s">
        <v>1001</v>
      </c>
      <c r="B913" s="19">
        <f>IFERROR(__xludf.DUMMYFUNCTION("IFERROR(SPLIT(A913,"",""),"""")"),46451.0)</f>
        <v>46451</v>
      </c>
      <c r="C913" t="str">
        <f>IFERROR(__xludf.DUMMYFUNCTION("""COMPUTED_VALUE"""),"Boston Celtics")</f>
        <v>Boston Celtics</v>
      </c>
      <c r="D913" t="str">
        <f>IFERROR(__xludf.DUMMYFUNCTION("""COMPUTED_VALUE"""),"Detroit Pistons")</f>
        <v>Detroit Pistons</v>
      </c>
    </row>
    <row r="914">
      <c r="A914" s="17" t="s">
        <v>1002</v>
      </c>
      <c r="B914" s="19">
        <f>IFERROR(__xludf.DUMMYFUNCTION("IFERROR(SPLIT(A914,"",""),"""")"),46451.0)</f>
        <v>46451</v>
      </c>
      <c r="C914" t="str">
        <f>IFERROR(__xludf.DUMMYFUNCTION("""COMPUTED_VALUE"""),"Utah Jazz")</f>
        <v>Utah Jazz</v>
      </c>
      <c r="D914" t="str">
        <f>IFERROR(__xludf.DUMMYFUNCTION("""COMPUTED_VALUE"""),"Orlando Magic")</f>
        <v>Orlando Magic</v>
      </c>
    </row>
    <row r="915">
      <c r="A915" s="17" t="s">
        <v>1003</v>
      </c>
      <c r="B915" s="19">
        <f>IFERROR(__xludf.DUMMYFUNCTION("IFERROR(SPLIT(A915,"",""),"""")"),46451.0)</f>
        <v>46451</v>
      </c>
      <c r="C915" t="str">
        <f>IFERROR(__xludf.DUMMYFUNCTION("""COMPUTED_VALUE"""),"Portland Trail Blazers")</f>
        <v>Portland Trail Blazers</v>
      </c>
      <c r="D915" t="str">
        <f>IFERROR(__xludf.DUMMYFUNCTION("""COMPUTED_VALUE"""),"Toronto Raptors")</f>
        <v>Toronto Raptors</v>
      </c>
    </row>
    <row r="916">
      <c r="A916" s="17" t="s">
        <v>1004</v>
      </c>
      <c r="B916" s="19">
        <f>IFERROR(__xludf.DUMMYFUNCTION("IFERROR(SPLIT(A916,"",""),"""")"),46451.0)</f>
        <v>46451</v>
      </c>
      <c r="C916" t="str">
        <f>IFERROR(__xludf.DUMMYFUNCTION("""COMPUTED_VALUE"""),"Milwaukee Bucks")</f>
        <v>Milwaukee Bucks</v>
      </c>
      <c r="D916" t="str">
        <f>IFERROR(__xludf.DUMMYFUNCTION("""COMPUTED_VALUE"""),"New Orleans Pelicans")</f>
        <v>New Orleans Pelicans</v>
      </c>
    </row>
    <row r="917">
      <c r="A917" s="17" t="s">
        <v>1005</v>
      </c>
      <c r="B917" s="19">
        <f>IFERROR(__xludf.DUMMYFUNCTION("IFERROR(SPLIT(A917,"",""),"""")"),46451.0)</f>
        <v>46451</v>
      </c>
      <c r="C917" t="str">
        <f>IFERROR(__xludf.DUMMYFUNCTION("""COMPUTED_VALUE"""),"Minnesota Timberwolves")</f>
        <v>Minnesota Timberwolves</v>
      </c>
      <c r="D917" t="str">
        <f>IFERROR(__xludf.DUMMYFUNCTION("""COMPUTED_VALUE"""),"Phoenix Suns")</f>
        <v>Phoenix Suns</v>
      </c>
    </row>
    <row r="918">
      <c r="A918" s="17" t="s">
        <v>1006</v>
      </c>
      <c r="B918" s="19">
        <f>IFERROR(__xludf.DUMMYFUNCTION("IFERROR(SPLIT(A918,"",""),"""")"),46451.0)</f>
        <v>46451</v>
      </c>
      <c r="C918" t="str">
        <f>IFERROR(__xludf.DUMMYFUNCTION("""COMPUTED_VALUE"""),"San Antonio Spurs")</f>
        <v>San Antonio Spurs</v>
      </c>
      <c r="D918" t="str">
        <f>IFERROR(__xludf.DUMMYFUNCTION("""COMPUTED_VALUE"""),"Houston Rockets")</f>
        <v>Houston Rockets</v>
      </c>
    </row>
    <row r="919">
      <c r="A919" s="17" t="s">
        <v>1007</v>
      </c>
      <c r="B919" s="19">
        <f>IFERROR(__xludf.DUMMYFUNCTION("IFERROR(SPLIT(A919,"",""),"""")"),46452.0)</f>
        <v>46452</v>
      </c>
      <c r="C919" t="str">
        <f>IFERROR(__xludf.DUMMYFUNCTION("""COMPUTED_VALUE"""),"Indiana Pacers")</f>
        <v>Indiana Pacers</v>
      </c>
      <c r="D919" t="str">
        <f>IFERROR(__xludf.DUMMYFUNCTION("""COMPUTED_VALUE"""),"Miami Heat")</f>
        <v>Miami Heat</v>
      </c>
    </row>
    <row r="920">
      <c r="A920" s="17" t="s">
        <v>1008</v>
      </c>
      <c r="B920" s="19">
        <f>IFERROR(__xludf.DUMMYFUNCTION("IFERROR(SPLIT(A920,"",""),"""")"),46452.0)</f>
        <v>46452</v>
      </c>
      <c r="C920" t="str">
        <f>IFERROR(__xludf.DUMMYFUNCTION("""COMPUTED_VALUE"""),"Charlotte Hornets")</f>
        <v>Charlotte Hornets</v>
      </c>
      <c r="D920" t="str">
        <f>IFERROR(__xludf.DUMMYFUNCTION("""COMPUTED_VALUE"""),"Chicago Bulls")</f>
        <v>Chicago Bulls</v>
      </c>
    </row>
    <row r="921">
      <c r="A921" s="17" t="s">
        <v>1009</v>
      </c>
      <c r="B921" s="19">
        <f>IFERROR(__xludf.DUMMYFUNCTION("IFERROR(SPLIT(A921,"",""),"""")"),46452.0)</f>
        <v>46452</v>
      </c>
      <c r="C921" t="str">
        <f>IFERROR(__xludf.DUMMYFUNCTION("""COMPUTED_VALUE"""),"Atlanta Hawks")</f>
        <v>Atlanta Hawks</v>
      </c>
      <c r="D921" t="str">
        <f>IFERROR(__xludf.DUMMYFUNCTION("""COMPUTED_VALUE"""),"Cleveland Cavaliers")</f>
        <v>Cleveland Cavaliers</v>
      </c>
    </row>
    <row r="922">
      <c r="A922" s="17" t="s">
        <v>1010</v>
      </c>
      <c r="B922" s="19">
        <f>IFERROR(__xludf.DUMMYFUNCTION("IFERROR(SPLIT(A922,"",""),"""")"),46452.0)</f>
        <v>46452</v>
      </c>
      <c r="C922" t="str">
        <f>IFERROR(__xludf.DUMMYFUNCTION("""COMPUTED_VALUE"""),"Utah Jazz")</f>
        <v>Utah Jazz</v>
      </c>
      <c r="D922" t="str">
        <f>IFERROR(__xludf.DUMMYFUNCTION("""COMPUTED_VALUE"""),"Washington Wizards")</f>
        <v>Washington Wizards</v>
      </c>
    </row>
    <row r="923">
      <c r="A923" s="17" t="s">
        <v>1011</v>
      </c>
      <c r="B923" s="19">
        <f>IFERROR(__xludf.DUMMYFUNCTION("IFERROR(SPLIT(A923,"",""),"""")"),46452.0)</f>
        <v>46452</v>
      </c>
      <c r="C923" t="str">
        <f>IFERROR(__xludf.DUMMYFUNCTION("""COMPUTED_VALUE"""),"New Orleans Pelicans")</f>
        <v>New Orleans Pelicans</v>
      </c>
      <c r="D923" t="str">
        <f>IFERROR(__xludf.DUMMYFUNCTION("""COMPUTED_VALUE"""),"Memphis Grizzlies")</f>
        <v>Memphis Grizzlies</v>
      </c>
    </row>
    <row r="924">
      <c r="A924" s="17" t="s">
        <v>1012</v>
      </c>
      <c r="B924" s="19">
        <f>IFERROR(__xludf.DUMMYFUNCTION("IFERROR(SPLIT(A924,"",""),"""")"),46452.0)</f>
        <v>46452</v>
      </c>
      <c r="C924" t="str">
        <f>IFERROR(__xludf.DUMMYFUNCTION("""COMPUTED_VALUE"""),"Oklahoma City Thunder")</f>
        <v>Oklahoma City Thunder</v>
      </c>
      <c r="D924" t="str">
        <f>IFERROR(__xludf.DUMMYFUNCTION("""COMPUTED_VALUE"""),"Los Angeles Lakers")</f>
        <v>Los Angeles Lakers</v>
      </c>
    </row>
    <row r="925">
      <c r="A925" s="17" t="s">
        <v>1013</v>
      </c>
      <c r="B925" s="19">
        <f>IFERROR(__xludf.DUMMYFUNCTION("IFERROR(SPLIT(A925,"",""),"""")"),46452.0)</f>
        <v>46452</v>
      </c>
      <c r="C925" t="str">
        <f>IFERROR(__xludf.DUMMYFUNCTION("""COMPUTED_VALUE"""),"Los Angeles Clippers")</f>
        <v>Los Angeles Clippers</v>
      </c>
      <c r="D925" t="str">
        <f>IFERROR(__xludf.DUMMYFUNCTION("""COMPUTED_VALUE"""),"Sacramento Kings")</f>
        <v>Sacramento Kings</v>
      </c>
    </row>
    <row r="926">
      <c r="A926" s="17" t="s">
        <v>1014</v>
      </c>
      <c r="B926" s="19">
        <f>IFERROR(__xludf.DUMMYFUNCTION("IFERROR(SPLIT(A926,"",""),"""")"),46453.0)</f>
        <v>46453</v>
      </c>
      <c r="C926" t="str">
        <f>IFERROR(__xludf.DUMMYFUNCTION("""COMPUTED_VALUE"""),"Philadelphia 76ers")</f>
        <v>Philadelphia 76ers</v>
      </c>
      <c r="D926" t="str">
        <f>IFERROR(__xludf.DUMMYFUNCTION("""COMPUTED_VALUE"""),"Boston Celtics")</f>
        <v>Boston Celtics</v>
      </c>
    </row>
    <row r="927">
      <c r="A927" s="17" t="s">
        <v>1015</v>
      </c>
      <c r="B927" s="19">
        <f>IFERROR(__xludf.DUMMYFUNCTION("IFERROR(SPLIT(A927,"",""),"""")"),46453.0)</f>
        <v>46453</v>
      </c>
      <c r="C927" t="str">
        <f>IFERROR(__xludf.DUMMYFUNCTION("""COMPUTED_VALUE"""),"Minnesota Timberwolves")</f>
        <v>Minnesota Timberwolves</v>
      </c>
      <c r="D927" t="str">
        <f>IFERROR(__xludf.DUMMYFUNCTION("""COMPUTED_VALUE"""),"Denver Nuggets")</f>
        <v>Denver Nuggets</v>
      </c>
    </row>
    <row r="928">
      <c r="A928" s="17" t="s">
        <v>1016</v>
      </c>
      <c r="B928" s="19">
        <f>IFERROR(__xludf.DUMMYFUNCTION("IFERROR(SPLIT(A928,"",""),"""")"),46453.0)</f>
        <v>46453</v>
      </c>
      <c r="C928" t="str">
        <f>IFERROR(__xludf.DUMMYFUNCTION("""COMPUTED_VALUE"""),"Portland Trail Blazers")</f>
        <v>Portland Trail Blazers</v>
      </c>
      <c r="D928" t="str">
        <f>IFERROR(__xludf.DUMMYFUNCTION("""COMPUTED_VALUE"""),"Chicago Bulls")</f>
        <v>Chicago Bulls</v>
      </c>
    </row>
    <row r="929">
      <c r="A929" s="17" t="s">
        <v>1017</v>
      </c>
      <c r="B929" s="19">
        <f>IFERROR(__xludf.DUMMYFUNCTION("IFERROR(SPLIT(A929,"",""),"""")"),46453.0)</f>
        <v>46453</v>
      </c>
      <c r="C929" t="str">
        <f>IFERROR(__xludf.DUMMYFUNCTION("""COMPUTED_VALUE"""),"New York Knicks")</f>
        <v>New York Knicks</v>
      </c>
      <c r="D929" t="str">
        <f>IFERROR(__xludf.DUMMYFUNCTION("""COMPUTED_VALUE"""),"San Antonio Spurs")</f>
        <v>San Antonio Spurs</v>
      </c>
    </row>
    <row r="930">
      <c r="A930" s="17" t="s">
        <v>1018</v>
      </c>
      <c r="B930" s="19">
        <f>IFERROR(__xludf.DUMMYFUNCTION("IFERROR(SPLIT(A930,"",""),"""")"),46453.0)</f>
        <v>46453</v>
      </c>
      <c r="C930" t="str">
        <f>IFERROR(__xludf.DUMMYFUNCTION("""COMPUTED_VALUE"""),"Houston Rockets")</f>
        <v>Houston Rockets</v>
      </c>
      <c r="D930" t="str">
        <f>IFERROR(__xludf.DUMMYFUNCTION("""COMPUTED_VALUE"""),"Golden State Warriors")</f>
        <v>Golden State Warriors</v>
      </c>
    </row>
    <row r="931">
      <c r="A931" s="17" t="s">
        <v>1019</v>
      </c>
      <c r="B931" s="19">
        <f>IFERROR(__xludf.DUMMYFUNCTION("IFERROR(SPLIT(A931,"",""),"""")"),46453.0)</f>
        <v>46453</v>
      </c>
      <c r="C931" t="str">
        <f>IFERROR(__xludf.DUMMYFUNCTION("""COMPUTED_VALUE"""),"Brooklyn Nets")</f>
        <v>Brooklyn Nets</v>
      </c>
      <c r="D931" t="str">
        <f>IFERROR(__xludf.DUMMYFUNCTION("""COMPUTED_VALUE"""),"Los Angeles Lakers")</f>
        <v>Los Angeles Lakers</v>
      </c>
    </row>
    <row r="932">
      <c r="A932" s="17" t="s">
        <v>1020</v>
      </c>
      <c r="B932" s="19">
        <f>IFERROR(__xludf.DUMMYFUNCTION("IFERROR(SPLIT(A932,"",""),"""")"),46454.0)</f>
        <v>46454</v>
      </c>
      <c r="C932" t="str">
        <f>IFERROR(__xludf.DUMMYFUNCTION("""COMPUTED_VALUE"""),"Charlotte Hornets")</f>
        <v>Charlotte Hornets</v>
      </c>
      <c r="D932" t="str">
        <f>IFERROR(__xludf.DUMMYFUNCTION("""COMPUTED_VALUE"""),"Indiana Pacers")</f>
        <v>Indiana Pacers</v>
      </c>
    </row>
    <row r="933">
      <c r="A933" s="17" t="s">
        <v>1021</v>
      </c>
      <c r="B933" s="19">
        <f>IFERROR(__xludf.DUMMYFUNCTION("IFERROR(SPLIT(A933,"",""),"""")"),46454.0)</f>
        <v>46454</v>
      </c>
      <c r="C933" t="str">
        <f>IFERROR(__xludf.DUMMYFUNCTION("""COMPUTED_VALUE"""),"Utah Jazz")</f>
        <v>Utah Jazz</v>
      </c>
      <c r="D933" t="str">
        <f>IFERROR(__xludf.DUMMYFUNCTION("""COMPUTED_VALUE"""),"Philadelphia 76ers")</f>
        <v>Philadelphia 76ers</v>
      </c>
    </row>
    <row r="934">
      <c r="A934" s="17" t="s">
        <v>1022</v>
      </c>
      <c r="B934" s="19">
        <f>IFERROR(__xludf.DUMMYFUNCTION("IFERROR(SPLIT(A934,"",""),"""")"),46454.0)</f>
        <v>46454</v>
      </c>
      <c r="C934" t="str">
        <f>IFERROR(__xludf.DUMMYFUNCTION("""COMPUTED_VALUE"""),"Phoenix Suns")</f>
        <v>Phoenix Suns</v>
      </c>
      <c r="D934" t="str">
        <f>IFERROR(__xludf.DUMMYFUNCTION("""COMPUTED_VALUE"""),"Miami Heat")</f>
        <v>Miami Heat</v>
      </c>
    </row>
    <row r="935">
      <c r="A935" s="17" t="s">
        <v>1023</v>
      </c>
      <c r="B935" s="19">
        <f>IFERROR(__xludf.DUMMYFUNCTION("IFERROR(SPLIT(A935,"",""),"""")"),46454.0)</f>
        <v>46454</v>
      </c>
      <c r="C935" t="str">
        <f>IFERROR(__xludf.DUMMYFUNCTION("""COMPUTED_VALUE"""),"Atlanta Hawks")</f>
        <v>Atlanta Hawks</v>
      </c>
      <c r="D935" t="str">
        <f>IFERROR(__xludf.DUMMYFUNCTION("""COMPUTED_VALUE"""),"Memphis Grizzlies")</f>
        <v>Memphis Grizzlies</v>
      </c>
    </row>
    <row r="936">
      <c r="A936" s="17" t="s">
        <v>1024</v>
      </c>
      <c r="B936" s="19">
        <f>IFERROR(__xludf.DUMMYFUNCTION("IFERROR(SPLIT(A936,"",""),"""")"),46454.0)</f>
        <v>46454</v>
      </c>
      <c r="C936" t="str">
        <f>IFERROR(__xludf.DUMMYFUNCTION("""COMPUTED_VALUE"""),"New Orleans Pelicans")</f>
        <v>New Orleans Pelicans</v>
      </c>
      <c r="D936" t="str">
        <f>IFERROR(__xludf.DUMMYFUNCTION("""COMPUTED_VALUE"""),"Minnesota Timberwolves")</f>
        <v>Minnesota Timberwolves</v>
      </c>
    </row>
    <row r="937">
      <c r="A937" s="17" t="s">
        <v>1025</v>
      </c>
      <c r="B937" s="19">
        <f>IFERROR(__xludf.DUMMYFUNCTION("IFERROR(SPLIT(A937,"",""),"""")"),46454.0)</f>
        <v>46454</v>
      </c>
      <c r="C937" t="str">
        <f>IFERROR(__xludf.DUMMYFUNCTION("""COMPUTED_VALUE"""),"Dallas Mavericks")</f>
        <v>Dallas Mavericks</v>
      </c>
      <c r="D937" t="str">
        <f>IFERROR(__xludf.DUMMYFUNCTION("""COMPUTED_VALUE"""),"Oklahoma City Thunder")</f>
        <v>Oklahoma City Thunder</v>
      </c>
    </row>
    <row r="938">
      <c r="A938" s="17" t="s">
        <v>1026</v>
      </c>
      <c r="B938" s="19">
        <f>IFERROR(__xludf.DUMMYFUNCTION("IFERROR(SPLIT(A938,"",""),"""")"),46454.0)</f>
        <v>46454</v>
      </c>
      <c r="C938" t="str">
        <f>IFERROR(__xludf.DUMMYFUNCTION("""COMPUTED_VALUE"""),"Denver Nuggets")</f>
        <v>Denver Nuggets</v>
      </c>
      <c r="D938" t="str">
        <f>IFERROR(__xludf.DUMMYFUNCTION("""COMPUTED_VALUE"""),"Sacramento Kings")</f>
        <v>Sacramento Kings</v>
      </c>
    </row>
    <row r="939">
      <c r="A939" s="17" t="s">
        <v>1027</v>
      </c>
      <c r="B939" s="19">
        <f>IFERROR(__xludf.DUMMYFUNCTION("IFERROR(SPLIT(A939,"",""),"""")"),46454.0)</f>
        <v>46454</v>
      </c>
      <c r="C939" t="str">
        <f>IFERROR(__xludf.DUMMYFUNCTION("""COMPUTED_VALUE"""),"Houston Rockets")</f>
        <v>Houston Rockets</v>
      </c>
      <c r="D939" t="str">
        <f>IFERROR(__xludf.DUMMYFUNCTION("""COMPUTED_VALUE"""),"Los Angeles Clippers")</f>
        <v>Los Angeles Clippers</v>
      </c>
    </row>
    <row r="940">
      <c r="A940" s="17" t="s">
        <v>1028</v>
      </c>
      <c r="B940" s="19">
        <f>IFERROR(__xludf.DUMMYFUNCTION("IFERROR(SPLIT(A940,"",""),"""")"),46455.0)</f>
        <v>46455</v>
      </c>
      <c r="C940" t="str">
        <f>IFERROR(__xludf.DUMMYFUNCTION("""COMPUTED_VALUE"""),"Phoenix Suns")</f>
        <v>Phoenix Suns</v>
      </c>
      <c r="D940" t="str">
        <f>IFERROR(__xludf.DUMMYFUNCTION("""COMPUTED_VALUE"""),"Orlando Magic")</f>
        <v>Orlando Magic</v>
      </c>
    </row>
    <row r="941">
      <c r="A941" s="17" t="s">
        <v>1029</v>
      </c>
      <c r="B941" s="19">
        <f>IFERROR(__xludf.DUMMYFUNCTION("IFERROR(SPLIT(A941,"",""),"""")"),46455.0)</f>
        <v>46455</v>
      </c>
      <c r="C941" t="str">
        <f>IFERROR(__xludf.DUMMYFUNCTION("""COMPUTED_VALUE"""),"Milwaukee Bucks")</f>
        <v>Milwaukee Bucks</v>
      </c>
      <c r="D941" t="str">
        <f>IFERROR(__xludf.DUMMYFUNCTION("""COMPUTED_VALUE"""),"Brooklyn Nets")</f>
        <v>Brooklyn Nets</v>
      </c>
    </row>
    <row r="942">
      <c r="A942" s="17" t="s">
        <v>1030</v>
      </c>
      <c r="B942" s="19">
        <f>IFERROR(__xludf.DUMMYFUNCTION("IFERROR(SPLIT(A942,"",""),"""")"),46455.0)</f>
        <v>46455</v>
      </c>
      <c r="C942" t="str">
        <f>IFERROR(__xludf.DUMMYFUNCTION("""COMPUTED_VALUE"""),"Boston Celtics")</f>
        <v>Boston Celtics</v>
      </c>
      <c r="D942" t="str">
        <f>IFERROR(__xludf.DUMMYFUNCTION("""COMPUTED_VALUE"""),"Chicago Bulls")</f>
        <v>Chicago Bulls</v>
      </c>
    </row>
    <row r="943">
      <c r="A943" s="17" t="s">
        <v>1031</v>
      </c>
      <c r="B943" s="19">
        <f>IFERROR(__xludf.DUMMYFUNCTION("IFERROR(SPLIT(A943,"",""),"""")"),46455.0)</f>
        <v>46455</v>
      </c>
      <c r="C943" t="str">
        <f>IFERROR(__xludf.DUMMYFUNCTION("""COMPUTED_VALUE"""),"Memphis Grizzlies")</f>
        <v>Memphis Grizzlies</v>
      </c>
      <c r="D943" t="str">
        <f>IFERROR(__xludf.DUMMYFUNCTION("""COMPUTED_VALUE"""),"Dallas Mavericks")</f>
        <v>Dallas Mavericks</v>
      </c>
    </row>
    <row r="944">
      <c r="A944" s="17" t="s">
        <v>1032</v>
      </c>
      <c r="B944" s="19">
        <f>IFERROR(__xludf.DUMMYFUNCTION("IFERROR(SPLIT(A944,"",""),"""")"),46455.0)</f>
        <v>46455</v>
      </c>
      <c r="C944" t="str">
        <f>IFERROR(__xludf.DUMMYFUNCTION("""COMPUTED_VALUE"""),"Cleveland Cavaliers")</f>
        <v>Cleveland Cavaliers</v>
      </c>
      <c r="D944" t="str">
        <f>IFERROR(__xludf.DUMMYFUNCTION("""COMPUTED_VALUE"""),"Detroit Pistons")</f>
        <v>Detroit Pistons</v>
      </c>
    </row>
    <row r="945">
      <c r="A945" s="17" t="s">
        <v>1033</v>
      </c>
      <c r="B945" s="19">
        <f>IFERROR(__xludf.DUMMYFUNCTION("IFERROR(SPLIT(A945,"",""),"""")"),46455.0)</f>
        <v>46455</v>
      </c>
      <c r="C945" t="str">
        <f>IFERROR(__xludf.DUMMYFUNCTION("""COMPUTED_VALUE"""),"Washington Wizards")</f>
        <v>Washington Wizards</v>
      </c>
      <c r="D945" t="str">
        <f>IFERROR(__xludf.DUMMYFUNCTION("""COMPUTED_VALUE"""),"San Antonio Spurs")</f>
        <v>San Antonio Spurs</v>
      </c>
    </row>
    <row r="946">
      <c r="A946" s="17" t="s">
        <v>1034</v>
      </c>
      <c r="B946" s="19">
        <f>IFERROR(__xludf.DUMMYFUNCTION("IFERROR(SPLIT(A946,"",""),"""")"),46455.0)</f>
        <v>46455</v>
      </c>
      <c r="C946" t="str">
        <f>IFERROR(__xludf.DUMMYFUNCTION("""COMPUTED_VALUE"""),"Portland Trail Blazers")</f>
        <v>Portland Trail Blazers</v>
      </c>
      <c r="D946" t="str">
        <f>IFERROR(__xludf.DUMMYFUNCTION("""COMPUTED_VALUE"""),"Golden State Warriors")</f>
        <v>Golden State Warriors</v>
      </c>
    </row>
    <row r="947">
      <c r="A947" s="17" t="s">
        <v>1035</v>
      </c>
      <c r="B947" s="19">
        <f>IFERROR(__xludf.DUMMYFUNCTION("IFERROR(SPLIT(A947,"",""),"""")"),46456.0)</f>
        <v>46456</v>
      </c>
      <c r="C947" t="str">
        <f>IFERROR(__xludf.DUMMYFUNCTION("""COMPUTED_VALUE"""),"New Orleans Pelicans")</f>
        <v>New Orleans Pelicans</v>
      </c>
      <c r="D947" t="str">
        <f>IFERROR(__xludf.DUMMYFUNCTION("""COMPUTED_VALUE"""),"Charlotte Hornets")</f>
        <v>Charlotte Hornets</v>
      </c>
    </row>
    <row r="948">
      <c r="A948" s="17" t="s">
        <v>1036</v>
      </c>
      <c r="B948" s="19">
        <f>IFERROR(__xludf.DUMMYFUNCTION("IFERROR(SPLIT(A948,"",""),"""")"),46456.0)</f>
        <v>46456</v>
      </c>
      <c r="C948" t="str">
        <f>IFERROR(__xludf.DUMMYFUNCTION("""COMPUTED_VALUE"""),"Orlando Magic")</f>
        <v>Orlando Magic</v>
      </c>
      <c r="D948" t="str">
        <f>IFERROR(__xludf.DUMMYFUNCTION("""COMPUTED_VALUE"""),"Miami Heat")</f>
        <v>Miami Heat</v>
      </c>
    </row>
    <row r="949">
      <c r="A949" s="17" t="s">
        <v>1037</v>
      </c>
      <c r="B949" s="19">
        <f>IFERROR(__xludf.DUMMYFUNCTION("IFERROR(SPLIT(A949,"",""),"""")"),46456.0)</f>
        <v>46456</v>
      </c>
      <c r="C949" t="str">
        <f>IFERROR(__xludf.DUMMYFUNCTION("""COMPUTED_VALUE"""),"Oklahoma City Thunder")</f>
        <v>Oklahoma City Thunder</v>
      </c>
      <c r="D949" t="str">
        <f>IFERROR(__xludf.DUMMYFUNCTION("""COMPUTED_VALUE"""),"Toronto Raptors")</f>
        <v>Toronto Raptors</v>
      </c>
    </row>
    <row r="950">
      <c r="A950" s="17" t="s">
        <v>1038</v>
      </c>
      <c r="B950" s="19">
        <f>IFERROR(__xludf.DUMMYFUNCTION("IFERROR(SPLIT(A950,"",""),"""")"),46456.0)</f>
        <v>46456</v>
      </c>
      <c r="C950" t="str">
        <f>IFERROR(__xludf.DUMMYFUNCTION("""COMPUTED_VALUE"""),"Houston Rockets")</f>
        <v>Houston Rockets</v>
      </c>
      <c r="D950" t="str">
        <f>IFERROR(__xludf.DUMMYFUNCTION("""COMPUTED_VALUE"""),"Utah Jazz")</f>
        <v>Utah Jazz</v>
      </c>
    </row>
    <row r="951">
      <c r="A951" s="17" t="s">
        <v>1039</v>
      </c>
      <c r="B951" s="19">
        <f>IFERROR(__xludf.DUMMYFUNCTION("IFERROR(SPLIT(A951,"",""),"""")"),46456.0)</f>
        <v>46456</v>
      </c>
      <c r="C951" t="str">
        <f>IFERROR(__xludf.DUMMYFUNCTION("""COMPUTED_VALUE"""),"Atlanta Hawks")</f>
        <v>Atlanta Hawks</v>
      </c>
      <c r="D951" t="str">
        <f>IFERROR(__xludf.DUMMYFUNCTION("""COMPUTED_VALUE"""),"Minnesota Timberwolves")</f>
        <v>Minnesota Timberwolves</v>
      </c>
    </row>
    <row r="952">
      <c r="A952" s="17" t="s">
        <v>1040</v>
      </c>
      <c r="B952" s="19">
        <f>IFERROR(__xludf.DUMMYFUNCTION("IFERROR(SPLIT(A952,"",""),"""")"),46456.0)</f>
        <v>46456</v>
      </c>
      <c r="C952" t="str">
        <f>IFERROR(__xludf.DUMMYFUNCTION("""COMPUTED_VALUE"""),"Denver Nuggets")</f>
        <v>Denver Nuggets</v>
      </c>
      <c r="D952" t="str">
        <f>IFERROR(__xludf.DUMMYFUNCTION("""COMPUTED_VALUE"""),"Portland Trail Blazers")</f>
        <v>Portland Trail Blazers</v>
      </c>
    </row>
    <row r="953">
      <c r="A953" s="17" t="s">
        <v>1041</v>
      </c>
      <c r="B953" s="19">
        <f>IFERROR(__xludf.DUMMYFUNCTION("IFERROR(SPLIT(A953,"",""),"""")"),46456.0)</f>
        <v>46456</v>
      </c>
      <c r="C953" t="str">
        <f>IFERROR(__xludf.DUMMYFUNCTION("""COMPUTED_VALUE"""),"Golden State Warriors")</f>
        <v>Golden State Warriors</v>
      </c>
      <c r="D953" t="str">
        <f>IFERROR(__xludf.DUMMYFUNCTION("""COMPUTED_VALUE"""),"Sacramento Kings")</f>
        <v>Sacramento Kings</v>
      </c>
    </row>
    <row r="954">
      <c r="A954" s="17" t="s">
        <v>1042</v>
      </c>
      <c r="B954" s="19">
        <f>IFERROR(__xludf.DUMMYFUNCTION("IFERROR(SPLIT(A954,"",""),"""")"),46456.0)</f>
        <v>46456</v>
      </c>
      <c r="C954" t="str">
        <f>IFERROR(__xludf.DUMMYFUNCTION("""COMPUTED_VALUE"""),"New York Knicks")</f>
        <v>New York Knicks</v>
      </c>
      <c r="D954" t="str">
        <f>IFERROR(__xludf.DUMMYFUNCTION("""COMPUTED_VALUE"""),"Los Angeles Clippers")</f>
        <v>Los Angeles Clippers</v>
      </c>
    </row>
    <row r="955">
      <c r="A955" s="17" t="s">
        <v>1043</v>
      </c>
      <c r="B955" s="19">
        <f>IFERROR(__xludf.DUMMYFUNCTION("IFERROR(SPLIT(A955,"",""),"""")"),46457.0)</f>
        <v>46457</v>
      </c>
      <c r="C955" t="str">
        <f>IFERROR(__xludf.DUMMYFUNCTION("""COMPUTED_VALUE"""),"Indiana Pacers")</f>
        <v>Indiana Pacers</v>
      </c>
      <c r="D955" t="str">
        <f>IFERROR(__xludf.DUMMYFUNCTION("""COMPUTED_VALUE"""),"Charlotte Hornets")</f>
        <v>Charlotte Hornets</v>
      </c>
    </row>
    <row r="956">
      <c r="A956" s="17" t="s">
        <v>1044</v>
      </c>
      <c r="B956" s="19">
        <f>IFERROR(__xludf.DUMMYFUNCTION("IFERROR(SPLIT(A956,"",""),"""")"),46457.0)</f>
        <v>46457</v>
      </c>
      <c r="C956" t="str">
        <f>IFERROR(__xludf.DUMMYFUNCTION("""COMPUTED_VALUE"""),"Milwaukee Bucks")</f>
        <v>Milwaukee Bucks</v>
      </c>
      <c r="D956" t="str">
        <f>IFERROR(__xludf.DUMMYFUNCTION("""COMPUTED_VALUE"""),"Detroit Pistons")</f>
        <v>Detroit Pistons</v>
      </c>
    </row>
    <row r="957">
      <c r="A957" s="17" t="s">
        <v>1045</v>
      </c>
      <c r="B957" s="19">
        <f>IFERROR(__xludf.DUMMYFUNCTION("IFERROR(SPLIT(A957,"",""),"""")"),46457.0)</f>
        <v>46457</v>
      </c>
      <c r="C957" t="str">
        <f>IFERROR(__xludf.DUMMYFUNCTION("""COMPUTED_VALUE"""),"Memphis Grizzlies")</f>
        <v>Memphis Grizzlies</v>
      </c>
      <c r="D957" t="str">
        <f>IFERROR(__xludf.DUMMYFUNCTION("""COMPUTED_VALUE"""),"Boston Celtics")</f>
        <v>Boston Celtics</v>
      </c>
    </row>
    <row r="958">
      <c r="A958" s="17" t="s">
        <v>1046</v>
      </c>
      <c r="B958" s="19">
        <f>IFERROR(__xludf.DUMMYFUNCTION("IFERROR(SPLIT(A958,"",""),"""")"),46457.0)</f>
        <v>46457</v>
      </c>
      <c r="C958" t="str">
        <f>IFERROR(__xludf.DUMMYFUNCTION("""COMPUTED_VALUE"""),"Philadelphia 76ers")</f>
        <v>Philadelphia 76ers</v>
      </c>
      <c r="D958" t="str">
        <f>IFERROR(__xludf.DUMMYFUNCTION("""COMPUTED_VALUE"""),"San Antonio Spurs")</f>
        <v>San Antonio Spurs</v>
      </c>
    </row>
    <row r="959">
      <c r="A959" s="17" t="s">
        <v>1047</v>
      </c>
      <c r="B959" s="19">
        <f>IFERROR(__xludf.DUMMYFUNCTION("IFERROR(SPLIT(A959,"",""),"""")"),46457.0)</f>
        <v>46457</v>
      </c>
      <c r="C959" t="str">
        <f>IFERROR(__xludf.DUMMYFUNCTION("""COMPUTED_VALUE"""),"Brooklyn Nets")</f>
        <v>Brooklyn Nets</v>
      </c>
      <c r="D959" t="str">
        <f>IFERROR(__xludf.DUMMYFUNCTION("""COMPUTED_VALUE"""),"Atlanta Hawks")</f>
        <v>Atlanta Hawks</v>
      </c>
    </row>
    <row r="960">
      <c r="A960" s="17" t="s">
        <v>1048</v>
      </c>
      <c r="B960" s="19">
        <f>IFERROR(__xludf.DUMMYFUNCTION("IFERROR(SPLIT(A960,"",""),"""")"),46457.0)</f>
        <v>46457</v>
      </c>
      <c r="C960" t="str">
        <f>IFERROR(__xludf.DUMMYFUNCTION("""COMPUTED_VALUE"""),"Phoenix Suns")</f>
        <v>Phoenix Suns</v>
      </c>
      <c r="D960" t="str">
        <f>IFERROR(__xludf.DUMMYFUNCTION("""COMPUTED_VALUE"""),"Chicago Bulls")</f>
        <v>Chicago Bulls</v>
      </c>
    </row>
    <row r="961">
      <c r="A961" s="17" t="s">
        <v>1049</v>
      </c>
      <c r="B961" s="19">
        <f>IFERROR(__xludf.DUMMYFUNCTION("IFERROR(SPLIT(A961,"",""),"""")"),46457.0)</f>
        <v>46457</v>
      </c>
      <c r="C961" t="str">
        <f>IFERROR(__xludf.DUMMYFUNCTION("""COMPUTED_VALUE"""),"Washington Wizards")</f>
        <v>Washington Wizards</v>
      </c>
      <c r="D961" t="str">
        <f>IFERROR(__xludf.DUMMYFUNCTION("""COMPUTED_VALUE"""),"Dallas Mavericks")</f>
        <v>Dallas Mavericks</v>
      </c>
    </row>
    <row r="962">
      <c r="A962" s="17" t="s">
        <v>1050</v>
      </c>
      <c r="B962" s="19">
        <f>IFERROR(__xludf.DUMMYFUNCTION("IFERROR(SPLIT(A962,"",""),"""")"),46457.0)</f>
        <v>46457</v>
      </c>
      <c r="C962" t="str">
        <f>IFERROR(__xludf.DUMMYFUNCTION("""COMPUTED_VALUE"""),"New York Knicks")</f>
        <v>New York Knicks</v>
      </c>
      <c r="D962" t="str">
        <f>IFERROR(__xludf.DUMMYFUNCTION("""COMPUTED_VALUE"""),"Los Angeles Lakers")</f>
        <v>Los Angeles Lakers</v>
      </c>
    </row>
    <row r="963">
      <c r="A963" s="17" t="s">
        <v>1051</v>
      </c>
      <c r="B963" s="19">
        <f>IFERROR(__xludf.DUMMYFUNCTION("IFERROR(SPLIT(A963,"",""),"""")"),46457.0)</f>
        <v>46457</v>
      </c>
      <c r="C963" t="str">
        <f>IFERROR(__xludf.DUMMYFUNCTION("""COMPUTED_VALUE"""),"Cleveland Cavaliers")</f>
        <v>Cleveland Cavaliers</v>
      </c>
      <c r="D963" t="str">
        <f>IFERROR(__xludf.DUMMYFUNCTION("""COMPUTED_VALUE"""),"Los Angeles Clippers")</f>
        <v>Los Angeles Clippers</v>
      </c>
    </row>
    <row r="964">
      <c r="A964" s="17" t="s">
        <v>1052</v>
      </c>
      <c r="B964" s="19">
        <f>IFERROR(__xludf.DUMMYFUNCTION("IFERROR(SPLIT(A964,"",""),"""")"),46458.0)</f>
        <v>46458</v>
      </c>
      <c r="C964" t="str">
        <f>IFERROR(__xludf.DUMMYFUNCTION("""COMPUTED_VALUE"""),"Oklahoma City Thunder")</f>
        <v>Oklahoma City Thunder</v>
      </c>
      <c r="D964" t="str">
        <f>IFERROR(__xludf.DUMMYFUNCTION("""COMPUTED_VALUE"""),"Boston Celtics")</f>
        <v>Boston Celtics</v>
      </c>
    </row>
    <row r="965">
      <c r="A965" s="17" t="s">
        <v>1053</v>
      </c>
      <c r="B965" s="19">
        <f>IFERROR(__xludf.DUMMYFUNCTION("IFERROR(SPLIT(A965,"",""),"""")"),46458.0)</f>
        <v>46458</v>
      </c>
      <c r="C965" t="str">
        <f>IFERROR(__xludf.DUMMYFUNCTION("""COMPUTED_VALUE"""),"Miami Heat")</f>
        <v>Miami Heat</v>
      </c>
      <c r="D965" t="str">
        <f>IFERROR(__xludf.DUMMYFUNCTION("""COMPUTED_VALUE"""),"Milwaukee Bucks")</f>
        <v>Milwaukee Bucks</v>
      </c>
    </row>
    <row r="966">
      <c r="A966" s="17" t="s">
        <v>1054</v>
      </c>
      <c r="B966" s="19">
        <f>IFERROR(__xludf.DUMMYFUNCTION("IFERROR(SPLIT(A966,"",""),"""")"),46458.0)</f>
        <v>46458</v>
      </c>
      <c r="C966" t="str">
        <f>IFERROR(__xludf.DUMMYFUNCTION("""COMPUTED_VALUE"""),"Toronto Raptors")</f>
        <v>Toronto Raptors</v>
      </c>
      <c r="D966" t="str">
        <f>IFERROR(__xludf.DUMMYFUNCTION("""COMPUTED_VALUE"""),"New Orleans Pelicans")</f>
        <v>New Orleans Pelicans</v>
      </c>
    </row>
    <row r="967">
      <c r="A967" s="17" t="s">
        <v>1055</v>
      </c>
      <c r="B967" s="19">
        <f>IFERROR(__xludf.DUMMYFUNCTION("IFERROR(SPLIT(A967,"",""),"""")"),46458.0)</f>
        <v>46458</v>
      </c>
      <c r="C967" t="str">
        <f>IFERROR(__xludf.DUMMYFUNCTION("""COMPUTED_VALUE"""),"Sacramento Kings")</f>
        <v>Sacramento Kings</v>
      </c>
      <c r="D967" t="str">
        <f>IFERROR(__xludf.DUMMYFUNCTION("""COMPUTED_VALUE"""),"Utah Jazz")</f>
        <v>Utah Jazz</v>
      </c>
    </row>
    <row r="968">
      <c r="A968" s="17" t="s">
        <v>1056</v>
      </c>
      <c r="B968" s="19">
        <f>IFERROR(__xludf.DUMMYFUNCTION("IFERROR(SPLIT(A968,"",""),"""")"),46458.0)</f>
        <v>46458</v>
      </c>
      <c r="C968" t="str">
        <f>IFERROR(__xludf.DUMMYFUNCTION("""COMPUTED_VALUE"""),"Golden State Warriors")</f>
        <v>Golden State Warriors</v>
      </c>
      <c r="D968" t="str">
        <f>IFERROR(__xludf.DUMMYFUNCTION("""COMPUTED_VALUE"""),"Denver Nuggets")</f>
        <v>Denver Nuggets</v>
      </c>
    </row>
    <row r="969">
      <c r="A969" s="17" t="s">
        <v>1057</v>
      </c>
      <c r="B969" s="19">
        <f>IFERROR(__xludf.DUMMYFUNCTION("IFERROR(SPLIT(A969,"",""),"""")"),46458.0)</f>
        <v>46458</v>
      </c>
      <c r="C969" t="str">
        <f>IFERROR(__xludf.DUMMYFUNCTION("""COMPUTED_VALUE"""),"Cleveland Cavaliers")</f>
        <v>Cleveland Cavaliers</v>
      </c>
      <c r="D969" t="str">
        <f>IFERROR(__xludf.DUMMYFUNCTION("""COMPUTED_VALUE"""),"Los Angeles Lakers")</f>
        <v>Los Angeles Lakers</v>
      </c>
    </row>
    <row r="970">
      <c r="A970" s="17" t="s">
        <v>1058</v>
      </c>
      <c r="B970" s="19">
        <f>IFERROR(__xludf.DUMMYFUNCTION("IFERROR(SPLIT(A970,"",""),"""")"),46459.0)</f>
        <v>46459</v>
      </c>
      <c r="C970" t="str">
        <f>IFERROR(__xludf.DUMMYFUNCTION("""COMPUTED_VALUE"""),"Orlando Magic")</f>
        <v>Orlando Magic</v>
      </c>
      <c r="D970" t="str">
        <f>IFERROR(__xludf.DUMMYFUNCTION("""COMPUTED_VALUE"""),"Atlanta Hawks")</f>
        <v>Atlanta Hawks</v>
      </c>
    </row>
    <row r="971">
      <c r="A971" s="17" t="s">
        <v>1059</v>
      </c>
      <c r="B971" s="19">
        <f>IFERROR(__xludf.DUMMYFUNCTION("IFERROR(SPLIT(A971,"",""),"""")"),46459.0)</f>
        <v>46459</v>
      </c>
      <c r="C971" t="str">
        <f>IFERROR(__xludf.DUMMYFUNCTION("""COMPUTED_VALUE"""),"Brooklyn Nets")</f>
        <v>Brooklyn Nets</v>
      </c>
      <c r="D971" t="str">
        <f>IFERROR(__xludf.DUMMYFUNCTION("""COMPUTED_VALUE"""),"Detroit Pistons")</f>
        <v>Detroit Pistons</v>
      </c>
    </row>
    <row r="972">
      <c r="A972" s="17" t="s">
        <v>1060</v>
      </c>
      <c r="B972" s="19">
        <f>IFERROR(__xludf.DUMMYFUNCTION("IFERROR(SPLIT(A972,"",""),"""")"),46459.0)</f>
        <v>46459</v>
      </c>
      <c r="C972" t="str">
        <f>IFERROR(__xludf.DUMMYFUNCTION("""COMPUTED_VALUE"""),"Indiana Pacers")</f>
        <v>Indiana Pacers</v>
      </c>
      <c r="D972" t="str">
        <f>IFERROR(__xludf.DUMMYFUNCTION("""COMPUTED_VALUE"""),"Houston Rockets")</f>
        <v>Houston Rockets</v>
      </c>
    </row>
    <row r="973">
      <c r="A973" s="17" t="s">
        <v>1061</v>
      </c>
      <c r="B973" s="19">
        <f>IFERROR(__xludf.DUMMYFUNCTION("IFERROR(SPLIT(A973,"",""),"""")"),46459.0)</f>
        <v>46459</v>
      </c>
      <c r="C973" t="str">
        <f>IFERROR(__xludf.DUMMYFUNCTION("""COMPUTED_VALUE"""),"Phoenix Suns")</f>
        <v>Phoenix Suns</v>
      </c>
      <c r="D973" t="str">
        <f>IFERROR(__xludf.DUMMYFUNCTION("""COMPUTED_VALUE"""),"Charlotte Hornets")</f>
        <v>Charlotte Hornets</v>
      </c>
    </row>
    <row r="974">
      <c r="A974" s="17" t="s">
        <v>1062</v>
      </c>
      <c r="B974" s="19">
        <f>IFERROR(__xludf.DUMMYFUNCTION("IFERROR(SPLIT(A974,"",""),"""")"),46459.0)</f>
        <v>46459</v>
      </c>
      <c r="C974" t="str">
        <f>IFERROR(__xludf.DUMMYFUNCTION("""COMPUTED_VALUE"""),"Memphis Grizzlies")</f>
        <v>Memphis Grizzlies</v>
      </c>
      <c r="D974" t="str">
        <f>IFERROR(__xludf.DUMMYFUNCTION("""COMPUTED_VALUE"""),"Chicago Bulls")</f>
        <v>Chicago Bulls</v>
      </c>
    </row>
    <row r="975">
      <c r="A975" s="17" t="s">
        <v>1063</v>
      </c>
      <c r="B975" s="19">
        <f>IFERROR(__xludf.DUMMYFUNCTION("IFERROR(SPLIT(A975,"",""),"""")"),46459.0)</f>
        <v>46459</v>
      </c>
      <c r="C975" t="str">
        <f>IFERROR(__xludf.DUMMYFUNCTION("""COMPUTED_VALUE"""),"New Orleans Pelicans")</f>
        <v>New Orleans Pelicans</v>
      </c>
      <c r="D975" t="str">
        <f>IFERROR(__xludf.DUMMYFUNCTION("""COMPUTED_VALUE"""),"Dallas Mavericks")</f>
        <v>Dallas Mavericks</v>
      </c>
    </row>
    <row r="976">
      <c r="A976" s="17" t="s">
        <v>1064</v>
      </c>
      <c r="B976" s="19">
        <f>IFERROR(__xludf.DUMMYFUNCTION("IFERROR(SPLIT(A976,"",""),"""")"),46459.0)</f>
        <v>46459</v>
      </c>
      <c r="C976" t="str">
        <f>IFERROR(__xludf.DUMMYFUNCTION("""COMPUTED_VALUE"""),"Philadelphia 76ers")</f>
        <v>Philadelphia 76ers</v>
      </c>
      <c r="D976" t="str">
        <f>IFERROR(__xludf.DUMMYFUNCTION("""COMPUTED_VALUE"""),"Minnesota Timberwolves")</f>
        <v>Minnesota Timberwolves</v>
      </c>
    </row>
    <row r="977">
      <c r="A977" s="17" t="s">
        <v>1065</v>
      </c>
      <c r="B977" s="19">
        <f>IFERROR(__xludf.DUMMYFUNCTION("IFERROR(SPLIT(A977,"",""),"""")"),46459.0)</f>
        <v>46459</v>
      </c>
      <c r="C977" t="str">
        <f>IFERROR(__xludf.DUMMYFUNCTION("""COMPUTED_VALUE"""),"Los Angeles Clippers")</f>
        <v>Los Angeles Clippers</v>
      </c>
      <c r="D977" t="str">
        <f>IFERROR(__xludf.DUMMYFUNCTION("""COMPUTED_VALUE"""),"Portland Trail Blazers")</f>
        <v>Portland Trail Blazers</v>
      </c>
    </row>
    <row r="978">
      <c r="A978" s="17" t="s">
        <v>1066</v>
      </c>
      <c r="B978" s="19">
        <f>IFERROR(__xludf.DUMMYFUNCTION("IFERROR(SPLIT(A978,"",""),"""")"),46460.0)</f>
        <v>46460</v>
      </c>
      <c r="C978" t="str">
        <f>IFERROR(__xludf.DUMMYFUNCTION("""COMPUTED_VALUE"""),"Boston Celtics")</f>
        <v>Boston Celtics</v>
      </c>
      <c r="D978" t="str">
        <f>IFERROR(__xludf.DUMMYFUNCTION("""COMPUTED_VALUE"""),"New York Knicks")</f>
        <v>New York Knicks</v>
      </c>
    </row>
    <row r="979">
      <c r="A979" s="17" t="s">
        <v>1067</v>
      </c>
      <c r="B979" s="19">
        <f>IFERROR(__xludf.DUMMYFUNCTION("IFERROR(SPLIT(A979,"",""),"""")"),46460.0)</f>
        <v>46460</v>
      </c>
      <c r="C979" t="str">
        <f>IFERROR(__xludf.DUMMYFUNCTION("""COMPUTED_VALUE"""),"San Antonio Spurs")</f>
        <v>San Antonio Spurs</v>
      </c>
      <c r="D979" t="str">
        <f>IFERROR(__xludf.DUMMYFUNCTION("""COMPUTED_VALUE"""),"Oklahoma City Thunder")</f>
        <v>Oklahoma City Thunder</v>
      </c>
    </row>
    <row r="980">
      <c r="A980" s="17" t="s">
        <v>1068</v>
      </c>
      <c r="B980" s="19">
        <f>IFERROR(__xludf.DUMMYFUNCTION("IFERROR(SPLIT(A980,"",""),"""")"),46460.0)</f>
        <v>46460</v>
      </c>
      <c r="C980" t="str">
        <f>IFERROR(__xludf.DUMMYFUNCTION("""COMPUTED_VALUE"""),"Detroit Pistons")</f>
        <v>Detroit Pistons</v>
      </c>
      <c r="D980" t="str">
        <f>IFERROR(__xludf.DUMMYFUNCTION("""COMPUTED_VALUE"""),"Toronto Raptors")</f>
        <v>Toronto Raptors</v>
      </c>
    </row>
    <row r="981">
      <c r="A981" s="17" t="s">
        <v>1069</v>
      </c>
      <c r="B981" s="19">
        <f>IFERROR(__xludf.DUMMYFUNCTION("IFERROR(SPLIT(A981,"",""),"""")"),46460.0)</f>
        <v>46460</v>
      </c>
      <c r="C981" t="str">
        <f>IFERROR(__xludf.DUMMYFUNCTION("""COMPUTED_VALUE"""),"Cleveland Cavaliers")</f>
        <v>Cleveland Cavaliers</v>
      </c>
      <c r="D981" t="str">
        <f>IFERROR(__xludf.DUMMYFUNCTION("""COMPUTED_VALUE"""),"Sacramento Kings")</f>
        <v>Sacramento Kings</v>
      </c>
    </row>
    <row r="982">
      <c r="A982" s="17" t="s">
        <v>1070</v>
      </c>
      <c r="B982" s="19">
        <f>IFERROR(__xludf.DUMMYFUNCTION("IFERROR(SPLIT(A982,"",""),"""")"),46460.0)</f>
        <v>46460</v>
      </c>
      <c r="C982" t="str">
        <f>IFERROR(__xludf.DUMMYFUNCTION("""COMPUTED_VALUE"""),"Miami Heat")</f>
        <v>Miami Heat</v>
      </c>
      <c r="D982" t="str">
        <f>IFERROR(__xludf.DUMMYFUNCTION("""COMPUTED_VALUE"""),"Denver Nuggets")</f>
        <v>Denver Nuggets</v>
      </c>
    </row>
    <row r="983">
      <c r="A983" s="17" t="s">
        <v>1071</v>
      </c>
      <c r="B983" s="19">
        <f>IFERROR(__xludf.DUMMYFUNCTION("IFERROR(SPLIT(A983,"",""),"""")"),46460.0)</f>
        <v>46460</v>
      </c>
      <c r="C983" t="str">
        <f>IFERROR(__xludf.DUMMYFUNCTION("""COMPUTED_VALUE"""),"Washington Wizards")</f>
        <v>Washington Wizards</v>
      </c>
      <c r="D983" t="str">
        <f>IFERROR(__xludf.DUMMYFUNCTION("""COMPUTED_VALUE"""),"Minnesota Timberwolves")</f>
        <v>Minnesota Timberwolves</v>
      </c>
    </row>
    <row r="984">
      <c r="A984" s="17" t="s">
        <v>1072</v>
      </c>
      <c r="B984" s="19">
        <f>IFERROR(__xludf.DUMMYFUNCTION("IFERROR(SPLIT(A984,"",""),"""")"),46460.0)</f>
        <v>46460</v>
      </c>
      <c r="C984" t="str">
        <f>IFERROR(__xludf.DUMMYFUNCTION("""COMPUTED_VALUE"""),"Golden State Warriors")</f>
        <v>Golden State Warriors</v>
      </c>
      <c r="D984" t="str">
        <f>IFERROR(__xludf.DUMMYFUNCTION("""COMPUTED_VALUE"""),"Los Angeles Lakers")</f>
        <v>Los Angeles Lakers</v>
      </c>
    </row>
    <row r="985">
      <c r="A985" s="17" t="s">
        <v>1073</v>
      </c>
      <c r="B985" s="19">
        <f>IFERROR(__xludf.DUMMYFUNCTION("IFERROR(SPLIT(A985,"",""),"""")"),46461.0)</f>
        <v>46461</v>
      </c>
      <c r="C985" t="str">
        <f>IFERROR(__xludf.DUMMYFUNCTION("""COMPUTED_VALUE"""),"Toronto Raptors")</f>
        <v>Toronto Raptors</v>
      </c>
      <c r="D985" t="str">
        <f>IFERROR(__xludf.DUMMYFUNCTION("""COMPUTED_VALUE"""),"Philadelphia 76ers")</f>
        <v>Philadelphia 76ers</v>
      </c>
    </row>
    <row r="986">
      <c r="A986" s="17" t="s">
        <v>1074</v>
      </c>
      <c r="B986" s="19">
        <f>IFERROR(__xludf.DUMMYFUNCTION("IFERROR(SPLIT(A986,"",""),"""")"),46461.0)</f>
        <v>46461</v>
      </c>
      <c r="C986" t="str">
        <f>IFERROR(__xludf.DUMMYFUNCTION("""COMPUTED_VALUE"""),"Indiana Pacers")</f>
        <v>Indiana Pacers</v>
      </c>
      <c r="D986" t="str">
        <f>IFERROR(__xludf.DUMMYFUNCTION("""COMPUTED_VALUE"""),"Brooklyn Nets")</f>
        <v>Brooklyn Nets</v>
      </c>
    </row>
    <row r="987">
      <c r="A987" s="17" t="s">
        <v>1075</v>
      </c>
      <c r="B987" s="19">
        <f>IFERROR(__xludf.DUMMYFUNCTION("IFERROR(SPLIT(A987,"",""),"""")"),46461.0)</f>
        <v>46461</v>
      </c>
      <c r="C987" t="str">
        <f>IFERROR(__xludf.DUMMYFUNCTION("""COMPUTED_VALUE"""),"Orlando Magic")</f>
        <v>Orlando Magic</v>
      </c>
      <c r="D987" t="str">
        <f>IFERROR(__xludf.DUMMYFUNCTION("""COMPUTED_VALUE"""),"Chicago Bulls")</f>
        <v>Chicago Bulls</v>
      </c>
    </row>
    <row r="988">
      <c r="A988" s="17" t="s">
        <v>1076</v>
      </c>
      <c r="B988" s="19">
        <f>IFERROR(__xludf.DUMMYFUNCTION("IFERROR(SPLIT(A988,"",""),"""")"),46461.0)</f>
        <v>46461</v>
      </c>
      <c r="C988" t="str">
        <f>IFERROR(__xludf.DUMMYFUNCTION("""COMPUTED_VALUE"""),"Phoenix Suns")</f>
        <v>Phoenix Suns</v>
      </c>
      <c r="D988" t="str">
        <f>IFERROR(__xludf.DUMMYFUNCTION("""COMPUTED_VALUE"""),"Memphis Grizzlies")</f>
        <v>Memphis Grizzlies</v>
      </c>
    </row>
    <row r="989">
      <c r="A989" s="17" t="s">
        <v>1077</v>
      </c>
      <c r="B989" s="19">
        <f>IFERROR(__xludf.DUMMYFUNCTION("IFERROR(SPLIT(A989,"",""),"""")"),46461.0)</f>
        <v>46461</v>
      </c>
      <c r="C989" t="str">
        <f>IFERROR(__xludf.DUMMYFUNCTION("""COMPUTED_VALUE"""),"Atlanta Hawks")</f>
        <v>Atlanta Hawks</v>
      </c>
      <c r="D989" t="str">
        <f>IFERROR(__xludf.DUMMYFUNCTION("""COMPUTED_VALUE"""),"Dallas Mavericks")</f>
        <v>Dallas Mavericks</v>
      </c>
    </row>
    <row r="990">
      <c r="A990" s="17" t="s">
        <v>1078</v>
      </c>
      <c r="B990" s="19">
        <f>IFERROR(__xludf.DUMMYFUNCTION("IFERROR(SPLIT(A990,"",""),"""")"),46462.0)</f>
        <v>46462</v>
      </c>
      <c r="C990" t="str">
        <f>IFERROR(__xludf.DUMMYFUNCTION("""COMPUTED_VALUE"""),"New York Knicks")</f>
        <v>New York Knicks</v>
      </c>
      <c r="D990" t="str">
        <f>IFERROR(__xludf.DUMMYFUNCTION("""COMPUTED_VALUE"""),"Washington Wizards")</f>
        <v>Washington Wizards</v>
      </c>
    </row>
    <row r="991">
      <c r="A991" s="17" t="s">
        <v>1079</v>
      </c>
      <c r="B991" s="19">
        <f>IFERROR(__xludf.DUMMYFUNCTION("IFERROR(SPLIT(A991,"",""),"""")"),46462.0)</f>
        <v>46462</v>
      </c>
      <c r="C991" t="str">
        <f>IFERROR(__xludf.DUMMYFUNCTION("""COMPUTED_VALUE"""),"Sacramento Kings")</f>
        <v>Sacramento Kings</v>
      </c>
      <c r="D991" t="str">
        <f>IFERROR(__xludf.DUMMYFUNCTION("""COMPUTED_VALUE"""),"Boston Celtics")</f>
        <v>Boston Celtics</v>
      </c>
    </row>
    <row r="992">
      <c r="A992" s="17" t="s">
        <v>1080</v>
      </c>
      <c r="B992" s="19">
        <f>IFERROR(__xludf.DUMMYFUNCTION("IFERROR(SPLIT(A992,"",""),"""")"),46462.0)</f>
        <v>46462</v>
      </c>
      <c r="C992" t="str">
        <f>IFERROR(__xludf.DUMMYFUNCTION("""COMPUTED_VALUE"""),"Detroit Pistons")</f>
        <v>Detroit Pistons</v>
      </c>
      <c r="D992" t="str">
        <f>IFERROR(__xludf.DUMMYFUNCTION("""COMPUTED_VALUE"""),"Indiana Pacers")</f>
        <v>Indiana Pacers</v>
      </c>
    </row>
    <row r="993">
      <c r="A993" s="17" t="s">
        <v>1081</v>
      </c>
      <c r="B993" s="19">
        <f>IFERROR(__xludf.DUMMYFUNCTION("IFERROR(SPLIT(A993,"",""),"""")"),46462.0)</f>
        <v>46462</v>
      </c>
      <c r="C993" t="str">
        <f>IFERROR(__xludf.DUMMYFUNCTION("""COMPUTED_VALUE"""),"Orlando Magic")</f>
        <v>Orlando Magic</v>
      </c>
      <c r="D993" t="str">
        <f>IFERROR(__xludf.DUMMYFUNCTION("""COMPUTED_VALUE"""),"Milwaukee Bucks")</f>
        <v>Milwaukee Bucks</v>
      </c>
    </row>
    <row r="994">
      <c r="A994" s="17" t="s">
        <v>1082</v>
      </c>
      <c r="B994" s="19">
        <f>IFERROR(__xludf.DUMMYFUNCTION("IFERROR(SPLIT(A994,"",""),"""")"),46462.0)</f>
        <v>46462</v>
      </c>
      <c r="C994" t="str">
        <f>IFERROR(__xludf.DUMMYFUNCTION("""COMPUTED_VALUE"""),"Minnesota Timberwolves")</f>
        <v>Minnesota Timberwolves</v>
      </c>
      <c r="D994" t="str">
        <f>IFERROR(__xludf.DUMMYFUNCTION("""COMPUTED_VALUE"""),"New Orleans Pelicans")</f>
        <v>New Orleans Pelicans</v>
      </c>
    </row>
    <row r="995">
      <c r="A995" s="17" t="s">
        <v>1083</v>
      </c>
      <c r="B995" s="19">
        <f>IFERROR(__xludf.DUMMYFUNCTION("IFERROR(SPLIT(A995,"",""),"""")"),46462.0)</f>
        <v>46462</v>
      </c>
      <c r="C995" t="str">
        <f>IFERROR(__xludf.DUMMYFUNCTION("""COMPUTED_VALUE"""),"Charlotte Hornets")</f>
        <v>Charlotte Hornets</v>
      </c>
      <c r="D995" t="str">
        <f>IFERROR(__xludf.DUMMYFUNCTION("""COMPUTED_VALUE"""),"Oklahoma City Thunder")</f>
        <v>Oklahoma City Thunder</v>
      </c>
    </row>
    <row r="996">
      <c r="A996" s="17" t="s">
        <v>1084</v>
      </c>
      <c r="B996" s="19">
        <f>IFERROR(__xludf.DUMMYFUNCTION("IFERROR(SPLIT(A996,"",""),"""")"),46462.0)</f>
        <v>46462</v>
      </c>
      <c r="C996" t="str">
        <f>IFERROR(__xludf.DUMMYFUNCTION("""COMPUTED_VALUE"""),"San Antonio Spurs")</f>
        <v>San Antonio Spurs</v>
      </c>
      <c r="D996" t="str">
        <f>IFERROR(__xludf.DUMMYFUNCTION("""COMPUTED_VALUE"""),"Houston Rockets")</f>
        <v>Houston Rockets</v>
      </c>
    </row>
    <row r="997">
      <c r="A997" s="17" t="s">
        <v>1085</v>
      </c>
      <c r="B997" s="19">
        <f>IFERROR(__xludf.DUMMYFUNCTION("IFERROR(SPLIT(A997,"",""),"""")"),46462.0)</f>
        <v>46462</v>
      </c>
      <c r="C997" t="str">
        <f>IFERROR(__xludf.DUMMYFUNCTION("""COMPUTED_VALUE"""),"Cleveland Cavaliers")</f>
        <v>Cleveland Cavaliers</v>
      </c>
      <c r="D997" t="str">
        <f>IFERROR(__xludf.DUMMYFUNCTION("""COMPUTED_VALUE"""),"Golden State Warriors")</f>
        <v>Golden State Warriors</v>
      </c>
    </row>
    <row r="998">
      <c r="A998" s="17" t="s">
        <v>1086</v>
      </c>
      <c r="B998" s="19">
        <f>IFERROR(__xludf.DUMMYFUNCTION("IFERROR(SPLIT(A998,"",""),"""")"),46462.0)</f>
        <v>46462</v>
      </c>
      <c r="C998" t="str">
        <f>IFERROR(__xludf.DUMMYFUNCTION("""COMPUTED_VALUE"""),"Los Angeles Lakers")</f>
        <v>Los Angeles Lakers</v>
      </c>
      <c r="D998" t="str">
        <f>IFERROR(__xludf.DUMMYFUNCTION("""COMPUTED_VALUE"""),"Portland Trail Blazers")</f>
        <v>Portland Trail Blazers</v>
      </c>
    </row>
    <row r="999">
      <c r="A999" s="17" t="s">
        <v>1087</v>
      </c>
      <c r="B999" s="19">
        <f>IFERROR(__xludf.DUMMYFUNCTION("IFERROR(SPLIT(A999,"",""),"""")"),46462.0)</f>
        <v>46462</v>
      </c>
      <c r="C999" t="str">
        <f>IFERROR(__xludf.DUMMYFUNCTION("""COMPUTED_VALUE"""),"Denver Nuggets")</f>
        <v>Denver Nuggets</v>
      </c>
      <c r="D999" t="str">
        <f>IFERROR(__xludf.DUMMYFUNCTION("""COMPUTED_VALUE"""),"Los Angeles Clippers")</f>
        <v>Los Angeles Clippers</v>
      </c>
    </row>
    <row r="1000">
      <c r="A1000" s="17" t="s">
        <v>1088</v>
      </c>
      <c r="B1000" s="19">
        <f>IFERROR(__xludf.DUMMYFUNCTION("IFERROR(SPLIT(A1000,"",""),"""")"),46463.0)</f>
        <v>46463</v>
      </c>
      <c r="C1000" t="str">
        <f>IFERROR(__xludf.DUMMYFUNCTION("""COMPUTED_VALUE"""),"Chicago Bulls")</f>
        <v>Chicago Bulls</v>
      </c>
      <c r="D1000" t="str">
        <f>IFERROR(__xludf.DUMMYFUNCTION("""COMPUTED_VALUE"""),"Philadelphia 76ers")</f>
        <v>Philadelphia 76ers</v>
      </c>
    </row>
    <row r="1001">
      <c r="A1001" s="17" t="s">
        <v>1089</v>
      </c>
      <c r="B1001" s="19">
        <f>IFERROR(__xludf.DUMMYFUNCTION("IFERROR(SPLIT(A1001,"",""),"""")"),46463.0)</f>
        <v>46463</v>
      </c>
      <c r="C1001" t="str">
        <f>IFERROR(__xludf.DUMMYFUNCTION("""COMPUTED_VALUE"""),"Sacramento Kings")</f>
        <v>Sacramento Kings</v>
      </c>
      <c r="D1001" t="str">
        <f>IFERROR(__xludf.DUMMYFUNCTION("""COMPUTED_VALUE"""),"New York Knicks")</f>
        <v>New York Knicks</v>
      </c>
    </row>
    <row r="1002">
      <c r="A1002" s="17" t="s">
        <v>1090</v>
      </c>
      <c r="B1002" s="19">
        <f>IFERROR(__xludf.DUMMYFUNCTION("IFERROR(SPLIT(A1002,"",""),"""")"),46463.0)</f>
        <v>46463</v>
      </c>
      <c r="C1002" t="str">
        <f>IFERROR(__xludf.DUMMYFUNCTION("""COMPUTED_VALUE"""),"Dallas Mavericks")</f>
        <v>Dallas Mavericks</v>
      </c>
      <c r="D1002" t="str">
        <f>IFERROR(__xludf.DUMMYFUNCTION("""COMPUTED_VALUE"""),"Oklahoma City Thunder")</f>
        <v>Oklahoma City Thunder</v>
      </c>
    </row>
    <row r="1003">
      <c r="A1003" s="17" t="s">
        <v>1091</v>
      </c>
      <c r="B1003" s="19">
        <f>IFERROR(__xludf.DUMMYFUNCTION("IFERROR(SPLIT(A1003,"",""),"""")"),46463.0)</f>
        <v>46463</v>
      </c>
      <c r="C1003" t="str">
        <f>IFERROR(__xludf.DUMMYFUNCTION("""COMPUTED_VALUE"""),"Brooklyn Nets")</f>
        <v>Brooklyn Nets</v>
      </c>
      <c r="D1003" t="str">
        <f>IFERROR(__xludf.DUMMYFUNCTION("""COMPUTED_VALUE"""),"Houston Rockets")</f>
        <v>Houston Rockets</v>
      </c>
    </row>
    <row r="1004">
      <c r="A1004" s="17" t="s">
        <v>1092</v>
      </c>
      <c r="B1004" s="19">
        <f>IFERROR(__xludf.DUMMYFUNCTION("IFERROR(SPLIT(A1004,"",""),"""")"),46463.0)</f>
        <v>46463</v>
      </c>
      <c r="C1004" t="str">
        <f>IFERROR(__xludf.DUMMYFUNCTION("""COMPUTED_VALUE"""),"Atlanta Hawks")</f>
        <v>Atlanta Hawks</v>
      </c>
      <c r="D1004" t="str">
        <f>IFERROR(__xludf.DUMMYFUNCTION("""COMPUTED_VALUE"""),"Utah Jazz")</f>
        <v>Utah Jazz</v>
      </c>
    </row>
    <row r="1005">
      <c r="A1005" s="17" t="s">
        <v>1093</v>
      </c>
      <c r="B1005" s="19">
        <f>IFERROR(__xludf.DUMMYFUNCTION("IFERROR(SPLIT(A1005,"",""),"""")"),46463.0)</f>
        <v>46463</v>
      </c>
      <c r="C1005" t="str">
        <f>IFERROR(__xludf.DUMMYFUNCTION("""COMPUTED_VALUE"""),"Memphis Grizzlies")</f>
        <v>Memphis Grizzlies</v>
      </c>
      <c r="D1005" t="str">
        <f>IFERROR(__xludf.DUMMYFUNCTION("""COMPUTED_VALUE"""),"Golden State Warriors")</f>
        <v>Golden State Warriors</v>
      </c>
    </row>
    <row r="1006">
      <c r="A1006" s="17" t="s">
        <v>1094</v>
      </c>
      <c r="B1006" s="19">
        <f>IFERROR(__xludf.DUMMYFUNCTION("IFERROR(SPLIT(A1006,"",""),"""")"),46463.0)</f>
        <v>46463</v>
      </c>
      <c r="C1006" t="str">
        <f>IFERROR(__xludf.DUMMYFUNCTION("""COMPUTED_VALUE"""),"Phoenix Suns")</f>
        <v>Phoenix Suns</v>
      </c>
      <c r="D1006" t="str">
        <f>IFERROR(__xludf.DUMMYFUNCTION("""COMPUTED_VALUE"""),"Los Angeles Lakers")</f>
        <v>Los Angeles Lakers</v>
      </c>
    </row>
    <row r="1007">
      <c r="A1007" s="17" t="s">
        <v>1095</v>
      </c>
      <c r="B1007" s="19">
        <f>IFERROR(__xludf.DUMMYFUNCTION("IFERROR(SPLIT(A1007,"",""),"""")"),46463.0)</f>
        <v>46463</v>
      </c>
      <c r="C1007" t="str">
        <f>IFERROR(__xludf.DUMMYFUNCTION("""COMPUTED_VALUE"""),"Miami Heat")</f>
        <v>Miami Heat</v>
      </c>
      <c r="D1007" t="str">
        <f>IFERROR(__xludf.DUMMYFUNCTION("""COMPUTED_VALUE"""),"Portland Trail Blazers")</f>
        <v>Portland Trail Blazers</v>
      </c>
    </row>
    <row r="1008">
      <c r="A1008" s="17" t="s">
        <v>1096</v>
      </c>
      <c r="B1008" s="19">
        <f>IFERROR(__xludf.DUMMYFUNCTION("IFERROR(SPLIT(A1008,"",""),"""")"),46464.0)</f>
        <v>46464</v>
      </c>
      <c r="C1008" t="str">
        <f>IFERROR(__xludf.DUMMYFUNCTION("""COMPUTED_VALUE"""),"Toronto Raptors")</f>
        <v>Toronto Raptors</v>
      </c>
      <c r="D1008" t="str">
        <f>IFERROR(__xludf.DUMMYFUNCTION("""COMPUTED_VALUE"""),"Indiana Pacers")</f>
        <v>Indiana Pacers</v>
      </c>
    </row>
    <row r="1009">
      <c r="A1009" s="17" t="s">
        <v>1097</v>
      </c>
      <c r="B1009" s="19">
        <f>IFERROR(__xludf.DUMMYFUNCTION("IFERROR(SPLIT(A1009,"",""),"""")"),46464.0)</f>
        <v>46464</v>
      </c>
      <c r="C1009" t="str">
        <f>IFERROR(__xludf.DUMMYFUNCTION("""COMPUTED_VALUE"""),"Philadelphia 76ers")</f>
        <v>Philadelphia 76ers</v>
      </c>
      <c r="D1009" t="str">
        <f>IFERROR(__xludf.DUMMYFUNCTION("""COMPUTED_VALUE"""),"Washington Wizards")</f>
        <v>Washington Wizards</v>
      </c>
    </row>
    <row r="1010">
      <c r="A1010" s="17" t="s">
        <v>1098</v>
      </c>
      <c r="B1010" s="19">
        <f>IFERROR(__xludf.DUMMYFUNCTION("IFERROR(SPLIT(A1010,"",""),"""")"),46464.0)</f>
        <v>46464</v>
      </c>
      <c r="C1010" t="str">
        <f>IFERROR(__xludf.DUMMYFUNCTION("""COMPUTED_VALUE"""),"Orlando Magic")</f>
        <v>Orlando Magic</v>
      </c>
      <c r="D1010" t="str">
        <f>IFERROR(__xludf.DUMMYFUNCTION("""COMPUTED_VALUE"""),"Boston Celtics")</f>
        <v>Boston Celtics</v>
      </c>
    </row>
    <row r="1011">
      <c r="A1011" s="17" t="s">
        <v>1099</v>
      </c>
      <c r="B1011" s="19">
        <f>IFERROR(__xludf.DUMMYFUNCTION("IFERROR(SPLIT(A1011,"",""),"""")"),46464.0)</f>
        <v>46464</v>
      </c>
      <c r="C1011" t="str">
        <f>IFERROR(__xludf.DUMMYFUNCTION("""COMPUTED_VALUE"""),"Detroit Pistons")</f>
        <v>Detroit Pistons</v>
      </c>
      <c r="D1011" t="str">
        <f>IFERROR(__xludf.DUMMYFUNCTION("""COMPUTED_VALUE"""),"Milwaukee Bucks")</f>
        <v>Milwaukee Bucks</v>
      </c>
    </row>
    <row r="1012">
      <c r="A1012" s="17" t="s">
        <v>1100</v>
      </c>
      <c r="B1012" s="19">
        <f>IFERROR(__xludf.DUMMYFUNCTION("IFERROR(SPLIT(A1012,"",""),"""")"),46464.0)</f>
        <v>46464</v>
      </c>
      <c r="C1012" t="str">
        <f>IFERROR(__xludf.DUMMYFUNCTION("""COMPUTED_VALUE"""),"Charlotte Hornets")</f>
        <v>Charlotte Hornets</v>
      </c>
      <c r="D1012" t="str">
        <f>IFERROR(__xludf.DUMMYFUNCTION("""COMPUTED_VALUE"""),"New Orleans Pelicans")</f>
        <v>New Orleans Pelicans</v>
      </c>
    </row>
    <row r="1013">
      <c r="A1013" s="17" t="s">
        <v>1101</v>
      </c>
      <c r="B1013" s="19">
        <f>IFERROR(__xludf.DUMMYFUNCTION("IFERROR(SPLIT(A1013,"",""),"""")"),46464.0)</f>
        <v>46464</v>
      </c>
      <c r="C1013" t="str">
        <f>IFERROR(__xludf.DUMMYFUNCTION("""COMPUTED_VALUE"""),"Brooklyn Nets")</f>
        <v>Brooklyn Nets</v>
      </c>
      <c r="D1013" t="str">
        <f>IFERROR(__xludf.DUMMYFUNCTION("""COMPUTED_VALUE"""),"San Antonio Spurs")</f>
        <v>San Antonio Spurs</v>
      </c>
    </row>
    <row r="1014">
      <c r="A1014" s="17" t="s">
        <v>1102</v>
      </c>
      <c r="B1014" s="19">
        <f>IFERROR(__xludf.DUMMYFUNCTION("IFERROR(SPLIT(A1014,"",""),"""")"),46464.0)</f>
        <v>46464</v>
      </c>
      <c r="C1014" t="str">
        <f>IFERROR(__xludf.DUMMYFUNCTION("""COMPUTED_VALUE"""),"Cleveland Cavaliers")</f>
        <v>Cleveland Cavaliers</v>
      </c>
      <c r="D1014" t="str">
        <f>IFERROR(__xludf.DUMMYFUNCTION("""COMPUTED_VALUE"""),"Denver Nuggets")</f>
        <v>Denver Nuggets</v>
      </c>
    </row>
    <row r="1015">
      <c r="A1015" s="17" t="s">
        <v>1103</v>
      </c>
      <c r="B1015" s="19">
        <f>IFERROR(__xludf.DUMMYFUNCTION("IFERROR(SPLIT(A1015,"",""),"""")"),46464.0)</f>
        <v>46464</v>
      </c>
      <c r="C1015" t="str">
        <f>IFERROR(__xludf.DUMMYFUNCTION("""COMPUTED_VALUE"""),"Minnesota Timberwolves")</f>
        <v>Minnesota Timberwolves</v>
      </c>
      <c r="D1015" t="str">
        <f>IFERROR(__xludf.DUMMYFUNCTION("""COMPUTED_VALUE"""),"Utah Jazz")</f>
        <v>Utah Jazz</v>
      </c>
    </row>
    <row r="1016">
      <c r="A1016" s="17" t="s">
        <v>1104</v>
      </c>
      <c r="B1016" s="19">
        <f>IFERROR(__xludf.DUMMYFUNCTION("IFERROR(SPLIT(A1016,"",""),"""")"),46464.0)</f>
        <v>46464</v>
      </c>
      <c r="C1016" t="str">
        <f>IFERROR(__xludf.DUMMYFUNCTION("""COMPUTED_VALUE"""),"Memphis Grizzlies")</f>
        <v>Memphis Grizzlies</v>
      </c>
      <c r="D1016" t="str">
        <f>IFERROR(__xludf.DUMMYFUNCTION("""COMPUTED_VALUE"""),"Los Angeles Clippers")</f>
        <v>Los Angeles Clippers</v>
      </c>
    </row>
    <row r="1017">
      <c r="A1017" s="17" t="s">
        <v>1105</v>
      </c>
      <c r="B1017" s="19">
        <f>IFERROR(__xludf.DUMMYFUNCTION("IFERROR(SPLIT(A1017,"",""),"""")"),46465.0)</f>
        <v>46465</v>
      </c>
      <c r="C1017" t="str">
        <f>IFERROR(__xludf.DUMMYFUNCTION("""COMPUTED_VALUE"""),"Sacramento Kings")</f>
        <v>Sacramento Kings</v>
      </c>
      <c r="D1017" t="str">
        <f>IFERROR(__xludf.DUMMYFUNCTION("""COMPUTED_VALUE"""),"Toronto Raptors")</f>
        <v>Toronto Raptors</v>
      </c>
    </row>
    <row r="1018">
      <c r="A1018" s="17" t="s">
        <v>1106</v>
      </c>
      <c r="B1018" s="19">
        <f>IFERROR(__xludf.DUMMYFUNCTION("IFERROR(SPLIT(A1018,"",""),"""")"),46465.0)</f>
        <v>46465</v>
      </c>
      <c r="C1018" t="str">
        <f>IFERROR(__xludf.DUMMYFUNCTION("""COMPUTED_VALUE"""),"Houston Rockets")</f>
        <v>Houston Rockets</v>
      </c>
      <c r="D1018" t="str">
        <f>IFERROR(__xludf.DUMMYFUNCTION("""COMPUTED_VALUE"""),"New Orleans Pelicans")</f>
        <v>New Orleans Pelicans</v>
      </c>
    </row>
    <row r="1019">
      <c r="A1019" s="17" t="s">
        <v>1107</v>
      </c>
      <c r="B1019" s="19">
        <f>IFERROR(__xludf.DUMMYFUNCTION("IFERROR(SPLIT(A1019,"",""),"""")"),46465.0)</f>
        <v>46465</v>
      </c>
      <c r="C1019" t="str">
        <f>IFERROR(__xludf.DUMMYFUNCTION("""COMPUTED_VALUE"""),"Dallas Mavericks")</f>
        <v>Dallas Mavericks</v>
      </c>
      <c r="D1019" t="str">
        <f>IFERROR(__xludf.DUMMYFUNCTION("""COMPUTED_VALUE"""),"San Antonio Spurs")</f>
        <v>San Antonio Spurs</v>
      </c>
    </row>
    <row r="1020">
      <c r="A1020" s="17" t="s">
        <v>1108</v>
      </c>
      <c r="B1020" s="19">
        <f>IFERROR(__xludf.DUMMYFUNCTION("IFERROR(SPLIT(A1020,"",""),"""")"),46465.0)</f>
        <v>46465</v>
      </c>
      <c r="C1020" t="str">
        <f>IFERROR(__xludf.DUMMYFUNCTION("""COMPUTED_VALUE"""),"Portland Trail Blazers")</f>
        <v>Portland Trail Blazers</v>
      </c>
      <c r="D1020" t="str">
        <f>IFERROR(__xludf.DUMMYFUNCTION("""COMPUTED_VALUE"""),"Golden State Warriors")</f>
        <v>Golden State Warriors</v>
      </c>
    </row>
    <row r="1021">
      <c r="A1021" s="17" t="s">
        <v>1109</v>
      </c>
      <c r="B1021" s="19">
        <f>IFERROR(__xludf.DUMMYFUNCTION("IFERROR(SPLIT(A1021,"",""),"""")"),46465.0)</f>
        <v>46465</v>
      </c>
      <c r="C1021" t="str">
        <f>IFERROR(__xludf.DUMMYFUNCTION("""COMPUTED_VALUE"""),"Atlanta Hawks")</f>
        <v>Atlanta Hawks</v>
      </c>
      <c r="D1021" t="str">
        <f>IFERROR(__xludf.DUMMYFUNCTION("""COMPUTED_VALUE"""),"Los Angeles Lakers")</f>
        <v>Los Angeles Lakers</v>
      </c>
    </row>
    <row r="1022">
      <c r="A1022" s="17" t="s">
        <v>1110</v>
      </c>
      <c r="B1022" s="19">
        <f>IFERROR(__xludf.DUMMYFUNCTION("IFERROR(SPLIT(A1022,"",""),"""")"),46465.0)</f>
        <v>46465</v>
      </c>
      <c r="C1022" t="str">
        <f>IFERROR(__xludf.DUMMYFUNCTION("""COMPUTED_VALUE"""),"Miami Heat")</f>
        <v>Miami Heat</v>
      </c>
      <c r="D1022" t="str">
        <f>IFERROR(__xludf.DUMMYFUNCTION("""COMPUTED_VALUE"""),"Phoenix Suns")</f>
        <v>Phoenix Suns</v>
      </c>
    </row>
    <row r="1023">
      <c r="A1023" s="17" t="s">
        <v>1111</v>
      </c>
      <c r="B1023" s="19">
        <f>IFERROR(__xludf.DUMMYFUNCTION("IFERROR(SPLIT(A1023,"",""),"""")"),46466.0)</f>
        <v>46466</v>
      </c>
      <c r="C1023" t="str">
        <f>IFERROR(__xludf.DUMMYFUNCTION("""COMPUTED_VALUE"""),"Washington Wizards")</f>
        <v>Washington Wizards</v>
      </c>
      <c r="D1023" t="str">
        <f>IFERROR(__xludf.DUMMYFUNCTION("""COMPUTED_VALUE"""),"New York Knicks")</f>
        <v>New York Knicks</v>
      </c>
    </row>
    <row r="1024">
      <c r="A1024" s="17" t="s">
        <v>1112</v>
      </c>
      <c r="B1024" s="19">
        <f>IFERROR(__xludf.DUMMYFUNCTION("IFERROR(SPLIT(A1024,"",""),"""")"),46466.0)</f>
        <v>46466</v>
      </c>
      <c r="C1024" t="str">
        <f>IFERROR(__xludf.DUMMYFUNCTION("""COMPUTED_VALUE"""),"Denver Nuggets")</f>
        <v>Denver Nuggets</v>
      </c>
      <c r="D1024" t="str">
        <f>IFERROR(__xludf.DUMMYFUNCTION("""COMPUTED_VALUE"""),"Orlando Magic")</f>
        <v>Orlando Magic</v>
      </c>
    </row>
    <row r="1025">
      <c r="A1025" s="17" t="s">
        <v>1113</v>
      </c>
      <c r="B1025" s="19">
        <f>IFERROR(__xludf.DUMMYFUNCTION("IFERROR(SPLIT(A1025,"",""),"""")"),46466.0)</f>
        <v>46466</v>
      </c>
      <c r="C1025" t="str">
        <f>IFERROR(__xludf.DUMMYFUNCTION("""COMPUTED_VALUE"""),"Chicago Bulls")</f>
        <v>Chicago Bulls</v>
      </c>
      <c r="D1025" t="str">
        <f>IFERROR(__xludf.DUMMYFUNCTION("""COMPUTED_VALUE"""),"Cleveland Cavaliers")</f>
        <v>Cleveland Cavaliers</v>
      </c>
    </row>
    <row r="1026">
      <c r="A1026" s="17" t="s">
        <v>1114</v>
      </c>
      <c r="B1026" s="19">
        <f>IFERROR(__xludf.DUMMYFUNCTION("IFERROR(SPLIT(A1026,"",""),"""")"),46466.0)</f>
        <v>46466</v>
      </c>
      <c r="C1026" t="str">
        <f>IFERROR(__xludf.DUMMYFUNCTION("""COMPUTED_VALUE"""),"Charlotte Hornets")</f>
        <v>Charlotte Hornets</v>
      </c>
      <c r="D1026" t="str">
        <f>IFERROR(__xludf.DUMMYFUNCTION("""COMPUTED_VALUE"""),"Detroit Pistons")</f>
        <v>Detroit Pistons</v>
      </c>
    </row>
    <row r="1027">
      <c r="A1027" s="17" t="s">
        <v>1115</v>
      </c>
      <c r="B1027" s="19">
        <f>IFERROR(__xludf.DUMMYFUNCTION("IFERROR(SPLIT(A1027,"",""),"""")"),46466.0)</f>
        <v>46466</v>
      </c>
      <c r="C1027" t="str">
        <f>IFERROR(__xludf.DUMMYFUNCTION("""COMPUTED_VALUE"""),"Oklahoma City Thunder")</f>
        <v>Oklahoma City Thunder</v>
      </c>
      <c r="D1027" t="str">
        <f>IFERROR(__xludf.DUMMYFUNCTION("""COMPUTED_VALUE"""),"Memphis Grizzlies")</f>
        <v>Memphis Grizzlies</v>
      </c>
    </row>
    <row r="1028">
      <c r="A1028" s="17" t="s">
        <v>1116</v>
      </c>
      <c r="B1028" s="19">
        <f>IFERROR(__xludf.DUMMYFUNCTION("IFERROR(SPLIT(A1028,"",""),"""")"),46466.0)</f>
        <v>46466</v>
      </c>
      <c r="C1028" t="str">
        <f>IFERROR(__xludf.DUMMYFUNCTION("""COMPUTED_VALUE"""),"Indiana Pacers")</f>
        <v>Indiana Pacers</v>
      </c>
      <c r="D1028" t="str">
        <f>IFERROR(__xludf.DUMMYFUNCTION("""COMPUTED_VALUE"""),"Milwaukee Bucks")</f>
        <v>Milwaukee Bucks</v>
      </c>
    </row>
    <row r="1029">
      <c r="A1029" s="17" t="s">
        <v>1117</v>
      </c>
      <c r="B1029" s="19">
        <f>IFERROR(__xludf.DUMMYFUNCTION("IFERROR(SPLIT(A1029,"",""),"""")"),46466.0)</f>
        <v>46466</v>
      </c>
      <c r="C1029" t="str">
        <f>IFERROR(__xludf.DUMMYFUNCTION("""COMPUTED_VALUE"""),"Atlanta Hawks")</f>
        <v>Atlanta Hawks</v>
      </c>
      <c r="D1029" t="str">
        <f>IFERROR(__xludf.DUMMYFUNCTION("""COMPUTED_VALUE"""),"Los Angeles Clippers")</f>
        <v>Los Angeles Clippers</v>
      </c>
    </row>
    <row r="1030">
      <c r="A1030" s="17" t="s">
        <v>1118</v>
      </c>
      <c r="B1030" s="19">
        <f>IFERROR(__xludf.DUMMYFUNCTION("IFERROR(SPLIT(A1030,"",""),"""")"),46467.0)</f>
        <v>46467</v>
      </c>
      <c r="C1030" t="str">
        <f>IFERROR(__xludf.DUMMYFUNCTION("""COMPUTED_VALUE"""),"New Orleans Pelicans")</f>
        <v>New Orleans Pelicans</v>
      </c>
      <c r="D1030" t="str">
        <f>IFERROR(__xludf.DUMMYFUNCTION("""COMPUTED_VALUE"""),"Boston Celtics")</f>
        <v>Boston Celtics</v>
      </c>
    </row>
    <row r="1031">
      <c r="A1031" s="17" t="s">
        <v>1119</v>
      </c>
      <c r="B1031" s="19">
        <f>IFERROR(__xludf.DUMMYFUNCTION("IFERROR(SPLIT(A1031,"",""),"""")"),46467.0)</f>
        <v>46467</v>
      </c>
      <c r="C1031" t="str">
        <f>IFERROR(__xludf.DUMMYFUNCTION("""COMPUTED_VALUE"""),"Sacramento Kings")</f>
        <v>Sacramento Kings</v>
      </c>
      <c r="D1031" t="str">
        <f>IFERROR(__xludf.DUMMYFUNCTION("""COMPUTED_VALUE"""),"Brooklyn Nets")</f>
        <v>Brooklyn Nets</v>
      </c>
    </row>
    <row r="1032">
      <c r="A1032" s="17" t="s">
        <v>1120</v>
      </c>
      <c r="B1032" s="19">
        <f>IFERROR(__xludf.DUMMYFUNCTION("IFERROR(SPLIT(A1032,"",""),"""")"),46467.0)</f>
        <v>46467</v>
      </c>
      <c r="C1032" t="str">
        <f>IFERROR(__xludf.DUMMYFUNCTION("""COMPUTED_VALUE"""),"Portland Trail Blazers")</f>
        <v>Portland Trail Blazers</v>
      </c>
      <c r="D1032" t="str">
        <f>IFERROR(__xludf.DUMMYFUNCTION("""COMPUTED_VALUE"""),"Phoenix Suns")</f>
        <v>Phoenix Suns</v>
      </c>
    </row>
    <row r="1033">
      <c r="A1033" s="17" t="s">
        <v>1121</v>
      </c>
      <c r="B1033" s="19">
        <f>IFERROR(__xludf.DUMMYFUNCTION("IFERROR(SPLIT(A1033,"",""),"""")"),46467.0)</f>
        <v>46467</v>
      </c>
      <c r="C1033" t="str">
        <f>IFERROR(__xludf.DUMMYFUNCTION("""COMPUTED_VALUE"""),"Toronto Raptors")</f>
        <v>Toronto Raptors</v>
      </c>
      <c r="D1033" t="str">
        <f>IFERROR(__xludf.DUMMYFUNCTION("""COMPUTED_VALUE"""),"Utah Jazz")</f>
        <v>Utah Jazz</v>
      </c>
    </row>
    <row r="1034">
      <c r="A1034" s="17" t="s">
        <v>1122</v>
      </c>
      <c r="B1034" s="19">
        <f>IFERROR(__xludf.DUMMYFUNCTION("IFERROR(SPLIT(A1034,"",""),"""")"),46467.0)</f>
        <v>46467</v>
      </c>
      <c r="C1034" t="str">
        <f>IFERROR(__xludf.DUMMYFUNCTION("""COMPUTED_VALUE"""),"Denver Nuggets")</f>
        <v>Denver Nuggets</v>
      </c>
      <c r="D1034" t="str">
        <f>IFERROR(__xludf.DUMMYFUNCTION("""COMPUTED_VALUE"""),"Miami Heat")</f>
        <v>Miami Heat</v>
      </c>
    </row>
    <row r="1035">
      <c r="A1035" s="17" t="s">
        <v>1123</v>
      </c>
      <c r="B1035" s="19">
        <f>IFERROR(__xludf.DUMMYFUNCTION("IFERROR(SPLIT(A1035,"",""),"""")"),46467.0)</f>
        <v>46467</v>
      </c>
      <c r="C1035" t="str">
        <f>IFERROR(__xludf.DUMMYFUNCTION("""COMPUTED_VALUE"""),"San Antonio Spurs")</f>
        <v>San Antonio Spurs</v>
      </c>
      <c r="D1035" t="str">
        <f>IFERROR(__xludf.DUMMYFUNCTION("""COMPUTED_VALUE"""),"Philadelphia 76ers")</f>
        <v>Philadelphia 76ers</v>
      </c>
    </row>
    <row r="1036">
      <c r="A1036" s="17" t="s">
        <v>1124</v>
      </c>
      <c r="B1036" s="19">
        <f>IFERROR(__xludf.DUMMYFUNCTION("IFERROR(SPLIT(A1036,"",""),"""")"),46467.0)</f>
        <v>46467</v>
      </c>
      <c r="C1036" t="str">
        <f>IFERROR(__xludf.DUMMYFUNCTION("""COMPUTED_VALUE"""),"Dallas Mavericks")</f>
        <v>Dallas Mavericks</v>
      </c>
      <c r="D1036" t="str">
        <f>IFERROR(__xludf.DUMMYFUNCTION("""COMPUTED_VALUE"""),"Los Angeles Lakers")</f>
        <v>Los Angeles Lakers</v>
      </c>
    </row>
    <row r="1037">
      <c r="A1037" s="17" t="s">
        <v>1125</v>
      </c>
      <c r="B1037" s="19">
        <f>IFERROR(__xludf.DUMMYFUNCTION("IFERROR(SPLIT(A1037,"",""),"""")"),46468.0)</f>
        <v>46468</v>
      </c>
      <c r="C1037" t="str">
        <f>IFERROR(__xludf.DUMMYFUNCTION("""COMPUTED_VALUE"""),"Houston Rockets")</f>
        <v>Houston Rockets</v>
      </c>
      <c r="D1037" t="str">
        <f>IFERROR(__xludf.DUMMYFUNCTION("""COMPUTED_VALUE"""),"Cleveland Cavaliers")</f>
        <v>Cleveland Cavaliers</v>
      </c>
    </row>
    <row r="1038">
      <c r="A1038" s="17" t="s">
        <v>1126</v>
      </c>
      <c r="B1038" s="19">
        <f>IFERROR(__xludf.DUMMYFUNCTION("IFERROR(SPLIT(A1038,"",""),"""")"),46468.0)</f>
        <v>46468</v>
      </c>
      <c r="C1038" t="str">
        <f>IFERROR(__xludf.DUMMYFUNCTION("""COMPUTED_VALUE"""),"Indiana Pacers")</f>
        <v>Indiana Pacers</v>
      </c>
      <c r="D1038" t="str">
        <f>IFERROR(__xludf.DUMMYFUNCTION("""COMPUTED_VALUE"""),"Orlando Magic")</f>
        <v>Orlando Magic</v>
      </c>
    </row>
    <row r="1039">
      <c r="A1039" s="17" t="s">
        <v>1127</v>
      </c>
      <c r="B1039" s="19">
        <f>IFERROR(__xludf.DUMMYFUNCTION("IFERROR(SPLIT(A1039,"",""),"""")"),46468.0)</f>
        <v>46468</v>
      </c>
      <c r="C1039" t="str">
        <f>IFERROR(__xludf.DUMMYFUNCTION("""COMPUTED_VALUE"""),"Sacramento Kings")</f>
        <v>Sacramento Kings</v>
      </c>
      <c r="D1039" t="str">
        <f>IFERROR(__xludf.DUMMYFUNCTION("""COMPUTED_VALUE"""),"Chicago Bulls")</f>
        <v>Chicago Bulls</v>
      </c>
    </row>
    <row r="1040">
      <c r="A1040" s="17" t="s">
        <v>1128</v>
      </c>
      <c r="B1040" s="19">
        <f>IFERROR(__xludf.DUMMYFUNCTION("IFERROR(SPLIT(A1040,"",""),"""")"),46468.0)</f>
        <v>46468</v>
      </c>
      <c r="C1040" t="str">
        <f>IFERROR(__xludf.DUMMYFUNCTION("""COMPUTED_VALUE"""),"Charlotte Hornets")</f>
        <v>Charlotte Hornets</v>
      </c>
      <c r="D1040" t="str">
        <f>IFERROR(__xludf.DUMMYFUNCTION("""COMPUTED_VALUE"""),"Memphis Grizzlies")</f>
        <v>Memphis Grizzlies</v>
      </c>
    </row>
    <row r="1041">
      <c r="A1041" s="17" t="s">
        <v>1129</v>
      </c>
      <c r="B1041" s="19">
        <f>IFERROR(__xludf.DUMMYFUNCTION("IFERROR(SPLIT(A1041,"",""),"""")"),46468.0)</f>
        <v>46468</v>
      </c>
      <c r="C1041" t="str">
        <f>IFERROR(__xludf.DUMMYFUNCTION("""COMPUTED_VALUE"""),"Washington Wizards")</f>
        <v>Washington Wizards</v>
      </c>
      <c r="D1041" t="str">
        <f>IFERROR(__xludf.DUMMYFUNCTION("""COMPUTED_VALUE"""),"Milwaukee Bucks")</f>
        <v>Milwaukee Bucks</v>
      </c>
    </row>
    <row r="1042">
      <c r="A1042" s="17" t="s">
        <v>1130</v>
      </c>
      <c r="B1042" s="19">
        <f>IFERROR(__xludf.DUMMYFUNCTION("IFERROR(SPLIT(A1042,"",""),"""")"),46468.0)</f>
        <v>46468</v>
      </c>
      <c r="C1042" t="str">
        <f>IFERROR(__xludf.DUMMYFUNCTION("""COMPUTED_VALUE"""),"Detroit Pistons")</f>
        <v>Detroit Pistons</v>
      </c>
      <c r="D1042" t="str">
        <f>IFERROR(__xludf.DUMMYFUNCTION("""COMPUTED_VALUE"""),"Minnesota Timberwolves")</f>
        <v>Minnesota Timberwolves</v>
      </c>
    </row>
    <row r="1043">
      <c r="A1043" s="17" t="s">
        <v>1131</v>
      </c>
      <c r="B1043" s="19">
        <f>IFERROR(__xludf.DUMMYFUNCTION("IFERROR(SPLIT(A1043,"",""),"""")"),46468.0)</f>
        <v>46468</v>
      </c>
      <c r="C1043" t="str">
        <f>IFERROR(__xludf.DUMMYFUNCTION("""COMPUTED_VALUE"""),"Atlanta Hawks")</f>
        <v>Atlanta Hawks</v>
      </c>
      <c r="D1043" t="str">
        <f>IFERROR(__xludf.DUMMYFUNCTION("""COMPUTED_VALUE"""),"Golden State Warriors")</f>
        <v>Golden State Warriors</v>
      </c>
    </row>
    <row r="1044">
      <c r="A1044" s="17" t="s">
        <v>1132</v>
      </c>
      <c r="B1044" s="19">
        <f>IFERROR(__xludf.DUMMYFUNCTION("IFERROR(SPLIT(A1044,"",""),"""")"),46468.0)</f>
        <v>46468</v>
      </c>
      <c r="C1044" t="str">
        <f>IFERROR(__xludf.DUMMYFUNCTION("""COMPUTED_VALUE"""),"Dallas Mavericks")</f>
        <v>Dallas Mavericks</v>
      </c>
      <c r="D1044" t="str">
        <f>IFERROR(__xludf.DUMMYFUNCTION("""COMPUTED_VALUE"""),"Los Angeles Clippers")</f>
        <v>Los Angeles Clippers</v>
      </c>
    </row>
    <row r="1045">
      <c r="A1045" s="17" t="s">
        <v>1133</v>
      </c>
      <c r="B1045" s="19">
        <f>IFERROR(__xludf.DUMMYFUNCTION("IFERROR(SPLIT(A1045,"",""),"""")"),46469.0)</f>
        <v>46469</v>
      </c>
      <c r="C1045" t="str">
        <f>IFERROR(__xludf.DUMMYFUNCTION("""COMPUTED_VALUE"""),"Boston Celtics")</f>
        <v>Boston Celtics</v>
      </c>
      <c r="D1045" t="str">
        <f>IFERROR(__xludf.DUMMYFUNCTION("""COMPUTED_VALUE"""),"Brooklyn Nets")</f>
        <v>Brooklyn Nets</v>
      </c>
    </row>
    <row r="1046">
      <c r="A1046" s="17" t="s">
        <v>1134</v>
      </c>
      <c r="B1046" s="19">
        <f>IFERROR(__xludf.DUMMYFUNCTION("IFERROR(SPLIT(A1046,"",""),"""")"),46469.0)</f>
        <v>46469</v>
      </c>
      <c r="C1046" t="str">
        <f>IFERROR(__xludf.DUMMYFUNCTION("""COMPUTED_VALUE"""),"New Orleans Pelicans")</f>
        <v>New Orleans Pelicans</v>
      </c>
      <c r="D1046" t="str">
        <f>IFERROR(__xludf.DUMMYFUNCTION("""COMPUTED_VALUE"""),"New York Knicks")</f>
        <v>New York Knicks</v>
      </c>
    </row>
    <row r="1047">
      <c r="A1047" s="17" t="s">
        <v>1135</v>
      </c>
      <c r="B1047" s="19">
        <f>IFERROR(__xludf.DUMMYFUNCTION("IFERROR(SPLIT(A1047,"",""),"""")"),46469.0)</f>
        <v>46469</v>
      </c>
      <c r="C1047" t="str">
        <f>IFERROR(__xludf.DUMMYFUNCTION("""COMPUTED_VALUE"""),"Los Angeles Lakers")</f>
        <v>Los Angeles Lakers</v>
      </c>
      <c r="D1047" t="str">
        <f>IFERROR(__xludf.DUMMYFUNCTION("""COMPUTED_VALUE"""),"Miami Heat")</f>
        <v>Miami Heat</v>
      </c>
    </row>
    <row r="1048">
      <c r="A1048" s="17" t="s">
        <v>1136</v>
      </c>
      <c r="B1048" s="19">
        <f>IFERROR(__xludf.DUMMYFUNCTION("IFERROR(SPLIT(A1048,"",""),"""")"),46469.0)</f>
        <v>46469</v>
      </c>
      <c r="C1048" t="str">
        <f>IFERROR(__xludf.DUMMYFUNCTION("""COMPUTED_VALUE"""),"Philadelphia 76ers")</f>
        <v>Philadelphia 76ers</v>
      </c>
      <c r="D1048" t="str">
        <f>IFERROR(__xludf.DUMMYFUNCTION("""COMPUTED_VALUE"""),"Utah Jazz")</f>
        <v>Utah Jazz</v>
      </c>
    </row>
    <row r="1049">
      <c r="A1049" s="17" t="s">
        <v>1137</v>
      </c>
      <c r="B1049" s="19">
        <f>IFERROR(__xludf.DUMMYFUNCTION("IFERROR(SPLIT(A1049,"",""),"""")"),46469.0)</f>
        <v>46469</v>
      </c>
      <c r="C1049" t="str">
        <f>IFERROR(__xludf.DUMMYFUNCTION("""COMPUTED_VALUE"""),"Toronto Raptors")</f>
        <v>Toronto Raptors</v>
      </c>
      <c r="D1049" t="str">
        <f>IFERROR(__xludf.DUMMYFUNCTION("""COMPUTED_VALUE"""),"Portland Trail Blazers")</f>
        <v>Portland Trail Blazers</v>
      </c>
    </row>
    <row r="1050">
      <c r="A1050" s="17" t="s">
        <v>1138</v>
      </c>
      <c r="B1050" s="19">
        <f>IFERROR(__xludf.DUMMYFUNCTION("IFERROR(SPLIT(A1050,"",""),"""")"),46469.0)</f>
        <v>46469</v>
      </c>
      <c r="C1050" t="str">
        <f>IFERROR(__xludf.DUMMYFUNCTION("""COMPUTED_VALUE"""),"Oklahoma City Thunder")</f>
        <v>Oklahoma City Thunder</v>
      </c>
      <c r="D1050" t="str">
        <f>IFERROR(__xludf.DUMMYFUNCTION("""COMPUTED_VALUE"""),"Phoenix Suns")</f>
        <v>Phoenix Suns</v>
      </c>
    </row>
    <row r="1051">
      <c r="A1051" s="17" t="s">
        <v>1139</v>
      </c>
      <c r="B1051" s="19">
        <f>IFERROR(__xludf.DUMMYFUNCTION("IFERROR(SPLIT(A1051,"",""),"""")"),46470.0)</f>
        <v>46470</v>
      </c>
      <c r="C1051" t="str">
        <f>IFERROR(__xludf.DUMMYFUNCTION("""COMPUTED_VALUE"""),"Detroit Pistons")</f>
        <v>Detroit Pistons</v>
      </c>
      <c r="D1051" t="str">
        <f>IFERROR(__xludf.DUMMYFUNCTION("""COMPUTED_VALUE"""),"Charlotte Hornets")</f>
        <v>Charlotte Hornets</v>
      </c>
    </row>
    <row r="1052">
      <c r="A1052" s="17" t="s">
        <v>1140</v>
      </c>
      <c r="B1052" s="19">
        <f>IFERROR(__xludf.DUMMYFUNCTION("IFERROR(SPLIT(A1052,"",""),"""")"),46470.0)</f>
        <v>46470</v>
      </c>
      <c r="C1052" t="str">
        <f>IFERROR(__xludf.DUMMYFUNCTION("""COMPUTED_VALUE"""),"Memphis Grizzlies")</f>
        <v>Memphis Grizzlies</v>
      </c>
      <c r="D1052" t="str">
        <f>IFERROR(__xludf.DUMMYFUNCTION("""COMPUTED_VALUE"""),"Indiana Pacers")</f>
        <v>Indiana Pacers</v>
      </c>
    </row>
    <row r="1053">
      <c r="A1053" s="17" t="s">
        <v>1141</v>
      </c>
      <c r="B1053" s="19">
        <f>IFERROR(__xludf.DUMMYFUNCTION("IFERROR(SPLIT(A1053,"",""),"""")"),46470.0)</f>
        <v>46470</v>
      </c>
      <c r="C1053" t="str">
        <f>IFERROR(__xludf.DUMMYFUNCTION("""COMPUTED_VALUE"""),"Denver Nuggets")</f>
        <v>Denver Nuggets</v>
      </c>
      <c r="D1053" t="str">
        <f>IFERROR(__xludf.DUMMYFUNCTION("""COMPUTED_VALUE"""),"Washington Wizards")</f>
        <v>Washington Wizards</v>
      </c>
    </row>
    <row r="1054">
      <c r="A1054" s="17" t="s">
        <v>1142</v>
      </c>
      <c r="B1054" s="19">
        <f>IFERROR(__xludf.DUMMYFUNCTION("IFERROR(SPLIT(A1054,"",""),"""")"),46470.0)</f>
        <v>46470</v>
      </c>
      <c r="C1054" t="str">
        <f>IFERROR(__xludf.DUMMYFUNCTION("""COMPUTED_VALUE"""),"San Antonio Spurs")</f>
        <v>San Antonio Spurs</v>
      </c>
      <c r="D1054" t="str">
        <f>IFERROR(__xludf.DUMMYFUNCTION("""COMPUTED_VALUE"""),"Boston Celtics")</f>
        <v>Boston Celtics</v>
      </c>
    </row>
    <row r="1055">
      <c r="A1055" s="17" t="s">
        <v>1143</v>
      </c>
      <c r="B1055" s="19">
        <f>IFERROR(__xludf.DUMMYFUNCTION("IFERROR(SPLIT(A1055,"",""),"""")"),46470.0)</f>
        <v>46470</v>
      </c>
      <c r="C1055" t="str">
        <f>IFERROR(__xludf.DUMMYFUNCTION("""COMPUTED_VALUE"""),"Houston Rockets")</f>
        <v>Houston Rockets</v>
      </c>
      <c r="D1055" t="str">
        <f>IFERROR(__xludf.DUMMYFUNCTION("""COMPUTED_VALUE"""),"New York Knicks")</f>
        <v>New York Knicks</v>
      </c>
    </row>
    <row r="1056">
      <c r="A1056" s="17" t="s">
        <v>1144</v>
      </c>
      <c r="B1056" s="19">
        <f>IFERROR(__xludf.DUMMYFUNCTION("IFERROR(SPLIT(A1056,"",""),"""")"),46470.0)</f>
        <v>46470</v>
      </c>
      <c r="C1056" t="str">
        <f>IFERROR(__xludf.DUMMYFUNCTION("""COMPUTED_VALUE"""),"Orlando Magic")</f>
        <v>Orlando Magic</v>
      </c>
      <c r="D1056" t="str">
        <f>IFERROR(__xludf.DUMMYFUNCTION("""COMPUTED_VALUE"""),"Chicago Bulls")</f>
        <v>Chicago Bulls</v>
      </c>
    </row>
    <row r="1057">
      <c r="A1057" s="17" t="s">
        <v>1145</v>
      </c>
      <c r="B1057" s="19">
        <f>IFERROR(__xludf.DUMMYFUNCTION("IFERROR(SPLIT(A1057,"",""),"""")"),46470.0)</f>
        <v>46470</v>
      </c>
      <c r="C1057" t="str">
        <f>IFERROR(__xludf.DUMMYFUNCTION("""COMPUTED_VALUE"""),"Dallas Mavericks")</f>
        <v>Dallas Mavericks</v>
      </c>
      <c r="D1057" t="str">
        <f>IFERROR(__xludf.DUMMYFUNCTION("""COMPUTED_VALUE"""),"Minnesota Timberwolves")</f>
        <v>Minnesota Timberwolves</v>
      </c>
    </row>
    <row r="1058">
      <c r="A1058" s="17" t="s">
        <v>1146</v>
      </c>
      <c r="B1058" s="19">
        <f>IFERROR(__xludf.DUMMYFUNCTION("IFERROR(SPLIT(A1058,"",""),"""")"),46470.0)</f>
        <v>46470</v>
      </c>
      <c r="C1058" t="str">
        <f>IFERROR(__xludf.DUMMYFUNCTION("""COMPUTED_VALUE"""),"Philadelphia 76ers")</f>
        <v>Philadelphia 76ers</v>
      </c>
      <c r="D1058" t="str">
        <f>IFERROR(__xludf.DUMMYFUNCTION("""COMPUTED_VALUE"""),"Golden State Warriors")</f>
        <v>Golden State Warriors</v>
      </c>
    </row>
    <row r="1059">
      <c r="A1059" s="17" t="s">
        <v>1147</v>
      </c>
      <c r="B1059" s="19">
        <f>IFERROR(__xludf.DUMMYFUNCTION("IFERROR(SPLIT(A1059,"",""),"""")"),46470.0)</f>
        <v>46470</v>
      </c>
      <c r="C1059" t="str">
        <f>IFERROR(__xludf.DUMMYFUNCTION("""COMPUTED_VALUE"""),"Oklahoma City Thunder")</f>
        <v>Oklahoma City Thunder</v>
      </c>
      <c r="D1059" t="str">
        <f>IFERROR(__xludf.DUMMYFUNCTION("""COMPUTED_VALUE"""),"Phoenix Suns")</f>
        <v>Phoenix Suns</v>
      </c>
    </row>
    <row r="1060">
      <c r="A1060" s="17" t="s">
        <v>1148</v>
      </c>
      <c r="B1060" s="19">
        <f>IFERROR(__xludf.DUMMYFUNCTION("IFERROR(SPLIT(A1060,"",""),"""")"),46470.0)</f>
        <v>46470</v>
      </c>
      <c r="C1060" t="str">
        <f>IFERROR(__xludf.DUMMYFUNCTION("""COMPUTED_VALUE"""),"Atlanta Hawks")</f>
        <v>Atlanta Hawks</v>
      </c>
      <c r="D1060" t="str">
        <f>IFERROR(__xludf.DUMMYFUNCTION("""COMPUTED_VALUE"""),"Sacramento Kings")</f>
        <v>Sacramento Kings</v>
      </c>
    </row>
    <row r="1061">
      <c r="A1061" s="17" t="s">
        <v>1149</v>
      </c>
      <c r="B1061" s="19">
        <f>IFERROR(__xludf.DUMMYFUNCTION("IFERROR(SPLIT(A1061,"",""),"""")"),46470.0)</f>
        <v>46470</v>
      </c>
      <c r="C1061" t="str">
        <f>IFERROR(__xludf.DUMMYFUNCTION("""COMPUTED_VALUE"""),"Milwaukee Bucks")</f>
        <v>Milwaukee Bucks</v>
      </c>
      <c r="D1061" t="str">
        <f>IFERROR(__xludf.DUMMYFUNCTION("""COMPUTED_VALUE"""),"Los Angeles Clippers")</f>
        <v>Los Angeles Clippers</v>
      </c>
    </row>
    <row r="1062">
      <c r="A1062" s="17" t="s">
        <v>1150</v>
      </c>
      <c r="B1062" s="19">
        <f>IFERROR(__xludf.DUMMYFUNCTION("IFERROR(SPLIT(A1062,"",""),"""")"),46471.0)</f>
        <v>46471</v>
      </c>
      <c r="C1062" t="str">
        <f>IFERROR(__xludf.DUMMYFUNCTION("""COMPUTED_VALUE"""),"Los Angeles Lakers")</f>
        <v>Los Angeles Lakers</v>
      </c>
      <c r="D1062" t="str">
        <f>IFERROR(__xludf.DUMMYFUNCTION("""COMPUTED_VALUE"""),"Cleveland Cavaliers")</f>
        <v>Cleveland Cavaliers</v>
      </c>
    </row>
    <row r="1063">
      <c r="A1063" s="17" t="s">
        <v>1151</v>
      </c>
      <c r="B1063" s="19">
        <f>IFERROR(__xludf.DUMMYFUNCTION("IFERROR(SPLIT(A1063,"",""),"""")"),46471.0)</f>
        <v>46471</v>
      </c>
      <c r="C1063" t="str">
        <f>IFERROR(__xludf.DUMMYFUNCTION("""COMPUTED_VALUE"""),"Houston Rockets")</f>
        <v>Houston Rockets</v>
      </c>
      <c r="D1063" t="str">
        <f>IFERROR(__xludf.DUMMYFUNCTION("""COMPUTED_VALUE"""),"Detroit Pistons")</f>
        <v>Detroit Pistons</v>
      </c>
    </row>
    <row r="1064">
      <c r="A1064" s="17" t="s">
        <v>1152</v>
      </c>
      <c r="B1064" s="19">
        <f>IFERROR(__xludf.DUMMYFUNCTION("IFERROR(SPLIT(A1064,"",""),"""")"),46471.0)</f>
        <v>46471</v>
      </c>
      <c r="C1064" t="str">
        <f>IFERROR(__xludf.DUMMYFUNCTION("""COMPUTED_VALUE"""),"San Antonio Spurs")</f>
        <v>San Antonio Spurs</v>
      </c>
      <c r="D1064" t="str">
        <f>IFERROR(__xludf.DUMMYFUNCTION("""COMPUTED_VALUE"""),"Indiana Pacers")</f>
        <v>Indiana Pacers</v>
      </c>
    </row>
    <row r="1065">
      <c r="A1065" s="17" t="s">
        <v>1153</v>
      </c>
      <c r="B1065" s="19">
        <f>IFERROR(__xludf.DUMMYFUNCTION("IFERROR(SPLIT(A1065,"",""),"""")"),46471.0)</f>
        <v>46471</v>
      </c>
      <c r="C1065" t="str">
        <f>IFERROR(__xludf.DUMMYFUNCTION("""COMPUTED_VALUE"""),"Denver Nuggets")</f>
        <v>Denver Nuggets</v>
      </c>
      <c r="D1065" t="str">
        <f>IFERROR(__xludf.DUMMYFUNCTION("""COMPUTED_VALUE"""),"Brooklyn Nets")</f>
        <v>Brooklyn Nets</v>
      </c>
    </row>
    <row r="1066">
      <c r="A1066" s="17" t="s">
        <v>1154</v>
      </c>
      <c r="B1066" s="19">
        <f>IFERROR(__xludf.DUMMYFUNCTION("IFERROR(SPLIT(A1066,"",""),"""")"),46471.0)</f>
        <v>46471</v>
      </c>
      <c r="C1066" t="str">
        <f>IFERROR(__xludf.DUMMYFUNCTION("""COMPUTED_VALUE"""),"Utah Jazz")</f>
        <v>Utah Jazz</v>
      </c>
      <c r="D1066" t="str">
        <f>IFERROR(__xludf.DUMMYFUNCTION("""COMPUTED_VALUE"""),"Miami Heat")</f>
        <v>Miami Heat</v>
      </c>
    </row>
    <row r="1067">
      <c r="A1067" s="17" t="s">
        <v>1155</v>
      </c>
      <c r="B1067" s="19">
        <f>IFERROR(__xludf.DUMMYFUNCTION("IFERROR(SPLIT(A1067,"",""),"""")"),46471.0)</f>
        <v>46471</v>
      </c>
      <c r="C1067" t="str">
        <f>IFERROR(__xludf.DUMMYFUNCTION("""COMPUTED_VALUE"""),"Chicago Bulls")</f>
        <v>Chicago Bulls</v>
      </c>
      <c r="D1067" t="str">
        <f>IFERROR(__xludf.DUMMYFUNCTION("""COMPUTED_VALUE"""),"Memphis Grizzlies")</f>
        <v>Memphis Grizzlies</v>
      </c>
    </row>
    <row r="1068">
      <c r="A1068" s="17" t="s">
        <v>1156</v>
      </c>
      <c r="B1068" s="19">
        <f>IFERROR(__xludf.DUMMYFUNCTION("IFERROR(SPLIT(A1068,"",""),"""")"),46471.0)</f>
        <v>46471</v>
      </c>
      <c r="C1068" t="str">
        <f>IFERROR(__xludf.DUMMYFUNCTION("""COMPUTED_VALUE"""),"Toronto Raptors")</f>
        <v>Toronto Raptors</v>
      </c>
      <c r="D1068" t="str">
        <f>IFERROR(__xludf.DUMMYFUNCTION("""COMPUTED_VALUE"""),"Golden State Warriors")</f>
        <v>Golden State Warriors</v>
      </c>
    </row>
    <row r="1069">
      <c r="A1069" s="17" t="s">
        <v>1157</v>
      </c>
      <c r="B1069" s="19">
        <f>IFERROR(__xludf.DUMMYFUNCTION("IFERROR(SPLIT(A1069,"",""),"""")"),46472.0)</f>
        <v>46472</v>
      </c>
      <c r="C1069" t="str">
        <f>IFERROR(__xludf.DUMMYFUNCTION("""COMPUTED_VALUE"""),"New York Knicks")</f>
        <v>New York Knicks</v>
      </c>
      <c r="D1069" t="str">
        <f>IFERROR(__xludf.DUMMYFUNCTION("""COMPUTED_VALUE"""),"Charlotte Hornets")</f>
        <v>Charlotte Hornets</v>
      </c>
    </row>
    <row r="1070">
      <c r="A1070" s="17" t="s">
        <v>1158</v>
      </c>
      <c r="B1070" s="19">
        <f>IFERROR(__xludf.DUMMYFUNCTION("IFERROR(SPLIT(A1070,"",""),"""")"),46472.0)</f>
        <v>46472</v>
      </c>
      <c r="C1070" t="str">
        <f>IFERROR(__xludf.DUMMYFUNCTION("""COMPUTED_VALUE"""),"New Orleans Pelicans")</f>
        <v>New Orleans Pelicans</v>
      </c>
      <c r="D1070" t="str">
        <f>IFERROR(__xludf.DUMMYFUNCTION("""COMPUTED_VALUE"""),"Dallas Mavericks")</f>
        <v>Dallas Mavericks</v>
      </c>
    </row>
    <row r="1071">
      <c r="A1071" s="17" t="s">
        <v>1159</v>
      </c>
      <c r="B1071" s="19">
        <f>IFERROR(__xludf.DUMMYFUNCTION("IFERROR(SPLIT(A1071,"",""),"""")"),46472.0)</f>
        <v>46472</v>
      </c>
      <c r="C1071" t="str">
        <f>IFERROR(__xludf.DUMMYFUNCTION("""COMPUTED_VALUE"""),"Orlando Magic")</f>
        <v>Orlando Magic</v>
      </c>
      <c r="D1071" t="str">
        <f>IFERROR(__xludf.DUMMYFUNCTION("""COMPUTED_VALUE"""),"Minnesota Timberwolves")</f>
        <v>Minnesota Timberwolves</v>
      </c>
    </row>
    <row r="1072">
      <c r="A1072" s="17" t="s">
        <v>1160</v>
      </c>
      <c r="B1072" s="19">
        <f>IFERROR(__xludf.DUMMYFUNCTION("IFERROR(SPLIT(A1072,"",""),"""")"),46472.0)</f>
        <v>46472</v>
      </c>
      <c r="C1072" t="str">
        <f>IFERROR(__xludf.DUMMYFUNCTION("""COMPUTED_VALUE"""),"Los Angeles Clippers")</f>
        <v>Los Angeles Clippers</v>
      </c>
      <c r="D1072" t="str">
        <f>IFERROR(__xludf.DUMMYFUNCTION("""COMPUTED_VALUE"""),"Oklahoma City Thunder")</f>
        <v>Oklahoma City Thunder</v>
      </c>
    </row>
    <row r="1073">
      <c r="A1073" s="17" t="s">
        <v>1161</v>
      </c>
      <c r="B1073" s="19">
        <f>IFERROR(__xludf.DUMMYFUNCTION("IFERROR(SPLIT(A1073,"",""),"""")"),46472.0)</f>
        <v>46472</v>
      </c>
      <c r="C1073" t="str">
        <f>IFERROR(__xludf.DUMMYFUNCTION("""COMPUTED_VALUE"""),"Milwaukee Bucks")</f>
        <v>Milwaukee Bucks</v>
      </c>
      <c r="D1073" t="str">
        <f>IFERROR(__xludf.DUMMYFUNCTION("""COMPUTED_VALUE"""),"Phoenix Suns")</f>
        <v>Phoenix Suns</v>
      </c>
    </row>
    <row r="1074">
      <c r="A1074" s="17" t="s">
        <v>1162</v>
      </c>
      <c r="B1074" s="19">
        <f>IFERROR(__xludf.DUMMYFUNCTION("IFERROR(SPLIT(A1074,"",""),"""")"),46472.0)</f>
        <v>46472</v>
      </c>
      <c r="C1074" t="str">
        <f>IFERROR(__xludf.DUMMYFUNCTION("""COMPUTED_VALUE"""),"Philadelphia 76ers")</f>
        <v>Philadelphia 76ers</v>
      </c>
      <c r="D1074" t="str">
        <f>IFERROR(__xludf.DUMMYFUNCTION("""COMPUTED_VALUE"""),"Portland Trail Blazers")</f>
        <v>Portland Trail Blazers</v>
      </c>
    </row>
    <row r="1075">
      <c r="A1075" s="17" t="s">
        <v>1163</v>
      </c>
      <c r="B1075" s="19">
        <f>IFERROR(__xludf.DUMMYFUNCTION("IFERROR(SPLIT(A1075,"",""),"""")"),46473.0)</f>
        <v>46473</v>
      </c>
      <c r="C1075" t="str">
        <f>IFERROR(__xludf.DUMMYFUNCTION("""COMPUTED_VALUE"""),"San Antonio Spurs")</f>
        <v>San Antonio Spurs</v>
      </c>
      <c r="D1075" t="str">
        <f>IFERROR(__xludf.DUMMYFUNCTION("""COMPUTED_VALUE"""),"Detroit Pistons")</f>
        <v>Detroit Pistons</v>
      </c>
    </row>
    <row r="1076">
      <c r="A1076" s="17" t="s">
        <v>1164</v>
      </c>
      <c r="B1076" s="19">
        <f>IFERROR(__xludf.DUMMYFUNCTION("IFERROR(SPLIT(A1076,"",""),"""")"),46473.0)</f>
        <v>46473</v>
      </c>
      <c r="C1076" t="str">
        <f>IFERROR(__xludf.DUMMYFUNCTION("""COMPUTED_VALUE"""),"Utah Jazz")</f>
        <v>Utah Jazz</v>
      </c>
      <c r="D1076" t="str">
        <f>IFERROR(__xludf.DUMMYFUNCTION("""COMPUTED_VALUE"""),"Atlanta Hawks")</f>
        <v>Atlanta Hawks</v>
      </c>
    </row>
    <row r="1077">
      <c r="A1077" s="17" t="s">
        <v>1165</v>
      </c>
      <c r="B1077" s="19">
        <f>IFERROR(__xludf.DUMMYFUNCTION("IFERROR(SPLIT(A1077,"",""),"""")"),46473.0)</f>
        <v>46473</v>
      </c>
      <c r="C1077" t="str">
        <f>IFERROR(__xludf.DUMMYFUNCTION("""COMPUTED_VALUE"""),"Golden State Warriors")</f>
        <v>Golden State Warriors</v>
      </c>
      <c r="D1077" t="str">
        <f>IFERROR(__xludf.DUMMYFUNCTION("""COMPUTED_VALUE"""),"Washington Wizards")</f>
        <v>Washington Wizards</v>
      </c>
    </row>
    <row r="1078">
      <c r="A1078" s="17" t="s">
        <v>1166</v>
      </c>
      <c r="B1078" s="19">
        <f>IFERROR(__xludf.DUMMYFUNCTION("IFERROR(SPLIT(A1078,"",""),"""")"),46473.0)</f>
        <v>46473</v>
      </c>
      <c r="C1078" t="str">
        <f>IFERROR(__xludf.DUMMYFUNCTION("""COMPUTED_VALUE"""),"Los Angeles Clippers")</f>
        <v>Los Angeles Clippers</v>
      </c>
      <c r="D1078" t="str">
        <f>IFERROR(__xludf.DUMMYFUNCTION("""COMPUTED_VALUE"""),"Chicago Bulls")</f>
        <v>Chicago Bulls</v>
      </c>
    </row>
    <row r="1079">
      <c r="A1079" s="17" t="s">
        <v>1167</v>
      </c>
      <c r="B1079" s="19">
        <f>IFERROR(__xludf.DUMMYFUNCTION("IFERROR(SPLIT(A1079,"",""),"""")"),46473.0)</f>
        <v>46473</v>
      </c>
      <c r="C1079" t="str">
        <f>IFERROR(__xludf.DUMMYFUNCTION("""COMPUTED_VALUE"""),"Boston Celtics")</f>
        <v>Boston Celtics</v>
      </c>
      <c r="D1079" t="str">
        <f>IFERROR(__xludf.DUMMYFUNCTION("""COMPUTED_VALUE"""),"Miami Heat")</f>
        <v>Miami Heat</v>
      </c>
    </row>
    <row r="1080">
      <c r="A1080" s="17" t="s">
        <v>1168</v>
      </c>
      <c r="B1080" s="19">
        <f>IFERROR(__xludf.DUMMYFUNCTION("IFERROR(SPLIT(A1080,"",""),"""")"),46473.0)</f>
        <v>46473</v>
      </c>
      <c r="C1080" t="str">
        <f>IFERROR(__xludf.DUMMYFUNCTION("""COMPUTED_VALUE"""),"Milwaukee Bucks")</f>
        <v>Milwaukee Bucks</v>
      </c>
      <c r="D1080" t="str">
        <f>IFERROR(__xludf.DUMMYFUNCTION("""COMPUTED_VALUE"""),"Portland Trail Blazers")</f>
        <v>Portland Trail Blazers</v>
      </c>
    </row>
    <row r="1081">
      <c r="A1081" s="17" t="s">
        <v>1169</v>
      </c>
      <c r="B1081" s="19">
        <f>IFERROR(__xludf.DUMMYFUNCTION("IFERROR(SPLIT(A1081,"",""),"""")"),46473.0)</f>
        <v>46473</v>
      </c>
      <c r="C1081" t="str">
        <f>IFERROR(__xludf.DUMMYFUNCTION("""COMPUTED_VALUE"""),"Toronto Raptors")</f>
        <v>Toronto Raptors</v>
      </c>
      <c r="D1081" t="str">
        <f>IFERROR(__xludf.DUMMYFUNCTION("""COMPUTED_VALUE"""),"Sacramento Kings")</f>
        <v>Sacramento Kings</v>
      </c>
    </row>
    <row r="1082">
      <c r="A1082" s="17" t="s">
        <v>1170</v>
      </c>
      <c r="B1082" s="19">
        <f>IFERROR(__xludf.DUMMYFUNCTION("IFERROR(SPLIT(A1082,"",""),"""")"),46474.0)</f>
        <v>46474</v>
      </c>
      <c r="C1082" t="str">
        <f>IFERROR(__xludf.DUMMYFUNCTION("""COMPUTED_VALUE"""),"New York Knicks")</f>
        <v>New York Knicks</v>
      </c>
      <c r="D1082" t="str">
        <f>IFERROR(__xludf.DUMMYFUNCTION("""COMPUTED_VALUE"""),"Orlando Magic")</f>
        <v>Orlando Magic</v>
      </c>
    </row>
    <row r="1083">
      <c r="A1083" s="17" t="s">
        <v>1171</v>
      </c>
      <c r="B1083" s="19">
        <f>IFERROR(__xludf.DUMMYFUNCTION("IFERROR(SPLIT(A1083,"",""),"""")"),46474.0)</f>
        <v>46474</v>
      </c>
      <c r="C1083" t="str">
        <f>IFERROR(__xludf.DUMMYFUNCTION("""COMPUTED_VALUE"""),"Memphis Grizzlies")</f>
        <v>Memphis Grizzlies</v>
      </c>
      <c r="D1083" t="str">
        <f>IFERROR(__xludf.DUMMYFUNCTION("""COMPUTED_VALUE"""),"Brooklyn Nets")</f>
        <v>Brooklyn Nets</v>
      </c>
    </row>
    <row r="1084">
      <c r="A1084" s="17" t="s">
        <v>1172</v>
      </c>
      <c r="B1084" s="19">
        <f>IFERROR(__xludf.DUMMYFUNCTION("IFERROR(SPLIT(A1084,"",""),"""")"),46474.0)</f>
        <v>46474</v>
      </c>
      <c r="C1084" t="str">
        <f>IFERROR(__xludf.DUMMYFUNCTION("""COMPUTED_VALUE"""),"Los Angeles Lakers")</f>
        <v>Los Angeles Lakers</v>
      </c>
      <c r="D1084" t="str">
        <f>IFERROR(__xludf.DUMMYFUNCTION("""COMPUTED_VALUE"""),"Houston Rockets")</f>
        <v>Houston Rockets</v>
      </c>
    </row>
    <row r="1085">
      <c r="A1085" s="17" t="s">
        <v>1173</v>
      </c>
      <c r="B1085" s="19">
        <f>IFERROR(__xludf.DUMMYFUNCTION("IFERROR(SPLIT(A1085,"",""),"""")"),46474.0)</f>
        <v>46474</v>
      </c>
      <c r="C1085" t="str">
        <f>IFERROR(__xludf.DUMMYFUNCTION("""COMPUTED_VALUE"""),"Utah Jazz")</f>
        <v>Utah Jazz</v>
      </c>
      <c r="D1085" t="str">
        <f>IFERROR(__xludf.DUMMYFUNCTION("""COMPUTED_VALUE"""),"Charlotte Hornets")</f>
        <v>Charlotte Hornets</v>
      </c>
    </row>
    <row r="1086">
      <c r="A1086" s="17" t="s">
        <v>1174</v>
      </c>
      <c r="B1086" s="19">
        <f>IFERROR(__xludf.DUMMYFUNCTION("IFERROR(SPLIT(A1086,"",""),"""")"),46474.0)</f>
        <v>46474</v>
      </c>
      <c r="C1086" t="str">
        <f>IFERROR(__xludf.DUMMYFUNCTION("""COMPUTED_VALUE"""),"Dallas Mavericks")</f>
        <v>Dallas Mavericks</v>
      </c>
      <c r="D1086" t="str">
        <f>IFERROR(__xludf.DUMMYFUNCTION("""COMPUTED_VALUE"""),"Washington Wizards")</f>
        <v>Washington Wizards</v>
      </c>
    </row>
    <row r="1087">
      <c r="A1087" s="17" t="s">
        <v>1175</v>
      </c>
      <c r="B1087" s="19">
        <f>IFERROR(__xludf.DUMMYFUNCTION("IFERROR(SPLIT(A1087,"",""),"""")"),46474.0)</f>
        <v>46474</v>
      </c>
      <c r="C1087" t="str">
        <f>IFERROR(__xludf.DUMMYFUNCTION("""COMPUTED_VALUE"""),"Boston Celtics")</f>
        <v>Boston Celtics</v>
      </c>
      <c r="D1087" t="str">
        <f>IFERROR(__xludf.DUMMYFUNCTION("""COMPUTED_VALUE"""),"New Orleans Pelicans")</f>
        <v>New Orleans Pelicans</v>
      </c>
    </row>
    <row r="1088">
      <c r="A1088" s="17" t="s">
        <v>1176</v>
      </c>
      <c r="B1088" s="19">
        <f>IFERROR(__xludf.DUMMYFUNCTION("IFERROR(SPLIT(A1088,"",""),"""")"),46474.0)</f>
        <v>46474</v>
      </c>
      <c r="C1088" t="str">
        <f>IFERROR(__xludf.DUMMYFUNCTION("""COMPUTED_VALUE"""),"Oklahoma City Thunder")</f>
        <v>Oklahoma City Thunder</v>
      </c>
      <c r="D1088" t="str">
        <f>IFERROR(__xludf.DUMMYFUNCTION("""COMPUTED_VALUE"""),"Minnesota Timberwolves")</f>
        <v>Minnesota Timberwolves</v>
      </c>
    </row>
    <row r="1089">
      <c r="A1089" s="17" t="s">
        <v>1177</v>
      </c>
      <c r="B1089" s="19">
        <f>IFERROR(__xludf.DUMMYFUNCTION("IFERROR(SPLIT(A1089,"",""),"""")"),46474.0)</f>
        <v>46474</v>
      </c>
      <c r="C1089" t="str">
        <f>IFERROR(__xludf.DUMMYFUNCTION("""COMPUTED_VALUE"""),"Toronto Raptors")</f>
        <v>Toronto Raptors</v>
      </c>
      <c r="D1089" t="str">
        <f>IFERROR(__xludf.DUMMYFUNCTION("""COMPUTED_VALUE"""),"Phoenix Suns")</f>
        <v>Phoenix Suns</v>
      </c>
    </row>
    <row r="1090">
      <c r="A1090" s="17" t="s">
        <v>1178</v>
      </c>
      <c r="B1090" s="19">
        <f>IFERROR(__xludf.DUMMYFUNCTION("IFERROR(SPLIT(A1090,"",""),"""")"),46474.0)</f>
        <v>46474</v>
      </c>
      <c r="C1090" t="str">
        <f>IFERROR(__xludf.DUMMYFUNCTION("""COMPUTED_VALUE"""),"Philadelphia 76ers")</f>
        <v>Philadelphia 76ers</v>
      </c>
      <c r="D1090" t="str">
        <f>IFERROR(__xludf.DUMMYFUNCTION("""COMPUTED_VALUE"""),"Denver Nuggets")</f>
        <v>Denver Nuggets</v>
      </c>
    </row>
    <row r="1091">
      <c r="A1091" s="17" t="s">
        <v>1179</v>
      </c>
      <c r="B1091" s="19">
        <f>IFERROR(__xludf.DUMMYFUNCTION("IFERROR(SPLIT(A1091,"",""),"""")"),46475.0)</f>
        <v>46475</v>
      </c>
      <c r="C1091" t="str">
        <f>IFERROR(__xludf.DUMMYFUNCTION("""COMPUTED_VALUE"""),"Minnesota Timberwolves")</f>
        <v>Minnesota Timberwolves</v>
      </c>
      <c r="D1091" t="str">
        <f>IFERROR(__xludf.DUMMYFUNCTION("""COMPUTED_VALUE"""),"Atlanta Hawks")</f>
        <v>Atlanta Hawks</v>
      </c>
    </row>
    <row r="1092">
      <c r="A1092" s="17" t="s">
        <v>1180</v>
      </c>
      <c r="B1092" s="19">
        <f>IFERROR(__xludf.DUMMYFUNCTION("IFERROR(SPLIT(A1092,"",""),"""")"),46475.0)</f>
        <v>46475</v>
      </c>
      <c r="C1092" t="str">
        <f>IFERROR(__xludf.DUMMYFUNCTION("""COMPUTED_VALUE"""),"Miami Heat")</f>
        <v>Miami Heat</v>
      </c>
      <c r="D1092" t="str">
        <f>IFERROR(__xludf.DUMMYFUNCTION("""COMPUTED_VALUE"""),"Cleveland Cavaliers")</f>
        <v>Cleveland Cavaliers</v>
      </c>
    </row>
    <row r="1093">
      <c r="A1093" s="17" t="s">
        <v>1181</v>
      </c>
      <c r="B1093" s="19">
        <f>IFERROR(__xludf.DUMMYFUNCTION("IFERROR(SPLIT(A1093,"",""),"""")"),46475.0)</f>
        <v>46475</v>
      </c>
      <c r="C1093" t="str">
        <f>IFERROR(__xludf.DUMMYFUNCTION("""COMPUTED_VALUE"""),"Los Angeles Clippers")</f>
        <v>Los Angeles Clippers</v>
      </c>
      <c r="D1093" t="str">
        <f>IFERROR(__xludf.DUMMYFUNCTION("""COMPUTED_VALUE"""),"Detroit Pistons")</f>
        <v>Detroit Pistons</v>
      </c>
    </row>
    <row r="1094">
      <c r="A1094" s="17" t="s">
        <v>1182</v>
      </c>
      <c r="B1094" s="19">
        <f>IFERROR(__xludf.DUMMYFUNCTION("IFERROR(SPLIT(A1094,"",""),"""")"),46475.0)</f>
        <v>46475</v>
      </c>
      <c r="C1094" t="str">
        <f>IFERROR(__xludf.DUMMYFUNCTION("""COMPUTED_VALUE"""),"Golden State Warriors")</f>
        <v>Golden State Warriors</v>
      </c>
      <c r="D1094" t="str">
        <f>IFERROR(__xludf.DUMMYFUNCTION("""COMPUTED_VALUE"""),"Brooklyn Nets")</f>
        <v>Brooklyn Nets</v>
      </c>
    </row>
    <row r="1095">
      <c r="A1095" s="17" t="s">
        <v>1183</v>
      </c>
      <c r="B1095" s="19">
        <f>IFERROR(__xludf.DUMMYFUNCTION("IFERROR(SPLIT(A1095,"",""),"""")"),46475.0)</f>
        <v>46475</v>
      </c>
      <c r="C1095" t="str">
        <f>IFERROR(__xludf.DUMMYFUNCTION("""COMPUTED_VALUE"""),"Indiana Pacers")</f>
        <v>Indiana Pacers</v>
      </c>
      <c r="D1095" t="str">
        <f>IFERROR(__xludf.DUMMYFUNCTION("""COMPUTED_VALUE"""),"Chicago Bulls")</f>
        <v>Chicago Bulls</v>
      </c>
    </row>
    <row r="1096">
      <c r="A1096" s="17" t="s">
        <v>1184</v>
      </c>
      <c r="B1096" s="19">
        <f>IFERROR(__xludf.DUMMYFUNCTION("IFERROR(SPLIT(A1096,"",""),"""")"),46475.0)</f>
        <v>46475</v>
      </c>
      <c r="C1096" t="str">
        <f>IFERROR(__xludf.DUMMYFUNCTION("""COMPUTED_VALUE"""),"Dallas Mavericks")</f>
        <v>Dallas Mavericks</v>
      </c>
      <c r="D1096" t="str">
        <f>IFERROR(__xludf.DUMMYFUNCTION("""COMPUTED_VALUE"""),"Milwaukee Bucks")</f>
        <v>Milwaukee Bucks</v>
      </c>
    </row>
    <row r="1097">
      <c r="A1097" s="17" t="s">
        <v>1185</v>
      </c>
      <c r="B1097" s="19">
        <f>IFERROR(__xludf.DUMMYFUNCTION("IFERROR(SPLIT(A1097,"",""),"""")"),46475.0)</f>
        <v>46475</v>
      </c>
      <c r="C1097" t="str">
        <f>IFERROR(__xludf.DUMMYFUNCTION("""COMPUTED_VALUE"""),"Phoenix Suns")</f>
        <v>Phoenix Suns</v>
      </c>
      <c r="D1097" t="str">
        <f>IFERROR(__xludf.DUMMYFUNCTION("""COMPUTED_VALUE"""),"San Antonio Spurs")</f>
        <v>San Antonio Spurs</v>
      </c>
    </row>
    <row r="1098">
      <c r="A1098" s="17" t="s">
        <v>1186</v>
      </c>
      <c r="B1098" s="19">
        <f>IFERROR(__xludf.DUMMYFUNCTION("IFERROR(SPLIT(A1098,"",""),"""")"),46475.0)</f>
        <v>46475</v>
      </c>
      <c r="C1098" t="str">
        <f>IFERROR(__xludf.DUMMYFUNCTION("""COMPUTED_VALUE"""),"Denver Nuggets")</f>
        <v>Denver Nuggets</v>
      </c>
      <c r="D1098" t="str">
        <f>IFERROR(__xludf.DUMMYFUNCTION("""COMPUTED_VALUE"""),"Sacramento Kings")</f>
        <v>Sacramento Kings</v>
      </c>
    </row>
    <row r="1099">
      <c r="A1099" s="17" t="s">
        <v>1187</v>
      </c>
      <c r="B1099" s="19">
        <f>IFERROR(__xludf.DUMMYFUNCTION("IFERROR(SPLIT(A1099,"",""),"""")"),46476.0)</f>
        <v>46476</v>
      </c>
      <c r="C1099" t="str">
        <f>IFERROR(__xludf.DUMMYFUNCTION("""COMPUTED_VALUE"""),"Miami Heat")</f>
        <v>Miami Heat</v>
      </c>
      <c r="D1099" t="str">
        <f>IFERROR(__xludf.DUMMYFUNCTION("""COMPUTED_VALUE"""),"Charlotte Hornets")</f>
        <v>Charlotte Hornets</v>
      </c>
    </row>
    <row r="1100">
      <c r="A1100" s="17" t="s">
        <v>1188</v>
      </c>
      <c r="B1100" s="19">
        <f>IFERROR(__xludf.DUMMYFUNCTION("IFERROR(SPLIT(A1100,"",""),"""")"),46476.0)</f>
        <v>46476</v>
      </c>
      <c r="C1100" t="str">
        <f>IFERROR(__xludf.DUMMYFUNCTION("""COMPUTED_VALUE"""),"Boston Celtics")</f>
        <v>Boston Celtics</v>
      </c>
      <c r="D1100" t="str">
        <f>IFERROR(__xludf.DUMMYFUNCTION("""COMPUTED_VALUE"""),"Indiana Pacers")</f>
        <v>Indiana Pacers</v>
      </c>
    </row>
    <row r="1101">
      <c r="A1101" s="17" t="s">
        <v>1189</v>
      </c>
      <c r="B1101" s="19">
        <f>IFERROR(__xludf.DUMMYFUNCTION("IFERROR(SPLIT(A1101,"",""),"""")"),46476.0)</f>
        <v>46476</v>
      </c>
      <c r="C1101" t="str">
        <f>IFERROR(__xludf.DUMMYFUNCTION("""COMPUTED_VALUE"""),"Los Angeles Lakers")</f>
        <v>Los Angeles Lakers</v>
      </c>
      <c r="D1101" t="str">
        <f>IFERROR(__xludf.DUMMYFUNCTION("""COMPUTED_VALUE"""),"Memphis Grizzlies")</f>
        <v>Memphis Grizzlies</v>
      </c>
    </row>
    <row r="1102">
      <c r="A1102" s="17" t="s">
        <v>1190</v>
      </c>
      <c r="B1102" s="19">
        <f>IFERROR(__xludf.DUMMYFUNCTION("IFERROR(SPLIT(A1102,"",""),"""")"),46476.0)</f>
        <v>46476</v>
      </c>
      <c r="C1102" t="str">
        <f>IFERROR(__xludf.DUMMYFUNCTION("""COMPUTED_VALUE"""),"New York Knicks")</f>
        <v>New York Knicks</v>
      </c>
      <c r="D1102" t="str">
        <f>IFERROR(__xludf.DUMMYFUNCTION("""COMPUTED_VALUE"""),"Orlando Magic")</f>
        <v>Orlando Magic</v>
      </c>
    </row>
    <row r="1103">
      <c r="A1103" s="17" t="s">
        <v>1191</v>
      </c>
      <c r="B1103" s="19">
        <f>IFERROR(__xludf.DUMMYFUNCTION("IFERROR(SPLIT(A1103,"",""),"""")"),46476.0)</f>
        <v>46476</v>
      </c>
      <c r="C1103" t="str">
        <f>IFERROR(__xludf.DUMMYFUNCTION("""COMPUTED_VALUE"""),"Oklahoma City Thunder")</f>
        <v>Oklahoma City Thunder</v>
      </c>
      <c r="D1103" t="str">
        <f>IFERROR(__xludf.DUMMYFUNCTION("""COMPUTED_VALUE"""),"Utah Jazz")</f>
        <v>Utah Jazz</v>
      </c>
    </row>
    <row r="1104">
      <c r="A1104" s="17" t="s">
        <v>1192</v>
      </c>
      <c r="B1104" s="19">
        <f>IFERROR(__xludf.DUMMYFUNCTION("IFERROR(SPLIT(A1104,"",""),"""")"),46476.0)</f>
        <v>46476</v>
      </c>
      <c r="C1104" t="str">
        <f>IFERROR(__xludf.DUMMYFUNCTION("""COMPUTED_VALUE"""),"Houston Rockets")</f>
        <v>Houston Rockets</v>
      </c>
      <c r="D1104" t="str">
        <f>IFERROR(__xludf.DUMMYFUNCTION("""COMPUTED_VALUE"""),"Portland Trail Blazers")</f>
        <v>Portland Trail Blazers</v>
      </c>
    </row>
    <row r="1105">
      <c r="A1105" s="17" t="s">
        <v>1193</v>
      </c>
      <c r="B1105" s="19">
        <f>IFERROR(__xludf.DUMMYFUNCTION("IFERROR(SPLIT(A1105,"",""),"""")"),46477.0)</f>
        <v>46477</v>
      </c>
      <c r="C1105" t="str">
        <f>IFERROR(__xludf.DUMMYFUNCTION("""COMPUTED_VALUE"""),"Los Angeles Clippers")</f>
        <v>Los Angeles Clippers</v>
      </c>
      <c r="D1105" t="str">
        <f>IFERROR(__xludf.DUMMYFUNCTION("""COMPUTED_VALUE"""),"Atlanta Hawks")</f>
        <v>Atlanta Hawks</v>
      </c>
    </row>
    <row r="1106">
      <c r="A1106" s="17" t="s">
        <v>1194</v>
      </c>
      <c r="B1106" s="19">
        <f>IFERROR(__xludf.DUMMYFUNCTION("IFERROR(SPLIT(A1106,"",""),"""")"),46477.0)</f>
        <v>46477</v>
      </c>
      <c r="C1106" t="str">
        <f>IFERROR(__xludf.DUMMYFUNCTION("""COMPUTED_VALUE"""),"Toronto Raptors")</f>
        <v>Toronto Raptors</v>
      </c>
      <c r="D1106" t="str">
        <f>IFERROR(__xludf.DUMMYFUNCTION("""COMPUTED_VALUE"""),"Detroit Pistons")</f>
        <v>Detroit Pistons</v>
      </c>
    </row>
    <row r="1107">
      <c r="A1107" s="17" t="s">
        <v>1195</v>
      </c>
      <c r="B1107" s="19">
        <f>IFERROR(__xludf.DUMMYFUNCTION("IFERROR(SPLIT(A1107,"",""),"""")"),46477.0)</f>
        <v>46477</v>
      </c>
      <c r="C1107" t="str">
        <f>IFERROR(__xludf.DUMMYFUNCTION("""COMPUTED_VALUE"""),"Golden State Warriors")</f>
        <v>Golden State Warriors</v>
      </c>
      <c r="D1107" t="str">
        <f>IFERROR(__xludf.DUMMYFUNCTION("""COMPUTED_VALUE"""),"Philadelphia 76ers")</f>
        <v>Philadelphia 76ers</v>
      </c>
    </row>
    <row r="1108">
      <c r="A1108" s="17" t="s">
        <v>1196</v>
      </c>
      <c r="B1108" s="19">
        <f>IFERROR(__xludf.DUMMYFUNCTION("IFERROR(SPLIT(A1108,"",""),"""")"),46477.0)</f>
        <v>46477</v>
      </c>
      <c r="C1108" t="str">
        <f>IFERROR(__xludf.DUMMYFUNCTION("""COMPUTED_VALUE"""),"Chicago Bulls")</f>
        <v>Chicago Bulls</v>
      </c>
      <c r="D1108" t="str">
        <f>IFERROR(__xludf.DUMMYFUNCTION("""COMPUTED_VALUE"""),"Washington Wizards")</f>
        <v>Washington Wizards</v>
      </c>
    </row>
    <row r="1109">
      <c r="A1109" s="17" t="s">
        <v>1197</v>
      </c>
      <c r="B1109" s="19">
        <f>IFERROR(__xludf.DUMMYFUNCTION("IFERROR(SPLIT(A1109,"",""),"""")"),46477.0)</f>
        <v>46477</v>
      </c>
      <c r="C1109" t="str">
        <f>IFERROR(__xludf.DUMMYFUNCTION("""COMPUTED_VALUE"""),"Cleveland Cavaliers")</f>
        <v>Cleveland Cavaliers</v>
      </c>
      <c r="D1109" t="str">
        <f>IFERROR(__xludf.DUMMYFUNCTION("""COMPUTED_VALUE"""),"Brooklyn Nets")</f>
        <v>Brooklyn Nets</v>
      </c>
    </row>
    <row r="1110">
      <c r="A1110" s="17" t="s">
        <v>1198</v>
      </c>
      <c r="B1110" s="19">
        <f>IFERROR(__xludf.DUMMYFUNCTION("IFERROR(SPLIT(A1110,"",""),"""")"),46477.0)</f>
        <v>46477</v>
      </c>
      <c r="C1110" t="str">
        <f>IFERROR(__xludf.DUMMYFUNCTION("""COMPUTED_VALUE"""),"New Orleans Pelicans")</f>
        <v>New Orleans Pelicans</v>
      </c>
      <c r="D1110" t="str">
        <f>IFERROR(__xludf.DUMMYFUNCTION("""COMPUTED_VALUE"""),"Milwaukee Bucks")</f>
        <v>Milwaukee Bucks</v>
      </c>
    </row>
    <row r="1111">
      <c r="A1111" s="17" t="s">
        <v>1199</v>
      </c>
      <c r="B1111" s="19">
        <f>IFERROR(__xludf.DUMMYFUNCTION("IFERROR(SPLIT(A1111,"",""),"""")"),46477.0)</f>
        <v>46477</v>
      </c>
      <c r="C1111" t="str">
        <f>IFERROR(__xludf.DUMMYFUNCTION("""COMPUTED_VALUE"""),"Sacramento Kings")</f>
        <v>Sacramento Kings</v>
      </c>
      <c r="D1111" t="str">
        <f>IFERROR(__xludf.DUMMYFUNCTION("""COMPUTED_VALUE"""),"Minnesota Timberwolves")</f>
        <v>Minnesota Timberwolves</v>
      </c>
    </row>
    <row r="1112">
      <c r="A1112" s="17" t="s">
        <v>1200</v>
      </c>
      <c r="B1112" s="19">
        <f>IFERROR(__xludf.DUMMYFUNCTION("IFERROR(SPLIT(A1112,"",""),"""")"),46477.0)</f>
        <v>46477</v>
      </c>
      <c r="C1112" t="str">
        <f>IFERROR(__xludf.DUMMYFUNCTION("""COMPUTED_VALUE"""),"Phoenix Suns")</f>
        <v>Phoenix Suns</v>
      </c>
      <c r="D1112" t="str">
        <f>IFERROR(__xludf.DUMMYFUNCTION("""COMPUTED_VALUE"""),"San Antonio Spurs")</f>
        <v>San Antonio Spurs</v>
      </c>
    </row>
    <row r="1113">
      <c r="A1113" s="17" t="s">
        <v>1201</v>
      </c>
      <c r="B1113" s="19">
        <f>IFERROR(__xludf.DUMMYFUNCTION("IFERROR(SPLIT(A1113,"",""),"""")"),46477.0)</f>
        <v>46477</v>
      </c>
      <c r="C1113" t="str">
        <f>IFERROR(__xludf.DUMMYFUNCTION("""COMPUTED_VALUE"""),"Denver Nuggets")</f>
        <v>Denver Nuggets</v>
      </c>
      <c r="D1113" t="str">
        <f>IFERROR(__xludf.DUMMYFUNCTION("""COMPUTED_VALUE"""),"Dallas Mavericks")</f>
        <v>Dallas Mavericks</v>
      </c>
    </row>
    <row r="1114">
      <c r="A1114" s="17" t="s">
        <v>1202</v>
      </c>
      <c r="B1114" s="19">
        <f>IFERROR(__xludf.DUMMYFUNCTION("IFERROR(SPLIT(A1114,"",""),"""")"),46477.0)</f>
        <v>46477</v>
      </c>
      <c r="C1114" t="str">
        <f>IFERROR(__xludf.DUMMYFUNCTION("""COMPUTED_VALUE"""),"Houston Rockets")</f>
        <v>Houston Rockets</v>
      </c>
      <c r="D1114" t="str">
        <f>IFERROR(__xludf.DUMMYFUNCTION("""COMPUTED_VALUE"""),"Portland Trail Blazers")</f>
        <v>Portland Trail Blazers</v>
      </c>
    </row>
    <row r="1115">
      <c r="A1115" s="17" t="s">
        <v>1203</v>
      </c>
      <c r="B1115" s="19">
        <f>IFERROR(__xludf.DUMMYFUNCTION("IFERROR(SPLIT(A1115,"",""),"""")"),46478.0)</f>
        <v>46478</v>
      </c>
      <c r="C1115" t="str">
        <f>IFERROR(__xludf.DUMMYFUNCTION("""COMPUTED_VALUE"""),"Orlando Magic")</f>
        <v>Orlando Magic</v>
      </c>
      <c r="D1115" t="str">
        <f>IFERROR(__xludf.DUMMYFUNCTION("""COMPUTED_VALUE"""),"Indiana Pacers")</f>
        <v>Indiana Pacers</v>
      </c>
    </row>
    <row r="1116">
      <c r="A1116" s="17" t="s">
        <v>1204</v>
      </c>
      <c r="B1116" s="19">
        <f>IFERROR(__xludf.DUMMYFUNCTION("IFERROR(SPLIT(A1116,"",""),"""")"),46478.0)</f>
        <v>46478</v>
      </c>
      <c r="C1116" t="str">
        <f>IFERROR(__xludf.DUMMYFUNCTION("""COMPUTED_VALUE"""),"Boston Celtics")</f>
        <v>Boston Celtics</v>
      </c>
      <c r="D1116" t="str">
        <f>IFERROR(__xludf.DUMMYFUNCTION("""COMPUTED_VALUE"""),"Cleveland Cavaliers")</f>
        <v>Cleveland Cavaliers</v>
      </c>
    </row>
    <row r="1117">
      <c r="A1117" s="17" t="s">
        <v>1205</v>
      </c>
      <c r="B1117" s="19">
        <f>IFERROR(__xludf.DUMMYFUNCTION("IFERROR(SPLIT(A1117,"",""),"""")"),46478.0)</f>
        <v>46478</v>
      </c>
      <c r="C1117" t="str">
        <f>IFERROR(__xludf.DUMMYFUNCTION("""COMPUTED_VALUE"""),"Charlotte Hornets")</f>
        <v>Charlotte Hornets</v>
      </c>
      <c r="D1117" t="str">
        <f>IFERROR(__xludf.DUMMYFUNCTION("""COMPUTED_VALUE"""),"New York Knicks")</f>
        <v>New York Knicks</v>
      </c>
    </row>
    <row r="1118">
      <c r="A1118" s="17" t="s">
        <v>1206</v>
      </c>
      <c r="B1118" s="19">
        <f>IFERROR(__xludf.DUMMYFUNCTION("IFERROR(SPLIT(A1118,"",""),"""")"),46478.0)</f>
        <v>46478</v>
      </c>
      <c r="C1118" t="str">
        <f>IFERROR(__xludf.DUMMYFUNCTION("""COMPUTED_VALUE"""),"Los Angeles Lakers")</f>
        <v>Los Angeles Lakers</v>
      </c>
      <c r="D1118" t="str">
        <f>IFERROR(__xludf.DUMMYFUNCTION("""COMPUTED_VALUE"""),"Oklahoma City Thunder")</f>
        <v>Oklahoma City Thunder</v>
      </c>
    </row>
    <row r="1119">
      <c r="A1119" s="17" t="s">
        <v>1207</v>
      </c>
      <c r="B1119" s="19">
        <f>IFERROR(__xludf.DUMMYFUNCTION("IFERROR(SPLIT(A1119,"",""),"""")"),46479.0)</f>
        <v>46479</v>
      </c>
      <c r="C1119" t="str">
        <f>IFERROR(__xludf.DUMMYFUNCTION("""COMPUTED_VALUE"""),"Philadelphia 76ers")</f>
        <v>Philadelphia 76ers</v>
      </c>
      <c r="D1119" t="str">
        <f>IFERROR(__xludf.DUMMYFUNCTION("""COMPUTED_VALUE"""),"Washington Wizards")</f>
        <v>Washington Wizards</v>
      </c>
    </row>
    <row r="1120">
      <c r="A1120" s="17" t="s">
        <v>1208</v>
      </c>
      <c r="B1120" s="19">
        <f>IFERROR(__xludf.DUMMYFUNCTION("IFERROR(SPLIT(A1120,"",""),"""")"),46479.0)</f>
        <v>46479</v>
      </c>
      <c r="C1120" t="str">
        <f>IFERROR(__xludf.DUMMYFUNCTION("""COMPUTED_VALUE"""),"Miami Heat")</f>
        <v>Miami Heat</v>
      </c>
      <c r="D1120" t="str">
        <f>IFERROR(__xludf.DUMMYFUNCTION("""COMPUTED_VALUE"""),"Boston Celtics")</f>
        <v>Boston Celtics</v>
      </c>
    </row>
    <row r="1121">
      <c r="A1121" s="17" t="s">
        <v>1209</v>
      </c>
      <c r="B1121" s="19">
        <f>IFERROR(__xludf.DUMMYFUNCTION("IFERROR(SPLIT(A1121,"",""),"""")"),46479.0)</f>
        <v>46479</v>
      </c>
      <c r="C1121" t="str">
        <f>IFERROR(__xludf.DUMMYFUNCTION("""COMPUTED_VALUE"""),"New York Knicks")</f>
        <v>New York Knicks</v>
      </c>
      <c r="D1121" t="str">
        <f>IFERROR(__xludf.DUMMYFUNCTION("""COMPUTED_VALUE"""),"Brooklyn Nets")</f>
        <v>Brooklyn Nets</v>
      </c>
    </row>
    <row r="1122">
      <c r="A1122" s="17" t="s">
        <v>1210</v>
      </c>
      <c r="B1122" s="19">
        <f>IFERROR(__xludf.DUMMYFUNCTION("IFERROR(SPLIT(A1122,"",""),"""")"),46479.0)</f>
        <v>46479</v>
      </c>
      <c r="C1122" t="str">
        <f>IFERROR(__xludf.DUMMYFUNCTION("""COMPUTED_VALUE"""),"Golden State Warriors")</f>
        <v>Golden State Warriors</v>
      </c>
      <c r="D1122" t="str">
        <f>IFERROR(__xludf.DUMMYFUNCTION("""COMPUTED_VALUE"""),"Minnesota Timberwolves")</f>
        <v>Minnesota Timberwolves</v>
      </c>
    </row>
    <row r="1123">
      <c r="A1123" s="17" t="s">
        <v>1211</v>
      </c>
      <c r="B1123" s="19">
        <f>IFERROR(__xludf.DUMMYFUNCTION("IFERROR(SPLIT(A1123,"",""),"""")"),46479.0)</f>
        <v>46479</v>
      </c>
      <c r="C1123" t="str">
        <f>IFERROR(__xludf.DUMMYFUNCTION("""COMPUTED_VALUE"""),"Detroit Pistons")</f>
        <v>Detroit Pistons</v>
      </c>
      <c r="D1123" t="str">
        <f>IFERROR(__xludf.DUMMYFUNCTION("""COMPUTED_VALUE"""),"Chicago Bulls")</f>
        <v>Chicago Bulls</v>
      </c>
    </row>
    <row r="1124">
      <c r="A1124" s="17" t="s">
        <v>1212</v>
      </c>
      <c r="B1124" s="19">
        <f>IFERROR(__xludf.DUMMYFUNCTION("IFERROR(SPLIT(A1124,"",""),"""")"),46479.0)</f>
        <v>46479</v>
      </c>
      <c r="C1124" t="str">
        <f>IFERROR(__xludf.DUMMYFUNCTION("""COMPUTED_VALUE"""),"Sacramento Kings")</f>
        <v>Sacramento Kings</v>
      </c>
      <c r="D1124" t="str">
        <f>IFERROR(__xludf.DUMMYFUNCTION("""COMPUTED_VALUE"""),"Dallas Mavericks")</f>
        <v>Dallas Mavericks</v>
      </c>
    </row>
    <row r="1125">
      <c r="A1125" s="17" t="s">
        <v>1213</v>
      </c>
      <c r="B1125" s="19">
        <f>IFERROR(__xludf.DUMMYFUNCTION("IFERROR(SPLIT(A1125,"",""),"""")"),46479.0)</f>
        <v>46479</v>
      </c>
      <c r="C1125" t="str">
        <f>IFERROR(__xludf.DUMMYFUNCTION("""COMPUTED_VALUE"""),"Charlotte Hornets")</f>
        <v>Charlotte Hornets</v>
      </c>
      <c r="D1125" t="str">
        <f>IFERROR(__xludf.DUMMYFUNCTION("""COMPUTED_VALUE"""),"Milwaukee Bucks")</f>
        <v>Milwaukee Bucks</v>
      </c>
    </row>
    <row r="1126">
      <c r="A1126" s="17" t="s">
        <v>1214</v>
      </c>
      <c r="B1126" s="19">
        <f>IFERROR(__xludf.DUMMYFUNCTION("IFERROR(SPLIT(A1126,"",""),"""")"),46479.0)</f>
        <v>46479</v>
      </c>
      <c r="C1126" t="str">
        <f>IFERROR(__xludf.DUMMYFUNCTION("""COMPUTED_VALUE"""),"Atlanta Hawks")</f>
        <v>Atlanta Hawks</v>
      </c>
      <c r="D1126" t="str">
        <f>IFERROR(__xludf.DUMMYFUNCTION("""COMPUTED_VALUE"""),"Toronto Raptors")</f>
        <v>Toronto Raptors</v>
      </c>
    </row>
    <row r="1127">
      <c r="A1127" s="17" t="s">
        <v>1215</v>
      </c>
      <c r="B1127" s="19">
        <f>IFERROR(__xludf.DUMMYFUNCTION("IFERROR(SPLIT(A1127,"",""),"""")"),46479.0)</f>
        <v>46479</v>
      </c>
      <c r="C1127" t="str">
        <f>IFERROR(__xludf.DUMMYFUNCTION("""COMPUTED_VALUE"""),"Memphis Grizzlies")</f>
        <v>Memphis Grizzlies</v>
      </c>
      <c r="D1127" t="str">
        <f>IFERROR(__xludf.DUMMYFUNCTION("""COMPUTED_VALUE"""),"Houston Rockets")</f>
        <v>Houston Rockets</v>
      </c>
    </row>
    <row r="1128">
      <c r="A1128" s="17" t="s">
        <v>1216</v>
      </c>
      <c r="B1128" s="19">
        <f>IFERROR(__xludf.DUMMYFUNCTION("IFERROR(SPLIT(A1128,"",""),"""")"),46479.0)</f>
        <v>46479</v>
      </c>
      <c r="C1128" t="str">
        <f>IFERROR(__xludf.DUMMYFUNCTION("""COMPUTED_VALUE"""),"Denver Nuggets")</f>
        <v>Denver Nuggets</v>
      </c>
      <c r="D1128" t="str">
        <f>IFERROR(__xludf.DUMMYFUNCTION("""COMPUTED_VALUE"""),"Phoenix Suns")</f>
        <v>Phoenix Suns</v>
      </c>
    </row>
    <row r="1129">
      <c r="A1129" s="17" t="s">
        <v>1217</v>
      </c>
      <c r="B1129" s="19">
        <f>IFERROR(__xludf.DUMMYFUNCTION("IFERROR(SPLIT(A1129,"",""),"""")"),46479.0)</f>
        <v>46479</v>
      </c>
      <c r="C1129" t="str">
        <f>IFERROR(__xludf.DUMMYFUNCTION("""COMPUTED_VALUE"""),"Utah Jazz")</f>
        <v>Utah Jazz</v>
      </c>
      <c r="D1129" t="str">
        <f>IFERROR(__xludf.DUMMYFUNCTION("""COMPUTED_VALUE"""),"Portland Trail Blazers")</f>
        <v>Portland Trail Blazers</v>
      </c>
    </row>
    <row r="1130">
      <c r="A1130" s="17" t="s">
        <v>1218</v>
      </c>
      <c r="B1130" s="19">
        <f>IFERROR(__xludf.DUMMYFUNCTION("IFERROR(SPLIT(A1130,"",""),"""")"),46479.0)</f>
        <v>46479</v>
      </c>
      <c r="C1130" t="str">
        <f>IFERROR(__xludf.DUMMYFUNCTION("""COMPUTED_VALUE"""),"San Antonio Spurs")</f>
        <v>San Antonio Spurs</v>
      </c>
      <c r="D1130" t="str">
        <f>IFERROR(__xludf.DUMMYFUNCTION("""COMPUTED_VALUE"""),"Los Angeles Clippers")</f>
        <v>Los Angeles Clippers</v>
      </c>
    </row>
    <row r="1131">
      <c r="A1131" s="17" t="s">
        <v>1219</v>
      </c>
      <c r="B1131" s="19">
        <f>IFERROR(__xludf.DUMMYFUNCTION("IFERROR(SPLIT(A1131,"",""),"""")"),46480.0)</f>
        <v>46480</v>
      </c>
      <c r="C1131" t="str">
        <f>IFERROR(__xludf.DUMMYFUNCTION("""COMPUTED_VALUE"""),"New Orleans Pelicans")</f>
        <v>New Orleans Pelicans</v>
      </c>
      <c r="D1131" t="str">
        <f>IFERROR(__xludf.DUMMYFUNCTION("""COMPUTED_VALUE"""),"Oklahoma City Thunder")</f>
        <v>Oklahoma City Thunder</v>
      </c>
    </row>
    <row r="1132">
      <c r="A1132" s="17" t="s">
        <v>1220</v>
      </c>
      <c r="B1132" s="19">
        <f>IFERROR(__xludf.DUMMYFUNCTION("IFERROR(SPLIT(A1132,"",""),"""")"),46480.0)</f>
        <v>46480</v>
      </c>
      <c r="C1132" t="str">
        <f>IFERROR(__xludf.DUMMYFUNCTION("""COMPUTED_VALUE"""),"Washington Wizards")</f>
        <v>Washington Wizards</v>
      </c>
      <c r="D1132" t="str">
        <f>IFERROR(__xludf.DUMMYFUNCTION("""COMPUTED_VALUE"""),"Orlando Magic")</f>
        <v>Orlando Magic</v>
      </c>
    </row>
    <row r="1133">
      <c r="A1133" s="17" t="s">
        <v>1221</v>
      </c>
      <c r="B1133" s="19">
        <f>IFERROR(__xludf.DUMMYFUNCTION("IFERROR(SPLIT(A1133,"",""),"""")"),46481.0)</f>
        <v>46481</v>
      </c>
      <c r="C1133" t="str">
        <f>IFERROR(__xludf.DUMMYFUNCTION("""COMPUTED_VALUE"""),"Atlanta Hawks")</f>
        <v>Atlanta Hawks</v>
      </c>
      <c r="D1133" t="str">
        <f>IFERROR(__xludf.DUMMYFUNCTION("""COMPUTED_VALUE"""),"Philadelphia 76ers")</f>
        <v>Philadelphia 76ers</v>
      </c>
    </row>
    <row r="1134">
      <c r="A1134" s="17" t="s">
        <v>1222</v>
      </c>
      <c r="B1134" s="19">
        <f>IFERROR(__xludf.DUMMYFUNCTION("IFERROR(SPLIT(A1134,"",""),"""")"),46481.0)</f>
        <v>46481</v>
      </c>
      <c r="C1134" t="str">
        <f>IFERROR(__xludf.DUMMYFUNCTION("""COMPUTED_VALUE"""),"Brooklyn Nets")</f>
        <v>Brooklyn Nets</v>
      </c>
      <c r="D1134" t="str">
        <f>IFERROR(__xludf.DUMMYFUNCTION("""COMPUTED_VALUE"""),"Milwaukee Bucks")</f>
        <v>Milwaukee Bucks</v>
      </c>
    </row>
    <row r="1135">
      <c r="A1135" s="17" t="s">
        <v>1223</v>
      </c>
      <c r="B1135" s="19">
        <f>IFERROR(__xludf.DUMMYFUNCTION("IFERROR(SPLIT(A1135,"",""),"""")"),46481.0)</f>
        <v>46481</v>
      </c>
      <c r="C1135" t="str">
        <f>IFERROR(__xludf.DUMMYFUNCTION("""COMPUTED_VALUE"""),"Charlotte Hornets")</f>
        <v>Charlotte Hornets</v>
      </c>
      <c r="D1135" t="str">
        <f>IFERROR(__xludf.DUMMYFUNCTION("""COMPUTED_VALUE"""),"Cleveland Cavaliers")</f>
        <v>Cleveland Cavaliers</v>
      </c>
    </row>
    <row r="1136">
      <c r="A1136" s="17" t="s">
        <v>1224</v>
      </c>
      <c r="B1136" s="19">
        <f>IFERROR(__xludf.DUMMYFUNCTION("IFERROR(SPLIT(A1136,"",""),"""")"),46481.0)</f>
        <v>46481</v>
      </c>
      <c r="C1136" t="str">
        <f>IFERROR(__xludf.DUMMYFUNCTION("""COMPUTED_VALUE"""),"Minnesota Timberwolves")</f>
        <v>Minnesota Timberwolves</v>
      </c>
      <c r="D1136" t="str">
        <f>IFERROR(__xludf.DUMMYFUNCTION("""COMPUTED_VALUE"""),"Dallas Mavericks")</f>
        <v>Dallas Mavericks</v>
      </c>
    </row>
    <row r="1137">
      <c r="A1137" s="17" t="s">
        <v>1225</v>
      </c>
      <c r="B1137" s="19">
        <f>IFERROR(__xludf.DUMMYFUNCTION("IFERROR(SPLIT(A1137,"",""),"""")"),46481.0)</f>
        <v>46481</v>
      </c>
      <c r="C1137" t="str">
        <f>IFERROR(__xludf.DUMMYFUNCTION("""COMPUTED_VALUE"""),"Miami Heat")</f>
        <v>Miami Heat</v>
      </c>
      <c r="D1137" t="str">
        <f>IFERROR(__xludf.DUMMYFUNCTION("""COMPUTED_VALUE"""),"Detroit Pistons")</f>
        <v>Detroit Pistons</v>
      </c>
    </row>
    <row r="1138">
      <c r="A1138" s="17" t="s">
        <v>1226</v>
      </c>
      <c r="B1138" s="19">
        <f>IFERROR(__xludf.DUMMYFUNCTION("IFERROR(SPLIT(A1138,"",""),"""")"),46481.0)</f>
        <v>46481</v>
      </c>
      <c r="C1138" t="str">
        <f>IFERROR(__xludf.DUMMYFUNCTION("""COMPUTED_VALUE"""),"Indiana Pacers")</f>
        <v>Indiana Pacers</v>
      </c>
      <c r="D1138" t="str">
        <f>IFERROR(__xludf.DUMMYFUNCTION("""COMPUTED_VALUE"""),"Toronto Raptors")</f>
        <v>Toronto Raptors</v>
      </c>
    </row>
    <row r="1139">
      <c r="A1139" s="17" t="s">
        <v>1227</v>
      </c>
      <c r="B1139" s="19">
        <f>IFERROR(__xludf.DUMMYFUNCTION("IFERROR(SPLIT(A1139,"",""),"""")"),46481.0)</f>
        <v>46481</v>
      </c>
      <c r="C1139" t="str">
        <f>IFERROR(__xludf.DUMMYFUNCTION("""COMPUTED_VALUE"""),"Chicago Bulls")</f>
        <v>Chicago Bulls</v>
      </c>
      <c r="D1139" t="str">
        <f>IFERROR(__xludf.DUMMYFUNCTION("""COMPUTED_VALUE"""),"Houston Rockets")</f>
        <v>Houston Rockets</v>
      </c>
    </row>
    <row r="1140">
      <c r="A1140" s="17" t="s">
        <v>1228</v>
      </c>
      <c r="B1140" s="19">
        <f>IFERROR(__xludf.DUMMYFUNCTION("IFERROR(SPLIT(A1140,"",""),"""")"),46481.0)</f>
        <v>46481</v>
      </c>
      <c r="C1140" t="str">
        <f>IFERROR(__xludf.DUMMYFUNCTION("""COMPUTED_VALUE"""),"Phoenix Suns")</f>
        <v>Phoenix Suns</v>
      </c>
      <c r="D1140" t="str">
        <f>IFERROR(__xludf.DUMMYFUNCTION("""COMPUTED_VALUE"""),"Los Angeles Clippers")</f>
        <v>Los Angeles Clippers</v>
      </c>
    </row>
    <row r="1141">
      <c r="A1141" s="17" t="s">
        <v>1229</v>
      </c>
      <c r="B1141" s="19">
        <f>IFERROR(__xludf.DUMMYFUNCTION("IFERROR(SPLIT(A1141,"",""),"""")"),46481.0)</f>
        <v>46481</v>
      </c>
      <c r="C1141" t="str">
        <f>IFERROR(__xludf.DUMMYFUNCTION("""COMPUTED_VALUE"""),"Memphis Grizzlies")</f>
        <v>Memphis Grizzlies</v>
      </c>
      <c r="D1141" t="str">
        <f>IFERROR(__xludf.DUMMYFUNCTION("""COMPUTED_VALUE"""),"Denver Nuggets")</f>
        <v>Denver Nuggets</v>
      </c>
    </row>
    <row r="1142">
      <c r="A1142" s="17" t="s">
        <v>1230</v>
      </c>
      <c r="B1142" s="19">
        <f>IFERROR(__xludf.DUMMYFUNCTION("IFERROR(SPLIT(A1142,"",""),"""")"),46481.0)</f>
        <v>46481</v>
      </c>
      <c r="C1142" t="str">
        <f>IFERROR(__xludf.DUMMYFUNCTION("""COMPUTED_VALUE"""),"Portland Trail Blazers")</f>
        <v>Portland Trail Blazers</v>
      </c>
      <c r="D1142" t="str">
        <f>IFERROR(__xludf.DUMMYFUNCTION("""COMPUTED_VALUE"""),"Utah Jazz")</f>
        <v>Utah Jazz</v>
      </c>
    </row>
    <row r="1143">
      <c r="A1143" s="17" t="s">
        <v>1231</v>
      </c>
      <c r="B1143" s="19">
        <f>IFERROR(__xludf.DUMMYFUNCTION("IFERROR(SPLIT(A1143,"",""),"""")"),46481.0)</f>
        <v>46481</v>
      </c>
      <c r="C1143" t="str">
        <f>IFERROR(__xludf.DUMMYFUNCTION("""COMPUTED_VALUE"""),"Golden State Warriors")</f>
        <v>Golden State Warriors</v>
      </c>
      <c r="D1143" t="str">
        <f>IFERROR(__xludf.DUMMYFUNCTION("""COMPUTED_VALUE"""),"Sacramento Kings")</f>
        <v>Sacramento Kings</v>
      </c>
    </row>
    <row r="1144">
      <c r="A1144" s="17" t="s">
        <v>1232</v>
      </c>
      <c r="B1144" s="19">
        <f>IFERROR(__xludf.DUMMYFUNCTION("IFERROR(SPLIT(A1144,"",""),"""")"),46481.0)</f>
        <v>46481</v>
      </c>
      <c r="C1144" t="str">
        <f>IFERROR(__xludf.DUMMYFUNCTION("""COMPUTED_VALUE"""),"Boston Celtics")</f>
        <v>Boston Celtics</v>
      </c>
      <c r="D1144" t="str">
        <f>IFERROR(__xludf.DUMMYFUNCTION("""COMPUTED_VALUE"""),"New York Knicks")</f>
        <v>New York Knicks</v>
      </c>
    </row>
    <row r="1145">
      <c r="A1145" s="17" t="s">
        <v>1233</v>
      </c>
      <c r="B1145" s="19">
        <f>IFERROR(__xludf.DUMMYFUNCTION("IFERROR(SPLIT(A1145,"",""),"""")"),46481.0)</f>
        <v>46481</v>
      </c>
      <c r="C1145" t="str">
        <f>IFERROR(__xludf.DUMMYFUNCTION("""COMPUTED_VALUE"""),"San Antonio Spurs")</f>
        <v>San Antonio Spurs</v>
      </c>
      <c r="D1145" t="str">
        <f>IFERROR(__xludf.DUMMYFUNCTION("""COMPUTED_VALUE"""),"Los Angeles Lakers")</f>
        <v>Los Angeles Lakers</v>
      </c>
    </row>
    <row r="1146">
      <c r="A1146" s="17" t="s">
        <v>1234</v>
      </c>
      <c r="B1146" s="19">
        <f>IFERROR(__xludf.DUMMYFUNCTION("IFERROR(SPLIT(A1146,"",""),"""")"),46482.0)</f>
        <v>46482</v>
      </c>
      <c r="C1146" t="str">
        <f>IFERROR(__xludf.DUMMYFUNCTION("""COMPUTED_VALUE"""),"Brooklyn Nets")</f>
        <v>Brooklyn Nets</v>
      </c>
      <c r="D1146" t="str">
        <f>IFERROR(__xludf.DUMMYFUNCTION("""COMPUTED_VALUE"""),"Cleveland Cavaliers")</f>
        <v>Cleveland Cavaliers</v>
      </c>
    </row>
    <row r="1147">
      <c r="A1147" s="17" t="s">
        <v>1235</v>
      </c>
      <c r="B1147" s="19">
        <f>IFERROR(__xludf.DUMMYFUNCTION("IFERROR(SPLIT(A1147,"",""),"""")"),46482.0)</f>
        <v>46482</v>
      </c>
      <c r="C1147" t="str">
        <f>IFERROR(__xludf.DUMMYFUNCTION("""COMPUTED_VALUE"""),"Miami Heat")</f>
        <v>Miami Heat</v>
      </c>
      <c r="D1147" t="str">
        <f>IFERROR(__xludf.DUMMYFUNCTION("""COMPUTED_VALUE"""),"Orlando Magic")</f>
        <v>Orlando Magic</v>
      </c>
    </row>
    <row r="1148">
      <c r="A1148" s="17" t="s">
        <v>1236</v>
      </c>
      <c r="B1148" s="19">
        <f>IFERROR(__xludf.DUMMYFUNCTION("IFERROR(SPLIT(A1148,"",""),"""")"),46482.0)</f>
        <v>46482</v>
      </c>
      <c r="C1148" t="str">
        <f>IFERROR(__xludf.DUMMYFUNCTION("""COMPUTED_VALUE"""),"Washington Wizards")</f>
        <v>Washington Wizards</v>
      </c>
      <c r="D1148" t="str">
        <f>IFERROR(__xludf.DUMMYFUNCTION("""COMPUTED_VALUE"""),"New Orleans Pelicans")</f>
        <v>New Orleans Pelicans</v>
      </c>
    </row>
    <row r="1149">
      <c r="A1149" s="17" t="s">
        <v>1237</v>
      </c>
      <c r="B1149" s="19">
        <f>IFERROR(__xludf.DUMMYFUNCTION("IFERROR(SPLIT(A1149,"",""),"""")"),46483.0)</f>
        <v>46483</v>
      </c>
      <c r="C1149" t="str">
        <f>IFERROR(__xludf.DUMMYFUNCTION("""COMPUTED_VALUE"""),"Indiana Pacers")</f>
        <v>Indiana Pacers</v>
      </c>
      <c r="D1149" t="str">
        <f>IFERROR(__xludf.DUMMYFUNCTION("""COMPUTED_VALUE"""),"Charlotte Hornets")</f>
        <v>Charlotte Hornets</v>
      </c>
    </row>
    <row r="1150">
      <c r="A1150" s="17" t="s">
        <v>1238</v>
      </c>
      <c r="B1150" s="19">
        <f>IFERROR(__xludf.DUMMYFUNCTION("IFERROR(SPLIT(A1150,"",""),"""")"),46483.0)</f>
        <v>46483</v>
      </c>
      <c r="C1150" t="str">
        <f>IFERROR(__xludf.DUMMYFUNCTION("""COMPUTED_VALUE"""),"Philadelphia 76ers")</f>
        <v>Philadelphia 76ers</v>
      </c>
      <c r="D1150" t="str">
        <f>IFERROR(__xludf.DUMMYFUNCTION("""COMPUTED_VALUE"""),"Toronto Raptors")</f>
        <v>Toronto Raptors</v>
      </c>
    </row>
    <row r="1151">
      <c r="A1151" s="17" t="s">
        <v>1239</v>
      </c>
      <c r="B1151" s="19">
        <f>IFERROR(__xludf.DUMMYFUNCTION("IFERROR(SPLIT(A1151,"",""),"""")"),46483.0)</f>
        <v>46483</v>
      </c>
      <c r="C1151" t="str">
        <f>IFERROR(__xludf.DUMMYFUNCTION("""COMPUTED_VALUE"""),"New York Knicks")</f>
        <v>New York Knicks</v>
      </c>
      <c r="D1151" t="str">
        <f>IFERROR(__xludf.DUMMYFUNCTION("""COMPUTED_VALUE"""),"Atlanta Hawks")</f>
        <v>Atlanta Hawks</v>
      </c>
    </row>
    <row r="1152">
      <c r="A1152" s="17" t="s">
        <v>1240</v>
      </c>
      <c r="B1152" s="19">
        <f>IFERROR(__xludf.DUMMYFUNCTION("IFERROR(SPLIT(A1152,"",""),"""")"),46483.0)</f>
        <v>46483</v>
      </c>
      <c r="C1152" t="str">
        <f>IFERROR(__xludf.DUMMYFUNCTION("""COMPUTED_VALUE"""),"Sacramento Kings")</f>
        <v>Sacramento Kings</v>
      </c>
      <c r="D1152" t="str">
        <f>IFERROR(__xludf.DUMMYFUNCTION("""COMPUTED_VALUE"""),"San Antonio Spurs")</f>
        <v>San Antonio Spurs</v>
      </c>
    </row>
    <row r="1153">
      <c r="A1153" s="17" t="s">
        <v>1241</v>
      </c>
      <c r="B1153" s="19">
        <f>IFERROR(__xludf.DUMMYFUNCTION("IFERROR(SPLIT(A1153,"",""),"""")"),46483.0)</f>
        <v>46483</v>
      </c>
      <c r="C1153" t="str">
        <f>IFERROR(__xludf.DUMMYFUNCTION("""COMPUTED_VALUE"""),"Chicago Bulls")</f>
        <v>Chicago Bulls</v>
      </c>
      <c r="D1153" t="str">
        <f>IFERROR(__xludf.DUMMYFUNCTION("""COMPUTED_VALUE"""),"Milwaukee Bucks")</f>
        <v>Milwaukee Bucks</v>
      </c>
    </row>
    <row r="1154">
      <c r="A1154" s="17" t="s">
        <v>1242</v>
      </c>
      <c r="B1154" s="19">
        <f>IFERROR(__xludf.DUMMYFUNCTION("IFERROR(SPLIT(A1154,"",""),"""")"),46483.0)</f>
        <v>46483</v>
      </c>
      <c r="C1154" t="str">
        <f>IFERROR(__xludf.DUMMYFUNCTION("""COMPUTED_VALUE"""),"Detroit Pistons")</f>
        <v>Detroit Pistons</v>
      </c>
      <c r="D1154" t="str">
        <f>IFERROR(__xludf.DUMMYFUNCTION("""COMPUTED_VALUE"""),"Memphis Grizzlies")</f>
        <v>Memphis Grizzlies</v>
      </c>
    </row>
    <row r="1155">
      <c r="A1155" s="17" t="s">
        <v>1243</v>
      </c>
      <c r="B1155" s="19">
        <f>IFERROR(__xludf.DUMMYFUNCTION("IFERROR(SPLIT(A1155,"",""),"""")"),46483.0)</f>
        <v>46483</v>
      </c>
      <c r="C1155" t="str">
        <f>IFERROR(__xludf.DUMMYFUNCTION("""COMPUTED_VALUE"""),"Oklahoma City Thunder")</f>
        <v>Oklahoma City Thunder</v>
      </c>
      <c r="D1155" t="str">
        <f>IFERROR(__xludf.DUMMYFUNCTION("""COMPUTED_VALUE"""),"Utah Jazz")</f>
        <v>Utah Jazz</v>
      </c>
    </row>
    <row r="1156">
      <c r="A1156" s="17" t="s">
        <v>1244</v>
      </c>
      <c r="B1156" s="19">
        <f>IFERROR(__xludf.DUMMYFUNCTION("IFERROR(SPLIT(A1156,"",""),"""")"),46483.0)</f>
        <v>46483</v>
      </c>
      <c r="C1156" t="str">
        <f>IFERROR(__xludf.DUMMYFUNCTION("""COMPUTED_VALUE"""),"New Orleans Pelicans")</f>
        <v>New Orleans Pelicans</v>
      </c>
      <c r="D1156" t="str">
        <f>IFERROR(__xludf.DUMMYFUNCTION("""COMPUTED_VALUE"""),"Denver Nuggets")</f>
        <v>Denver Nuggets</v>
      </c>
    </row>
    <row r="1157">
      <c r="A1157" s="17" t="s">
        <v>1245</v>
      </c>
      <c r="B1157" s="19">
        <f>IFERROR(__xludf.DUMMYFUNCTION("IFERROR(SPLIT(A1157,"",""),"""")"),46483.0)</f>
        <v>46483</v>
      </c>
      <c r="C1157" t="str">
        <f>IFERROR(__xludf.DUMMYFUNCTION("""COMPUTED_VALUE"""),"Dallas Mavericks")</f>
        <v>Dallas Mavericks</v>
      </c>
      <c r="D1157" t="str">
        <f>IFERROR(__xludf.DUMMYFUNCTION("""COMPUTED_VALUE"""),"Los Angeles Lakers")</f>
        <v>Los Angeles Lakers</v>
      </c>
    </row>
    <row r="1158">
      <c r="A1158" s="17" t="s">
        <v>1246</v>
      </c>
      <c r="B1158" s="19">
        <f>IFERROR(__xludf.DUMMYFUNCTION("IFERROR(SPLIT(A1158,"",""),"""")"),46483.0)</f>
        <v>46483</v>
      </c>
      <c r="C1158" t="str">
        <f>IFERROR(__xludf.DUMMYFUNCTION("""COMPUTED_VALUE"""),"Minnesota Timberwolves")</f>
        <v>Minnesota Timberwolves</v>
      </c>
      <c r="D1158" t="str">
        <f>IFERROR(__xludf.DUMMYFUNCTION("""COMPUTED_VALUE"""),"Los Angeles Clippers")</f>
        <v>Los Angeles Clippers</v>
      </c>
    </row>
    <row r="1159">
      <c r="A1159" s="17" t="s">
        <v>1247</v>
      </c>
      <c r="B1159" s="19">
        <f>IFERROR(__xludf.DUMMYFUNCTION("IFERROR(SPLIT(A1159,"",""),"""")"),46483.0)</f>
        <v>46483</v>
      </c>
      <c r="C1159" t="str">
        <f>IFERROR(__xludf.DUMMYFUNCTION("""COMPUTED_VALUE"""),"Phoenix Suns")</f>
        <v>Phoenix Suns</v>
      </c>
      <c r="D1159" t="str">
        <f>IFERROR(__xludf.DUMMYFUNCTION("""COMPUTED_VALUE"""),"Golden State Warriors")</f>
        <v>Golden State Warriors</v>
      </c>
    </row>
    <row r="1160">
      <c r="A1160" s="17" t="s">
        <v>1248</v>
      </c>
      <c r="B1160" s="19">
        <f>IFERROR(__xludf.DUMMYFUNCTION("IFERROR(SPLIT(A1160,"",""),"""")"),46484.0)</f>
        <v>46484</v>
      </c>
      <c r="C1160" t="str">
        <f>IFERROR(__xludf.DUMMYFUNCTION("""COMPUTED_VALUE"""),"Indiana Pacers")</f>
        <v>Indiana Pacers</v>
      </c>
      <c r="D1160" t="str">
        <f>IFERROR(__xludf.DUMMYFUNCTION("""COMPUTED_VALUE"""),"Detroit Pistons")</f>
        <v>Detroit Pistons</v>
      </c>
    </row>
    <row r="1161">
      <c r="A1161" s="17" t="s">
        <v>1249</v>
      </c>
      <c r="B1161" s="19">
        <f>IFERROR(__xludf.DUMMYFUNCTION("IFERROR(SPLIT(A1161,"",""),"""")"),46484.0)</f>
        <v>46484</v>
      </c>
      <c r="C1161" t="str">
        <f>IFERROR(__xludf.DUMMYFUNCTION("""COMPUTED_VALUE"""),"Boston Celtics")</f>
        <v>Boston Celtics</v>
      </c>
      <c r="D1161" t="str">
        <f>IFERROR(__xludf.DUMMYFUNCTION("""COMPUTED_VALUE"""),"Orlando Magic")</f>
        <v>Orlando Magic</v>
      </c>
    </row>
    <row r="1162">
      <c r="A1162" s="17" t="s">
        <v>1250</v>
      </c>
      <c r="B1162" s="19">
        <f>IFERROR(__xludf.DUMMYFUNCTION("IFERROR(SPLIT(A1162,"",""),"""")"),46484.0)</f>
        <v>46484</v>
      </c>
      <c r="C1162" t="str">
        <f>IFERROR(__xludf.DUMMYFUNCTION("""COMPUTED_VALUE"""),"Cleveland Cavaliers")</f>
        <v>Cleveland Cavaliers</v>
      </c>
      <c r="D1162" t="str">
        <f>IFERROR(__xludf.DUMMYFUNCTION("""COMPUTED_VALUE"""),"San Antonio Spurs")</f>
        <v>San Antonio Spurs</v>
      </c>
    </row>
    <row r="1163">
      <c r="A1163" s="17" t="s">
        <v>1251</v>
      </c>
      <c r="B1163" s="19">
        <f>IFERROR(__xludf.DUMMYFUNCTION("IFERROR(SPLIT(A1163,"",""),"""")"),46484.0)</f>
        <v>46484</v>
      </c>
      <c r="C1163" t="str">
        <f>IFERROR(__xludf.DUMMYFUNCTION("""COMPUTED_VALUE"""),"Brooklyn Nets")</f>
        <v>Brooklyn Nets</v>
      </c>
      <c r="D1163" t="str">
        <f>IFERROR(__xludf.DUMMYFUNCTION("""COMPUTED_VALUE"""),"Toronto Raptors")</f>
        <v>Toronto Raptors</v>
      </c>
    </row>
    <row r="1164">
      <c r="A1164" s="17" t="s">
        <v>1252</v>
      </c>
      <c r="B1164" s="19">
        <f>IFERROR(__xludf.DUMMYFUNCTION("IFERROR(SPLIT(A1164,"",""),"""")"),46484.0)</f>
        <v>46484</v>
      </c>
      <c r="C1164" t="str">
        <f>IFERROR(__xludf.DUMMYFUNCTION("""COMPUTED_VALUE"""),"Charlotte Hornets")</f>
        <v>Charlotte Hornets</v>
      </c>
      <c r="D1164" t="str">
        <f>IFERROR(__xludf.DUMMYFUNCTION("""COMPUTED_VALUE"""),"Chicago Bulls")</f>
        <v>Chicago Bulls</v>
      </c>
    </row>
    <row r="1165">
      <c r="A1165" s="17" t="s">
        <v>1253</v>
      </c>
      <c r="B1165" s="19">
        <f>IFERROR(__xludf.DUMMYFUNCTION("IFERROR(SPLIT(A1165,"",""),"""")"),46484.0)</f>
        <v>46484</v>
      </c>
      <c r="C1165" t="str">
        <f>IFERROR(__xludf.DUMMYFUNCTION("""COMPUTED_VALUE"""),"Washington Wizards")</f>
        <v>Washington Wizards</v>
      </c>
      <c r="D1165" t="str">
        <f>IFERROR(__xludf.DUMMYFUNCTION("""COMPUTED_VALUE"""),"Memphis Grizzlies")</f>
        <v>Memphis Grizzlies</v>
      </c>
    </row>
    <row r="1166">
      <c r="A1166" s="17" t="s">
        <v>1254</v>
      </c>
      <c r="B1166" s="19">
        <f>IFERROR(__xludf.DUMMYFUNCTION("IFERROR(SPLIT(A1166,"",""),"""")"),46484.0)</f>
        <v>46484</v>
      </c>
      <c r="C1166" t="str">
        <f>IFERROR(__xludf.DUMMYFUNCTION("""COMPUTED_VALUE"""),"Sacramento Kings")</f>
        <v>Sacramento Kings</v>
      </c>
      <c r="D1166" t="str">
        <f>IFERROR(__xludf.DUMMYFUNCTION("""COMPUTED_VALUE"""),"Houston Rockets")</f>
        <v>Houston Rockets</v>
      </c>
    </row>
    <row r="1167">
      <c r="A1167" s="17" t="s">
        <v>1255</v>
      </c>
      <c r="B1167" s="19">
        <f>IFERROR(__xludf.DUMMYFUNCTION("IFERROR(SPLIT(A1167,"",""),"""")"),46484.0)</f>
        <v>46484</v>
      </c>
      <c r="C1167" t="str">
        <f>IFERROR(__xludf.DUMMYFUNCTION("""COMPUTED_VALUE"""),"Minnesota Timberwolves")</f>
        <v>Minnesota Timberwolves</v>
      </c>
      <c r="D1167" t="str">
        <f>IFERROR(__xludf.DUMMYFUNCTION("""COMPUTED_VALUE"""),"Los Angeles Lakers")</f>
        <v>Los Angeles Lakers</v>
      </c>
    </row>
    <row r="1168">
      <c r="A1168" s="17" t="s">
        <v>1256</v>
      </c>
      <c r="B1168" s="19">
        <f>IFERROR(__xludf.DUMMYFUNCTION("IFERROR(SPLIT(A1168,"",""),"""")"),46484.0)</f>
        <v>46484</v>
      </c>
      <c r="C1168" t="str">
        <f>IFERROR(__xludf.DUMMYFUNCTION("""COMPUTED_VALUE"""),"Dallas Mavericks")</f>
        <v>Dallas Mavericks</v>
      </c>
      <c r="D1168" t="str">
        <f>IFERROR(__xludf.DUMMYFUNCTION("""COMPUTED_VALUE"""),"Portland Trail Blazers")</f>
        <v>Portland Trail Blazers</v>
      </c>
    </row>
    <row r="1169">
      <c r="A1169" s="17" t="s">
        <v>1257</v>
      </c>
      <c r="B1169" s="19">
        <f>IFERROR(__xludf.DUMMYFUNCTION("IFERROR(SPLIT(A1169,"",""),"""")"),46485.0)</f>
        <v>46485</v>
      </c>
      <c r="C1169" t="str">
        <f>IFERROR(__xludf.DUMMYFUNCTION("""COMPUTED_VALUE"""),"Philadelphia 76ers")</f>
        <v>Philadelphia 76ers</v>
      </c>
      <c r="D1169" t="str">
        <f>IFERROR(__xludf.DUMMYFUNCTION("""COMPUTED_VALUE"""),"Miami Heat")</f>
        <v>Miami Heat</v>
      </c>
    </row>
    <row r="1170">
      <c r="A1170" s="17" t="s">
        <v>1258</v>
      </c>
      <c r="B1170" s="19">
        <f>IFERROR(__xludf.DUMMYFUNCTION("IFERROR(SPLIT(A1170,"",""),"""")"),46485.0)</f>
        <v>46485</v>
      </c>
      <c r="C1170" t="str">
        <f>IFERROR(__xludf.DUMMYFUNCTION("""COMPUTED_VALUE"""),"New York Knicks")</f>
        <v>New York Knicks</v>
      </c>
      <c r="D1170" t="str">
        <f>IFERROR(__xludf.DUMMYFUNCTION("""COMPUTED_VALUE"""),"Milwaukee Bucks")</f>
        <v>Milwaukee Bucks</v>
      </c>
    </row>
    <row r="1171">
      <c r="A1171" s="17" t="s">
        <v>1259</v>
      </c>
      <c r="B1171" s="19">
        <f>IFERROR(__xludf.DUMMYFUNCTION("IFERROR(SPLIT(A1171,"",""),"""")"),46485.0)</f>
        <v>46485</v>
      </c>
      <c r="C1171" t="str">
        <f>IFERROR(__xludf.DUMMYFUNCTION("""COMPUTED_VALUE"""),"New Orleans Pelicans")</f>
        <v>New Orleans Pelicans</v>
      </c>
      <c r="D1171" t="str">
        <f>IFERROR(__xludf.DUMMYFUNCTION("""COMPUTED_VALUE"""),"Utah Jazz")</f>
        <v>Utah Jazz</v>
      </c>
    </row>
    <row r="1172">
      <c r="A1172" s="17" t="s">
        <v>1260</v>
      </c>
      <c r="B1172" s="19">
        <f>IFERROR(__xludf.DUMMYFUNCTION("IFERROR(SPLIT(A1172,"",""),"""")"),46485.0)</f>
        <v>46485</v>
      </c>
      <c r="C1172" t="str">
        <f>IFERROR(__xludf.DUMMYFUNCTION("""COMPUTED_VALUE"""),"Los Angeles Clippers")</f>
        <v>Los Angeles Clippers</v>
      </c>
      <c r="D1172" t="str">
        <f>IFERROR(__xludf.DUMMYFUNCTION("""COMPUTED_VALUE"""),"Denver Nuggets")</f>
        <v>Denver Nuggets</v>
      </c>
    </row>
    <row r="1173">
      <c r="A1173" s="17" t="s">
        <v>1261</v>
      </c>
      <c r="B1173" s="19">
        <f>IFERROR(__xludf.DUMMYFUNCTION("IFERROR(SPLIT(A1173,"",""),"""")"),46485.0)</f>
        <v>46485</v>
      </c>
      <c r="C1173" t="str">
        <f>IFERROR(__xludf.DUMMYFUNCTION("""COMPUTED_VALUE"""),"Golden State Warriors")</f>
        <v>Golden State Warriors</v>
      </c>
      <c r="D1173" t="str">
        <f>IFERROR(__xludf.DUMMYFUNCTION("""COMPUTED_VALUE"""),"Oklahoma City Thunder")</f>
        <v>Oklahoma City Thunder</v>
      </c>
    </row>
    <row r="1174">
      <c r="A1174" s="17" t="s">
        <v>1262</v>
      </c>
      <c r="B1174" s="19">
        <f>IFERROR(__xludf.DUMMYFUNCTION("IFERROR(SPLIT(A1174,"",""),"""")"),46486.0)</f>
        <v>46486</v>
      </c>
      <c r="C1174" t="str">
        <f>IFERROR(__xludf.DUMMYFUNCTION("""COMPUTED_VALUE"""),"Boston Celtics")</f>
        <v>Boston Celtics</v>
      </c>
      <c r="D1174" t="str">
        <f>IFERROR(__xludf.DUMMYFUNCTION("""COMPUTED_VALUE"""),"Atlanta Hawks")</f>
        <v>Atlanta Hawks</v>
      </c>
    </row>
    <row r="1175">
      <c r="A1175" s="17" t="s">
        <v>1263</v>
      </c>
      <c r="B1175" s="19">
        <f>IFERROR(__xludf.DUMMYFUNCTION("IFERROR(SPLIT(A1175,"",""),"""")"),46486.0)</f>
        <v>46486</v>
      </c>
      <c r="C1175" t="str">
        <f>IFERROR(__xludf.DUMMYFUNCTION("""COMPUTED_VALUE"""),"Brooklyn Nets")</f>
        <v>Brooklyn Nets</v>
      </c>
      <c r="D1175" t="str">
        <f>IFERROR(__xludf.DUMMYFUNCTION("""COMPUTED_VALUE"""),"Charlotte Hornets")</f>
        <v>Charlotte Hornets</v>
      </c>
    </row>
    <row r="1176">
      <c r="A1176" s="17" t="s">
        <v>1264</v>
      </c>
      <c r="B1176" s="19">
        <f>IFERROR(__xludf.DUMMYFUNCTION("IFERROR(SPLIT(A1176,"",""),"""")"),46486.0)</f>
        <v>46486</v>
      </c>
      <c r="C1176" t="str">
        <f>IFERROR(__xludf.DUMMYFUNCTION("""COMPUTED_VALUE"""),"Cleveland Cavaliers")</f>
        <v>Cleveland Cavaliers</v>
      </c>
      <c r="D1176" t="str">
        <f>IFERROR(__xludf.DUMMYFUNCTION("""COMPUTED_VALUE"""),"Indiana Pacers")</f>
        <v>Indiana Pacers</v>
      </c>
    </row>
    <row r="1177">
      <c r="A1177" s="17" t="s">
        <v>1265</v>
      </c>
      <c r="B1177" s="19">
        <f>IFERROR(__xludf.DUMMYFUNCTION("IFERROR(SPLIT(A1177,"",""),"""")"),46486.0)</f>
        <v>46486</v>
      </c>
      <c r="C1177" t="str">
        <f>IFERROR(__xludf.DUMMYFUNCTION("""COMPUTED_VALUE"""),"Detroit Pistons")</f>
        <v>Detroit Pistons</v>
      </c>
      <c r="D1177" t="str">
        <f>IFERROR(__xludf.DUMMYFUNCTION("""COMPUTED_VALUE"""),"New York Knicks")</f>
        <v>New York Knicks</v>
      </c>
    </row>
    <row r="1178">
      <c r="A1178" s="17" t="s">
        <v>1266</v>
      </c>
      <c r="B1178" s="19">
        <f>IFERROR(__xludf.DUMMYFUNCTION("IFERROR(SPLIT(A1178,"",""),"""")"),46486.0)</f>
        <v>46486</v>
      </c>
      <c r="C1178" t="str">
        <f>IFERROR(__xludf.DUMMYFUNCTION("""COMPUTED_VALUE"""),"Toronto Raptors")</f>
        <v>Toronto Raptors</v>
      </c>
      <c r="D1178" t="str">
        <f>IFERROR(__xludf.DUMMYFUNCTION("""COMPUTED_VALUE"""),"Orlando Magic")</f>
        <v>Orlando Magic</v>
      </c>
    </row>
    <row r="1179">
      <c r="A1179" s="17" t="s">
        <v>1267</v>
      </c>
      <c r="B1179" s="19">
        <f>IFERROR(__xludf.DUMMYFUNCTION("IFERROR(SPLIT(A1179,"",""),"""")"),46486.0)</f>
        <v>46486</v>
      </c>
      <c r="C1179" t="str">
        <f>IFERROR(__xludf.DUMMYFUNCTION("""COMPUTED_VALUE"""),"Milwaukee Bucks")</f>
        <v>Milwaukee Bucks</v>
      </c>
      <c r="D1179" t="str">
        <f>IFERROR(__xludf.DUMMYFUNCTION("""COMPUTED_VALUE"""),"Chicago Bulls")</f>
        <v>Chicago Bulls</v>
      </c>
    </row>
    <row r="1180">
      <c r="A1180" s="17" t="s">
        <v>1268</v>
      </c>
      <c r="B1180" s="19">
        <f>IFERROR(__xludf.DUMMYFUNCTION("IFERROR(SPLIT(A1180,"",""),"""")"),46486.0)</f>
        <v>46486</v>
      </c>
      <c r="C1180" t="str">
        <f>IFERROR(__xludf.DUMMYFUNCTION("""COMPUTED_VALUE"""),"Washington Wizards")</f>
        <v>Washington Wizards</v>
      </c>
      <c r="D1180" t="str">
        <f>IFERROR(__xludf.DUMMYFUNCTION("""COMPUTED_VALUE"""),"Miami Heat")</f>
        <v>Miami Heat</v>
      </c>
    </row>
    <row r="1181">
      <c r="A1181" s="17" t="s">
        <v>1269</v>
      </c>
      <c r="B1181" s="19">
        <f>IFERROR(__xludf.DUMMYFUNCTION("IFERROR(SPLIT(A1181,"",""),"""")"),46486.0)</f>
        <v>46486</v>
      </c>
      <c r="C1181" t="str">
        <f>IFERROR(__xludf.DUMMYFUNCTION("""COMPUTED_VALUE"""),"Golden State Warriors")</f>
        <v>Golden State Warriors</v>
      </c>
      <c r="D1181" t="str">
        <f>IFERROR(__xludf.DUMMYFUNCTION("""COMPUTED_VALUE"""),"Oklahoma City Thunder")</f>
        <v>Oklahoma City Thunder</v>
      </c>
    </row>
    <row r="1182">
      <c r="A1182" s="17" t="s">
        <v>1270</v>
      </c>
      <c r="B1182" s="19">
        <f>IFERROR(__xludf.DUMMYFUNCTION("IFERROR(SPLIT(A1182,"",""),"""")"),46486.0)</f>
        <v>46486</v>
      </c>
      <c r="C1182" t="str">
        <f>IFERROR(__xludf.DUMMYFUNCTION("""COMPUTED_VALUE"""),"Portland Trail Blazers")</f>
        <v>Portland Trail Blazers</v>
      </c>
      <c r="D1182" t="str">
        <f>IFERROR(__xludf.DUMMYFUNCTION("""COMPUTED_VALUE"""),"Houston Rockets")</f>
        <v>Houston Rockets</v>
      </c>
    </row>
    <row r="1183">
      <c r="A1183" s="17" t="s">
        <v>1271</v>
      </c>
      <c r="B1183" s="19">
        <f>IFERROR(__xludf.DUMMYFUNCTION("IFERROR(SPLIT(A1183,"",""),"""")"),46486.0)</f>
        <v>46486</v>
      </c>
      <c r="C1183" t="str">
        <f>IFERROR(__xludf.DUMMYFUNCTION("""COMPUTED_VALUE"""),"Los Angeles Clippers")</f>
        <v>Los Angeles Clippers</v>
      </c>
      <c r="D1183" t="str">
        <f>IFERROR(__xludf.DUMMYFUNCTION("""COMPUTED_VALUE"""),"Utah Jazz")</f>
        <v>Utah Jazz</v>
      </c>
    </row>
    <row r="1184">
      <c r="A1184" s="17" t="s">
        <v>1272</v>
      </c>
      <c r="B1184" s="19">
        <f>IFERROR(__xludf.DUMMYFUNCTION("IFERROR(SPLIT(A1184,"",""),"""")"),46486.0)</f>
        <v>46486</v>
      </c>
      <c r="C1184" t="str">
        <f>IFERROR(__xludf.DUMMYFUNCTION("""COMPUTED_VALUE"""),"Denver Nuggets")</f>
        <v>Denver Nuggets</v>
      </c>
      <c r="D1184" t="str">
        <f>IFERROR(__xludf.DUMMYFUNCTION("""COMPUTED_VALUE"""),"San Antonio Spurs")</f>
        <v>San Antonio Spurs</v>
      </c>
    </row>
    <row r="1185">
      <c r="A1185" s="17" t="s">
        <v>1273</v>
      </c>
      <c r="B1185" s="19">
        <f>IFERROR(__xludf.DUMMYFUNCTION("IFERROR(SPLIT(A1185,"",""),"""")"),46486.0)</f>
        <v>46486</v>
      </c>
      <c r="C1185" t="str">
        <f>IFERROR(__xludf.DUMMYFUNCTION("""COMPUTED_VALUE"""),"Minnesota Timberwolves")</f>
        <v>Minnesota Timberwolves</v>
      </c>
      <c r="D1185" t="str">
        <f>IFERROR(__xludf.DUMMYFUNCTION("""COMPUTED_VALUE"""),"Los Angeles Lakers")</f>
        <v>Los Angeles Lakers</v>
      </c>
    </row>
    <row r="1186">
      <c r="A1186" s="17" t="s">
        <v>1274</v>
      </c>
      <c r="B1186" s="19">
        <f>IFERROR(__xludf.DUMMYFUNCTION("IFERROR(SPLIT(A1186,"",""),"""")"),46486.0)</f>
        <v>46486</v>
      </c>
      <c r="C1186" t="str">
        <f>IFERROR(__xludf.DUMMYFUNCTION("""COMPUTED_VALUE"""),"Memphis Grizzlies")</f>
        <v>Memphis Grizzlies</v>
      </c>
      <c r="D1186" t="str">
        <f>IFERROR(__xludf.DUMMYFUNCTION("""COMPUTED_VALUE"""),"Phoenix Suns")</f>
        <v>Phoenix Suns</v>
      </c>
    </row>
    <row r="1187">
      <c r="A1187" s="17" t="s">
        <v>1275</v>
      </c>
      <c r="B1187" s="19">
        <f>IFERROR(__xludf.DUMMYFUNCTION("IFERROR(SPLIT(A1187,"",""),"""")"),46486.0)</f>
        <v>46486</v>
      </c>
      <c r="C1187" t="str">
        <f>IFERROR(__xludf.DUMMYFUNCTION("""COMPUTED_VALUE"""),"Dallas Mavericks")</f>
        <v>Dallas Mavericks</v>
      </c>
      <c r="D1187" t="str">
        <f>IFERROR(__xludf.DUMMYFUNCTION("""COMPUTED_VALUE"""),"Sacramento Kings")</f>
        <v>Sacramento Kings</v>
      </c>
    </row>
    <row r="1188">
      <c r="A1188" s="17" t="s">
        <v>1276</v>
      </c>
      <c r="B1188" s="19">
        <f>IFERROR(__xludf.DUMMYFUNCTION("IFERROR(SPLIT(A1188,"",""),"""")"),46488.0)</f>
        <v>46488</v>
      </c>
      <c r="C1188" t="str">
        <f>IFERROR(__xludf.DUMMYFUNCTION("""COMPUTED_VALUE"""),"Detroit Pistons")</f>
        <v>Detroit Pistons</v>
      </c>
      <c r="D1188" t="str">
        <f>IFERROR(__xludf.DUMMYFUNCTION("""COMPUTED_VALUE"""),"Washington Wizards")</f>
        <v>Washington Wizards</v>
      </c>
    </row>
    <row r="1189">
      <c r="A1189" s="17" t="s">
        <v>1277</v>
      </c>
      <c r="B1189" s="19">
        <f>IFERROR(__xludf.DUMMYFUNCTION("IFERROR(SPLIT(A1189,"",""),"""")"),46488.0)</f>
        <v>46488</v>
      </c>
      <c r="C1189" t="str">
        <f>IFERROR(__xludf.DUMMYFUNCTION("""COMPUTED_VALUE"""),"Charlotte Hornets")</f>
        <v>Charlotte Hornets</v>
      </c>
      <c r="D1189" t="str">
        <f>IFERROR(__xludf.DUMMYFUNCTION("""COMPUTED_VALUE"""),"Philadelphia 76ers")</f>
        <v>Philadelphia 76ers</v>
      </c>
    </row>
    <row r="1190">
      <c r="A1190" s="17" t="s">
        <v>1278</v>
      </c>
      <c r="B1190" s="19">
        <f>IFERROR(__xludf.DUMMYFUNCTION("IFERROR(SPLIT(A1190,"",""),"""")"),46488.0)</f>
        <v>46488</v>
      </c>
      <c r="C1190" t="str">
        <f>IFERROR(__xludf.DUMMYFUNCTION("""COMPUTED_VALUE"""),"Indiana Pacers")</f>
        <v>Indiana Pacers</v>
      </c>
      <c r="D1190" t="str">
        <f>IFERROR(__xludf.DUMMYFUNCTION("""COMPUTED_VALUE"""),"New York Knicks")</f>
        <v>New York Knicks</v>
      </c>
    </row>
    <row r="1191">
      <c r="A1191" s="17" t="s">
        <v>1279</v>
      </c>
      <c r="B1191" s="19">
        <f>IFERROR(__xludf.DUMMYFUNCTION("IFERROR(SPLIT(A1191,"",""),"""")"),46488.0)</f>
        <v>46488</v>
      </c>
      <c r="C1191" t="str">
        <f>IFERROR(__xludf.DUMMYFUNCTION("""COMPUTED_VALUE"""),"Chicago Bulls")</f>
        <v>Chicago Bulls</v>
      </c>
      <c r="D1191" t="str">
        <f>IFERROR(__xludf.DUMMYFUNCTION("""COMPUTED_VALUE"""),"New Orleans Pelicans")</f>
        <v>New Orleans Pelicans</v>
      </c>
    </row>
    <row r="1192">
      <c r="A1192" s="17" t="s">
        <v>1280</v>
      </c>
      <c r="B1192" s="19">
        <f>IFERROR(__xludf.DUMMYFUNCTION("IFERROR(SPLIT(A1192,"",""),"""")"),46488.0)</f>
        <v>46488</v>
      </c>
      <c r="C1192" t="str">
        <f>IFERROR(__xludf.DUMMYFUNCTION("""COMPUTED_VALUE"""),"Orlando Magic")</f>
        <v>Orlando Magic</v>
      </c>
      <c r="D1192" t="str">
        <f>IFERROR(__xludf.DUMMYFUNCTION("""COMPUTED_VALUE"""),"Miami Heat")</f>
        <v>Miami Heat</v>
      </c>
    </row>
    <row r="1193">
      <c r="A1193" s="17" t="s">
        <v>1281</v>
      </c>
      <c r="B1193" s="19">
        <f>IFERROR(__xludf.DUMMYFUNCTION("IFERROR(SPLIT(A1193,"",""),"""")"),46488.0)</f>
        <v>46488</v>
      </c>
      <c r="C1193" t="str">
        <f>IFERROR(__xludf.DUMMYFUNCTION("""COMPUTED_VALUE"""),"Atlanta Hawks")</f>
        <v>Atlanta Hawks</v>
      </c>
      <c r="D1193" t="str">
        <f>IFERROR(__xludf.DUMMYFUNCTION("""COMPUTED_VALUE"""),"Cleveland Cavaliers")</f>
        <v>Cleveland Cavaliers</v>
      </c>
    </row>
    <row r="1194">
      <c r="A1194" s="17" t="s">
        <v>1282</v>
      </c>
      <c r="B1194" s="19">
        <f>IFERROR(__xludf.DUMMYFUNCTION("IFERROR(SPLIT(A1194,"",""),"""")"),46488.0)</f>
        <v>46488</v>
      </c>
      <c r="C1194" t="str">
        <f>IFERROR(__xludf.DUMMYFUNCTION("""COMPUTED_VALUE"""),"Toronto Raptors")</f>
        <v>Toronto Raptors</v>
      </c>
      <c r="D1194" t="str">
        <f>IFERROR(__xludf.DUMMYFUNCTION("""COMPUTED_VALUE"""),"Brooklyn Nets")</f>
        <v>Brooklyn Nets</v>
      </c>
    </row>
    <row r="1195">
      <c r="A1195" s="17" t="s">
        <v>1283</v>
      </c>
      <c r="B1195" s="19">
        <f>IFERROR(__xludf.DUMMYFUNCTION("IFERROR(SPLIT(A1195,"",""),"""")"),46488.0)</f>
        <v>46488</v>
      </c>
      <c r="C1195" t="str">
        <f>IFERROR(__xludf.DUMMYFUNCTION("""COMPUTED_VALUE"""),"Milwaukee Bucks")</f>
        <v>Milwaukee Bucks</v>
      </c>
      <c r="D1195" t="str">
        <f>IFERROR(__xludf.DUMMYFUNCTION("""COMPUTED_VALUE"""),"Boston Celtics")</f>
        <v>Boston Celtics</v>
      </c>
    </row>
    <row r="1196">
      <c r="A1196" s="17" t="s">
        <v>1284</v>
      </c>
      <c r="B1196" s="19">
        <f>IFERROR(__xludf.DUMMYFUNCTION("IFERROR(SPLIT(A1196,"",""),"""")"),46488.0)</f>
        <v>46488</v>
      </c>
      <c r="C1196" t="str">
        <f>IFERROR(__xludf.DUMMYFUNCTION("""COMPUTED_VALUE"""),"Utah Jazz")</f>
        <v>Utah Jazz</v>
      </c>
      <c r="D1196" t="str">
        <f>IFERROR(__xludf.DUMMYFUNCTION("""COMPUTED_VALUE"""),"Golden State Warriors")</f>
        <v>Golden State Warriors</v>
      </c>
    </row>
    <row r="1197">
      <c r="A1197" s="17" t="s">
        <v>1285</v>
      </c>
      <c r="B1197" s="19">
        <f>IFERROR(__xludf.DUMMYFUNCTION("IFERROR(SPLIT(A1197,"",""),"""")"),46488.0)</f>
        <v>46488</v>
      </c>
      <c r="C1197" t="str">
        <f>IFERROR(__xludf.DUMMYFUNCTION("""COMPUTED_VALUE"""),"Sacramento Kings")</f>
        <v>Sacramento Kings</v>
      </c>
      <c r="D1197" t="str">
        <f>IFERROR(__xludf.DUMMYFUNCTION("""COMPUTED_VALUE"""),"Los Angeles Clippers")</f>
        <v>Los Angeles Clippers</v>
      </c>
    </row>
    <row r="1198">
      <c r="A1198" s="17" t="s">
        <v>1286</v>
      </c>
      <c r="B1198" s="19">
        <f>IFERROR(__xludf.DUMMYFUNCTION("IFERROR(SPLIT(A1198,"",""),"""")"),46488.0)</f>
        <v>46488</v>
      </c>
      <c r="C1198" t="str">
        <f>IFERROR(__xludf.DUMMYFUNCTION("""COMPUTED_VALUE"""),"Phoenix Suns")</f>
        <v>Phoenix Suns</v>
      </c>
      <c r="D1198" t="str">
        <f>IFERROR(__xludf.DUMMYFUNCTION("""COMPUTED_VALUE"""),"Los Angeles Lakers")</f>
        <v>Los Angeles Lakers</v>
      </c>
    </row>
    <row r="1199">
      <c r="A1199" s="17" t="s">
        <v>1287</v>
      </c>
      <c r="B1199" s="19">
        <f>IFERROR(__xludf.DUMMYFUNCTION("IFERROR(SPLIT(A1199,"",""),"""")"),46488.0)</f>
        <v>46488</v>
      </c>
      <c r="C1199" t="str">
        <f>IFERROR(__xludf.DUMMYFUNCTION("""COMPUTED_VALUE"""),"Oklahoma City Thunder")</f>
        <v>Oklahoma City Thunder</v>
      </c>
      <c r="D1199" t="str">
        <f>IFERROR(__xludf.DUMMYFUNCTION("""COMPUTED_VALUE"""),"Denver Nuggets")</f>
        <v>Denver Nuggets</v>
      </c>
    </row>
    <row r="1200">
      <c r="A1200" s="17" t="s">
        <v>1288</v>
      </c>
      <c r="B1200" s="19">
        <f>IFERROR(__xludf.DUMMYFUNCTION("IFERROR(SPLIT(A1200,"",""),"""")"),46488.0)</f>
        <v>46488</v>
      </c>
      <c r="C1200" t="str">
        <f>IFERROR(__xludf.DUMMYFUNCTION("""COMPUTED_VALUE"""),"Houston Rockets")</f>
        <v>Houston Rockets</v>
      </c>
      <c r="D1200" t="str">
        <f>IFERROR(__xludf.DUMMYFUNCTION("""COMPUTED_VALUE"""),"Minnesota Timberwolves")</f>
        <v>Minnesota Timberwolves</v>
      </c>
    </row>
    <row r="1201">
      <c r="A1201" s="17" t="s">
        <v>1289</v>
      </c>
      <c r="B1201" s="19">
        <f>IFERROR(__xludf.DUMMYFUNCTION("IFERROR(SPLIT(A1201,"",""),"""")"),46488.0)</f>
        <v>46488</v>
      </c>
      <c r="C1201" t="str">
        <f>IFERROR(__xludf.DUMMYFUNCTION("""COMPUTED_VALUE"""),"Memphis Grizzlies")</f>
        <v>Memphis Grizzlies</v>
      </c>
      <c r="D1201" t="str">
        <f>IFERROR(__xludf.DUMMYFUNCTION("""COMPUTED_VALUE"""),"Dallas Mavericks")</f>
        <v>Dallas Mavericks</v>
      </c>
    </row>
    <row r="1202">
      <c r="A1202" s="17" t="s">
        <v>1290</v>
      </c>
      <c r="B1202" s="19">
        <f>IFERROR(__xludf.DUMMYFUNCTION("IFERROR(SPLIT(A1202,"",""),"""")"),46488.0)</f>
        <v>46488</v>
      </c>
      <c r="C1202" t="str">
        <f>IFERROR(__xludf.DUMMYFUNCTION("""COMPUTED_VALUE"""),"Portland Trail Blazers")</f>
        <v>Portland Trail Blazers</v>
      </c>
      <c r="D1202" t="str">
        <f>IFERROR(__xludf.DUMMYFUNCTION("""COMPUTED_VALUE"""),"San Antonio Spurs")</f>
        <v>San Antonio Spurs</v>
      </c>
    </row>
    <row r="1203">
      <c r="B1203" s="19" t="str">
        <f>IFERROR(__xludf.DUMMYFUNCTION("IFERROR(SPLIT(A1203,"",""),"""")"),"")</f>
        <v/>
      </c>
    </row>
    <row r="1204">
      <c r="B1204" s="19" t="str">
        <f>IFERROR(__xludf.DUMMYFUNCTION("IFERROR(SPLIT(A1204,"",""),"""")"),"")</f>
        <v/>
      </c>
    </row>
    <row r="1205">
      <c r="B1205" s="19" t="str">
        <f>IFERROR(__xludf.DUMMYFUNCTION("IFERROR(SPLIT(A1205,"",""),"""")"),"")</f>
        <v/>
      </c>
    </row>
    <row r="1206">
      <c r="B1206" s="19" t="str">
        <f>IFERROR(__xludf.DUMMYFUNCTION("IFERROR(SPLIT(A1206,"",""),"""")"),"")</f>
        <v/>
      </c>
    </row>
    <row r="1207">
      <c r="B1207" s="19" t="str">
        <f>IFERROR(__xludf.DUMMYFUNCTION("IFERROR(SPLIT(A1207,"",""),"""")"),"")</f>
        <v/>
      </c>
    </row>
    <row r="1208">
      <c r="B1208" s="19" t="str">
        <f>IFERROR(__xludf.DUMMYFUNCTION("IFERROR(SPLIT(A1208,"",""),"""")"),"")</f>
        <v/>
      </c>
    </row>
    <row r="1209">
      <c r="B1209" s="19" t="str">
        <f>IFERROR(__xludf.DUMMYFUNCTION("IFERROR(SPLIT(A1209,"",""),"""")"),"")</f>
        <v/>
      </c>
    </row>
    <row r="1210">
      <c r="B1210" s="19" t="str">
        <f>IFERROR(__xludf.DUMMYFUNCTION("IFERROR(SPLIT(A1210,"",""),"""")"),"")</f>
        <v/>
      </c>
    </row>
    <row r="1211">
      <c r="B1211" s="19" t="str">
        <f>IFERROR(__xludf.DUMMYFUNCTION("IFERROR(SPLIT(A1211,"",""),"""")"),"")</f>
        <v/>
      </c>
    </row>
    <row r="1212">
      <c r="B1212" s="19" t="str">
        <f>IFERROR(__xludf.DUMMYFUNCTION("IFERROR(SPLIT(A1212,"",""),"""")"),"")</f>
        <v/>
      </c>
    </row>
    <row r="1213">
      <c r="B1213" s="19" t="str">
        <f>IFERROR(__xludf.DUMMYFUNCTION("IFERROR(SPLIT(A1213,"",""),"""")"),"")</f>
        <v/>
      </c>
    </row>
    <row r="1214">
      <c r="B1214" s="19" t="str">
        <f>IFERROR(__xludf.DUMMYFUNCTION("IFERROR(SPLIT(A1214,"",""),"""")"),"")</f>
        <v/>
      </c>
    </row>
    <row r="1215">
      <c r="B1215" s="19" t="str">
        <f>IFERROR(__xludf.DUMMYFUNCTION("IFERROR(SPLIT(A1215,"",""),"""")"),"")</f>
        <v/>
      </c>
    </row>
    <row r="1216">
      <c r="B1216" s="19" t="str">
        <f>IFERROR(__xludf.DUMMYFUNCTION("IFERROR(SPLIT(A1216,"",""),"""")"),"")</f>
        <v/>
      </c>
    </row>
    <row r="1217">
      <c r="B1217" s="19" t="str">
        <f>IFERROR(__xludf.DUMMYFUNCTION("IFERROR(SPLIT(A1217,"",""),"""")"),"")</f>
        <v/>
      </c>
    </row>
    <row r="1218">
      <c r="B1218" s="19" t="str">
        <f>IFERROR(__xludf.DUMMYFUNCTION("IFERROR(SPLIT(A1218,"",""),"""")"),"")</f>
        <v/>
      </c>
    </row>
    <row r="1219">
      <c r="B1219" s="19" t="str">
        <f>IFERROR(__xludf.DUMMYFUNCTION("IFERROR(SPLIT(A1219,"",""),"""")"),"")</f>
        <v/>
      </c>
    </row>
    <row r="1220">
      <c r="B1220" s="19" t="str">
        <f>IFERROR(__xludf.DUMMYFUNCTION("IFERROR(SPLIT(A1220,"",""),"""")"),"")</f>
        <v/>
      </c>
    </row>
    <row r="1221">
      <c r="B1221" s="19" t="str">
        <f>IFERROR(__xludf.DUMMYFUNCTION("IFERROR(SPLIT(A1221,"",""),"""")"),"")</f>
        <v/>
      </c>
    </row>
    <row r="1222">
      <c r="B1222" s="19" t="str">
        <f>IFERROR(__xludf.DUMMYFUNCTION("IFERROR(SPLIT(A1222,"",""),"""")"),"")</f>
        <v/>
      </c>
    </row>
    <row r="1223">
      <c r="B1223" s="19" t="str">
        <f>IFERROR(__xludf.DUMMYFUNCTION("IFERROR(SPLIT(A1223,"",""),"""")"),"")</f>
        <v/>
      </c>
    </row>
    <row r="1224">
      <c r="B1224" s="19" t="str">
        <f>IFERROR(__xludf.DUMMYFUNCTION("IFERROR(SPLIT(A1224,"",""),"""")"),"")</f>
        <v/>
      </c>
    </row>
    <row r="1225">
      <c r="B1225" s="19" t="str">
        <f>IFERROR(__xludf.DUMMYFUNCTION("IFERROR(SPLIT(A1225,"",""),"""")"),"")</f>
        <v/>
      </c>
    </row>
    <row r="1226">
      <c r="B1226" s="19" t="str">
        <f>IFERROR(__xludf.DUMMYFUNCTION("IFERROR(SPLIT(A1226,"",""),"""")"),"")</f>
        <v/>
      </c>
    </row>
    <row r="1227">
      <c r="B1227" s="19" t="str">
        <f>IFERROR(__xludf.DUMMYFUNCTION("IFERROR(SPLIT(A1227,"",""),"""")"),"")</f>
        <v/>
      </c>
    </row>
    <row r="1228">
      <c r="B1228" s="19" t="str">
        <f>IFERROR(__xludf.DUMMYFUNCTION("IFERROR(SPLIT(A1228,"",""),"""")"),"")</f>
        <v/>
      </c>
    </row>
    <row r="1229">
      <c r="B1229" s="19" t="str">
        <f>IFERROR(__xludf.DUMMYFUNCTION("IFERROR(SPLIT(A1229,"",""),"""")"),"")</f>
        <v/>
      </c>
    </row>
    <row r="1230">
      <c r="B1230" s="19" t="str">
        <f>IFERROR(__xludf.DUMMYFUNCTION("IFERROR(SPLIT(A1230,"",""),"""")"),"")</f>
        <v/>
      </c>
    </row>
    <row r="1231">
      <c r="B1231" s="19" t="str">
        <f>IFERROR(__xludf.DUMMYFUNCTION("IFERROR(SPLIT(A1231,"",""),"""")"),"")</f>
        <v/>
      </c>
    </row>
    <row r="1232">
      <c r="B1232" s="19" t="str">
        <f>IFERROR(__xludf.DUMMYFUNCTION("IFERROR(SPLIT(A1232,"",""),"""")"),"")</f>
        <v/>
      </c>
    </row>
    <row r="1233">
      <c r="B1233" s="19" t="str">
        <f>IFERROR(__xludf.DUMMYFUNCTION("IFERROR(SPLIT(A1233,"",""),"""")"),"")</f>
        <v/>
      </c>
    </row>
    <row r="1234">
      <c r="B1234" s="19" t="str">
        <f>IFERROR(__xludf.DUMMYFUNCTION("IFERROR(SPLIT(A1234,"",""),"""")"),"")</f>
        <v/>
      </c>
    </row>
    <row r="1235">
      <c r="B1235" s="19" t="str">
        <f>IFERROR(__xludf.DUMMYFUNCTION("IFERROR(SPLIT(A1235,"",""),"""")"),"")</f>
        <v/>
      </c>
    </row>
    <row r="1236">
      <c r="B1236" s="19" t="str">
        <f>IFERROR(__xludf.DUMMYFUNCTION("IFERROR(SPLIT(A1236,"",""),"""")"),"")</f>
        <v/>
      </c>
    </row>
    <row r="1237">
      <c r="B1237" s="19" t="str">
        <f>IFERROR(__xludf.DUMMYFUNCTION("IFERROR(SPLIT(A1237,"",""),"""")"),"")</f>
        <v/>
      </c>
    </row>
    <row r="1238">
      <c r="B1238" s="19" t="str">
        <f>IFERROR(__xludf.DUMMYFUNCTION("IFERROR(SPLIT(A1238,"",""),"""")"),"")</f>
        <v/>
      </c>
    </row>
    <row r="1239">
      <c r="B1239" s="19" t="str">
        <f>IFERROR(__xludf.DUMMYFUNCTION("IFERROR(SPLIT(A1239,"",""),"""")"),"")</f>
        <v/>
      </c>
    </row>
    <row r="1240">
      <c r="B1240" s="19" t="str">
        <f>IFERROR(__xludf.DUMMYFUNCTION("IFERROR(SPLIT(A1240,"",""),"""")"),"")</f>
        <v/>
      </c>
    </row>
    <row r="1241">
      <c r="B1241" s="19" t="str">
        <f>IFERROR(__xludf.DUMMYFUNCTION("IFERROR(SPLIT(A1241,"",""),"""")"),"")</f>
        <v/>
      </c>
    </row>
    <row r="1242">
      <c r="B1242" s="19" t="str">
        <f>IFERROR(__xludf.DUMMYFUNCTION("IFERROR(SPLIT(A1242,"",""),"""")"),"")</f>
        <v/>
      </c>
    </row>
    <row r="1243">
      <c r="B1243" s="19" t="str">
        <f>IFERROR(__xludf.DUMMYFUNCTION("IFERROR(SPLIT(A1243,"",""),"""")"),"")</f>
        <v/>
      </c>
    </row>
    <row r="1244">
      <c r="B1244" s="19" t="str">
        <f>IFERROR(__xludf.DUMMYFUNCTION("IFERROR(SPLIT(A1244,"",""),"""")"),"")</f>
        <v/>
      </c>
    </row>
    <row r="1245">
      <c r="B1245" s="19" t="str">
        <f>IFERROR(__xludf.DUMMYFUNCTION("IFERROR(SPLIT(A1245,"",""),"""")"),"")</f>
        <v/>
      </c>
    </row>
    <row r="1246">
      <c r="B1246" s="19" t="str">
        <f>IFERROR(__xludf.DUMMYFUNCTION("IFERROR(SPLIT(A1246,"",""),"""")"),"")</f>
        <v/>
      </c>
    </row>
    <row r="1247">
      <c r="B1247" s="19" t="str">
        <f>IFERROR(__xludf.DUMMYFUNCTION("IFERROR(SPLIT(A1247,"",""),"""")"),"")</f>
        <v/>
      </c>
    </row>
    <row r="1248">
      <c r="B1248" s="19" t="str">
        <f>IFERROR(__xludf.DUMMYFUNCTION("IFERROR(SPLIT(A1248,"",""),"""")"),"")</f>
        <v/>
      </c>
    </row>
    <row r="1249">
      <c r="B1249" s="19" t="str">
        <f>IFERROR(__xludf.DUMMYFUNCTION("IFERROR(SPLIT(A1249,"",""),"""")"),"")</f>
        <v/>
      </c>
    </row>
    <row r="1250">
      <c r="B1250" s="19" t="str">
        <f>IFERROR(__xludf.DUMMYFUNCTION("IFERROR(SPLIT(A1250,"",""),"""")"),"")</f>
        <v/>
      </c>
    </row>
    <row r="1251">
      <c r="B1251" s="19" t="str">
        <f>IFERROR(__xludf.DUMMYFUNCTION("IFERROR(SPLIT(A1251,"",""),"""")"),"")</f>
        <v/>
      </c>
    </row>
    <row r="1252">
      <c r="B1252" s="19" t="str">
        <f>IFERROR(__xludf.DUMMYFUNCTION("IFERROR(SPLIT(A1252,"",""),"""")"),"")</f>
        <v/>
      </c>
    </row>
    <row r="1253">
      <c r="B1253" s="19" t="str">
        <f>IFERROR(__xludf.DUMMYFUNCTION("IFERROR(SPLIT(A1253,"",""),"""")"),"")</f>
        <v/>
      </c>
    </row>
    <row r="1254">
      <c r="B1254" s="19" t="str">
        <f>IFERROR(__xludf.DUMMYFUNCTION("IFERROR(SPLIT(A1254,"",""),"""")"),"")</f>
        <v/>
      </c>
    </row>
    <row r="1255">
      <c r="B1255" s="19" t="str">
        <f>IFERROR(__xludf.DUMMYFUNCTION("IFERROR(SPLIT(A1255,"",""),"""")"),"")</f>
        <v/>
      </c>
    </row>
    <row r="1256">
      <c r="B1256" s="19" t="str">
        <f>IFERROR(__xludf.DUMMYFUNCTION("IFERROR(SPLIT(A1256,"",""),"""")"),"")</f>
        <v/>
      </c>
    </row>
    <row r="1257">
      <c r="B1257" s="19" t="str">
        <f>IFERROR(__xludf.DUMMYFUNCTION("IFERROR(SPLIT(A1257,"",""),"""")"),"")</f>
        <v/>
      </c>
    </row>
    <row r="1258">
      <c r="A1258" s="17"/>
      <c r="B1258" s="19" t="str">
        <f>IFERROR(__xludf.DUMMYFUNCTION("IFERROR(SPLIT(A1258,"",""),"""")"),"")</f>
        <v/>
      </c>
    </row>
    <row r="1259">
      <c r="A1259" s="17"/>
      <c r="B1259" s="19" t="str">
        <f>IFERROR(__xludf.DUMMYFUNCTION("IFERROR(SPLIT(A1259,"",""),"""")"),"")</f>
        <v/>
      </c>
    </row>
    <row r="1260">
      <c r="A1260" s="17"/>
      <c r="B1260" s="19" t="str">
        <f>IFERROR(__xludf.DUMMYFUNCTION("IFERROR(SPLIT(A1260,"",""),"""")"),"")</f>
        <v/>
      </c>
    </row>
    <row r="1261">
      <c r="A1261" s="17"/>
      <c r="B1261" s="19" t="str">
        <f>IFERROR(__xludf.DUMMYFUNCTION("IFERROR(SPLIT(A1261,"",""),"""")"),"")</f>
        <v/>
      </c>
    </row>
    <row r="1262">
      <c r="A1262" s="17"/>
      <c r="B1262" s="19" t="str">
        <f>IFERROR(__xludf.DUMMYFUNCTION("IFERROR(SPLIT(A1262,"",""),"""")"),"")</f>
        <v/>
      </c>
    </row>
    <row r="1263">
      <c r="A1263" s="17"/>
      <c r="B1263" s="19" t="str">
        <f>IFERROR(__xludf.DUMMYFUNCTION("IFERROR(SPLIT(A1263,"",""),"""")"),"")</f>
        <v/>
      </c>
    </row>
    <row r="1264">
      <c r="A1264" s="17"/>
      <c r="B1264" s="19" t="str">
        <f>IFERROR(__xludf.DUMMYFUNCTION("IFERROR(SPLIT(A1264,"",""),"""")"),"")</f>
        <v/>
      </c>
    </row>
    <row r="1265">
      <c r="A1265" s="17"/>
      <c r="B1265" s="19" t="str">
        <f>IFERROR(__xludf.DUMMYFUNCTION("IFERROR(SPLIT(A1265,"",""),"""")"),"")</f>
        <v/>
      </c>
    </row>
    <row r="1266">
      <c r="A1266" s="17"/>
      <c r="B1266" s="19" t="str">
        <f>IFERROR(__xludf.DUMMYFUNCTION("IFERROR(SPLIT(A1266,"",""),"""")"),"")</f>
        <v/>
      </c>
    </row>
    <row r="1267">
      <c r="A1267" s="17"/>
      <c r="B1267" s="19" t="str">
        <f>IFERROR(__xludf.DUMMYFUNCTION("IFERROR(SPLIT(A1267,"",""),"""")"),"")</f>
        <v/>
      </c>
    </row>
    <row r="1268">
      <c r="A1268" s="17"/>
      <c r="B1268" s="19" t="str">
        <f>IFERROR(__xludf.DUMMYFUNCTION("IFERROR(SPLIT(A1268,"",""),"""")"),"")</f>
        <v/>
      </c>
    </row>
    <row r="1269">
      <c r="A1269" s="17"/>
      <c r="B1269" s="19" t="str">
        <f>IFERROR(__xludf.DUMMYFUNCTION("IFERROR(SPLIT(A1269,"",""),"""")"),"")</f>
        <v/>
      </c>
    </row>
    <row r="1270">
      <c r="A1270" s="17"/>
      <c r="B1270" s="19" t="str">
        <f>IFERROR(__xludf.DUMMYFUNCTION("IFERROR(SPLIT(A1270,"",""),"""")"),"")</f>
        <v/>
      </c>
    </row>
    <row r="1271">
      <c r="A1271" s="17"/>
      <c r="B1271" s="19" t="str">
        <f>IFERROR(__xludf.DUMMYFUNCTION("IFERROR(SPLIT(A1271,"",""),"""")"),"")</f>
        <v/>
      </c>
    </row>
    <row r="1272">
      <c r="A1272" s="17"/>
      <c r="B1272" s="19" t="str">
        <f>IFERROR(__xludf.DUMMYFUNCTION("IFERROR(SPLIT(A1272,"",""),"""")"),"")</f>
        <v/>
      </c>
    </row>
    <row r="1273">
      <c r="A1273" s="17"/>
      <c r="B1273" s="19" t="str">
        <f>IFERROR(__xludf.DUMMYFUNCTION("IFERROR(SPLIT(A1273,"",""),"""")"),"")</f>
        <v/>
      </c>
    </row>
    <row r="1274">
      <c r="A1274" s="17"/>
      <c r="B1274" s="19" t="str">
        <f>IFERROR(__xludf.DUMMYFUNCTION("IFERROR(SPLIT(A1274,"",""),"""")"),"")</f>
        <v/>
      </c>
    </row>
    <row r="1275">
      <c r="A1275" s="17"/>
      <c r="B1275" s="19" t="str">
        <f>IFERROR(__xludf.DUMMYFUNCTION("IFERROR(SPLIT(A1275,"",""),"""")"),"")</f>
        <v/>
      </c>
    </row>
    <row r="1276">
      <c r="A1276" s="17"/>
      <c r="B1276" s="19" t="str">
        <f>IFERROR(__xludf.DUMMYFUNCTION("IFERROR(SPLIT(A1276,"",""),"""")"),"")</f>
        <v/>
      </c>
    </row>
    <row r="1277">
      <c r="A1277" s="17"/>
      <c r="B1277" s="19" t="str">
        <f>IFERROR(__xludf.DUMMYFUNCTION("IFERROR(SPLIT(A1277,"",""),"""")"),"")</f>
        <v/>
      </c>
    </row>
    <row r="1278">
      <c r="A1278" s="17"/>
      <c r="B1278" s="19" t="str">
        <f>IFERROR(__xludf.DUMMYFUNCTION("IFERROR(SPLIT(A1278,"",""),"""")"),"")</f>
        <v/>
      </c>
    </row>
    <row r="1279">
      <c r="A1279" s="17"/>
      <c r="B1279" s="19" t="str">
        <f>IFERROR(__xludf.DUMMYFUNCTION("IFERROR(SPLIT(A1279,"",""),"""")"),"")</f>
        <v/>
      </c>
    </row>
    <row r="1280">
      <c r="A1280" s="17"/>
      <c r="B1280" s="19" t="str">
        <f>IFERROR(__xludf.DUMMYFUNCTION("IFERROR(SPLIT(A1280,"",""),"""")"),"")</f>
        <v/>
      </c>
    </row>
    <row r="1281">
      <c r="A1281" s="17"/>
      <c r="B1281" s="19" t="str">
        <f>IFERROR(__xludf.DUMMYFUNCTION("IFERROR(SPLIT(A1281,"",""),"""")"),"")</f>
        <v/>
      </c>
    </row>
    <row r="1282">
      <c r="A1282" s="17"/>
      <c r="B1282" s="19" t="str">
        <f>IFERROR(__xludf.DUMMYFUNCTION("IFERROR(SPLIT(A1282,"",""),"""")"),"")</f>
        <v/>
      </c>
    </row>
    <row r="1283">
      <c r="A1283" s="17"/>
      <c r="B1283" s="19" t="str">
        <f>IFERROR(__xludf.DUMMYFUNCTION("IFERROR(SPLIT(A1283,"",""),"""")"),"")</f>
        <v/>
      </c>
    </row>
    <row r="1284">
      <c r="A1284" s="17"/>
      <c r="B1284" s="19" t="str">
        <f>IFERROR(__xludf.DUMMYFUNCTION("IFERROR(SPLIT(A1284,"",""),"""")"),"")</f>
        <v/>
      </c>
    </row>
    <row r="1285">
      <c r="A1285" s="17"/>
      <c r="B1285" s="19" t="str">
        <f>IFERROR(__xludf.DUMMYFUNCTION("IFERROR(SPLIT(A1285,"",""),"""")"),"")</f>
        <v/>
      </c>
    </row>
    <row r="1286">
      <c r="A1286" s="17"/>
      <c r="B1286" s="19" t="str">
        <f>IFERROR(__xludf.DUMMYFUNCTION("IFERROR(SPLIT(A1286,"",""),"""")"),"")</f>
        <v/>
      </c>
    </row>
    <row r="1287">
      <c r="A1287" s="17"/>
      <c r="B1287" s="19" t="str">
        <f>IFERROR(__xludf.DUMMYFUNCTION("IFERROR(SPLIT(A1287,"",""),"""")"),"")</f>
        <v/>
      </c>
    </row>
    <row r="1288">
      <c r="A1288" s="17"/>
      <c r="B1288" s="19" t="str">
        <f>IFERROR(__xludf.DUMMYFUNCTION("IFERROR(SPLIT(A1288,"",""),"""")"),"")</f>
        <v/>
      </c>
    </row>
    <row r="1289">
      <c r="A1289" s="17"/>
      <c r="B1289" s="19" t="str">
        <f>IFERROR(__xludf.DUMMYFUNCTION("IFERROR(SPLIT(A1289,"",""),"""")"),"")</f>
        <v/>
      </c>
    </row>
    <row r="1290">
      <c r="A1290" s="17"/>
      <c r="B1290" s="19" t="str">
        <f>IFERROR(__xludf.DUMMYFUNCTION("IFERROR(SPLIT(A1290,"",""),"""")"),"")</f>
        <v/>
      </c>
    </row>
    <row r="1291">
      <c r="A1291" s="17"/>
      <c r="B1291" s="19" t="str">
        <f>IFERROR(__xludf.DUMMYFUNCTION("IFERROR(SPLIT(A1291,"",""),"""")"),"")</f>
        <v/>
      </c>
    </row>
    <row r="1292">
      <c r="A1292" s="17"/>
      <c r="B1292" s="19" t="str">
        <f>IFERROR(__xludf.DUMMYFUNCTION("IFERROR(SPLIT(A1292,"",""),"""")"),"")</f>
        <v/>
      </c>
    </row>
    <row r="1293">
      <c r="A1293" s="17"/>
      <c r="B1293" s="19" t="str">
        <f>IFERROR(__xludf.DUMMYFUNCTION("IFERROR(SPLIT(A1293,"",""),"""")"),"")</f>
        <v/>
      </c>
    </row>
    <row r="1294">
      <c r="A1294" s="17"/>
      <c r="B1294" s="19" t="str">
        <f>IFERROR(__xludf.DUMMYFUNCTION("IFERROR(SPLIT(A1294,"",""),"""")"),"")</f>
        <v/>
      </c>
    </row>
    <row r="1295">
      <c r="A1295" s="17"/>
      <c r="B1295" s="19" t="str">
        <f>IFERROR(__xludf.DUMMYFUNCTION("IFERROR(SPLIT(A1295,"",""),"""")"),"")</f>
        <v/>
      </c>
    </row>
    <row r="1296">
      <c r="A1296" s="17"/>
      <c r="B1296" s="19" t="str">
        <f>IFERROR(__xludf.DUMMYFUNCTION("IFERROR(SPLIT(A1296,"",""),"""")"),"")</f>
        <v/>
      </c>
    </row>
    <row r="1297">
      <c r="A1297" s="17"/>
      <c r="B1297" s="19" t="str">
        <f>IFERROR(__xludf.DUMMYFUNCTION("IFERROR(SPLIT(A1297,"",""),"""")"),"")</f>
        <v/>
      </c>
    </row>
    <row r="1298">
      <c r="A1298" s="17"/>
      <c r="B1298" s="19" t="str">
        <f>IFERROR(__xludf.DUMMYFUNCTION("IFERROR(SPLIT(A1298,"",""),"""")"),"")</f>
        <v/>
      </c>
    </row>
    <row r="1299">
      <c r="A1299" s="17"/>
      <c r="B1299" s="19" t="str">
        <f>IFERROR(__xludf.DUMMYFUNCTION("IFERROR(SPLIT(A1299,"",""),"""")"),"")</f>
        <v/>
      </c>
    </row>
    <row r="1300">
      <c r="A1300" s="17"/>
      <c r="B1300" s="19" t="str">
        <f>IFERROR(__xludf.DUMMYFUNCTION("IFERROR(SPLIT(A1300,"",""),"""")"),"")</f>
        <v/>
      </c>
    </row>
    <row r="1301">
      <c r="A1301" s="17"/>
      <c r="B1301" s="19" t="str">
        <f>IFERROR(__xludf.DUMMYFUNCTION("IFERROR(SPLIT(A1301,"",""),"""")"),"")</f>
        <v/>
      </c>
    </row>
    <row r="1302">
      <c r="A1302" s="17"/>
      <c r="B1302" s="19" t="str">
        <f>IFERROR(__xludf.DUMMYFUNCTION("IFERROR(SPLIT(A1302,"",""),"""")"),"")</f>
        <v/>
      </c>
    </row>
    <row r="1303">
      <c r="A1303" s="17"/>
      <c r="B1303" s="19" t="str">
        <f>IFERROR(__xludf.DUMMYFUNCTION("IFERROR(SPLIT(A1303,"",""),"""")"),"")</f>
        <v/>
      </c>
    </row>
    <row r="1304">
      <c r="A1304" s="17"/>
      <c r="B1304" s="19" t="str">
        <f>IFERROR(__xludf.DUMMYFUNCTION("IFERROR(SPLIT(A1304,"",""),"""")"),"")</f>
        <v/>
      </c>
    </row>
    <row r="1305">
      <c r="A1305" s="17"/>
      <c r="B1305" s="19" t="str">
        <f>IFERROR(__xludf.DUMMYFUNCTION("IFERROR(SPLIT(A1305,"",""),"""")"),"")</f>
        <v/>
      </c>
    </row>
    <row r="1306">
      <c r="A1306" s="17"/>
      <c r="B1306" s="19" t="str">
        <f>IFERROR(__xludf.DUMMYFUNCTION("IFERROR(SPLIT(A1306,"",""),"""")"),"")</f>
        <v/>
      </c>
    </row>
    <row r="1307">
      <c r="A1307" s="17"/>
      <c r="B1307" s="19" t="str">
        <f>IFERROR(__xludf.DUMMYFUNCTION("IFERROR(SPLIT(A1307,"",""),"""")"),"")</f>
        <v/>
      </c>
    </row>
    <row r="1308">
      <c r="A1308" s="17"/>
      <c r="B1308" s="19" t="str">
        <f>IFERROR(__xludf.DUMMYFUNCTION("IFERROR(SPLIT(A1308,"",""),"""")"),"")</f>
        <v/>
      </c>
    </row>
    <row r="1309">
      <c r="A1309" s="17"/>
      <c r="B1309" s="19" t="str">
        <f>IFERROR(__xludf.DUMMYFUNCTION("IFERROR(SPLIT(A1309,"",""),"""")"),"")</f>
        <v/>
      </c>
    </row>
    <row r="1310">
      <c r="A1310" s="17"/>
      <c r="B1310" s="19" t="str">
        <f>IFERROR(__xludf.DUMMYFUNCTION("IFERROR(SPLIT(A1310,"",""),"""")"),"")</f>
        <v/>
      </c>
    </row>
    <row r="1311">
      <c r="A1311" s="17"/>
      <c r="B1311" s="19" t="str">
        <f>IFERROR(__xludf.DUMMYFUNCTION("IFERROR(SPLIT(A1311,"",""),"""")"),"")</f>
        <v/>
      </c>
    </row>
    <row r="1312">
      <c r="A1312" s="17"/>
      <c r="B1312" s="19" t="str">
        <f>IFERROR(__xludf.DUMMYFUNCTION("IFERROR(SPLIT(A1312,"",""),"""")"),"")</f>
        <v/>
      </c>
    </row>
    <row r="1313">
      <c r="A1313" s="17"/>
      <c r="B1313" s="19" t="str">
        <f>IFERROR(__xludf.DUMMYFUNCTION("IFERROR(SPLIT(A1313,"",""),"""")"),"")</f>
        <v/>
      </c>
    </row>
    <row r="1314">
      <c r="A1314" s="17"/>
      <c r="B1314" s="19" t="str">
        <f>IFERROR(__xludf.DUMMYFUNCTION("IFERROR(SPLIT(A1314,"",""),"""")"),"")</f>
        <v/>
      </c>
    </row>
    <row r="1315">
      <c r="A1315" s="17"/>
      <c r="B1315" s="19" t="str">
        <f>IFERROR(__xludf.DUMMYFUNCTION("IFERROR(SPLIT(A1315,"",""),"""")"),"")</f>
        <v/>
      </c>
    </row>
    <row r="1316">
      <c r="A1316" s="17"/>
      <c r="B1316" s="19" t="str">
        <f>IFERROR(__xludf.DUMMYFUNCTION("IFERROR(SPLIT(A1316,"",""),"""")"),"")</f>
        <v/>
      </c>
    </row>
    <row r="1317">
      <c r="A1317" s="17"/>
      <c r="B1317" s="19" t="str">
        <f>IFERROR(__xludf.DUMMYFUNCTION("IFERROR(SPLIT(A1317,"",""),"""")"),"")</f>
        <v/>
      </c>
    </row>
    <row r="1318">
      <c r="A1318" s="17"/>
      <c r="B1318" s="19" t="str">
        <f>IFERROR(__xludf.DUMMYFUNCTION("IFERROR(SPLIT(A1318,"",""),"""")"),"")</f>
        <v/>
      </c>
    </row>
    <row r="1319">
      <c r="A1319" s="17"/>
      <c r="B1319" s="19" t="str">
        <f>IFERROR(__xludf.DUMMYFUNCTION("IFERROR(SPLIT(A1319,"",""),"""")"),"")</f>
        <v/>
      </c>
    </row>
    <row r="1320">
      <c r="A1320" s="17"/>
      <c r="B1320" s="19" t="str">
        <f>IFERROR(__xludf.DUMMYFUNCTION("IFERROR(SPLIT(A1320,"",""),"""")"),"")</f>
        <v/>
      </c>
    </row>
    <row r="1321">
      <c r="A1321" s="17"/>
      <c r="B1321" s="19" t="str">
        <f>IFERROR(__xludf.DUMMYFUNCTION("IFERROR(SPLIT(A1321,"",""),"""")"),"")</f>
        <v/>
      </c>
    </row>
    <row r="1322">
      <c r="A1322" s="17"/>
      <c r="B1322" s="19" t="str">
        <f>IFERROR(__xludf.DUMMYFUNCTION("IFERROR(SPLIT(A1322,"",""),"""")"),"")</f>
        <v/>
      </c>
    </row>
    <row r="1323">
      <c r="A1323" s="17"/>
      <c r="B1323" s="19" t="str">
        <f>IFERROR(__xludf.DUMMYFUNCTION("IFERROR(SPLIT(A1323,"",""),"""")"),"")</f>
        <v/>
      </c>
    </row>
    <row r="1324">
      <c r="A1324" s="17"/>
      <c r="B1324" s="19" t="str">
        <f>IFERROR(__xludf.DUMMYFUNCTION("IFERROR(SPLIT(A1324,"",""),"""")"),"")</f>
        <v/>
      </c>
    </row>
    <row r="1325">
      <c r="A1325" s="17"/>
      <c r="B1325" s="19" t="str">
        <f>IFERROR(__xludf.DUMMYFUNCTION("IFERROR(SPLIT(A1325,"",""),"""")"),"")</f>
        <v/>
      </c>
    </row>
    <row r="1326">
      <c r="A1326" s="17"/>
      <c r="B1326" s="19" t="str">
        <f>IFERROR(__xludf.DUMMYFUNCTION("IFERROR(SPLIT(A1326,"",""),"""")"),"")</f>
        <v/>
      </c>
    </row>
    <row r="1327">
      <c r="A1327" s="17"/>
      <c r="B1327" s="19" t="str">
        <f>IFERROR(__xludf.DUMMYFUNCTION("IFERROR(SPLIT(A1327,"",""),"""")"),"")</f>
        <v/>
      </c>
    </row>
    <row r="1328">
      <c r="A1328" s="17"/>
      <c r="B1328" s="19" t="str">
        <f>IFERROR(__xludf.DUMMYFUNCTION("IFERROR(SPLIT(A1328,"",""),"""")"),"")</f>
        <v/>
      </c>
    </row>
    <row r="1329">
      <c r="A1329" s="17"/>
      <c r="B1329" s="19" t="str">
        <f>IFERROR(__xludf.DUMMYFUNCTION("IFERROR(SPLIT(A1329,"",""),"""")"),"")</f>
        <v/>
      </c>
    </row>
    <row r="1330">
      <c r="A1330" s="17"/>
      <c r="B1330" s="19" t="str">
        <f>IFERROR(__xludf.DUMMYFUNCTION("IFERROR(SPLIT(A1330,"",""),"""")"),"")</f>
        <v/>
      </c>
    </row>
    <row r="1331">
      <c r="A1331" s="17"/>
      <c r="B1331" s="19" t="str">
        <f>IFERROR(__xludf.DUMMYFUNCTION("IFERROR(SPLIT(A1331,"",""),"""")"),"")</f>
        <v/>
      </c>
    </row>
    <row r="1332">
      <c r="A1332" s="17"/>
      <c r="B1332" s="19" t="str">
        <f>IFERROR(__xludf.DUMMYFUNCTION("IFERROR(SPLIT(A1332,"",""),"""")"),"")</f>
        <v/>
      </c>
    </row>
    <row r="1333">
      <c r="A1333" s="17"/>
      <c r="B1333" s="19" t="str">
        <f>IFERROR(__xludf.DUMMYFUNCTION("IFERROR(SPLIT(A1333,"",""),"""")"),"")</f>
        <v/>
      </c>
    </row>
    <row r="1334">
      <c r="A1334" s="17"/>
      <c r="B1334" s="19" t="str">
        <f>IFERROR(__xludf.DUMMYFUNCTION("IFERROR(SPLIT(A1334,"",""),"""")"),"")</f>
        <v/>
      </c>
    </row>
    <row r="1335">
      <c r="A1335" s="17"/>
      <c r="B1335" s="19" t="str">
        <f>IFERROR(__xludf.DUMMYFUNCTION("IFERROR(SPLIT(A1335,"",""),"""")"),"")</f>
        <v/>
      </c>
    </row>
    <row r="1336">
      <c r="A1336" s="17"/>
      <c r="B1336" s="19" t="str">
        <f>IFERROR(__xludf.DUMMYFUNCTION("IFERROR(SPLIT(A1336,"",""),"""")"),"")</f>
        <v/>
      </c>
    </row>
    <row r="1337">
      <c r="A1337" s="17"/>
      <c r="B1337" s="19" t="str">
        <f>IFERROR(__xludf.DUMMYFUNCTION("IFERROR(SPLIT(A1337,"",""),"""")"),"")</f>
        <v/>
      </c>
    </row>
    <row r="1338">
      <c r="A1338" s="17"/>
      <c r="B1338" s="19" t="str">
        <f>IFERROR(__xludf.DUMMYFUNCTION("IFERROR(SPLIT(A1338,"",""),"""")"),"")</f>
        <v/>
      </c>
    </row>
    <row r="1339">
      <c r="A1339" s="17"/>
      <c r="B1339" s="19" t="str">
        <f>IFERROR(__xludf.DUMMYFUNCTION("IFERROR(SPLIT(A1339,"",""),"""")"),"")</f>
        <v/>
      </c>
    </row>
    <row r="1340">
      <c r="A1340" s="17"/>
      <c r="B1340" s="19" t="str">
        <f>IFERROR(__xludf.DUMMYFUNCTION("IFERROR(SPLIT(A1340,"",""),"""")"),"")</f>
        <v/>
      </c>
    </row>
    <row r="1341">
      <c r="A1341" s="17"/>
      <c r="B1341" s="19" t="str">
        <f>IFERROR(__xludf.DUMMYFUNCTION("IFERROR(SPLIT(A1341,"",""),"""")"),"")</f>
        <v/>
      </c>
    </row>
    <row r="1342">
      <c r="A1342" s="17"/>
      <c r="B1342" s="19" t="str">
        <f>IFERROR(__xludf.DUMMYFUNCTION("IFERROR(SPLIT(A1342,"",""),"""")"),"")</f>
        <v/>
      </c>
    </row>
    <row r="1343">
      <c r="A1343" s="17"/>
      <c r="B1343" s="19" t="str">
        <f>IFERROR(__xludf.DUMMYFUNCTION("IFERROR(SPLIT(A1343,"",""),"""")"),"")</f>
        <v/>
      </c>
    </row>
    <row r="1344">
      <c r="A1344" s="17"/>
      <c r="B1344" s="19" t="str">
        <f>IFERROR(__xludf.DUMMYFUNCTION("IFERROR(SPLIT(A1344,"",""),"""")"),"")</f>
        <v/>
      </c>
    </row>
    <row r="1345">
      <c r="A1345" s="17"/>
      <c r="B1345" s="19" t="str">
        <f>IFERROR(__xludf.DUMMYFUNCTION("IFERROR(SPLIT(A1345,"",""),"""")"),"")</f>
        <v/>
      </c>
    </row>
    <row r="1346">
      <c r="A1346" s="17"/>
      <c r="B1346" s="19" t="str">
        <f>IFERROR(__xludf.DUMMYFUNCTION("IFERROR(SPLIT(A1346,"",""),"""")"),"")</f>
        <v/>
      </c>
    </row>
    <row r="1347">
      <c r="A1347" s="17"/>
      <c r="B1347" s="19" t="str">
        <f>IFERROR(__xludf.DUMMYFUNCTION("IFERROR(SPLIT(A1347,"",""),"""")"),"")</f>
        <v/>
      </c>
    </row>
    <row r="1348">
      <c r="A1348" s="17"/>
      <c r="B1348" s="19" t="str">
        <f>IFERROR(__xludf.DUMMYFUNCTION("IFERROR(SPLIT(A1348,"",""),"""")"),"")</f>
        <v/>
      </c>
    </row>
    <row r="1349">
      <c r="A1349" s="17"/>
      <c r="B1349" s="19" t="str">
        <f>IFERROR(__xludf.DUMMYFUNCTION("IFERROR(SPLIT(A1349,"",""),"""")"),"")</f>
        <v/>
      </c>
    </row>
    <row r="1350">
      <c r="A1350" s="17"/>
      <c r="B1350" s="19" t="str">
        <f>IFERROR(__xludf.DUMMYFUNCTION("IFERROR(SPLIT(A1350,"",""),"""")"),"")</f>
        <v/>
      </c>
    </row>
    <row r="1351">
      <c r="A1351" s="17"/>
      <c r="B1351" s="19" t="str">
        <f>IFERROR(__xludf.DUMMYFUNCTION("IFERROR(SPLIT(A1351,"",""),"""")"),"")</f>
        <v/>
      </c>
    </row>
    <row r="1352">
      <c r="A1352" s="17"/>
      <c r="B1352" s="19" t="str">
        <f>IFERROR(__xludf.DUMMYFUNCTION("IFERROR(SPLIT(A1352,"",""),"""")"),"")</f>
        <v/>
      </c>
    </row>
    <row r="1353">
      <c r="A1353" s="17"/>
      <c r="B1353" s="19" t="str">
        <f>IFERROR(__xludf.DUMMYFUNCTION("IFERROR(SPLIT(A1353,"",""),"""")"),"")</f>
        <v/>
      </c>
    </row>
    <row r="1354">
      <c r="A1354" s="17"/>
      <c r="B1354" s="19" t="str">
        <f>IFERROR(__xludf.DUMMYFUNCTION("IFERROR(SPLIT(A1354,"",""),"""")"),"")</f>
        <v/>
      </c>
    </row>
    <row r="1355">
      <c r="A1355" s="17"/>
      <c r="B1355" s="19" t="str">
        <f>IFERROR(__xludf.DUMMYFUNCTION("IFERROR(SPLIT(A1355,"",""),"""")"),"")</f>
        <v/>
      </c>
    </row>
    <row r="1356">
      <c r="A1356" s="17"/>
      <c r="B1356" s="19" t="str">
        <f>IFERROR(__xludf.DUMMYFUNCTION("IFERROR(SPLIT(A1356,"",""),"""")"),"")</f>
        <v/>
      </c>
    </row>
    <row r="1357">
      <c r="A1357" s="17"/>
      <c r="B1357" s="19" t="str">
        <f>IFERROR(__xludf.DUMMYFUNCTION("IFERROR(SPLIT(A1357,"",""),"""")"),"")</f>
        <v/>
      </c>
    </row>
    <row r="1358">
      <c r="A1358" s="17"/>
      <c r="B1358" s="19" t="str">
        <f>IFERROR(__xludf.DUMMYFUNCTION("IFERROR(SPLIT(A1358,"",""),"""")"),"")</f>
        <v/>
      </c>
    </row>
    <row r="1359">
      <c r="A1359" s="17"/>
      <c r="B1359" s="19" t="str">
        <f>IFERROR(__xludf.DUMMYFUNCTION("IFERROR(SPLIT(A1359,"",""),"""")"),"")</f>
        <v/>
      </c>
    </row>
    <row r="1360">
      <c r="A1360" s="17"/>
      <c r="B1360" s="19" t="str">
        <f>IFERROR(__xludf.DUMMYFUNCTION("IFERROR(SPLIT(A1360,"",""),"""")"),"")</f>
        <v/>
      </c>
    </row>
    <row r="1361">
      <c r="A1361" s="17"/>
      <c r="B1361" s="19" t="str">
        <f>IFERROR(__xludf.DUMMYFUNCTION("IFERROR(SPLIT(A1361,"",""),"""")"),"")</f>
        <v/>
      </c>
    </row>
    <row r="1362">
      <c r="A1362" s="17"/>
      <c r="B1362" s="19" t="str">
        <f>IFERROR(__xludf.DUMMYFUNCTION("IFERROR(SPLIT(A1362,"",""),"""")"),"")</f>
        <v/>
      </c>
    </row>
    <row r="1363">
      <c r="A1363" s="17"/>
      <c r="B1363" s="19" t="str">
        <f>IFERROR(__xludf.DUMMYFUNCTION("IFERROR(SPLIT(A1363,"",""),"""")"),"")</f>
        <v/>
      </c>
    </row>
    <row r="1364">
      <c r="A1364" s="17"/>
      <c r="B1364" s="19" t="str">
        <f>IFERROR(__xludf.DUMMYFUNCTION("IFERROR(SPLIT(A1364,"",""),"""")"),"")</f>
        <v/>
      </c>
    </row>
    <row r="1365">
      <c r="A1365" s="17"/>
      <c r="B1365" s="19" t="str">
        <f>IFERROR(__xludf.DUMMYFUNCTION("IFERROR(SPLIT(A1365,"",""),"""")"),"")</f>
        <v/>
      </c>
    </row>
    <row r="1366">
      <c r="A1366" s="17"/>
      <c r="B1366" s="19" t="str">
        <f>IFERROR(__xludf.DUMMYFUNCTION("IFERROR(SPLIT(A1366,"",""),"""")"),"")</f>
        <v/>
      </c>
    </row>
    <row r="1367">
      <c r="A1367" s="17"/>
      <c r="B1367" s="19" t="str">
        <f>IFERROR(__xludf.DUMMYFUNCTION("IFERROR(SPLIT(A1367,"",""),"""")"),"")</f>
        <v/>
      </c>
    </row>
    <row r="1368">
      <c r="A1368" s="17"/>
      <c r="B1368" s="19" t="str">
        <f>IFERROR(__xludf.DUMMYFUNCTION("IFERROR(SPLIT(A1368,"",""),"""")"),"")</f>
        <v/>
      </c>
    </row>
    <row r="1369">
      <c r="A1369" s="17"/>
      <c r="B1369" s="19" t="str">
        <f>IFERROR(__xludf.DUMMYFUNCTION("IFERROR(SPLIT(A1369,"",""),"""")"),"")</f>
        <v/>
      </c>
    </row>
    <row r="1370">
      <c r="A1370" s="17"/>
      <c r="B1370" s="19" t="str">
        <f>IFERROR(__xludf.DUMMYFUNCTION("IFERROR(SPLIT(A1370,"",""),"""")"),"")</f>
        <v/>
      </c>
    </row>
    <row r="1371">
      <c r="A1371" s="17"/>
      <c r="B1371" s="19" t="str">
        <f>IFERROR(__xludf.DUMMYFUNCTION("IFERROR(SPLIT(A1371,"",""),"""")"),"")</f>
        <v/>
      </c>
    </row>
    <row r="1372">
      <c r="A1372" s="17"/>
      <c r="B1372" s="19" t="str">
        <f>IFERROR(__xludf.DUMMYFUNCTION("IFERROR(SPLIT(A1372,"",""),"""")"),"")</f>
        <v/>
      </c>
    </row>
    <row r="1373">
      <c r="A1373" s="17"/>
      <c r="B1373" s="19" t="str">
        <f>IFERROR(__xludf.DUMMYFUNCTION("IFERROR(SPLIT(A1373,"",""),"""")"),"")</f>
        <v/>
      </c>
    </row>
    <row r="1374">
      <c r="A1374" s="17"/>
      <c r="B1374" s="19" t="str">
        <f>IFERROR(__xludf.DUMMYFUNCTION("IFERROR(SPLIT(A1374,"",""),"""")"),"")</f>
        <v/>
      </c>
    </row>
    <row r="1375">
      <c r="A1375" s="17"/>
      <c r="B1375" s="19" t="str">
        <f>IFERROR(__xludf.DUMMYFUNCTION("IFERROR(SPLIT(A1375,"",""),"""")"),"")</f>
        <v/>
      </c>
    </row>
    <row r="1376">
      <c r="A1376" s="17"/>
      <c r="B1376" s="19" t="str">
        <f>IFERROR(__xludf.DUMMYFUNCTION("IFERROR(SPLIT(A1376,"",""),"""")"),"")</f>
        <v/>
      </c>
    </row>
    <row r="1377">
      <c r="A1377" s="17"/>
      <c r="B1377" s="19" t="str">
        <f>IFERROR(__xludf.DUMMYFUNCTION("IFERROR(SPLIT(A1377,"",""),"""")"),"")</f>
        <v/>
      </c>
    </row>
    <row r="1378">
      <c r="A1378" s="17"/>
      <c r="B1378" s="19" t="str">
        <f>IFERROR(__xludf.DUMMYFUNCTION("IFERROR(SPLIT(A1378,"",""),"""")"),"")</f>
        <v/>
      </c>
    </row>
    <row r="1379">
      <c r="A1379" s="17"/>
      <c r="B1379" s="19" t="str">
        <f>IFERROR(__xludf.DUMMYFUNCTION("IFERROR(SPLIT(A1379,"",""),"""")"),"")</f>
        <v/>
      </c>
    </row>
    <row r="1380">
      <c r="A1380" s="17"/>
      <c r="B1380" s="19" t="str">
        <f>IFERROR(__xludf.DUMMYFUNCTION("IFERROR(SPLIT(A1380,"",""),"""")"),"")</f>
        <v/>
      </c>
    </row>
    <row r="1381">
      <c r="A1381" s="17"/>
      <c r="B1381" s="19" t="str">
        <f>IFERROR(__xludf.DUMMYFUNCTION("IFERROR(SPLIT(A1381,"",""),"""")"),"")</f>
        <v/>
      </c>
    </row>
    <row r="1382">
      <c r="A1382" s="17"/>
      <c r="B1382" s="19" t="str">
        <f>IFERROR(__xludf.DUMMYFUNCTION("IFERROR(SPLIT(A1382,"",""),"""")"),"")</f>
        <v/>
      </c>
    </row>
    <row r="1383">
      <c r="A1383" s="17"/>
      <c r="B1383" s="19" t="str">
        <f>IFERROR(__xludf.DUMMYFUNCTION("IFERROR(SPLIT(A1383,"",""),"""")"),"")</f>
        <v/>
      </c>
    </row>
    <row r="1384">
      <c r="A1384" s="17"/>
      <c r="B1384" s="19" t="str">
        <f>IFERROR(__xludf.DUMMYFUNCTION("IFERROR(SPLIT(A1384,"",""),"""")"),"")</f>
        <v/>
      </c>
    </row>
    <row r="1385">
      <c r="A1385" s="17"/>
      <c r="B1385" s="19" t="str">
        <f>IFERROR(__xludf.DUMMYFUNCTION("IFERROR(SPLIT(A1385,"",""),"""")"),"")</f>
        <v/>
      </c>
    </row>
    <row r="1386">
      <c r="A1386" s="17"/>
      <c r="B1386" s="19" t="str">
        <f>IFERROR(__xludf.DUMMYFUNCTION("IFERROR(SPLIT(A1386,"",""),"""")"),"")</f>
        <v/>
      </c>
    </row>
    <row r="1387">
      <c r="A1387" s="17"/>
      <c r="B1387" s="19" t="str">
        <f>IFERROR(__xludf.DUMMYFUNCTION("IFERROR(SPLIT(A1387,"",""),"""")"),"")</f>
        <v/>
      </c>
    </row>
    <row r="1388">
      <c r="A1388" s="17"/>
      <c r="B1388" s="19" t="str">
        <f>IFERROR(__xludf.DUMMYFUNCTION("IFERROR(SPLIT(A1388,"",""),"""")"),"")</f>
        <v/>
      </c>
    </row>
    <row r="1389">
      <c r="A1389" s="17"/>
      <c r="B1389" s="19" t="str">
        <f>IFERROR(__xludf.DUMMYFUNCTION("IFERROR(SPLIT(A1389,"",""),"""")"),"")</f>
        <v/>
      </c>
    </row>
    <row r="1390">
      <c r="A1390" s="17"/>
      <c r="B1390" s="19" t="str">
        <f>IFERROR(__xludf.DUMMYFUNCTION("IFERROR(SPLIT(A1390,"",""),"""")"),"")</f>
        <v/>
      </c>
    </row>
    <row r="1391">
      <c r="A1391" s="17"/>
      <c r="B1391" s="19" t="str">
        <f>IFERROR(__xludf.DUMMYFUNCTION("IFERROR(SPLIT(A1391,"",""),"""")"),"")</f>
        <v/>
      </c>
    </row>
    <row r="1392">
      <c r="A1392" s="17"/>
      <c r="B1392" s="19" t="str">
        <f>IFERROR(__xludf.DUMMYFUNCTION("IFERROR(SPLIT(A1392,"",""),"""")"),"")</f>
        <v/>
      </c>
    </row>
    <row r="1393">
      <c r="A1393" s="17"/>
      <c r="B1393" s="19" t="str">
        <f>IFERROR(__xludf.DUMMYFUNCTION("IFERROR(SPLIT(A1393,"",""),"""")"),"")</f>
        <v/>
      </c>
    </row>
    <row r="1394">
      <c r="A1394" s="17"/>
      <c r="B1394" s="19" t="str">
        <f>IFERROR(__xludf.DUMMYFUNCTION("IFERROR(SPLIT(A1394,"",""),"""")"),"")</f>
        <v/>
      </c>
    </row>
    <row r="1395">
      <c r="A1395" s="17"/>
      <c r="B1395" s="19" t="str">
        <f>IFERROR(__xludf.DUMMYFUNCTION("IFERROR(SPLIT(A1395,"",""),"""")"),"")</f>
        <v/>
      </c>
    </row>
    <row r="1396">
      <c r="A1396" s="17"/>
      <c r="B1396" s="19" t="str">
        <f>IFERROR(__xludf.DUMMYFUNCTION("IFERROR(SPLIT(A1396,"",""),"""")"),"")</f>
        <v/>
      </c>
    </row>
    <row r="1397">
      <c r="A1397" s="17"/>
      <c r="B1397" s="19" t="str">
        <f>IFERROR(__xludf.DUMMYFUNCTION("IFERROR(SPLIT(A1397,"",""),"""")"),"")</f>
        <v/>
      </c>
    </row>
    <row r="1398">
      <c r="A1398" s="17"/>
      <c r="B1398" s="19" t="str">
        <f>IFERROR(__xludf.DUMMYFUNCTION("IFERROR(SPLIT(A1398,"",""),"""")"),"")</f>
        <v/>
      </c>
    </row>
    <row r="1399">
      <c r="A1399" s="17"/>
      <c r="B1399" s="19" t="str">
        <f>IFERROR(__xludf.DUMMYFUNCTION("IFERROR(SPLIT(A1399,"",""),"""")"),"")</f>
        <v/>
      </c>
    </row>
    <row r="1400">
      <c r="A1400" s="17"/>
      <c r="B1400" s="19" t="str">
        <f>IFERROR(__xludf.DUMMYFUNCTION("IFERROR(SPLIT(A1400,"",""),"""")"),"")</f>
        <v/>
      </c>
    </row>
    <row r="1401">
      <c r="A1401" s="17"/>
      <c r="B1401" s="19" t="str">
        <f>IFERROR(__xludf.DUMMYFUNCTION("IFERROR(SPLIT(A1401,"",""),"""")"),"")</f>
        <v/>
      </c>
    </row>
    <row r="1402">
      <c r="A1402" s="17"/>
      <c r="B1402" s="19" t="str">
        <f>IFERROR(__xludf.DUMMYFUNCTION("IFERROR(SPLIT(A1402,"",""),"""")"),"")</f>
        <v/>
      </c>
    </row>
    <row r="1403">
      <c r="A1403" s="17"/>
      <c r="B1403" s="19" t="str">
        <f>IFERROR(__xludf.DUMMYFUNCTION("IFERROR(SPLIT(A1403,"",""),"""")"),"")</f>
        <v/>
      </c>
    </row>
    <row r="1404">
      <c r="A1404" s="17"/>
      <c r="B1404" s="19" t="str">
        <f>IFERROR(__xludf.DUMMYFUNCTION("IFERROR(SPLIT(A1404,"",""),"""")"),"")</f>
        <v/>
      </c>
    </row>
    <row r="1405">
      <c r="A1405" s="17"/>
      <c r="B1405" s="19" t="str">
        <f>IFERROR(__xludf.DUMMYFUNCTION("IFERROR(SPLIT(A1405,"",""),"""")"),"")</f>
        <v/>
      </c>
    </row>
    <row r="1406">
      <c r="A1406" s="17"/>
      <c r="B1406" s="19" t="str">
        <f>IFERROR(__xludf.DUMMYFUNCTION("IFERROR(SPLIT(A1406,"",""),"""")"),"")</f>
        <v/>
      </c>
    </row>
    <row r="1407">
      <c r="A1407" s="17"/>
      <c r="B1407" s="19" t="str">
        <f>IFERROR(__xludf.DUMMYFUNCTION("IFERROR(SPLIT(A1407,"",""),"""")"),"")</f>
        <v/>
      </c>
    </row>
    <row r="1408">
      <c r="A1408" s="17"/>
      <c r="B1408" s="19" t="str">
        <f>IFERROR(__xludf.DUMMYFUNCTION("IFERROR(SPLIT(A1408,"",""),"""")"),"")</f>
        <v/>
      </c>
    </row>
    <row r="1409">
      <c r="A1409" s="17"/>
      <c r="B1409" s="19" t="str">
        <f>IFERROR(__xludf.DUMMYFUNCTION("IFERROR(SPLIT(A1409,"",""),"""")"),"")</f>
        <v/>
      </c>
    </row>
    <row r="1410">
      <c r="A1410" s="17"/>
      <c r="B1410" s="19" t="str">
        <f>IFERROR(__xludf.DUMMYFUNCTION("IFERROR(SPLIT(A1410,"",""),"""")"),"")</f>
        <v/>
      </c>
    </row>
    <row r="1411">
      <c r="A1411" s="17"/>
      <c r="B1411" s="19" t="str">
        <f>IFERROR(__xludf.DUMMYFUNCTION("IFERROR(SPLIT(A1411,"",""),"""")"),"")</f>
        <v/>
      </c>
    </row>
    <row r="1412">
      <c r="A1412" s="17"/>
      <c r="B1412" s="19" t="str">
        <f>IFERROR(__xludf.DUMMYFUNCTION("IFERROR(SPLIT(A1412,"",""),"""")"),"")</f>
        <v/>
      </c>
    </row>
    <row r="1413">
      <c r="A1413" s="17"/>
      <c r="B1413" s="19" t="str">
        <f>IFERROR(__xludf.DUMMYFUNCTION("IFERROR(SPLIT(A1413,"",""),"""")"),"")</f>
        <v/>
      </c>
    </row>
    <row r="1414">
      <c r="A1414" s="17"/>
      <c r="B1414" s="19" t="str">
        <f>IFERROR(__xludf.DUMMYFUNCTION("IFERROR(SPLIT(A1414,"",""),"""")"),"")</f>
        <v/>
      </c>
    </row>
    <row r="1415">
      <c r="A1415" s="17"/>
      <c r="B1415" s="19" t="str">
        <f>IFERROR(__xludf.DUMMYFUNCTION("IFERROR(SPLIT(A1415,"",""),"""")"),"")</f>
        <v/>
      </c>
    </row>
    <row r="1416">
      <c r="A1416" s="17"/>
      <c r="B1416" s="19" t="str">
        <f>IFERROR(__xludf.DUMMYFUNCTION("IFERROR(SPLIT(A1416,"",""),"""")"),"")</f>
        <v/>
      </c>
    </row>
    <row r="1417">
      <c r="A1417" s="17"/>
      <c r="B1417" s="19" t="str">
        <f>IFERROR(__xludf.DUMMYFUNCTION("IFERROR(SPLIT(A1417,"",""),"""")"),"")</f>
        <v/>
      </c>
    </row>
    <row r="1418">
      <c r="A1418" s="17"/>
      <c r="B1418" s="19" t="str">
        <f>IFERROR(__xludf.DUMMYFUNCTION("IFERROR(SPLIT(A1418,"",""),"""")"),"")</f>
        <v/>
      </c>
    </row>
    <row r="1419">
      <c r="A1419" s="17"/>
      <c r="B1419" s="19" t="str">
        <f>IFERROR(__xludf.DUMMYFUNCTION("IFERROR(SPLIT(A1419,"",""),"""")"),"")</f>
        <v/>
      </c>
    </row>
    <row r="1420">
      <c r="A1420" s="17"/>
      <c r="B1420" s="19" t="str">
        <f>IFERROR(__xludf.DUMMYFUNCTION("IFERROR(SPLIT(A1420,"",""),"""")"),"")</f>
        <v/>
      </c>
    </row>
    <row r="1421">
      <c r="A1421" s="17"/>
      <c r="B1421" s="19" t="str">
        <f>IFERROR(__xludf.DUMMYFUNCTION("IFERROR(SPLIT(A1421,"",""),"""")"),"")</f>
        <v/>
      </c>
    </row>
    <row r="1422">
      <c r="A1422" s="17"/>
      <c r="B1422" s="19" t="str">
        <f>IFERROR(__xludf.DUMMYFUNCTION("IFERROR(SPLIT(A1422,"",""),"""")"),"")</f>
        <v/>
      </c>
    </row>
    <row r="1423">
      <c r="A1423" s="17"/>
      <c r="B1423" s="19" t="str">
        <f>IFERROR(__xludf.DUMMYFUNCTION("IFERROR(SPLIT(A1423,"",""),"""")"),"")</f>
        <v/>
      </c>
    </row>
    <row r="1424">
      <c r="A1424" s="17"/>
      <c r="B1424" s="19" t="str">
        <f>IFERROR(__xludf.DUMMYFUNCTION("IFERROR(SPLIT(A1424,"",""),"""")"),"")</f>
        <v/>
      </c>
    </row>
    <row r="1425">
      <c r="A1425" s="17"/>
      <c r="B1425" s="19" t="str">
        <f>IFERROR(__xludf.DUMMYFUNCTION("IFERROR(SPLIT(A1425,"",""),"""")"),"")</f>
        <v/>
      </c>
    </row>
    <row r="1426">
      <c r="A1426" s="17"/>
      <c r="B1426" s="19" t="str">
        <f>IFERROR(__xludf.DUMMYFUNCTION("IFERROR(SPLIT(A1426,"",""),"""")"),"")</f>
        <v/>
      </c>
    </row>
    <row r="1427">
      <c r="A1427" s="17"/>
      <c r="B1427" s="19" t="str">
        <f>IFERROR(__xludf.DUMMYFUNCTION("IFERROR(SPLIT(A1427,"",""),"""")"),"")</f>
        <v/>
      </c>
    </row>
    <row r="1428">
      <c r="A1428" s="17"/>
      <c r="B1428" s="19" t="str">
        <f>IFERROR(__xludf.DUMMYFUNCTION("IFERROR(SPLIT(A1428,"",""),"""")"),"")</f>
        <v/>
      </c>
    </row>
    <row r="1429">
      <c r="A1429" s="17"/>
      <c r="B1429" s="19" t="str">
        <f>IFERROR(__xludf.DUMMYFUNCTION("IFERROR(SPLIT(A1429,"",""),"""")"),"")</f>
        <v/>
      </c>
    </row>
    <row r="1430">
      <c r="A1430" s="17"/>
      <c r="B1430" s="19" t="str">
        <f>IFERROR(__xludf.DUMMYFUNCTION("IFERROR(SPLIT(A1430,"",""),"""")"),"")</f>
        <v/>
      </c>
    </row>
    <row r="1431">
      <c r="A1431" s="17"/>
      <c r="B1431" s="19" t="str">
        <f>IFERROR(__xludf.DUMMYFUNCTION("IFERROR(SPLIT(A1431,"",""),"""")"),"")</f>
        <v/>
      </c>
    </row>
    <row r="1432">
      <c r="A1432" s="17"/>
      <c r="B1432" s="19" t="str">
        <f>IFERROR(__xludf.DUMMYFUNCTION("IFERROR(SPLIT(A1432,"",""),"""")"),"")</f>
        <v/>
      </c>
    </row>
    <row r="1433">
      <c r="A1433" s="17"/>
      <c r="B1433" s="19" t="str">
        <f>IFERROR(__xludf.DUMMYFUNCTION("IFERROR(SPLIT(A1433,"",""),"""")"),"")</f>
        <v/>
      </c>
    </row>
    <row r="1434">
      <c r="A1434" s="17"/>
      <c r="B1434" s="19" t="str">
        <f>IFERROR(__xludf.DUMMYFUNCTION("IFERROR(SPLIT(A1434,"",""),"""")"),"")</f>
        <v/>
      </c>
    </row>
    <row r="1435">
      <c r="A1435" s="17"/>
      <c r="B1435" s="19" t="str">
        <f>IFERROR(__xludf.DUMMYFUNCTION("IFERROR(SPLIT(A1435,"",""),"""")"),"")</f>
        <v/>
      </c>
    </row>
    <row r="1436">
      <c r="A1436" s="17"/>
      <c r="B1436" s="19" t="str">
        <f>IFERROR(__xludf.DUMMYFUNCTION("IFERROR(SPLIT(A1436,"",""),"""")"),"")</f>
        <v/>
      </c>
    </row>
    <row r="1437">
      <c r="A1437" s="17"/>
      <c r="B1437" s="19" t="str">
        <f>IFERROR(__xludf.DUMMYFUNCTION("IFERROR(SPLIT(A1437,"",""),"""")"),"")</f>
        <v/>
      </c>
    </row>
    <row r="1438">
      <c r="A1438" s="17"/>
      <c r="B1438" s="19" t="str">
        <f>IFERROR(__xludf.DUMMYFUNCTION("IFERROR(SPLIT(A1438,"",""),"""")"),"")</f>
        <v/>
      </c>
    </row>
    <row r="1439">
      <c r="A1439" s="17"/>
      <c r="B1439" s="19" t="str">
        <f>IFERROR(__xludf.DUMMYFUNCTION("IFERROR(SPLIT(A1439,"",""),"""")"),"")</f>
        <v/>
      </c>
    </row>
    <row r="1440">
      <c r="A1440" s="17"/>
      <c r="B1440" s="19" t="str">
        <f>IFERROR(__xludf.DUMMYFUNCTION("IFERROR(SPLIT(A1440,"",""),"""")"),"")</f>
        <v/>
      </c>
    </row>
    <row r="1441">
      <c r="A1441" s="17"/>
      <c r="B1441" s="19" t="str">
        <f>IFERROR(__xludf.DUMMYFUNCTION("IFERROR(SPLIT(A1441,"",""),"""")"),"")</f>
        <v/>
      </c>
    </row>
    <row r="1442">
      <c r="A1442" s="17"/>
      <c r="B1442" s="19" t="str">
        <f>IFERROR(__xludf.DUMMYFUNCTION("IFERROR(SPLIT(A1442,"",""),"""")"),"")</f>
        <v/>
      </c>
    </row>
    <row r="1443">
      <c r="A1443" s="17"/>
      <c r="B1443" s="19" t="str">
        <f>IFERROR(__xludf.DUMMYFUNCTION("IFERROR(SPLIT(A1443,"",""),"""")"),"")</f>
        <v/>
      </c>
    </row>
    <row r="1444">
      <c r="A1444" s="17"/>
      <c r="B1444" s="19" t="str">
        <f>IFERROR(__xludf.DUMMYFUNCTION("IFERROR(SPLIT(A1444,"",""),"""")"),"")</f>
        <v/>
      </c>
    </row>
    <row r="1445">
      <c r="A1445" s="17"/>
      <c r="B1445" s="19" t="str">
        <f>IFERROR(__xludf.DUMMYFUNCTION("IFERROR(SPLIT(A1445,"",""),"""")"),"")</f>
        <v/>
      </c>
    </row>
    <row r="1446">
      <c r="A1446" s="17"/>
      <c r="B1446" s="19" t="str">
        <f>IFERROR(__xludf.DUMMYFUNCTION("IFERROR(SPLIT(A1446,"",""),"""")"),"")</f>
        <v/>
      </c>
    </row>
    <row r="1447">
      <c r="A1447" s="17"/>
      <c r="B1447" s="19" t="str">
        <f>IFERROR(__xludf.DUMMYFUNCTION("IFERROR(SPLIT(A1447,"",""),"""")"),"")</f>
        <v/>
      </c>
    </row>
    <row r="1448">
      <c r="A1448" s="17"/>
      <c r="B1448" s="19" t="str">
        <f>IFERROR(__xludf.DUMMYFUNCTION("IFERROR(SPLIT(A1448,"",""),"""")"),"")</f>
        <v/>
      </c>
    </row>
    <row r="1449">
      <c r="A1449" s="17"/>
      <c r="B1449" s="19" t="str">
        <f>IFERROR(__xludf.DUMMYFUNCTION("IFERROR(SPLIT(A1449,"",""),"""")"),"")</f>
        <v/>
      </c>
    </row>
    <row r="1450">
      <c r="A1450" s="17"/>
      <c r="B1450" s="19" t="str">
        <f>IFERROR(__xludf.DUMMYFUNCTION("IFERROR(SPLIT(A1450,"",""),"""")"),"")</f>
        <v/>
      </c>
    </row>
    <row r="1451">
      <c r="A1451" s="17"/>
      <c r="B1451" s="19" t="str">
        <f>IFERROR(__xludf.DUMMYFUNCTION("IFERROR(SPLIT(A1451,"",""),"""")"),"")</f>
        <v/>
      </c>
    </row>
    <row r="1452">
      <c r="A1452" s="17"/>
      <c r="B1452" s="19" t="str">
        <f>IFERROR(__xludf.DUMMYFUNCTION("IFERROR(SPLIT(A1452,"",""),"""")"),"")</f>
        <v/>
      </c>
    </row>
    <row r="1453">
      <c r="A1453" s="17"/>
      <c r="B1453" s="19" t="str">
        <f>IFERROR(__xludf.DUMMYFUNCTION("IFERROR(SPLIT(A1453,"",""),"""")"),"")</f>
        <v/>
      </c>
    </row>
    <row r="1454">
      <c r="A1454" s="17"/>
      <c r="B1454" s="19" t="str">
        <f>IFERROR(__xludf.DUMMYFUNCTION("IFERROR(SPLIT(A1454,"",""),"""")"),"")</f>
        <v/>
      </c>
    </row>
    <row r="1455">
      <c r="A1455" s="17"/>
      <c r="B1455" s="19" t="str">
        <f>IFERROR(__xludf.DUMMYFUNCTION("IFERROR(SPLIT(A1455,"",""),"""")"),"")</f>
        <v/>
      </c>
    </row>
    <row r="1456">
      <c r="A1456" s="17"/>
      <c r="B1456" s="19" t="str">
        <f>IFERROR(__xludf.DUMMYFUNCTION("IFERROR(SPLIT(A1456,"",""),"""")"),"")</f>
        <v/>
      </c>
    </row>
    <row r="1457">
      <c r="A1457" s="17"/>
      <c r="B1457" s="19" t="str">
        <f>IFERROR(__xludf.DUMMYFUNCTION("IFERROR(SPLIT(A1457,"",""),"""")"),"")</f>
        <v/>
      </c>
    </row>
    <row r="1458">
      <c r="A1458" s="17"/>
      <c r="B1458" s="19" t="str">
        <f>IFERROR(__xludf.DUMMYFUNCTION("IFERROR(SPLIT(A1458,"",""),"""")"),"")</f>
        <v/>
      </c>
    </row>
    <row r="1459">
      <c r="A1459" s="17"/>
      <c r="B1459" s="19" t="str">
        <f>IFERROR(__xludf.DUMMYFUNCTION("IFERROR(SPLIT(A1459,"",""),"""")"),"")</f>
        <v/>
      </c>
    </row>
    <row r="1460">
      <c r="A1460" s="17"/>
      <c r="B1460" s="19" t="str">
        <f>IFERROR(__xludf.DUMMYFUNCTION("IFERROR(SPLIT(A1460,"",""),"""")"),"")</f>
        <v/>
      </c>
    </row>
    <row r="1461">
      <c r="A1461" s="17"/>
      <c r="B1461" s="19" t="str">
        <f>IFERROR(__xludf.DUMMYFUNCTION("IFERROR(SPLIT(A1461,"",""),"""")"),"")</f>
        <v/>
      </c>
    </row>
    <row r="1462">
      <c r="A1462" s="17"/>
      <c r="B1462" s="19" t="str">
        <f>IFERROR(__xludf.DUMMYFUNCTION("IFERROR(SPLIT(A1462,"",""),"""")"),"")</f>
        <v/>
      </c>
    </row>
    <row r="1463">
      <c r="A1463" s="17"/>
      <c r="B1463" s="19" t="str">
        <f>IFERROR(__xludf.DUMMYFUNCTION("IFERROR(SPLIT(A1463,"",""),"""")"),"")</f>
        <v/>
      </c>
    </row>
    <row r="1464">
      <c r="A1464" s="17"/>
      <c r="B1464" s="19" t="str">
        <f>IFERROR(__xludf.DUMMYFUNCTION("IFERROR(SPLIT(A1464,"",""),"""")"),"")</f>
        <v/>
      </c>
    </row>
    <row r="1465">
      <c r="A1465" s="17"/>
      <c r="B1465" s="19" t="str">
        <f>IFERROR(__xludf.DUMMYFUNCTION("IFERROR(SPLIT(A1465,"",""),"""")"),"")</f>
        <v/>
      </c>
    </row>
    <row r="1466">
      <c r="A1466" s="17"/>
      <c r="B1466" s="19" t="str">
        <f>IFERROR(__xludf.DUMMYFUNCTION("IFERROR(SPLIT(A1466,"",""),"""")"),"")</f>
        <v/>
      </c>
    </row>
    <row r="1467">
      <c r="A1467" s="17"/>
      <c r="B1467" s="19" t="str">
        <f>IFERROR(__xludf.DUMMYFUNCTION("IFERROR(SPLIT(A1467,"",""),"""")"),"")</f>
        <v/>
      </c>
    </row>
    <row r="1468">
      <c r="A1468" s="17"/>
      <c r="B1468" s="19" t="str">
        <f>IFERROR(__xludf.DUMMYFUNCTION("IFERROR(SPLIT(A1468,"",""),"""")"),"")</f>
        <v/>
      </c>
    </row>
    <row r="1469">
      <c r="A1469" s="17"/>
      <c r="B1469" s="19" t="str">
        <f>IFERROR(__xludf.DUMMYFUNCTION("IFERROR(SPLIT(A1469,"",""),"""")"),"")</f>
        <v/>
      </c>
    </row>
    <row r="1470">
      <c r="A1470" s="17"/>
      <c r="B1470" s="19" t="str">
        <f>IFERROR(__xludf.DUMMYFUNCTION("IFERROR(SPLIT(A1470,"",""),"""")"),"")</f>
        <v/>
      </c>
    </row>
    <row r="1471">
      <c r="A1471" s="17"/>
      <c r="B1471" s="19" t="str">
        <f>IFERROR(__xludf.DUMMYFUNCTION("IFERROR(SPLIT(A1471,"",""),"""")"),"")</f>
        <v/>
      </c>
    </row>
    <row r="1472">
      <c r="A1472" s="17"/>
      <c r="B1472" s="19" t="str">
        <f>IFERROR(__xludf.DUMMYFUNCTION("IFERROR(SPLIT(A1472,"",""),"""")"),"")</f>
        <v/>
      </c>
    </row>
    <row r="1473">
      <c r="A1473" s="17"/>
      <c r="B1473" s="19" t="str">
        <f>IFERROR(__xludf.DUMMYFUNCTION("IFERROR(SPLIT(A1473,"",""),"""")"),"")</f>
        <v/>
      </c>
    </row>
    <row r="1474">
      <c r="A1474" s="17"/>
      <c r="B1474" s="19" t="str">
        <f>IFERROR(__xludf.DUMMYFUNCTION("IFERROR(SPLIT(A1474,"",""),"""")"),"")</f>
        <v/>
      </c>
    </row>
    <row r="1475">
      <c r="A1475" s="17"/>
      <c r="B1475" s="19" t="str">
        <f>IFERROR(__xludf.DUMMYFUNCTION("IFERROR(SPLIT(A1475,"",""),"""")"),"")</f>
        <v/>
      </c>
    </row>
    <row r="1476">
      <c r="A1476" s="17"/>
      <c r="B1476" s="19" t="str">
        <f>IFERROR(__xludf.DUMMYFUNCTION("IFERROR(SPLIT(A1476,"",""),"""")"),"")</f>
        <v/>
      </c>
    </row>
    <row r="1477">
      <c r="A1477" s="17"/>
      <c r="B1477" s="19" t="str">
        <f>IFERROR(__xludf.DUMMYFUNCTION("IFERROR(SPLIT(A1477,"",""),"""")"),"")</f>
        <v/>
      </c>
    </row>
    <row r="1478">
      <c r="A1478" s="17"/>
      <c r="B1478" s="19" t="str">
        <f>IFERROR(__xludf.DUMMYFUNCTION("IFERROR(SPLIT(A1478,"",""),"""")"),"")</f>
        <v/>
      </c>
    </row>
    <row r="1479">
      <c r="A1479" s="17"/>
      <c r="B1479" s="19" t="str">
        <f>IFERROR(__xludf.DUMMYFUNCTION("IFERROR(SPLIT(A1479,"",""),"""")"),"")</f>
        <v/>
      </c>
    </row>
    <row r="1480">
      <c r="A1480" s="17"/>
      <c r="B1480" s="19" t="str">
        <f>IFERROR(__xludf.DUMMYFUNCTION("IFERROR(SPLIT(A1480,"",""),"""")"),"")</f>
        <v/>
      </c>
    </row>
    <row r="1481">
      <c r="A1481" s="17"/>
      <c r="B1481" s="19" t="str">
        <f>IFERROR(__xludf.DUMMYFUNCTION("IFERROR(SPLIT(A1481,"",""),"""")"),"")</f>
        <v/>
      </c>
    </row>
    <row r="1482">
      <c r="A1482" s="17"/>
      <c r="B1482" s="19" t="str">
        <f>IFERROR(__xludf.DUMMYFUNCTION("IFERROR(SPLIT(A1482,"",""),"""")"),"")</f>
        <v/>
      </c>
    </row>
    <row r="1483">
      <c r="A1483" s="17"/>
      <c r="B1483" s="19" t="str">
        <f>IFERROR(__xludf.DUMMYFUNCTION("IFERROR(SPLIT(A1483,"",""),"""")"),"")</f>
        <v/>
      </c>
    </row>
    <row r="1484">
      <c r="A1484" s="17"/>
      <c r="B1484" s="19" t="str">
        <f>IFERROR(__xludf.DUMMYFUNCTION("IFERROR(SPLIT(A1484,"",""),"""")"),"")</f>
        <v/>
      </c>
    </row>
    <row r="1485">
      <c r="A1485" s="17"/>
      <c r="B1485" s="19" t="str">
        <f>IFERROR(__xludf.DUMMYFUNCTION("IFERROR(SPLIT(A1485,"",""),"""")"),"")</f>
        <v/>
      </c>
    </row>
    <row r="1486">
      <c r="A1486" s="17"/>
      <c r="B1486" s="19" t="str">
        <f>IFERROR(__xludf.DUMMYFUNCTION("IFERROR(SPLIT(A1486,"",""),"""")"),"")</f>
        <v/>
      </c>
    </row>
    <row r="1487">
      <c r="A1487" s="17"/>
      <c r="B1487" s="19" t="str">
        <f>IFERROR(__xludf.DUMMYFUNCTION("IFERROR(SPLIT(A1487,"",""),"""")"),"")</f>
        <v/>
      </c>
    </row>
    <row r="1488">
      <c r="A1488" s="17"/>
      <c r="B1488" s="19" t="str">
        <f>IFERROR(__xludf.DUMMYFUNCTION("IFERROR(SPLIT(A1488,"",""),"""")"),"")</f>
        <v/>
      </c>
    </row>
    <row r="1489">
      <c r="A1489" s="17"/>
      <c r="B1489" s="19" t="str">
        <f>IFERROR(__xludf.DUMMYFUNCTION("IFERROR(SPLIT(A1489,"",""),"""")"),"")</f>
        <v/>
      </c>
    </row>
    <row r="1490">
      <c r="A1490" s="17"/>
      <c r="B1490" s="19" t="str">
        <f>IFERROR(__xludf.DUMMYFUNCTION("IFERROR(SPLIT(A1490,"",""),"""")"),"")</f>
        <v/>
      </c>
    </row>
    <row r="1491">
      <c r="A1491" s="17"/>
      <c r="B1491" s="19" t="str">
        <f>IFERROR(__xludf.DUMMYFUNCTION("IFERROR(SPLIT(A1491,"",""),"""")"),"")</f>
        <v/>
      </c>
    </row>
    <row r="1492">
      <c r="A1492" s="17"/>
      <c r="B1492" s="19" t="str">
        <f>IFERROR(__xludf.DUMMYFUNCTION("IFERROR(SPLIT(A1492,"",""),"""")"),"")</f>
        <v/>
      </c>
    </row>
    <row r="1493">
      <c r="A1493" s="17"/>
      <c r="B1493" s="19" t="str">
        <f>IFERROR(__xludf.DUMMYFUNCTION("IFERROR(SPLIT(A1493,"",""),"""")"),"")</f>
        <v/>
      </c>
    </row>
    <row r="1494">
      <c r="A1494" s="17"/>
      <c r="B1494" s="19" t="str">
        <f>IFERROR(__xludf.DUMMYFUNCTION("IFERROR(SPLIT(A1494,"",""),"""")"),"")</f>
        <v/>
      </c>
    </row>
    <row r="1495">
      <c r="A1495" s="17"/>
      <c r="B1495" s="19" t="str">
        <f>IFERROR(__xludf.DUMMYFUNCTION("IFERROR(SPLIT(A1495,"",""),"""")"),"")</f>
        <v/>
      </c>
    </row>
    <row r="1496">
      <c r="A1496" s="17"/>
      <c r="B1496" s="19" t="str">
        <f>IFERROR(__xludf.DUMMYFUNCTION("IFERROR(SPLIT(A1496,"",""),"""")"),"")</f>
        <v/>
      </c>
    </row>
    <row r="1497">
      <c r="A1497" s="17"/>
      <c r="B1497" s="19" t="str">
        <f>IFERROR(__xludf.DUMMYFUNCTION("IFERROR(SPLIT(A1497,"",""),"""")"),"")</f>
        <v/>
      </c>
    </row>
    <row r="1498">
      <c r="A1498" s="17"/>
      <c r="B1498" s="19" t="str">
        <f>IFERROR(__xludf.DUMMYFUNCTION("IFERROR(SPLIT(A1498,"",""),"""")"),"")</f>
        <v/>
      </c>
    </row>
    <row r="1499">
      <c r="A1499" s="17"/>
      <c r="B1499" s="19" t="str">
        <f>IFERROR(__xludf.DUMMYFUNCTION("IFERROR(SPLIT(A1499,"",""),"""")"),"")</f>
        <v/>
      </c>
    </row>
    <row r="1500">
      <c r="A1500" s="17"/>
      <c r="B1500" s="19" t="str">
        <f>IFERROR(__xludf.DUMMYFUNCTION("IFERROR(SPLIT(A1500,"",""),"""")"),"")</f>
        <v/>
      </c>
    </row>
    <row r="1501">
      <c r="A1501" s="17"/>
      <c r="B1501" s="19" t="str">
        <f>IFERROR(__xludf.DUMMYFUNCTION("IFERROR(SPLIT(A1501,"",""),"""")"),"")</f>
        <v/>
      </c>
    </row>
    <row r="1502">
      <c r="A1502" s="17"/>
      <c r="B1502" s="19" t="str">
        <f>IFERROR(__xludf.DUMMYFUNCTION("IFERROR(SPLIT(A1502,"",""),"""")"),"")</f>
        <v/>
      </c>
    </row>
    <row r="1503">
      <c r="A1503" s="17"/>
      <c r="B1503" s="19" t="str">
        <f>IFERROR(__xludf.DUMMYFUNCTION("IFERROR(SPLIT(A1503,"",""),"""")"),"")</f>
        <v/>
      </c>
    </row>
    <row r="1504">
      <c r="A1504" s="17"/>
      <c r="B1504" s="19" t="str">
        <f>IFERROR(__xludf.DUMMYFUNCTION("IFERROR(SPLIT(A1504,"",""),"""")"),"")</f>
        <v/>
      </c>
    </row>
    <row r="1505">
      <c r="A1505" s="17"/>
      <c r="B1505" s="19" t="str">
        <f>IFERROR(__xludf.DUMMYFUNCTION("IFERROR(SPLIT(A1505,"",""),"""")"),"")</f>
        <v/>
      </c>
    </row>
    <row r="1506">
      <c r="A1506" s="17"/>
      <c r="B1506" s="19" t="str">
        <f>IFERROR(__xludf.DUMMYFUNCTION("IFERROR(SPLIT(A1506,"",""),"""")"),"")</f>
        <v/>
      </c>
    </row>
    <row r="1507">
      <c r="A1507" s="17"/>
      <c r="B1507" s="19" t="str">
        <f>IFERROR(__xludf.DUMMYFUNCTION("IFERROR(SPLIT(A1507,"",""),"""")"),"")</f>
        <v/>
      </c>
    </row>
    <row r="1508">
      <c r="A1508" s="17"/>
      <c r="B1508" s="19" t="str">
        <f>IFERROR(__xludf.DUMMYFUNCTION("IFERROR(SPLIT(A1508,"",""),"""")"),"")</f>
        <v/>
      </c>
    </row>
    <row r="1509">
      <c r="A1509" s="17"/>
      <c r="B1509" s="19" t="str">
        <f>IFERROR(__xludf.DUMMYFUNCTION("IFERROR(SPLIT(A1509,"",""),"""")"),"")</f>
        <v/>
      </c>
    </row>
    <row r="1510">
      <c r="A1510" s="17"/>
      <c r="B1510" s="19" t="str">
        <f>IFERROR(__xludf.DUMMYFUNCTION("IFERROR(SPLIT(A1510,"",""),"""")"),"")</f>
        <v/>
      </c>
    </row>
    <row r="1511">
      <c r="A1511" s="17"/>
      <c r="B1511" s="19" t="str">
        <f>IFERROR(__xludf.DUMMYFUNCTION("IFERROR(SPLIT(A1511,"",""),"""")"),"")</f>
        <v/>
      </c>
    </row>
    <row r="1512">
      <c r="A1512" s="17"/>
      <c r="B1512" s="19" t="str">
        <f>IFERROR(__xludf.DUMMYFUNCTION("IFERROR(SPLIT(A1512,"",""),"""")"),"")</f>
        <v/>
      </c>
    </row>
    <row r="1513">
      <c r="A1513" s="17"/>
      <c r="B1513" s="19" t="str">
        <f>IFERROR(__xludf.DUMMYFUNCTION("IFERROR(SPLIT(A1513,"",""),"""")"),"")</f>
        <v/>
      </c>
    </row>
    <row r="1514">
      <c r="A1514" s="17"/>
      <c r="B1514" s="19" t="str">
        <f>IFERROR(__xludf.DUMMYFUNCTION("IFERROR(SPLIT(A1514,"",""),"""")"),"")</f>
        <v/>
      </c>
    </row>
    <row r="1515">
      <c r="A1515" s="17"/>
      <c r="B1515" s="19" t="str">
        <f>IFERROR(__xludf.DUMMYFUNCTION("IFERROR(SPLIT(A1515,"",""),"""")"),"")</f>
        <v/>
      </c>
    </row>
    <row r="1516">
      <c r="A1516" s="17"/>
      <c r="B1516" s="19" t="str">
        <f>IFERROR(__xludf.DUMMYFUNCTION("IFERROR(SPLIT(A1516,"",""),"""")"),"")</f>
        <v/>
      </c>
    </row>
    <row r="1517">
      <c r="A1517" s="17"/>
      <c r="B1517" s="19" t="str">
        <f>IFERROR(__xludf.DUMMYFUNCTION("IFERROR(SPLIT(A1517,"",""),"""")"),"")</f>
        <v/>
      </c>
    </row>
    <row r="1518">
      <c r="A1518" s="17"/>
      <c r="B1518" s="19" t="str">
        <f>IFERROR(__xludf.DUMMYFUNCTION("IFERROR(SPLIT(A1518,"",""),"""")"),"")</f>
        <v/>
      </c>
    </row>
    <row r="1519">
      <c r="A1519" s="17"/>
      <c r="B1519" s="19" t="str">
        <f>IFERROR(__xludf.DUMMYFUNCTION("IFERROR(SPLIT(A1519,"",""),"""")"),"")</f>
        <v/>
      </c>
    </row>
    <row r="1520">
      <c r="A1520" s="17"/>
      <c r="B1520" s="19" t="str">
        <f>IFERROR(__xludf.DUMMYFUNCTION("IFERROR(SPLIT(A1520,"",""),"""")"),"")</f>
        <v/>
      </c>
    </row>
    <row r="1521">
      <c r="A1521" s="17"/>
      <c r="B1521" s="19" t="str">
        <f>IFERROR(__xludf.DUMMYFUNCTION("IFERROR(SPLIT(A1521,"",""),"""")"),"")</f>
        <v/>
      </c>
    </row>
    <row r="1522">
      <c r="A1522" s="17"/>
      <c r="B1522" s="19" t="str">
        <f>IFERROR(__xludf.DUMMYFUNCTION("IFERROR(SPLIT(A1522,"",""),"""")"),"")</f>
        <v/>
      </c>
    </row>
    <row r="1523">
      <c r="A1523" s="17"/>
      <c r="B1523" s="19" t="str">
        <f>IFERROR(__xludf.DUMMYFUNCTION("IFERROR(SPLIT(A1523,"",""),"""")"),"")</f>
        <v/>
      </c>
    </row>
    <row r="1524">
      <c r="A1524" s="17"/>
      <c r="B1524" s="19" t="str">
        <f>IFERROR(__xludf.DUMMYFUNCTION("IFERROR(SPLIT(A1524,"",""),"""")"),"")</f>
        <v/>
      </c>
    </row>
    <row r="1525">
      <c r="A1525" s="17"/>
      <c r="B1525" s="19" t="str">
        <f>IFERROR(__xludf.DUMMYFUNCTION("IFERROR(SPLIT(A1525,"",""),"""")"),"")</f>
        <v/>
      </c>
    </row>
    <row r="1526">
      <c r="A1526" s="17"/>
      <c r="B1526" s="19" t="str">
        <f>IFERROR(__xludf.DUMMYFUNCTION("IFERROR(SPLIT(A1526,"",""),"""")"),"")</f>
        <v/>
      </c>
    </row>
    <row r="1527">
      <c r="A1527" s="17"/>
      <c r="B1527" s="19" t="str">
        <f>IFERROR(__xludf.DUMMYFUNCTION("IFERROR(SPLIT(A1527,"",""),"""")"),"")</f>
        <v/>
      </c>
    </row>
    <row r="1528">
      <c r="A1528" s="17"/>
      <c r="B1528" s="19" t="str">
        <f>IFERROR(__xludf.DUMMYFUNCTION("IFERROR(SPLIT(A1528,"",""),"""")"),"")</f>
        <v/>
      </c>
    </row>
    <row r="1529">
      <c r="A1529" s="17"/>
      <c r="B1529" s="19" t="str">
        <f>IFERROR(__xludf.DUMMYFUNCTION("IFERROR(SPLIT(A1529,"",""),"""")"),"")</f>
        <v/>
      </c>
    </row>
    <row r="1530">
      <c r="A1530" s="17"/>
      <c r="B1530" s="19" t="str">
        <f>IFERROR(__xludf.DUMMYFUNCTION("IFERROR(SPLIT(A1530,"",""),"""")"),"")</f>
        <v/>
      </c>
    </row>
    <row r="1531">
      <c r="A1531" s="17"/>
      <c r="B1531" s="19" t="str">
        <f>IFERROR(__xludf.DUMMYFUNCTION("IFERROR(SPLIT(A1531,"",""),"""")"),"")</f>
        <v/>
      </c>
    </row>
    <row r="1532">
      <c r="A1532" s="17"/>
      <c r="B1532" s="19" t="str">
        <f>IFERROR(__xludf.DUMMYFUNCTION("IFERROR(SPLIT(A1532,"",""),"""")"),"")</f>
        <v/>
      </c>
    </row>
    <row r="1533">
      <c r="A1533" s="17"/>
      <c r="B1533" s="19" t="str">
        <f>IFERROR(__xludf.DUMMYFUNCTION("IFERROR(SPLIT(A1533,"",""),"""")"),"")</f>
        <v/>
      </c>
    </row>
    <row r="1534">
      <c r="A1534" s="17"/>
      <c r="B1534" s="19" t="str">
        <f>IFERROR(__xludf.DUMMYFUNCTION("IFERROR(SPLIT(A1534,"",""),"""")"),"")</f>
        <v/>
      </c>
    </row>
    <row r="1535">
      <c r="A1535" s="17"/>
      <c r="B1535" s="19" t="str">
        <f>IFERROR(__xludf.DUMMYFUNCTION("IFERROR(SPLIT(A1535,"",""),"""")"),"")</f>
        <v/>
      </c>
    </row>
    <row r="1536">
      <c r="A1536" s="17"/>
      <c r="B1536" s="19" t="str">
        <f>IFERROR(__xludf.DUMMYFUNCTION("IFERROR(SPLIT(A1536,"",""),"""")"),"")</f>
        <v/>
      </c>
    </row>
    <row r="1537">
      <c r="A1537" s="17"/>
      <c r="B1537" s="19" t="str">
        <f>IFERROR(__xludf.DUMMYFUNCTION("IFERROR(SPLIT(A1537,"",""),"""")"),"")</f>
        <v/>
      </c>
    </row>
    <row r="1538">
      <c r="A1538" s="17"/>
      <c r="B1538" s="19" t="str">
        <f>IFERROR(__xludf.DUMMYFUNCTION("IFERROR(SPLIT(A1538,"",""),"""")"),"")</f>
        <v/>
      </c>
    </row>
    <row r="1539">
      <c r="A1539" s="17"/>
      <c r="B1539" s="19" t="str">
        <f>IFERROR(__xludf.DUMMYFUNCTION("IFERROR(SPLIT(A1539,"",""),"""")"),"")</f>
        <v/>
      </c>
    </row>
    <row r="1540">
      <c r="A1540" s="17"/>
      <c r="B1540" s="19" t="str">
        <f>IFERROR(__xludf.DUMMYFUNCTION("IFERROR(SPLIT(A1540,"",""),"""")"),"")</f>
        <v/>
      </c>
    </row>
    <row r="1541">
      <c r="A1541" s="17"/>
      <c r="B1541" s="19" t="str">
        <f>IFERROR(__xludf.DUMMYFUNCTION("IFERROR(SPLIT(A1541,"",""),"""")"),"")</f>
        <v/>
      </c>
    </row>
    <row r="1542">
      <c r="A1542" s="17"/>
      <c r="B1542" s="19" t="str">
        <f>IFERROR(__xludf.DUMMYFUNCTION("IFERROR(SPLIT(A1542,"",""),"""")"),"")</f>
        <v/>
      </c>
    </row>
    <row r="1543">
      <c r="A1543" s="17"/>
      <c r="B1543" s="19" t="str">
        <f>IFERROR(__xludf.DUMMYFUNCTION("IFERROR(SPLIT(A1543,"",""),"""")"),"")</f>
        <v/>
      </c>
    </row>
    <row r="1544">
      <c r="A1544" s="17"/>
      <c r="B1544" s="19" t="str">
        <f>IFERROR(__xludf.DUMMYFUNCTION("IFERROR(SPLIT(A1544,"",""),"""")"),"")</f>
        <v/>
      </c>
    </row>
    <row r="1545">
      <c r="A1545" s="17"/>
      <c r="B1545" s="19" t="str">
        <f>IFERROR(__xludf.DUMMYFUNCTION("IFERROR(SPLIT(A1545,"",""),"""")"),"")</f>
        <v/>
      </c>
    </row>
    <row r="1546">
      <c r="A1546" s="17"/>
      <c r="B1546" s="19" t="str">
        <f>IFERROR(__xludf.DUMMYFUNCTION("IFERROR(SPLIT(A1546,"",""),"""")"),"")</f>
        <v/>
      </c>
    </row>
    <row r="1547">
      <c r="A1547" s="17"/>
      <c r="B1547" s="19" t="str">
        <f>IFERROR(__xludf.DUMMYFUNCTION("IFERROR(SPLIT(A1547,"",""),"""")"),"")</f>
        <v/>
      </c>
    </row>
    <row r="1548">
      <c r="A1548" s="17"/>
      <c r="B1548" s="19" t="str">
        <f>IFERROR(__xludf.DUMMYFUNCTION("IFERROR(SPLIT(A1548,"",""),"""")"),"")</f>
        <v/>
      </c>
    </row>
    <row r="1549">
      <c r="A1549" s="17"/>
      <c r="B1549" s="19" t="str">
        <f>IFERROR(__xludf.DUMMYFUNCTION("IFERROR(SPLIT(A1549,"",""),"""")"),"")</f>
        <v/>
      </c>
    </row>
    <row r="1550">
      <c r="A1550" s="17"/>
      <c r="B1550" s="19" t="str">
        <f>IFERROR(__xludf.DUMMYFUNCTION("IFERROR(SPLIT(A1550,"",""),"""")"),"")</f>
        <v/>
      </c>
    </row>
    <row r="1551">
      <c r="A1551" s="17"/>
      <c r="B1551" s="19" t="str">
        <f>IFERROR(__xludf.DUMMYFUNCTION("IFERROR(SPLIT(A1551,"",""),"""")"),"")</f>
        <v/>
      </c>
    </row>
    <row r="1552">
      <c r="A1552" s="17"/>
      <c r="B1552" s="19" t="str">
        <f>IFERROR(__xludf.DUMMYFUNCTION("IFERROR(SPLIT(A1552,"",""),"""")"),"")</f>
        <v/>
      </c>
    </row>
    <row r="1553">
      <c r="A1553" s="17"/>
      <c r="B1553" s="19" t="str">
        <f>IFERROR(__xludf.DUMMYFUNCTION("IFERROR(SPLIT(A1553,"",""),"""")"),"")</f>
        <v/>
      </c>
    </row>
    <row r="1554">
      <c r="A1554" s="17"/>
      <c r="B1554" s="19" t="str">
        <f>IFERROR(__xludf.DUMMYFUNCTION("IFERROR(SPLIT(A1554,"",""),"""")"),"")</f>
        <v/>
      </c>
    </row>
    <row r="1555">
      <c r="A1555" s="17"/>
      <c r="B1555" s="19" t="str">
        <f>IFERROR(__xludf.DUMMYFUNCTION("IFERROR(SPLIT(A1555,"",""),"""")"),"")</f>
        <v/>
      </c>
    </row>
    <row r="1556">
      <c r="A1556" s="17"/>
      <c r="B1556" s="19" t="str">
        <f>IFERROR(__xludf.DUMMYFUNCTION("IFERROR(SPLIT(A1556,"",""),"""")"),"")</f>
        <v/>
      </c>
    </row>
    <row r="1557">
      <c r="A1557" s="17"/>
      <c r="B1557" s="19" t="str">
        <f>IFERROR(__xludf.DUMMYFUNCTION("IFERROR(SPLIT(A1557,"",""),"""")"),"")</f>
        <v/>
      </c>
    </row>
    <row r="1558">
      <c r="A1558" s="17"/>
      <c r="B1558" s="19" t="str">
        <f>IFERROR(__xludf.DUMMYFUNCTION("IFERROR(SPLIT(A1558,"",""),"""")"),"")</f>
        <v/>
      </c>
    </row>
    <row r="1559">
      <c r="A1559" s="17"/>
      <c r="B1559" s="19" t="str">
        <f>IFERROR(__xludf.DUMMYFUNCTION("IFERROR(SPLIT(A1559,"",""),"""")"),"")</f>
        <v/>
      </c>
    </row>
    <row r="1560">
      <c r="A1560" s="17"/>
      <c r="B1560" s="19" t="str">
        <f>IFERROR(__xludf.DUMMYFUNCTION("IFERROR(SPLIT(A1560,"",""),"""")"),"")</f>
        <v/>
      </c>
    </row>
    <row r="1561">
      <c r="A1561" s="17"/>
      <c r="B1561" s="19" t="str">
        <f>IFERROR(__xludf.DUMMYFUNCTION("IFERROR(SPLIT(A1561,"",""),"""")"),"")</f>
        <v/>
      </c>
    </row>
    <row r="1562">
      <c r="A1562" s="17"/>
      <c r="B1562" s="19" t="str">
        <f>IFERROR(__xludf.DUMMYFUNCTION("IFERROR(SPLIT(A1562,"",""),"""")"),"")</f>
        <v/>
      </c>
    </row>
    <row r="1563">
      <c r="A1563" s="17"/>
      <c r="B1563" s="19" t="str">
        <f>IFERROR(__xludf.DUMMYFUNCTION("IFERROR(SPLIT(A1563,"",""),"""")"),"")</f>
        <v/>
      </c>
    </row>
    <row r="1564">
      <c r="A1564" s="17"/>
      <c r="B1564" s="19" t="str">
        <f>IFERROR(__xludf.DUMMYFUNCTION("IFERROR(SPLIT(A1564,"",""),"""")"),"")</f>
        <v/>
      </c>
    </row>
    <row r="1565">
      <c r="A1565" s="17"/>
      <c r="B1565" s="19" t="str">
        <f>IFERROR(__xludf.DUMMYFUNCTION("IFERROR(SPLIT(A1565,"",""),"""")"),"")</f>
        <v/>
      </c>
    </row>
    <row r="1566">
      <c r="A1566" s="17"/>
      <c r="B1566" s="19" t="str">
        <f>IFERROR(__xludf.DUMMYFUNCTION("IFERROR(SPLIT(A1566,"",""),"""")"),"")</f>
        <v/>
      </c>
    </row>
    <row r="1567">
      <c r="A1567" s="17"/>
      <c r="B1567" s="19" t="str">
        <f>IFERROR(__xludf.DUMMYFUNCTION("IFERROR(SPLIT(A1567,"",""),"""")"),"")</f>
        <v/>
      </c>
    </row>
    <row r="1568">
      <c r="A1568" s="17"/>
      <c r="B1568" s="19"/>
    </row>
    <row r="1569">
      <c r="A1569" s="17"/>
      <c r="B1569" s="19"/>
    </row>
    <row r="1570">
      <c r="A1570" s="17"/>
      <c r="B1570" s="19"/>
    </row>
    <row r="1571">
      <c r="A1571" s="17"/>
      <c r="B1571" s="19"/>
    </row>
    <row r="1572">
      <c r="A1572" s="17"/>
      <c r="B1572" s="19"/>
    </row>
    <row r="1573">
      <c r="A1573" s="17"/>
      <c r="B1573" s="19"/>
    </row>
    <row r="1574">
      <c r="A1574" s="17"/>
      <c r="B1574" s="19"/>
    </row>
    <row r="1575">
      <c r="A1575" s="17"/>
      <c r="B1575" s="19"/>
    </row>
    <row r="1576">
      <c r="A1576" s="17"/>
      <c r="B1576" s="19"/>
    </row>
    <row r="1577">
      <c r="A1577" s="17"/>
      <c r="B1577" s="19"/>
    </row>
    <row r="1578">
      <c r="A1578" s="17"/>
      <c r="B1578" s="19"/>
    </row>
    <row r="1579">
      <c r="A1579" s="17"/>
      <c r="B1579" s="19"/>
    </row>
    <row r="1580">
      <c r="A1580" s="17"/>
      <c r="B1580" s="19"/>
    </row>
    <row r="1581">
      <c r="A1581" s="17"/>
      <c r="B1581" s="19"/>
    </row>
    <row r="1582">
      <c r="A1582" s="17"/>
      <c r="B1582" s="19"/>
    </row>
    <row r="1583">
      <c r="A1583" s="17"/>
      <c r="B1583" s="19"/>
    </row>
    <row r="1584">
      <c r="A1584" s="17"/>
      <c r="B1584" s="19"/>
    </row>
    <row r="1585">
      <c r="A1585" s="17"/>
      <c r="B1585" s="19"/>
    </row>
    <row r="1586">
      <c r="A1586" s="17"/>
      <c r="B1586" s="19"/>
    </row>
    <row r="1587">
      <c r="A1587" s="17"/>
      <c r="B1587" s="19"/>
    </row>
    <row r="1588">
      <c r="A1588" s="17"/>
      <c r="B1588" s="19"/>
    </row>
    <row r="1589">
      <c r="A1589" s="17"/>
      <c r="B1589" s="19"/>
    </row>
    <row r="1590">
      <c r="A1590" s="17"/>
      <c r="B1590" s="19"/>
    </row>
    <row r="1591">
      <c r="A1591" s="17"/>
      <c r="B1591" s="19"/>
    </row>
    <row r="1592">
      <c r="A1592" s="17"/>
      <c r="B1592" s="19"/>
    </row>
    <row r="1593">
      <c r="A1593" s="17"/>
      <c r="B1593" s="19"/>
    </row>
    <row r="1594">
      <c r="A1594" s="17"/>
      <c r="B1594" s="19"/>
    </row>
    <row r="1595">
      <c r="A1595" s="17"/>
      <c r="B1595" s="19"/>
    </row>
    <row r="1596">
      <c r="A1596" s="17"/>
      <c r="B1596" s="19"/>
    </row>
    <row r="1597">
      <c r="A1597" s="17"/>
      <c r="B1597" s="19"/>
    </row>
    <row r="1598">
      <c r="A1598" s="17"/>
      <c r="B1598" s="19"/>
    </row>
    <row r="1599">
      <c r="A1599" s="17"/>
      <c r="B1599" s="19"/>
    </row>
    <row r="1600">
      <c r="A1600" s="17"/>
      <c r="B1600" s="19"/>
    </row>
    <row r="1601">
      <c r="A1601" s="17"/>
      <c r="B1601" s="19"/>
    </row>
    <row r="1602">
      <c r="A1602" s="17"/>
      <c r="B1602" s="19"/>
    </row>
    <row r="1603">
      <c r="A1603" s="17"/>
      <c r="B1603" s="19"/>
    </row>
    <row r="1604">
      <c r="A1604" s="17"/>
      <c r="B1604" s="19"/>
    </row>
    <row r="1605">
      <c r="A1605" s="17"/>
      <c r="B1605" s="19"/>
    </row>
    <row r="1606">
      <c r="A1606" s="17"/>
      <c r="B1606" s="19"/>
    </row>
    <row r="1607">
      <c r="A1607" s="17"/>
      <c r="B1607" s="19"/>
    </row>
    <row r="1608">
      <c r="A1608" s="17"/>
      <c r="B1608" s="19"/>
    </row>
    <row r="1609">
      <c r="A1609" s="17"/>
      <c r="B1609" s="19"/>
    </row>
    <row r="1610">
      <c r="A1610" s="17"/>
      <c r="B1610" s="19"/>
    </row>
    <row r="1611">
      <c r="A1611" s="17"/>
      <c r="B1611" s="19"/>
    </row>
    <row r="1612">
      <c r="A1612" s="17"/>
      <c r="B1612" s="19"/>
    </row>
    <row r="1613">
      <c r="A1613" s="17"/>
      <c r="B1613" s="19"/>
    </row>
    <row r="1614">
      <c r="A1614" s="17"/>
      <c r="B1614" s="19"/>
    </row>
    <row r="1615">
      <c r="A1615" s="17"/>
      <c r="B1615" s="19"/>
    </row>
    <row r="1616">
      <c r="A1616" s="17"/>
      <c r="B1616" s="19"/>
    </row>
    <row r="1617">
      <c r="A1617" s="17"/>
      <c r="B1617" s="19"/>
    </row>
    <row r="1618">
      <c r="A1618" s="17"/>
      <c r="B1618" s="19"/>
    </row>
    <row r="1619">
      <c r="A1619" s="17"/>
      <c r="B1619" s="19"/>
    </row>
    <row r="1620">
      <c r="A1620" s="17"/>
      <c r="B1620" s="19"/>
    </row>
    <row r="1621">
      <c r="A1621" s="17"/>
      <c r="B1621" s="19"/>
    </row>
    <row r="1622">
      <c r="A1622" s="17"/>
      <c r="B1622" s="19"/>
    </row>
    <row r="1623">
      <c r="A1623" s="17"/>
      <c r="B1623" s="19"/>
    </row>
    <row r="1624">
      <c r="A1624" s="17"/>
      <c r="B1624" s="19"/>
    </row>
    <row r="1625">
      <c r="A1625" s="17"/>
      <c r="B1625" s="19"/>
    </row>
    <row r="1626">
      <c r="A1626" s="17"/>
      <c r="B1626" s="19"/>
    </row>
    <row r="1627">
      <c r="A1627" s="17"/>
      <c r="B1627" s="19"/>
    </row>
    <row r="1628">
      <c r="A1628" s="17"/>
      <c r="B1628" s="19"/>
    </row>
    <row r="1629">
      <c r="A1629" s="17"/>
      <c r="B1629" s="19"/>
    </row>
    <row r="1630">
      <c r="A1630" s="17"/>
      <c r="B1630" s="19"/>
    </row>
    <row r="1631">
      <c r="A1631" s="17"/>
      <c r="B1631" s="19"/>
    </row>
    <row r="1632">
      <c r="A1632" s="17"/>
      <c r="B1632" s="19"/>
    </row>
    <row r="1633">
      <c r="A1633" s="17"/>
      <c r="B1633" s="19"/>
    </row>
    <row r="1634">
      <c r="A1634" s="17"/>
      <c r="B1634" s="19"/>
    </row>
    <row r="1635">
      <c r="A1635" s="17"/>
      <c r="B1635" s="19"/>
    </row>
    <row r="1636">
      <c r="A1636" s="17"/>
      <c r="B1636" s="19"/>
    </row>
    <row r="1637">
      <c r="A1637" s="17"/>
      <c r="B1637" s="19"/>
    </row>
    <row r="1638">
      <c r="A1638" s="17"/>
      <c r="B1638" s="19"/>
    </row>
    <row r="1639">
      <c r="A1639" s="17"/>
      <c r="B1639" s="19"/>
    </row>
    <row r="1640">
      <c r="A1640" s="17"/>
      <c r="B1640" s="19"/>
    </row>
    <row r="1641">
      <c r="A1641" s="17"/>
      <c r="B1641" s="19"/>
    </row>
    <row r="1642">
      <c r="A1642" s="17"/>
      <c r="B1642" s="19"/>
    </row>
    <row r="1643">
      <c r="A1643" s="17"/>
      <c r="B1643" s="19"/>
    </row>
    <row r="1644">
      <c r="A1644" s="17"/>
      <c r="B1644" s="19"/>
    </row>
    <row r="1645">
      <c r="A1645" s="17"/>
      <c r="B1645" s="19"/>
    </row>
    <row r="1646">
      <c r="A1646" s="17"/>
      <c r="B1646" s="19"/>
    </row>
    <row r="1647">
      <c r="A1647" s="17"/>
      <c r="B1647" s="19"/>
    </row>
    <row r="1648">
      <c r="A1648" s="17"/>
      <c r="B1648" s="19"/>
    </row>
    <row r="1649">
      <c r="A1649" s="17"/>
      <c r="B1649" s="19"/>
    </row>
    <row r="1650">
      <c r="A1650" s="17"/>
      <c r="B1650" s="19"/>
    </row>
    <row r="1651">
      <c r="A1651" s="17"/>
      <c r="B1651" s="19"/>
    </row>
    <row r="1652">
      <c r="A1652" s="17"/>
      <c r="B1652" s="19"/>
    </row>
    <row r="1653">
      <c r="A1653" s="17"/>
      <c r="B1653" s="19"/>
    </row>
    <row r="1654">
      <c r="A1654" s="17"/>
      <c r="B1654" s="19"/>
    </row>
    <row r="1655">
      <c r="A1655" s="17"/>
      <c r="B1655" s="19"/>
    </row>
    <row r="1656">
      <c r="A1656" s="17"/>
      <c r="B1656" s="19"/>
    </row>
    <row r="1657">
      <c r="A1657" s="17"/>
      <c r="B1657" s="19"/>
    </row>
    <row r="1658">
      <c r="A1658" s="17"/>
      <c r="B1658" s="19"/>
    </row>
    <row r="1659">
      <c r="A1659" s="17"/>
      <c r="B1659" s="19"/>
    </row>
    <row r="1660">
      <c r="A1660" s="17"/>
      <c r="B1660" s="19"/>
    </row>
    <row r="1661">
      <c r="A1661" s="17"/>
      <c r="B1661" s="19"/>
    </row>
    <row r="1662">
      <c r="A1662" s="17"/>
      <c r="B1662" s="19"/>
    </row>
    <row r="1663">
      <c r="A1663" s="17"/>
      <c r="B1663" s="19"/>
    </row>
    <row r="1664">
      <c r="A1664" s="17"/>
      <c r="B1664" s="19"/>
    </row>
    <row r="1665">
      <c r="A1665" s="17"/>
      <c r="B1665" s="19"/>
    </row>
    <row r="1666">
      <c r="A1666" s="17"/>
      <c r="B1666" s="19"/>
    </row>
    <row r="1667">
      <c r="A1667" s="17"/>
      <c r="B1667" s="19"/>
    </row>
    <row r="1668">
      <c r="A1668" s="17"/>
      <c r="B1668" s="19"/>
    </row>
    <row r="1669">
      <c r="A1669" s="17"/>
      <c r="B1669" s="19"/>
    </row>
    <row r="1670">
      <c r="A1670" s="17"/>
      <c r="B1670" s="19"/>
    </row>
    <row r="1671">
      <c r="A1671" s="17"/>
      <c r="B1671" s="19"/>
    </row>
    <row r="1672">
      <c r="A1672" s="17"/>
      <c r="B1672" s="19"/>
    </row>
    <row r="1673">
      <c r="A1673" s="17"/>
      <c r="B1673" s="19"/>
    </row>
    <row r="1674">
      <c r="A1674" s="17"/>
      <c r="B1674" s="19"/>
    </row>
    <row r="1675">
      <c r="A1675" s="17"/>
      <c r="B1675" s="19"/>
    </row>
    <row r="1676">
      <c r="A1676" s="17"/>
      <c r="B1676" s="19"/>
    </row>
    <row r="1677">
      <c r="A1677" s="17"/>
      <c r="B1677" s="19"/>
    </row>
    <row r="1678">
      <c r="A1678" s="17"/>
      <c r="B1678" s="19"/>
    </row>
    <row r="1679">
      <c r="A1679" s="17"/>
      <c r="B1679" s="19"/>
    </row>
    <row r="1680">
      <c r="A1680" s="17"/>
      <c r="B1680" s="19"/>
    </row>
    <row r="1681">
      <c r="A1681" s="17"/>
      <c r="B1681" s="19"/>
    </row>
    <row r="1682">
      <c r="A1682" s="17"/>
      <c r="B1682" s="19"/>
    </row>
    <row r="1683">
      <c r="A1683" s="17"/>
      <c r="B1683" s="19"/>
    </row>
    <row r="1684">
      <c r="A1684" s="17"/>
      <c r="B1684" s="19"/>
    </row>
    <row r="1685">
      <c r="A1685" s="17"/>
      <c r="B1685" s="19"/>
    </row>
    <row r="1686">
      <c r="A1686" s="17"/>
      <c r="B1686" s="19"/>
    </row>
    <row r="1687">
      <c r="A1687" s="17"/>
      <c r="B1687" s="19"/>
    </row>
    <row r="1688">
      <c r="A1688" s="17"/>
      <c r="B1688" s="19"/>
    </row>
    <row r="1689">
      <c r="A1689" s="17"/>
      <c r="B1689" s="19"/>
    </row>
    <row r="1690">
      <c r="A1690" s="17"/>
      <c r="B1690" s="19"/>
    </row>
    <row r="1691">
      <c r="A1691" s="17"/>
      <c r="B1691" s="19"/>
    </row>
    <row r="1692">
      <c r="A1692" s="17"/>
      <c r="B1692" s="19"/>
    </row>
    <row r="1693">
      <c r="A1693" s="17"/>
      <c r="B1693" s="19"/>
    </row>
    <row r="1694">
      <c r="A1694" s="17"/>
      <c r="B1694" s="19"/>
    </row>
    <row r="1695">
      <c r="A1695" s="17"/>
      <c r="B1695" s="19"/>
    </row>
    <row r="1696">
      <c r="A1696" s="17"/>
      <c r="B1696" s="19"/>
    </row>
    <row r="1697">
      <c r="A1697" s="17"/>
      <c r="B1697" s="19"/>
    </row>
    <row r="1698">
      <c r="A1698" s="17"/>
      <c r="B1698" s="19"/>
    </row>
    <row r="1699">
      <c r="A1699" s="17"/>
      <c r="B1699" s="19"/>
    </row>
    <row r="1700">
      <c r="A1700" s="17"/>
      <c r="B1700" s="19"/>
    </row>
    <row r="1701">
      <c r="A1701" s="17"/>
      <c r="B1701" s="19"/>
    </row>
    <row r="1702">
      <c r="A1702" s="17"/>
      <c r="B1702" s="19"/>
    </row>
    <row r="1703">
      <c r="A1703" s="17"/>
      <c r="B1703" s="19"/>
    </row>
    <row r="1704">
      <c r="A1704" s="17"/>
      <c r="B1704" s="19"/>
    </row>
    <row r="1705">
      <c r="A1705" s="17"/>
      <c r="B1705" s="19"/>
    </row>
    <row r="1706">
      <c r="A1706" s="17"/>
      <c r="B1706" s="19"/>
    </row>
    <row r="1707">
      <c r="A1707" s="17"/>
      <c r="B1707" s="19"/>
    </row>
    <row r="1708">
      <c r="A1708" s="17"/>
      <c r="B1708" s="19"/>
    </row>
    <row r="1709">
      <c r="A1709" s="17"/>
      <c r="B1709" s="19"/>
    </row>
    <row r="1710">
      <c r="A1710" s="17"/>
      <c r="B1710" s="19"/>
    </row>
    <row r="1711">
      <c r="A1711" s="17"/>
      <c r="B1711" s="19"/>
    </row>
    <row r="1712">
      <c r="A1712" s="17"/>
      <c r="B1712" s="19"/>
    </row>
    <row r="1713">
      <c r="A1713" s="17"/>
      <c r="B1713" s="19"/>
    </row>
    <row r="1714">
      <c r="A1714" s="17"/>
      <c r="B1714" s="19"/>
    </row>
    <row r="1715">
      <c r="A1715" s="17"/>
      <c r="B1715" s="19"/>
    </row>
    <row r="1716">
      <c r="A1716" s="17"/>
      <c r="B1716" s="19"/>
    </row>
    <row r="1717">
      <c r="A1717" s="17"/>
      <c r="B1717" s="19"/>
    </row>
    <row r="1718">
      <c r="A1718" s="17"/>
      <c r="B1718" s="19"/>
    </row>
    <row r="1719">
      <c r="A1719" s="17"/>
      <c r="B1719" s="19"/>
    </row>
    <row r="1720">
      <c r="A1720" s="17"/>
      <c r="B1720" s="19"/>
    </row>
    <row r="1721">
      <c r="A1721" s="17"/>
      <c r="B1721" s="19"/>
    </row>
    <row r="1722">
      <c r="A1722" s="17"/>
      <c r="B1722" s="19"/>
    </row>
    <row r="1723">
      <c r="A1723" s="17"/>
      <c r="B1723" s="19"/>
    </row>
    <row r="1724">
      <c r="A1724" s="17"/>
      <c r="B1724" s="19"/>
    </row>
    <row r="1725">
      <c r="A1725" s="17"/>
      <c r="B1725" s="19"/>
    </row>
    <row r="1726">
      <c r="A1726" s="17"/>
      <c r="B1726" s="19"/>
    </row>
    <row r="1727">
      <c r="A1727" s="17"/>
      <c r="B1727" s="19"/>
    </row>
    <row r="1728">
      <c r="A1728" s="17"/>
      <c r="B1728" s="19"/>
    </row>
    <row r="1729">
      <c r="A1729" s="17"/>
      <c r="B1729" s="19"/>
    </row>
    <row r="1730">
      <c r="A1730" s="17"/>
      <c r="B1730" s="19"/>
    </row>
    <row r="1731">
      <c r="A1731" s="17"/>
      <c r="B1731" s="19"/>
    </row>
    <row r="1732">
      <c r="A1732" s="17"/>
      <c r="B1732" s="19"/>
    </row>
    <row r="1733">
      <c r="A1733" s="17"/>
      <c r="B1733" s="19"/>
    </row>
    <row r="1734">
      <c r="A1734" s="17"/>
      <c r="B1734" s="19"/>
    </row>
    <row r="1735">
      <c r="A1735" s="17"/>
      <c r="B1735" s="19"/>
    </row>
    <row r="1736">
      <c r="A1736" s="17"/>
      <c r="B1736" s="19"/>
    </row>
    <row r="1737">
      <c r="A1737" s="17"/>
      <c r="B1737" s="19"/>
    </row>
    <row r="1738">
      <c r="A1738" s="17"/>
      <c r="B1738" s="19"/>
    </row>
    <row r="1739">
      <c r="A1739" s="17"/>
      <c r="B1739" s="19"/>
    </row>
    <row r="1740">
      <c r="A1740" s="17"/>
      <c r="B1740" s="19"/>
    </row>
    <row r="1741">
      <c r="A1741" s="17"/>
      <c r="B1741" s="19"/>
    </row>
    <row r="1742">
      <c r="A1742" s="17"/>
      <c r="B1742" s="19"/>
    </row>
    <row r="1743">
      <c r="A1743" s="17"/>
      <c r="B1743" s="19"/>
    </row>
    <row r="1744">
      <c r="A1744" s="17"/>
      <c r="B1744" s="19"/>
    </row>
    <row r="1745">
      <c r="A1745" s="17"/>
      <c r="B1745" s="19"/>
    </row>
    <row r="1746">
      <c r="A1746" s="17"/>
      <c r="B1746" s="19"/>
    </row>
    <row r="1747">
      <c r="A1747" s="17"/>
      <c r="B1747" s="19"/>
    </row>
    <row r="1748">
      <c r="A1748" s="17"/>
      <c r="B1748" s="19"/>
    </row>
    <row r="1749">
      <c r="A1749" s="17"/>
      <c r="B1749" s="19"/>
    </row>
    <row r="1750">
      <c r="A1750" s="17"/>
      <c r="B1750" s="19"/>
    </row>
    <row r="1751">
      <c r="A1751" s="17"/>
      <c r="B1751" s="19"/>
    </row>
    <row r="1752">
      <c r="A1752" s="17"/>
      <c r="B1752" s="19"/>
    </row>
    <row r="1753">
      <c r="A1753" s="17"/>
      <c r="B1753" s="19"/>
    </row>
    <row r="1754">
      <c r="A1754" s="17"/>
      <c r="B1754" s="19"/>
    </row>
    <row r="1755">
      <c r="A1755" s="17"/>
      <c r="B1755" s="19"/>
    </row>
    <row r="1756">
      <c r="A1756" s="17"/>
      <c r="B1756" s="19"/>
    </row>
    <row r="1757">
      <c r="A1757" s="17"/>
      <c r="B1757" s="19"/>
    </row>
    <row r="1758">
      <c r="A1758" s="17"/>
      <c r="B1758" s="19"/>
    </row>
    <row r="1759">
      <c r="A1759" s="17"/>
      <c r="B1759" s="19"/>
    </row>
    <row r="1760">
      <c r="A1760" s="17"/>
      <c r="B1760" s="19"/>
    </row>
    <row r="1761">
      <c r="A1761" s="17"/>
      <c r="B1761" s="19"/>
    </row>
    <row r="1762">
      <c r="A1762" s="17"/>
      <c r="B1762" s="19"/>
    </row>
    <row r="1763">
      <c r="A1763" s="17"/>
      <c r="B1763" s="19"/>
    </row>
    <row r="1764">
      <c r="A1764" s="17"/>
      <c r="B1764" s="19"/>
    </row>
    <row r="1765">
      <c r="A1765" s="17"/>
      <c r="B1765" s="19"/>
    </row>
    <row r="1766">
      <c r="A1766" s="17"/>
      <c r="B1766" s="19"/>
    </row>
    <row r="1767">
      <c r="A1767" s="17"/>
      <c r="B1767" s="19"/>
    </row>
    <row r="1768">
      <c r="A1768" s="17"/>
      <c r="B1768" s="19"/>
    </row>
    <row r="1769">
      <c r="A1769" s="17"/>
      <c r="B1769" s="19"/>
    </row>
    <row r="1770">
      <c r="A1770" s="17"/>
      <c r="B1770" s="19"/>
    </row>
    <row r="1771">
      <c r="A1771" s="17"/>
      <c r="B1771" s="19"/>
    </row>
    <row r="1772">
      <c r="A1772" s="17"/>
      <c r="B1772" s="19"/>
    </row>
    <row r="1773">
      <c r="A1773" s="17"/>
      <c r="B1773" s="19"/>
    </row>
    <row r="1774">
      <c r="A1774" s="17"/>
      <c r="B1774" s="19"/>
    </row>
    <row r="1775">
      <c r="A1775" s="17"/>
      <c r="B1775" s="19"/>
    </row>
    <row r="1776">
      <c r="A1776" s="17"/>
      <c r="B1776" s="19"/>
    </row>
    <row r="1777">
      <c r="A1777" s="17"/>
      <c r="B1777" s="19"/>
    </row>
    <row r="1778">
      <c r="A1778" s="17"/>
      <c r="B1778" s="19"/>
    </row>
    <row r="1779">
      <c r="A1779" s="17"/>
      <c r="B1779" s="19"/>
    </row>
    <row r="1780">
      <c r="A1780" s="17"/>
      <c r="B1780" s="19"/>
    </row>
    <row r="1781">
      <c r="A1781" s="17"/>
      <c r="B1781" s="19"/>
    </row>
    <row r="1782">
      <c r="A1782" s="17"/>
      <c r="B1782" s="19"/>
    </row>
    <row r="1783">
      <c r="A1783" s="17"/>
      <c r="B1783" s="19"/>
    </row>
    <row r="1784">
      <c r="A1784" s="17"/>
      <c r="B1784" s="19"/>
    </row>
    <row r="1785">
      <c r="A1785" s="17"/>
      <c r="B1785" s="19"/>
    </row>
    <row r="1786">
      <c r="A1786" s="17"/>
      <c r="B1786" s="19"/>
    </row>
    <row r="1787">
      <c r="A1787" s="17"/>
      <c r="B1787" s="19"/>
    </row>
    <row r="1788">
      <c r="A1788" s="17"/>
      <c r="B1788" s="19"/>
    </row>
    <row r="1789">
      <c r="A1789" s="17"/>
      <c r="B1789" s="19"/>
    </row>
    <row r="1790">
      <c r="A1790" s="17"/>
      <c r="B1790" s="19"/>
    </row>
    <row r="1791">
      <c r="A1791" s="17"/>
      <c r="B1791" s="19"/>
    </row>
    <row r="1792">
      <c r="A1792" s="17"/>
      <c r="B1792" s="19"/>
    </row>
    <row r="1793">
      <c r="A1793" s="17"/>
      <c r="B1793" s="19"/>
    </row>
    <row r="1794">
      <c r="A1794" s="17"/>
      <c r="B1794" s="19"/>
    </row>
    <row r="1795">
      <c r="A1795" s="17"/>
      <c r="B1795" s="19"/>
    </row>
    <row r="1796">
      <c r="A1796" s="17"/>
      <c r="B1796" s="19"/>
    </row>
    <row r="1797">
      <c r="A1797" s="17"/>
      <c r="B1797" s="19"/>
    </row>
    <row r="1798">
      <c r="A1798" s="17"/>
      <c r="B1798" s="19"/>
    </row>
    <row r="1799">
      <c r="A1799" s="17"/>
      <c r="B1799" s="19"/>
    </row>
    <row r="1800">
      <c r="A1800" s="17"/>
      <c r="B1800" s="19"/>
    </row>
    <row r="1801">
      <c r="A1801" s="17"/>
      <c r="B1801" s="19"/>
    </row>
    <row r="1802">
      <c r="A1802" s="17"/>
      <c r="B1802" s="19"/>
    </row>
    <row r="1803">
      <c r="A1803" s="17"/>
      <c r="B1803" s="19"/>
    </row>
    <row r="1804">
      <c r="A1804" s="17"/>
      <c r="B1804" s="19"/>
    </row>
    <row r="1805">
      <c r="A1805" s="17"/>
      <c r="B1805" s="19"/>
    </row>
    <row r="1806">
      <c r="A1806" s="17"/>
      <c r="B1806" s="19"/>
    </row>
    <row r="1807">
      <c r="A1807" s="17"/>
      <c r="B1807" s="19"/>
    </row>
    <row r="1808">
      <c r="A1808" s="17"/>
      <c r="B1808" s="19"/>
    </row>
    <row r="1809">
      <c r="A1809" s="17"/>
      <c r="B1809" s="19"/>
    </row>
    <row r="1810">
      <c r="A1810" s="17"/>
      <c r="B1810" s="19"/>
    </row>
    <row r="1811">
      <c r="A1811" s="17"/>
      <c r="B1811" s="19"/>
    </row>
    <row r="1812">
      <c r="A1812" s="17"/>
      <c r="B1812" s="19"/>
    </row>
    <row r="1813">
      <c r="A1813" s="17"/>
      <c r="B1813" s="19"/>
    </row>
    <row r="1814">
      <c r="A1814" s="17"/>
      <c r="B1814" s="19"/>
    </row>
    <row r="1815">
      <c r="A1815" s="17"/>
      <c r="B1815" s="19"/>
    </row>
    <row r="1816">
      <c r="A1816" s="17"/>
      <c r="B1816" s="19"/>
    </row>
    <row r="1817">
      <c r="A1817" s="17"/>
      <c r="B1817" s="19"/>
    </row>
    <row r="1818">
      <c r="A1818" s="17"/>
      <c r="B1818" s="19"/>
    </row>
    <row r="1819">
      <c r="A1819" s="17"/>
      <c r="B1819" s="19"/>
    </row>
    <row r="1820">
      <c r="A1820" s="17"/>
      <c r="B1820" s="19"/>
    </row>
    <row r="1821">
      <c r="A1821" s="17"/>
      <c r="B1821" s="19"/>
    </row>
    <row r="1822">
      <c r="A1822" s="17"/>
      <c r="B1822" s="19"/>
    </row>
    <row r="1823">
      <c r="A1823" s="17"/>
      <c r="B1823" s="19"/>
    </row>
    <row r="1824">
      <c r="A1824" s="17"/>
      <c r="B1824" s="19"/>
    </row>
    <row r="1825">
      <c r="A1825" s="17"/>
      <c r="B1825" s="19"/>
    </row>
    <row r="1826">
      <c r="A1826" s="17"/>
      <c r="B1826" s="19"/>
    </row>
    <row r="1827">
      <c r="A1827" s="17"/>
      <c r="B1827" s="19"/>
    </row>
    <row r="1828">
      <c r="A1828" s="17"/>
      <c r="B1828" s="19"/>
    </row>
    <row r="1829">
      <c r="A1829" s="17"/>
      <c r="B1829" s="19"/>
    </row>
    <row r="1830">
      <c r="A1830" s="17"/>
      <c r="B1830" s="19"/>
    </row>
    <row r="1831">
      <c r="A1831" s="17"/>
      <c r="B1831" s="19"/>
    </row>
    <row r="1832">
      <c r="A1832" s="17"/>
      <c r="B1832" s="19"/>
    </row>
    <row r="1833">
      <c r="A1833" s="17"/>
      <c r="B1833" s="19"/>
    </row>
    <row r="1834">
      <c r="A1834" s="17"/>
      <c r="B1834" s="19"/>
    </row>
    <row r="1835">
      <c r="A1835" s="17"/>
      <c r="B1835" s="19"/>
    </row>
    <row r="1836">
      <c r="A1836" s="17"/>
      <c r="B1836" s="19"/>
    </row>
    <row r="1837">
      <c r="A1837" s="17"/>
      <c r="B1837" s="19"/>
    </row>
    <row r="1838">
      <c r="A1838" s="17"/>
      <c r="B1838" s="19"/>
    </row>
    <row r="1839">
      <c r="A1839" s="17"/>
      <c r="B1839" s="19"/>
    </row>
    <row r="1840">
      <c r="A1840" s="17"/>
      <c r="B1840" s="19"/>
    </row>
    <row r="1841">
      <c r="A1841" s="17"/>
      <c r="B1841" s="19"/>
    </row>
    <row r="1842">
      <c r="A1842" s="17"/>
      <c r="B1842" s="19"/>
    </row>
    <row r="1843">
      <c r="A1843" s="17"/>
      <c r="B1843" s="19"/>
    </row>
    <row r="1844">
      <c r="A1844" s="17"/>
      <c r="B1844" s="19"/>
    </row>
    <row r="1845">
      <c r="A1845" s="17"/>
      <c r="B1845" s="19"/>
    </row>
    <row r="1846">
      <c r="A1846" s="17"/>
      <c r="B1846" s="19"/>
    </row>
    <row r="1847">
      <c r="A1847" s="17"/>
      <c r="B1847" s="19"/>
    </row>
    <row r="1848">
      <c r="A1848" s="17"/>
      <c r="B1848" s="19"/>
    </row>
    <row r="1849">
      <c r="A1849" s="17"/>
      <c r="B1849" s="19"/>
    </row>
    <row r="1850">
      <c r="A1850" s="17"/>
      <c r="B1850" s="19"/>
    </row>
    <row r="1851">
      <c r="A1851" s="17"/>
      <c r="B1851" s="19"/>
    </row>
    <row r="1852">
      <c r="A1852" s="17"/>
      <c r="B1852" s="19"/>
    </row>
    <row r="1853">
      <c r="A1853" s="17"/>
      <c r="B1853" s="19"/>
    </row>
    <row r="1854">
      <c r="A1854" s="17"/>
      <c r="B1854" s="19"/>
    </row>
    <row r="1855">
      <c r="A1855" s="17"/>
      <c r="B1855" s="19"/>
    </row>
    <row r="1856">
      <c r="A1856" s="17"/>
      <c r="B1856" s="19"/>
    </row>
    <row r="1857">
      <c r="A1857" s="17"/>
      <c r="B1857" s="19"/>
    </row>
    <row r="1858">
      <c r="A1858" s="17"/>
      <c r="B1858" s="19"/>
    </row>
    <row r="1859">
      <c r="A1859" s="17"/>
      <c r="B1859" s="19"/>
    </row>
    <row r="1860">
      <c r="A1860" s="17"/>
      <c r="B1860" s="19"/>
    </row>
    <row r="1861">
      <c r="A1861" s="17"/>
      <c r="B1861" s="19"/>
    </row>
    <row r="1862">
      <c r="A1862" s="17"/>
      <c r="B1862" s="19"/>
    </row>
    <row r="1863">
      <c r="A1863" s="17"/>
      <c r="B1863" s="19"/>
    </row>
    <row r="1864">
      <c r="A1864" s="17"/>
      <c r="B1864" s="19"/>
    </row>
    <row r="1865">
      <c r="A1865" s="17"/>
      <c r="B1865" s="19"/>
    </row>
    <row r="1866">
      <c r="A1866" s="17"/>
      <c r="B1866" s="19"/>
    </row>
    <row r="1867">
      <c r="A1867" s="17"/>
      <c r="B1867" s="19"/>
    </row>
    <row r="1868">
      <c r="A1868" s="17"/>
      <c r="B1868" s="19"/>
    </row>
    <row r="1869">
      <c r="A1869" s="17"/>
      <c r="B1869" s="19"/>
    </row>
    <row r="1870">
      <c r="A1870" s="17"/>
      <c r="B1870" s="19"/>
    </row>
    <row r="1871">
      <c r="A1871" s="17"/>
      <c r="B1871" s="19"/>
    </row>
    <row r="1872">
      <c r="A1872" s="17"/>
      <c r="B1872" s="19"/>
    </row>
    <row r="1873">
      <c r="A1873" s="17"/>
      <c r="B1873" s="19"/>
    </row>
    <row r="1874">
      <c r="A1874" s="17"/>
      <c r="B1874" s="19"/>
    </row>
    <row r="1875">
      <c r="A1875" s="17"/>
      <c r="B1875" s="19"/>
    </row>
    <row r="1876">
      <c r="A1876" s="17"/>
      <c r="B1876" s="19"/>
    </row>
    <row r="1877">
      <c r="A1877" s="17"/>
      <c r="B1877" s="19"/>
    </row>
    <row r="1878">
      <c r="A1878" s="17"/>
      <c r="B1878" s="19"/>
    </row>
    <row r="1879">
      <c r="A1879" s="17"/>
      <c r="B1879" s="19"/>
    </row>
    <row r="1880">
      <c r="A1880" s="17"/>
      <c r="B1880" s="19"/>
    </row>
    <row r="1881">
      <c r="A1881" s="17"/>
      <c r="B1881" s="19"/>
    </row>
    <row r="1882">
      <c r="A1882" s="17"/>
      <c r="B1882" s="19"/>
    </row>
    <row r="1883">
      <c r="A1883" s="17"/>
      <c r="B1883" s="19"/>
    </row>
    <row r="1884">
      <c r="A1884" s="17"/>
      <c r="B1884" s="19"/>
    </row>
    <row r="1885">
      <c r="A1885" s="17"/>
      <c r="B1885" s="19"/>
    </row>
    <row r="1886">
      <c r="A1886" s="17"/>
      <c r="B1886" s="19"/>
    </row>
    <row r="1887">
      <c r="A1887" s="17"/>
      <c r="B1887" s="19"/>
    </row>
    <row r="1888">
      <c r="A1888" s="17"/>
      <c r="B1888" s="19"/>
    </row>
    <row r="1889">
      <c r="A1889" s="17"/>
      <c r="B1889" s="19"/>
    </row>
    <row r="1890">
      <c r="A1890" s="17"/>
      <c r="B1890" s="19"/>
    </row>
    <row r="1891">
      <c r="A1891" s="17"/>
      <c r="B1891" s="19"/>
    </row>
    <row r="1892">
      <c r="A1892" s="17"/>
      <c r="B1892" s="19"/>
    </row>
    <row r="1893">
      <c r="A1893" s="17"/>
      <c r="B1893" s="19"/>
    </row>
    <row r="1894">
      <c r="A1894" s="17"/>
      <c r="B1894" s="19"/>
    </row>
    <row r="1895">
      <c r="A1895" s="17"/>
      <c r="B1895" s="19"/>
    </row>
    <row r="1896">
      <c r="A1896" s="17"/>
      <c r="B1896" s="19"/>
    </row>
    <row r="1897">
      <c r="A1897" s="17"/>
      <c r="B1897" s="19"/>
    </row>
    <row r="1898">
      <c r="A1898" s="17"/>
      <c r="B1898" s="19"/>
    </row>
    <row r="1899">
      <c r="A1899" s="17"/>
      <c r="B1899" s="19"/>
    </row>
    <row r="1900">
      <c r="A1900" s="17"/>
      <c r="B1900" s="19"/>
    </row>
    <row r="1901">
      <c r="A1901" s="17"/>
      <c r="B1901" s="19"/>
    </row>
    <row r="1902">
      <c r="A1902" s="17"/>
      <c r="B1902" s="19"/>
    </row>
    <row r="1903">
      <c r="A1903" s="17"/>
      <c r="B1903" s="19"/>
    </row>
    <row r="1904">
      <c r="A1904" s="17"/>
      <c r="B1904" s="19"/>
    </row>
    <row r="1905">
      <c r="A1905" s="17"/>
      <c r="B1905" s="19"/>
    </row>
    <row r="1906">
      <c r="A1906" s="17"/>
      <c r="B1906" s="19"/>
    </row>
    <row r="1907">
      <c r="A1907" s="17"/>
      <c r="B1907" s="19"/>
    </row>
    <row r="1908">
      <c r="A1908" s="17"/>
      <c r="B1908" s="19"/>
    </row>
    <row r="1909">
      <c r="A1909" s="17"/>
      <c r="B1909" s="19"/>
    </row>
    <row r="1910">
      <c r="A1910" s="17"/>
      <c r="B1910" s="19"/>
    </row>
    <row r="1911">
      <c r="A1911" s="17"/>
      <c r="B1911" s="19"/>
    </row>
    <row r="1912">
      <c r="A1912" s="17"/>
      <c r="B1912" s="19"/>
    </row>
    <row r="1913">
      <c r="A1913" s="17"/>
      <c r="B1913" s="19"/>
    </row>
    <row r="1914">
      <c r="A1914" s="17"/>
      <c r="B1914" s="19"/>
    </row>
    <row r="1915">
      <c r="A1915" s="17"/>
      <c r="B1915" s="19"/>
    </row>
    <row r="1916">
      <c r="A1916" s="17"/>
      <c r="B1916" s="19"/>
    </row>
    <row r="1917">
      <c r="A1917" s="17"/>
      <c r="B1917" s="19"/>
    </row>
    <row r="1918">
      <c r="A1918" s="17"/>
      <c r="B1918" s="19"/>
    </row>
    <row r="1919">
      <c r="A1919" s="17"/>
      <c r="B1919" s="19"/>
    </row>
    <row r="1920">
      <c r="A1920" s="17"/>
      <c r="B1920" s="19"/>
    </row>
    <row r="1921">
      <c r="A1921" s="17"/>
      <c r="B1921" s="19"/>
    </row>
    <row r="1922">
      <c r="A1922" s="17"/>
      <c r="B1922" s="19"/>
    </row>
    <row r="1923">
      <c r="A1923" s="17"/>
      <c r="B1923" s="19"/>
    </row>
    <row r="1924">
      <c r="A1924" s="17"/>
      <c r="B1924" s="19"/>
    </row>
    <row r="1925">
      <c r="A1925" s="17"/>
      <c r="B1925" s="19"/>
    </row>
    <row r="1926">
      <c r="A1926" s="17"/>
      <c r="B1926" s="19"/>
    </row>
    <row r="1927">
      <c r="A1927" s="17"/>
      <c r="B1927" s="19"/>
    </row>
    <row r="1928">
      <c r="A1928" s="17"/>
      <c r="B1928" s="19"/>
    </row>
    <row r="1929">
      <c r="A1929" s="17"/>
      <c r="B1929" s="19"/>
    </row>
    <row r="1930">
      <c r="A1930" s="17"/>
      <c r="B1930" s="19"/>
    </row>
    <row r="1931">
      <c r="A1931" s="17"/>
      <c r="B1931" s="19"/>
    </row>
    <row r="1932">
      <c r="A1932" s="17"/>
      <c r="B1932" s="19"/>
    </row>
    <row r="1933">
      <c r="A1933" s="17"/>
      <c r="B1933" s="19"/>
    </row>
    <row r="1934">
      <c r="A1934" s="17"/>
      <c r="B1934" s="19"/>
    </row>
    <row r="1935">
      <c r="A1935" s="17"/>
      <c r="B1935" s="19"/>
    </row>
    <row r="1936">
      <c r="A1936" s="17"/>
      <c r="B1936" s="19"/>
    </row>
    <row r="1937">
      <c r="A1937" s="17"/>
      <c r="B1937" s="19"/>
    </row>
    <row r="1938">
      <c r="A1938" s="17"/>
      <c r="B1938" s="19"/>
    </row>
    <row r="1939">
      <c r="A1939" s="17"/>
      <c r="B1939" s="19"/>
    </row>
    <row r="1940">
      <c r="A1940" s="17"/>
      <c r="B1940" s="19"/>
    </row>
    <row r="1941">
      <c r="A1941" s="17"/>
      <c r="B1941" s="19"/>
    </row>
    <row r="1942">
      <c r="A1942" s="17"/>
      <c r="B1942" s="19"/>
    </row>
    <row r="1943">
      <c r="A1943" s="17"/>
      <c r="B1943" s="19"/>
    </row>
    <row r="1944">
      <c r="A1944" s="17"/>
      <c r="B1944" s="19"/>
    </row>
    <row r="1945">
      <c r="A1945" s="17"/>
      <c r="B1945" s="19"/>
    </row>
    <row r="1946">
      <c r="A1946" s="17"/>
      <c r="B1946" s="19"/>
    </row>
    <row r="1947">
      <c r="A1947" s="17"/>
      <c r="B1947" s="19"/>
    </row>
    <row r="1948">
      <c r="A1948" s="17"/>
      <c r="B1948" s="19"/>
    </row>
    <row r="1949">
      <c r="A1949" s="17"/>
      <c r="B1949" s="19"/>
    </row>
    <row r="1950">
      <c r="A1950" s="17"/>
      <c r="B1950" s="19"/>
    </row>
    <row r="1951">
      <c r="A1951" s="17"/>
      <c r="B1951" s="19"/>
    </row>
    <row r="1952">
      <c r="A1952" s="17"/>
      <c r="B1952" s="19"/>
    </row>
    <row r="1953">
      <c r="A1953" s="17"/>
      <c r="B1953" s="19"/>
    </row>
    <row r="1954">
      <c r="A1954" s="17"/>
      <c r="B1954" s="19"/>
    </row>
    <row r="1955">
      <c r="A1955" s="17"/>
      <c r="B1955" s="19"/>
    </row>
    <row r="1956">
      <c r="A1956" s="17"/>
      <c r="B1956" s="19"/>
    </row>
    <row r="1957">
      <c r="A1957" s="17"/>
      <c r="B1957" s="19"/>
    </row>
    <row r="1958">
      <c r="A1958" s="17"/>
      <c r="B1958" s="19"/>
    </row>
    <row r="1959">
      <c r="A1959" s="17"/>
      <c r="B1959" s="19"/>
    </row>
    <row r="1960">
      <c r="A1960" s="17"/>
      <c r="B1960" s="19"/>
    </row>
    <row r="1961">
      <c r="A1961" s="17"/>
      <c r="B1961" s="19"/>
    </row>
    <row r="1962">
      <c r="A1962" s="17"/>
      <c r="B1962" s="19"/>
    </row>
    <row r="1963">
      <c r="A1963" s="17"/>
      <c r="B1963" s="19"/>
    </row>
    <row r="1964">
      <c r="A1964" s="17"/>
      <c r="B1964" s="19"/>
    </row>
    <row r="1965">
      <c r="A1965" s="17"/>
      <c r="B1965" s="19"/>
    </row>
    <row r="1966">
      <c r="A1966" s="17"/>
      <c r="B1966" s="19"/>
    </row>
    <row r="1967">
      <c r="A1967" s="17"/>
      <c r="B1967" s="19"/>
    </row>
    <row r="1968">
      <c r="A1968" s="17"/>
      <c r="B1968" s="19"/>
    </row>
    <row r="1969">
      <c r="A1969" s="17"/>
      <c r="B1969" s="19"/>
    </row>
    <row r="1970">
      <c r="A1970" s="17"/>
      <c r="B1970" s="19"/>
    </row>
    <row r="1971">
      <c r="A1971" s="17"/>
      <c r="B1971" s="19"/>
    </row>
    <row r="1972">
      <c r="A1972" s="17"/>
      <c r="B1972" s="19"/>
    </row>
    <row r="1973">
      <c r="A1973" s="17"/>
      <c r="B1973" s="19"/>
    </row>
    <row r="1974">
      <c r="A1974" s="17"/>
      <c r="B1974" s="19"/>
    </row>
    <row r="1975">
      <c r="A1975" s="17"/>
      <c r="B1975" s="19"/>
    </row>
    <row r="1976">
      <c r="A1976" s="17"/>
      <c r="B1976" s="19"/>
    </row>
    <row r="1977">
      <c r="A1977" s="17"/>
      <c r="B1977" s="19"/>
    </row>
    <row r="1978">
      <c r="A1978" s="17"/>
      <c r="B1978" s="19"/>
    </row>
    <row r="1979">
      <c r="A1979" s="17"/>
      <c r="B1979" s="19"/>
    </row>
    <row r="1980">
      <c r="A1980" s="17"/>
      <c r="B1980" s="19"/>
    </row>
    <row r="1981">
      <c r="A1981" s="17"/>
      <c r="B1981" s="19"/>
    </row>
    <row r="1982">
      <c r="A1982" s="17"/>
      <c r="B1982" s="19"/>
    </row>
    <row r="1983">
      <c r="A1983" s="17"/>
      <c r="B1983" s="19"/>
    </row>
    <row r="1984">
      <c r="A1984" s="17"/>
      <c r="B1984" s="19"/>
    </row>
    <row r="1985">
      <c r="A1985" s="17"/>
      <c r="B1985" s="19"/>
    </row>
    <row r="1986">
      <c r="A1986" s="17"/>
      <c r="B1986" s="19"/>
    </row>
    <row r="1987">
      <c r="A1987" s="17"/>
      <c r="B1987" s="19"/>
    </row>
    <row r="1988">
      <c r="A1988" s="17"/>
      <c r="B1988" s="19"/>
    </row>
    <row r="1989">
      <c r="A1989" s="17"/>
      <c r="B1989" s="19"/>
    </row>
    <row r="1990">
      <c r="A1990" s="17"/>
      <c r="B1990" s="19"/>
    </row>
    <row r="1991">
      <c r="A1991" s="17"/>
      <c r="B1991" s="19"/>
    </row>
    <row r="1992">
      <c r="A1992" s="17"/>
      <c r="B1992" s="19"/>
    </row>
    <row r="1993">
      <c r="A1993" s="17"/>
      <c r="B1993" s="19"/>
    </row>
    <row r="1994">
      <c r="A1994" s="17"/>
      <c r="B1994" s="19"/>
    </row>
    <row r="1995">
      <c r="A1995" s="17"/>
      <c r="B1995" s="19"/>
    </row>
    <row r="1996">
      <c r="A1996" s="17"/>
      <c r="B1996" s="19"/>
    </row>
    <row r="1997">
      <c r="A1997" s="17"/>
      <c r="B1997" s="19"/>
    </row>
    <row r="1998">
      <c r="A1998" s="17"/>
      <c r="B1998" s="19"/>
    </row>
    <row r="1999">
      <c r="A1999" s="17"/>
      <c r="B1999" s="19"/>
    </row>
    <row r="2000">
      <c r="A2000" s="17"/>
      <c r="B2000" s="19"/>
    </row>
    <row r="2001">
      <c r="A2001" s="17"/>
      <c r="B2001" s="19"/>
    </row>
    <row r="2002">
      <c r="A2002" s="17"/>
      <c r="B2002" s="19"/>
    </row>
    <row r="2003">
      <c r="A2003" s="17"/>
      <c r="B2003" s="19"/>
    </row>
    <row r="2004">
      <c r="A2004" s="17"/>
      <c r="B2004" s="19"/>
    </row>
    <row r="2005">
      <c r="A2005" s="17"/>
      <c r="B2005" s="19"/>
    </row>
    <row r="2006">
      <c r="A2006" s="17"/>
      <c r="B2006" s="19"/>
    </row>
    <row r="2007">
      <c r="A2007" s="17"/>
      <c r="B2007" s="19"/>
    </row>
    <row r="2008">
      <c r="A2008" s="17"/>
      <c r="B2008" s="19"/>
    </row>
    <row r="2009">
      <c r="A2009" s="17"/>
      <c r="B2009" s="19"/>
    </row>
    <row r="2010">
      <c r="A2010" s="17"/>
      <c r="B2010" s="19"/>
    </row>
    <row r="2011">
      <c r="A2011" s="17"/>
      <c r="B2011" s="19"/>
    </row>
    <row r="2012">
      <c r="A2012" s="17"/>
      <c r="B2012" s="19"/>
    </row>
    <row r="2013">
      <c r="A2013" s="17"/>
      <c r="B2013" s="19"/>
    </row>
    <row r="2014">
      <c r="A2014" s="17"/>
      <c r="B2014" s="19"/>
    </row>
    <row r="2015">
      <c r="A2015" s="17"/>
      <c r="B2015" s="19"/>
    </row>
    <row r="2016">
      <c r="A2016" s="17"/>
      <c r="B2016" s="19"/>
    </row>
    <row r="2017">
      <c r="A2017" s="17"/>
      <c r="B2017" s="19"/>
    </row>
    <row r="2018">
      <c r="A2018" s="17"/>
      <c r="B2018" s="19"/>
    </row>
    <row r="2019">
      <c r="A2019" s="17"/>
      <c r="B2019" s="19"/>
    </row>
    <row r="2020">
      <c r="A2020" s="17"/>
      <c r="B2020" s="19"/>
    </row>
    <row r="2021">
      <c r="A2021" s="17"/>
      <c r="B2021" s="19"/>
    </row>
    <row r="2022">
      <c r="A2022" s="17"/>
      <c r="B2022" s="19"/>
    </row>
    <row r="2023">
      <c r="A2023" s="17"/>
      <c r="B2023" s="19"/>
    </row>
    <row r="2024">
      <c r="A2024" s="17"/>
      <c r="B2024" s="19"/>
    </row>
    <row r="2025">
      <c r="A2025" s="17"/>
      <c r="B2025" s="19"/>
    </row>
    <row r="2026">
      <c r="A2026" s="17"/>
      <c r="B2026" s="19"/>
    </row>
    <row r="2027">
      <c r="A2027" s="17"/>
      <c r="B2027" s="19"/>
    </row>
    <row r="2028">
      <c r="A2028" s="17"/>
      <c r="B2028" s="19"/>
    </row>
    <row r="2029">
      <c r="A2029" s="17"/>
      <c r="B2029" s="19"/>
    </row>
    <row r="2030">
      <c r="A2030" s="17"/>
      <c r="B2030" s="19"/>
    </row>
    <row r="2031">
      <c r="A2031" s="17"/>
      <c r="B2031" s="19"/>
    </row>
    <row r="2032">
      <c r="A2032" s="17"/>
      <c r="B2032" s="19"/>
    </row>
    <row r="2033">
      <c r="A2033" s="17"/>
      <c r="B2033" s="19"/>
    </row>
    <row r="2034">
      <c r="A2034" s="17"/>
      <c r="B2034" s="19"/>
    </row>
    <row r="2035">
      <c r="A2035" s="17"/>
      <c r="B2035" s="19"/>
    </row>
    <row r="2036">
      <c r="A2036" s="17"/>
      <c r="B2036" s="19"/>
    </row>
    <row r="2037">
      <c r="A2037" s="17"/>
      <c r="B2037" s="19"/>
    </row>
    <row r="2038">
      <c r="A2038" s="17"/>
      <c r="B2038" s="19"/>
    </row>
    <row r="2039">
      <c r="A2039" s="17"/>
      <c r="B2039" s="19"/>
    </row>
    <row r="2040">
      <c r="A2040" s="17"/>
      <c r="B2040" s="19"/>
    </row>
    <row r="2041">
      <c r="A2041" s="17"/>
      <c r="B2041" s="19"/>
    </row>
    <row r="2042">
      <c r="A2042" s="17"/>
      <c r="B2042" s="19"/>
    </row>
    <row r="2043">
      <c r="A2043" s="17"/>
      <c r="B2043" s="19"/>
    </row>
    <row r="2044">
      <c r="A2044" s="17"/>
      <c r="B2044" s="19"/>
    </row>
    <row r="2045">
      <c r="A2045" s="17"/>
      <c r="B2045" s="19"/>
    </row>
    <row r="2046">
      <c r="A2046" s="17"/>
      <c r="B2046" s="19"/>
    </row>
    <row r="2047">
      <c r="A2047" s="17"/>
      <c r="B2047" s="19"/>
    </row>
    <row r="2048">
      <c r="A2048" s="17"/>
      <c r="B2048" s="19"/>
    </row>
    <row r="2049">
      <c r="A2049" s="17"/>
      <c r="B2049" s="19"/>
    </row>
    <row r="2050">
      <c r="A2050" s="17"/>
      <c r="B2050" s="19"/>
    </row>
    <row r="2051">
      <c r="A2051" s="17"/>
      <c r="B2051" s="19"/>
    </row>
    <row r="2052">
      <c r="A2052" s="17"/>
      <c r="B2052" s="19"/>
    </row>
    <row r="2053">
      <c r="A2053" s="17"/>
      <c r="B2053" s="19"/>
    </row>
    <row r="2054">
      <c r="A2054" s="17"/>
      <c r="B2054" s="19"/>
    </row>
    <row r="2055">
      <c r="A2055" s="17"/>
      <c r="B2055" s="19"/>
    </row>
    <row r="2056">
      <c r="A2056" s="17"/>
      <c r="B2056" s="19"/>
    </row>
    <row r="2057">
      <c r="A2057" s="17"/>
      <c r="B2057" s="19"/>
    </row>
    <row r="2058">
      <c r="A2058" s="17"/>
      <c r="B2058" s="19"/>
    </row>
    <row r="2059">
      <c r="A2059" s="17"/>
      <c r="B2059" s="19"/>
    </row>
    <row r="2060">
      <c r="A2060" s="17"/>
      <c r="B2060" s="19"/>
    </row>
    <row r="2061">
      <c r="A2061" s="17"/>
      <c r="B2061" s="19"/>
    </row>
    <row r="2062">
      <c r="A2062" s="17"/>
      <c r="B2062" s="19"/>
    </row>
    <row r="2063">
      <c r="A2063" s="17"/>
      <c r="B2063" s="19"/>
    </row>
    <row r="2064">
      <c r="A2064" s="17"/>
      <c r="B2064" s="19"/>
    </row>
    <row r="2065">
      <c r="A2065" s="17"/>
      <c r="B2065" s="19"/>
    </row>
    <row r="2066">
      <c r="A2066" s="17"/>
      <c r="B2066" s="19"/>
    </row>
    <row r="2067">
      <c r="A2067" s="17"/>
      <c r="B2067" s="19"/>
    </row>
    <row r="2068">
      <c r="A2068" s="17"/>
      <c r="B2068" s="19"/>
    </row>
    <row r="2069">
      <c r="A2069" s="17"/>
      <c r="B2069" s="19"/>
    </row>
    <row r="2070">
      <c r="A2070" s="17"/>
      <c r="B2070" s="19"/>
    </row>
    <row r="2071">
      <c r="A2071" s="17"/>
      <c r="B2071" s="19"/>
    </row>
    <row r="2072">
      <c r="A2072" s="17"/>
      <c r="B2072" s="19"/>
    </row>
    <row r="2073">
      <c r="A2073" s="17"/>
      <c r="B2073" s="19"/>
    </row>
    <row r="2074">
      <c r="A2074" s="17"/>
      <c r="B2074" s="19"/>
    </row>
    <row r="2075">
      <c r="A2075" s="17"/>
      <c r="B2075" s="19"/>
    </row>
    <row r="2076">
      <c r="A2076" s="17"/>
      <c r="B2076" s="19"/>
    </row>
    <row r="2077">
      <c r="A2077" s="17"/>
      <c r="B2077" s="19"/>
    </row>
    <row r="2078">
      <c r="A2078" s="17"/>
      <c r="B2078" s="19"/>
    </row>
    <row r="2079">
      <c r="A2079" s="17"/>
      <c r="B2079" s="19"/>
    </row>
    <row r="2080">
      <c r="A2080" s="17"/>
      <c r="B2080" s="19"/>
    </row>
    <row r="2081">
      <c r="A2081" s="17"/>
      <c r="B2081" s="19"/>
    </row>
    <row r="2082">
      <c r="A2082" s="17"/>
      <c r="B2082" s="19"/>
    </row>
    <row r="2083">
      <c r="A2083" s="17"/>
      <c r="B2083" s="19"/>
    </row>
    <row r="2084">
      <c r="A2084" s="17"/>
      <c r="B2084" s="19"/>
    </row>
    <row r="2085">
      <c r="A2085" s="17"/>
      <c r="B2085" s="19"/>
    </row>
    <row r="2086">
      <c r="A2086" s="17"/>
      <c r="B2086" s="19"/>
    </row>
    <row r="2087">
      <c r="A2087" s="17"/>
      <c r="B2087" s="19"/>
    </row>
    <row r="2088">
      <c r="A2088" s="17"/>
      <c r="B2088" s="19"/>
    </row>
    <row r="2089">
      <c r="A2089" s="17"/>
      <c r="B2089" s="19"/>
    </row>
    <row r="2090">
      <c r="A2090" s="17"/>
      <c r="B2090" s="19"/>
    </row>
    <row r="2091">
      <c r="A2091" s="17"/>
      <c r="B2091" s="19"/>
    </row>
    <row r="2092">
      <c r="A2092" s="17"/>
      <c r="B2092" s="19"/>
    </row>
    <row r="2093">
      <c r="A2093" s="17"/>
      <c r="B2093" s="19"/>
    </row>
    <row r="2094">
      <c r="A2094" s="17"/>
      <c r="B2094" s="19"/>
    </row>
    <row r="2095">
      <c r="A2095" s="17"/>
      <c r="B2095" s="19"/>
    </row>
    <row r="2096">
      <c r="A2096" s="17"/>
      <c r="B2096" s="19"/>
    </row>
    <row r="2097">
      <c r="A2097" s="17"/>
      <c r="B2097" s="19"/>
    </row>
    <row r="2098">
      <c r="A2098" s="17"/>
      <c r="B2098" s="19"/>
    </row>
    <row r="2099">
      <c r="A2099" s="17"/>
      <c r="B2099" s="19"/>
    </row>
    <row r="2100">
      <c r="A2100" s="17"/>
      <c r="B2100" s="19"/>
    </row>
    <row r="2101">
      <c r="A2101" s="17"/>
      <c r="B2101" s="19"/>
    </row>
    <row r="2102">
      <c r="A2102" s="17"/>
      <c r="B2102" s="19"/>
    </row>
    <row r="2103">
      <c r="A2103" s="17"/>
      <c r="B2103" s="19"/>
    </row>
    <row r="2104">
      <c r="A2104" s="17"/>
      <c r="B2104" s="19"/>
    </row>
    <row r="2105">
      <c r="A2105" s="17"/>
      <c r="B2105" s="19"/>
    </row>
    <row r="2106">
      <c r="A2106" s="17"/>
      <c r="B2106" s="19"/>
    </row>
    <row r="2107">
      <c r="A2107" s="17"/>
      <c r="B2107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.0"/>
    <col customWidth="1" min="3" max="3" width="4.13"/>
    <col customWidth="1" min="4" max="4" width="5.13"/>
    <col customWidth="1" min="5" max="5" width="3.75"/>
    <col customWidth="1" min="6" max="6" width="4.63"/>
    <col customWidth="1" min="7" max="7" width="4.5"/>
    <col customWidth="1" min="8" max="8" width="4.63"/>
    <col customWidth="1" min="9" max="9" width="3.75"/>
    <col customWidth="1" min="10" max="10" width="4.0"/>
    <col customWidth="1" min="11" max="11" width="4.38"/>
    <col customWidth="1" min="12" max="12" width="4.25"/>
    <col customWidth="1" min="13" max="13" width="4.13"/>
    <col customWidth="1" min="14" max="14" width="4.38"/>
    <col customWidth="1" min="15" max="15" width="4.25"/>
    <col customWidth="1" min="16" max="16" width="4.63"/>
    <col customWidth="1" min="17" max="17" width="5.13"/>
    <col customWidth="1" min="18" max="18" width="5.38"/>
    <col customWidth="1" min="19" max="19" width="5.5"/>
    <col customWidth="1" min="20" max="20" width="10.25"/>
    <col customWidth="1" min="21" max="23" width="10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7" t="s">
        <v>18</v>
      </c>
      <c r="T1" s="4" t="s">
        <v>19</v>
      </c>
      <c r="U1" s="4" t="s">
        <v>20</v>
      </c>
      <c r="V1" s="4" t="s">
        <v>21</v>
      </c>
      <c r="W1" s="8" t="s">
        <v>22</v>
      </c>
    </row>
    <row r="2">
      <c r="A2" s="26" t="str">
        <f>IFERROR(__xludf.DUMMYFUNCTION("FILTER('Day Range Raw Data'!B:B,'Day Range Raw Data'!B:B&lt;&gt;""Player"")"),"")</f>
        <v/>
      </c>
      <c r="B2" t="str">
        <f t="array" ref="B2">IFERROR(INDEX('Player Raw Data'!C:C,Match($A2,'Player Raw Data'!$B:$B,0)),"")</f>
        <v/>
      </c>
      <c r="C2" t="str">
        <f t="array" ref="C2">IFERROR(INDEX('Player Raw Data'!D:D,Match($A2,'Player Raw Data'!$B:$B,0)),"")</f>
        <v/>
      </c>
      <c r="D2" t="str">
        <f t="array" ref="D2">IFERROR(IF(A2=A1, INDEX('Player Raw Data'!E:E,Match($A2,'Player Raw Data'!$B:$B,0)+2),INDEX('Player Raw Data'!E:E,Match($A2,'Player Raw Data'!$B:$B,0))),"")</f>
        <v/>
      </c>
      <c r="E2" t="str">
        <f t="array" ref="E2">IFERROR(INDEX('Day Range Raw Data'!D:D,Match($A2,'Day Range Raw Data'!$B:$B,0)),"")</f>
        <v/>
      </c>
      <c r="F2" t="str">
        <f t="array" ref="F2">IFERROR(INDEX('Day Range Raw Data'!F:F,Match($A2,'Day Range Raw Data'!$B:$B,0)),"")</f>
        <v/>
      </c>
      <c r="G2" t="str">
        <f t="array" ref="G2">IFERROR(INDEX('Day Range Raw Data'!G:G,Match($A2,'Day Range Raw Data'!$B:$B,0)),"")</f>
        <v/>
      </c>
      <c r="H2" t="str">
        <f t="array" ref="H2">IFERROR(INDEX('Day Range Raw Data'!H:H,Match($A2,'Day Range Raw Data'!$B:$B,0)),"")</f>
        <v/>
      </c>
      <c r="I2" t="str">
        <f t="array" ref="I2">IFERROR(INDEX('Day Range Raw Data'!M:M,Match($A2,'Day Range Raw Data'!$B:$B,0)),"")</f>
        <v/>
      </c>
      <c r="J2" t="str">
        <f t="array" ref="J2">IFERROR(INDEX('Day Range Raw Data'!N:N,Match($A2,'Day Range Raw Data'!$B:$B,0)),"")</f>
        <v/>
      </c>
      <c r="K2" t="str">
        <f t="array" ref="K2">IFERROR(INDEX('Day Range Raw Data'!R:R,Match($A2,'Day Range Raw Data'!$B:$B,0)),"")</f>
        <v/>
      </c>
      <c r="L2" t="str">
        <f t="array" ref="L2">IFERROR(INDEX('Day Range Raw Data'!S:S,Match($A2,'Day Range Raw Data'!$B:$B,0)),"")</f>
        <v/>
      </c>
      <c r="M2" t="str">
        <f t="array" ref="M2">IFERROR(INDEX('Day Range Raw Data'!T:T,Match($A2,'Day Range Raw Data'!$B:$B,0)),"")</f>
        <v/>
      </c>
      <c r="N2" t="str">
        <f t="array" ref="N2">IFERROR(INDEX('Day Range Raw Data'!U:U,Match($A2,'Day Range Raw Data'!$B:$B,0)),"")</f>
        <v/>
      </c>
      <c r="O2" t="str">
        <f t="array" ref="O2">IFERROR(INDEX('Day Range Raw Data'!V:V,Match($A2,'Day Range Raw Data'!$B:$B,0)),"")</f>
        <v/>
      </c>
      <c r="P2" t="str">
        <f t="array" ref="P2">IFERROR(INDEX('Day Range Raw Data'!X:X,Match($A2,'Day Range Raw Data'!$B:$B,0)),"")</f>
        <v/>
      </c>
      <c r="Q2" t="str">
        <f t="shared" ref="Q2:Q1000" si="1">IF($A2="","",IF(IFERROR(G2-H2+I2-J2+K2+L2+M2+N2-O2+P2,"")=0,0,IFERROR(G2-H2+I2-J2+K2+L2+M2+N2-O2+P2,"")))</f>
        <v/>
      </c>
      <c r="R2" s="9" t="str">
        <f t="shared" ref="R2:R1000" si="2">IF($A2="","",IFERROR(Q2/E2,0))</f>
        <v/>
      </c>
      <c r="S2" s="14" t="str">
        <f t="shared" ref="S2:S1000" si="3">IF($A2="","",IFERROR(Q2/F2,0))</f>
        <v/>
      </c>
      <c r="T2" s="15" t="str">
        <f>IFERROR(__xludf.DUMMYFUNCTION("IF($A2="""","""",IFERROR(PERCENTRANK.INC(FILTER(Q:Q,$F:$F&lt;&gt;""""),Q2)*100,""""))"),"")</f>
        <v/>
      </c>
      <c r="U2" s="15" t="str">
        <f>IFERROR(__xludf.DUMMYFUNCTION("IF($A2="""","""",IFERROR(PERCENTRANK.INC(FILTER(R:R,$F:$F&lt;&gt;""""),R2)*100,""""))"),"")</f>
        <v/>
      </c>
      <c r="V2" s="15" t="str">
        <f>IFERROR(__xludf.DUMMYFUNCTION("IF($A2="""","""",IFERROR(PERCENTRANK.INC(FILTER(S:S,$F:$F&lt;&gt;""""),S2)*100,""""))"),"")</f>
        <v/>
      </c>
      <c r="W2" s="15" t="str">
        <f t="shared" ref="W2:W576" si="4">IF($A2="","",IF($A2="","",(IFERROR((((ABS(B2-32)-B2+32)-(ABS(B2-22)-B2+22))/20*100)*0.64+T2*2+U2*3.86+V2*1.25,""))))</f>
        <v/>
      </c>
    </row>
    <row r="3">
      <c r="B3" t="str">
        <f t="array" ref="B3">IFERROR(INDEX('Player Raw Data'!C:C,Match($A3,'Player Raw Data'!$B:$B,0)),"")</f>
        <v/>
      </c>
      <c r="C3" t="str">
        <f t="array" ref="C3">IFERROR(INDEX('Player Raw Data'!D:D,Match($A3,'Player Raw Data'!$B:$B,0)),"")</f>
        <v/>
      </c>
      <c r="D3" t="str">
        <f t="array" ref="D3">IFERROR(IF(A3=A2, INDEX('Player Raw Data'!E:E,Match($A3,'Player Raw Data'!$B:$B,0)+2),INDEX('Player Raw Data'!E:E,Match($A3,'Player Raw Data'!$B:$B,0))),"")</f>
        <v/>
      </c>
      <c r="E3" t="str">
        <f t="array" ref="E3">IFERROR(INDEX('Day Range Raw Data'!D:D,Match($A3,'Day Range Raw Data'!$B:$B,0)),"")</f>
        <v/>
      </c>
      <c r="F3" t="str">
        <f t="array" ref="F3">IFERROR(INDEX('Day Range Raw Data'!F:F,Match($A3,'Day Range Raw Data'!$B:$B,0)),"")</f>
        <v/>
      </c>
      <c r="G3" t="str">
        <f t="array" ref="G3">IFERROR(INDEX('Day Range Raw Data'!G:G,Match($A3,'Day Range Raw Data'!$B:$B,0)),"")</f>
        <v/>
      </c>
      <c r="H3" t="str">
        <f t="array" ref="H3">IFERROR(INDEX('Day Range Raw Data'!H:H,Match($A3,'Day Range Raw Data'!$B:$B,0)),"")</f>
        <v/>
      </c>
      <c r="I3" t="str">
        <f t="array" ref="I3">IFERROR(INDEX('Day Range Raw Data'!M:M,Match($A3,'Day Range Raw Data'!$B:$B,0)),"")</f>
        <v/>
      </c>
      <c r="J3" t="str">
        <f t="array" ref="J3">IFERROR(INDEX('Day Range Raw Data'!N:N,Match($A3,'Day Range Raw Data'!$B:$B,0)),"")</f>
        <v/>
      </c>
      <c r="K3" t="str">
        <f t="array" ref="K3">IFERROR(INDEX('Day Range Raw Data'!R:R,Match($A3,'Day Range Raw Data'!$B:$B,0)),"")</f>
        <v/>
      </c>
      <c r="L3" t="str">
        <f t="array" ref="L3">IFERROR(INDEX('Day Range Raw Data'!S:S,Match($A3,'Day Range Raw Data'!$B:$B,0)),"")</f>
        <v/>
      </c>
      <c r="M3" t="str">
        <f t="array" ref="M3">IFERROR(INDEX('Day Range Raw Data'!T:T,Match($A3,'Day Range Raw Data'!$B:$B,0)),"")</f>
        <v/>
      </c>
      <c r="N3" t="str">
        <f t="array" ref="N3">IFERROR(INDEX('Day Range Raw Data'!U:U,Match($A3,'Day Range Raw Data'!$B:$B,0)),"")</f>
        <v/>
      </c>
      <c r="O3" t="str">
        <f t="array" ref="O3">IFERROR(INDEX('Day Range Raw Data'!V:V,Match($A3,'Day Range Raw Data'!$B:$B,0)),"")</f>
        <v/>
      </c>
      <c r="P3" t="str">
        <f t="array" ref="P3">IFERROR(INDEX('Day Range Raw Data'!X:X,Match($A3,'Day Range Raw Data'!$B:$B,0)),"")</f>
        <v/>
      </c>
      <c r="Q3" t="str">
        <f t="shared" si="1"/>
        <v/>
      </c>
      <c r="R3" s="9" t="str">
        <f t="shared" si="2"/>
        <v/>
      </c>
      <c r="S3" s="14" t="str">
        <f t="shared" si="3"/>
        <v/>
      </c>
      <c r="T3" s="15" t="str">
        <f>IFERROR(__xludf.DUMMYFUNCTION("IF($A3="""","""",IFERROR(PERCENTRANK.INC(FILTER(Q:Q,$F:$F&lt;&gt;""""),Q3)*100,""""))"),"")</f>
        <v/>
      </c>
      <c r="U3" s="15" t="str">
        <f>IFERROR(__xludf.DUMMYFUNCTION("IF($A3="""","""",IFERROR(PERCENTRANK.INC(FILTER(R:R,$F:$F&lt;&gt;""""),R3)*100,""""))"),"")</f>
        <v/>
      </c>
      <c r="V3" s="15" t="str">
        <f>IFERROR(__xludf.DUMMYFUNCTION("IF($A3="""","""",IFERROR(PERCENTRANK.INC(FILTER(S:S,$F:$F&lt;&gt;""""),S3)*100,""""))"),"")</f>
        <v/>
      </c>
      <c r="W3" s="15" t="str">
        <f t="shared" si="4"/>
        <v/>
      </c>
    </row>
    <row r="4">
      <c r="B4" t="str">
        <f t="array" ref="B4">IFERROR(INDEX('Player Raw Data'!C:C,Match($A4,'Player Raw Data'!$B:$B,0)),"")</f>
        <v/>
      </c>
      <c r="C4" t="str">
        <f t="array" ref="C4">IFERROR(INDEX('Player Raw Data'!D:D,Match($A4,'Player Raw Data'!$B:$B,0)),"")</f>
        <v/>
      </c>
      <c r="D4" t="str">
        <f t="array" ref="D4">IFERROR(IF(A4=A3, INDEX('Player Raw Data'!E:E,Match($A4,'Player Raw Data'!$B:$B,0)+2),INDEX('Player Raw Data'!E:E,Match($A4,'Player Raw Data'!$B:$B,0))),"")</f>
        <v/>
      </c>
      <c r="E4" t="str">
        <f t="array" ref="E4">IFERROR(INDEX('Day Range Raw Data'!D:D,Match($A4,'Day Range Raw Data'!$B:$B,0)),"")</f>
        <v/>
      </c>
      <c r="F4" t="str">
        <f t="array" ref="F4">IFERROR(INDEX('Day Range Raw Data'!F:F,Match($A4,'Day Range Raw Data'!$B:$B,0)),"")</f>
        <v/>
      </c>
      <c r="G4" t="str">
        <f t="array" ref="G4">IFERROR(INDEX('Day Range Raw Data'!G:G,Match($A4,'Day Range Raw Data'!$B:$B,0)),"")</f>
        <v/>
      </c>
      <c r="H4" t="str">
        <f t="array" ref="H4">IFERROR(INDEX('Day Range Raw Data'!H:H,Match($A4,'Day Range Raw Data'!$B:$B,0)),"")</f>
        <v/>
      </c>
      <c r="I4" t="str">
        <f t="array" ref="I4">IFERROR(INDEX('Day Range Raw Data'!M:M,Match($A4,'Day Range Raw Data'!$B:$B,0)),"")</f>
        <v/>
      </c>
      <c r="J4" t="str">
        <f t="array" ref="J4">IFERROR(INDEX('Day Range Raw Data'!N:N,Match($A4,'Day Range Raw Data'!$B:$B,0)),"")</f>
        <v/>
      </c>
      <c r="K4" t="str">
        <f t="array" ref="K4">IFERROR(INDEX('Day Range Raw Data'!R:R,Match($A4,'Day Range Raw Data'!$B:$B,0)),"")</f>
        <v/>
      </c>
      <c r="L4" t="str">
        <f t="array" ref="L4">IFERROR(INDEX('Day Range Raw Data'!S:S,Match($A4,'Day Range Raw Data'!$B:$B,0)),"")</f>
        <v/>
      </c>
      <c r="M4" t="str">
        <f t="array" ref="M4">IFERROR(INDEX('Day Range Raw Data'!T:T,Match($A4,'Day Range Raw Data'!$B:$B,0)),"")</f>
        <v/>
      </c>
      <c r="N4" t="str">
        <f t="array" ref="N4">IFERROR(INDEX('Day Range Raw Data'!U:U,Match($A4,'Day Range Raw Data'!$B:$B,0)),"")</f>
        <v/>
      </c>
      <c r="O4" t="str">
        <f t="array" ref="O4">IFERROR(INDEX('Day Range Raw Data'!V:V,Match($A4,'Day Range Raw Data'!$B:$B,0)),"")</f>
        <v/>
      </c>
      <c r="P4" t="str">
        <f t="array" ref="P4">IFERROR(INDEX('Day Range Raw Data'!X:X,Match($A4,'Day Range Raw Data'!$B:$B,0)),"")</f>
        <v/>
      </c>
      <c r="Q4" t="str">
        <f t="shared" si="1"/>
        <v/>
      </c>
      <c r="R4" s="9" t="str">
        <f t="shared" si="2"/>
        <v/>
      </c>
      <c r="S4" s="14" t="str">
        <f t="shared" si="3"/>
        <v/>
      </c>
      <c r="T4" s="15" t="str">
        <f>IFERROR(__xludf.DUMMYFUNCTION("IF($A4="""","""",IFERROR(PERCENTRANK.INC(FILTER(Q:Q,$F:$F&lt;&gt;""""),Q4)*100,""""))"),"")</f>
        <v/>
      </c>
      <c r="U4" s="15" t="str">
        <f>IFERROR(__xludf.DUMMYFUNCTION("IF($A4="""","""",IFERROR(PERCENTRANK.INC(FILTER(R:R,$F:$F&lt;&gt;""""),R4)*100,""""))"),"")</f>
        <v/>
      </c>
      <c r="V4" s="15" t="str">
        <f>IFERROR(__xludf.DUMMYFUNCTION("IF($A4="""","""",IFERROR(PERCENTRANK.INC(FILTER(S:S,$F:$F&lt;&gt;""""),S4)*100,""""))"),"")</f>
        <v/>
      </c>
      <c r="W4" s="15" t="str">
        <f t="shared" si="4"/>
        <v/>
      </c>
    </row>
    <row r="5">
      <c r="B5" t="str">
        <f t="array" ref="B5">IFERROR(INDEX('Player Raw Data'!C:C,Match($A5,'Player Raw Data'!$B:$B,0)),"")</f>
        <v/>
      </c>
      <c r="C5" t="str">
        <f t="array" ref="C5">IFERROR(INDEX('Player Raw Data'!D:D,Match($A5,'Player Raw Data'!$B:$B,0)),"")</f>
        <v/>
      </c>
      <c r="D5" t="str">
        <f t="array" ref="D5">IFERROR(IF(A5=A4, INDEX('Player Raw Data'!E:E,Match($A5,'Player Raw Data'!$B:$B,0)+2),INDEX('Player Raw Data'!E:E,Match($A5,'Player Raw Data'!$B:$B,0))),"")</f>
        <v/>
      </c>
      <c r="E5" t="str">
        <f t="array" ref="E5">IFERROR(INDEX('Day Range Raw Data'!D:D,Match($A5,'Day Range Raw Data'!$B:$B,0)),"")</f>
        <v/>
      </c>
      <c r="F5" t="str">
        <f t="array" ref="F5">IFERROR(INDEX('Day Range Raw Data'!F:F,Match($A5,'Day Range Raw Data'!$B:$B,0)),"")</f>
        <v/>
      </c>
      <c r="G5" t="str">
        <f t="array" ref="G5">IFERROR(INDEX('Day Range Raw Data'!G:G,Match($A5,'Day Range Raw Data'!$B:$B,0)),"")</f>
        <v/>
      </c>
      <c r="H5" t="str">
        <f t="array" ref="H5">IFERROR(INDEX('Day Range Raw Data'!H:H,Match($A5,'Day Range Raw Data'!$B:$B,0)),"")</f>
        <v/>
      </c>
      <c r="I5" t="str">
        <f t="array" ref="I5">IFERROR(INDEX('Day Range Raw Data'!M:M,Match($A5,'Day Range Raw Data'!$B:$B,0)),"")</f>
        <v/>
      </c>
      <c r="J5" t="str">
        <f t="array" ref="J5">IFERROR(INDEX('Day Range Raw Data'!N:N,Match($A5,'Day Range Raw Data'!$B:$B,0)),"")</f>
        <v/>
      </c>
      <c r="K5" t="str">
        <f t="array" ref="K5">IFERROR(INDEX('Day Range Raw Data'!R:R,Match($A5,'Day Range Raw Data'!$B:$B,0)),"")</f>
        <v/>
      </c>
      <c r="L5" t="str">
        <f t="array" ref="L5">IFERROR(INDEX('Day Range Raw Data'!S:S,Match($A5,'Day Range Raw Data'!$B:$B,0)),"")</f>
        <v/>
      </c>
      <c r="M5" t="str">
        <f t="array" ref="M5">IFERROR(INDEX('Day Range Raw Data'!T:T,Match($A5,'Day Range Raw Data'!$B:$B,0)),"")</f>
        <v/>
      </c>
      <c r="N5" t="str">
        <f t="array" ref="N5">IFERROR(INDEX('Day Range Raw Data'!U:U,Match($A5,'Day Range Raw Data'!$B:$B,0)),"")</f>
        <v/>
      </c>
      <c r="O5" t="str">
        <f t="array" ref="O5">IFERROR(INDEX('Day Range Raw Data'!V:V,Match($A5,'Day Range Raw Data'!$B:$B,0)),"")</f>
        <v/>
      </c>
      <c r="P5" t="str">
        <f t="array" ref="P5">IFERROR(INDEX('Day Range Raw Data'!X:X,Match($A5,'Day Range Raw Data'!$B:$B,0)),"")</f>
        <v/>
      </c>
      <c r="Q5" t="str">
        <f t="shared" si="1"/>
        <v/>
      </c>
      <c r="R5" s="9" t="str">
        <f t="shared" si="2"/>
        <v/>
      </c>
      <c r="S5" s="14" t="str">
        <f t="shared" si="3"/>
        <v/>
      </c>
      <c r="T5" s="15" t="str">
        <f>IFERROR(__xludf.DUMMYFUNCTION("IF($A5="""","""",IFERROR(PERCENTRANK.INC(FILTER(Q:Q,$F:$F&lt;&gt;""""),Q5)*100,""""))"),"")</f>
        <v/>
      </c>
      <c r="U5" s="15" t="str">
        <f>IFERROR(__xludf.DUMMYFUNCTION("IF($A5="""","""",IFERROR(PERCENTRANK.INC(FILTER(R:R,$F:$F&lt;&gt;""""),R5)*100,""""))"),"")</f>
        <v/>
      </c>
      <c r="V5" s="15" t="str">
        <f>IFERROR(__xludf.DUMMYFUNCTION("IF($A5="""","""",IFERROR(PERCENTRANK.INC(FILTER(S:S,$F:$F&lt;&gt;""""),S5)*100,""""))"),"")</f>
        <v/>
      </c>
      <c r="W5" s="15" t="str">
        <f t="shared" si="4"/>
        <v/>
      </c>
    </row>
    <row r="6">
      <c r="B6" t="str">
        <f t="array" ref="B6">IFERROR(INDEX('Player Raw Data'!C:C,Match($A6,'Player Raw Data'!$B:$B,0)),"")</f>
        <v/>
      </c>
      <c r="C6" t="str">
        <f t="array" ref="C6">IFERROR(INDEX('Player Raw Data'!D:D,Match($A6,'Player Raw Data'!$B:$B,0)),"")</f>
        <v/>
      </c>
      <c r="D6" t="str">
        <f t="array" ref="D6">IFERROR(IF(A6=A5, INDEX('Player Raw Data'!E:E,Match($A6,'Player Raw Data'!$B:$B,0)+2),INDEX('Player Raw Data'!E:E,Match($A6,'Player Raw Data'!$B:$B,0))),"")</f>
        <v/>
      </c>
      <c r="E6" t="str">
        <f t="array" ref="E6">IFERROR(INDEX('Day Range Raw Data'!D:D,Match($A6,'Day Range Raw Data'!$B:$B,0)),"")</f>
        <v/>
      </c>
      <c r="F6" t="str">
        <f t="array" ref="F6">IFERROR(INDEX('Day Range Raw Data'!F:F,Match($A6,'Day Range Raw Data'!$B:$B,0)),"")</f>
        <v/>
      </c>
      <c r="G6" t="str">
        <f t="array" ref="G6">IFERROR(INDEX('Day Range Raw Data'!G:G,Match($A6,'Day Range Raw Data'!$B:$B,0)),"")</f>
        <v/>
      </c>
      <c r="H6" t="str">
        <f t="array" ref="H6">IFERROR(INDEX('Day Range Raw Data'!H:H,Match($A6,'Day Range Raw Data'!$B:$B,0)),"")</f>
        <v/>
      </c>
      <c r="I6" t="str">
        <f t="array" ref="I6">IFERROR(INDEX('Day Range Raw Data'!M:M,Match($A6,'Day Range Raw Data'!$B:$B,0)),"")</f>
        <v/>
      </c>
      <c r="J6" t="str">
        <f t="array" ref="J6">IFERROR(INDEX('Day Range Raw Data'!N:N,Match($A6,'Day Range Raw Data'!$B:$B,0)),"")</f>
        <v/>
      </c>
      <c r="K6" t="str">
        <f t="array" ref="K6">IFERROR(INDEX('Day Range Raw Data'!R:R,Match($A6,'Day Range Raw Data'!$B:$B,0)),"")</f>
        <v/>
      </c>
      <c r="L6" t="str">
        <f t="array" ref="L6">IFERROR(INDEX('Day Range Raw Data'!S:S,Match($A6,'Day Range Raw Data'!$B:$B,0)),"")</f>
        <v/>
      </c>
      <c r="M6" t="str">
        <f t="array" ref="M6">IFERROR(INDEX('Day Range Raw Data'!T:T,Match($A6,'Day Range Raw Data'!$B:$B,0)),"")</f>
        <v/>
      </c>
      <c r="N6" t="str">
        <f t="array" ref="N6">IFERROR(INDEX('Day Range Raw Data'!U:U,Match($A6,'Day Range Raw Data'!$B:$B,0)),"")</f>
        <v/>
      </c>
      <c r="O6" t="str">
        <f t="array" ref="O6">IFERROR(INDEX('Day Range Raw Data'!V:V,Match($A6,'Day Range Raw Data'!$B:$B,0)),"")</f>
        <v/>
      </c>
      <c r="P6" t="str">
        <f t="array" ref="P6">IFERROR(INDEX('Day Range Raw Data'!X:X,Match($A6,'Day Range Raw Data'!$B:$B,0)),"")</f>
        <v/>
      </c>
      <c r="Q6" t="str">
        <f t="shared" si="1"/>
        <v/>
      </c>
      <c r="R6" s="9" t="str">
        <f t="shared" si="2"/>
        <v/>
      </c>
      <c r="S6" s="14" t="str">
        <f t="shared" si="3"/>
        <v/>
      </c>
      <c r="T6" s="15" t="str">
        <f>IFERROR(__xludf.DUMMYFUNCTION("IF($A6="""","""",IFERROR(PERCENTRANK.INC(FILTER(Q:Q,$F:$F&lt;&gt;""""),Q6)*100,""""))"),"")</f>
        <v/>
      </c>
      <c r="U6" s="15" t="str">
        <f>IFERROR(__xludf.DUMMYFUNCTION("IF($A6="""","""",IFERROR(PERCENTRANK.INC(FILTER(R:R,$F:$F&lt;&gt;""""),R6)*100,""""))"),"")</f>
        <v/>
      </c>
      <c r="V6" s="15" t="str">
        <f>IFERROR(__xludf.DUMMYFUNCTION("IF($A6="""","""",IFERROR(PERCENTRANK.INC(FILTER(S:S,$F:$F&lt;&gt;""""),S6)*100,""""))"),"")</f>
        <v/>
      </c>
      <c r="W6" s="15" t="str">
        <f t="shared" si="4"/>
        <v/>
      </c>
    </row>
    <row r="7">
      <c r="B7" t="str">
        <f t="array" ref="B7">IFERROR(INDEX('Player Raw Data'!C:C,Match($A7,'Player Raw Data'!$B:$B,0)),"")</f>
        <v/>
      </c>
      <c r="C7" t="str">
        <f t="array" ref="C7">IFERROR(INDEX('Player Raw Data'!D:D,Match($A7,'Player Raw Data'!$B:$B,0)),"")</f>
        <v/>
      </c>
      <c r="D7" t="str">
        <f t="array" ref="D7">IFERROR(IF(A7=A6, INDEX('Player Raw Data'!E:E,Match($A7,'Player Raw Data'!$B:$B,0)+2),INDEX('Player Raw Data'!E:E,Match($A7,'Player Raw Data'!$B:$B,0))),"")</f>
        <v/>
      </c>
      <c r="E7" t="str">
        <f t="array" ref="E7">IFERROR(INDEX('Day Range Raw Data'!D:D,Match($A7,'Day Range Raw Data'!$B:$B,0)),"")</f>
        <v/>
      </c>
      <c r="F7" t="str">
        <f t="array" ref="F7">IFERROR(INDEX('Day Range Raw Data'!F:F,Match($A7,'Day Range Raw Data'!$B:$B,0)),"")</f>
        <v/>
      </c>
      <c r="G7" t="str">
        <f t="array" ref="G7">IFERROR(INDEX('Day Range Raw Data'!G:G,Match($A7,'Day Range Raw Data'!$B:$B,0)),"")</f>
        <v/>
      </c>
      <c r="H7" t="str">
        <f t="array" ref="H7">IFERROR(INDEX('Day Range Raw Data'!H:H,Match($A7,'Day Range Raw Data'!$B:$B,0)),"")</f>
        <v/>
      </c>
      <c r="I7" t="str">
        <f t="array" ref="I7">IFERROR(INDEX('Day Range Raw Data'!M:M,Match($A7,'Day Range Raw Data'!$B:$B,0)),"")</f>
        <v/>
      </c>
      <c r="J7" t="str">
        <f t="array" ref="J7">IFERROR(INDEX('Day Range Raw Data'!N:N,Match($A7,'Day Range Raw Data'!$B:$B,0)),"")</f>
        <v/>
      </c>
      <c r="K7" t="str">
        <f t="array" ref="K7">IFERROR(INDEX('Day Range Raw Data'!R:R,Match($A7,'Day Range Raw Data'!$B:$B,0)),"")</f>
        <v/>
      </c>
      <c r="L7" t="str">
        <f t="array" ref="L7">IFERROR(INDEX('Day Range Raw Data'!S:S,Match($A7,'Day Range Raw Data'!$B:$B,0)),"")</f>
        <v/>
      </c>
      <c r="M7" t="str">
        <f t="array" ref="M7">IFERROR(INDEX('Day Range Raw Data'!T:T,Match($A7,'Day Range Raw Data'!$B:$B,0)),"")</f>
        <v/>
      </c>
      <c r="N7" t="str">
        <f t="array" ref="N7">IFERROR(INDEX('Day Range Raw Data'!U:U,Match($A7,'Day Range Raw Data'!$B:$B,0)),"")</f>
        <v/>
      </c>
      <c r="O7" t="str">
        <f t="array" ref="O7">IFERROR(INDEX('Day Range Raw Data'!V:V,Match($A7,'Day Range Raw Data'!$B:$B,0)),"")</f>
        <v/>
      </c>
      <c r="P7" t="str">
        <f t="array" ref="P7">IFERROR(INDEX('Day Range Raw Data'!X:X,Match($A7,'Day Range Raw Data'!$B:$B,0)),"")</f>
        <v/>
      </c>
      <c r="Q7" t="str">
        <f t="shared" si="1"/>
        <v/>
      </c>
      <c r="R7" s="9" t="str">
        <f t="shared" si="2"/>
        <v/>
      </c>
      <c r="S7" s="14" t="str">
        <f t="shared" si="3"/>
        <v/>
      </c>
      <c r="T7" s="15" t="str">
        <f>IFERROR(__xludf.DUMMYFUNCTION("IF($A7="""","""",IFERROR(PERCENTRANK.INC(FILTER(Q:Q,$F:$F&lt;&gt;""""),Q7)*100,""""))"),"")</f>
        <v/>
      </c>
      <c r="U7" s="15" t="str">
        <f>IFERROR(__xludf.DUMMYFUNCTION("IF($A7="""","""",IFERROR(PERCENTRANK.INC(FILTER(R:R,$F:$F&lt;&gt;""""),R7)*100,""""))"),"")</f>
        <v/>
      </c>
      <c r="V7" s="15" t="str">
        <f>IFERROR(__xludf.DUMMYFUNCTION("IF($A7="""","""",IFERROR(PERCENTRANK.INC(FILTER(S:S,$F:$F&lt;&gt;""""),S7)*100,""""))"),"")</f>
        <v/>
      </c>
      <c r="W7" s="15" t="str">
        <f t="shared" si="4"/>
        <v/>
      </c>
    </row>
    <row r="8">
      <c r="B8" t="str">
        <f t="array" ref="B8">IFERROR(INDEX('Player Raw Data'!C:C,Match($A8,'Player Raw Data'!$B:$B,0)),"")</f>
        <v/>
      </c>
      <c r="C8" t="str">
        <f t="array" ref="C8">IFERROR(INDEX('Player Raw Data'!D:D,Match($A8,'Player Raw Data'!$B:$B,0)),"")</f>
        <v/>
      </c>
      <c r="D8" t="str">
        <f t="array" ref="D8">IFERROR(IF(A8=A7, INDEX('Player Raw Data'!E:E,Match($A8,'Player Raw Data'!$B:$B,0)+2),INDEX('Player Raw Data'!E:E,Match($A8,'Player Raw Data'!$B:$B,0))),"")</f>
        <v/>
      </c>
      <c r="E8" t="str">
        <f t="array" ref="E8">IFERROR(INDEX('Day Range Raw Data'!D:D,Match($A8,'Day Range Raw Data'!$B:$B,0)),"")</f>
        <v/>
      </c>
      <c r="F8" t="str">
        <f t="array" ref="F8">IFERROR(INDEX('Day Range Raw Data'!F:F,Match($A8,'Day Range Raw Data'!$B:$B,0)),"")</f>
        <v/>
      </c>
      <c r="G8" t="str">
        <f t="array" ref="G8">IFERROR(INDEX('Day Range Raw Data'!G:G,Match($A8,'Day Range Raw Data'!$B:$B,0)),"")</f>
        <v/>
      </c>
      <c r="H8" t="str">
        <f t="array" ref="H8">IFERROR(INDEX('Day Range Raw Data'!H:H,Match($A8,'Day Range Raw Data'!$B:$B,0)),"")</f>
        <v/>
      </c>
      <c r="I8" t="str">
        <f t="array" ref="I8">IFERROR(INDEX('Day Range Raw Data'!M:M,Match($A8,'Day Range Raw Data'!$B:$B,0)),"")</f>
        <v/>
      </c>
      <c r="J8" t="str">
        <f t="array" ref="J8">IFERROR(INDEX('Day Range Raw Data'!N:N,Match($A8,'Day Range Raw Data'!$B:$B,0)),"")</f>
        <v/>
      </c>
      <c r="K8" t="str">
        <f t="array" ref="K8">IFERROR(INDEX('Day Range Raw Data'!R:R,Match($A8,'Day Range Raw Data'!$B:$B,0)),"")</f>
        <v/>
      </c>
      <c r="L8" t="str">
        <f t="array" ref="L8">IFERROR(INDEX('Day Range Raw Data'!S:S,Match($A8,'Day Range Raw Data'!$B:$B,0)),"")</f>
        <v/>
      </c>
      <c r="M8" t="str">
        <f t="array" ref="M8">IFERROR(INDEX('Day Range Raw Data'!T:T,Match($A8,'Day Range Raw Data'!$B:$B,0)),"")</f>
        <v/>
      </c>
      <c r="N8" t="str">
        <f t="array" ref="N8">IFERROR(INDEX('Day Range Raw Data'!U:U,Match($A8,'Day Range Raw Data'!$B:$B,0)),"")</f>
        <v/>
      </c>
      <c r="O8" t="str">
        <f t="array" ref="O8">IFERROR(INDEX('Day Range Raw Data'!V:V,Match($A8,'Day Range Raw Data'!$B:$B,0)),"")</f>
        <v/>
      </c>
      <c r="P8" t="str">
        <f t="array" ref="P8">IFERROR(INDEX('Day Range Raw Data'!X:X,Match($A8,'Day Range Raw Data'!$B:$B,0)),"")</f>
        <v/>
      </c>
      <c r="Q8" t="str">
        <f t="shared" si="1"/>
        <v/>
      </c>
      <c r="R8" s="9" t="str">
        <f t="shared" si="2"/>
        <v/>
      </c>
      <c r="S8" s="14" t="str">
        <f t="shared" si="3"/>
        <v/>
      </c>
      <c r="T8" s="15" t="str">
        <f>IFERROR(__xludf.DUMMYFUNCTION("IF($A8="""","""",IFERROR(PERCENTRANK.INC(FILTER(Q:Q,$F:$F&lt;&gt;""""),Q8)*100,""""))"),"")</f>
        <v/>
      </c>
      <c r="U8" s="15" t="str">
        <f>IFERROR(__xludf.DUMMYFUNCTION("IF($A8="""","""",IFERROR(PERCENTRANK.INC(FILTER(R:R,$F:$F&lt;&gt;""""),R8)*100,""""))"),"")</f>
        <v/>
      </c>
      <c r="V8" s="15" t="str">
        <f>IFERROR(__xludf.DUMMYFUNCTION("IF($A8="""","""",IFERROR(PERCENTRANK.INC(FILTER(S:S,$F:$F&lt;&gt;""""),S8)*100,""""))"),"")</f>
        <v/>
      </c>
      <c r="W8" s="15" t="str">
        <f t="shared" si="4"/>
        <v/>
      </c>
    </row>
    <row r="9">
      <c r="B9" t="str">
        <f t="array" ref="B9">IFERROR(INDEX('Player Raw Data'!C:C,Match($A9,'Player Raw Data'!$B:$B,0)),"")</f>
        <v/>
      </c>
      <c r="C9" t="str">
        <f t="array" ref="C9">IFERROR(INDEX('Player Raw Data'!D:D,Match($A9,'Player Raw Data'!$B:$B,0)),"")</f>
        <v/>
      </c>
      <c r="D9" t="str">
        <f t="array" ref="D9">IFERROR(IF(A9=A8, INDEX('Player Raw Data'!E:E,Match($A9,'Player Raw Data'!$B:$B,0)+2),INDEX('Player Raw Data'!E:E,Match($A9,'Player Raw Data'!$B:$B,0))),"")</f>
        <v/>
      </c>
      <c r="E9" t="str">
        <f t="array" ref="E9">IFERROR(INDEX('Day Range Raw Data'!D:D,Match($A9,'Day Range Raw Data'!$B:$B,0)),"")</f>
        <v/>
      </c>
      <c r="F9" t="str">
        <f t="array" ref="F9">IFERROR(INDEX('Day Range Raw Data'!F:F,Match($A9,'Day Range Raw Data'!$B:$B,0)),"")</f>
        <v/>
      </c>
      <c r="G9" t="str">
        <f t="array" ref="G9">IFERROR(INDEX('Day Range Raw Data'!G:G,Match($A9,'Day Range Raw Data'!$B:$B,0)),"")</f>
        <v/>
      </c>
      <c r="H9" t="str">
        <f t="array" ref="H9">IFERROR(INDEX('Day Range Raw Data'!H:H,Match($A9,'Day Range Raw Data'!$B:$B,0)),"")</f>
        <v/>
      </c>
      <c r="I9" t="str">
        <f t="array" ref="I9">IFERROR(INDEX('Day Range Raw Data'!M:M,Match($A9,'Day Range Raw Data'!$B:$B,0)),"")</f>
        <v/>
      </c>
      <c r="J9" t="str">
        <f t="array" ref="J9">IFERROR(INDEX('Day Range Raw Data'!N:N,Match($A9,'Day Range Raw Data'!$B:$B,0)),"")</f>
        <v/>
      </c>
      <c r="K9" t="str">
        <f t="array" ref="K9">IFERROR(INDEX('Day Range Raw Data'!R:R,Match($A9,'Day Range Raw Data'!$B:$B,0)),"")</f>
        <v/>
      </c>
      <c r="L9" t="str">
        <f t="array" ref="L9">IFERROR(INDEX('Day Range Raw Data'!S:S,Match($A9,'Day Range Raw Data'!$B:$B,0)),"")</f>
        <v/>
      </c>
      <c r="M9" t="str">
        <f t="array" ref="M9">IFERROR(INDEX('Day Range Raw Data'!T:T,Match($A9,'Day Range Raw Data'!$B:$B,0)),"")</f>
        <v/>
      </c>
      <c r="N9" t="str">
        <f t="array" ref="N9">IFERROR(INDEX('Day Range Raw Data'!U:U,Match($A9,'Day Range Raw Data'!$B:$B,0)),"")</f>
        <v/>
      </c>
      <c r="O9" t="str">
        <f t="array" ref="O9">IFERROR(INDEX('Day Range Raw Data'!V:V,Match($A9,'Day Range Raw Data'!$B:$B,0)),"")</f>
        <v/>
      </c>
      <c r="P9" t="str">
        <f t="array" ref="P9">IFERROR(INDEX('Day Range Raw Data'!X:X,Match($A9,'Day Range Raw Data'!$B:$B,0)),"")</f>
        <v/>
      </c>
      <c r="Q9" t="str">
        <f t="shared" si="1"/>
        <v/>
      </c>
      <c r="R9" s="9" t="str">
        <f t="shared" si="2"/>
        <v/>
      </c>
      <c r="S9" s="14" t="str">
        <f t="shared" si="3"/>
        <v/>
      </c>
      <c r="T9" s="15" t="str">
        <f>IFERROR(__xludf.DUMMYFUNCTION("IF($A9="""","""",IFERROR(PERCENTRANK.INC(FILTER(Q:Q,$F:$F&lt;&gt;""""),Q9)*100,""""))"),"")</f>
        <v/>
      </c>
      <c r="U9" s="15" t="str">
        <f>IFERROR(__xludf.DUMMYFUNCTION("IF($A9="""","""",IFERROR(PERCENTRANK.INC(FILTER(R:R,$F:$F&lt;&gt;""""),R9)*100,""""))"),"")</f>
        <v/>
      </c>
      <c r="V9" s="15" t="str">
        <f>IFERROR(__xludf.DUMMYFUNCTION("IF($A9="""","""",IFERROR(PERCENTRANK.INC(FILTER(S:S,$F:$F&lt;&gt;""""),S9)*100,""""))"),"")</f>
        <v/>
      </c>
      <c r="W9" s="15" t="str">
        <f t="shared" si="4"/>
        <v/>
      </c>
    </row>
    <row r="10">
      <c r="B10" t="str">
        <f t="array" ref="B10">IFERROR(INDEX('Player Raw Data'!C:C,Match($A10,'Player Raw Data'!$B:$B,0)),"")</f>
        <v/>
      </c>
      <c r="C10" t="str">
        <f t="array" ref="C10">IFERROR(INDEX('Player Raw Data'!D:D,Match($A10,'Player Raw Data'!$B:$B,0)),"")</f>
        <v/>
      </c>
      <c r="D10" t="str">
        <f t="array" ref="D10">IFERROR(IF(A10=A9, INDEX('Player Raw Data'!E:E,Match($A10,'Player Raw Data'!$B:$B,0)+2),INDEX('Player Raw Data'!E:E,Match($A10,'Player Raw Data'!$B:$B,0))),"")</f>
        <v/>
      </c>
      <c r="E10" t="str">
        <f t="array" ref="E10">IFERROR(INDEX('Day Range Raw Data'!D:D,Match($A10,'Day Range Raw Data'!$B:$B,0)),"")</f>
        <v/>
      </c>
      <c r="F10" t="str">
        <f t="array" ref="F10">IFERROR(INDEX('Day Range Raw Data'!F:F,Match($A10,'Day Range Raw Data'!$B:$B,0)),"")</f>
        <v/>
      </c>
      <c r="G10" t="str">
        <f t="array" ref="G10">IFERROR(INDEX('Day Range Raw Data'!G:G,Match($A10,'Day Range Raw Data'!$B:$B,0)),"")</f>
        <v/>
      </c>
      <c r="H10" t="str">
        <f t="array" ref="H10">IFERROR(INDEX('Day Range Raw Data'!H:H,Match($A10,'Day Range Raw Data'!$B:$B,0)),"")</f>
        <v/>
      </c>
      <c r="I10" t="str">
        <f t="array" ref="I10">IFERROR(INDEX('Day Range Raw Data'!M:M,Match($A10,'Day Range Raw Data'!$B:$B,0)),"")</f>
        <v/>
      </c>
      <c r="J10" t="str">
        <f t="array" ref="J10">IFERROR(INDEX('Day Range Raw Data'!N:N,Match($A10,'Day Range Raw Data'!$B:$B,0)),"")</f>
        <v/>
      </c>
      <c r="K10" t="str">
        <f t="array" ref="K10">IFERROR(INDEX('Day Range Raw Data'!R:R,Match($A10,'Day Range Raw Data'!$B:$B,0)),"")</f>
        <v/>
      </c>
      <c r="L10" t="str">
        <f t="array" ref="L10">IFERROR(INDEX('Day Range Raw Data'!S:S,Match($A10,'Day Range Raw Data'!$B:$B,0)),"")</f>
        <v/>
      </c>
      <c r="M10" t="str">
        <f t="array" ref="M10">IFERROR(INDEX('Day Range Raw Data'!T:T,Match($A10,'Day Range Raw Data'!$B:$B,0)),"")</f>
        <v/>
      </c>
      <c r="N10" t="str">
        <f t="array" ref="N10">IFERROR(INDEX('Day Range Raw Data'!U:U,Match($A10,'Day Range Raw Data'!$B:$B,0)),"")</f>
        <v/>
      </c>
      <c r="O10" t="str">
        <f t="array" ref="O10">IFERROR(INDEX('Day Range Raw Data'!V:V,Match($A10,'Day Range Raw Data'!$B:$B,0)),"")</f>
        <v/>
      </c>
      <c r="P10" t="str">
        <f t="array" ref="P10">IFERROR(INDEX('Day Range Raw Data'!X:X,Match($A10,'Day Range Raw Data'!$B:$B,0)),"")</f>
        <v/>
      </c>
      <c r="Q10" t="str">
        <f t="shared" si="1"/>
        <v/>
      </c>
      <c r="R10" s="9" t="str">
        <f t="shared" si="2"/>
        <v/>
      </c>
      <c r="S10" s="14" t="str">
        <f t="shared" si="3"/>
        <v/>
      </c>
      <c r="T10" s="15" t="str">
        <f>IFERROR(__xludf.DUMMYFUNCTION("IF($A10="""","""",IFERROR(PERCENTRANK.INC(FILTER(Q:Q,$F:$F&lt;&gt;""""),Q10)*100,""""))"),"")</f>
        <v/>
      </c>
      <c r="U10" s="15" t="str">
        <f>IFERROR(__xludf.DUMMYFUNCTION("IF($A10="""","""",IFERROR(PERCENTRANK.INC(FILTER(R:R,$F:$F&lt;&gt;""""),R10)*100,""""))"),"")</f>
        <v/>
      </c>
      <c r="V10" s="15" t="str">
        <f>IFERROR(__xludf.DUMMYFUNCTION("IF($A10="""","""",IFERROR(PERCENTRANK.INC(FILTER(S:S,$F:$F&lt;&gt;""""),S10)*100,""""))"),"")</f>
        <v/>
      </c>
      <c r="W10" s="15" t="str">
        <f t="shared" si="4"/>
        <v/>
      </c>
    </row>
    <row r="11">
      <c r="B11" t="str">
        <f t="array" ref="B11">IFERROR(INDEX('Player Raw Data'!C:C,Match($A11,'Player Raw Data'!$B:$B,0)),"")</f>
        <v/>
      </c>
      <c r="C11" t="str">
        <f t="array" ref="C11">IFERROR(INDEX('Player Raw Data'!D:D,Match($A11,'Player Raw Data'!$B:$B,0)),"")</f>
        <v/>
      </c>
      <c r="D11" t="str">
        <f t="array" ref="D11">IFERROR(IF(A11=A10, INDEX('Player Raw Data'!E:E,Match($A11,'Player Raw Data'!$B:$B,0)+2),INDEX('Player Raw Data'!E:E,Match($A11,'Player Raw Data'!$B:$B,0))),"")</f>
        <v/>
      </c>
      <c r="E11" t="str">
        <f t="array" ref="E11">IFERROR(INDEX('Day Range Raw Data'!D:D,Match($A11,'Day Range Raw Data'!$B:$B,0)),"")</f>
        <v/>
      </c>
      <c r="F11" t="str">
        <f t="array" ref="F11">IFERROR(INDEX('Day Range Raw Data'!F:F,Match($A11,'Day Range Raw Data'!$B:$B,0)),"")</f>
        <v/>
      </c>
      <c r="G11" t="str">
        <f t="array" ref="G11">IFERROR(INDEX('Day Range Raw Data'!G:G,Match($A11,'Day Range Raw Data'!$B:$B,0)),"")</f>
        <v/>
      </c>
      <c r="H11" t="str">
        <f t="array" ref="H11">IFERROR(INDEX('Day Range Raw Data'!H:H,Match($A11,'Day Range Raw Data'!$B:$B,0)),"")</f>
        <v/>
      </c>
      <c r="I11" t="str">
        <f t="array" ref="I11">IFERROR(INDEX('Day Range Raw Data'!M:M,Match($A11,'Day Range Raw Data'!$B:$B,0)),"")</f>
        <v/>
      </c>
      <c r="J11" t="str">
        <f t="array" ref="J11">IFERROR(INDEX('Day Range Raw Data'!N:N,Match($A11,'Day Range Raw Data'!$B:$B,0)),"")</f>
        <v/>
      </c>
      <c r="K11" t="str">
        <f t="array" ref="K11">IFERROR(INDEX('Day Range Raw Data'!R:R,Match($A11,'Day Range Raw Data'!$B:$B,0)),"")</f>
        <v/>
      </c>
      <c r="L11" t="str">
        <f t="array" ref="L11">IFERROR(INDEX('Day Range Raw Data'!S:S,Match($A11,'Day Range Raw Data'!$B:$B,0)),"")</f>
        <v/>
      </c>
      <c r="M11" t="str">
        <f t="array" ref="M11">IFERROR(INDEX('Day Range Raw Data'!T:T,Match($A11,'Day Range Raw Data'!$B:$B,0)),"")</f>
        <v/>
      </c>
      <c r="N11" t="str">
        <f t="array" ref="N11">IFERROR(INDEX('Day Range Raw Data'!U:U,Match($A11,'Day Range Raw Data'!$B:$B,0)),"")</f>
        <v/>
      </c>
      <c r="O11" t="str">
        <f t="array" ref="O11">IFERROR(INDEX('Day Range Raw Data'!V:V,Match($A11,'Day Range Raw Data'!$B:$B,0)),"")</f>
        <v/>
      </c>
      <c r="P11" t="str">
        <f t="array" ref="P11">IFERROR(INDEX('Day Range Raw Data'!X:X,Match($A11,'Day Range Raw Data'!$B:$B,0)),"")</f>
        <v/>
      </c>
      <c r="Q11" t="str">
        <f t="shared" si="1"/>
        <v/>
      </c>
      <c r="R11" s="9" t="str">
        <f t="shared" si="2"/>
        <v/>
      </c>
      <c r="S11" s="14" t="str">
        <f t="shared" si="3"/>
        <v/>
      </c>
      <c r="T11" s="15" t="str">
        <f>IFERROR(__xludf.DUMMYFUNCTION("IF($A11="""","""",IFERROR(PERCENTRANK.INC(FILTER(Q:Q,$F:$F&lt;&gt;""""),Q11)*100,""""))"),"")</f>
        <v/>
      </c>
      <c r="U11" s="15" t="str">
        <f>IFERROR(__xludf.DUMMYFUNCTION("IF($A11="""","""",IFERROR(PERCENTRANK.INC(FILTER(R:R,$F:$F&lt;&gt;""""),R11)*100,""""))"),"")</f>
        <v/>
      </c>
      <c r="V11" s="15" t="str">
        <f>IFERROR(__xludf.DUMMYFUNCTION("IF($A11="""","""",IFERROR(PERCENTRANK.INC(FILTER(S:S,$F:$F&lt;&gt;""""),S11)*100,""""))"),"")</f>
        <v/>
      </c>
      <c r="W11" s="15" t="str">
        <f t="shared" si="4"/>
        <v/>
      </c>
    </row>
    <row r="12">
      <c r="B12" t="str">
        <f t="array" ref="B12">IFERROR(INDEX('Player Raw Data'!C:C,Match($A12,'Player Raw Data'!$B:$B,0)),"")</f>
        <v/>
      </c>
      <c r="C12" t="str">
        <f t="array" ref="C12">IFERROR(INDEX('Player Raw Data'!D:D,Match($A12,'Player Raw Data'!$B:$B,0)),"")</f>
        <v/>
      </c>
      <c r="D12" t="str">
        <f t="array" ref="D12">IFERROR(IF(A12=A11, INDEX('Player Raw Data'!E:E,Match($A12,'Player Raw Data'!$B:$B,0)+2),INDEX('Player Raw Data'!E:E,Match($A12,'Player Raw Data'!$B:$B,0))),"")</f>
        <v/>
      </c>
      <c r="E12" t="str">
        <f t="array" ref="E12">IFERROR(INDEX('Day Range Raw Data'!D:D,Match($A12,'Day Range Raw Data'!$B:$B,0)),"")</f>
        <v/>
      </c>
      <c r="F12" t="str">
        <f t="array" ref="F12">IFERROR(INDEX('Day Range Raw Data'!F:F,Match($A12,'Day Range Raw Data'!$B:$B,0)),"")</f>
        <v/>
      </c>
      <c r="G12" t="str">
        <f t="array" ref="G12">IFERROR(INDEX('Day Range Raw Data'!G:G,Match($A12,'Day Range Raw Data'!$B:$B,0)),"")</f>
        <v/>
      </c>
      <c r="H12" t="str">
        <f t="array" ref="H12">IFERROR(INDEX('Day Range Raw Data'!H:H,Match($A12,'Day Range Raw Data'!$B:$B,0)),"")</f>
        <v/>
      </c>
      <c r="I12" t="str">
        <f t="array" ref="I12">IFERROR(INDEX('Day Range Raw Data'!M:M,Match($A12,'Day Range Raw Data'!$B:$B,0)),"")</f>
        <v/>
      </c>
      <c r="J12" t="str">
        <f t="array" ref="J12">IFERROR(INDEX('Day Range Raw Data'!N:N,Match($A12,'Day Range Raw Data'!$B:$B,0)),"")</f>
        <v/>
      </c>
      <c r="K12" t="str">
        <f t="array" ref="K12">IFERROR(INDEX('Day Range Raw Data'!R:R,Match($A12,'Day Range Raw Data'!$B:$B,0)),"")</f>
        <v/>
      </c>
      <c r="L12" t="str">
        <f t="array" ref="L12">IFERROR(INDEX('Day Range Raw Data'!S:S,Match($A12,'Day Range Raw Data'!$B:$B,0)),"")</f>
        <v/>
      </c>
      <c r="M12" t="str">
        <f t="array" ref="M12">IFERROR(INDEX('Day Range Raw Data'!T:T,Match($A12,'Day Range Raw Data'!$B:$B,0)),"")</f>
        <v/>
      </c>
      <c r="N12" t="str">
        <f t="array" ref="N12">IFERROR(INDEX('Day Range Raw Data'!U:U,Match($A12,'Day Range Raw Data'!$B:$B,0)),"")</f>
        <v/>
      </c>
      <c r="O12" t="str">
        <f t="array" ref="O12">IFERROR(INDEX('Day Range Raw Data'!V:V,Match($A12,'Day Range Raw Data'!$B:$B,0)),"")</f>
        <v/>
      </c>
      <c r="P12" t="str">
        <f t="array" ref="P12">IFERROR(INDEX('Day Range Raw Data'!X:X,Match($A12,'Day Range Raw Data'!$B:$B,0)),"")</f>
        <v/>
      </c>
      <c r="Q12" t="str">
        <f t="shared" si="1"/>
        <v/>
      </c>
      <c r="R12" s="9" t="str">
        <f t="shared" si="2"/>
        <v/>
      </c>
      <c r="S12" s="14" t="str">
        <f t="shared" si="3"/>
        <v/>
      </c>
      <c r="T12" s="15" t="str">
        <f>IFERROR(__xludf.DUMMYFUNCTION("IF($A12="""","""",IFERROR(PERCENTRANK.INC(FILTER(Q:Q,$F:$F&lt;&gt;""""),Q12)*100,""""))"),"")</f>
        <v/>
      </c>
      <c r="U12" s="15" t="str">
        <f>IFERROR(__xludf.DUMMYFUNCTION("IF($A12="""","""",IFERROR(PERCENTRANK.INC(FILTER(R:R,$F:$F&lt;&gt;""""),R12)*100,""""))"),"")</f>
        <v/>
      </c>
      <c r="V12" s="15" t="str">
        <f>IFERROR(__xludf.DUMMYFUNCTION("IF($A12="""","""",IFERROR(PERCENTRANK.INC(FILTER(S:S,$F:$F&lt;&gt;""""),S12)*100,""""))"),"")</f>
        <v/>
      </c>
      <c r="W12" s="15" t="str">
        <f t="shared" si="4"/>
        <v/>
      </c>
    </row>
    <row r="13">
      <c r="B13" t="str">
        <f t="array" ref="B13">IFERROR(INDEX('Player Raw Data'!C:C,Match($A13,'Player Raw Data'!$B:$B,0)),"")</f>
        <v/>
      </c>
      <c r="C13" t="str">
        <f t="array" ref="C13">IFERROR(INDEX('Player Raw Data'!D:D,Match($A13,'Player Raw Data'!$B:$B,0)),"")</f>
        <v/>
      </c>
      <c r="D13" t="str">
        <f t="array" ref="D13">IFERROR(IF(A13=A12, INDEX('Player Raw Data'!E:E,Match($A13,'Player Raw Data'!$B:$B,0)+2),INDEX('Player Raw Data'!E:E,Match($A13,'Player Raw Data'!$B:$B,0))),"")</f>
        <v/>
      </c>
      <c r="E13" t="str">
        <f t="array" ref="E13">IFERROR(INDEX('Day Range Raw Data'!D:D,Match($A13,'Day Range Raw Data'!$B:$B,0)),"")</f>
        <v/>
      </c>
      <c r="F13" t="str">
        <f t="array" ref="F13">IFERROR(INDEX('Day Range Raw Data'!F:F,Match($A13,'Day Range Raw Data'!$B:$B,0)),"")</f>
        <v/>
      </c>
      <c r="G13" t="str">
        <f t="array" ref="G13">IFERROR(INDEX('Day Range Raw Data'!G:G,Match($A13,'Day Range Raw Data'!$B:$B,0)),"")</f>
        <v/>
      </c>
      <c r="H13" t="str">
        <f t="array" ref="H13">IFERROR(INDEX('Day Range Raw Data'!H:H,Match($A13,'Day Range Raw Data'!$B:$B,0)),"")</f>
        <v/>
      </c>
      <c r="I13" t="str">
        <f t="array" ref="I13">IFERROR(INDEX('Day Range Raw Data'!M:M,Match($A13,'Day Range Raw Data'!$B:$B,0)),"")</f>
        <v/>
      </c>
      <c r="J13" t="str">
        <f t="array" ref="J13">IFERROR(INDEX('Day Range Raw Data'!N:N,Match($A13,'Day Range Raw Data'!$B:$B,0)),"")</f>
        <v/>
      </c>
      <c r="K13" t="str">
        <f t="array" ref="K13">IFERROR(INDEX('Day Range Raw Data'!R:R,Match($A13,'Day Range Raw Data'!$B:$B,0)),"")</f>
        <v/>
      </c>
      <c r="L13" t="str">
        <f t="array" ref="L13">IFERROR(INDEX('Day Range Raw Data'!S:S,Match($A13,'Day Range Raw Data'!$B:$B,0)),"")</f>
        <v/>
      </c>
      <c r="M13" t="str">
        <f t="array" ref="M13">IFERROR(INDEX('Day Range Raw Data'!T:T,Match($A13,'Day Range Raw Data'!$B:$B,0)),"")</f>
        <v/>
      </c>
      <c r="N13" t="str">
        <f t="array" ref="N13">IFERROR(INDEX('Day Range Raw Data'!U:U,Match($A13,'Day Range Raw Data'!$B:$B,0)),"")</f>
        <v/>
      </c>
      <c r="O13" t="str">
        <f t="array" ref="O13">IFERROR(INDEX('Day Range Raw Data'!V:V,Match($A13,'Day Range Raw Data'!$B:$B,0)),"")</f>
        <v/>
      </c>
      <c r="P13" t="str">
        <f t="array" ref="P13">IFERROR(INDEX('Day Range Raw Data'!X:X,Match($A13,'Day Range Raw Data'!$B:$B,0)),"")</f>
        <v/>
      </c>
      <c r="Q13" t="str">
        <f t="shared" si="1"/>
        <v/>
      </c>
      <c r="R13" s="9" t="str">
        <f t="shared" si="2"/>
        <v/>
      </c>
      <c r="S13" s="14" t="str">
        <f t="shared" si="3"/>
        <v/>
      </c>
      <c r="T13" s="15" t="str">
        <f>IFERROR(__xludf.DUMMYFUNCTION("IF($A13="""","""",IFERROR(PERCENTRANK.INC(FILTER(Q:Q,$F:$F&lt;&gt;""""),Q13)*100,""""))"),"")</f>
        <v/>
      </c>
      <c r="U13" s="15" t="str">
        <f>IFERROR(__xludf.DUMMYFUNCTION("IF($A13="""","""",IFERROR(PERCENTRANK.INC(FILTER(R:R,$F:$F&lt;&gt;""""),R13)*100,""""))"),"")</f>
        <v/>
      </c>
      <c r="V13" s="15" t="str">
        <f>IFERROR(__xludf.DUMMYFUNCTION("IF($A13="""","""",IFERROR(PERCENTRANK.INC(FILTER(S:S,$F:$F&lt;&gt;""""),S13)*100,""""))"),"")</f>
        <v/>
      </c>
      <c r="W13" s="15" t="str">
        <f t="shared" si="4"/>
        <v/>
      </c>
    </row>
    <row r="14">
      <c r="B14" t="str">
        <f t="array" ref="B14">IFERROR(INDEX('Player Raw Data'!C:C,Match($A14,'Player Raw Data'!$B:$B,0)),"")</f>
        <v/>
      </c>
      <c r="C14" t="str">
        <f t="array" ref="C14">IFERROR(INDEX('Player Raw Data'!D:D,Match($A14,'Player Raw Data'!$B:$B,0)),"")</f>
        <v/>
      </c>
      <c r="D14" t="str">
        <f t="array" ref="D14">IFERROR(IF(A14=A13, INDEX('Player Raw Data'!E:E,Match($A14,'Player Raw Data'!$B:$B,0)+2),INDEX('Player Raw Data'!E:E,Match($A14,'Player Raw Data'!$B:$B,0))),"")</f>
        <v/>
      </c>
      <c r="E14" t="str">
        <f t="array" ref="E14">IFERROR(INDEX('Day Range Raw Data'!D:D,Match($A14,'Day Range Raw Data'!$B:$B,0)),"")</f>
        <v/>
      </c>
      <c r="F14" t="str">
        <f t="array" ref="F14">IFERROR(INDEX('Day Range Raw Data'!F:F,Match($A14,'Day Range Raw Data'!$B:$B,0)),"")</f>
        <v/>
      </c>
      <c r="G14" t="str">
        <f t="array" ref="G14">IFERROR(INDEX('Day Range Raw Data'!G:G,Match($A14,'Day Range Raw Data'!$B:$B,0)),"")</f>
        <v/>
      </c>
      <c r="H14" t="str">
        <f t="array" ref="H14">IFERROR(INDEX('Day Range Raw Data'!H:H,Match($A14,'Day Range Raw Data'!$B:$B,0)),"")</f>
        <v/>
      </c>
      <c r="I14" t="str">
        <f t="array" ref="I14">IFERROR(INDEX('Day Range Raw Data'!M:M,Match($A14,'Day Range Raw Data'!$B:$B,0)),"")</f>
        <v/>
      </c>
      <c r="J14" t="str">
        <f t="array" ref="J14">IFERROR(INDEX('Day Range Raw Data'!N:N,Match($A14,'Day Range Raw Data'!$B:$B,0)),"")</f>
        <v/>
      </c>
      <c r="K14" t="str">
        <f t="array" ref="K14">IFERROR(INDEX('Day Range Raw Data'!R:R,Match($A14,'Day Range Raw Data'!$B:$B,0)),"")</f>
        <v/>
      </c>
      <c r="L14" t="str">
        <f t="array" ref="L14">IFERROR(INDEX('Day Range Raw Data'!S:S,Match($A14,'Day Range Raw Data'!$B:$B,0)),"")</f>
        <v/>
      </c>
      <c r="M14" t="str">
        <f t="array" ref="M14">IFERROR(INDEX('Day Range Raw Data'!T:T,Match($A14,'Day Range Raw Data'!$B:$B,0)),"")</f>
        <v/>
      </c>
      <c r="N14" t="str">
        <f t="array" ref="N14">IFERROR(INDEX('Day Range Raw Data'!U:U,Match($A14,'Day Range Raw Data'!$B:$B,0)),"")</f>
        <v/>
      </c>
      <c r="O14" t="str">
        <f t="array" ref="O14">IFERROR(INDEX('Day Range Raw Data'!V:V,Match($A14,'Day Range Raw Data'!$B:$B,0)),"")</f>
        <v/>
      </c>
      <c r="P14" t="str">
        <f t="array" ref="P14">IFERROR(INDEX('Day Range Raw Data'!X:X,Match($A14,'Day Range Raw Data'!$B:$B,0)),"")</f>
        <v/>
      </c>
      <c r="Q14" t="str">
        <f t="shared" si="1"/>
        <v/>
      </c>
      <c r="R14" s="9" t="str">
        <f t="shared" si="2"/>
        <v/>
      </c>
      <c r="S14" s="14" t="str">
        <f t="shared" si="3"/>
        <v/>
      </c>
      <c r="T14" s="15" t="str">
        <f>IFERROR(__xludf.DUMMYFUNCTION("IF($A14="""","""",IFERROR(PERCENTRANK.INC(FILTER(Q:Q,$F:$F&lt;&gt;""""),Q14)*100,""""))"),"")</f>
        <v/>
      </c>
      <c r="U14" s="15" t="str">
        <f>IFERROR(__xludf.DUMMYFUNCTION("IF($A14="""","""",IFERROR(PERCENTRANK.INC(FILTER(R:R,$F:$F&lt;&gt;""""),R14)*100,""""))"),"")</f>
        <v/>
      </c>
      <c r="V14" s="15" t="str">
        <f>IFERROR(__xludf.DUMMYFUNCTION("IF($A14="""","""",IFERROR(PERCENTRANK.INC(FILTER(S:S,$F:$F&lt;&gt;""""),S14)*100,""""))"),"")</f>
        <v/>
      </c>
      <c r="W14" s="15" t="str">
        <f t="shared" si="4"/>
        <v/>
      </c>
    </row>
    <row r="15">
      <c r="B15" t="str">
        <f t="array" ref="B15">IFERROR(INDEX('Player Raw Data'!C:C,Match($A15,'Player Raw Data'!$B:$B,0)),"")</f>
        <v/>
      </c>
      <c r="C15" t="str">
        <f t="array" ref="C15">IFERROR(INDEX('Player Raw Data'!D:D,Match($A15,'Player Raw Data'!$B:$B,0)),"")</f>
        <v/>
      </c>
      <c r="D15" t="str">
        <f t="array" ref="D15">IFERROR(IF(A15=A14, INDEX('Player Raw Data'!E:E,Match($A15,'Player Raw Data'!$B:$B,0)+2),INDEX('Player Raw Data'!E:E,Match($A15,'Player Raw Data'!$B:$B,0))),"")</f>
        <v/>
      </c>
      <c r="E15" t="str">
        <f t="array" ref="E15">IFERROR(INDEX('Day Range Raw Data'!D:D,Match($A15,'Day Range Raw Data'!$B:$B,0)),"")</f>
        <v/>
      </c>
      <c r="F15" t="str">
        <f t="array" ref="F15">IFERROR(INDEX('Day Range Raw Data'!F:F,Match($A15,'Day Range Raw Data'!$B:$B,0)),"")</f>
        <v/>
      </c>
      <c r="G15" t="str">
        <f t="array" ref="G15">IFERROR(INDEX('Day Range Raw Data'!G:G,Match($A15,'Day Range Raw Data'!$B:$B,0)),"")</f>
        <v/>
      </c>
      <c r="H15" t="str">
        <f t="array" ref="H15">IFERROR(INDEX('Day Range Raw Data'!H:H,Match($A15,'Day Range Raw Data'!$B:$B,0)),"")</f>
        <v/>
      </c>
      <c r="I15" t="str">
        <f t="array" ref="I15">IFERROR(INDEX('Day Range Raw Data'!M:M,Match($A15,'Day Range Raw Data'!$B:$B,0)),"")</f>
        <v/>
      </c>
      <c r="J15" t="str">
        <f t="array" ref="J15">IFERROR(INDEX('Day Range Raw Data'!N:N,Match($A15,'Day Range Raw Data'!$B:$B,0)),"")</f>
        <v/>
      </c>
      <c r="K15" t="str">
        <f t="array" ref="K15">IFERROR(INDEX('Day Range Raw Data'!R:R,Match($A15,'Day Range Raw Data'!$B:$B,0)),"")</f>
        <v/>
      </c>
      <c r="L15" t="str">
        <f t="array" ref="L15">IFERROR(INDEX('Day Range Raw Data'!S:S,Match($A15,'Day Range Raw Data'!$B:$B,0)),"")</f>
        <v/>
      </c>
      <c r="M15" t="str">
        <f t="array" ref="M15">IFERROR(INDEX('Day Range Raw Data'!T:T,Match($A15,'Day Range Raw Data'!$B:$B,0)),"")</f>
        <v/>
      </c>
      <c r="N15" t="str">
        <f t="array" ref="N15">IFERROR(INDEX('Day Range Raw Data'!U:U,Match($A15,'Day Range Raw Data'!$B:$B,0)),"")</f>
        <v/>
      </c>
      <c r="O15" t="str">
        <f t="array" ref="O15">IFERROR(INDEX('Day Range Raw Data'!V:V,Match($A15,'Day Range Raw Data'!$B:$B,0)),"")</f>
        <v/>
      </c>
      <c r="P15" t="str">
        <f t="array" ref="P15">IFERROR(INDEX('Day Range Raw Data'!X:X,Match($A15,'Day Range Raw Data'!$B:$B,0)),"")</f>
        <v/>
      </c>
      <c r="Q15" t="str">
        <f t="shared" si="1"/>
        <v/>
      </c>
      <c r="R15" s="9" t="str">
        <f t="shared" si="2"/>
        <v/>
      </c>
      <c r="S15" s="14" t="str">
        <f t="shared" si="3"/>
        <v/>
      </c>
      <c r="T15" s="15" t="str">
        <f>IFERROR(__xludf.DUMMYFUNCTION("IF($A15="""","""",IFERROR(PERCENTRANK.INC(FILTER(Q:Q,$F:$F&lt;&gt;""""),Q15)*100,""""))"),"")</f>
        <v/>
      </c>
      <c r="U15" s="15" t="str">
        <f>IFERROR(__xludf.DUMMYFUNCTION("IF($A15="""","""",IFERROR(PERCENTRANK.INC(FILTER(R:R,$F:$F&lt;&gt;""""),R15)*100,""""))"),"")</f>
        <v/>
      </c>
      <c r="V15" s="15" t="str">
        <f>IFERROR(__xludf.DUMMYFUNCTION("IF($A15="""","""",IFERROR(PERCENTRANK.INC(FILTER(S:S,$F:$F&lt;&gt;""""),S15)*100,""""))"),"")</f>
        <v/>
      </c>
      <c r="W15" s="15" t="str">
        <f t="shared" si="4"/>
        <v/>
      </c>
    </row>
    <row r="16">
      <c r="B16" t="str">
        <f t="array" ref="B16">IFERROR(INDEX('Player Raw Data'!C:C,Match($A16,'Player Raw Data'!$B:$B,0)),"")</f>
        <v/>
      </c>
      <c r="C16" t="str">
        <f t="array" ref="C16">IFERROR(INDEX('Player Raw Data'!D:D,Match($A16,'Player Raw Data'!$B:$B,0)),"")</f>
        <v/>
      </c>
      <c r="D16" t="str">
        <f t="array" ref="D16">IFERROR(IF(A16=A15, INDEX('Player Raw Data'!E:E,Match($A16,'Player Raw Data'!$B:$B,0)+2),INDEX('Player Raw Data'!E:E,Match($A16,'Player Raw Data'!$B:$B,0))),"")</f>
        <v/>
      </c>
      <c r="E16" t="str">
        <f t="array" ref="E16">IFERROR(INDEX('Day Range Raw Data'!D:D,Match($A16,'Day Range Raw Data'!$B:$B,0)),"")</f>
        <v/>
      </c>
      <c r="F16" t="str">
        <f t="array" ref="F16">IFERROR(INDEX('Day Range Raw Data'!F:F,Match($A16,'Day Range Raw Data'!$B:$B,0)),"")</f>
        <v/>
      </c>
      <c r="G16" t="str">
        <f t="array" ref="G16">IFERROR(INDEX('Day Range Raw Data'!G:G,Match($A16,'Day Range Raw Data'!$B:$B,0)),"")</f>
        <v/>
      </c>
      <c r="H16" t="str">
        <f t="array" ref="H16">IFERROR(INDEX('Day Range Raw Data'!H:H,Match($A16,'Day Range Raw Data'!$B:$B,0)),"")</f>
        <v/>
      </c>
      <c r="I16" t="str">
        <f t="array" ref="I16">IFERROR(INDEX('Day Range Raw Data'!M:M,Match($A16,'Day Range Raw Data'!$B:$B,0)),"")</f>
        <v/>
      </c>
      <c r="J16" t="str">
        <f t="array" ref="J16">IFERROR(INDEX('Day Range Raw Data'!N:N,Match($A16,'Day Range Raw Data'!$B:$B,0)),"")</f>
        <v/>
      </c>
      <c r="K16" t="str">
        <f t="array" ref="K16">IFERROR(INDEX('Day Range Raw Data'!R:R,Match($A16,'Day Range Raw Data'!$B:$B,0)),"")</f>
        <v/>
      </c>
      <c r="L16" t="str">
        <f t="array" ref="L16">IFERROR(INDEX('Day Range Raw Data'!S:S,Match($A16,'Day Range Raw Data'!$B:$B,0)),"")</f>
        <v/>
      </c>
      <c r="M16" t="str">
        <f t="array" ref="M16">IFERROR(INDEX('Day Range Raw Data'!T:T,Match($A16,'Day Range Raw Data'!$B:$B,0)),"")</f>
        <v/>
      </c>
      <c r="N16" t="str">
        <f t="array" ref="N16">IFERROR(INDEX('Day Range Raw Data'!U:U,Match($A16,'Day Range Raw Data'!$B:$B,0)),"")</f>
        <v/>
      </c>
      <c r="O16" t="str">
        <f t="array" ref="O16">IFERROR(INDEX('Day Range Raw Data'!V:V,Match($A16,'Day Range Raw Data'!$B:$B,0)),"")</f>
        <v/>
      </c>
      <c r="P16" t="str">
        <f t="array" ref="P16">IFERROR(INDEX('Day Range Raw Data'!X:X,Match($A16,'Day Range Raw Data'!$B:$B,0)),"")</f>
        <v/>
      </c>
      <c r="Q16" t="str">
        <f t="shared" si="1"/>
        <v/>
      </c>
      <c r="R16" s="9" t="str">
        <f t="shared" si="2"/>
        <v/>
      </c>
      <c r="S16" s="14" t="str">
        <f t="shared" si="3"/>
        <v/>
      </c>
      <c r="T16" s="15" t="str">
        <f>IFERROR(__xludf.DUMMYFUNCTION("IF($A16="""","""",IFERROR(PERCENTRANK.INC(FILTER(Q:Q,$F:$F&lt;&gt;""""),Q16)*100,""""))"),"")</f>
        <v/>
      </c>
      <c r="U16" s="15" t="str">
        <f>IFERROR(__xludf.DUMMYFUNCTION("IF($A16="""","""",IFERROR(PERCENTRANK.INC(FILTER(R:R,$F:$F&lt;&gt;""""),R16)*100,""""))"),"")</f>
        <v/>
      </c>
      <c r="V16" s="15" t="str">
        <f>IFERROR(__xludf.DUMMYFUNCTION("IF($A16="""","""",IFERROR(PERCENTRANK.INC(FILTER(S:S,$F:$F&lt;&gt;""""),S16)*100,""""))"),"")</f>
        <v/>
      </c>
      <c r="W16" s="15" t="str">
        <f t="shared" si="4"/>
        <v/>
      </c>
    </row>
    <row r="17">
      <c r="B17" t="str">
        <f t="array" ref="B17">IFERROR(INDEX('Player Raw Data'!C:C,Match($A17,'Player Raw Data'!$B:$B,0)),"")</f>
        <v/>
      </c>
      <c r="C17" t="str">
        <f t="array" ref="C17">IFERROR(INDEX('Player Raw Data'!D:D,Match($A17,'Player Raw Data'!$B:$B,0)),"")</f>
        <v/>
      </c>
      <c r="D17" t="str">
        <f t="array" ref="D17">IFERROR(IF(A17=A16, INDEX('Player Raw Data'!E:E,Match($A17,'Player Raw Data'!$B:$B,0)+2),INDEX('Player Raw Data'!E:E,Match($A17,'Player Raw Data'!$B:$B,0))),"")</f>
        <v/>
      </c>
      <c r="E17" t="str">
        <f t="array" ref="E17">IFERROR(INDEX('Day Range Raw Data'!D:D,Match($A17,'Day Range Raw Data'!$B:$B,0)),"")</f>
        <v/>
      </c>
      <c r="F17" t="str">
        <f t="array" ref="F17">IFERROR(INDEX('Day Range Raw Data'!F:F,Match($A17,'Day Range Raw Data'!$B:$B,0)),"")</f>
        <v/>
      </c>
      <c r="G17" t="str">
        <f t="array" ref="G17">IFERROR(INDEX('Day Range Raw Data'!G:G,Match($A17,'Day Range Raw Data'!$B:$B,0)),"")</f>
        <v/>
      </c>
      <c r="H17" t="str">
        <f t="array" ref="H17">IFERROR(INDEX('Day Range Raw Data'!H:H,Match($A17,'Day Range Raw Data'!$B:$B,0)),"")</f>
        <v/>
      </c>
      <c r="I17" t="str">
        <f t="array" ref="I17">IFERROR(INDEX('Day Range Raw Data'!M:M,Match($A17,'Day Range Raw Data'!$B:$B,0)),"")</f>
        <v/>
      </c>
      <c r="J17" t="str">
        <f t="array" ref="J17">IFERROR(INDEX('Day Range Raw Data'!N:N,Match($A17,'Day Range Raw Data'!$B:$B,0)),"")</f>
        <v/>
      </c>
      <c r="K17" t="str">
        <f t="array" ref="K17">IFERROR(INDEX('Day Range Raw Data'!R:R,Match($A17,'Day Range Raw Data'!$B:$B,0)),"")</f>
        <v/>
      </c>
      <c r="L17" t="str">
        <f t="array" ref="L17">IFERROR(INDEX('Day Range Raw Data'!S:S,Match($A17,'Day Range Raw Data'!$B:$B,0)),"")</f>
        <v/>
      </c>
      <c r="M17" t="str">
        <f t="array" ref="M17">IFERROR(INDEX('Day Range Raw Data'!T:T,Match($A17,'Day Range Raw Data'!$B:$B,0)),"")</f>
        <v/>
      </c>
      <c r="N17" t="str">
        <f t="array" ref="N17">IFERROR(INDEX('Day Range Raw Data'!U:U,Match($A17,'Day Range Raw Data'!$B:$B,0)),"")</f>
        <v/>
      </c>
      <c r="O17" t="str">
        <f t="array" ref="O17">IFERROR(INDEX('Day Range Raw Data'!V:V,Match($A17,'Day Range Raw Data'!$B:$B,0)),"")</f>
        <v/>
      </c>
      <c r="P17" t="str">
        <f t="array" ref="P17">IFERROR(INDEX('Day Range Raw Data'!X:X,Match($A17,'Day Range Raw Data'!$B:$B,0)),"")</f>
        <v/>
      </c>
      <c r="Q17" t="str">
        <f t="shared" si="1"/>
        <v/>
      </c>
      <c r="R17" s="9" t="str">
        <f t="shared" si="2"/>
        <v/>
      </c>
      <c r="S17" s="14" t="str">
        <f t="shared" si="3"/>
        <v/>
      </c>
      <c r="T17" s="15" t="str">
        <f>IFERROR(__xludf.DUMMYFUNCTION("IF($A17="""","""",IFERROR(PERCENTRANK.INC(FILTER(Q:Q,$F:$F&lt;&gt;""""),Q17)*100,""""))"),"")</f>
        <v/>
      </c>
      <c r="U17" s="15" t="str">
        <f>IFERROR(__xludf.DUMMYFUNCTION("IF($A17="""","""",IFERROR(PERCENTRANK.INC(FILTER(R:R,$F:$F&lt;&gt;""""),R17)*100,""""))"),"")</f>
        <v/>
      </c>
      <c r="V17" s="15" t="str">
        <f>IFERROR(__xludf.DUMMYFUNCTION("IF($A17="""","""",IFERROR(PERCENTRANK.INC(FILTER(S:S,$F:$F&lt;&gt;""""),S17)*100,""""))"),"")</f>
        <v/>
      </c>
      <c r="W17" s="15" t="str">
        <f t="shared" si="4"/>
        <v/>
      </c>
    </row>
    <row r="18">
      <c r="B18" t="str">
        <f t="array" ref="B18">IFERROR(INDEX('Player Raw Data'!C:C,Match($A18,'Player Raw Data'!$B:$B,0)),"")</f>
        <v/>
      </c>
      <c r="C18" t="str">
        <f t="array" ref="C18">IFERROR(INDEX('Player Raw Data'!D:D,Match($A18,'Player Raw Data'!$B:$B,0)),"")</f>
        <v/>
      </c>
      <c r="D18" t="str">
        <f t="array" ref="D18">IFERROR(IF(A18=A17, INDEX('Player Raw Data'!E:E,Match($A18,'Player Raw Data'!$B:$B,0)+2),INDEX('Player Raw Data'!E:E,Match($A18,'Player Raw Data'!$B:$B,0))),"")</f>
        <v/>
      </c>
      <c r="E18" t="str">
        <f t="array" ref="E18">IFERROR(INDEX('Day Range Raw Data'!D:D,Match($A18,'Day Range Raw Data'!$B:$B,0)),"")</f>
        <v/>
      </c>
      <c r="F18" t="str">
        <f t="array" ref="F18">IFERROR(INDEX('Day Range Raw Data'!F:F,Match($A18,'Day Range Raw Data'!$B:$B,0)),"")</f>
        <v/>
      </c>
      <c r="G18" t="str">
        <f t="array" ref="G18">IFERROR(INDEX('Day Range Raw Data'!G:G,Match($A18,'Day Range Raw Data'!$B:$B,0)),"")</f>
        <v/>
      </c>
      <c r="H18" t="str">
        <f t="array" ref="H18">IFERROR(INDEX('Day Range Raw Data'!H:H,Match($A18,'Day Range Raw Data'!$B:$B,0)),"")</f>
        <v/>
      </c>
      <c r="I18" t="str">
        <f t="array" ref="I18">IFERROR(INDEX('Day Range Raw Data'!M:M,Match($A18,'Day Range Raw Data'!$B:$B,0)),"")</f>
        <v/>
      </c>
      <c r="J18" t="str">
        <f t="array" ref="J18">IFERROR(INDEX('Day Range Raw Data'!N:N,Match($A18,'Day Range Raw Data'!$B:$B,0)),"")</f>
        <v/>
      </c>
      <c r="K18" t="str">
        <f t="array" ref="K18">IFERROR(INDEX('Day Range Raw Data'!R:R,Match($A18,'Day Range Raw Data'!$B:$B,0)),"")</f>
        <v/>
      </c>
      <c r="L18" t="str">
        <f t="array" ref="L18">IFERROR(INDEX('Day Range Raw Data'!S:S,Match($A18,'Day Range Raw Data'!$B:$B,0)),"")</f>
        <v/>
      </c>
      <c r="M18" t="str">
        <f t="array" ref="M18">IFERROR(INDEX('Day Range Raw Data'!T:T,Match($A18,'Day Range Raw Data'!$B:$B,0)),"")</f>
        <v/>
      </c>
      <c r="N18" t="str">
        <f t="array" ref="N18">IFERROR(INDEX('Day Range Raw Data'!U:U,Match($A18,'Day Range Raw Data'!$B:$B,0)),"")</f>
        <v/>
      </c>
      <c r="O18" t="str">
        <f t="array" ref="O18">IFERROR(INDEX('Day Range Raw Data'!V:V,Match($A18,'Day Range Raw Data'!$B:$B,0)),"")</f>
        <v/>
      </c>
      <c r="P18" t="str">
        <f t="array" ref="P18">IFERROR(INDEX('Day Range Raw Data'!X:X,Match($A18,'Day Range Raw Data'!$B:$B,0)),"")</f>
        <v/>
      </c>
      <c r="Q18" t="str">
        <f t="shared" si="1"/>
        <v/>
      </c>
      <c r="R18" s="9" t="str">
        <f t="shared" si="2"/>
        <v/>
      </c>
      <c r="S18" s="14" t="str">
        <f t="shared" si="3"/>
        <v/>
      </c>
      <c r="T18" s="15" t="str">
        <f>IFERROR(__xludf.DUMMYFUNCTION("IF($A18="""","""",IFERROR(PERCENTRANK.INC(FILTER(Q:Q,$F:$F&lt;&gt;""""),Q18)*100,""""))"),"")</f>
        <v/>
      </c>
      <c r="U18" s="15" t="str">
        <f>IFERROR(__xludf.DUMMYFUNCTION("IF($A18="""","""",IFERROR(PERCENTRANK.INC(FILTER(R:R,$F:$F&lt;&gt;""""),R18)*100,""""))"),"")</f>
        <v/>
      </c>
      <c r="V18" s="15" t="str">
        <f>IFERROR(__xludf.DUMMYFUNCTION("IF($A18="""","""",IFERROR(PERCENTRANK.INC(FILTER(S:S,$F:$F&lt;&gt;""""),S18)*100,""""))"),"")</f>
        <v/>
      </c>
      <c r="W18" s="15" t="str">
        <f t="shared" si="4"/>
        <v/>
      </c>
    </row>
    <row r="19">
      <c r="B19" t="str">
        <f t="array" ref="B19">IFERROR(INDEX('Player Raw Data'!C:C,Match($A19,'Player Raw Data'!$B:$B,0)),"")</f>
        <v/>
      </c>
      <c r="C19" t="str">
        <f t="array" ref="C19">IFERROR(INDEX('Player Raw Data'!D:D,Match($A19,'Player Raw Data'!$B:$B,0)),"")</f>
        <v/>
      </c>
      <c r="D19" t="str">
        <f t="array" ref="D19">IFERROR(IF(A19=A18, INDEX('Player Raw Data'!E:E,Match($A19,'Player Raw Data'!$B:$B,0)+2),INDEX('Player Raw Data'!E:E,Match($A19,'Player Raw Data'!$B:$B,0))),"")</f>
        <v/>
      </c>
      <c r="E19" t="str">
        <f t="array" ref="E19">IFERROR(INDEX('Day Range Raw Data'!D:D,Match($A19,'Day Range Raw Data'!$B:$B,0)),"")</f>
        <v/>
      </c>
      <c r="F19" t="str">
        <f t="array" ref="F19">IFERROR(INDEX('Day Range Raw Data'!F:F,Match($A19,'Day Range Raw Data'!$B:$B,0)),"")</f>
        <v/>
      </c>
      <c r="G19" t="str">
        <f t="array" ref="G19">IFERROR(INDEX('Day Range Raw Data'!G:G,Match($A19,'Day Range Raw Data'!$B:$B,0)),"")</f>
        <v/>
      </c>
      <c r="H19" t="str">
        <f t="array" ref="H19">IFERROR(INDEX('Day Range Raw Data'!H:H,Match($A19,'Day Range Raw Data'!$B:$B,0)),"")</f>
        <v/>
      </c>
      <c r="I19" t="str">
        <f t="array" ref="I19">IFERROR(INDEX('Day Range Raw Data'!M:M,Match($A19,'Day Range Raw Data'!$B:$B,0)),"")</f>
        <v/>
      </c>
      <c r="J19" t="str">
        <f t="array" ref="J19">IFERROR(INDEX('Day Range Raw Data'!N:N,Match($A19,'Day Range Raw Data'!$B:$B,0)),"")</f>
        <v/>
      </c>
      <c r="K19" t="str">
        <f t="array" ref="K19">IFERROR(INDEX('Day Range Raw Data'!R:R,Match($A19,'Day Range Raw Data'!$B:$B,0)),"")</f>
        <v/>
      </c>
      <c r="L19" t="str">
        <f t="array" ref="L19">IFERROR(INDEX('Day Range Raw Data'!S:S,Match($A19,'Day Range Raw Data'!$B:$B,0)),"")</f>
        <v/>
      </c>
      <c r="M19" t="str">
        <f t="array" ref="M19">IFERROR(INDEX('Day Range Raw Data'!T:T,Match($A19,'Day Range Raw Data'!$B:$B,0)),"")</f>
        <v/>
      </c>
      <c r="N19" t="str">
        <f t="array" ref="N19">IFERROR(INDEX('Day Range Raw Data'!U:U,Match($A19,'Day Range Raw Data'!$B:$B,0)),"")</f>
        <v/>
      </c>
      <c r="O19" t="str">
        <f t="array" ref="O19">IFERROR(INDEX('Day Range Raw Data'!V:V,Match($A19,'Day Range Raw Data'!$B:$B,0)),"")</f>
        <v/>
      </c>
      <c r="P19" t="str">
        <f t="array" ref="P19">IFERROR(INDEX('Day Range Raw Data'!X:X,Match($A19,'Day Range Raw Data'!$B:$B,0)),"")</f>
        <v/>
      </c>
      <c r="Q19" t="str">
        <f t="shared" si="1"/>
        <v/>
      </c>
      <c r="R19" s="9" t="str">
        <f t="shared" si="2"/>
        <v/>
      </c>
      <c r="S19" s="14" t="str">
        <f t="shared" si="3"/>
        <v/>
      </c>
      <c r="T19" s="15" t="str">
        <f>IFERROR(__xludf.DUMMYFUNCTION("IF($A19="""","""",IFERROR(PERCENTRANK.INC(FILTER(Q:Q,$F:$F&lt;&gt;""""),Q19)*100,""""))"),"")</f>
        <v/>
      </c>
      <c r="U19" s="15" t="str">
        <f>IFERROR(__xludf.DUMMYFUNCTION("IF($A19="""","""",IFERROR(PERCENTRANK.INC(FILTER(R:R,$F:$F&lt;&gt;""""),R19)*100,""""))"),"")</f>
        <v/>
      </c>
      <c r="V19" s="15" t="str">
        <f>IFERROR(__xludf.DUMMYFUNCTION("IF($A19="""","""",IFERROR(PERCENTRANK.INC(FILTER(S:S,$F:$F&lt;&gt;""""),S19)*100,""""))"),"")</f>
        <v/>
      </c>
      <c r="W19" s="15" t="str">
        <f t="shared" si="4"/>
        <v/>
      </c>
    </row>
    <row r="20">
      <c r="B20" t="str">
        <f t="array" ref="B20">IFERROR(INDEX('Player Raw Data'!C:C,Match($A20,'Player Raw Data'!$B:$B,0)),"")</f>
        <v/>
      </c>
      <c r="C20" t="str">
        <f t="array" ref="C20">IFERROR(INDEX('Player Raw Data'!D:D,Match($A20,'Player Raw Data'!$B:$B,0)),"")</f>
        <v/>
      </c>
      <c r="D20" t="str">
        <f t="array" ref="D20">IFERROR(IF(A20=A19, INDEX('Player Raw Data'!E:E,Match($A20,'Player Raw Data'!$B:$B,0)+2),INDEX('Player Raw Data'!E:E,Match($A20,'Player Raw Data'!$B:$B,0))),"")</f>
        <v/>
      </c>
      <c r="E20" t="str">
        <f t="array" ref="E20">IFERROR(INDEX('Day Range Raw Data'!D:D,Match($A20,'Day Range Raw Data'!$B:$B,0)),"")</f>
        <v/>
      </c>
      <c r="F20" t="str">
        <f t="array" ref="F20">IFERROR(INDEX('Day Range Raw Data'!F:F,Match($A20,'Day Range Raw Data'!$B:$B,0)),"")</f>
        <v/>
      </c>
      <c r="G20" t="str">
        <f t="array" ref="G20">IFERROR(INDEX('Day Range Raw Data'!G:G,Match($A20,'Day Range Raw Data'!$B:$B,0)),"")</f>
        <v/>
      </c>
      <c r="H20" t="str">
        <f t="array" ref="H20">IFERROR(INDEX('Day Range Raw Data'!H:H,Match($A20,'Day Range Raw Data'!$B:$B,0)),"")</f>
        <v/>
      </c>
      <c r="I20" t="str">
        <f t="array" ref="I20">IFERROR(INDEX('Day Range Raw Data'!M:M,Match($A20,'Day Range Raw Data'!$B:$B,0)),"")</f>
        <v/>
      </c>
      <c r="J20" t="str">
        <f t="array" ref="J20">IFERROR(INDEX('Day Range Raw Data'!N:N,Match($A20,'Day Range Raw Data'!$B:$B,0)),"")</f>
        <v/>
      </c>
      <c r="K20" t="str">
        <f t="array" ref="K20">IFERROR(INDEX('Day Range Raw Data'!R:R,Match($A20,'Day Range Raw Data'!$B:$B,0)),"")</f>
        <v/>
      </c>
      <c r="L20" t="str">
        <f t="array" ref="L20">IFERROR(INDEX('Day Range Raw Data'!S:S,Match($A20,'Day Range Raw Data'!$B:$B,0)),"")</f>
        <v/>
      </c>
      <c r="M20" t="str">
        <f t="array" ref="M20">IFERROR(INDEX('Day Range Raw Data'!T:T,Match($A20,'Day Range Raw Data'!$B:$B,0)),"")</f>
        <v/>
      </c>
      <c r="N20" t="str">
        <f t="array" ref="N20">IFERROR(INDEX('Day Range Raw Data'!U:U,Match($A20,'Day Range Raw Data'!$B:$B,0)),"")</f>
        <v/>
      </c>
      <c r="O20" t="str">
        <f t="array" ref="O20">IFERROR(INDEX('Day Range Raw Data'!V:V,Match($A20,'Day Range Raw Data'!$B:$B,0)),"")</f>
        <v/>
      </c>
      <c r="P20" t="str">
        <f t="array" ref="P20">IFERROR(INDEX('Day Range Raw Data'!X:X,Match($A20,'Day Range Raw Data'!$B:$B,0)),"")</f>
        <v/>
      </c>
      <c r="Q20" t="str">
        <f t="shared" si="1"/>
        <v/>
      </c>
      <c r="R20" s="9" t="str">
        <f t="shared" si="2"/>
        <v/>
      </c>
      <c r="S20" s="14" t="str">
        <f t="shared" si="3"/>
        <v/>
      </c>
      <c r="T20" s="15" t="str">
        <f>IFERROR(__xludf.DUMMYFUNCTION("IF($A20="""","""",IFERROR(PERCENTRANK.INC(FILTER(Q:Q,$F:$F&lt;&gt;""""),Q20)*100,""""))"),"")</f>
        <v/>
      </c>
      <c r="U20" s="15" t="str">
        <f>IFERROR(__xludf.DUMMYFUNCTION("IF($A20="""","""",IFERROR(PERCENTRANK.INC(FILTER(R:R,$F:$F&lt;&gt;""""),R20)*100,""""))"),"")</f>
        <v/>
      </c>
      <c r="V20" s="15" t="str">
        <f>IFERROR(__xludf.DUMMYFUNCTION("IF($A20="""","""",IFERROR(PERCENTRANK.INC(FILTER(S:S,$F:$F&lt;&gt;""""),S20)*100,""""))"),"")</f>
        <v/>
      </c>
      <c r="W20" s="15" t="str">
        <f t="shared" si="4"/>
        <v/>
      </c>
    </row>
    <row r="21">
      <c r="B21" t="str">
        <f t="array" ref="B21">IFERROR(INDEX('Player Raw Data'!C:C,Match($A21,'Player Raw Data'!$B:$B,0)),"")</f>
        <v/>
      </c>
      <c r="C21" t="str">
        <f t="array" ref="C21">IFERROR(INDEX('Player Raw Data'!D:D,Match($A21,'Player Raw Data'!$B:$B,0)),"")</f>
        <v/>
      </c>
      <c r="D21" t="str">
        <f t="array" ref="D21">IFERROR(IF(A21=A20, INDEX('Player Raw Data'!E:E,Match($A21,'Player Raw Data'!$B:$B,0)+2),INDEX('Player Raw Data'!E:E,Match($A21,'Player Raw Data'!$B:$B,0))),"")</f>
        <v/>
      </c>
      <c r="E21" t="str">
        <f t="array" ref="E21">IFERROR(INDEX('Day Range Raw Data'!D:D,Match($A21,'Day Range Raw Data'!$B:$B,0)),"")</f>
        <v/>
      </c>
      <c r="F21" t="str">
        <f t="array" ref="F21">IFERROR(INDEX('Day Range Raw Data'!F:F,Match($A21,'Day Range Raw Data'!$B:$B,0)),"")</f>
        <v/>
      </c>
      <c r="G21" t="str">
        <f t="array" ref="G21">IFERROR(INDEX('Day Range Raw Data'!G:G,Match($A21,'Day Range Raw Data'!$B:$B,0)),"")</f>
        <v/>
      </c>
      <c r="H21" t="str">
        <f t="array" ref="H21">IFERROR(INDEX('Day Range Raw Data'!H:H,Match($A21,'Day Range Raw Data'!$B:$B,0)),"")</f>
        <v/>
      </c>
      <c r="I21" t="str">
        <f t="array" ref="I21">IFERROR(INDEX('Day Range Raw Data'!M:M,Match($A21,'Day Range Raw Data'!$B:$B,0)),"")</f>
        <v/>
      </c>
      <c r="J21" t="str">
        <f t="array" ref="J21">IFERROR(INDEX('Day Range Raw Data'!N:N,Match($A21,'Day Range Raw Data'!$B:$B,0)),"")</f>
        <v/>
      </c>
      <c r="K21" t="str">
        <f t="array" ref="K21">IFERROR(INDEX('Day Range Raw Data'!R:R,Match($A21,'Day Range Raw Data'!$B:$B,0)),"")</f>
        <v/>
      </c>
      <c r="L21" t="str">
        <f t="array" ref="L21">IFERROR(INDEX('Day Range Raw Data'!S:S,Match($A21,'Day Range Raw Data'!$B:$B,0)),"")</f>
        <v/>
      </c>
      <c r="M21" t="str">
        <f t="array" ref="M21">IFERROR(INDEX('Day Range Raw Data'!T:T,Match($A21,'Day Range Raw Data'!$B:$B,0)),"")</f>
        <v/>
      </c>
      <c r="N21" t="str">
        <f t="array" ref="N21">IFERROR(INDEX('Day Range Raw Data'!U:U,Match($A21,'Day Range Raw Data'!$B:$B,0)),"")</f>
        <v/>
      </c>
      <c r="O21" t="str">
        <f t="array" ref="O21">IFERROR(INDEX('Day Range Raw Data'!V:V,Match($A21,'Day Range Raw Data'!$B:$B,0)),"")</f>
        <v/>
      </c>
      <c r="P21" t="str">
        <f t="array" ref="P21">IFERROR(INDEX('Day Range Raw Data'!X:X,Match($A21,'Day Range Raw Data'!$B:$B,0)),"")</f>
        <v/>
      </c>
      <c r="Q21" t="str">
        <f t="shared" si="1"/>
        <v/>
      </c>
      <c r="R21" s="9" t="str">
        <f t="shared" si="2"/>
        <v/>
      </c>
      <c r="S21" s="14" t="str">
        <f t="shared" si="3"/>
        <v/>
      </c>
      <c r="T21" s="15" t="str">
        <f>IFERROR(__xludf.DUMMYFUNCTION("IF($A21="""","""",IFERROR(PERCENTRANK.INC(FILTER(Q:Q,$F:$F&lt;&gt;""""),Q21)*100,""""))"),"")</f>
        <v/>
      </c>
      <c r="U21" s="15" t="str">
        <f>IFERROR(__xludf.DUMMYFUNCTION("IF($A21="""","""",IFERROR(PERCENTRANK.INC(FILTER(R:R,$F:$F&lt;&gt;""""),R21)*100,""""))"),"")</f>
        <v/>
      </c>
      <c r="V21" s="15" t="str">
        <f>IFERROR(__xludf.DUMMYFUNCTION("IF($A21="""","""",IFERROR(PERCENTRANK.INC(FILTER(S:S,$F:$F&lt;&gt;""""),S21)*100,""""))"),"")</f>
        <v/>
      </c>
      <c r="W21" s="15" t="str">
        <f t="shared" si="4"/>
        <v/>
      </c>
    </row>
    <row r="22">
      <c r="B22" t="str">
        <f t="array" ref="B22">IFERROR(INDEX('Player Raw Data'!C:C,Match($A22,'Player Raw Data'!$B:$B,0)),"")</f>
        <v/>
      </c>
      <c r="C22" t="str">
        <f t="array" ref="C22">IFERROR(INDEX('Player Raw Data'!D:D,Match($A22,'Player Raw Data'!$B:$B,0)),"")</f>
        <v/>
      </c>
      <c r="D22" t="str">
        <f t="array" ref="D22">IFERROR(IF(A22=A21, INDEX('Player Raw Data'!E:E,Match($A22,'Player Raw Data'!$B:$B,0)+2),INDEX('Player Raw Data'!E:E,Match($A22,'Player Raw Data'!$B:$B,0))),"")</f>
        <v/>
      </c>
      <c r="E22" t="str">
        <f t="array" ref="E22">IFERROR(INDEX('Day Range Raw Data'!D:D,Match($A22,'Day Range Raw Data'!$B:$B,0)),"")</f>
        <v/>
      </c>
      <c r="F22" t="str">
        <f t="array" ref="F22">IFERROR(INDEX('Day Range Raw Data'!F:F,Match($A22,'Day Range Raw Data'!$B:$B,0)),"")</f>
        <v/>
      </c>
      <c r="G22" t="str">
        <f t="array" ref="G22">IFERROR(INDEX('Day Range Raw Data'!G:G,Match($A22,'Day Range Raw Data'!$B:$B,0)),"")</f>
        <v/>
      </c>
      <c r="H22" t="str">
        <f t="array" ref="H22">IFERROR(INDEX('Day Range Raw Data'!H:H,Match($A22,'Day Range Raw Data'!$B:$B,0)),"")</f>
        <v/>
      </c>
      <c r="I22" t="str">
        <f t="array" ref="I22">IFERROR(INDEX('Day Range Raw Data'!M:M,Match($A22,'Day Range Raw Data'!$B:$B,0)),"")</f>
        <v/>
      </c>
      <c r="J22" t="str">
        <f t="array" ref="J22">IFERROR(INDEX('Day Range Raw Data'!N:N,Match($A22,'Day Range Raw Data'!$B:$B,0)),"")</f>
        <v/>
      </c>
      <c r="K22" t="str">
        <f t="array" ref="K22">IFERROR(INDEX('Day Range Raw Data'!R:R,Match($A22,'Day Range Raw Data'!$B:$B,0)),"")</f>
        <v/>
      </c>
      <c r="L22" t="str">
        <f t="array" ref="L22">IFERROR(INDEX('Day Range Raw Data'!S:S,Match($A22,'Day Range Raw Data'!$B:$B,0)),"")</f>
        <v/>
      </c>
      <c r="M22" t="str">
        <f t="array" ref="M22">IFERROR(INDEX('Day Range Raw Data'!T:T,Match($A22,'Day Range Raw Data'!$B:$B,0)),"")</f>
        <v/>
      </c>
      <c r="N22" t="str">
        <f t="array" ref="N22">IFERROR(INDEX('Day Range Raw Data'!U:U,Match($A22,'Day Range Raw Data'!$B:$B,0)),"")</f>
        <v/>
      </c>
      <c r="O22" t="str">
        <f t="array" ref="O22">IFERROR(INDEX('Day Range Raw Data'!V:V,Match($A22,'Day Range Raw Data'!$B:$B,0)),"")</f>
        <v/>
      </c>
      <c r="P22" t="str">
        <f t="array" ref="P22">IFERROR(INDEX('Day Range Raw Data'!X:X,Match($A22,'Day Range Raw Data'!$B:$B,0)),"")</f>
        <v/>
      </c>
      <c r="Q22" t="str">
        <f t="shared" si="1"/>
        <v/>
      </c>
      <c r="R22" s="9" t="str">
        <f t="shared" si="2"/>
        <v/>
      </c>
      <c r="S22" s="14" t="str">
        <f t="shared" si="3"/>
        <v/>
      </c>
      <c r="T22" s="15" t="str">
        <f>IFERROR(__xludf.DUMMYFUNCTION("IF($A22="""","""",IFERROR(PERCENTRANK.INC(FILTER(Q:Q,$F:$F&lt;&gt;""""),Q22)*100,""""))"),"")</f>
        <v/>
      </c>
      <c r="U22" s="15" t="str">
        <f>IFERROR(__xludf.DUMMYFUNCTION("IF($A22="""","""",IFERROR(PERCENTRANK.INC(FILTER(R:R,$F:$F&lt;&gt;""""),R22)*100,""""))"),"")</f>
        <v/>
      </c>
      <c r="V22" s="15" t="str">
        <f>IFERROR(__xludf.DUMMYFUNCTION("IF($A22="""","""",IFERROR(PERCENTRANK.INC(FILTER(S:S,$F:$F&lt;&gt;""""),S22)*100,""""))"),"")</f>
        <v/>
      </c>
      <c r="W22" s="15" t="str">
        <f t="shared" si="4"/>
        <v/>
      </c>
    </row>
    <row r="23">
      <c r="B23" t="str">
        <f t="array" ref="B23">IFERROR(INDEX('Player Raw Data'!C:C,Match($A23,'Player Raw Data'!$B:$B,0)),"")</f>
        <v/>
      </c>
      <c r="C23" t="str">
        <f t="array" ref="C23">IFERROR(INDEX('Player Raw Data'!D:D,Match($A23,'Player Raw Data'!$B:$B,0)),"")</f>
        <v/>
      </c>
      <c r="D23" t="str">
        <f t="array" ref="D23">IFERROR(IF(A23=A22, INDEX('Player Raw Data'!E:E,Match($A23,'Player Raw Data'!$B:$B,0)+2),INDEX('Player Raw Data'!E:E,Match($A23,'Player Raw Data'!$B:$B,0))),"")</f>
        <v/>
      </c>
      <c r="E23" t="str">
        <f t="array" ref="E23">IFERROR(INDEX('Day Range Raw Data'!D:D,Match($A23,'Day Range Raw Data'!$B:$B,0)),"")</f>
        <v/>
      </c>
      <c r="F23" t="str">
        <f t="array" ref="F23">IFERROR(INDEX('Day Range Raw Data'!F:F,Match($A23,'Day Range Raw Data'!$B:$B,0)),"")</f>
        <v/>
      </c>
      <c r="G23" t="str">
        <f t="array" ref="G23">IFERROR(INDEX('Day Range Raw Data'!G:G,Match($A23,'Day Range Raw Data'!$B:$B,0)),"")</f>
        <v/>
      </c>
      <c r="H23" t="str">
        <f t="array" ref="H23">IFERROR(INDEX('Day Range Raw Data'!H:H,Match($A23,'Day Range Raw Data'!$B:$B,0)),"")</f>
        <v/>
      </c>
      <c r="I23" t="str">
        <f t="array" ref="I23">IFERROR(INDEX('Day Range Raw Data'!M:M,Match($A23,'Day Range Raw Data'!$B:$B,0)),"")</f>
        <v/>
      </c>
      <c r="J23" t="str">
        <f t="array" ref="J23">IFERROR(INDEX('Day Range Raw Data'!N:N,Match($A23,'Day Range Raw Data'!$B:$B,0)),"")</f>
        <v/>
      </c>
      <c r="K23" t="str">
        <f t="array" ref="K23">IFERROR(INDEX('Day Range Raw Data'!R:R,Match($A23,'Day Range Raw Data'!$B:$B,0)),"")</f>
        <v/>
      </c>
      <c r="L23" t="str">
        <f t="array" ref="L23">IFERROR(INDEX('Day Range Raw Data'!S:S,Match($A23,'Day Range Raw Data'!$B:$B,0)),"")</f>
        <v/>
      </c>
      <c r="M23" t="str">
        <f t="array" ref="M23">IFERROR(INDEX('Day Range Raw Data'!T:T,Match($A23,'Day Range Raw Data'!$B:$B,0)),"")</f>
        <v/>
      </c>
      <c r="N23" t="str">
        <f t="array" ref="N23">IFERROR(INDEX('Day Range Raw Data'!U:U,Match($A23,'Day Range Raw Data'!$B:$B,0)),"")</f>
        <v/>
      </c>
      <c r="O23" t="str">
        <f t="array" ref="O23">IFERROR(INDEX('Day Range Raw Data'!V:V,Match($A23,'Day Range Raw Data'!$B:$B,0)),"")</f>
        <v/>
      </c>
      <c r="P23" t="str">
        <f t="array" ref="P23">IFERROR(INDEX('Day Range Raw Data'!X:X,Match($A23,'Day Range Raw Data'!$B:$B,0)),"")</f>
        <v/>
      </c>
      <c r="Q23" t="str">
        <f t="shared" si="1"/>
        <v/>
      </c>
      <c r="R23" s="9" t="str">
        <f t="shared" si="2"/>
        <v/>
      </c>
      <c r="S23" s="14" t="str">
        <f t="shared" si="3"/>
        <v/>
      </c>
      <c r="T23" s="15" t="str">
        <f>IFERROR(__xludf.DUMMYFUNCTION("IF($A23="""","""",IFERROR(PERCENTRANK.INC(FILTER(Q:Q,$F:$F&lt;&gt;""""),Q23)*100,""""))"),"")</f>
        <v/>
      </c>
      <c r="U23" s="15" t="str">
        <f>IFERROR(__xludf.DUMMYFUNCTION("IF($A23="""","""",IFERROR(PERCENTRANK.INC(FILTER(R:R,$F:$F&lt;&gt;""""),R23)*100,""""))"),"")</f>
        <v/>
      </c>
      <c r="V23" s="15" t="str">
        <f>IFERROR(__xludf.DUMMYFUNCTION("IF($A23="""","""",IFERROR(PERCENTRANK.INC(FILTER(S:S,$F:$F&lt;&gt;""""),S23)*100,""""))"),"")</f>
        <v/>
      </c>
      <c r="W23" s="15" t="str">
        <f t="shared" si="4"/>
        <v/>
      </c>
    </row>
    <row r="24">
      <c r="B24" t="str">
        <f t="array" ref="B24">IFERROR(INDEX('Player Raw Data'!C:C,Match($A24,'Player Raw Data'!$B:$B,0)),"")</f>
        <v/>
      </c>
      <c r="C24" t="str">
        <f t="array" ref="C24">IFERROR(INDEX('Player Raw Data'!D:D,Match($A24,'Player Raw Data'!$B:$B,0)),"")</f>
        <v/>
      </c>
      <c r="D24" t="str">
        <f t="array" ref="D24">IFERROR(IF(A24=A23, INDEX('Player Raw Data'!E:E,Match($A24,'Player Raw Data'!$B:$B,0)+2),INDEX('Player Raw Data'!E:E,Match($A24,'Player Raw Data'!$B:$B,0))),"")</f>
        <v/>
      </c>
      <c r="E24" t="str">
        <f t="array" ref="E24">IFERROR(INDEX('Day Range Raw Data'!D:D,Match($A24,'Day Range Raw Data'!$B:$B,0)),"")</f>
        <v/>
      </c>
      <c r="F24" t="str">
        <f t="array" ref="F24">IFERROR(INDEX('Day Range Raw Data'!F:F,Match($A24,'Day Range Raw Data'!$B:$B,0)),"")</f>
        <v/>
      </c>
      <c r="G24" t="str">
        <f t="array" ref="G24">IFERROR(INDEX('Day Range Raw Data'!G:G,Match($A24,'Day Range Raw Data'!$B:$B,0)),"")</f>
        <v/>
      </c>
      <c r="H24" t="str">
        <f t="array" ref="H24">IFERROR(INDEX('Day Range Raw Data'!H:H,Match($A24,'Day Range Raw Data'!$B:$B,0)),"")</f>
        <v/>
      </c>
      <c r="I24" t="str">
        <f t="array" ref="I24">IFERROR(INDEX('Day Range Raw Data'!M:M,Match($A24,'Day Range Raw Data'!$B:$B,0)),"")</f>
        <v/>
      </c>
      <c r="J24" t="str">
        <f t="array" ref="J24">IFERROR(INDEX('Day Range Raw Data'!N:N,Match($A24,'Day Range Raw Data'!$B:$B,0)),"")</f>
        <v/>
      </c>
      <c r="K24" t="str">
        <f t="array" ref="K24">IFERROR(INDEX('Day Range Raw Data'!R:R,Match($A24,'Day Range Raw Data'!$B:$B,0)),"")</f>
        <v/>
      </c>
      <c r="L24" t="str">
        <f t="array" ref="L24">IFERROR(INDEX('Day Range Raw Data'!S:S,Match($A24,'Day Range Raw Data'!$B:$B,0)),"")</f>
        <v/>
      </c>
      <c r="M24" t="str">
        <f t="array" ref="M24">IFERROR(INDEX('Day Range Raw Data'!T:T,Match($A24,'Day Range Raw Data'!$B:$B,0)),"")</f>
        <v/>
      </c>
      <c r="N24" t="str">
        <f t="array" ref="N24">IFERROR(INDEX('Day Range Raw Data'!U:U,Match($A24,'Day Range Raw Data'!$B:$B,0)),"")</f>
        <v/>
      </c>
      <c r="O24" t="str">
        <f t="array" ref="O24">IFERROR(INDEX('Day Range Raw Data'!V:V,Match($A24,'Day Range Raw Data'!$B:$B,0)),"")</f>
        <v/>
      </c>
      <c r="P24" t="str">
        <f t="array" ref="P24">IFERROR(INDEX('Day Range Raw Data'!X:X,Match($A24,'Day Range Raw Data'!$B:$B,0)),"")</f>
        <v/>
      </c>
      <c r="Q24" t="str">
        <f t="shared" si="1"/>
        <v/>
      </c>
      <c r="R24" s="9" t="str">
        <f t="shared" si="2"/>
        <v/>
      </c>
      <c r="S24" s="14" t="str">
        <f t="shared" si="3"/>
        <v/>
      </c>
      <c r="T24" s="15" t="str">
        <f>IFERROR(__xludf.DUMMYFUNCTION("IF($A24="""","""",IFERROR(PERCENTRANK.INC(FILTER(Q:Q,$F:$F&lt;&gt;""""),Q24)*100,""""))"),"")</f>
        <v/>
      </c>
      <c r="U24" s="15" t="str">
        <f>IFERROR(__xludf.DUMMYFUNCTION("IF($A24="""","""",IFERROR(PERCENTRANK.INC(FILTER(R:R,$F:$F&lt;&gt;""""),R24)*100,""""))"),"")</f>
        <v/>
      </c>
      <c r="V24" s="15" t="str">
        <f>IFERROR(__xludf.DUMMYFUNCTION("IF($A24="""","""",IFERROR(PERCENTRANK.INC(FILTER(S:S,$F:$F&lt;&gt;""""),S24)*100,""""))"),"")</f>
        <v/>
      </c>
      <c r="W24" s="15" t="str">
        <f t="shared" si="4"/>
        <v/>
      </c>
    </row>
    <row r="25">
      <c r="B25" t="str">
        <f t="array" ref="B25">IFERROR(INDEX('Player Raw Data'!C:C,Match($A25,'Player Raw Data'!$B:$B,0)),"")</f>
        <v/>
      </c>
      <c r="C25" t="str">
        <f t="array" ref="C25">IFERROR(INDEX('Player Raw Data'!D:D,Match($A25,'Player Raw Data'!$B:$B,0)),"")</f>
        <v/>
      </c>
      <c r="D25" t="str">
        <f t="array" ref="D25">IFERROR(IF(A25=A24, INDEX('Player Raw Data'!E:E,Match($A25,'Player Raw Data'!$B:$B,0)+2),INDEX('Player Raw Data'!E:E,Match($A25,'Player Raw Data'!$B:$B,0))),"")</f>
        <v/>
      </c>
      <c r="E25" t="str">
        <f t="array" ref="E25">IFERROR(INDEX('Day Range Raw Data'!D:D,Match($A25,'Day Range Raw Data'!$B:$B,0)),"")</f>
        <v/>
      </c>
      <c r="F25" t="str">
        <f t="array" ref="F25">IFERROR(INDEX('Day Range Raw Data'!F:F,Match($A25,'Day Range Raw Data'!$B:$B,0)),"")</f>
        <v/>
      </c>
      <c r="G25" t="str">
        <f t="array" ref="G25">IFERROR(INDEX('Day Range Raw Data'!G:G,Match($A25,'Day Range Raw Data'!$B:$B,0)),"")</f>
        <v/>
      </c>
      <c r="H25" t="str">
        <f t="array" ref="H25">IFERROR(INDEX('Day Range Raw Data'!H:H,Match($A25,'Day Range Raw Data'!$B:$B,0)),"")</f>
        <v/>
      </c>
      <c r="I25" t="str">
        <f t="array" ref="I25">IFERROR(INDEX('Day Range Raw Data'!M:M,Match($A25,'Day Range Raw Data'!$B:$B,0)),"")</f>
        <v/>
      </c>
      <c r="J25" t="str">
        <f t="array" ref="J25">IFERROR(INDEX('Day Range Raw Data'!N:N,Match($A25,'Day Range Raw Data'!$B:$B,0)),"")</f>
        <v/>
      </c>
      <c r="K25" t="str">
        <f t="array" ref="K25">IFERROR(INDEX('Day Range Raw Data'!R:R,Match($A25,'Day Range Raw Data'!$B:$B,0)),"")</f>
        <v/>
      </c>
      <c r="L25" t="str">
        <f t="array" ref="L25">IFERROR(INDEX('Day Range Raw Data'!S:S,Match($A25,'Day Range Raw Data'!$B:$B,0)),"")</f>
        <v/>
      </c>
      <c r="M25" t="str">
        <f t="array" ref="M25">IFERROR(INDEX('Day Range Raw Data'!T:T,Match($A25,'Day Range Raw Data'!$B:$B,0)),"")</f>
        <v/>
      </c>
      <c r="N25" t="str">
        <f t="array" ref="N25">IFERROR(INDEX('Day Range Raw Data'!U:U,Match($A25,'Day Range Raw Data'!$B:$B,0)),"")</f>
        <v/>
      </c>
      <c r="O25" t="str">
        <f t="array" ref="O25">IFERROR(INDEX('Day Range Raw Data'!V:V,Match($A25,'Day Range Raw Data'!$B:$B,0)),"")</f>
        <v/>
      </c>
      <c r="P25" t="str">
        <f t="array" ref="P25">IFERROR(INDEX('Day Range Raw Data'!X:X,Match($A25,'Day Range Raw Data'!$B:$B,0)),"")</f>
        <v/>
      </c>
      <c r="Q25" t="str">
        <f t="shared" si="1"/>
        <v/>
      </c>
      <c r="R25" s="9" t="str">
        <f t="shared" si="2"/>
        <v/>
      </c>
      <c r="S25" s="14" t="str">
        <f t="shared" si="3"/>
        <v/>
      </c>
      <c r="T25" s="15" t="str">
        <f>IFERROR(__xludf.DUMMYFUNCTION("IF($A25="""","""",IFERROR(PERCENTRANK.INC(FILTER(Q:Q,$F:$F&lt;&gt;""""),Q25)*100,""""))"),"")</f>
        <v/>
      </c>
      <c r="U25" s="15" t="str">
        <f>IFERROR(__xludf.DUMMYFUNCTION("IF($A25="""","""",IFERROR(PERCENTRANK.INC(FILTER(R:R,$F:$F&lt;&gt;""""),R25)*100,""""))"),"")</f>
        <v/>
      </c>
      <c r="V25" s="15" t="str">
        <f>IFERROR(__xludf.DUMMYFUNCTION("IF($A25="""","""",IFERROR(PERCENTRANK.INC(FILTER(S:S,$F:$F&lt;&gt;""""),S25)*100,""""))"),"")</f>
        <v/>
      </c>
      <c r="W25" s="15" t="str">
        <f t="shared" si="4"/>
        <v/>
      </c>
    </row>
    <row r="26">
      <c r="B26" t="str">
        <f t="array" ref="B26">IFERROR(INDEX('Player Raw Data'!C:C,Match($A26,'Player Raw Data'!$B:$B,0)),"")</f>
        <v/>
      </c>
      <c r="C26" t="str">
        <f t="array" ref="C26">IFERROR(INDEX('Player Raw Data'!D:D,Match($A26,'Player Raw Data'!$B:$B,0)),"")</f>
        <v/>
      </c>
      <c r="D26" t="str">
        <f t="array" ref="D26">IFERROR(IF(A26=A25, INDEX('Player Raw Data'!E:E,Match($A26,'Player Raw Data'!$B:$B,0)+2),INDEX('Player Raw Data'!E:E,Match($A26,'Player Raw Data'!$B:$B,0))),"")</f>
        <v/>
      </c>
      <c r="E26" t="str">
        <f t="array" ref="E26">IFERROR(INDEX('Day Range Raw Data'!D:D,Match($A26,'Day Range Raw Data'!$B:$B,0)),"")</f>
        <v/>
      </c>
      <c r="F26" t="str">
        <f t="array" ref="F26">IFERROR(INDEX('Day Range Raw Data'!F:F,Match($A26,'Day Range Raw Data'!$B:$B,0)),"")</f>
        <v/>
      </c>
      <c r="G26" t="str">
        <f t="array" ref="G26">IFERROR(INDEX('Day Range Raw Data'!G:G,Match($A26,'Day Range Raw Data'!$B:$B,0)),"")</f>
        <v/>
      </c>
      <c r="H26" t="str">
        <f t="array" ref="H26">IFERROR(INDEX('Day Range Raw Data'!H:H,Match($A26,'Day Range Raw Data'!$B:$B,0)),"")</f>
        <v/>
      </c>
      <c r="I26" t="str">
        <f t="array" ref="I26">IFERROR(INDEX('Day Range Raw Data'!M:M,Match($A26,'Day Range Raw Data'!$B:$B,0)),"")</f>
        <v/>
      </c>
      <c r="J26" t="str">
        <f t="array" ref="J26">IFERROR(INDEX('Day Range Raw Data'!N:N,Match($A26,'Day Range Raw Data'!$B:$B,0)),"")</f>
        <v/>
      </c>
      <c r="K26" t="str">
        <f t="array" ref="K26">IFERROR(INDEX('Day Range Raw Data'!R:R,Match($A26,'Day Range Raw Data'!$B:$B,0)),"")</f>
        <v/>
      </c>
      <c r="L26" t="str">
        <f t="array" ref="L26">IFERROR(INDEX('Day Range Raw Data'!S:S,Match($A26,'Day Range Raw Data'!$B:$B,0)),"")</f>
        <v/>
      </c>
      <c r="M26" t="str">
        <f t="array" ref="M26">IFERROR(INDEX('Day Range Raw Data'!T:T,Match($A26,'Day Range Raw Data'!$B:$B,0)),"")</f>
        <v/>
      </c>
      <c r="N26" t="str">
        <f t="array" ref="N26">IFERROR(INDEX('Day Range Raw Data'!U:U,Match($A26,'Day Range Raw Data'!$B:$B,0)),"")</f>
        <v/>
      </c>
      <c r="O26" t="str">
        <f t="array" ref="O26">IFERROR(INDEX('Day Range Raw Data'!V:V,Match($A26,'Day Range Raw Data'!$B:$B,0)),"")</f>
        <v/>
      </c>
      <c r="P26" t="str">
        <f t="array" ref="P26">IFERROR(INDEX('Day Range Raw Data'!X:X,Match($A26,'Day Range Raw Data'!$B:$B,0)),"")</f>
        <v/>
      </c>
      <c r="Q26" t="str">
        <f t="shared" si="1"/>
        <v/>
      </c>
      <c r="R26" s="9" t="str">
        <f t="shared" si="2"/>
        <v/>
      </c>
      <c r="S26" s="14" t="str">
        <f t="shared" si="3"/>
        <v/>
      </c>
      <c r="T26" s="15" t="str">
        <f>IFERROR(__xludf.DUMMYFUNCTION("IF($A26="""","""",IFERROR(PERCENTRANK.INC(FILTER(Q:Q,$F:$F&lt;&gt;""""),Q26)*100,""""))"),"")</f>
        <v/>
      </c>
      <c r="U26" s="15" t="str">
        <f>IFERROR(__xludf.DUMMYFUNCTION("IF($A26="""","""",IFERROR(PERCENTRANK.INC(FILTER(R:R,$F:$F&lt;&gt;""""),R26)*100,""""))"),"")</f>
        <v/>
      </c>
      <c r="V26" s="15" t="str">
        <f>IFERROR(__xludf.DUMMYFUNCTION("IF($A26="""","""",IFERROR(PERCENTRANK.INC(FILTER(S:S,$F:$F&lt;&gt;""""),S26)*100,""""))"),"")</f>
        <v/>
      </c>
      <c r="W26" s="15" t="str">
        <f t="shared" si="4"/>
        <v/>
      </c>
    </row>
    <row r="27">
      <c r="B27" t="str">
        <f t="array" ref="B27">IFERROR(INDEX('Player Raw Data'!C:C,Match($A27,'Player Raw Data'!$B:$B,0)),"")</f>
        <v/>
      </c>
      <c r="C27" t="str">
        <f t="array" ref="C27">IFERROR(INDEX('Player Raw Data'!D:D,Match($A27,'Player Raw Data'!$B:$B,0)),"")</f>
        <v/>
      </c>
      <c r="D27" t="str">
        <f t="array" ref="D27">IFERROR(IF(A27=A26, INDEX('Player Raw Data'!E:E,Match($A27,'Player Raw Data'!$B:$B,0)+2),INDEX('Player Raw Data'!E:E,Match($A27,'Player Raw Data'!$B:$B,0))),"")</f>
        <v/>
      </c>
      <c r="E27" t="str">
        <f t="array" ref="E27">IFERROR(INDEX('Day Range Raw Data'!D:D,Match($A27,'Day Range Raw Data'!$B:$B,0)),"")</f>
        <v/>
      </c>
      <c r="F27" t="str">
        <f t="array" ref="F27">IFERROR(INDEX('Day Range Raw Data'!F:F,Match($A27,'Day Range Raw Data'!$B:$B,0)),"")</f>
        <v/>
      </c>
      <c r="G27" t="str">
        <f t="array" ref="G27">IFERROR(INDEX('Day Range Raw Data'!G:G,Match($A27,'Day Range Raw Data'!$B:$B,0)),"")</f>
        <v/>
      </c>
      <c r="H27" t="str">
        <f t="array" ref="H27">IFERROR(INDEX('Day Range Raw Data'!H:H,Match($A27,'Day Range Raw Data'!$B:$B,0)),"")</f>
        <v/>
      </c>
      <c r="I27" t="str">
        <f t="array" ref="I27">IFERROR(INDEX('Day Range Raw Data'!M:M,Match($A27,'Day Range Raw Data'!$B:$B,0)),"")</f>
        <v/>
      </c>
      <c r="J27" t="str">
        <f t="array" ref="J27">IFERROR(INDEX('Day Range Raw Data'!N:N,Match($A27,'Day Range Raw Data'!$B:$B,0)),"")</f>
        <v/>
      </c>
      <c r="K27" t="str">
        <f t="array" ref="K27">IFERROR(INDEX('Day Range Raw Data'!R:R,Match($A27,'Day Range Raw Data'!$B:$B,0)),"")</f>
        <v/>
      </c>
      <c r="L27" t="str">
        <f t="array" ref="L27">IFERROR(INDEX('Day Range Raw Data'!S:S,Match($A27,'Day Range Raw Data'!$B:$B,0)),"")</f>
        <v/>
      </c>
      <c r="M27" t="str">
        <f t="array" ref="M27">IFERROR(INDEX('Day Range Raw Data'!T:T,Match($A27,'Day Range Raw Data'!$B:$B,0)),"")</f>
        <v/>
      </c>
      <c r="N27" t="str">
        <f t="array" ref="N27">IFERROR(INDEX('Day Range Raw Data'!U:U,Match($A27,'Day Range Raw Data'!$B:$B,0)),"")</f>
        <v/>
      </c>
      <c r="O27" t="str">
        <f t="array" ref="O27">IFERROR(INDEX('Day Range Raw Data'!V:V,Match($A27,'Day Range Raw Data'!$B:$B,0)),"")</f>
        <v/>
      </c>
      <c r="P27" t="str">
        <f t="array" ref="P27">IFERROR(INDEX('Day Range Raw Data'!X:X,Match($A27,'Day Range Raw Data'!$B:$B,0)),"")</f>
        <v/>
      </c>
      <c r="Q27" t="str">
        <f t="shared" si="1"/>
        <v/>
      </c>
      <c r="R27" s="9" t="str">
        <f t="shared" si="2"/>
        <v/>
      </c>
      <c r="S27" s="14" t="str">
        <f t="shared" si="3"/>
        <v/>
      </c>
      <c r="T27" s="15" t="str">
        <f>IFERROR(__xludf.DUMMYFUNCTION("IF($A27="""","""",IFERROR(PERCENTRANK.INC(FILTER(Q:Q,$F:$F&lt;&gt;""""),Q27)*100,""""))"),"")</f>
        <v/>
      </c>
      <c r="U27" s="15" t="str">
        <f>IFERROR(__xludf.DUMMYFUNCTION("IF($A27="""","""",IFERROR(PERCENTRANK.INC(FILTER(R:R,$F:$F&lt;&gt;""""),R27)*100,""""))"),"")</f>
        <v/>
      </c>
      <c r="V27" s="15" t="str">
        <f>IFERROR(__xludf.DUMMYFUNCTION("IF($A27="""","""",IFERROR(PERCENTRANK.INC(FILTER(S:S,$F:$F&lt;&gt;""""),S27)*100,""""))"),"")</f>
        <v/>
      </c>
      <c r="W27" s="15" t="str">
        <f t="shared" si="4"/>
        <v/>
      </c>
    </row>
    <row r="28">
      <c r="B28" t="str">
        <f t="array" ref="B28">IFERROR(INDEX('Player Raw Data'!C:C,Match($A28,'Player Raw Data'!$B:$B,0)),"")</f>
        <v/>
      </c>
      <c r="C28" t="str">
        <f t="array" ref="C28">IFERROR(INDEX('Player Raw Data'!D:D,Match($A28,'Player Raw Data'!$B:$B,0)),"")</f>
        <v/>
      </c>
      <c r="D28" t="str">
        <f t="array" ref="D28">IFERROR(IF(A28=A27, INDEX('Player Raw Data'!E:E,Match($A28,'Player Raw Data'!$B:$B,0)+2),INDEX('Player Raw Data'!E:E,Match($A28,'Player Raw Data'!$B:$B,0))),"")</f>
        <v/>
      </c>
      <c r="E28" t="str">
        <f t="array" ref="E28">IFERROR(INDEX('Day Range Raw Data'!D:D,Match($A28,'Day Range Raw Data'!$B:$B,0)),"")</f>
        <v/>
      </c>
      <c r="F28" t="str">
        <f t="array" ref="F28">IFERROR(INDEX('Day Range Raw Data'!F:F,Match($A28,'Day Range Raw Data'!$B:$B,0)),"")</f>
        <v/>
      </c>
      <c r="G28" t="str">
        <f t="array" ref="G28">IFERROR(INDEX('Day Range Raw Data'!G:G,Match($A28,'Day Range Raw Data'!$B:$B,0)),"")</f>
        <v/>
      </c>
      <c r="H28" t="str">
        <f t="array" ref="H28">IFERROR(INDEX('Day Range Raw Data'!H:H,Match($A28,'Day Range Raw Data'!$B:$B,0)),"")</f>
        <v/>
      </c>
      <c r="I28" t="str">
        <f t="array" ref="I28">IFERROR(INDEX('Day Range Raw Data'!M:M,Match($A28,'Day Range Raw Data'!$B:$B,0)),"")</f>
        <v/>
      </c>
      <c r="J28" t="str">
        <f t="array" ref="J28">IFERROR(INDEX('Day Range Raw Data'!N:N,Match($A28,'Day Range Raw Data'!$B:$B,0)),"")</f>
        <v/>
      </c>
      <c r="K28" t="str">
        <f t="array" ref="K28">IFERROR(INDEX('Day Range Raw Data'!R:R,Match($A28,'Day Range Raw Data'!$B:$B,0)),"")</f>
        <v/>
      </c>
      <c r="L28" t="str">
        <f t="array" ref="L28">IFERROR(INDEX('Day Range Raw Data'!S:S,Match($A28,'Day Range Raw Data'!$B:$B,0)),"")</f>
        <v/>
      </c>
      <c r="M28" t="str">
        <f t="array" ref="M28">IFERROR(INDEX('Day Range Raw Data'!T:T,Match($A28,'Day Range Raw Data'!$B:$B,0)),"")</f>
        <v/>
      </c>
      <c r="N28" t="str">
        <f t="array" ref="N28">IFERROR(INDEX('Day Range Raw Data'!U:U,Match($A28,'Day Range Raw Data'!$B:$B,0)),"")</f>
        <v/>
      </c>
      <c r="O28" t="str">
        <f t="array" ref="O28">IFERROR(INDEX('Day Range Raw Data'!V:V,Match($A28,'Day Range Raw Data'!$B:$B,0)),"")</f>
        <v/>
      </c>
      <c r="P28" t="str">
        <f t="array" ref="P28">IFERROR(INDEX('Day Range Raw Data'!X:X,Match($A28,'Day Range Raw Data'!$B:$B,0)),"")</f>
        <v/>
      </c>
      <c r="Q28" t="str">
        <f t="shared" si="1"/>
        <v/>
      </c>
      <c r="R28" s="9" t="str">
        <f t="shared" si="2"/>
        <v/>
      </c>
      <c r="S28" s="14" t="str">
        <f t="shared" si="3"/>
        <v/>
      </c>
      <c r="T28" s="15" t="str">
        <f>IFERROR(__xludf.DUMMYFUNCTION("IF($A28="""","""",IFERROR(PERCENTRANK.INC(FILTER(Q:Q,$F:$F&lt;&gt;""""),Q28)*100,""""))"),"")</f>
        <v/>
      </c>
      <c r="U28" s="15" t="str">
        <f>IFERROR(__xludf.DUMMYFUNCTION("IF($A28="""","""",IFERROR(PERCENTRANK.INC(FILTER(R:R,$F:$F&lt;&gt;""""),R28)*100,""""))"),"")</f>
        <v/>
      </c>
      <c r="V28" s="15" t="str">
        <f>IFERROR(__xludf.DUMMYFUNCTION("IF($A28="""","""",IFERROR(PERCENTRANK.INC(FILTER(S:S,$F:$F&lt;&gt;""""),S28)*100,""""))"),"")</f>
        <v/>
      </c>
      <c r="W28" s="15" t="str">
        <f t="shared" si="4"/>
        <v/>
      </c>
    </row>
    <row r="29">
      <c r="B29" t="str">
        <f t="array" ref="B29">IFERROR(INDEX('Player Raw Data'!C:C,Match($A29,'Player Raw Data'!$B:$B,0)),"")</f>
        <v/>
      </c>
      <c r="C29" t="str">
        <f t="array" ref="C29">IFERROR(INDEX('Player Raw Data'!D:D,Match($A29,'Player Raw Data'!$B:$B,0)),"")</f>
        <v/>
      </c>
      <c r="D29" t="str">
        <f t="array" ref="D29">IFERROR(IF(A29=A28, INDEX('Player Raw Data'!E:E,Match($A29,'Player Raw Data'!$B:$B,0)+2),INDEX('Player Raw Data'!E:E,Match($A29,'Player Raw Data'!$B:$B,0))),"")</f>
        <v/>
      </c>
      <c r="E29" t="str">
        <f t="array" ref="E29">IFERROR(INDEX('Day Range Raw Data'!D:D,Match($A29,'Day Range Raw Data'!$B:$B,0)),"")</f>
        <v/>
      </c>
      <c r="F29" t="str">
        <f t="array" ref="F29">IFERROR(INDEX('Day Range Raw Data'!F:F,Match($A29,'Day Range Raw Data'!$B:$B,0)),"")</f>
        <v/>
      </c>
      <c r="G29" t="str">
        <f t="array" ref="G29">IFERROR(INDEX('Day Range Raw Data'!G:G,Match($A29,'Day Range Raw Data'!$B:$B,0)),"")</f>
        <v/>
      </c>
      <c r="H29" t="str">
        <f t="array" ref="H29">IFERROR(INDEX('Day Range Raw Data'!H:H,Match($A29,'Day Range Raw Data'!$B:$B,0)),"")</f>
        <v/>
      </c>
      <c r="I29" t="str">
        <f t="array" ref="I29">IFERROR(INDEX('Day Range Raw Data'!M:M,Match($A29,'Day Range Raw Data'!$B:$B,0)),"")</f>
        <v/>
      </c>
      <c r="J29" t="str">
        <f t="array" ref="J29">IFERROR(INDEX('Day Range Raw Data'!N:N,Match($A29,'Day Range Raw Data'!$B:$B,0)),"")</f>
        <v/>
      </c>
      <c r="K29" t="str">
        <f t="array" ref="K29">IFERROR(INDEX('Day Range Raw Data'!R:R,Match($A29,'Day Range Raw Data'!$B:$B,0)),"")</f>
        <v/>
      </c>
      <c r="L29" t="str">
        <f t="array" ref="L29">IFERROR(INDEX('Day Range Raw Data'!S:S,Match($A29,'Day Range Raw Data'!$B:$B,0)),"")</f>
        <v/>
      </c>
      <c r="M29" t="str">
        <f t="array" ref="M29">IFERROR(INDEX('Day Range Raw Data'!T:T,Match($A29,'Day Range Raw Data'!$B:$B,0)),"")</f>
        <v/>
      </c>
      <c r="N29" t="str">
        <f t="array" ref="N29">IFERROR(INDEX('Day Range Raw Data'!U:U,Match($A29,'Day Range Raw Data'!$B:$B,0)),"")</f>
        <v/>
      </c>
      <c r="O29" t="str">
        <f t="array" ref="O29">IFERROR(INDEX('Day Range Raw Data'!V:V,Match($A29,'Day Range Raw Data'!$B:$B,0)),"")</f>
        <v/>
      </c>
      <c r="P29" t="str">
        <f t="array" ref="P29">IFERROR(INDEX('Day Range Raw Data'!X:X,Match($A29,'Day Range Raw Data'!$B:$B,0)),"")</f>
        <v/>
      </c>
      <c r="Q29" t="str">
        <f t="shared" si="1"/>
        <v/>
      </c>
      <c r="R29" s="9" t="str">
        <f t="shared" si="2"/>
        <v/>
      </c>
      <c r="S29" s="14" t="str">
        <f t="shared" si="3"/>
        <v/>
      </c>
      <c r="T29" s="15" t="str">
        <f>IFERROR(__xludf.DUMMYFUNCTION("IF($A29="""","""",IFERROR(PERCENTRANK.INC(FILTER(Q:Q,$F:$F&lt;&gt;""""),Q29)*100,""""))"),"")</f>
        <v/>
      </c>
      <c r="U29" s="15" t="str">
        <f>IFERROR(__xludf.DUMMYFUNCTION("IF($A29="""","""",IFERROR(PERCENTRANK.INC(FILTER(R:R,$F:$F&lt;&gt;""""),R29)*100,""""))"),"")</f>
        <v/>
      </c>
      <c r="V29" s="15" t="str">
        <f>IFERROR(__xludf.DUMMYFUNCTION("IF($A29="""","""",IFERROR(PERCENTRANK.INC(FILTER(S:S,$F:$F&lt;&gt;""""),S29)*100,""""))"),"")</f>
        <v/>
      </c>
      <c r="W29" s="15" t="str">
        <f t="shared" si="4"/>
        <v/>
      </c>
    </row>
    <row r="30">
      <c r="B30" t="str">
        <f t="array" ref="B30">IFERROR(INDEX('Player Raw Data'!C:C,Match($A30,'Player Raw Data'!$B:$B,0)),"")</f>
        <v/>
      </c>
      <c r="C30" t="str">
        <f t="array" ref="C30">IFERROR(INDEX('Player Raw Data'!D:D,Match($A30,'Player Raw Data'!$B:$B,0)),"")</f>
        <v/>
      </c>
      <c r="D30" t="str">
        <f t="array" ref="D30">IFERROR(IF(A30=A29, INDEX('Player Raw Data'!E:E,Match($A30,'Player Raw Data'!$B:$B,0)+2),INDEX('Player Raw Data'!E:E,Match($A30,'Player Raw Data'!$B:$B,0))),"")</f>
        <v/>
      </c>
      <c r="E30" t="str">
        <f t="array" ref="E30">IFERROR(INDEX('Day Range Raw Data'!D:D,Match($A30,'Day Range Raw Data'!$B:$B,0)),"")</f>
        <v/>
      </c>
      <c r="F30" t="str">
        <f t="array" ref="F30">IFERROR(INDEX('Day Range Raw Data'!F:F,Match($A30,'Day Range Raw Data'!$B:$B,0)),"")</f>
        <v/>
      </c>
      <c r="G30" t="str">
        <f t="array" ref="G30">IFERROR(INDEX('Day Range Raw Data'!G:G,Match($A30,'Day Range Raw Data'!$B:$B,0)),"")</f>
        <v/>
      </c>
      <c r="H30" t="str">
        <f t="array" ref="H30">IFERROR(INDEX('Day Range Raw Data'!H:H,Match($A30,'Day Range Raw Data'!$B:$B,0)),"")</f>
        <v/>
      </c>
      <c r="I30" t="str">
        <f t="array" ref="I30">IFERROR(INDEX('Day Range Raw Data'!M:M,Match($A30,'Day Range Raw Data'!$B:$B,0)),"")</f>
        <v/>
      </c>
      <c r="J30" t="str">
        <f t="array" ref="J30">IFERROR(INDEX('Day Range Raw Data'!N:N,Match($A30,'Day Range Raw Data'!$B:$B,0)),"")</f>
        <v/>
      </c>
      <c r="K30" t="str">
        <f t="array" ref="K30">IFERROR(INDEX('Day Range Raw Data'!R:R,Match($A30,'Day Range Raw Data'!$B:$B,0)),"")</f>
        <v/>
      </c>
      <c r="L30" t="str">
        <f t="array" ref="L30">IFERROR(INDEX('Day Range Raw Data'!S:S,Match($A30,'Day Range Raw Data'!$B:$B,0)),"")</f>
        <v/>
      </c>
      <c r="M30" t="str">
        <f t="array" ref="M30">IFERROR(INDEX('Day Range Raw Data'!T:T,Match($A30,'Day Range Raw Data'!$B:$B,0)),"")</f>
        <v/>
      </c>
      <c r="N30" t="str">
        <f t="array" ref="N30">IFERROR(INDEX('Day Range Raw Data'!U:U,Match($A30,'Day Range Raw Data'!$B:$B,0)),"")</f>
        <v/>
      </c>
      <c r="O30" t="str">
        <f t="array" ref="O30">IFERROR(INDEX('Day Range Raw Data'!V:V,Match($A30,'Day Range Raw Data'!$B:$B,0)),"")</f>
        <v/>
      </c>
      <c r="P30" t="str">
        <f t="array" ref="P30">IFERROR(INDEX('Day Range Raw Data'!X:X,Match($A30,'Day Range Raw Data'!$B:$B,0)),"")</f>
        <v/>
      </c>
      <c r="Q30" t="str">
        <f t="shared" si="1"/>
        <v/>
      </c>
      <c r="R30" s="9" t="str">
        <f t="shared" si="2"/>
        <v/>
      </c>
      <c r="S30" s="14" t="str">
        <f t="shared" si="3"/>
        <v/>
      </c>
      <c r="T30" s="15" t="str">
        <f>IFERROR(__xludf.DUMMYFUNCTION("IF($A30="""","""",IFERROR(PERCENTRANK.INC(FILTER(Q:Q,$F:$F&lt;&gt;""""),Q30)*100,""""))"),"")</f>
        <v/>
      </c>
      <c r="U30" s="15" t="str">
        <f>IFERROR(__xludf.DUMMYFUNCTION("IF($A30="""","""",IFERROR(PERCENTRANK.INC(FILTER(R:R,$F:$F&lt;&gt;""""),R30)*100,""""))"),"")</f>
        <v/>
      </c>
      <c r="V30" s="15" t="str">
        <f>IFERROR(__xludf.DUMMYFUNCTION("IF($A30="""","""",IFERROR(PERCENTRANK.INC(FILTER(S:S,$F:$F&lt;&gt;""""),S30)*100,""""))"),"")</f>
        <v/>
      </c>
      <c r="W30" s="15" t="str">
        <f t="shared" si="4"/>
        <v/>
      </c>
    </row>
    <row r="31">
      <c r="B31" t="str">
        <f t="array" ref="B31">IFERROR(INDEX('Player Raw Data'!C:C,Match($A31,'Player Raw Data'!$B:$B,0)),"")</f>
        <v/>
      </c>
      <c r="C31" t="str">
        <f t="array" ref="C31">IFERROR(INDEX('Player Raw Data'!D:D,Match($A31,'Player Raw Data'!$B:$B,0)),"")</f>
        <v/>
      </c>
      <c r="D31" t="str">
        <f t="array" ref="D31">IFERROR(IF(A31=A30, INDEX('Player Raw Data'!E:E,Match($A31,'Player Raw Data'!$B:$B,0)+2),INDEX('Player Raw Data'!E:E,Match($A31,'Player Raw Data'!$B:$B,0))),"")</f>
        <v/>
      </c>
      <c r="E31" t="str">
        <f t="array" ref="E31">IFERROR(INDEX('Day Range Raw Data'!D:D,Match($A31,'Day Range Raw Data'!$B:$B,0)),"")</f>
        <v/>
      </c>
      <c r="F31" t="str">
        <f t="array" ref="F31">IFERROR(INDEX('Day Range Raw Data'!F:F,Match($A31,'Day Range Raw Data'!$B:$B,0)),"")</f>
        <v/>
      </c>
      <c r="G31" t="str">
        <f t="array" ref="G31">IFERROR(INDEX('Day Range Raw Data'!G:G,Match($A31,'Day Range Raw Data'!$B:$B,0)),"")</f>
        <v/>
      </c>
      <c r="H31" t="str">
        <f t="array" ref="H31">IFERROR(INDEX('Day Range Raw Data'!H:H,Match($A31,'Day Range Raw Data'!$B:$B,0)),"")</f>
        <v/>
      </c>
      <c r="I31" t="str">
        <f t="array" ref="I31">IFERROR(INDEX('Day Range Raw Data'!M:M,Match($A31,'Day Range Raw Data'!$B:$B,0)),"")</f>
        <v/>
      </c>
      <c r="J31" t="str">
        <f t="array" ref="J31">IFERROR(INDEX('Day Range Raw Data'!N:N,Match($A31,'Day Range Raw Data'!$B:$B,0)),"")</f>
        <v/>
      </c>
      <c r="K31" t="str">
        <f t="array" ref="K31">IFERROR(INDEX('Day Range Raw Data'!R:R,Match($A31,'Day Range Raw Data'!$B:$B,0)),"")</f>
        <v/>
      </c>
      <c r="L31" t="str">
        <f t="array" ref="L31">IFERROR(INDEX('Day Range Raw Data'!S:S,Match($A31,'Day Range Raw Data'!$B:$B,0)),"")</f>
        <v/>
      </c>
      <c r="M31" t="str">
        <f t="array" ref="M31">IFERROR(INDEX('Day Range Raw Data'!T:T,Match($A31,'Day Range Raw Data'!$B:$B,0)),"")</f>
        <v/>
      </c>
      <c r="N31" t="str">
        <f t="array" ref="N31">IFERROR(INDEX('Day Range Raw Data'!U:U,Match($A31,'Day Range Raw Data'!$B:$B,0)),"")</f>
        <v/>
      </c>
      <c r="O31" t="str">
        <f t="array" ref="O31">IFERROR(INDEX('Day Range Raw Data'!V:V,Match($A31,'Day Range Raw Data'!$B:$B,0)),"")</f>
        <v/>
      </c>
      <c r="P31" t="str">
        <f t="array" ref="P31">IFERROR(INDEX('Day Range Raw Data'!X:X,Match($A31,'Day Range Raw Data'!$B:$B,0)),"")</f>
        <v/>
      </c>
      <c r="Q31" t="str">
        <f t="shared" si="1"/>
        <v/>
      </c>
      <c r="R31" s="9" t="str">
        <f t="shared" si="2"/>
        <v/>
      </c>
      <c r="S31" s="14" t="str">
        <f t="shared" si="3"/>
        <v/>
      </c>
      <c r="T31" s="15" t="str">
        <f>IFERROR(__xludf.DUMMYFUNCTION("IF($A31="""","""",IFERROR(PERCENTRANK.INC(FILTER(Q:Q,$F:$F&lt;&gt;""""),Q31)*100,""""))"),"")</f>
        <v/>
      </c>
      <c r="U31" s="15" t="str">
        <f>IFERROR(__xludf.DUMMYFUNCTION("IF($A31="""","""",IFERROR(PERCENTRANK.INC(FILTER(R:R,$F:$F&lt;&gt;""""),R31)*100,""""))"),"")</f>
        <v/>
      </c>
      <c r="V31" s="15" t="str">
        <f>IFERROR(__xludf.DUMMYFUNCTION("IF($A31="""","""",IFERROR(PERCENTRANK.INC(FILTER(S:S,$F:$F&lt;&gt;""""),S31)*100,""""))"),"")</f>
        <v/>
      </c>
      <c r="W31" s="15" t="str">
        <f t="shared" si="4"/>
        <v/>
      </c>
    </row>
    <row r="32">
      <c r="B32" t="str">
        <f t="array" ref="B32">IFERROR(INDEX('Player Raw Data'!C:C,Match($A32,'Player Raw Data'!$B:$B,0)),"")</f>
        <v/>
      </c>
      <c r="C32" t="str">
        <f t="array" ref="C32">IFERROR(INDEX('Player Raw Data'!D:D,Match($A32,'Player Raw Data'!$B:$B,0)),"")</f>
        <v/>
      </c>
      <c r="D32" t="str">
        <f t="array" ref="D32">IFERROR(IF(A32=A31, INDEX('Player Raw Data'!E:E,Match($A32,'Player Raw Data'!$B:$B,0)+2),INDEX('Player Raw Data'!E:E,Match($A32,'Player Raw Data'!$B:$B,0))),"")</f>
        <v/>
      </c>
      <c r="E32" t="str">
        <f t="array" ref="E32">IFERROR(INDEX('Day Range Raw Data'!D:D,Match($A32,'Day Range Raw Data'!$B:$B,0)),"")</f>
        <v/>
      </c>
      <c r="F32" t="str">
        <f t="array" ref="F32">IFERROR(INDEX('Day Range Raw Data'!F:F,Match($A32,'Day Range Raw Data'!$B:$B,0)),"")</f>
        <v/>
      </c>
      <c r="G32" t="str">
        <f t="array" ref="G32">IFERROR(INDEX('Day Range Raw Data'!G:G,Match($A32,'Day Range Raw Data'!$B:$B,0)),"")</f>
        <v/>
      </c>
      <c r="H32" t="str">
        <f t="array" ref="H32">IFERROR(INDEX('Day Range Raw Data'!H:H,Match($A32,'Day Range Raw Data'!$B:$B,0)),"")</f>
        <v/>
      </c>
      <c r="I32" t="str">
        <f t="array" ref="I32">IFERROR(INDEX('Day Range Raw Data'!M:M,Match($A32,'Day Range Raw Data'!$B:$B,0)),"")</f>
        <v/>
      </c>
      <c r="J32" t="str">
        <f t="array" ref="J32">IFERROR(INDEX('Day Range Raw Data'!N:N,Match($A32,'Day Range Raw Data'!$B:$B,0)),"")</f>
        <v/>
      </c>
      <c r="K32" t="str">
        <f t="array" ref="K32">IFERROR(INDEX('Day Range Raw Data'!R:R,Match($A32,'Day Range Raw Data'!$B:$B,0)),"")</f>
        <v/>
      </c>
      <c r="L32" t="str">
        <f t="array" ref="L32">IFERROR(INDEX('Day Range Raw Data'!S:S,Match($A32,'Day Range Raw Data'!$B:$B,0)),"")</f>
        <v/>
      </c>
      <c r="M32" t="str">
        <f t="array" ref="M32">IFERROR(INDEX('Day Range Raw Data'!T:T,Match($A32,'Day Range Raw Data'!$B:$B,0)),"")</f>
        <v/>
      </c>
      <c r="N32" t="str">
        <f t="array" ref="N32">IFERROR(INDEX('Day Range Raw Data'!U:U,Match($A32,'Day Range Raw Data'!$B:$B,0)),"")</f>
        <v/>
      </c>
      <c r="O32" t="str">
        <f t="array" ref="O32">IFERROR(INDEX('Day Range Raw Data'!V:V,Match($A32,'Day Range Raw Data'!$B:$B,0)),"")</f>
        <v/>
      </c>
      <c r="P32" t="str">
        <f t="array" ref="P32">IFERROR(INDEX('Day Range Raw Data'!X:X,Match($A32,'Day Range Raw Data'!$B:$B,0)),"")</f>
        <v/>
      </c>
      <c r="Q32" t="str">
        <f t="shared" si="1"/>
        <v/>
      </c>
      <c r="R32" s="9" t="str">
        <f t="shared" si="2"/>
        <v/>
      </c>
      <c r="S32" s="14" t="str">
        <f t="shared" si="3"/>
        <v/>
      </c>
      <c r="T32" s="15" t="str">
        <f>IFERROR(__xludf.DUMMYFUNCTION("IF($A32="""","""",IFERROR(PERCENTRANK.INC(FILTER(Q:Q,$F:$F&lt;&gt;""""),Q32)*100,""""))"),"")</f>
        <v/>
      </c>
      <c r="U32" s="15" t="str">
        <f>IFERROR(__xludf.DUMMYFUNCTION("IF($A32="""","""",IFERROR(PERCENTRANK.INC(FILTER(R:R,$F:$F&lt;&gt;""""),R32)*100,""""))"),"")</f>
        <v/>
      </c>
      <c r="V32" s="15" t="str">
        <f>IFERROR(__xludf.DUMMYFUNCTION("IF($A32="""","""",IFERROR(PERCENTRANK.INC(FILTER(S:S,$F:$F&lt;&gt;""""),S32)*100,""""))"),"")</f>
        <v/>
      </c>
      <c r="W32" s="15" t="str">
        <f t="shared" si="4"/>
        <v/>
      </c>
    </row>
    <row r="33">
      <c r="B33" t="str">
        <f t="array" ref="B33">IFERROR(INDEX('Player Raw Data'!C:C,Match($A33,'Player Raw Data'!$B:$B,0)),"")</f>
        <v/>
      </c>
      <c r="C33" t="str">
        <f t="array" ref="C33">IFERROR(INDEX('Player Raw Data'!D:D,Match($A33,'Player Raw Data'!$B:$B,0)),"")</f>
        <v/>
      </c>
      <c r="D33" t="str">
        <f t="array" ref="D33">IFERROR(IF(A33=A32, INDEX('Player Raw Data'!E:E,Match($A33,'Player Raw Data'!$B:$B,0)+2),INDEX('Player Raw Data'!E:E,Match($A33,'Player Raw Data'!$B:$B,0))),"")</f>
        <v/>
      </c>
      <c r="E33" t="str">
        <f t="array" ref="E33">IFERROR(INDEX('Day Range Raw Data'!D:D,Match($A33,'Day Range Raw Data'!$B:$B,0)),"")</f>
        <v/>
      </c>
      <c r="F33" t="str">
        <f t="array" ref="F33">IFERROR(INDEX('Day Range Raw Data'!F:F,Match($A33,'Day Range Raw Data'!$B:$B,0)),"")</f>
        <v/>
      </c>
      <c r="G33" t="str">
        <f t="array" ref="G33">IFERROR(INDEX('Day Range Raw Data'!G:G,Match($A33,'Day Range Raw Data'!$B:$B,0)),"")</f>
        <v/>
      </c>
      <c r="H33" t="str">
        <f t="array" ref="H33">IFERROR(INDEX('Day Range Raw Data'!H:H,Match($A33,'Day Range Raw Data'!$B:$B,0)),"")</f>
        <v/>
      </c>
      <c r="I33" t="str">
        <f t="array" ref="I33">IFERROR(INDEX('Day Range Raw Data'!M:M,Match($A33,'Day Range Raw Data'!$B:$B,0)),"")</f>
        <v/>
      </c>
      <c r="J33" t="str">
        <f t="array" ref="J33">IFERROR(INDEX('Day Range Raw Data'!N:N,Match($A33,'Day Range Raw Data'!$B:$B,0)),"")</f>
        <v/>
      </c>
      <c r="K33" t="str">
        <f t="array" ref="K33">IFERROR(INDEX('Day Range Raw Data'!R:R,Match($A33,'Day Range Raw Data'!$B:$B,0)),"")</f>
        <v/>
      </c>
      <c r="L33" t="str">
        <f t="array" ref="L33">IFERROR(INDEX('Day Range Raw Data'!S:S,Match($A33,'Day Range Raw Data'!$B:$B,0)),"")</f>
        <v/>
      </c>
      <c r="M33" t="str">
        <f t="array" ref="M33">IFERROR(INDEX('Day Range Raw Data'!T:T,Match($A33,'Day Range Raw Data'!$B:$B,0)),"")</f>
        <v/>
      </c>
      <c r="N33" t="str">
        <f t="array" ref="N33">IFERROR(INDEX('Day Range Raw Data'!U:U,Match($A33,'Day Range Raw Data'!$B:$B,0)),"")</f>
        <v/>
      </c>
      <c r="O33" t="str">
        <f t="array" ref="O33">IFERROR(INDEX('Day Range Raw Data'!V:V,Match($A33,'Day Range Raw Data'!$B:$B,0)),"")</f>
        <v/>
      </c>
      <c r="P33" t="str">
        <f t="array" ref="P33">IFERROR(INDEX('Day Range Raw Data'!X:X,Match($A33,'Day Range Raw Data'!$B:$B,0)),"")</f>
        <v/>
      </c>
      <c r="Q33" t="str">
        <f t="shared" si="1"/>
        <v/>
      </c>
      <c r="R33" s="9" t="str">
        <f t="shared" si="2"/>
        <v/>
      </c>
      <c r="S33" s="14" t="str">
        <f t="shared" si="3"/>
        <v/>
      </c>
      <c r="T33" s="15" t="str">
        <f>IFERROR(__xludf.DUMMYFUNCTION("IF($A33="""","""",IFERROR(PERCENTRANK.INC(FILTER(Q:Q,$F:$F&lt;&gt;""""),Q33)*100,""""))"),"")</f>
        <v/>
      </c>
      <c r="U33" s="15" t="str">
        <f>IFERROR(__xludf.DUMMYFUNCTION("IF($A33="""","""",IFERROR(PERCENTRANK.INC(FILTER(R:R,$F:$F&lt;&gt;""""),R33)*100,""""))"),"")</f>
        <v/>
      </c>
      <c r="V33" s="15" t="str">
        <f>IFERROR(__xludf.DUMMYFUNCTION("IF($A33="""","""",IFERROR(PERCENTRANK.INC(FILTER(S:S,$F:$F&lt;&gt;""""),S33)*100,""""))"),"")</f>
        <v/>
      </c>
      <c r="W33" s="15" t="str">
        <f t="shared" si="4"/>
        <v/>
      </c>
    </row>
    <row r="34">
      <c r="B34" t="str">
        <f t="array" ref="B34">IFERROR(INDEX('Player Raw Data'!C:C,Match($A34,'Player Raw Data'!$B:$B,0)),"")</f>
        <v/>
      </c>
      <c r="C34" t="str">
        <f t="array" ref="C34">IFERROR(INDEX('Player Raw Data'!D:D,Match($A34,'Player Raw Data'!$B:$B,0)),"")</f>
        <v/>
      </c>
      <c r="D34" t="str">
        <f t="array" ref="D34">IFERROR(IF(A34=A33, INDEX('Player Raw Data'!E:E,Match($A34,'Player Raw Data'!$B:$B,0)+2),INDEX('Player Raw Data'!E:E,Match($A34,'Player Raw Data'!$B:$B,0))),"")</f>
        <v/>
      </c>
      <c r="E34" t="str">
        <f t="array" ref="E34">IFERROR(INDEX('Day Range Raw Data'!D:D,Match($A34,'Day Range Raw Data'!$B:$B,0)),"")</f>
        <v/>
      </c>
      <c r="F34" t="str">
        <f t="array" ref="F34">IFERROR(INDEX('Day Range Raw Data'!F:F,Match($A34,'Day Range Raw Data'!$B:$B,0)),"")</f>
        <v/>
      </c>
      <c r="G34" t="str">
        <f t="array" ref="G34">IFERROR(INDEX('Day Range Raw Data'!G:G,Match($A34,'Day Range Raw Data'!$B:$B,0)),"")</f>
        <v/>
      </c>
      <c r="H34" t="str">
        <f t="array" ref="H34">IFERROR(INDEX('Day Range Raw Data'!H:H,Match($A34,'Day Range Raw Data'!$B:$B,0)),"")</f>
        <v/>
      </c>
      <c r="I34" t="str">
        <f t="array" ref="I34">IFERROR(INDEX('Day Range Raw Data'!M:M,Match($A34,'Day Range Raw Data'!$B:$B,0)),"")</f>
        <v/>
      </c>
      <c r="J34" t="str">
        <f t="array" ref="J34">IFERROR(INDEX('Day Range Raw Data'!N:N,Match($A34,'Day Range Raw Data'!$B:$B,0)),"")</f>
        <v/>
      </c>
      <c r="K34" t="str">
        <f t="array" ref="K34">IFERROR(INDEX('Day Range Raw Data'!R:R,Match($A34,'Day Range Raw Data'!$B:$B,0)),"")</f>
        <v/>
      </c>
      <c r="L34" t="str">
        <f t="array" ref="L34">IFERROR(INDEX('Day Range Raw Data'!S:S,Match($A34,'Day Range Raw Data'!$B:$B,0)),"")</f>
        <v/>
      </c>
      <c r="M34" t="str">
        <f t="array" ref="M34">IFERROR(INDEX('Day Range Raw Data'!T:T,Match($A34,'Day Range Raw Data'!$B:$B,0)),"")</f>
        <v/>
      </c>
      <c r="N34" t="str">
        <f t="array" ref="N34">IFERROR(INDEX('Day Range Raw Data'!U:U,Match($A34,'Day Range Raw Data'!$B:$B,0)),"")</f>
        <v/>
      </c>
      <c r="O34" t="str">
        <f t="array" ref="O34">IFERROR(INDEX('Day Range Raw Data'!V:V,Match($A34,'Day Range Raw Data'!$B:$B,0)),"")</f>
        <v/>
      </c>
      <c r="P34" t="str">
        <f t="array" ref="P34">IFERROR(INDEX('Day Range Raw Data'!X:X,Match($A34,'Day Range Raw Data'!$B:$B,0)),"")</f>
        <v/>
      </c>
      <c r="Q34" t="str">
        <f t="shared" si="1"/>
        <v/>
      </c>
      <c r="R34" s="9" t="str">
        <f t="shared" si="2"/>
        <v/>
      </c>
      <c r="S34" s="14" t="str">
        <f t="shared" si="3"/>
        <v/>
      </c>
      <c r="T34" s="15" t="str">
        <f>IFERROR(__xludf.DUMMYFUNCTION("IF($A34="""","""",IFERROR(PERCENTRANK.INC(FILTER(Q:Q,$F:$F&lt;&gt;""""),Q34)*100,""""))"),"")</f>
        <v/>
      </c>
      <c r="U34" s="15" t="str">
        <f>IFERROR(__xludf.DUMMYFUNCTION("IF($A34="""","""",IFERROR(PERCENTRANK.INC(FILTER(R:R,$F:$F&lt;&gt;""""),R34)*100,""""))"),"")</f>
        <v/>
      </c>
      <c r="V34" s="15" t="str">
        <f>IFERROR(__xludf.DUMMYFUNCTION("IF($A34="""","""",IFERROR(PERCENTRANK.INC(FILTER(S:S,$F:$F&lt;&gt;""""),S34)*100,""""))"),"")</f>
        <v/>
      </c>
      <c r="W34" s="15" t="str">
        <f t="shared" si="4"/>
        <v/>
      </c>
    </row>
    <row r="35">
      <c r="B35" t="str">
        <f t="array" ref="B35">IFERROR(INDEX('Player Raw Data'!C:C,Match($A35,'Player Raw Data'!$B:$B,0)),"")</f>
        <v/>
      </c>
      <c r="C35" t="str">
        <f t="array" ref="C35">IFERROR(INDEX('Player Raw Data'!D:D,Match($A35,'Player Raw Data'!$B:$B,0)),"")</f>
        <v/>
      </c>
      <c r="D35" t="str">
        <f t="array" ref="D35">IFERROR(IF(A35=A34, INDEX('Player Raw Data'!E:E,Match($A35,'Player Raw Data'!$B:$B,0)+2),INDEX('Player Raw Data'!E:E,Match($A35,'Player Raw Data'!$B:$B,0))),"")</f>
        <v/>
      </c>
      <c r="E35" t="str">
        <f t="array" ref="E35">IFERROR(INDEX('Day Range Raw Data'!D:D,Match($A35,'Day Range Raw Data'!$B:$B,0)),"")</f>
        <v/>
      </c>
      <c r="F35" t="str">
        <f t="array" ref="F35">IFERROR(INDEX('Day Range Raw Data'!F:F,Match($A35,'Day Range Raw Data'!$B:$B,0)),"")</f>
        <v/>
      </c>
      <c r="G35" t="str">
        <f t="array" ref="G35">IFERROR(INDEX('Day Range Raw Data'!G:G,Match($A35,'Day Range Raw Data'!$B:$B,0)),"")</f>
        <v/>
      </c>
      <c r="H35" t="str">
        <f t="array" ref="H35">IFERROR(INDEX('Day Range Raw Data'!H:H,Match($A35,'Day Range Raw Data'!$B:$B,0)),"")</f>
        <v/>
      </c>
      <c r="I35" t="str">
        <f t="array" ref="I35">IFERROR(INDEX('Day Range Raw Data'!M:M,Match($A35,'Day Range Raw Data'!$B:$B,0)),"")</f>
        <v/>
      </c>
      <c r="J35" t="str">
        <f t="array" ref="J35">IFERROR(INDEX('Day Range Raw Data'!N:N,Match($A35,'Day Range Raw Data'!$B:$B,0)),"")</f>
        <v/>
      </c>
      <c r="K35" t="str">
        <f t="array" ref="K35">IFERROR(INDEX('Day Range Raw Data'!R:R,Match($A35,'Day Range Raw Data'!$B:$B,0)),"")</f>
        <v/>
      </c>
      <c r="L35" t="str">
        <f t="array" ref="L35">IFERROR(INDEX('Day Range Raw Data'!S:S,Match($A35,'Day Range Raw Data'!$B:$B,0)),"")</f>
        <v/>
      </c>
      <c r="M35" t="str">
        <f t="array" ref="M35">IFERROR(INDEX('Day Range Raw Data'!T:T,Match($A35,'Day Range Raw Data'!$B:$B,0)),"")</f>
        <v/>
      </c>
      <c r="N35" t="str">
        <f t="array" ref="N35">IFERROR(INDEX('Day Range Raw Data'!U:U,Match($A35,'Day Range Raw Data'!$B:$B,0)),"")</f>
        <v/>
      </c>
      <c r="O35" t="str">
        <f t="array" ref="O35">IFERROR(INDEX('Day Range Raw Data'!V:V,Match($A35,'Day Range Raw Data'!$B:$B,0)),"")</f>
        <v/>
      </c>
      <c r="P35" t="str">
        <f t="array" ref="P35">IFERROR(INDEX('Day Range Raw Data'!X:X,Match($A35,'Day Range Raw Data'!$B:$B,0)),"")</f>
        <v/>
      </c>
      <c r="Q35" t="str">
        <f t="shared" si="1"/>
        <v/>
      </c>
      <c r="R35" s="9" t="str">
        <f t="shared" si="2"/>
        <v/>
      </c>
      <c r="S35" s="14" t="str">
        <f t="shared" si="3"/>
        <v/>
      </c>
      <c r="T35" s="15" t="str">
        <f>IFERROR(__xludf.DUMMYFUNCTION("IF($A35="""","""",IFERROR(PERCENTRANK.INC(FILTER(Q:Q,$F:$F&lt;&gt;""""),Q35)*100,""""))"),"")</f>
        <v/>
      </c>
      <c r="U35" s="15" t="str">
        <f>IFERROR(__xludf.DUMMYFUNCTION("IF($A35="""","""",IFERROR(PERCENTRANK.INC(FILTER(R:R,$F:$F&lt;&gt;""""),R35)*100,""""))"),"")</f>
        <v/>
      </c>
      <c r="V35" s="15" t="str">
        <f>IFERROR(__xludf.DUMMYFUNCTION("IF($A35="""","""",IFERROR(PERCENTRANK.INC(FILTER(S:S,$F:$F&lt;&gt;""""),S35)*100,""""))"),"")</f>
        <v/>
      </c>
      <c r="W35" s="15" t="str">
        <f t="shared" si="4"/>
        <v/>
      </c>
    </row>
    <row r="36">
      <c r="B36" t="str">
        <f t="array" ref="B36">IFERROR(INDEX('Player Raw Data'!C:C,Match($A36,'Player Raw Data'!$B:$B,0)),"")</f>
        <v/>
      </c>
      <c r="C36" t="str">
        <f t="array" ref="C36">IFERROR(INDEX('Player Raw Data'!D:D,Match($A36,'Player Raw Data'!$B:$B,0)),"")</f>
        <v/>
      </c>
      <c r="D36" t="str">
        <f t="array" ref="D36">IFERROR(IF(A36=A35, INDEX('Player Raw Data'!E:E,Match($A36,'Player Raw Data'!$B:$B,0)+2),INDEX('Player Raw Data'!E:E,Match($A36,'Player Raw Data'!$B:$B,0))),"")</f>
        <v/>
      </c>
      <c r="E36" t="str">
        <f t="array" ref="E36">IFERROR(INDEX('Day Range Raw Data'!D:D,Match($A36,'Day Range Raw Data'!$B:$B,0)),"")</f>
        <v/>
      </c>
      <c r="F36" t="str">
        <f t="array" ref="F36">IFERROR(INDEX('Day Range Raw Data'!F:F,Match($A36,'Day Range Raw Data'!$B:$B,0)),"")</f>
        <v/>
      </c>
      <c r="G36" t="str">
        <f t="array" ref="G36">IFERROR(INDEX('Day Range Raw Data'!G:G,Match($A36,'Day Range Raw Data'!$B:$B,0)),"")</f>
        <v/>
      </c>
      <c r="H36" t="str">
        <f t="array" ref="H36">IFERROR(INDEX('Day Range Raw Data'!H:H,Match($A36,'Day Range Raw Data'!$B:$B,0)),"")</f>
        <v/>
      </c>
      <c r="I36" t="str">
        <f t="array" ref="I36">IFERROR(INDEX('Day Range Raw Data'!M:M,Match($A36,'Day Range Raw Data'!$B:$B,0)),"")</f>
        <v/>
      </c>
      <c r="J36" t="str">
        <f t="array" ref="J36">IFERROR(INDEX('Day Range Raw Data'!N:N,Match($A36,'Day Range Raw Data'!$B:$B,0)),"")</f>
        <v/>
      </c>
      <c r="K36" t="str">
        <f t="array" ref="K36">IFERROR(INDEX('Day Range Raw Data'!R:R,Match($A36,'Day Range Raw Data'!$B:$B,0)),"")</f>
        <v/>
      </c>
      <c r="L36" t="str">
        <f t="array" ref="L36">IFERROR(INDEX('Day Range Raw Data'!S:S,Match($A36,'Day Range Raw Data'!$B:$B,0)),"")</f>
        <v/>
      </c>
      <c r="M36" t="str">
        <f t="array" ref="M36">IFERROR(INDEX('Day Range Raw Data'!T:T,Match($A36,'Day Range Raw Data'!$B:$B,0)),"")</f>
        <v/>
      </c>
      <c r="N36" t="str">
        <f t="array" ref="N36">IFERROR(INDEX('Day Range Raw Data'!U:U,Match($A36,'Day Range Raw Data'!$B:$B,0)),"")</f>
        <v/>
      </c>
      <c r="O36" t="str">
        <f t="array" ref="O36">IFERROR(INDEX('Day Range Raw Data'!V:V,Match($A36,'Day Range Raw Data'!$B:$B,0)),"")</f>
        <v/>
      </c>
      <c r="P36" t="str">
        <f t="array" ref="P36">IFERROR(INDEX('Day Range Raw Data'!X:X,Match($A36,'Day Range Raw Data'!$B:$B,0)),"")</f>
        <v/>
      </c>
      <c r="Q36" t="str">
        <f t="shared" si="1"/>
        <v/>
      </c>
      <c r="R36" s="9" t="str">
        <f t="shared" si="2"/>
        <v/>
      </c>
      <c r="S36" s="14" t="str">
        <f t="shared" si="3"/>
        <v/>
      </c>
      <c r="T36" s="15" t="str">
        <f>IFERROR(__xludf.DUMMYFUNCTION("IF($A36="""","""",IFERROR(PERCENTRANK.INC(FILTER(Q:Q,$F:$F&lt;&gt;""""),Q36)*100,""""))"),"")</f>
        <v/>
      </c>
      <c r="U36" s="15" t="str">
        <f>IFERROR(__xludf.DUMMYFUNCTION("IF($A36="""","""",IFERROR(PERCENTRANK.INC(FILTER(R:R,$F:$F&lt;&gt;""""),R36)*100,""""))"),"")</f>
        <v/>
      </c>
      <c r="V36" s="15" t="str">
        <f>IFERROR(__xludf.DUMMYFUNCTION("IF($A36="""","""",IFERROR(PERCENTRANK.INC(FILTER(S:S,$F:$F&lt;&gt;""""),S36)*100,""""))"),"")</f>
        <v/>
      </c>
      <c r="W36" s="15" t="str">
        <f t="shared" si="4"/>
        <v/>
      </c>
    </row>
    <row r="37">
      <c r="B37" t="str">
        <f t="array" ref="B37">IFERROR(INDEX('Player Raw Data'!C:C,Match($A37,'Player Raw Data'!$B:$B,0)),"")</f>
        <v/>
      </c>
      <c r="C37" t="str">
        <f t="array" ref="C37">IFERROR(INDEX('Player Raw Data'!D:D,Match($A37,'Player Raw Data'!$B:$B,0)),"")</f>
        <v/>
      </c>
      <c r="D37" t="str">
        <f t="array" ref="D37">IFERROR(IF(A37=A36, INDEX('Player Raw Data'!E:E,Match($A37,'Player Raw Data'!$B:$B,0)+2),INDEX('Player Raw Data'!E:E,Match($A37,'Player Raw Data'!$B:$B,0))),"")</f>
        <v/>
      </c>
      <c r="E37" t="str">
        <f t="array" ref="E37">IFERROR(INDEX('Day Range Raw Data'!D:D,Match($A37,'Day Range Raw Data'!$B:$B,0)),"")</f>
        <v/>
      </c>
      <c r="F37" t="str">
        <f t="array" ref="F37">IFERROR(INDEX('Day Range Raw Data'!F:F,Match($A37,'Day Range Raw Data'!$B:$B,0)),"")</f>
        <v/>
      </c>
      <c r="G37" t="str">
        <f t="array" ref="G37">IFERROR(INDEX('Day Range Raw Data'!G:G,Match($A37,'Day Range Raw Data'!$B:$B,0)),"")</f>
        <v/>
      </c>
      <c r="H37" t="str">
        <f t="array" ref="H37">IFERROR(INDEX('Day Range Raw Data'!H:H,Match($A37,'Day Range Raw Data'!$B:$B,0)),"")</f>
        <v/>
      </c>
      <c r="I37" t="str">
        <f t="array" ref="I37">IFERROR(INDEX('Day Range Raw Data'!M:M,Match($A37,'Day Range Raw Data'!$B:$B,0)),"")</f>
        <v/>
      </c>
      <c r="J37" t="str">
        <f t="array" ref="J37">IFERROR(INDEX('Day Range Raw Data'!N:N,Match($A37,'Day Range Raw Data'!$B:$B,0)),"")</f>
        <v/>
      </c>
      <c r="K37" t="str">
        <f t="array" ref="K37">IFERROR(INDEX('Day Range Raw Data'!R:R,Match($A37,'Day Range Raw Data'!$B:$B,0)),"")</f>
        <v/>
      </c>
      <c r="L37" t="str">
        <f t="array" ref="L37">IFERROR(INDEX('Day Range Raw Data'!S:S,Match($A37,'Day Range Raw Data'!$B:$B,0)),"")</f>
        <v/>
      </c>
      <c r="M37" t="str">
        <f t="array" ref="M37">IFERROR(INDEX('Day Range Raw Data'!T:T,Match($A37,'Day Range Raw Data'!$B:$B,0)),"")</f>
        <v/>
      </c>
      <c r="N37" t="str">
        <f t="array" ref="N37">IFERROR(INDEX('Day Range Raw Data'!U:U,Match($A37,'Day Range Raw Data'!$B:$B,0)),"")</f>
        <v/>
      </c>
      <c r="O37" t="str">
        <f t="array" ref="O37">IFERROR(INDEX('Day Range Raw Data'!V:V,Match($A37,'Day Range Raw Data'!$B:$B,0)),"")</f>
        <v/>
      </c>
      <c r="P37" t="str">
        <f t="array" ref="P37">IFERROR(INDEX('Day Range Raw Data'!X:X,Match($A37,'Day Range Raw Data'!$B:$B,0)),"")</f>
        <v/>
      </c>
      <c r="Q37" t="str">
        <f t="shared" si="1"/>
        <v/>
      </c>
      <c r="R37" s="9" t="str">
        <f t="shared" si="2"/>
        <v/>
      </c>
      <c r="S37" s="14" t="str">
        <f t="shared" si="3"/>
        <v/>
      </c>
      <c r="T37" s="15" t="str">
        <f>IFERROR(__xludf.DUMMYFUNCTION("IF($A37="""","""",IFERROR(PERCENTRANK.INC(FILTER(Q:Q,$F:$F&lt;&gt;""""),Q37)*100,""""))"),"")</f>
        <v/>
      </c>
      <c r="U37" s="15" t="str">
        <f>IFERROR(__xludf.DUMMYFUNCTION("IF($A37="""","""",IFERROR(PERCENTRANK.INC(FILTER(R:R,$F:$F&lt;&gt;""""),R37)*100,""""))"),"")</f>
        <v/>
      </c>
      <c r="V37" s="15" t="str">
        <f>IFERROR(__xludf.DUMMYFUNCTION("IF($A37="""","""",IFERROR(PERCENTRANK.INC(FILTER(S:S,$F:$F&lt;&gt;""""),S37)*100,""""))"),"")</f>
        <v/>
      </c>
      <c r="W37" s="15" t="str">
        <f t="shared" si="4"/>
        <v/>
      </c>
    </row>
    <row r="38">
      <c r="B38" t="str">
        <f t="array" ref="B38">IFERROR(INDEX('Player Raw Data'!C:C,Match($A38,'Player Raw Data'!$B:$B,0)),"")</f>
        <v/>
      </c>
      <c r="C38" t="str">
        <f t="array" ref="C38">IFERROR(INDEX('Player Raw Data'!D:D,Match($A38,'Player Raw Data'!$B:$B,0)),"")</f>
        <v/>
      </c>
      <c r="D38" t="str">
        <f t="array" ref="D38">IFERROR(IF(A38=A37, INDEX('Player Raw Data'!E:E,Match($A38,'Player Raw Data'!$B:$B,0)+2),INDEX('Player Raw Data'!E:E,Match($A38,'Player Raw Data'!$B:$B,0))),"")</f>
        <v/>
      </c>
      <c r="E38" t="str">
        <f t="array" ref="E38">IFERROR(INDEX('Day Range Raw Data'!D:D,Match($A38,'Day Range Raw Data'!$B:$B,0)),"")</f>
        <v/>
      </c>
      <c r="F38" t="str">
        <f t="array" ref="F38">IFERROR(INDEX('Day Range Raw Data'!F:F,Match($A38,'Day Range Raw Data'!$B:$B,0)),"")</f>
        <v/>
      </c>
      <c r="G38" t="str">
        <f t="array" ref="G38">IFERROR(INDEX('Day Range Raw Data'!G:G,Match($A38,'Day Range Raw Data'!$B:$B,0)),"")</f>
        <v/>
      </c>
      <c r="H38" t="str">
        <f t="array" ref="H38">IFERROR(INDEX('Day Range Raw Data'!H:H,Match($A38,'Day Range Raw Data'!$B:$B,0)),"")</f>
        <v/>
      </c>
      <c r="I38" t="str">
        <f t="array" ref="I38">IFERROR(INDEX('Day Range Raw Data'!M:M,Match($A38,'Day Range Raw Data'!$B:$B,0)),"")</f>
        <v/>
      </c>
      <c r="J38" t="str">
        <f t="array" ref="J38">IFERROR(INDEX('Day Range Raw Data'!N:N,Match($A38,'Day Range Raw Data'!$B:$B,0)),"")</f>
        <v/>
      </c>
      <c r="K38" t="str">
        <f t="array" ref="K38">IFERROR(INDEX('Day Range Raw Data'!R:R,Match($A38,'Day Range Raw Data'!$B:$B,0)),"")</f>
        <v/>
      </c>
      <c r="L38" t="str">
        <f t="array" ref="L38">IFERROR(INDEX('Day Range Raw Data'!S:S,Match($A38,'Day Range Raw Data'!$B:$B,0)),"")</f>
        <v/>
      </c>
      <c r="M38" t="str">
        <f t="array" ref="M38">IFERROR(INDEX('Day Range Raw Data'!T:T,Match($A38,'Day Range Raw Data'!$B:$B,0)),"")</f>
        <v/>
      </c>
      <c r="N38" t="str">
        <f t="array" ref="N38">IFERROR(INDEX('Day Range Raw Data'!U:U,Match($A38,'Day Range Raw Data'!$B:$B,0)),"")</f>
        <v/>
      </c>
      <c r="O38" t="str">
        <f t="array" ref="O38">IFERROR(INDEX('Day Range Raw Data'!V:V,Match($A38,'Day Range Raw Data'!$B:$B,0)),"")</f>
        <v/>
      </c>
      <c r="P38" t="str">
        <f t="array" ref="P38">IFERROR(INDEX('Day Range Raw Data'!X:X,Match($A38,'Day Range Raw Data'!$B:$B,0)),"")</f>
        <v/>
      </c>
      <c r="Q38" t="str">
        <f t="shared" si="1"/>
        <v/>
      </c>
      <c r="R38" s="9" t="str">
        <f t="shared" si="2"/>
        <v/>
      </c>
      <c r="S38" s="14" t="str">
        <f t="shared" si="3"/>
        <v/>
      </c>
      <c r="T38" s="15" t="str">
        <f>IFERROR(__xludf.DUMMYFUNCTION("IF($A38="""","""",IFERROR(PERCENTRANK.INC(FILTER(Q:Q,$F:$F&lt;&gt;""""),Q38)*100,""""))"),"")</f>
        <v/>
      </c>
      <c r="U38" s="15" t="str">
        <f>IFERROR(__xludf.DUMMYFUNCTION("IF($A38="""","""",IFERROR(PERCENTRANK.INC(FILTER(R:R,$F:$F&lt;&gt;""""),R38)*100,""""))"),"")</f>
        <v/>
      </c>
      <c r="V38" s="15" t="str">
        <f>IFERROR(__xludf.DUMMYFUNCTION("IF($A38="""","""",IFERROR(PERCENTRANK.INC(FILTER(S:S,$F:$F&lt;&gt;""""),S38)*100,""""))"),"")</f>
        <v/>
      </c>
      <c r="W38" s="15" t="str">
        <f t="shared" si="4"/>
        <v/>
      </c>
    </row>
    <row r="39">
      <c r="B39" t="str">
        <f t="array" ref="B39">IFERROR(INDEX('Player Raw Data'!C:C,Match($A39,'Player Raw Data'!$B:$B,0)),"")</f>
        <v/>
      </c>
      <c r="C39" t="str">
        <f t="array" ref="C39">IFERROR(INDEX('Player Raw Data'!D:D,Match($A39,'Player Raw Data'!$B:$B,0)),"")</f>
        <v/>
      </c>
      <c r="D39" t="str">
        <f t="array" ref="D39">IFERROR(IF(A39=A38, INDEX('Player Raw Data'!E:E,Match($A39,'Player Raw Data'!$B:$B,0)+2),INDEX('Player Raw Data'!E:E,Match($A39,'Player Raw Data'!$B:$B,0))),"")</f>
        <v/>
      </c>
      <c r="E39" t="str">
        <f t="array" ref="E39">IFERROR(INDEX('Day Range Raw Data'!D:D,Match($A39,'Day Range Raw Data'!$B:$B,0)),"")</f>
        <v/>
      </c>
      <c r="F39" t="str">
        <f t="array" ref="F39">IFERROR(INDEX('Day Range Raw Data'!F:F,Match($A39,'Day Range Raw Data'!$B:$B,0)),"")</f>
        <v/>
      </c>
      <c r="G39" t="str">
        <f t="array" ref="G39">IFERROR(INDEX('Day Range Raw Data'!G:G,Match($A39,'Day Range Raw Data'!$B:$B,0)),"")</f>
        <v/>
      </c>
      <c r="H39" t="str">
        <f t="array" ref="H39">IFERROR(INDEX('Day Range Raw Data'!H:H,Match($A39,'Day Range Raw Data'!$B:$B,0)),"")</f>
        <v/>
      </c>
      <c r="I39" t="str">
        <f t="array" ref="I39">IFERROR(INDEX('Day Range Raw Data'!M:M,Match($A39,'Day Range Raw Data'!$B:$B,0)),"")</f>
        <v/>
      </c>
      <c r="J39" t="str">
        <f t="array" ref="J39">IFERROR(INDEX('Day Range Raw Data'!N:N,Match($A39,'Day Range Raw Data'!$B:$B,0)),"")</f>
        <v/>
      </c>
      <c r="K39" t="str">
        <f t="array" ref="K39">IFERROR(INDEX('Day Range Raw Data'!R:R,Match($A39,'Day Range Raw Data'!$B:$B,0)),"")</f>
        <v/>
      </c>
      <c r="L39" t="str">
        <f t="array" ref="L39">IFERROR(INDEX('Day Range Raw Data'!S:S,Match($A39,'Day Range Raw Data'!$B:$B,0)),"")</f>
        <v/>
      </c>
      <c r="M39" t="str">
        <f t="array" ref="M39">IFERROR(INDEX('Day Range Raw Data'!T:T,Match($A39,'Day Range Raw Data'!$B:$B,0)),"")</f>
        <v/>
      </c>
      <c r="N39" t="str">
        <f t="array" ref="N39">IFERROR(INDEX('Day Range Raw Data'!U:U,Match($A39,'Day Range Raw Data'!$B:$B,0)),"")</f>
        <v/>
      </c>
      <c r="O39" t="str">
        <f t="array" ref="O39">IFERROR(INDEX('Day Range Raw Data'!V:V,Match($A39,'Day Range Raw Data'!$B:$B,0)),"")</f>
        <v/>
      </c>
      <c r="P39" t="str">
        <f t="array" ref="P39">IFERROR(INDEX('Day Range Raw Data'!X:X,Match($A39,'Day Range Raw Data'!$B:$B,0)),"")</f>
        <v/>
      </c>
      <c r="Q39" t="str">
        <f t="shared" si="1"/>
        <v/>
      </c>
      <c r="R39" s="9" t="str">
        <f t="shared" si="2"/>
        <v/>
      </c>
      <c r="S39" s="14" t="str">
        <f t="shared" si="3"/>
        <v/>
      </c>
      <c r="T39" s="15" t="str">
        <f>IFERROR(__xludf.DUMMYFUNCTION("IF($A39="""","""",IFERROR(PERCENTRANK.INC(FILTER(Q:Q,$F:$F&lt;&gt;""""),Q39)*100,""""))"),"")</f>
        <v/>
      </c>
      <c r="U39" s="15" t="str">
        <f>IFERROR(__xludf.DUMMYFUNCTION("IF($A39="""","""",IFERROR(PERCENTRANK.INC(FILTER(R:R,$F:$F&lt;&gt;""""),R39)*100,""""))"),"")</f>
        <v/>
      </c>
      <c r="V39" s="15" t="str">
        <f>IFERROR(__xludf.DUMMYFUNCTION("IF($A39="""","""",IFERROR(PERCENTRANK.INC(FILTER(S:S,$F:$F&lt;&gt;""""),S39)*100,""""))"),"")</f>
        <v/>
      </c>
      <c r="W39" s="15" t="str">
        <f t="shared" si="4"/>
        <v/>
      </c>
    </row>
    <row r="40">
      <c r="B40" t="str">
        <f t="array" ref="B40">IFERROR(INDEX('Player Raw Data'!C:C,Match($A40,'Player Raw Data'!$B:$B,0)),"")</f>
        <v/>
      </c>
      <c r="C40" t="str">
        <f t="array" ref="C40">IFERROR(INDEX('Player Raw Data'!D:D,Match($A40,'Player Raw Data'!$B:$B,0)),"")</f>
        <v/>
      </c>
      <c r="D40" t="str">
        <f t="array" ref="D40">IFERROR(IF(A40=A39, INDEX('Player Raw Data'!E:E,Match($A40,'Player Raw Data'!$B:$B,0)+2),INDEX('Player Raw Data'!E:E,Match($A40,'Player Raw Data'!$B:$B,0))),"")</f>
        <v/>
      </c>
      <c r="E40" t="str">
        <f t="array" ref="E40">IFERROR(INDEX('Day Range Raw Data'!D:D,Match($A40,'Day Range Raw Data'!$B:$B,0)),"")</f>
        <v/>
      </c>
      <c r="F40" t="str">
        <f t="array" ref="F40">IFERROR(INDEX('Day Range Raw Data'!F:F,Match($A40,'Day Range Raw Data'!$B:$B,0)),"")</f>
        <v/>
      </c>
      <c r="G40" t="str">
        <f t="array" ref="G40">IFERROR(INDEX('Day Range Raw Data'!G:G,Match($A40,'Day Range Raw Data'!$B:$B,0)),"")</f>
        <v/>
      </c>
      <c r="H40" t="str">
        <f t="array" ref="H40">IFERROR(INDEX('Day Range Raw Data'!H:H,Match($A40,'Day Range Raw Data'!$B:$B,0)),"")</f>
        <v/>
      </c>
      <c r="I40" t="str">
        <f t="array" ref="I40">IFERROR(INDEX('Day Range Raw Data'!M:M,Match($A40,'Day Range Raw Data'!$B:$B,0)),"")</f>
        <v/>
      </c>
      <c r="J40" t="str">
        <f t="array" ref="J40">IFERROR(INDEX('Day Range Raw Data'!N:N,Match($A40,'Day Range Raw Data'!$B:$B,0)),"")</f>
        <v/>
      </c>
      <c r="K40" t="str">
        <f t="array" ref="K40">IFERROR(INDEX('Day Range Raw Data'!R:R,Match($A40,'Day Range Raw Data'!$B:$B,0)),"")</f>
        <v/>
      </c>
      <c r="L40" t="str">
        <f t="array" ref="L40">IFERROR(INDEX('Day Range Raw Data'!S:S,Match($A40,'Day Range Raw Data'!$B:$B,0)),"")</f>
        <v/>
      </c>
      <c r="M40" t="str">
        <f t="array" ref="M40">IFERROR(INDEX('Day Range Raw Data'!T:T,Match($A40,'Day Range Raw Data'!$B:$B,0)),"")</f>
        <v/>
      </c>
      <c r="N40" t="str">
        <f t="array" ref="N40">IFERROR(INDEX('Day Range Raw Data'!U:U,Match($A40,'Day Range Raw Data'!$B:$B,0)),"")</f>
        <v/>
      </c>
      <c r="O40" t="str">
        <f t="array" ref="O40">IFERROR(INDEX('Day Range Raw Data'!V:V,Match($A40,'Day Range Raw Data'!$B:$B,0)),"")</f>
        <v/>
      </c>
      <c r="P40" t="str">
        <f t="array" ref="P40">IFERROR(INDEX('Day Range Raw Data'!X:X,Match($A40,'Day Range Raw Data'!$B:$B,0)),"")</f>
        <v/>
      </c>
      <c r="Q40" t="str">
        <f t="shared" si="1"/>
        <v/>
      </c>
      <c r="R40" s="9" t="str">
        <f t="shared" si="2"/>
        <v/>
      </c>
      <c r="S40" s="14" t="str">
        <f t="shared" si="3"/>
        <v/>
      </c>
      <c r="T40" s="15" t="str">
        <f>IFERROR(__xludf.DUMMYFUNCTION("IF($A40="""","""",IFERROR(PERCENTRANK.INC(FILTER(Q:Q,$F:$F&lt;&gt;""""),Q40)*100,""""))"),"")</f>
        <v/>
      </c>
      <c r="U40" s="15" t="str">
        <f>IFERROR(__xludf.DUMMYFUNCTION("IF($A40="""","""",IFERROR(PERCENTRANK.INC(FILTER(R:R,$F:$F&lt;&gt;""""),R40)*100,""""))"),"")</f>
        <v/>
      </c>
      <c r="V40" s="15" t="str">
        <f>IFERROR(__xludf.DUMMYFUNCTION("IF($A40="""","""",IFERROR(PERCENTRANK.INC(FILTER(S:S,$F:$F&lt;&gt;""""),S40)*100,""""))"),"")</f>
        <v/>
      </c>
      <c r="W40" s="15" t="str">
        <f t="shared" si="4"/>
        <v/>
      </c>
    </row>
    <row r="41">
      <c r="B41" t="str">
        <f t="array" ref="B41">IFERROR(INDEX('Player Raw Data'!C:C,Match($A41,'Player Raw Data'!$B:$B,0)),"")</f>
        <v/>
      </c>
      <c r="C41" t="str">
        <f t="array" ref="C41">IFERROR(INDEX('Player Raw Data'!D:D,Match($A41,'Player Raw Data'!$B:$B,0)),"")</f>
        <v/>
      </c>
      <c r="D41" t="str">
        <f t="array" ref="D41">IFERROR(IF(A41=A40, INDEX('Player Raw Data'!E:E,Match($A41,'Player Raw Data'!$B:$B,0)+2),INDEX('Player Raw Data'!E:E,Match($A41,'Player Raw Data'!$B:$B,0))),"")</f>
        <v/>
      </c>
      <c r="E41" t="str">
        <f t="array" ref="E41">IFERROR(INDEX('Day Range Raw Data'!D:D,Match($A41,'Day Range Raw Data'!$B:$B,0)),"")</f>
        <v/>
      </c>
      <c r="F41" t="str">
        <f t="array" ref="F41">IFERROR(INDEX('Day Range Raw Data'!F:F,Match($A41,'Day Range Raw Data'!$B:$B,0)),"")</f>
        <v/>
      </c>
      <c r="G41" t="str">
        <f t="array" ref="G41">IFERROR(INDEX('Day Range Raw Data'!G:G,Match($A41,'Day Range Raw Data'!$B:$B,0)),"")</f>
        <v/>
      </c>
      <c r="H41" t="str">
        <f t="array" ref="H41">IFERROR(INDEX('Day Range Raw Data'!H:H,Match($A41,'Day Range Raw Data'!$B:$B,0)),"")</f>
        <v/>
      </c>
      <c r="I41" t="str">
        <f t="array" ref="I41">IFERROR(INDEX('Day Range Raw Data'!M:M,Match($A41,'Day Range Raw Data'!$B:$B,0)),"")</f>
        <v/>
      </c>
      <c r="J41" t="str">
        <f t="array" ref="J41">IFERROR(INDEX('Day Range Raw Data'!N:N,Match($A41,'Day Range Raw Data'!$B:$B,0)),"")</f>
        <v/>
      </c>
      <c r="K41" t="str">
        <f t="array" ref="K41">IFERROR(INDEX('Day Range Raw Data'!R:R,Match($A41,'Day Range Raw Data'!$B:$B,0)),"")</f>
        <v/>
      </c>
      <c r="L41" t="str">
        <f t="array" ref="L41">IFERROR(INDEX('Day Range Raw Data'!S:S,Match($A41,'Day Range Raw Data'!$B:$B,0)),"")</f>
        <v/>
      </c>
      <c r="M41" t="str">
        <f t="array" ref="M41">IFERROR(INDEX('Day Range Raw Data'!T:T,Match($A41,'Day Range Raw Data'!$B:$B,0)),"")</f>
        <v/>
      </c>
      <c r="N41" t="str">
        <f t="array" ref="N41">IFERROR(INDEX('Day Range Raw Data'!U:U,Match($A41,'Day Range Raw Data'!$B:$B,0)),"")</f>
        <v/>
      </c>
      <c r="O41" t="str">
        <f t="array" ref="O41">IFERROR(INDEX('Day Range Raw Data'!V:V,Match($A41,'Day Range Raw Data'!$B:$B,0)),"")</f>
        <v/>
      </c>
      <c r="P41" t="str">
        <f t="array" ref="P41">IFERROR(INDEX('Day Range Raw Data'!X:X,Match($A41,'Day Range Raw Data'!$B:$B,0)),"")</f>
        <v/>
      </c>
      <c r="Q41" t="str">
        <f t="shared" si="1"/>
        <v/>
      </c>
      <c r="R41" s="9" t="str">
        <f t="shared" si="2"/>
        <v/>
      </c>
      <c r="S41" s="14" t="str">
        <f t="shared" si="3"/>
        <v/>
      </c>
      <c r="T41" s="15" t="str">
        <f>IFERROR(__xludf.DUMMYFUNCTION("IF($A41="""","""",IFERROR(PERCENTRANK.INC(FILTER(Q:Q,$F:$F&lt;&gt;""""),Q41)*100,""""))"),"")</f>
        <v/>
      </c>
      <c r="U41" s="15" t="str">
        <f>IFERROR(__xludf.DUMMYFUNCTION("IF($A41="""","""",IFERROR(PERCENTRANK.INC(FILTER(R:R,$F:$F&lt;&gt;""""),R41)*100,""""))"),"")</f>
        <v/>
      </c>
      <c r="V41" s="15" t="str">
        <f>IFERROR(__xludf.DUMMYFUNCTION("IF($A41="""","""",IFERROR(PERCENTRANK.INC(FILTER(S:S,$F:$F&lt;&gt;""""),S41)*100,""""))"),"")</f>
        <v/>
      </c>
      <c r="W41" s="15" t="str">
        <f t="shared" si="4"/>
        <v/>
      </c>
    </row>
    <row r="42">
      <c r="B42" t="str">
        <f t="array" ref="B42">IFERROR(INDEX('Player Raw Data'!C:C,Match($A42,'Player Raw Data'!$B:$B,0)),"")</f>
        <v/>
      </c>
      <c r="C42" t="str">
        <f t="array" ref="C42">IFERROR(INDEX('Player Raw Data'!D:D,Match($A42,'Player Raw Data'!$B:$B,0)),"")</f>
        <v/>
      </c>
      <c r="D42" t="str">
        <f t="array" ref="D42">IFERROR(IF(A42=A41, INDEX('Player Raw Data'!E:E,Match($A42,'Player Raw Data'!$B:$B,0)+2),INDEX('Player Raw Data'!E:E,Match($A42,'Player Raw Data'!$B:$B,0))),"")</f>
        <v/>
      </c>
      <c r="E42" t="str">
        <f t="array" ref="E42">IFERROR(INDEX('Day Range Raw Data'!D:D,Match($A42,'Day Range Raw Data'!$B:$B,0)),"")</f>
        <v/>
      </c>
      <c r="F42" t="str">
        <f t="array" ref="F42">IFERROR(INDEX('Day Range Raw Data'!F:F,Match($A42,'Day Range Raw Data'!$B:$B,0)),"")</f>
        <v/>
      </c>
      <c r="G42" t="str">
        <f t="array" ref="G42">IFERROR(INDEX('Day Range Raw Data'!G:G,Match($A42,'Day Range Raw Data'!$B:$B,0)),"")</f>
        <v/>
      </c>
      <c r="H42" t="str">
        <f t="array" ref="H42">IFERROR(INDEX('Day Range Raw Data'!H:H,Match($A42,'Day Range Raw Data'!$B:$B,0)),"")</f>
        <v/>
      </c>
      <c r="I42" t="str">
        <f t="array" ref="I42">IFERROR(INDEX('Day Range Raw Data'!M:M,Match($A42,'Day Range Raw Data'!$B:$B,0)),"")</f>
        <v/>
      </c>
      <c r="J42" t="str">
        <f t="array" ref="J42">IFERROR(INDEX('Day Range Raw Data'!N:N,Match($A42,'Day Range Raw Data'!$B:$B,0)),"")</f>
        <v/>
      </c>
      <c r="K42" t="str">
        <f t="array" ref="K42">IFERROR(INDEX('Day Range Raw Data'!R:R,Match($A42,'Day Range Raw Data'!$B:$B,0)),"")</f>
        <v/>
      </c>
      <c r="L42" t="str">
        <f t="array" ref="L42">IFERROR(INDEX('Day Range Raw Data'!S:S,Match($A42,'Day Range Raw Data'!$B:$B,0)),"")</f>
        <v/>
      </c>
      <c r="M42" t="str">
        <f t="array" ref="M42">IFERROR(INDEX('Day Range Raw Data'!T:T,Match($A42,'Day Range Raw Data'!$B:$B,0)),"")</f>
        <v/>
      </c>
      <c r="N42" t="str">
        <f t="array" ref="N42">IFERROR(INDEX('Day Range Raw Data'!U:U,Match($A42,'Day Range Raw Data'!$B:$B,0)),"")</f>
        <v/>
      </c>
      <c r="O42" t="str">
        <f t="array" ref="O42">IFERROR(INDEX('Day Range Raw Data'!V:V,Match($A42,'Day Range Raw Data'!$B:$B,0)),"")</f>
        <v/>
      </c>
      <c r="P42" t="str">
        <f t="array" ref="P42">IFERROR(INDEX('Day Range Raw Data'!X:X,Match($A42,'Day Range Raw Data'!$B:$B,0)),"")</f>
        <v/>
      </c>
      <c r="Q42" t="str">
        <f t="shared" si="1"/>
        <v/>
      </c>
      <c r="R42" s="9" t="str">
        <f t="shared" si="2"/>
        <v/>
      </c>
      <c r="S42" s="14" t="str">
        <f t="shared" si="3"/>
        <v/>
      </c>
      <c r="T42" s="15" t="str">
        <f>IFERROR(__xludf.DUMMYFUNCTION("IF($A42="""","""",IFERROR(PERCENTRANK.INC(FILTER(Q:Q,$F:$F&lt;&gt;""""),Q42)*100,""""))"),"")</f>
        <v/>
      </c>
      <c r="U42" s="15" t="str">
        <f>IFERROR(__xludf.DUMMYFUNCTION("IF($A42="""","""",IFERROR(PERCENTRANK.INC(FILTER(R:R,$F:$F&lt;&gt;""""),R42)*100,""""))"),"")</f>
        <v/>
      </c>
      <c r="V42" s="15" t="str">
        <f>IFERROR(__xludf.DUMMYFUNCTION("IF($A42="""","""",IFERROR(PERCENTRANK.INC(FILTER(S:S,$F:$F&lt;&gt;""""),S42)*100,""""))"),"")</f>
        <v/>
      </c>
      <c r="W42" s="15" t="str">
        <f t="shared" si="4"/>
        <v/>
      </c>
    </row>
    <row r="43">
      <c r="B43" t="str">
        <f t="array" ref="B43">IFERROR(INDEX('Player Raw Data'!C:C,Match($A43,'Player Raw Data'!$B:$B,0)),"")</f>
        <v/>
      </c>
      <c r="C43" t="str">
        <f t="array" ref="C43">IFERROR(INDEX('Player Raw Data'!D:D,Match($A43,'Player Raw Data'!$B:$B,0)),"")</f>
        <v/>
      </c>
      <c r="D43" t="str">
        <f t="array" ref="D43">IFERROR(IF(A43=A42, INDEX('Player Raw Data'!E:E,Match($A43,'Player Raw Data'!$B:$B,0)+2),INDEX('Player Raw Data'!E:E,Match($A43,'Player Raw Data'!$B:$B,0))),"")</f>
        <v/>
      </c>
      <c r="E43" t="str">
        <f t="array" ref="E43">IFERROR(INDEX('Day Range Raw Data'!D:D,Match($A43,'Day Range Raw Data'!$B:$B,0)),"")</f>
        <v/>
      </c>
      <c r="F43" t="str">
        <f t="array" ref="F43">IFERROR(INDEX('Day Range Raw Data'!F:F,Match($A43,'Day Range Raw Data'!$B:$B,0)),"")</f>
        <v/>
      </c>
      <c r="G43" t="str">
        <f t="array" ref="G43">IFERROR(INDEX('Day Range Raw Data'!G:G,Match($A43,'Day Range Raw Data'!$B:$B,0)),"")</f>
        <v/>
      </c>
      <c r="H43" t="str">
        <f t="array" ref="H43">IFERROR(INDEX('Day Range Raw Data'!H:H,Match($A43,'Day Range Raw Data'!$B:$B,0)),"")</f>
        <v/>
      </c>
      <c r="I43" t="str">
        <f t="array" ref="I43">IFERROR(INDEX('Day Range Raw Data'!M:M,Match($A43,'Day Range Raw Data'!$B:$B,0)),"")</f>
        <v/>
      </c>
      <c r="J43" t="str">
        <f t="array" ref="J43">IFERROR(INDEX('Day Range Raw Data'!N:N,Match($A43,'Day Range Raw Data'!$B:$B,0)),"")</f>
        <v/>
      </c>
      <c r="K43" t="str">
        <f t="array" ref="K43">IFERROR(INDEX('Day Range Raw Data'!R:R,Match($A43,'Day Range Raw Data'!$B:$B,0)),"")</f>
        <v/>
      </c>
      <c r="L43" t="str">
        <f t="array" ref="L43">IFERROR(INDEX('Day Range Raw Data'!S:S,Match($A43,'Day Range Raw Data'!$B:$B,0)),"")</f>
        <v/>
      </c>
      <c r="M43" t="str">
        <f t="array" ref="M43">IFERROR(INDEX('Day Range Raw Data'!T:T,Match($A43,'Day Range Raw Data'!$B:$B,0)),"")</f>
        <v/>
      </c>
      <c r="N43" t="str">
        <f t="array" ref="N43">IFERROR(INDEX('Day Range Raw Data'!U:U,Match($A43,'Day Range Raw Data'!$B:$B,0)),"")</f>
        <v/>
      </c>
      <c r="O43" t="str">
        <f t="array" ref="O43">IFERROR(INDEX('Day Range Raw Data'!V:V,Match($A43,'Day Range Raw Data'!$B:$B,0)),"")</f>
        <v/>
      </c>
      <c r="P43" t="str">
        <f t="array" ref="P43">IFERROR(INDEX('Day Range Raw Data'!X:X,Match($A43,'Day Range Raw Data'!$B:$B,0)),"")</f>
        <v/>
      </c>
      <c r="Q43" t="str">
        <f t="shared" si="1"/>
        <v/>
      </c>
      <c r="R43" s="9" t="str">
        <f t="shared" si="2"/>
        <v/>
      </c>
      <c r="S43" s="14" t="str">
        <f t="shared" si="3"/>
        <v/>
      </c>
      <c r="T43" s="15" t="str">
        <f>IFERROR(__xludf.DUMMYFUNCTION("IF($A43="""","""",IFERROR(PERCENTRANK.INC(FILTER(Q:Q,$F:$F&lt;&gt;""""),Q43)*100,""""))"),"")</f>
        <v/>
      </c>
      <c r="U43" s="15" t="str">
        <f>IFERROR(__xludf.DUMMYFUNCTION("IF($A43="""","""",IFERROR(PERCENTRANK.INC(FILTER(R:R,$F:$F&lt;&gt;""""),R43)*100,""""))"),"")</f>
        <v/>
      </c>
      <c r="V43" s="15" t="str">
        <f>IFERROR(__xludf.DUMMYFUNCTION("IF($A43="""","""",IFERROR(PERCENTRANK.INC(FILTER(S:S,$F:$F&lt;&gt;""""),S43)*100,""""))"),"")</f>
        <v/>
      </c>
      <c r="W43" s="15" t="str">
        <f t="shared" si="4"/>
        <v/>
      </c>
    </row>
    <row r="44">
      <c r="B44" t="str">
        <f t="array" ref="B44">IFERROR(INDEX('Player Raw Data'!C:C,Match($A44,'Player Raw Data'!$B:$B,0)),"")</f>
        <v/>
      </c>
      <c r="C44" t="str">
        <f t="array" ref="C44">IFERROR(INDEX('Player Raw Data'!D:D,Match($A44,'Player Raw Data'!$B:$B,0)),"")</f>
        <v/>
      </c>
      <c r="D44" t="str">
        <f t="array" ref="D44">IFERROR(IF(A44=A43, INDEX('Player Raw Data'!E:E,Match($A44,'Player Raw Data'!$B:$B,0)+2),INDEX('Player Raw Data'!E:E,Match($A44,'Player Raw Data'!$B:$B,0))),"")</f>
        <v/>
      </c>
      <c r="E44" t="str">
        <f t="array" ref="E44">IFERROR(INDEX('Day Range Raw Data'!D:D,Match($A44,'Day Range Raw Data'!$B:$B,0)),"")</f>
        <v/>
      </c>
      <c r="F44" t="str">
        <f t="array" ref="F44">IFERROR(INDEX('Day Range Raw Data'!F:F,Match($A44,'Day Range Raw Data'!$B:$B,0)),"")</f>
        <v/>
      </c>
      <c r="G44" t="str">
        <f t="array" ref="G44">IFERROR(INDEX('Day Range Raw Data'!G:G,Match($A44,'Day Range Raw Data'!$B:$B,0)),"")</f>
        <v/>
      </c>
      <c r="H44" t="str">
        <f t="array" ref="H44">IFERROR(INDEX('Day Range Raw Data'!H:H,Match($A44,'Day Range Raw Data'!$B:$B,0)),"")</f>
        <v/>
      </c>
      <c r="I44" t="str">
        <f t="array" ref="I44">IFERROR(INDEX('Day Range Raw Data'!M:M,Match($A44,'Day Range Raw Data'!$B:$B,0)),"")</f>
        <v/>
      </c>
      <c r="J44" t="str">
        <f t="array" ref="J44">IFERROR(INDEX('Day Range Raw Data'!N:N,Match($A44,'Day Range Raw Data'!$B:$B,0)),"")</f>
        <v/>
      </c>
      <c r="K44" t="str">
        <f t="array" ref="K44">IFERROR(INDEX('Day Range Raw Data'!R:R,Match($A44,'Day Range Raw Data'!$B:$B,0)),"")</f>
        <v/>
      </c>
      <c r="L44" t="str">
        <f t="array" ref="L44">IFERROR(INDEX('Day Range Raw Data'!S:S,Match($A44,'Day Range Raw Data'!$B:$B,0)),"")</f>
        <v/>
      </c>
      <c r="M44" t="str">
        <f t="array" ref="M44">IFERROR(INDEX('Day Range Raw Data'!T:T,Match($A44,'Day Range Raw Data'!$B:$B,0)),"")</f>
        <v/>
      </c>
      <c r="N44" t="str">
        <f t="array" ref="N44">IFERROR(INDEX('Day Range Raw Data'!U:U,Match($A44,'Day Range Raw Data'!$B:$B,0)),"")</f>
        <v/>
      </c>
      <c r="O44" t="str">
        <f t="array" ref="O44">IFERROR(INDEX('Day Range Raw Data'!V:V,Match($A44,'Day Range Raw Data'!$B:$B,0)),"")</f>
        <v/>
      </c>
      <c r="P44" t="str">
        <f t="array" ref="P44">IFERROR(INDEX('Day Range Raw Data'!X:X,Match($A44,'Day Range Raw Data'!$B:$B,0)),"")</f>
        <v/>
      </c>
      <c r="Q44" t="str">
        <f t="shared" si="1"/>
        <v/>
      </c>
      <c r="R44" s="9" t="str">
        <f t="shared" si="2"/>
        <v/>
      </c>
      <c r="S44" s="14" t="str">
        <f t="shared" si="3"/>
        <v/>
      </c>
      <c r="T44" s="15" t="str">
        <f>IFERROR(__xludf.DUMMYFUNCTION("IF($A44="""","""",IFERROR(PERCENTRANK.INC(FILTER(Q:Q,$F:$F&lt;&gt;""""),Q44)*100,""""))"),"")</f>
        <v/>
      </c>
      <c r="U44" s="15" t="str">
        <f>IFERROR(__xludf.DUMMYFUNCTION("IF($A44="""","""",IFERROR(PERCENTRANK.INC(FILTER(R:R,$F:$F&lt;&gt;""""),R44)*100,""""))"),"")</f>
        <v/>
      </c>
      <c r="V44" s="15" t="str">
        <f>IFERROR(__xludf.DUMMYFUNCTION("IF($A44="""","""",IFERROR(PERCENTRANK.INC(FILTER(S:S,$F:$F&lt;&gt;""""),S44)*100,""""))"),"")</f>
        <v/>
      </c>
      <c r="W44" s="15" t="str">
        <f t="shared" si="4"/>
        <v/>
      </c>
    </row>
    <row r="45">
      <c r="B45" t="str">
        <f t="array" ref="B45">IFERROR(INDEX('Player Raw Data'!C:C,Match($A45,'Player Raw Data'!$B:$B,0)),"")</f>
        <v/>
      </c>
      <c r="C45" t="str">
        <f t="array" ref="C45">IFERROR(INDEX('Player Raw Data'!D:D,Match($A45,'Player Raw Data'!$B:$B,0)),"")</f>
        <v/>
      </c>
      <c r="D45" t="str">
        <f t="array" ref="D45">IFERROR(IF(A45=A44, INDEX('Player Raw Data'!E:E,Match($A45,'Player Raw Data'!$B:$B,0)+2),INDEX('Player Raw Data'!E:E,Match($A45,'Player Raw Data'!$B:$B,0))),"")</f>
        <v/>
      </c>
      <c r="E45" t="str">
        <f t="array" ref="E45">IFERROR(INDEX('Day Range Raw Data'!D:D,Match($A45,'Day Range Raw Data'!$B:$B,0)),"")</f>
        <v/>
      </c>
      <c r="F45" t="str">
        <f t="array" ref="F45">IFERROR(INDEX('Day Range Raw Data'!F:F,Match($A45,'Day Range Raw Data'!$B:$B,0)),"")</f>
        <v/>
      </c>
      <c r="G45" t="str">
        <f t="array" ref="G45">IFERROR(INDEX('Day Range Raw Data'!G:G,Match($A45,'Day Range Raw Data'!$B:$B,0)),"")</f>
        <v/>
      </c>
      <c r="H45" t="str">
        <f t="array" ref="H45">IFERROR(INDEX('Day Range Raw Data'!H:H,Match($A45,'Day Range Raw Data'!$B:$B,0)),"")</f>
        <v/>
      </c>
      <c r="I45" t="str">
        <f t="array" ref="I45">IFERROR(INDEX('Day Range Raw Data'!M:M,Match($A45,'Day Range Raw Data'!$B:$B,0)),"")</f>
        <v/>
      </c>
      <c r="J45" t="str">
        <f t="array" ref="J45">IFERROR(INDEX('Day Range Raw Data'!N:N,Match($A45,'Day Range Raw Data'!$B:$B,0)),"")</f>
        <v/>
      </c>
      <c r="K45" t="str">
        <f t="array" ref="K45">IFERROR(INDEX('Day Range Raw Data'!R:R,Match($A45,'Day Range Raw Data'!$B:$B,0)),"")</f>
        <v/>
      </c>
      <c r="L45" t="str">
        <f t="array" ref="L45">IFERROR(INDEX('Day Range Raw Data'!S:S,Match($A45,'Day Range Raw Data'!$B:$B,0)),"")</f>
        <v/>
      </c>
      <c r="M45" t="str">
        <f t="array" ref="M45">IFERROR(INDEX('Day Range Raw Data'!T:T,Match($A45,'Day Range Raw Data'!$B:$B,0)),"")</f>
        <v/>
      </c>
      <c r="N45" t="str">
        <f t="array" ref="N45">IFERROR(INDEX('Day Range Raw Data'!U:U,Match($A45,'Day Range Raw Data'!$B:$B,0)),"")</f>
        <v/>
      </c>
      <c r="O45" t="str">
        <f t="array" ref="O45">IFERROR(INDEX('Day Range Raw Data'!V:V,Match($A45,'Day Range Raw Data'!$B:$B,0)),"")</f>
        <v/>
      </c>
      <c r="P45" t="str">
        <f t="array" ref="P45">IFERROR(INDEX('Day Range Raw Data'!X:X,Match($A45,'Day Range Raw Data'!$B:$B,0)),"")</f>
        <v/>
      </c>
      <c r="Q45" t="str">
        <f t="shared" si="1"/>
        <v/>
      </c>
      <c r="R45" s="9" t="str">
        <f t="shared" si="2"/>
        <v/>
      </c>
      <c r="S45" s="14" t="str">
        <f t="shared" si="3"/>
        <v/>
      </c>
      <c r="T45" s="15" t="str">
        <f>IFERROR(__xludf.DUMMYFUNCTION("IF($A45="""","""",IFERROR(PERCENTRANK.INC(FILTER(Q:Q,$F:$F&lt;&gt;""""),Q45)*100,""""))"),"")</f>
        <v/>
      </c>
      <c r="U45" s="15" t="str">
        <f>IFERROR(__xludf.DUMMYFUNCTION("IF($A45="""","""",IFERROR(PERCENTRANK.INC(FILTER(R:R,$F:$F&lt;&gt;""""),R45)*100,""""))"),"")</f>
        <v/>
      </c>
      <c r="V45" s="15" t="str">
        <f>IFERROR(__xludf.DUMMYFUNCTION("IF($A45="""","""",IFERROR(PERCENTRANK.INC(FILTER(S:S,$F:$F&lt;&gt;""""),S45)*100,""""))"),"")</f>
        <v/>
      </c>
      <c r="W45" s="15" t="str">
        <f t="shared" si="4"/>
        <v/>
      </c>
    </row>
    <row r="46">
      <c r="B46" t="str">
        <f t="array" ref="B46">IFERROR(INDEX('Player Raw Data'!C:C,Match($A46,'Player Raw Data'!$B:$B,0)),"")</f>
        <v/>
      </c>
      <c r="C46" t="str">
        <f t="array" ref="C46">IFERROR(INDEX('Player Raw Data'!D:D,Match($A46,'Player Raw Data'!$B:$B,0)),"")</f>
        <v/>
      </c>
      <c r="D46" t="str">
        <f t="array" ref="D46">IFERROR(IF(A46=A45, INDEX('Player Raw Data'!E:E,Match($A46,'Player Raw Data'!$B:$B,0)+2),INDEX('Player Raw Data'!E:E,Match($A46,'Player Raw Data'!$B:$B,0))),"")</f>
        <v/>
      </c>
      <c r="E46" t="str">
        <f t="array" ref="E46">IFERROR(INDEX('Day Range Raw Data'!D:D,Match($A46,'Day Range Raw Data'!$B:$B,0)),"")</f>
        <v/>
      </c>
      <c r="F46" t="str">
        <f t="array" ref="F46">IFERROR(INDEX('Day Range Raw Data'!F:F,Match($A46,'Day Range Raw Data'!$B:$B,0)),"")</f>
        <v/>
      </c>
      <c r="G46" t="str">
        <f t="array" ref="G46">IFERROR(INDEX('Day Range Raw Data'!G:G,Match($A46,'Day Range Raw Data'!$B:$B,0)),"")</f>
        <v/>
      </c>
      <c r="H46" t="str">
        <f t="array" ref="H46">IFERROR(INDEX('Day Range Raw Data'!H:H,Match($A46,'Day Range Raw Data'!$B:$B,0)),"")</f>
        <v/>
      </c>
      <c r="I46" t="str">
        <f t="array" ref="I46">IFERROR(INDEX('Day Range Raw Data'!M:M,Match($A46,'Day Range Raw Data'!$B:$B,0)),"")</f>
        <v/>
      </c>
      <c r="J46" t="str">
        <f t="array" ref="J46">IFERROR(INDEX('Day Range Raw Data'!N:N,Match($A46,'Day Range Raw Data'!$B:$B,0)),"")</f>
        <v/>
      </c>
      <c r="K46" t="str">
        <f t="array" ref="K46">IFERROR(INDEX('Day Range Raw Data'!R:R,Match($A46,'Day Range Raw Data'!$B:$B,0)),"")</f>
        <v/>
      </c>
      <c r="L46" t="str">
        <f t="array" ref="L46">IFERROR(INDEX('Day Range Raw Data'!S:S,Match($A46,'Day Range Raw Data'!$B:$B,0)),"")</f>
        <v/>
      </c>
      <c r="M46" t="str">
        <f t="array" ref="M46">IFERROR(INDEX('Day Range Raw Data'!T:T,Match($A46,'Day Range Raw Data'!$B:$B,0)),"")</f>
        <v/>
      </c>
      <c r="N46" t="str">
        <f t="array" ref="N46">IFERROR(INDEX('Day Range Raw Data'!U:U,Match($A46,'Day Range Raw Data'!$B:$B,0)),"")</f>
        <v/>
      </c>
      <c r="O46" t="str">
        <f t="array" ref="O46">IFERROR(INDEX('Day Range Raw Data'!V:V,Match($A46,'Day Range Raw Data'!$B:$B,0)),"")</f>
        <v/>
      </c>
      <c r="P46" t="str">
        <f t="array" ref="P46">IFERROR(INDEX('Day Range Raw Data'!X:X,Match($A46,'Day Range Raw Data'!$B:$B,0)),"")</f>
        <v/>
      </c>
      <c r="Q46" t="str">
        <f t="shared" si="1"/>
        <v/>
      </c>
      <c r="R46" s="9" t="str">
        <f t="shared" si="2"/>
        <v/>
      </c>
      <c r="S46" s="14" t="str">
        <f t="shared" si="3"/>
        <v/>
      </c>
      <c r="T46" s="15" t="str">
        <f>IFERROR(__xludf.DUMMYFUNCTION("IF($A46="""","""",IFERROR(PERCENTRANK.INC(FILTER(Q:Q,$F:$F&lt;&gt;""""),Q46)*100,""""))"),"")</f>
        <v/>
      </c>
      <c r="U46" s="15" t="str">
        <f>IFERROR(__xludf.DUMMYFUNCTION("IF($A46="""","""",IFERROR(PERCENTRANK.INC(FILTER(R:R,$F:$F&lt;&gt;""""),R46)*100,""""))"),"")</f>
        <v/>
      </c>
      <c r="V46" s="15" t="str">
        <f>IFERROR(__xludf.DUMMYFUNCTION("IF($A46="""","""",IFERROR(PERCENTRANK.INC(FILTER(S:S,$F:$F&lt;&gt;""""),S46)*100,""""))"),"")</f>
        <v/>
      </c>
      <c r="W46" s="15" t="str">
        <f t="shared" si="4"/>
        <v/>
      </c>
    </row>
    <row r="47">
      <c r="B47" t="str">
        <f t="array" ref="B47">IFERROR(INDEX('Player Raw Data'!C:C,Match($A47,'Player Raw Data'!$B:$B,0)),"")</f>
        <v/>
      </c>
      <c r="C47" t="str">
        <f t="array" ref="C47">IFERROR(INDEX('Player Raw Data'!D:D,Match($A47,'Player Raw Data'!$B:$B,0)),"")</f>
        <v/>
      </c>
      <c r="D47" t="str">
        <f t="array" ref="D47">IFERROR(IF(A47=A46, INDEX('Player Raw Data'!E:E,Match($A47,'Player Raw Data'!$B:$B,0)+2),INDEX('Player Raw Data'!E:E,Match($A47,'Player Raw Data'!$B:$B,0))),"")</f>
        <v/>
      </c>
      <c r="E47" t="str">
        <f t="array" ref="E47">IFERROR(INDEX('Day Range Raw Data'!D:D,Match($A47,'Day Range Raw Data'!$B:$B,0)),"")</f>
        <v/>
      </c>
      <c r="F47" t="str">
        <f t="array" ref="F47">IFERROR(INDEX('Day Range Raw Data'!F:F,Match($A47,'Day Range Raw Data'!$B:$B,0)),"")</f>
        <v/>
      </c>
      <c r="G47" t="str">
        <f t="array" ref="G47">IFERROR(INDEX('Day Range Raw Data'!G:G,Match($A47,'Day Range Raw Data'!$B:$B,0)),"")</f>
        <v/>
      </c>
      <c r="H47" t="str">
        <f t="array" ref="H47">IFERROR(INDEX('Day Range Raw Data'!H:H,Match($A47,'Day Range Raw Data'!$B:$B,0)),"")</f>
        <v/>
      </c>
      <c r="I47" t="str">
        <f t="array" ref="I47">IFERROR(INDEX('Day Range Raw Data'!M:M,Match($A47,'Day Range Raw Data'!$B:$B,0)),"")</f>
        <v/>
      </c>
      <c r="J47" t="str">
        <f t="array" ref="J47">IFERROR(INDEX('Day Range Raw Data'!N:N,Match($A47,'Day Range Raw Data'!$B:$B,0)),"")</f>
        <v/>
      </c>
      <c r="K47" t="str">
        <f t="array" ref="K47">IFERROR(INDEX('Day Range Raw Data'!R:R,Match($A47,'Day Range Raw Data'!$B:$B,0)),"")</f>
        <v/>
      </c>
      <c r="L47" t="str">
        <f t="array" ref="L47">IFERROR(INDEX('Day Range Raw Data'!S:S,Match($A47,'Day Range Raw Data'!$B:$B,0)),"")</f>
        <v/>
      </c>
      <c r="M47" t="str">
        <f t="array" ref="M47">IFERROR(INDEX('Day Range Raw Data'!T:T,Match($A47,'Day Range Raw Data'!$B:$B,0)),"")</f>
        <v/>
      </c>
      <c r="N47" t="str">
        <f t="array" ref="N47">IFERROR(INDEX('Day Range Raw Data'!U:U,Match($A47,'Day Range Raw Data'!$B:$B,0)),"")</f>
        <v/>
      </c>
      <c r="O47" t="str">
        <f t="array" ref="O47">IFERROR(INDEX('Day Range Raw Data'!V:V,Match($A47,'Day Range Raw Data'!$B:$B,0)),"")</f>
        <v/>
      </c>
      <c r="P47" t="str">
        <f t="array" ref="P47">IFERROR(INDEX('Day Range Raw Data'!X:X,Match($A47,'Day Range Raw Data'!$B:$B,0)),"")</f>
        <v/>
      </c>
      <c r="Q47" t="str">
        <f t="shared" si="1"/>
        <v/>
      </c>
      <c r="R47" s="9" t="str">
        <f t="shared" si="2"/>
        <v/>
      </c>
      <c r="S47" s="14" t="str">
        <f t="shared" si="3"/>
        <v/>
      </c>
      <c r="T47" s="15" t="str">
        <f>IFERROR(__xludf.DUMMYFUNCTION("IF($A47="""","""",IFERROR(PERCENTRANK.INC(FILTER(Q:Q,$F:$F&lt;&gt;""""),Q47)*100,""""))"),"")</f>
        <v/>
      </c>
      <c r="U47" s="15" t="str">
        <f>IFERROR(__xludf.DUMMYFUNCTION("IF($A47="""","""",IFERROR(PERCENTRANK.INC(FILTER(R:R,$F:$F&lt;&gt;""""),R47)*100,""""))"),"")</f>
        <v/>
      </c>
      <c r="V47" s="15" t="str">
        <f>IFERROR(__xludf.DUMMYFUNCTION("IF($A47="""","""",IFERROR(PERCENTRANK.INC(FILTER(S:S,$F:$F&lt;&gt;""""),S47)*100,""""))"),"")</f>
        <v/>
      </c>
      <c r="W47" s="15" t="str">
        <f t="shared" si="4"/>
        <v/>
      </c>
    </row>
    <row r="48">
      <c r="B48" t="str">
        <f t="array" ref="B48">IFERROR(INDEX('Player Raw Data'!C:C,Match($A48,'Player Raw Data'!$B:$B,0)),"")</f>
        <v/>
      </c>
      <c r="C48" t="str">
        <f t="array" ref="C48">IFERROR(INDEX('Player Raw Data'!D:D,Match($A48,'Player Raw Data'!$B:$B,0)),"")</f>
        <v/>
      </c>
      <c r="D48" t="str">
        <f t="array" ref="D48">IFERROR(IF(A48=A47, INDEX('Player Raw Data'!E:E,Match($A48,'Player Raw Data'!$B:$B,0)+2),INDEX('Player Raw Data'!E:E,Match($A48,'Player Raw Data'!$B:$B,0))),"")</f>
        <v/>
      </c>
      <c r="E48" t="str">
        <f t="array" ref="E48">IFERROR(INDEX('Day Range Raw Data'!D:D,Match($A48,'Day Range Raw Data'!$B:$B,0)),"")</f>
        <v/>
      </c>
      <c r="F48" t="str">
        <f t="array" ref="F48">IFERROR(INDEX('Day Range Raw Data'!F:F,Match($A48,'Day Range Raw Data'!$B:$B,0)),"")</f>
        <v/>
      </c>
      <c r="G48" t="str">
        <f t="array" ref="G48">IFERROR(INDEX('Day Range Raw Data'!G:G,Match($A48,'Day Range Raw Data'!$B:$B,0)),"")</f>
        <v/>
      </c>
      <c r="H48" t="str">
        <f t="array" ref="H48">IFERROR(INDEX('Day Range Raw Data'!H:H,Match($A48,'Day Range Raw Data'!$B:$B,0)),"")</f>
        <v/>
      </c>
      <c r="I48" t="str">
        <f t="array" ref="I48">IFERROR(INDEX('Day Range Raw Data'!M:M,Match($A48,'Day Range Raw Data'!$B:$B,0)),"")</f>
        <v/>
      </c>
      <c r="J48" t="str">
        <f t="array" ref="J48">IFERROR(INDEX('Day Range Raw Data'!N:N,Match($A48,'Day Range Raw Data'!$B:$B,0)),"")</f>
        <v/>
      </c>
      <c r="K48" t="str">
        <f t="array" ref="K48">IFERROR(INDEX('Day Range Raw Data'!R:R,Match($A48,'Day Range Raw Data'!$B:$B,0)),"")</f>
        <v/>
      </c>
      <c r="L48" t="str">
        <f t="array" ref="L48">IFERROR(INDEX('Day Range Raw Data'!S:S,Match($A48,'Day Range Raw Data'!$B:$B,0)),"")</f>
        <v/>
      </c>
      <c r="M48" t="str">
        <f t="array" ref="M48">IFERROR(INDEX('Day Range Raw Data'!T:T,Match($A48,'Day Range Raw Data'!$B:$B,0)),"")</f>
        <v/>
      </c>
      <c r="N48" t="str">
        <f t="array" ref="N48">IFERROR(INDEX('Day Range Raw Data'!U:U,Match($A48,'Day Range Raw Data'!$B:$B,0)),"")</f>
        <v/>
      </c>
      <c r="O48" t="str">
        <f t="array" ref="O48">IFERROR(INDEX('Day Range Raw Data'!V:V,Match($A48,'Day Range Raw Data'!$B:$B,0)),"")</f>
        <v/>
      </c>
      <c r="P48" t="str">
        <f t="array" ref="P48">IFERROR(INDEX('Day Range Raw Data'!X:X,Match($A48,'Day Range Raw Data'!$B:$B,0)),"")</f>
        <v/>
      </c>
      <c r="Q48" t="str">
        <f t="shared" si="1"/>
        <v/>
      </c>
      <c r="R48" s="9" t="str">
        <f t="shared" si="2"/>
        <v/>
      </c>
      <c r="S48" s="14" t="str">
        <f t="shared" si="3"/>
        <v/>
      </c>
      <c r="T48" s="15" t="str">
        <f>IFERROR(__xludf.DUMMYFUNCTION("IF($A48="""","""",IFERROR(PERCENTRANK.INC(FILTER(Q:Q,$F:$F&lt;&gt;""""),Q48)*100,""""))"),"")</f>
        <v/>
      </c>
      <c r="U48" s="15" t="str">
        <f>IFERROR(__xludf.DUMMYFUNCTION("IF($A48="""","""",IFERROR(PERCENTRANK.INC(FILTER(R:R,$F:$F&lt;&gt;""""),R48)*100,""""))"),"")</f>
        <v/>
      </c>
      <c r="V48" s="15" t="str">
        <f>IFERROR(__xludf.DUMMYFUNCTION("IF($A48="""","""",IFERROR(PERCENTRANK.INC(FILTER(S:S,$F:$F&lt;&gt;""""),S48)*100,""""))"),"")</f>
        <v/>
      </c>
      <c r="W48" s="15" t="str">
        <f t="shared" si="4"/>
        <v/>
      </c>
    </row>
    <row r="49">
      <c r="B49" t="str">
        <f t="array" ref="B49">IFERROR(INDEX('Player Raw Data'!C:C,Match($A49,'Player Raw Data'!$B:$B,0)),"")</f>
        <v/>
      </c>
      <c r="C49" t="str">
        <f t="array" ref="C49">IFERROR(INDEX('Player Raw Data'!D:D,Match($A49,'Player Raw Data'!$B:$B,0)),"")</f>
        <v/>
      </c>
      <c r="D49" t="str">
        <f t="array" ref="D49">IFERROR(IF(A49=A48, INDEX('Player Raw Data'!E:E,Match($A49,'Player Raw Data'!$B:$B,0)+2),INDEX('Player Raw Data'!E:E,Match($A49,'Player Raw Data'!$B:$B,0))),"")</f>
        <v/>
      </c>
      <c r="E49" t="str">
        <f t="array" ref="E49">IFERROR(INDEX('Day Range Raw Data'!D:D,Match($A49,'Day Range Raw Data'!$B:$B,0)),"")</f>
        <v/>
      </c>
      <c r="F49" t="str">
        <f t="array" ref="F49">IFERROR(INDEX('Day Range Raw Data'!F:F,Match($A49,'Day Range Raw Data'!$B:$B,0)),"")</f>
        <v/>
      </c>
      <c r="G49" t="str">
        <f t="array" ref="G49">IFERROR(INDEX('Day Range Raw Data'!G:G,Match($A49,'Day Range Raw Data'!$B:$B,0)),"")</f>
        <v/>
      </c>
      <c r="H49" t="str">
        <f t="array" ref="H49">IFERROR(INDEX('Day Range Raw Data'!H:H,Match($A49,'Day Range Raw Data'!$B:$B,0)),"")</f>
        <v/>
      </c>
      <c r="I49" t="str">
        <f t="array" ref="I49">IFERROR(INDEX('Day Range Raw Data'!M:M,Match($A49,'Day Range Raw Data'!$B:$B,0)),"")</f>
        <v/>
      </c>
      <c r="J49" t="str">
        <f t="array" ref="J49">IFERROR(INDEX('Day Range Raw Data'!N:N,Match($A49,'Day Range Raw Data'!$B:$B,0)),"")</f>
        <v/>
      </c>
      <c r="K49" t="str">
        <f t="array" ref="K49">IFERROR(INDEX('Day Range Raw Data'!R:R,Match($A49,'Day Range Raw Data'!$B:$B,0)),"")</f>
        <v/>
      </c>
      <c r="L49" t="str">
        <f t="array" ref="L49">IFERROR(INDEX('Day Range Raw Data'!S:S,Match($A49,'Day Range Raw Data'!$B:$B,0)),"")</f>
        <v/>
      </c>
      <c r="M49" t="str">
        <f t="array" ref="M49">IFERROR(INDEX('Day Range Raw Data'!T:T,Match($A49,'Day Range Raw Data'!$B:$B,0)),"")</f>
        <v/>
      </c>
      <c r="N49" t="str">
        <f t="array" ref="N49">IFERROR(INDEX('Day Range Raw Data'!U:U,Match($A49,'Day Range Raw Data'!$B:$B,0)),"")</f>
        <v/>
      </c>
      <c r="O49" t="str">
        <f t="array" ref="O49">IFERROR(INDEX('Day Range Raw Data'!V:V,Match($A49,'Day Range Raw Data'!$B:$B,0)),"")</f>
        <v/>
      </c>
      <c r="P49" t="str">
        <f t="array" ref="P49">IFERROR(INDEX('Day Range Raw Data'!X:X,Match($A49,'Day Range Raw Data'!$B:$B,0)),"")</f>
        <v/>
      </c>
      <c r="Q49" t="str">
        <f t="shared" si="1"/>
        <v/>
      </c>
      <c r="R49" s="9" t="str">
        <f t="shared" si="2"/>
        <v/>
      </c>
      <c r="S49" s="14" t="str">
        <f t="shared" si="3"/>
        <v/>
      </c>
      <c r="T49" s="15" t="str">
        <f>IFERROR(__xludf.DUMMYFUNCTION("IF($A49="""","""",IFERROR(PERCENTRANK.INC(FILTER(Q:Q,$F:$F&lt;&gt;""""),Q49)*100,""""))"),"")</f>
        <v/>
      </c>
      <c r="U49" s="15" t="str">
        <f>IFERROR(__xludf.DUMMYFUNCTION("IF($A49="""","""",IFERROR(PERCENTRANK.INC(FILTER(R:R,$F:$F&lt;&gt;""""),R49)*100,""""))"),"")</f>
        <v/>
      </c>
      <c r="V49" s="15" t="str">
        <f>IFERROR(__xludf.DUMMYFUNCTION("IF($A49="""","""",IFERROR(PERCENTRANK.INC(FILTER(S:S,$F:$F&lt;&gt;""""),S49)*100,""""))"),"")</f>
        <v/>
      </c>
      <c r="W49" s="15" t="str">
        <f t="shared" si="4"/>
        <v/>
      </c>
    </row>
    <row r="50">
      <c r="B50" t="str">
        <f t="array" ref="B50">IFERROR(INDEX('Player Raw Data'!C:C,Match($A50,'Player Raw Data'!$B:$B,0)),"")</f>
        <v/>
      </c>
      <c r="C50" t="str">
        <f t="array" ref="C50">IFERROR(INDEX('Player Raw Data'!D:D,Match($A50,'Player Raw Data'!$B:$B,0)),"")</f>
        <v/>
      </c>
      <c r="D50" t="str">
        <f t="array" ref="D50">IFERROR(IF(A50=A49, INDEX('Player Raw Data'!E:E,Match($A50,'Player Raw Data'!$B:$B,0)+2),INDEX('Player Raw Data'!E:E,Match($A50,'Player Raw Data'!$B:$B,0))),"")</f>
        <v/>
      </c>
      <c r="E50" t="str">
        <f t="array" ref="E50">IFERROR(INDEX('Day Range Raw Data'!D:D,Match($A50,'Day Range Raw Data'!$B:$B,0)),"")</f>
        <v/>
      </c>
      <c r="F50" t="str">
        <f t="array" ref="F50">IFERROR(INDEX('Day Range Raw Data'!F:F,Match($A50,'Day Range Raw Data'!$B:$B,0)),"")</f>
        <v/>
      </c>
      <c r="G50" t="str">
        <f t="array" ref="G50">IFERROR(INDEX('Day Range Raw Data'!G:G,Match($A50,'Day Range Raw Data'!$B:$B,0)),"")</f>
        <v/>
      </c>
      <c r="H50" t="str">
        <f t="array" ref="H50">IFERROR(INDEX('Day Range Raw Data'!H:H,Match($A50,'Day Range Raw Data'!$B:$B,0)),"")</f>
        <v/>
      </c>
      <c r="I50" t="str">
        <f t="array" ref="I50">IFERROR(INDEX('Day Range Raw Data'!M:M,Match($A50,'Day Range Raw Data'!$B:$B,0)),"")</f>
        <v/>
      </c>
      <c r="J50" t="str">
        <f t="array" ref="J50">IFERROR(INDEX('Day Range Raw Data'!N:N,Match($A50,'Day Range Raw Data'!$B:$B,0)),"")</f>
        <v/>
      </c>
      <c r="K50" t="str">
        <f t="array" ref="K50">IFERROR(INDEX('Day Range Raw Data'!R:R,Match($A50,'Day Range Raw Data'!$B:$B,0)),"")</f>
        <v/>
      </c>
      <c r="L50" t="str">
        <f t="array" ref="L50">IFERROR(INDEX('Day Range Raw Data'!S:S,Match($A50,'Day Range Raw Data'!$B:$B,0)),"")</f>
        <v/>
      </c>
      <c r="M50" t="str">
        <f t="array" ref="M50">IFERROR(INDEX('Day Range Raw Data'!T:T,Match($A50,'Day Range Raw Data'!$B:$B,0)),"")</f>
        <v/>
      </c>
      <c r="N50" t="str">
        <f t="array" ref="N50">IFERROR(INDEX('Day Range Raw Data'!U:U,Match($A50,'Day Range Raw Data'!$B:$B,0)),"")</f>
        <v/>
      </c>
      <c r="O50" t="str">
        <f t="array" ref="O50">IFERROR(INDEX('Day Range Raw Data'!V:V,Match($A50,'Day Range Raw Data'!$B:$B,0)),"")</f>
        <v/>
      </c>
      <c r="P50" t="str">
        <f t="array" ref="P50">IFERROR(INDEX('Day Range Raw Data'!X:X,Match($A50,'Day Range Raw Data'!$B:$B,0)),"")</f>
        <v/>
      </c>
      <c r="Q50" t="str">
        <f t="shared" si="1"/>
        <v/>
      </c>
      <c r="R50" s="9" t="str">
        <f t="shared" si="2"/>
        <v/>
      </c>
      <c r="S50" s="14" t="str">
        <f t="shared" si="3"/>
        <v/>
      </c>
      <c r="T50" s="15" t="str">
        <f>IFERROR(__xludf.DUMMYFUNCTION("IF($A50="""","""",IFERROR(PERCENTRANK.INC(FILTER(Q:Q,$F:$F&lt;&gt;""""),Q50)*100,""""))"),"")</f>
        <v/>
      </c>
      <c r="U50" s="15" t="str">
        <f>IFERROR(__xludf.DUMMYFUNCTION("IF($A50="""","""",IFERROR(PERCENTRANK.INC(FILTER(R:R,$F:$F&lt;&gt;""""),R50)*100,""""))"),"")</f>
        <v/>
      </c>
      <c r="V50" s="15" t="str">
        <f>IFERROR(__xludf.DUMMYFUNCTION("IF($A50="""","""",IFERROR(PERCENTRANK.INC(FILTER(S:S,$F:$F&lt;&gt;""""),S50)*100,""""))"),"")</f>
        <v/>
      </c>
      <c r="W50" s="15" t="str">
        <f t="shared" si="4"/>
        <v/>
      </c>
    </row>
    <row r="51">
      <c r="B51" t="str">
        <f t="array" ref="B51">IFERROR(INDEX('Player Raw Data'!C:C,Match($A51,'Player Raw Data'!$B:$B,0)),"")</f>
        <v/>
      </c>
      <c r="C51" t="str">
        <f t="array" ref="C51">IFERROR(INDEX('Player Raw Data'!D:D,Match($A51,'Player Raw Data'!$B:$B,0)),"")</f>
        <v/>
      </c>
      <c r="D51" t="str">
        <f t="array" ref="D51">IFERROR(IF(A51=A50, INDEX('Player Raw Data'!E:E,Match($A51,'Player Raw Data'!$B:$B,0)+2),INDEX('Player Raw Data'!E:E,Match($A51,'Player Raw Data'!$B:$B,0))),"")</f>
        <v/>
      </c>
      <c r="E51" t="str">
        <f t="array" ref="E51">IFERROR(INDEX('Day Range Raw Data'!D:D,Match($A51,'Day Range Raw Data'!$B:$B,0)),"")</f>
        <v/>
      </c>
      <c r="F51" t="str">
        <f t="array" ref="F51">IFERROR(INDEX('Day Range Raw Data'!F:F,Match($A51,'Day Range Raw Data'!$B:$B,0)),"")</f>
        <v/>
      </c>
      <c r="G51" t="str">
        <f t="array" ref="G51">IFERROR(INDEX('Day Range Raw Data'!G:G,Match($A51,'Day Range Raw Data'!$B:$B,0)),"")</f>
        <v/>
      </c>
      <c r="H51" t="str">
        <f t="array" ref="H51">IFERROR(INDEX('Day Range Raw Data'!H:H,Match($A51,'Day Range Raw Data'!$B:$B,0)),"")</f>
        <v/>
      </c>
      <c r="I51" t="str">
        <f t="array" ref="I51">IFERROR(INDEX('Day Range Raw Data'!M:M,Match($A51,'Day Range Raw Data'!$B:$B,0)),"")</f>
        <v/>
      </c>
      <c r="J51" t="str">
        <f t="array" ref="J51">IFERROR(INDEX('Day Range Raw Data'!N:N,Match($A51,'Day Range Raw Data'!$B:$B,0)),"")</f>
        <v/>
      </c>
      <c r="K51" t="str">
        <f t="array" ref="K51">IFERROR(INDEX('Day Range Raw Data'!R:R,Match($A51,'Day Range Raw Data'!$B:$B,0)),"")</f>
        <v/>
      </c>
      <c r="L51" t="str">
        <f t="array" ref="L51">IFERROR(INDEX('Day Range Raw Data'!S:S,Match($A51,'Day Range Raw Data'!$B:$B,0)),"")</f>
        <v/>
      </c>
      <c r="M51" t="str">
        <f t="array" ref="M51">IFERROR(INDEX('Day Range Raw Data'!T:T,Match($A51,'Day Range Raw Data'!$B:$B,0)),"")</f>
        <v/>
      </c>
      <c r="N51" t="str">
        <f t="array" ref="N51">IFERROR(INDEX('Day Range Raw Data'!U:U,Match($A51,'Day Range Raw Data'!$B:$B,0)),"")</f>
        <v/>
      </c>
      <c r="O51" t="str">
        <f t="array" ref="O51">IFERROR(INDEX('Day Range Raw Data'!V:V,Match($A51,'Day Range Raw Data'!$B:$B,0)),"")</f>
        <v/>
      </c>
      <c r="P51" t="str">
        <f t="array" ref="P51">IFERROR(INDEX('Day Range Raw Data'!X:X,Match($A51,'Day Range Raw Data'!$B:$B,0)),"")</f>
        <v/>
      </c>
      <c r="Q51" t="str">
        <f t="shared" si="1"/>
        <v/>
      </c>
      <c r="R51" s="9" t="str">
        <f t="shared" si="2"/>
        <v/>
      </c>
      <c r="S51" s="14" t="str">
        <f t="shared" si="3"/>
        <v/>
      </c>
      <c r="T51" s="15" t="str">
        <f>IFERROR(__xludf.DUMMYFUNCTION("IF($A51="""","""",IFERROR(PERCENTRANK.INC(FILTER(Q:Q,$F:$F&lt;&gt;""""),Q51)*100,""""))"),"")</f>
        <v/>
      </c>
      <c r="U51" s="15" t="str">
        <f>IFERROR(__xludf.DUMMYFUNCTION("IF($A51="""","""",IFERROR(PERCENTRANK.INC(FILTER(R:R,$F:$F&lt;&gt;""""),R51)*100,""""))"),"")</f>
        <v/>
      </c>
      <c r="V51" s="15" t="str">
        <f>IFERROR(__xludf.DUMMYFUNCTION("IF($A51="""","""",IFERROR(PERCENTRANK.INC(FILTER(S:S,$F:$F&lt;&gt;""""),S51)*100,""""))"),"")</f>
        <v/>
      </c>
      <c r="W51" s="15" t="str">
        <f t="shared" si="4"/>
        <v/>
      </c>
    </row>
    <row r="52">
      <c r="B52" t="str">
        <f t="array" ref="B52">IFERROR(INDEX('Player Raw Data'!C:C,Match($A52,'Player Raw Data'!$B:$B,0)),"")</f>
        <v/>
      </c>
      <c r="C52" t="str">
        <f t="array" ref="C52">IFERROR(INDEX('Player Raw Data'!D:D,Match($A52,'Player Raw Data'!$B:$B,0)),"")</f>
        <v/>
      </c>
      <c r="D52" t="str">
        <f t="array" ref="D52">IFERROR(IF(A52=A51, INDEX('Player Raw Data'!E:E,Match($A52,'Player Raw Data'!$B:$B,0)+2),INDEX('Player Raw Data'!E:E,Match($A52,'Player Raw Data'!$B:$B,0))),"")</f>
        <v/>
      </c>
      <c r="E52" t="str">
        <f t="array" ref="E52">IFERROR(INDEX('Day Range Raw Data'!D:D,Match($A52,'Day Range Raw Data'!$B:$B,0)),"")</f>
        <v/>
      </c>
      <c r="F52" t="str">
        <f t="array" ref="F52">IFERROR(INDEX('Day Range Raw Data'!F:F,Match($A52,'Day Range Raw Data'!$B:$B,0)),"")</f>
        <v/>
      </c>
      <c r="G52" t="str">
        <f t="array" ref="G52">IFERROR(INDEX('Day Range Raw Data'!G:G,Match($A52,'Day Range Raw Data'!$B:$B,0)),"")</f>
        <v/>
      </c>
      <c r="H52" t="str">
        <f t="array" ref="H52">IFERROR(INDEX('Day Range Raw Data'!H:H,Match($A52,'Day Range Raw Data'!$B:$B,0)),"")</f>
        <v/>
      </c>
      <c r="I52" t="str">
        <f t="array" ref="I52">IFERROR(INDEX('Day Range Raw Data'!M:M,Match($A52,'Day Range Raw Data'!$B:$B,0)),"")</f>
        <v/>
      </c>
      <c r="J52" t="str">
        <f t="array" ref="J52">IFERROR(INDEX('Day Range Raw Data'!N:N,Match($A52,'Day Range Raw Data'!$B:$B,0)),"")</f>
        <v/>
      </c>
      <c r="K52" t="str">
        <f t="array" ref="K52">IFERROR(INDEX('Day Range Raw Data'!R:R,Match($A52,'Day Range Raw Data'!$B:$B,0)),"")</f>
        <v/>
      </c>
      <c r="L52" t="str">
        <f t="array" ref="L52">IFERROR(INDEX('Day Range Raw Data'!S:S,Match($A52,'Day Range Raw Data'!$B:$B,0)),"")</f>
        <v/>
      </c>
      <c r="M52" t="str">
        <f t="array" ref="M52">IFERROR(INDEX('Day Range Raw Data'!T:T,Match($A52,'Day Range Raw Data'!$B:$B,0)),"")</f>
        <v/>
      </c>
      <c r="N52" t="str">
        <f t="array" ref="N52">IFERROR(INDEX('Day Range Raw Data'!U:U,Match($A52,'Day Range Raw Data'!$B:$B,0)),"")</f>
        <v/>
      </c>
      <c r="O52" t="str">
        <f t="array" ref="O52">IFERROR(INDEX('Day Range Raw Data'!V:V,Match($A52,'Day Range Raw Data'!$B:$B,0)),"")</f>
        <v/>
      </c>
      <c r="P52" t="str">
        <f t="array" ref="P52">IFERROR(INDEX('Day Range Raw Data'!X:X,Match($A52,'Day Range Raw Data'!$B:$B,0)),"")</f>
        <v/>
      </c>
      <c r="Q52" t="str">
        <f t="shared" si="1"/>
        <v/>
      </c>
      <c r="R52" s="9" t="str">
        <f t="shared" si="2"/>
        <v/>
      </c>
      <c r="S52" s="14" t="str">
        <f t="shared" si="3"/>
        <v/>
      </c>
      <c r="T52" s="15" t="str">
        <f>IFERROR(__xludf.DUMMYFUNCTION("IF($A52="""","""",IFERROR(PERCENTRANK.INC(FILTER(Q:Q,$F:$F&lt;&gt;""""),Q52)*100,""""))"),"")</f>
        <v/>
      </c>
      <c r="U52" s="15" t="str">
        <f>IFERROR(__xludf.DUMMYFUNCTION("IF($A52="""","""",IFERROR(PERCENTRANK.INC(FILTER(R:R,$F:$F&lt;&gt;""""),R52)*100,""""))"),"")</f>
        <v/>
      </c>
      <c r="V52" s="15" t="str">
        <f>IFERROR(__xludf.DUMMYFUNCTION("IF($A52="""","""",IFERROR(PERCENTRANK.INC(FILTER(S:S,$F:$F&lt;&gt;""""),S52)*100,""""))"),"")</f>
        <v/>
      </c>
      <c r="W52" s="15" t="str">
        <f t="shared" si="4"/>
        <v/>
      </c>
    </row>
    <row r="53">
      <c r="B53" t="str">
        <f t="array" ref="B53">IFERROR(INDEX('Player Raw Data'!C:C,Match($A53,'Player Raw Data'!$B:$B,0)),"")</f>
        <v/>
      </c>
      <c r="C53" t="str">
        <f t="array" ref="C53">IFERROR(INDEX('Player Raw Data'!D:D,Match($A53,'Player Raw Data'!$B:$B,0)),"")</f>
        <v/>
      </c>
      <c r="D53" t="str">
        <f t="array" ref="D53">IFERROR(IF(A53=A52, INDEX('Player Raw Data'!E:E,Match($A53,'Player Raw Data'!$B:$B,0)+2),INDEX('Player Raw Data'!E:E,Match($A53,'Player Raw Data'!$B:$B,0))),"")</f>
        <v/>
      </c>
      <c r="E53" t="str">
        <f t="array" ref="E53">IFERROR(INDEX('Day Range Raw Data'!D:D,Match($A53,'Day Range Raw Data'!$B:$B,0)),"")</f>
        <v/>
      </c>
      <c r="F53" t="str">
        <f t="array" ref="F53">IFERROR(INDEX('Day Range Raw Data'!F:F,Match($A53,'Day Range Raw Data'!$B:$B,0)),"")</f>
        <v/>
      </c>
      <c r="G53" t="str">
        <f t="array" ref="G53">IFERROR(INDEX('Day Range Raw Data'!G:G,Match($A53,'Day Range Raw Data'!$B:$B,0)),"")</f>
        <v/>
      </c>
      <c r="H53" t="str">
        <f t="array" ref="H53">IFERROR(INDEX('Day Range Raw Data'!H:H,Match($A53,'Day Range Raw Data'!$B:$B,0)),"")</f>
        <v/>
      </c>
      <c r="I53" t="str">
        <f t="array" ref="I53">IFERROR(INDEX('Day Range Raw Data'!M:M,Match($A53,'Day Range Raw Data'!$B:$B,0)),"")</f>
        <v/>
      </c>
      <c r="J53" t="str">
        <f t="array" ref="J53">IFERROR(INDEX('Day Range Raw Data'!N:N,Match($A53,'Day Range Raw Data'!$B:$B,0)),"")</f>
        <v/>
      </c>
      <c r="K53" t="str">
        <f t="array" ref="K53">IFERROR(INDEX('Day Range Raw Data'!R:R,Match($A53,'Day Range Raw Data'!$B:$B,0)),"")</f>
        <v/>
      </c>
      <c r="L53" t="str">
        <f t="array" ref="L53">IFERROR(INDEX('Day Range Raw Data'!S:S,Match($A53,'Day Range Raw Data'!$B:$B,0)),"")</f>
        <v/>
      </c>
      <c r="M53" t="str">
        <f t="array" ref="M53">IFERROR(INDEX('Day Range Raw Data'!T:T,Match($A53,'Day Range Raw Data'!$B:$B,0)),"")</f>
        <v/>
      </c>
      <c r="N53" t="str">
        <f t="array" ref="N53">IFERROR(INDEX('Day Range Raw Data'!U:U,Match($A53,'Day Range Raw Data'!$B:$B,0)),"")</f>
        <v/>
      </c>
      <c r="O53" t="str">
        <f t="array" ref="O53">IFERROR(INDEX('Day Range Raw Data'!V:V,Match($A53,'Day Range Raw Data'!$B:$B,0)),"")</f>
        <v/>
      </c>
      <c r="P53" t="str">
        <f t="array" ref="P53">IFERROR(INDEX('Day Range Raw Data'!X:X,Match($A53,'Day Range Raw Data'!$B:$B,0)),"")</f>
        <v/>
      </c>
      <c r="Q53" t="str">
        <f t="shared" si="1"/>
        <v/>
      </c>
      <c r="R53" s="9" t="str">
        <f t="shared" si="2"/>
        <v/>
      </c>
      <c r="S53" s="14" t="str">
        <f t="shared" si="3"/>
        <v/>
      </c>
      <c r="T53" s="15" t="str">
        <f>IFERROR(__xludf.DUMMYFUNCTION("IF($A53="""","""",IFERROR(PERCENTRANK.INC(FILTER(Q:Q,$F:$F&lt;&gt;""""),Q53)*100,""""))"),"")</f>
        <v/>
      </c>
      <c r="U53" s="15" t="str">
        <f>IFERROR(__xludf.DUMMYFUNCTION("IF($A53="""","""",IFERROR(PERCENTRANK.INC(FILTER(R:R,$F:$F&lt;&gt;""""),R53)*100,""""))"),"")</f>
        <v/>
      </c>
      <c r="V53" s="15" t="str">
        <f>IFERROR(__xludf.DUMMYFUNCTION("IF($A53="""","""",IFERROR(PERCENTRANK.INC(FILTER(S:S,$F:$F&lt;&gt;""""),S53)*100,""""))"),"")</f>
        <v/>
      </c>
      <c r="W53" s="15" t="str">
        <f t="shared" si="4"/>
        <v/>
      </c>
    </row>
    <row r="54">
      <c r="B54" t="str">
        <f t="array" ref="B54">IFERROR(INDEX('Player Raw Data'!C:C,Match($A54,'Player Raw Data'!$B:$B,0)),"")</f>
        <v/>
      </c>
      <c r="C54" t="str">
        <f t="array" ref="C54">IFERROR(INDEX('Player Raw Data'!D:D,Match($A54,'Player Raw Data'!$B:$B,0)),"")</f>
        <v/>
      </c>
      <c r="D54" t="str">
        <f t="array" ref="D54">IFERROR(IF(A54=A53, INDEX('Player Raw Data'!E:E,Match($A54,'Player Raw Data'!$B:$B,0)+2),INDEX('Player Raw Data'!E:E,Match($A54,'Player Raw Data'!$B:$B,0))),"")</f>
        <v/>
      </c>
      <c r="E54" t="str">
        <f t="array" ref="E54">IFERROR(INDEX('Day Range Raw Data'!D:D,Match($A54,'Day Range Raw Data'!$B:$B,0)),"")</f>
        <v/>
      </c>
      <c r="F54" t="str">
        <f t="array" ref="F54">IFERROR(INDEX('Day Range Raw Data'!F:F,Match($A54,'Day Range Raw Data'!$B:$B,0)),"")</f>
        <v/>
      </c>
      <c r="G54" t="str">
        <f t="array" ref="G54">IFERROR(INDEX('Day Range Raw Data'!G:G,Match($A54,'Day Range Raw Data'!$B:$B,0)),"")</f>
        <v/>
      </c>
      <c r="H54" t="str">
        <f t="array" ref="H54">IFERROR(INDEX('Day Range Raw Data'!H:H,Match($A54,'Day Range Raw Data'!$B:$B,0)),"")</f>
        <v/>
      </c>
      <c r="I54" t="str">
        <f t="array" ref="I54">IFERROR(INDEX('Day Range Raw Data'!M:M,Match($A54,'Day Range Raw Data'!$B:$B,0)),"")</f>
        <v/>
      </c>
      <c r="J54" t="str">
        <f t="array" ref="J54">IFERROR(INDEX('Day Range Raw Data'!N:N,Match($A54,'Day Range Raw Data'!$B:$B,0)),"")</f>
        <v/>
      </c>
      <c r="K54" t="str">
        <f t="array" ref="K54">IFERROR(INDEX('Day Range Raw Data'!R:R,Match($A54,'Day Range Raw Data'!$B:$B,0)),"")</f>
        <v/>
      </c>
      <c r="L54" t="str">
        <f t="array" ref="L54">IFERROR(INDEX('Day Range Raw Data'!S:S,Match($A54,'Day Range Raw Data'!$B:$B,0)),"")</f>
        <v/>
      </c>
      <c r="M54" t="str">
        <f t="array" ref="M54">IFERROR(INDEX('Day Range Raw Data'!T:T,Match($A54,'Day Range Raw Data'!$B:$B,0)),"")</f>
        <v/>
      </c>
      <c r="N54" t="str">
        <f t="array" ref="N54">IFERROR(INDEX('Day Range Raw Data'!U:U,Match($A54,'Day Range Raw Data'!$B:$B,0)),"")</f>
        <v/>
      </c>
      <c r="O54" t="str">
        <f t="array" ref="O54">IFERROR(INDEX('Day Range Raw Data'!V:V,Match($A54,'Day Range Raw Data'!$B:$B,0)),"")</f>
        <v/>
      </c>
      <c r="P54" t="str">
        <f t="array" ref="P54">IFERROR(INDEX('Day Range Raw Data'!X:X,Match($A54,'Day Range Raw Data'!$B:$B,0)),"")</f>
        <v/>
      </c>
      <c r="Q54" t="str">
        <f t="shared" si="1"/>
        <v/>
      </c>
      <c r="R54" s="9" t="str">
        <f t="shared" si="2"/>
        <v/>
      </c>
      <c r="S54" s="14" t="str">
        <f t="shared" si="3"/>
        <v/>
      </c>
      <c r="T54" s="15" t="str">
        <f>IFERROR(__xludf.DUMMYFUNCTION("IF($A54="""","""",IFERROR(PERCENTRANK.INC(FILTER(Q:Q,$F:$F&lt;&gt;""""),Q54)*100,""""))"),"")</f>
        <v/>
      </c>
      <c r="U54" s="15" t="str">
        <f>IFERROR(__xludf.DUMMYFUNCTION("IF($A54="""","""",IFERROR(PERCENTRANK.INC(FILTER(R:R,$F:$F&lt;&gt;""""),R54)*100,""""))"),"")</f>
        <v/>
      </c>
      <c r="V54" s="15" t="str">
        <f>IFERROR(__xludf.DUMMYFUNCTION("IF($A54="""","""",IFERROR(PERCENTRANK.INC(FILTER(S:S,$F:$F&lt;&gt;""""),S54)*100,""""))"),"")</f>
        <v/>
      </c>
      <c r="W54" s="15" t="str">
        <f t="shared" si="4"/>
        <v/>
      </c>
    </row>
    <row r="55">
      <c r="B55" t="str">
        <f t="array" ref="B55">IFERROR(INDEX('Player Raw Data'!C:C,Match($A55,'Player Raw Data'!$B:$B,0)),"")</f>
        <v/>
      </c>
      <c r="C55" t="str">
        <f t="array" ref="C55">IFERROR(INDEX('Player Raw Data'!D:D,Match($A55,'Player Raw Data'!$B:$B,0)),"")</f>
        <v/>
      </c>
      <c r="D55" t="str">
        <f t="array" ref="D55">IFERROR(IF(A55=A54, INDEX('Player Raw Data'!E:E,Match($A55,'Player Raw Data'!$B:$B,0)+2),INDEX('Player Raw Data'!E:E,Match($A55,'Player Raw Data'!$B:$B,0))),"")</f>
        <v/>
      </c>
      <c r="E55" t="str">
        <f t="array" ref="E55">IFERROR(INDEX('Day Range Raw Data'!D:D,Match($A55,'Day Range Raw Data'!$B:$B,0)),"")</f>
        <v/>
      </c>
      <c r="F55" t="str">
        <f t="array" ref="F55">IFERROR(INDEX('Day Range Raw Data'!F:F,Match($A55,'Day Range Raw Data'!$B:$B,0)),"")</f>
        <v/>
      </c>
      <c r="G55" t="str">
        <f t="array" ref="G55">IFERROR(INDEX('Day Range Raw Data'!G:G,Match($A55,'Day Range Raw Data'!$B:$B,0)),"")</f>
        <v/>
      </c>
      <c r="H55" t="str">
        <f t="array" ref="H55">IFERROR(INDEX('Day Range Raw Data'!H:H,Match($A55,'Day Range Raw Data'!$B:$B,0)),"")</f>
        <v/>
      </c>
      <c r="I55" t="str">
        <f t="array" ref="I55">IFERROR(INDEX('Day Range Raw Data'!M:M,Match($A55,'Day Range Raw Data'!$B:$B,0)),"")</f>
        <v/>
      </c>
      <c r="J55" t="str">
        <f t="array" ref="J55">IFERROR(INDEX('Day Range Raw Data'!N:N,Match($A55,'Day Range Raw Data'!$B:$B,0)),"")</f>
        <v/>
      </c>
      <c r="K55" t="str">
        <f t="array" ref="K55">IFERROR(INDEX('Day Range Raw Data'!R:R,Match($A55,'Day Range Raw Data'!$B:$B,0)),"")</f>
        <v/>
      </c>
      <c r="L55" t="str">
        <f t="array" ref="L55">IFERROR(INDEX('Day Range Raw Data'!S:S,Match($A55,'Day Range Raw Data'!$B:$B,0)),"")</f>
        <v/>
      </c>
      <c r="M55" t="str">
        <f t="array" ref="M55">IFERROR(INDEX('Day Range Raw Data'!T:T,Match($A55,'Day Range Raw Data'!$B:$B,0)),"")</f>
        <v/>
      </c>
      <c r="N55" t="str">
        <f t="array" ref="N55">IFERROR(INDEX('Day Range Raw Data'!U:U,Match($A55,'Day Range Raw Data'!$B:$B,0)),"")</f>
        <v/>
      </c>
      <c r="O55" t="str">
        <f t="array" ref="O55">IFERROR(INDEX('Day Range Raw Data'!V:V,Match($A55,'Day Range Raw Data'!$B:$B,0)),"")</f>
        <v/>
      </c>
      <c r="P55" t="str">
        <f t="array" ref="P55">IFERROR(INDEX('Day Range Raw Data'!X:X,Match($A55,'Day Range Raw Data'!$B:$B,0)),"")</f>
        <v/>
      </c>
      <c r="Q55" t="str">
        <f t="shared" si="1"/>
        <v/>
      </c>
      <c r="R55" s="9" t="str">
        <f t="shared" si="2"/>
        <v/>
      </c>
      <c r="S55" s="14" t="str">
        <f t="shared" si="3"/>
        <v/>
      </c>
      <c r="T55" s="15" t="str">
        <f>IFERROR(__xludf.DUMMYFUNCTION("IF($A55="""","""",IFERROR(PERCENTRANK.INC(FILTER(Q:Q,$F:$F&lt;&gt;""""),Q55)*100,""""))"),"")</f>
        <v/>
      </c>
      <c r="U55" s="15" t="str">
        <f>IFERROR(__xludf.DUMMYFUNCTION("IF($A55="""","""",IFERROR(PERCENTRANK.INC(FILTER(R:R,$F:$F&lt;&gt;""""),R55)*100,""""))"),"")</f>
        <v/>
      </c>
      <c r="V55" s="15" t="str">
        <f>IFERROR(__xludf.DUMMYFUNCTION("IF($A55="""","""",IFERROR(PERCENTRANK.INC(FILTER(S:S,$F:$F&lt;&gt;""""),S55)*100,""""))"),"")</f>
        <v/>
      </c>
      <c r="W55" s="15" t="str">
        <f t="shared" si="4"/>
        <v/>
      </c>
    </row>
    <row r="56">
      <c r="B56" t="str">
        <f t="array" ref="B56">IFERROR(INDEX('Player Raw Data'!C:C,Match($A56,'Player Raw Data'!$B:$B,0)),"")</f>
        <v/>
      </c>
      <c r="C56" t="str">
        <f t="array" ref="C56">IFERROR(INDEX('Player Raw Data'!D:D,Match($A56,'Player Raw Data'!$B:$B,0)),"")</f>
        <v/>
      </c>
      <c r="D56" t="str">
        <f t="array" ref="D56">IFERROR(IF(A56=A55, INDEX('Player Raw Data'!E:E,Match($A56,'Player Raw Data'!$B:$B,0)+2),INDEX('Player Raw Data'!E:E,Match($A56,'Player Raw Data'!$B:$B,0))),"")</f>
        <v/>
      </c>
      <c r="E56" t="str">
        <f t="array" ref="E56">IFERROR(INDEX('Day Range Raw Data'!D:D,Match($A56,'Day Range Raw Data'!$B:$B,0)),"")</f>
        <v/>
      </c>
      <c r="F56" t="str">
        <f t="array" ref="F56">IFERROR(INDEX('Day Range Raw Data'!F:F,Match($A56,'Day Range Raw Data'!$B:$B,0)),"")</f>
        <v/>
      </c>
      <c r="G56" t="str">
        <f t="array" ref="G56">IFERROR(INDEX('Day Range Raw Data'!G:G,Match($A56,'Day Range Raw Data'!$B:$B,0)),"")</f>
        <v/>
      </c>
      <c r="H56" t="str">
        <f t="array" ref="H56">IFERROR(INDEX('Day Range Raw Data'!H:H,Match($A56,'Day Range Raw Data'!$B:$B,0)),"")</f>
        <v/>
      </c>
      <c r="I56" t="str">
        <f t="array" ref="I56">IFERROR(INDEX('Day Range Raw Data'!M:M,Match($A56,'Day Range Raw Data'!$B:$B,0)),"")</f>
        <v/>
      </c>
      <c r="J56" t="str">
        <f t="array" ref="J56">IFERROR(INDEX('Day Range Raw Data'!N:N,Match($A56,'Day Range Raw Data'!$B:$B,0)),"")</f>
        <v/>
      </c>
      <c r="K56" t="str">
        <f t="array" ref="K56">IFERROR(INDEX('Day Range Raw Data'!R:R,Match($A56,'Day Range Raw Data'!$B:$B,0)),"")</f>
        <v/>
      </c>
      <c r="L56" t="str">
        <f t="array" ref="L56">IFERROR(INDEX('Day Range Raw Data'!S:S,Match($A56,'Day Range Raw Data'!$B:$B,0)),"")</f>
        <v/>
      </c>
      <c r="M56" t="str">
        <f t="array" ref="M56">IFERROR(INDEX('Day Range Raw Data'!T:T,Match($A56,'Day Range Raw Data'!$B:$B,0)),"")</f>
        <v/>
      </c>
      <c r="N56" t="str">
        <f t="array" ref="N56">IFERROR(INDEX('Day Range Raw Data'!U:U,Match($A56,'Day Range Raw Data'!$B:$B,0)),"")</f>
        <v/>
      </c>
      <c r="O56" t="str">
        <f t="array" ref="O56">IFERROR(INDEX('Day Range Raw Data'!V:V,Match($A56,'Day Range Raw Data'!$B:$B,0)),"")</f>
        <v/>
      </c>
      <c r="P56" t="str">
        <f t="array" ref="P56">IFERROR(INDEX('Day Range Raw Data'!X:X,Match($A56,'Day Range Raw Data'!$B:$B,0)),"")</f>
        <v/>
      </c>
      <c r="Q56" t="str">
        <f t="shared" si="1"/>
        <v/>
      </c>
      <c r="R56" s="9" t="str">
        <f t="shared" si="2"/>
        <v/>
      </c>
      <c r="S56" s="14" t="str">
        <f t="shared" si="3"/>
        <v/>
      </c>
      <c r="T56" s="15" t="str">
        <f>IFERROR(__xludf.DUMMYFUNCTION("IF($A56="""","""",IFERROR(PERCENTRANK.INC(FILTER(Q:Q,$F:$F&lt;&gt;""""),Q56)*100,""""))"),"")</f>
        <v/>
      </c>
      <c r="U56" s="15" t="str">
        <f>IFERROR(__xludf.DUMMYFUNCTION("IF($A56="""","""",IFERROR(PERCENTRANK.INC(FILTER(R:R,$F:$F&lt;&gt;""""),R56)*100,""""))"),"")</f>
        <v/>
      </c>
      <c r="V56" s="15" t="str">
        <f>IFERROR(__xludf.DUMMYFUNCTION("IF($A56="""","""",IFERROR(PERCENTRANK.INC(FILTER(S:S,$F:$F&lt;&gt;""""),S56)*100,""""))"),"")</f>
        <v/>
      </c>
      <c r="W56" s="15" t="str">
        <f t="shared" si="4"/>
        <v/>
      </c>
    </row>
    <row r="57">
      <c r="B57" t="str">
        <f t="array" ref="B57">IFERROR(INDEX('Player Raw Data'!C:C,Match($A57,'Player Raw Data'!$B:$B,0)),"")</f>
        <v/>
      </c>
      <c r="C57" t="str">
        <f t="array" ref="C57">IFERROR(INDEX('Player Raw Data'!D:D,Match($A57,'Player Raw Data'!$B:$B,0)),"")</f>
        <v/>
      </c>
      <c r="D57" t="str">
        <f t="array" ref="D57">IFERROR(IF(A57=A56, INDEX('Player Raw Data'!E:E,Match($A57,'Player Raw Data'!$B:$B,0)+2),INDEX('Player Raw Data'!E:E,Match($A57,'Player Raw Data'!$B:$B,0))),"")</f>
        <v/>
      </c>
      <c r="E57" t="str">
        <f t="array" ref="E57">IFERROR(INDEX('Day Range Raw Data'!D:D,Match($A57,'Day Range Raw Data'!$B:$B,0)),"")</f>
        <v/>
      </c>
      <c r="F57" t="str">
        <f t="array" ref="F57">IFERROR(INDEX('Day Range Raw Data'!F:F,Match($A57,'Day Range Raw Data'!$B:$B,0)),"")</f>
        <v/>
      </c>
      <c r="G57" t="str">
        <f t="array" ref="G57">IFERROR(INDEX('Day Range Raw Data'!G:G,Match($A57,'Day Range Raw Data'!$B:$B,0)),"")</f>
        <v/>
      </c>
      <c r="H57" t="str">
        <f t="array" ref="H57">IFERROR(INDEX('Day Range Raw Data'!H:H,Match($A57,'Day Range Raw Data'!$B:$B,0)),"")</f>
        <v/>
      </c>
      <c r="I57" t="str">
        <f t="array" ref="I57">IFERROR(INDEX('Day Range Raw Data'!M:M,Match($A57,'Day Range Raw Data'!$B:$B,0)),"")</f>
        <v/>
      </c>
      <c r="J57" t="str">
        <f t="array" ref="J57">IFERROR(INDEX('Day Range Raw Data'!N:N,Match($A57,'Day Range Raw Data'!$B:$B,0)),"")</f>
        <v/>
      </c>
      <c r="K57" t="str">
        <f t="array" ref="K57">IFERROR(INDEX('Day Range Raw Data'!R:R,Match($A57,'Day Range Raw Data'!$B:$B,0)),"")</f>
        <v/>
      </c>
      <c r="L57" t="str">
        <f t="array" ref="L57">IFERROR(INDEX('Day Range Raw Data'!S:S,Match($A57,'Day Range Raw Data'!$B:$B,0)),"")</f>
        <v/>
      </c>
      <c r="M57" t="str">
        <f t="array" ref="M57">IFERROR(INDEX('Day Range Raw Data'!T:T,Match($A57,'Day Range Raw Data'!$B:$B,0)),"")</f>
        <v/>
      </c>
      <c r="N57" t="str">
        <f t="array" ref="N57">IFERROR(INDEX('Day Range Raw Data'!U:U,Match($A57,'Day Range Raw Data'!$B:$B,0)),"")</f>
        <v/>
      </c>
      <c r="O57" t="str">
        <f t="array" ref="O57">IFERROR(INDEX('Day Range Raw Data'!V:V,Match($A57,'Day Range Raw Data'!$B:$B,0)),"")</f>
        <v/>
      </c>
      <c r="P57" t="str">
        <f t="array" ref="P57">IFERROR(INDEX('Day Range Raw Data'!X:X,Match($A57,'Day Range Raw Data'!$B:$B,0)),"")</f>
        <v/>
      </c>
      <c r="Q57" t="str">
        <f t="shared" si="1"/>
        <v/>
      </c>
      <c r="R57" s="9" t="str">
        <f t="shared" si="2"/>
        <v/>
      </c>
      <c r="S57" s="14" t="str">
        <f t="shared" si="3"/>
        <v/>
      </c>
      <c r="T57" s="15" t="str">
        <f>IFERROR(__xludf.DUMMYFUNCTION("IF($A57="""","""",IFERROR(PERCENTRANK.INC(FILTER(Q:Q,$F:$F&lt;&gt;""""),Q57)*100,""""))"),"")</f>
        <v/>
      </c>
      <c r="U57" s="15" t="str">
        <f>IFERROR(__xludf.DUMMYFUNCTION("IF($A57="""","""",IFERROR(PERCENTRANK.INC(FILTER(R:R,$F:$F&lt;&gt;""""),R57)*100,""""))"),"")</f>
        <v/>
      </c>
      <c r="V57" s="15" t="str">
        <f>IFERROR(__xludf.DUMMYFUNCTION("IF($A57="""","""",IFERROR(PERCENTRANK.INC(FILTER(S:S,$F:$F&lt;&gt;""""),S57)*100,""""))"),"")</f>
        <v/>
      </c>
      <c r="W57" s="15" t="str">
        <f t="shared" si="4"/>
        <v/>
      </c>
    </row>
    <row r="58">
      <c r="B58" t="str">
        <f t="array" ref="B58">IFERROR(INDEX('Player Raw Data'!C:C,Match($A58,'Player Raw Data'!$B:$B,0)),"")</f>
        <v/>
      </c>
      <c r="C58" t="str">
        <f t="array" ref="C58">IFERROR(INDEX('Player Raw Data'!D:D,Match($A58,'Player Raw Data'!$B:$B,0)),"")</f>
        <v/>
      </c>
      <c r="D58" t="str">
        <f t="array" ref="D58">IFERROR(IF(A58=A57, INDEX('Player Raw Data'!E:E,Match($A58,'Player Raw Data'!$B:$B,0)+2),INDEX('Player Raw Data'!E:E,Match($A58,'Player Raw Data'!$B:$B,0))),"")</f>
        <v/>
      </c>
      <c r="E58" t="str">
        <f t="array" ref="E58">IFERROR(INDEX('Day Range Raw Data'!D:D,Match($A58,'Day Range Raw Data'!$B:$B,0)),"")</f>
        <v/>
      </c>
      <c r="F58" t="str">
        <f t="array" ref="F58">IFERROR(INDEX('Day Range Raw Data'!F:F,Match($A58,'Day Range Raw Data'!$B:$B,0)),"")</f>
        <v/>
      </c>
      <c r="G58" t="str">
        <f t="array" ref="G58">IFERROR(INDEX('Day Range Raw Data'!G:G,Match($A58,'Day Range Raw Data'!$B:$B,0)),"")</f>
        <v/>
      </c>
      <c r="H58" t="str">
        <f t="array" ref="H58">IFERROR(INDEX('Day Range Raw Data'!H:H,Match($A58,'Day Range Raw Data'!$B:$B,0)),"")</f>
        <v/>
      </c>
      <c r="I58" t="str">
        <f t="array" ref="I58">IFERROR(INDEX('Day Range Raw Data'!M:M,Match($A58,'Day Range Raw Data'!$B:$B,0)),"")</f>
        <v/>
      </c>
      <c r="J58" t="str">
        <f t="array" ref="J58">IFERROR(INDEX('Day Range Raw Data'!N:N,Match($A58,'Day Range Raw Data'!$B:$B,0)),"")</f>
        <v/>
      </c>
      <c r="K58" t="str">
        <f t="array" ref="K58">IFERROR(INDEX('Day Range Raw Data'!R:R,Match($A58,'Day Range Raw Data'!$B:$B,0)),"")</f>
        <v/>
      </c>
      <c r="L58" t="str">
        <f t="array" ref="L58">IFERROR(INDEX('Day Range Raw Data'!S:S,Match($A58,'Day Range Raw Data'!$B:$B,0)),"")</f>
        <v/>
      </c>
      <c r="M58" t="str">
        <f t="array" ref="M58">IFERROR(INDEX('Day Range Raw Data'!T:T,Match($A58,'Day Range Raw Data'!$B:$B,0)),"")</f>
        <v/>
      </c>
      <c r="N58" t="str">
        <f t="array" ref="N58">IFERROR(INDEX('Day Range Raw Data'!U:U,Match($A58,'Day Range Raw Data'!$B:$B,0)),"")</f>
        <v/>
      </c>
      <c r="O58" t="str">
        <f t="array" ref="O58">IFERROR(INDEX('Day Range Raw Data'!V:V,Match($A58,'Day Range Raw Data'!$B:$B,0)),"")</f>
        <v/>
      </c>
      <c r="P58" t="str">
        <f t="array" ref="P58">IFERROR(INDEX('Day Range Raw Data'!X:X,Match($A58,'Day Range Raw Data'!$B:$B,0)),"")</f>
        <v/>
      </c>
      <c r="Q58" t="str">
        <f t="shared" si="1"/>
        <v/>
      </c>
      <c r="R58" s="9" t="str">
        <f t="shared" si="2"/>
        <v/>
      </c>
      <c r="S58" s="14" t="str">
        <f t="shared" si="3"/>
        <v/>
      </c>
      <c r="T58" s="15" t="str">
        <f>IFERROR(__xludf.DUMMYFUNCTION("IF($A58="""","""",IFERROR(PERCENTRANK.INC(FILTER(Q:Q,$F:$F&lt;&gt;""""),Q58)*100,""""))"),"")</f>
        <v/>
      </c>
      <c r="U58" s="15" t="str">
        <f>IFERROR(__xludf.DUMMYFUNCTION("IF($A58="""","""",IFERROR(PERCENTRANK.INC(FILTER(R:R,$F:$F&lt;&gt;""""),R58)*100,""""))"),"")</f>
        <v/>
      </c>
      <c r="V58" s="15" t="str">
        <f>IFERROR(__xludf.DUMMYFUNCTION("IF($A58="""","""",IFERROR(PERCENTRANK.INC(FILTER(S:S,$F:$F&lt;&gt;""""),S58)*100,""""))"),"")</f>
        <v/>
      </c>
      <c r="W58" s="15" t="str">
        <f t="shared" si="4"/>
        <v/>
      </c>
    </row>
    <row r="59">
      <c r="B59" t="str">
        <f t="array" ref="B59">IFERROR(INDEX('Player Raw Data'!C:C,Match($A59,'Player Raw Data'!$B:$B,0)),"")</f>
        <v/>
      </c>
      <c r="C59" t="str">
        <f t="array" ref="C59">IFERROR(INDEX('Player Raw Data'!D:D,Match($A59,'Player Raw Data'!$B:$B,0)),"")</f>
        <v/>
      </c>
      <c r="D59" t="str">
        <f t="array" ref="D59">IFERROR(IF(A59=A58, INDEX('Player Raw Data'!E:E,Match($A59,'Player Raw Data'!$B:$B,0)+2),INDEX('Player Raw Data'!E:E,Match($A59,'Player Raw Data'!$B:$B,0))),"")</f>
        <v/>
      </c>
      <c r="E59" t="str">
        <f t="array" ref="E59">IFERROR(INDEX('Day Range Raw Data'!D:D,Match($A59,'Day Range Raw Data'!$B:$B,0)),"")</f>
        <v/>
      </c>
      <c r="F59" t="str">
        <f t="array" ref="F59">IFERROR(INDEX('Day Range Raw Data'!F:F,Match($A59,'Day Range Raw Data'!$B:$B,0)),"")</f>
        <v/>
      </c>
      <c r="G59" t="str">
        <f t="array" ref="G59">IFERROR(INDEX('Day Range Raw Data'!G:G,Match($A59,'Day Range Raw Data'!$B:$B,0)),"")</f>
        <v/>
      </c>
      <c r="H59" t="str">
        <f t="array" ref="H59">IFERROR(INDEX('Day Range Raw Data'!H:H,Match($A59,'Day Range Raw Data'!$B:$B,0)),"")</f>
        <v/>
      </c>
      <c r="I59" t="str">
        <f t="array" ref="I59">IFERROR(INDEX('Day Range Raw Data'!M:M,Match($A59,'Day Range Raw Data'!$B:$B,0)),"")</f>
        <v/>
      </c>
      <c r="J59" t="str">
        <f t="array" ref="J59">IFERROR(INDEX('Day Range Raw Data'!N:N,Match($A59,'Day Range Raw Data'!$B:$B,0)),"")</f>
        <v/>
      </c>
      <c r="K59" t="str">
        <f t="array" ref="K59">IFERROR(INDEX('Day Range Raw Data'!R:R,Match($A59,'Day Range Raw Data'!$B:$B,0)),"")</f>
        <v/>
      </c>
      <c r="L59" t="str">
        <f t="array" ref="L59">IFERROR(INDEX('Day Range Raw Data'!S:S,Match($A59,'Day Range Raw Data'!$B:$B,0)),"")</f>
        <v/>
      </c>
      <c r="M59" t="str">
        <f t="array" ref="M59">IFERROR(INDEX('Day Range Raw Data'!T:T,Match($A59,'Day Range Raw Data'!$B:$B,0)),"")</f>
        <v/>
      </c>
      <c r="N59" t="str">
        <f t="array" ref="N59">IFERROR(INDEX('Day Range Raw Data'!U:U,Match($A59,'Day Range Raw Data'!$B:$B,0)),"")</f>
        <v/>
      </c>
      <c r="O59" t="str">
        <f t="array" ref="O59">IFERROR(INDEX('Day Range Raw Data'!V:V,Match($A59,'Day Range Raw Data'!$B:$B,0)),"")</f>
        <v/>
      </c>
      <c r="P59" t="str">
        <f t="array" ref="P59">IFERROR(INDEX('Day Range Raw Data'!X:X,Match($A59,'Day Range Raw Data'!$B:$B,0)),"")</f>
        <v/>
      </c>
      <c r="Q59" t="str">
        <f t="shared" si="1"/>
        <v/>
      </c>
      <c r="R59" s="9" t="str">
        <f t="shared" si="2"/>
        <v/>
      </c>
      <c r="S59" s="14" t="str">
        <f t="shared" si="3"/>
        <v/>
      </c>
      <c r="T59" s="15" t="str">
        <f>IFERROR(__xludf.DUMMYFUNCTION("IF($A59="""","""",IFERROR(PERCENTRANK.INC(FILTER(Q:Q,$F:$F&lt;&gt;""""),Q59)*100,""""))"),"")</f>
        <v/>
      </c>
      <c r="U59" s="15" t="str">
        <f>IFERROR(__xludf.DUMMYFUNCTION("IF($A59="""","""",IFERROR(PERCENTRANK.INC(FILTER(R:R,$F:$F&lt;&gt;""""),R59)*100,""""))"),"")</f>
        <v/>
      </c>
      <c r="V59" s="15" t="str">
        <f>IFERROR(__xludf.DUMMYFUNCTION("IF($A59="""","""",IFERROR(PERCENTRANK.INC(FILTER(S:S,$F:$F&lt;&gt;""""),S59)*100,""""))"),"")</f>
        <v/>
      </c>
      <c r="W59" s="15" t="str">
        <f t="shared" si="4"/>
        <v/>
      </c>
    </row>
    <row r="60">
      <c r="B60" t="str">
        <f t="array" ref="B60">IFERROR(INDEX('Player Raw Data'!C:C,Match($A60,'Player Raw Data'!$B:$B,0)),"")</f>
        <v/>
      </c>
      <c r="C60" t="str">
        <f t="array" ref="C60">IFERROR(INDEX('Player Raw Data'!D:D,Match($A60,'Player Raw Data'!$B:$B,0)),"")</f>
        <v/>
      </c>
      <c r="D60" t="str">
        <f t="array" ref="D60">IFERROR(IF(A60=A59, INDEX('Player Raw Data'!E:E,Match($A60,'Player Raw Data'!$B:$B,0)+2),INDEX('Player Raw Data'!E:E,Match($A60,'Player Raw Data'!$B:$B,0))),"")</f>
        <v/>
      </c>
      <c r="E60" t="str">
        <f t="array" ref="E60">IFERROR(INDEX('Day Range Raw Data'!D:D,Match($A60,'Day Range Raw Data'!$B:$B,0)),"")</f>
        <v/>
      </c>
      <c r="F60" t="str">
        <f t="array" ref="F60">IFERROR(INDEX('Day Range Raw Data'!F:F,Match($A60,'Day Range Raw Data'!$B:$B,0)),"")</f>
        <v/>
      </c>
      <c r="G60" t="str">
        <f t="array" ref="G60">IFERROR(INDEX('Day Range Raw Data'!G:G,Match($A60,'Day Range Raw Data'!$B:$B,0)),"")</f>
        <v/>
      </c>
      <c r="H60" t="str">
        <f t="array" ref="H60">IFERROR(INDEX('Day Range Raw Data'!H:H,Match($A60,'Day Range Raw Data'!$B:$B,0)),"")</f>
        <v/>
      </c>
      <c r="I60" t="str">
        <f t="array" ref="I60">IFERROR(INDEX('Day Range Raw Data'!M:M,Match($A60,'Day Range Raw Data'!$B:$B,0)),"")</f>
        <v/>
      </c>
      <c r="J60" t="str">
        <f t="array" ref="J60">IFERROR(INDEX('Day Range Raw Data'!N:N,Match($A60,'Day Range Raw Data'!$B:$B,0)),"")</f>
        <v/>
      </c>
      <c r="K60" t="str">
        <f t="array" ref="K60">IFERROR(INDEX('Day Range Raw Data'!R:R,Match($A60,'Day Range Raw Data'!$B:$B,0)),"")</f>
        <v/>
      </c>
      <c r="L60" t="str">
        <f t="array" ref="L60">IFERROR(INDEX('Day Range Raw Data'!S:S,Match($A60,'Day Range Raw Data'!$B:$B,0)),"")</f>
        <v/>
      </c>
      <c r="M60" t="str">
        <f t="array" ref="M60">IFERROR(INDEX('Day Range Raw Data'!T:T,Match($A60,'Day Range Raw Data'!$B:$B,0)),"")</f>
        <v/>
      </c>
      <c r="N60" t="str">
        <f t="array" ref="N60">IFERROR(INDEX('Day Range Raw Data'!U:U,Match($A60,'Day Range Raw Data'!$B:$B,0)),"")</f>
        <v/>
      </c>
      <c r="O60" t="str">
        <f t="array" ref="O60">IFERROR(INDEX('Day Range Raw Data'!V:V,Match($A60,'Day Range Raw Data'!$B:$B,0)),"")</f>
        <v/>
      </c>
      <c r="P60" t="str">
        <f t="array" ref="P60">IFERROR(INDEX('Day Range Raw Data'!X:X,Match($A60,'Day Range Raw Data'!$B:$B,0)),"")</f>
        <v/>
      </c>
      <c r="Q60" t="str">
        <f t="shared" si="1"/>
        <v/>
      </c>
      <c r="R60" s="9" t="str">
        <f t="shared" si="2"/>
        <v/>
      </c>
      <c r="S60" s="14" t="str">
        <f t="shared" si="3"/>
        <v/>
      </c>
      <c r="T60" s="15" t="str">
        <f>IFERROR(__xludf.DUMMYFUNCTION("IF($A60="""","""",IFERROR(PERCENTRANK.INC(FILTER(Q:Q,$F:$F&lt;&gt;""""),Q60)*100,""""))"),"")</f>
        <v/>
      </c>
      <c r="U60" s="15" t="str">
        <f>IFERROR(__xludf.DUMMYFUNCTION("IF($A60="""","""",IFERROR(PERCENTRANK.INC(FILTER(R:R,$F:$F&lt;&gt;""""),R60)*100,""""))"),"")</f>
        <v/>
      </c>
      <c r="V60" s="15" t="str">
        <f>IFERROR(__xludf.DUMMYFUNCTION("IF($A60="""","""",IFERROR(PERCENTRANK.INC(FILTER(S:S,$F:$F&lt;&gt;""""),S60)*100,""""))"),"")</f>
        <v/>
      </c>
      <c r="W60" s="15" t="str">
        <f t="shared" si="4"/>
        <v/>
      </c>
    </row>
    <row r="61">
      <c r="B61" t="str">
        <f t="array" ref="B61">IFERROR(INDEX('Player Raw Data'!C:C,Match($A61,'Player Raw Data'!$B:$B,0)),"")</f>
        <v/>
      </c>
      <c r="C61" t="str">
        <f t="array" ref="C61">IFERROR(INDEX('Player Raw Data'!D:D,Match($A61,'Player Raw Data'!$B:$B,0)),"")</f>
        <v/>
      </c>
      <c r="D61" t="str">
        <f t="array" ref="D61">IFERROR(IF(A61=A60, INDEX('Player Raw Data'!E:E,Match($A61,'Player Raw Data'!$B:$B,0)+2),INDEX('Player Raw Data'!E:E,Match($A61,'Player Raw Data'!$B:$B,0))),"")</f>
        <v/>
      </c>
      <c r="E61" t="str">
        <f t="array" ref="E61">IFERROR(INDEX('Day Range Raw Data'!D:D,Match($A61,'Day Range Raw Data'!$B:$B,0)),"")</f>
        <v/>
      </c>
      <c r="F61" t="str">
        <f t="array" ref="F61">IFERROR(INDEX('Day Range Raw Data'!F:F,Match($A61,'Day Range Raw Data'!$B:$B,0)),"")</f>
        <v/>
      </c>
      <c r="G61" t="str">
        <f t="array" ref="G61">IFERROR(INDEX('Day Range Raw Data'!G:G,Match($A61,'Day Range Raw Data'!$B:$B,0)),"")</f>
        <v/>
      </c>
      <c r="H61" t="str">
        <f t="array" ref="H61">IFERROR(INDEX('Day Range Raw Data'!H:H,Match($A61,'Day Range Raw Data'!$B:$B,0)),"")</f>
        <v/>
      </c>
      <c r="I61" t="str">
        <f t="array" ref="I61">IFERROR(INDEX('Day Range Raw Data'!M:M,Match($A61,'Day Range Raw Data'!$B:$B,0)),"")</f>
        <v/>
      </c>
      <c r="J61" t="str">
        <f t="array" ref="J61">IFERROR(INDEX('Day Range Raw Data'!N:N,Match($A61,'Day Range Raw Data'!$B:$B,0)),"")</f>
        <v/>
      </c>
      <c r="K61" t="str">
        <f t="array" ref="K61">IFERROR(INDEX('Day Range Raw Data'!R:R,Match($A61,'Day Range Raw Data'!$B:$B,0)),"")</f>
        <v/>
      </c>
      <c r="L61" t="str">
        <f t="array" ref="L61">IFERROR(INDEX('Day Range Raw Data'!S:S,Match($A61,'Day Range Raw Data'!$B:$B,0)),"")</f>
        <v/>
      </c>
      <c r="M61" t="str">
        <f t="array" ref="M61">IFERROR(INDEX('Day Range Raw Data'!T:T,Match($A61,'Day Range Raw Data'!$B:$B,0)),"")</f>
        <v/>
      </c>
      <c r="N61" t="str">
        <f t="array" ref="N61">IFERROR(INDEX('Day Range Raw Data'!U:U,Match($A61,'Day Range Raw Data'!$B:$B,0)),"")</f>
        <v/>
      </c>
      <c r="O61" t="str">
        <f t="array" ref="O61">IFERROR(INDEX('Day Range Raw Data'!V:V,Match($A61,'Day Range Raw Data'!$B:$B,0)),"")</f>
        <v/>
      </c>
      <c r="P61" t="str">
        <f t="array" ref="P61">IFERROR(INDEX('Day Range Raw Data'!X:X,Match($A61,'Day Range Raw Data'!$B:$B,0)),"")</f>
        <v/>
      </c>
      <c r="Q61" t="str">
        <f t="shared" si="1"/>
        <v/>
      </c>
      <c r="R61" s="9" t="str">
        <f t="shared" si="2"/>
        <v/>
      </c>
      <c r="S61" s="14" t="str">
        <f t="shared" si="3"/>
        <v/>
      </c>
      <c r="T61" s="15" t="str">
        <f>IFERROR(__xludf.DUMMYFUNCTION("IF($A61="""","""",IFERROR(PERCENTRANK.INC(FILTER(Q:Q,$F:$F&lt;&gt;""""),Q61)*100,""""))"),"")</f>
        <v/>
      </c>
      <c r="U61" s="15" t="str">
        <f>IFERROR(__xludf.DUMMYFUNCTION("IF($A61="""","""",IFERROR(PERCENTRANK.INC(FILTER(R:R,$F:$F&lt;&gt;""""),R61)*100,""""))"),"")</f>
        <v/>
      </c>
      <c r="V61" s="15" t="str">
        <f>IFERROR(__xludf.DUMMYFUNCTION("IF($A61="""","""",IFERROR(PERCENTRANK.INC(FILTER(S:S,$F:$F&lt;&gt;""""),S61)*100,""""))"),"")</f>
        <v/>
      </c>
      <c r="W61" s="15" t="str">
        <f t="shared" si="4"/>
        <v/>
      </c>
    </row>
    <row r="62">
      <c r="B62" t="str">
        <f t="array" ref="B62">IFERROR(INDEX('Player Raw Data'!C:C,Match($A62,'Player Raw Data'!$B:$B,0)),"")</f>
        <v/>
      </c>
      <c r="C62" t="str">
        <f t="array" ref="C62">IFERROR(INDEX('Player Raw Data'!D:D,Match($A62,'Player Raw Data'!$B:$B,0)),"")</f>
        <v/>
      </c>
      <c r="D62" t="str">
        <f t="array" ref="D62">IFERROR(IF(A62=A61, INDEX('Player Raw Data'!E:E,Match($A62,'Player Raw Data'!$B:$B,0)+2),INDEX('Player Raw Data'!E:E,Match($A62,'Player Raw Data'!$B:$B,0))),"")</f>
        <v/>
      </c>
      <c r="E62" t="str">
        <f t="array" ref="E62">IFERROR(INDEX('Day Range Raw Data'!D:D,Match($A62,'Day Range Raw Data'!$B:$B,0)),"")</f>
        <v/>
      </c>
      <c r="F62" t="str">
        <f t="array" ref="F62">IFERROR(INDEX('Day Range Raw Data'!F:F,Match($A62,'Day Range Raw Data'!$B:$B,0)),"")</f>
        <v/>
      </c>
      <c r="G62" t="str">
        <f t="array" ref="G62">IFERROR(INDEX('Day Range Raw Data'!G:G,Match($A62,'Day Range Raw Data'!$B:$B,0)),"")</f>
        <v/>
      </c>
      <c r="H62" t="str">
        <f t="array" ref="H62">IFERROR(INDEX('Day Range Raw Data'!H:H,Match($A62,'Day Range Raw Data'!$B:$B,0)),"")</f>
        <v/>
      </c>
      <c r="I62" t="str">
        <f t="array" ref="I62">IFERROR(INDEX('Day Range Raw Data'!M:M,Match($A62,'Day Range Raw Data'!$B:$B,0)),"")</f>
        <v/>
      </c>
      <c r="J62" t="str">
        <f t="array" ref="J62">IFERROR(INDEX('Day Range Raw Data'!N:N,Match($A62,'Day Range Raw Data'!$B:$B,0)),"")</f>
        <v/>
      </c>
      <c r="K62" t="str">
        <f t="array" ref="K62">IFERROR(INDEX('Day Range Raw Data'!R:R,Match($A62,'Day Range Raw Data'!$B:$B,0)),"")</f>
        <v/>
      </c>
      <c r="L62" t="str">
        <f t="array" ref="L62">IFERROR(INDEX('Day Range Raw Data'!S:S,Match($A62,'Day Range Raw Data'!$B:$B,0)),"")</f>
        <v/>
      </c>
      <c r="M62" t="str">
        <f t="array" ref="M62">IFERROR(INDEX('Day Range Raw Data'!T:T,Match($A62,'Day Range Raw Data'!$B:$B,0)),"")</f>
        <v/>
      </c>
      <c r="N62" t="str">
        <f t="array" ref="N62">IFERROR(INDEX('Day Range Raw Data'!U:U,Match($A62,'Day Range Raw Data'!$B:$B,0)),"")</f>
        <v/>
      </c>
      <c r="O62" t="str">
        <f t="array" ref="O62">IFERROR(INDEX('Day Range Raw Data'!V:V,Match($A62,'Day Range Raw Data'!$B:$B,0)),"")</f>
        <v/>
      </c>
      <c r="P62" t="str">
        <f t="array" ref="P62">IFERROR(INDEX('Day Range Raw Data'!X:X,Match($A62,'Day Range Raw Data'!$B:$B,0)),"")</f>
        <v/>
      </c>
      <c r="Q62" t="str">
        <f t="shared" si="1"/>
        <v/>
      </c>
      <c r="R62" s="9" t="str">
        <f t="shared" si="2"/>
        <v/>
      </c>
      <c r="S62" s="14" t="str">
        <f t="shared" si="3"/>
        <v/>
      </c>
      <c r="T62" s="15" t="str">
        <f>IFERROR(__xludf.DUMMYFUNCTION("IF($A62="""","""",IFERROR(PERCENTRANK.INC(FILTER(Q:Q,$F:$F&lt;&gt;""""),Q62)*100,""""))"),"")</f>
        <v/>
      </c>
      <c r="U62" s="15" t="str">
        <f>IFERROR(__xludf.DUMMYFUNCTION("IF($A62="""","""",IFERROR(PERCENTRANK.INC(FILTER(R:R,$F:$F&lt;&gt;""""),R62)*100,""""))"),"")</f>
        <v/>
      </c>
      <c r="V62" s="15" t="str">
        <f>IFERROR(__xludf.DUMMYFUNCTION("IF($A62="""","""",IFERROR(PERCENTRANK.INC(FILTER(S:S,$F:$F&lt;&gt;""""),S62)*100,""""))"),"")</f>
        <v/>
      </c>
      <c r="W62" s="15" t="str">
        <f t="shared" si="4"/>
        <v/>
      </c>
    </row>
    <row r="63">
      <c r="B63" t="str">
        <f t="array" ref="B63">IFERROR(INDEX('Player Raw Data'!C:C,Match($A63,'Player Raw Data'!$B:$B,0)),"")</f>
        <v/>
      </c>
      <c r="C63" t="str">
        <f t="array" ref="C63">IFERROR(INDEX('Player Raw Data'!D:D,Match($A63,'Player Raw Data'!$B:$B,0)),"")</f>
        <v/>
      </c>
      <c r="D63" t="str">
        <f t="array" ref="D63">IFERROR(IF(A63=A62, INDEX('Player Raw Data'!E:E,Match($A63,'Player Raw Data'!$B:$B,0)+2),INDEX('Player Raw Data'!E:E,Match($A63,'Player Raw Data'!$B:$B,0))),"")</f>
        <v/>
      </c>
      <c r="E63" t="str">
        <f t="array" ref="E63">IFERROR(INDEX('Day Range Raw Data'!D:D,Match($A63,'Day Range Raw Data'!$B:$B,0)),"")</f>
        <v/>
      </c>
      <c r="F63" t="str">
        <f t="array" ref="F63">IFERROR(INDEX('Day Range Raw Data'!F:F,Match($A63,'Day Range Raw Data'!$B:$B,0)),"")</f>
        <v/>
      </c>
      <c r="G63" t="str">
        <f t="array" ref="G63">IFERROR(INDEX('Day Range Raw Data'!G:G,Match($A63,'Day Range Raw Data'!$B:$B,0)),"")</f>
        <v/>
      </c>
      <c r="H63" t="str">
        <f t="array" ref="H63">IFERROR(INDEX('Day Range Raw Data'!H:H,Match($A63,'Day Range Raw Data'!$B:$B,0)),"")</f>
        <v/>
      </c>
      <c r="I63" t="str">
        <f t="array" ref="I63">IFERROR(INDEX('Day Range Raw Data'!M:M,Match($A63,'Day Range Raw Data'!$B:$B,0)),"")</f>
        <v/>
      </c>
      <c r="J63" t="str">
        <f t="array" ref="J63">IFERROR(INDEX('Day Range Raw Data'!N:N,Match($A63,'Day Range Raw Data'!$B:$B,0)),"")</f>
        <v/>
      </c>
      <c r="K63" t="str">
        <f t="array" ref="K63">IFERROR(INDEX('Day Range Raw Data'!R:R,Match($A63,'Day Range Raw Data'!$B:$B,0)),"")</f>
        <v/>
      </c>
      <c r="L63" t="str">
        <f t="array" ref="L63">IFERROR(INDEX('Day Range Raw Data'!S:S,Match($A63,'Day Range Raw Data'!$B:$B,0)),"")</f>
        <v/>
      </c>
      <c r="M63" t="str">
        <f t="array" ref="M63">IFERROR(INDEX('Day Range Raw Data'!T:T,Match($A63,'Day Range Raw Data'!$B:$B,0)),"")</f>
        <v/>
      </c>
      <c r="N63" t="str">
        <f t="array" ref="N63">IFERROR(INDEX('Day Range Raw Data'!U:U,Match($A63,'Day Range Raw Data'!$B:$B,0)),"")</f>
        <v/>
      </c>
      <c r="O63" t="str">
        <f t="array" ref="O63">IFERROR(INDEX('Day Range Raw Data'!V:V,Match($A63,'Day Range Raw Data'!$B:$B,0)),"")</f>
        <v/>
      </c>
      <c r="P63" t="str">
        <f t="array" ref="P63">IFERROR(INDEX('Day Range Raw Data'!X:X,Match($A63,'Day Range Raw Data'!$B:$B,0)),"")</f>
        <v/>
      </c>
      <c r="Q63" t="str">
        <f t="shared" si="1"/>
        <v/>
      </c>
      <c r="R63" s="9" t="str">
        <f t="shared" si="2"/>
        <v/>
      </c>
      <c r="S63" s="14" t="str">
        <f t="shared" si="3"/>
        <v/>
      </c>
      <c r="T63" s="15" t="str">
        <f>IFERROR(__xludf.DUMMYFUNCTION("IF($A63="""","""",IFERROR(PERCENTRANK.INC(FILTER(Q:Q,$F:$F&lt;&gt;""""),Q63)*100,""""))"),"")</f>
        <v/>
      </c>
      <c r="U63" s="15" t="str">
        <f>IFERROR(__xludf.DUMMYFUNCTION("IF($A63="""","""",IFERROR(PERCENTRANK.INC(FILTER(R:R,$F:$F&lt;&gt;""""),R63)*100,""""))"),"")</f>
        <v/>
      </c>
      <c r="V63" s="15" t="str">
        <f>IFERROR(__xludf.DUMMYFUNCTION("IF($A63="""","""",IFERROR(PERCENTRANK.INC(FILTER(S:S,$F:$F&lt;&gt;""""),S63)*100,""""))"),"")</f>
        <v/>
      </c>
      <c r="W63" s="15" t="str">
        <f t="shared" si="4"/>
        <v/>
      </c>
    </row>
    <row r="64">
      <c r="B64" t="str">
        <f t="array" ref="B64">IFERROR(INDEX('Player Raw Data'!C:C,Match($A64,'Player Raw Data'!$B:$B,0)),"")</f>
        <v/>
      </c>
      <c r="C64" t="str">
        <f t="array" ref="C64">IFERROR(INDEX('Player Raw Data'!D:D,Match($A64,'Player Raw Data'!$B:$B,0)),"")</f>
        <v/>
      </c>
      <c r="D64" t="str">
        <f t="array" ref="D64">IFERROR(IF(A64=A63, INDEX('Player Raw Data'!E:E,Match($A64,'Player Raw Data'!$B:$B,0)+2),INDEX('Player Raw Data'!E:E,Match($A64,'Player Raw Data'!$B:$B,0))),"")</f>
        <v/>
      </c>
      <c r="E64" t="str">
        <f t="array" ref="E64">IFERROR(INDEX('Day Range Raw Data'!D:D,Match($A64,'Day Range Raw Data'!$B:$B,0)),"")</f>
        <v/>
      </c>
      <c r="F64" t="str">
        <f t="array" ref="F64">IFERROR(INDEX('Day Range Raw Data'!F:F,Match($A64,'Day Range Raw Data'!$B:$B,0)),"")</f>
        <v/>
      </c>
      <c r="G64" t="str">
        <f t="array" ref="G64">IFERROR(INDEX('Day Range Raw Data'!G:G,Match($A64,'Day Range Raw Data'!$B:$B,0)),"")</f>
        <v/>
      </c>
      <c r="H64" t="str">
        <f t="array" ref="H64">IFERROR(INDEX('Day Range Raw Data'!H:H,Match($A64,'Day Range Raw Data'!$B:$B,0)),"")</f>
        <v/>
      </c>
      <c r="I64" t="str">
        <f t="array" ref="I64">IFERROR(INDEX('Day Range Raw Data'!M:M,Match($A64,'Day Range Raw Data'!$B:$B,0)),"")</f>
        <v/>
      </c>
      <c r="J64" t="str">
        <f t="array" ref="J64">IFERROR(INDEX('Day Range Raw Data'!N:N,Match($A64,'Day Range Raw Data'!$B:$B,0)),"")</f>
        <v/>
      </c>
      <c r="K64" t="str">
        <f t="array" ref="K64">IFERROR(INDEX('Day Range Raw Data'!R:R,Match($A64,'Day Range Raw Data'!$B:$B,0)),"")</f>
        <v/>
      </c>
      <c r="L64" t="str">
        <f t="array" ref="L64">IFERROR(INDEX('Day Range Raw Data'!S:S,Match($A64,'Day Range Raw Data'!$B:$B,0)),"")</f>
        <v/>
      </c>
      <c r="M64" t="str">
        <f t="array" ref="M64">IFERROR(INDEX('Day Range Raw Data'!T:T,Match($A64,'Day Range Raw Data'!$B:$B,0)),"")</f>
        <v/>
      </c>
      <c r="N64" t="str">
        <f t="array" ref="N64">IFERROR(INDEX('Day Range Raw Data'!U:U,Match($A64,'Day Range Raw Data'!$B:$B,0)),"")</f>
        <v/>
      </c>
      <c r="O64" t="str">
        <f t="array" ref="O64">IFERROR(INDEX('Day Range Raw Data'!V:V,Match($A64,'Day Range Raw Data'!$B:$B,0)),"")</f>
        <v/>
      </c>
      <c r="P64" t="str">
        <f t="array" ref="P64">IFERROR(INDEX('Day Range Raw Data'!X:X,Match($A64,'Day Range Raw Data'!$B:$B,0)),"")</f>
        <v/>
      </c>
      <c r="Q64" t="str">
        <f t="shared" si="1"/>
        <v/>
      </c>
      <c r="R64" s="9" t="str">
        <f t="shared" si="2"/>
        <v/>
      </c>
      <c r="S64" s="14" t="str">
        <f t="shared" si="3"/>
        <v/>
      </c>
      <c r="T64" s="15" t="str">
        <f>IFERROR(__xludf.DUMMYFUNCTION("IF($A64="""","""",IFERROR(PERCENTRANK.INC(FILTER(Q:Q,$F:$F&lt;&gt;""""),Q64)*100,""""))"),"")</f>
        <v/>
      </c>
      <c r="U64" s="15" t="str">
        <f>IFERROR(__xludf.DUMMYFUNCTION("IF($A64="""","""",IFERROR(PERCENTRANK.INC(FILTER(R:R,$F:$F&lt;&gt;""""),R64)*100,""""))"),"")</f>
        <v/>
      </c>
      <c r="V64" s="15" t="str">
        <f>IFERROR(__xludf.DUMMYFUNCTION("IF($A64="""","""",IFERROR(PERCENTRANK.INC(FILTER(S:S,$F:$F&lt;&gt;""""),S64)*100,""""))"),"")</f>
        <v/>
      </c>
      <c r="W64" s="15" t="str">
        <f t="shared" si="4"/>
        <v/>
      </c>
    </row>
    <row r="65">
      <c r="B65" t="str">
        <f t="array" ref="B65">IFERROR(INDEX('Player Raw Data'!C:C,Match($A65,'Player Raw Data'!$B:$B,0)),"")</f>
        <v/>
      </c>
      <c r="C65" t="str">
        <f t="array" ref="C65">IFERROR(INDEX('Player Raw Data'!D:D,Match($A65,'Player Raw Data'!$B:$B,0)),"")</f>
        <v/>
      </c>
      <c r="D65" t="str">
        <f t="array" ref="D65">IFERROR(IF(A65=A64, INDEX('Player Raw Data'!E:E,Match($A65,'Player Raw Data'!$B:$B,0)+2),INDEX('Player Raw Data'!E:E,Match($A65,'Player Raw Data'!$B:$B,0))),"")</f>
        <v/>
      </c>
      <c r="E65" t="str">
        <f t="array" ref="E65">IFERROR(INDEX('Day Range Raw Data'!D:D,Match($A65,'Day Range Raw Data'!$B:$B,0)),"")</f>
        <v/>
      </c>
      <c r="F65" t="str">
        <f t="array" ref="F65">IFERROR(INDEX('Day Range Raw Data'!F:F,Match($A65,'Day Range Raw Data'!$B:$B,0)),"")</f>
        <v/>
      </c>
      <c r="G65" t="str">
        <f t="array" ref="G65">IFERROR(INDEX('Day Range Raw Data'!G:G,Match($A65,'Day Range Raw Data'!$B:$B,0)),"")</f>
        <v/>
      </c>
      <c r="H65" t="str">
        <f t="array" ref="H65">IFERROR(INDEX('Day Range Raw Data'!H:H,Match($A65,'Day Range Raw Data'!$B:$B,0)),"")</f>
        <v/>
      </c>
      <c r="I65" t="str">
        <f t="array" ref="I65">IFERROR(INDEX('Day Range Raw Data'!M:M,Match($A65,'Day Range Raw Data'!$B:$B,0)),"")</f>
        <v/>
      </c>
      <c r="J65" t="str">
        <f t="array" ref="J65">IFERROR(INDEX('Day Range Raw Data'!N:N,Match($A65,'Day Range Raw Data'!$B:$B,0)),"")</f>
        <v/>
      </c>
      <c r="K65" t="str">
        <f t="array" ref="K65">IFERROR(INDEX('Day Range Raw Data'!R:R,Match($A65,'Day Range Raw Data'!$B:$B,0)),"")</f>
        <v/>
      </c>
      <c r="L65" t="str">
        <f t="array" ref="L65">IFERROR(INDEX('Day Range Raw Data'!S:S,Match($A65,'Day Range Raw Data'!$B:$B,0)),"")</f>
        <v/>
      </c>
      <c r="M65" t="str">
        <f t="array" ref="M65">IFERROR(INDEX('Day Range Raw Data'!T:T,Match($A65,'Day Range Raw Data'!$B:$B,0)),"")</f>
        <v/>
      </c>
      <c r="N65" t="str">
        <f t="array" ref="N65">IFERROR(INDEX('Day Range Raw Data'!U:U,Match($A65,'Day Range Raw Data'!$B:$B,0)),"")</f>
        <v/>
      </c>
      <c r="O65" t="str">
        <f t="array" ref="O65">IFERROR(INDEX('Day Range Raw Data'!V:V,Match($A65,'Day Range Raw Data'!$B:$B,0)),"")</f>
        <v/>
      </c>
      <c r="P65" t="str">
        <f t="array" ref="P65">IFERROR(INDEX('Day Range Raw Data'!X:X,Match($A65,'Day Range Raw Data'!$B:$B,0)),"")</f>
        <v/>
      </c>
      <c r="Q65" t="str">
        <f t="shared" si="1"/>
        <v/>
      </c>
      <c r="R65" s="9" t="str">
        <f t="shared" si="2"/>
        <v/>
      </c>
      <c r="S65" s="14" t="str">
        <f t="shared" si="3"/>
        <v/>
      </c>
      <c r="T65" s="15" t="str">
        <f>IFERROR(__xludf.DUMMYFUNCTION("IF($A65="""","""",IFERROR(PERCENTRANK.INC(FILTER(Q:Q,$F:$F&lt;&gt;""""),Q65)*100,""""))"),"")</f>
        <v/>
      </c>
      <c r="U65" s="15" t="str">
        <f>IFERROR(__xludf.DUMMYFUNCTION("IF($A65="""","""",IFERROR(PERCENTRANK.INC(FILTER(R:R,$F:$F&lt;&gt;""""),R65)*100,""""))"),"")</f>
        <v/>
      </c>
      <c r="V65" s="15" t="str">
        <f>IFERROR(__xludf.DUMMYFUNCTION("IF($A65="""","""",IFERROR(PERCENTRANK.INC(FILTER(S:S,$F:$F&lt;&gt;""""),S65)*100,""""))"),"")</f>
        <v/>
      </c>
      <c r="W65" s="15" t="str">
        <f t="shared" si="4"/>
        <v/>
      </c>
    </row>
    <row r="66">
      <c r="B66" t="str">
        <f t="array" ref="B66">IFERROR(INDEX('Player Raw Data'!C:C,Match($A66,'Player Raw Data'!$B:$B,0)),"")</f>
        <v/>
      </c>
      <c r="C66" t="str">
        <f t="array" ref="C66">IFERROR(INDEX('Player Raw Data'!D:D,Match($A66,'Player Raw Data'!$B:$B,0)),"")</f>
        <v/>
      </c>
      <c r="D66" t="str">
        <f t="array" ref="D66">IFERROR(IF(A66=A65, INDEX('Player Raw Data'!E:E,Match($A66,'Player Raw Data'!$B:$B,0)+2),INDEX('Player Raw Data'!E:E,Match($A66,'Player Raw Data'!$B:$B,0))),"")</f>
        <v/>
      </c>
      <c r="E66" t="str">
        <f t="array" ref="E66">IFERROR(INDEX('Day Range Raw Data'!D:D,Match($A66,'Day Range Raw Data'!$B:$B,0)),"")</f>
        <v/>
      </c>
      <c r="F66" t="str">
        <f t="array" ref="F66">IFERROR(INDEX('Day Range Raw Data'!F:F,Match($A66,'Day Range Raw Data'!$B:$B,0)),"")</f>
        <v/>
      </c>
      <c r="G66" t="str">
        <f t="array" ref="G66">IFERROR(INDEX('Day Range Raw Data'!G:G,Match($A66,'Day Range Raw Data'!$B:$B,0)),"")</f>
        <v/>
      </c>
      <c r="H66" t="str">
        <f t="array" ref="H66">IFERROR(INDEX('Day Range Raw Data'!H:H,Match($A66,'Day Range Raw Data'!$B:$B,0)),"")</f>
        <v/>
      </c>
      <c r="I66" t="str">
        <f t="array" ref="I66">IFERROR(INDEX('Day Range Raw Data'!M:M,Match($A66,'Day Range Raw Data'!$B:$B,0)),"")</f>
        <v/>
      </c>
      <c r="J66" t="str">
        <f t="array" ref="J66">IFERROR(INDEX('Day Range Raw Data'!N:N,Match($A66,'Day Range Raw Data'!$B:$B,0)),"")</f>
        <v/>
      </c>
      <c r="K66" t="str">
        <f t="array" ref="K66">IFERROR(INDEX('Day Range Raw Data'!R:R,Match($A66,'Day Range Raw Data'!$B:$B,0)),"")</f>
        <v/>
      </c>
      <c r="L66" t="str">
        <f t="array" ref="L66">IFERROR(INDEX('Day Range Raw Data'!S:S,Match($A66,'Day Range Raw Data'!$B:$B,0)),"")</f>
        <v/>
      </c>
      <c r="M66" t="str">
        <f t="array" ref="M66">IFERROR(INDEX('Day Range Raw Data'!T:T,Match($A66,'Day Range Raw Data'!$B:$B,0)),"")</f>
        <v/>
      </c>
      <c r="N66" t="str">
        <f t="array" ref="N66">IFERROR(INDEX('Day Range Raw Data'!U:U,Match($A66,'Day Range Raw Data'!$B:$B,0)),"")</f>
        <v/>
      </c>
      <c r="O66" t="str">
        <f t="array" ref="O66">IFERROR(INDEX('Day Range Raw Data'!V:V,Match($A66,'Day Range Raw Data'!$B:$B,0)),"")</f>
        <v/>
      </c>
      <c r="P66" t="str">
        <f t="array" ref="P66">IFERROR(INDEX('Day Range Raw Data'!X:X,Match($A66,'Day Range Raw Data'!$B:$B,0)),"")</f>
        <v/>
      </c>
      <c r="Q66" t="str">
        <f t="shared" si="1"/>
        <v/>
      </c>
      <c r="R66" s="9" t="str">
        <f t="shared" si="2"/>
        <v/>
      </c>
      <c r="S66" s="14" t="str">
        <f t="shared" si="3"/>
        <v/>
      </c>
      <c r="T66" s="15" t="str">
        <f>IFERROR(__xludf.DUMMYFUNCTION("IF($A66="""","""",IFERROR(PERCENTRANK.INC(FILTER(Q:Q,$F:$F&lt;&gt;""""),Q66)*100,""""))"),"")</f>
        <v/>
      </c>
      <c r="U66" s="15" t="str">
        <f>IFERROR(__xludf.DUMMYFUNCTION("IF($A66="""","""",IFERROR(PERCENTRANK.INC(FILTER(R:R,$F:$F&lt;&gt;""""),R66)*100,""""))"),"")</f>
        <v/>
      </c>
      <c r="V66" s="15" t="str">
        <f>IFERROR(__xludf.DUMMYFUNCTION("IF($A66="""","""",IFERROR(PERCENTRANK.INC(FILTER(S:S,$F:$F&lt;&gt;""""),S66)*100,""""))"),"")</f>
        <v/>
      </c>
      <c r="W66" s="15" t="str">
        <f t="shared" si="4"/>
        <v/>
      </c>
    </row>
    <row r="67">
      <c r="B67" t="str">
        <f t="array" ref="B67">IFERROR(INDEX('Player Raw Data'!C:C,Match($A67,'Player Raw Data'!$B:$B,0)),"")</f>
        <v/>
      </c>
      <c r="C67" t="str">
        <f t="array" ref="C67">IFERROR(INDEX('Player Raw Data'!D:D,Match($A67,'Player Raw Data'!$B:$B,0)),"")</f>
        <v/>
      </c>
      <c r="D67" t="str">
        <f t="array" ref="D67">IFERROR(IF(A67=A66, INDEX('Player Raw Data'!E:E,Match($A67,'Player Raw Data'!$B:$B,0)+2),INDEX('Player Raw Data'!E:E,Match($A67,'Player Raw Data'!$B:$B,0))),"")</f>
        <v/>
      </c>
      <c r="E67" t="str">
        <f t="array" ref="E67">IFERROR(INDEX('Day Range Raw Data'!D:D,Match($A67,'Day Range Raw Data'!$B:$B,0)),"")</f>
        <v/>
      </c>
      <c r="F67" t="str">
        <f t="array" ref="F67">IFERROR(INDEX('Day Range Raw Data'!F:F,Match($A67,'Day Range Raw Data'!$B:$B,0)),"")</f>
        <v/>
      </c>
      <c r="G67" t="str">
        <f t="array" ref="G67">IFERROR(INDEX('Day Range Raw Data'!G:G,Match($A67,'Day Range Raw Data'!$B:$B,0)),"")</f>
        <v/>
      </c>
      <c r="H67" t="str">
        <f t="array" ref="H67">IFERROR(INDEX('Day Range Raw Data'!H:H,Match($A67,'Day Range Raw Data'!$B:$B,0)),"")</f>
        <v/>
      </c>
      <c r="I67" t="str">
        <f t="array" ref="I67">IFERROR(INDEX('Day Range Raw Data'!M:M,Match($A67,'Day Range Raw Data'!$B:$B,0)),"")</f>
        <v/>
      </c>
      <c r="J67" t="str">
        <f t="array" ref="J67">IFERROR(INDEX('Day Range Raw Data'!N:N,Match($A67,'Day Range Raw Data'!$B:$B,0)),"")</f>
        <v/>
      </c>
      <c r="K67" t="str">
        <f t="array" ref="K67">IFERROR(INDEX('Day Range Raw Data'!R:R,Match($A67,'Day Range Raw Data'!$B:$B,0)),"")</f>
        <v/>
      </c>
      <c r="L67" t="str">
        <f t="array" ref="L67">IFERROR(INDEX('Day Range Raw Data'!S:S,Match($A67,'Day Range Raw Data'!$B:$B,0)),"")</f>
        <v/>
      </c>
      <c r="M67" t="str">
        <f t="array" ref="M67">IFERROR(INDEX('Day Range Raw Data'!T:T,Match($A67,'Day Range Raw Data'!$B:$B,0)),"")</f>
        <v/>
      </c>
      <c r="N67" t="str">
        <f t="array" ref="N67">IFERROR(INDEX('Day Range Raw Data'!U:U,Match($A67,'Day Range Raw Data'!$B:$B,0)),"")</f>
        <v/>
      </c>
      <c r="O67" t="str">
        <f t="array" ref="O67">IFERROR(INDEX('Day Range Raw Data'!V:V,Match($A67,'Day Range Raw Data'!$B:$B,0)),"")</f>
        <v/>
      </c>
      <c r="P67" t="str">
        <f t="array" ref="P67">IFERROR(INDEX('Day Range Raw Data'!X:X,Match($A67,'Day Range Raw Data'!$B:$B,0)),"")</f>
        <v/>
      </c>
      <c r="Q67" t="str">
        <f t="shared" si="1"/>
        <v/>
      </c>
      <c r="R67" s="9" t="str">
        <f t="shared" si="2"/>
        <v/>
      </c>
      <c r="S67" s="14" t="str">
        <f t="shared" si="3"/>
        <v/>
      </c>
      <c r="T67" s="15" t="str">
        <f>IFERROR(__xludf.DUMMYFUNCTION("IF($A67="""","""",IFERROR(PERCENTRANK.INC(FILTER(Q:Q,$F:$F&lt;&gt;""""),Q67)*100,""""))"),"")</f>
        <v/>
      </c>
      <c r="U67" s="15" t="str">
        <f>IFERROR(__xludf.DUMMYFUNCTION("IF($A67="""","""",IFERROR(PERCENTRANK.INC(FILTER(R:R,$F:$F&lt;&gt;""""),R67)*100,""""))"),"")</f>
        <v/>
      </c>
      <c r="V67" s="15" t="str">
        <f>IFERROR(__xludf.DUMMYFUNCTION("IF($A67="""","""",IFERROR(PERCENTRANK.INC(FILTER(S:S,$F:$F&lt;&gt;""""),S67)*100,""""))"),"")</f>
        <v/>
      </c>
      <c r="W67" s="15" t="str">
        <f t="shared" si="4"/>
        <v/>
      </c>
    </row>
    <row r="68">
      <c r="B68" t="str">
        <f t="array" ref="B68">IFERROR(INDEX('Player Raw Data'!C:C,Match($A68,'Player Raw Data'!$B:$B,0)),"")</f>
        <v/>
      </c>
      <c r="C68" t="str">
        <f t="array" ref="C68">IFERROR(INDEX('Player Raw Data'!D:D,Match($A68,'Player Raw Data'!$B:$B,0)),"")</f>
        <v/>
      </c>
      <c r="D68" t="str">
        <f t="array" ref="D68">IFERROR(IF(A68=A67, INDEX('Player Raw Data'!E:E,Match($A68,'Player Raw Data'!$B:$B,0)+2),INDEX('Player Raw Data'!E:E,Match($A68,'Player Raw Data'!$B:$B,0))),"")</f>
        <v/>
      </c>
      <c r="E68" t="str">
        <f t="array" ref="E68">IFERROR(INDEX('Day Range Raw Data'!D:D,Match($A68,'Day Range Raw Data'!$B:$B,0)),"")</f>
        <v/>
      </c>
      <c r="F68" t="str">
        <f t="array" ref="F68">IFERROR(INDEX('Day Range Raw Data'!F:F,Match($A68,'Day Range Raw Data'!$B:$B,0)),"")</f>
        <v/>
      </c>
      <c r="G68" t="str">
        <f t="array" ref="G68">IFERROR(INDEX('Day Range Raw Data'!G:G,Match($A68,'Day Range Raw Data'!$B:$B,0)),"")</f>
        <v/>
      </c>
      <c r="H68" t="str">
        <f t="array" ref="H68">IFERROR(INDEX('Day Range Raw Data'!H:H,Match($A68,'Day Range Raw Data'!$B:$B,0)),"")</f>
        <v/>
      </c>
      <c r="I68" t="str">
        <f t="array" ref="I68">IFERROR(INDEX('Day Range Raw Data'!M:M,Match($A68,'Day Range Raw Data'!$B:$B,0)),"")</f>
        <v/>
      </c>
      <c r="J68" t="str">
        <f t="array" ref="J68">IFERROR(INDEX('Day Range Raw Data'!N:N,Match($A68,'Day Range Raw Data'!$B:$B,0)),"")</f>
        <v/>
      </c>
      <c r="K68" t="str">
        <f t="array" ref="K68">IFERROR(INDEX('Day Range Raw Data'!R:R,Match($A68,'Day Range Raw Data'!$B:$B,0)),"")</f>
        <v/>
      </c>
      <c r="L68" t="str">
        <f t="array" ref="L68">IFERROR(INDEX('Day Range Raw Data'!S:S,Match($A68,'Day Range Raw Data'!$B:$B,0)),"")</f>
        <v/>
      </c>
      <c r="M68" t="str">
        <f t="array" ref="M68">IFERROR(INDEX('Day Range Raw Data'!T:T,Match($A68,'Day Range Raw Data'!$B:$B,0)),"")</f>
        <v/>
      </c>
      <c r="N68" t="str">
        <f t="array" ref="N68">IFERROR(INDEX('Day Range Raw Data'!U:U,Match($A68,'Day Range Raw Data'!$B:$B,0)),"")</f>
        <v/>
      </c>
      <c r="O68" t="str">
        <f t="array" ref="O68">IFERROR(INDEX('Day Range Raw Data'!V:V,Match($A68,'Day Range Raw Data'!$B:$B,0)),"")</f>
        <v/>
      </c>
      <c r="P68" t="str">
        <f t="array" ref="P68">IFERROR(INDEX('Day Range Raw Data'!X:X,Match($A68,'Day Range Raw Data'!$B:$B,0)),"")</f>
        <v/>
      </c>
      <c r="Q68" t="str">
        <f t="shared" si="1"/>
        <v/>
      </c>
      <c r="R68" s="9" t="str">
        <f t="shared" si="2"/>
        <v/>
      </c>
      <c r="S68" s="14" t="str">
        <f t="shared" si="3"/>
        <v/>
      </c>
      <c r="T68" s="15" t="str">
        <f>IFERROR(__xludf.DUMMYFUNCTION("IF($A68="""","""",IFERROR(PERCENTRANK.INC(FILTER(Q:Q,$F:$F&lt;&gt;""""),Q68)*100,""""))"),"")</f>
        <v/>
      </c>
      <c r="U68" s="15" t="str">
        <f>IFERROR(__xludf.DUMMYFUNCTION("IF($A68="""","""",IFERROR(PERCENTRANK.INC(FILTER(R:R,$F:$F&lt;&gt;""""),R68)*100,""""))"),"")</f>
        <v/>
      </c>
      <c r="V68" s="15" t="str">
        <f>IFERROR(__xludf.DUMMYFUNCTION("IF($A68="""","""",IFERROR(PERCENTRANK.INC(FILTER(S:S,$F:$F&lt;&gt;""""),S68)*100,""""))"),"")</f>
        <v/>
      </c>
      <c r="W68" s="15" t="str">
        <f t="shared" si="4"/>
        <v/>
      </c>
    </row>
    <row r="69">
      <c r="B69" t="str">
        <f t="array" ref="B69">IFERROR(INDEX('Player Raw Data'!C:C,Match($A69,'Player Raw Data'!$B:$B,0)),"")</f>
        <v/>
      </c>
      <c r="C69" t="str">
        <f t="array" ref="C69">IFERROR(INDEX('Player Raw Data'!D:D,Match($A69,'Player Raw Data'!$B:$B,0)),"")</f>
        <v/>
      </c>
      <c r="D69" t="str">
        <f t="array" ref="D69">IFERROR(IF(A69=A68, INDEX('Player Raw Data'!E:E,Match($A69,'Player Raw Data'!$B:$B,0)+2),INDEX('Player Raw Data'!E:E,Match($A69,'Player Raw Data'!$B:$B,0))),"")</f>
        <v/>
      </c>
      <c r="E69" t="str">
        <f t="array" ref="E69">IFERROR(INDEX('Day Range Raw Data'!D:D,Match($A69,'Day Range Raw Data'!$B:$B,0)),"")</f>
        <v/>
      </c>
      <c r="F69" t="str">
        <f t="array" ref="F69">IFERROR(INDEX('Day Range Raw Data'!F:F,Match($A69,'Day Range Raw Data'!$B:$B,0)),"")</f>
        <v/>
      </c>
      <c r="G69" t="str">
        <f t="array" ref="G69">IFERROR(INDEX('Day Range Raw Data'!G:G,Match($A69,'Day Range Raw Data'!$B:$B,0)),"")</f>
        <v/>
      </c>
      <c r="H69" t="str">
        <f t="array" ref="H69">IFERROR(INDEX('Day Range Raw Data'!H:H,Match($A69,'Day Range Raw Data'!$B:$B,0)),"")</f>
        <v/>
      </c>
      <c r="I69" t="str">
        <f t="array" ref="I69">IFERROR(INDEX('Day Range Raw Data'!M:M,Match($A69,'Day Range Raw Data'!$B:$B,0)),"")</f>
        <v/>
      </c>
      <c r="J69" t="str">
        <f t="array" ref="J69">IFERROR(INDEX('Day Range Raw Data'!N:N,Match($A69,'Day Range Raw Data'!$B:$B,0)),"")</f>
        <v/>
      </c>
      <c r="K69" t="str">
        <f t="array" ref="K69">IFERROR(INDEX('Day Range Raw Data'!R:R,Match($A69,'Day Range Raw Data'!$B:$B,0)),"")</f>
        <v/>
      </c>
      <c r="L69" t="str">
        <f t="array" ref="L69">IFERROR(INDEX('Day Range Raw Data'!S:S,Match($A69,'Day Range Raw Data'!$B:$B,0)),"")</f>
        <v/>
      </c>
      <c r="M69" t="str">
        <f t="array" ref="M69">IFERROR(INDEX('Day Range Raw Data'!T:T,Match($A69,'Day Range Raw Data'!$B:$B,0)),"")</f>
        <v/>
      </c>
      <c r="N69" t="str">
        <f t="array" ref="N69">IFERROR(INDEX('Day Range Raw Data'!U:U,Match($A69,'Day Range Raw Data'!$B:$B,0)),"")</f>
        <v/>
      </c>
      <c r="O69" t="str">
        <f t="array" ref="O69">IFERROR(INDEX('Day Range Raw Data'!V:V,Match($A69,'Day Range Raw Data'!$B:$B,0)),"")</f>
        <v/>
      </c>
      <c r="P69" t="str">
        <f t="array" ref="P69">IFERROR(INDEX('Day Range Raw Data'!X:X,Match($A69,'Day Range Raw Data'!$B:$B,0)),"")</f>
        <v/>
      </c>
      <c r="Q69" t="str">
        <f t="shared" si="1"/>
        <v/>
      </c>
      <c r="R69" s="9" t="str">
        <f t="shared" si="2"/>
        <v/>
      </c>
      <c r="S69" s="14" t="str">
        <f t="shared" si="3"/>
        <v/>
      </c>
      <c r="T69" s="15" t="str">
        <f>IFERROR(__xludf.DUMMYFUNCTION("IF($A69="""","""",IFERROR(PERCENTRANK.INC(FILTER(Q:Q,$F:$F&lt;&gt;""""),Q69)*100,""""))"),"")</f>
        <v/>
      </c>
      <c r="U69" s="15" t="str">
        <f>IFERROR(__xludf.DUMMYFUNCTION("IF($A69="""","""",IFERROR(PERCENTRANK.INC(FILTER(R:R,$F:$F&lt;&gt;""""),R69)*100,""""))"),"")</f>
        <v/>
      </c>
      <c r="V69" s="15" t="str">
        <f>IFERROR(__xludf.DUMMYFUNCTION("IF($A69="""","""",IFERROR(PERCENTRANK.INC(FILTER(S:S,$F:$F&lt;&gt;""""),S69)*100,""""))"),"")</f>
        <v/>
      </c>
      <c r="W69" s="15" t="str">
        <f t="shared" si="4"/>
        <v/>
      </c>
    </row>
    <row r="70">
      <c r="B70" t="str">
        <f t="array" ref="B70">IFERROR(INDEX('Player Raw Data'!C:C,Match($A70,'Player Raw Data'!$B:$B,0)),"")</f>
        <v/>
      </c>
      <c r="C70" t="str">
        <f t="array" ref="C70">IFERROR(INDEX('Player Raw Data'!D:D,Match($A70,'Player Raw Data'!$B:$B,0)),"")</f>
        <v/>
      </c>
      <c r="D70" t="str">
        <f t="array" ref="D70">IFERROR(IF(A70=A69, INDEX('Player Raw Data'!E:E,Match($A70,'Player Raw Data'!$B:$B,0)+2),INDEX('Player Raw Data'!E:E,Match($A70,'Player Raw Data'!$B:$B,0))),"")</f>
        <v/>
      </c>
      <c r="E70" t="str">
        <f t="array" ref="E70">IFERROR(INDEX('Day Range Raw Data'!D:D,Match($A70,'Day Range Raw Data'!$B:$B,0)),"")</f>
        <v/>
      </c>
      <c r="F70" t="str">
        <f t="array" ref="F70">IFERROR(INDEX('Day Range Raw Data'!F:F,Match($A70,'Day Range Raw Data'!$B:$B,0)),"")</f>
        <v/>
      </c>
      <c r="G70" t="str">
        <f t="array" ref="G70">IFERROR(INDEX('Day Range Raw Data'!G:G,Match($A70,'Day Range Raw Data'!$B:$B,0)),"")</f>
        <v/>
      </c>
      <c r="H70" t="str">
        <f t="array" ref="H70">IFERROR(INDEX('Day Range Raw Data'!H:H,Match($A70,'Day Range Raw Data'!$B:$B,0)),"")</f>
        <v/>
      </c>
      <c r="I70" t="str">
        <f t="array" ref="I70">IFERROR(INDEX('Day Range Raw Data'!M:M,Match($A70,'Day Range Raw Data'!$B:$B,0)),"")</f>
        <v/>
      </c>
      <c r="J70" t="str">
        <f t="array" ref="J70">IFERROR(INDEX('Day Range Raw Data'!N:N,Match($A70,'Day Range Raw Data'!$B:$B,0)),"")</f>
        <v/>
      </c>
      <c r="K70" t="str">
        <f t="array" ref="K70">IFERROR(INDEX('Day Range Raw Data'!R:R,Match($A70,'Day Range Raw Data'!$B:$B,0)),"")</f>
        <v/>
      </c>
      <c r="L70" t="str">
        <f t="array" ref="L70">IFERROR(INDEX('Day Range Raw Data'!S:S,Match($A70,'Day Range Raw Data'!$B:$B,0)),"")</f>
        <v/>
      </c>
      <c r="M70" t="str">
        <f t="array" ref="M70">IFERROR(INDEX('Day Range Raw Data'!T:T,Match($A70,'Day Range Raw Data'!$B:$B,0)),"")</f>
        <v/>
      </c>
      <c r="N70" t="str">
        <f t="array" ref="N70">IFERROR(INDEX('Day Range Raw Data'!U:U,Match($A70,'Day Range Raw Data'!$B:$B,0)),"")</f>
        <v/>
      </c>
      <c r="O70" t="str">
        <f t="array" ref="O70">IFERROR(INDEX('Day Range Raw Data'!V:V,Match($A70,'Day Range Raw Data'!$B:$B,0)),"")</f>
        <v/>
      </c>
      <c r="P70" t="str">
        <f t="array" ref="P70">IFERROR(INDEX('Day Range Raw Data'!X:X,Match($A70,'Day Range Raw Data'!$B:$B,0)),"")</f>
        <v/>
      </c>
      <c r="Q70" t="str">
        <f t="shared" si="1"/>
        <v/>
      </c>
      <c r="R70" s="9" t="str">
        <f t="shared" si="2"/>
        <v/>
      </c>
      <c r="S70" s="14" t="str">
        <f t="shared" si="3"/>
        <v/>
      </c>
      <c r="T70" s="15" t="str">
        <f>IFERROR(__xludf.DUMMYFUNCTION("IF($A70="""","""",IFERROR(PERCENTRANK.INC(FILTER(Q:Q,$F:$F&lt;&gt;""""),Q70)*100,""""))"),"")</f>
        <v/>
      </c>
      <c r="U70" s="15" t="str">
        <f>IFERROR(__xludf.DUMMYFUNCTION("IF($A70="""","""",IFERROR(PERCENTRANK.INC(FILTER(R:R,$F:$F&lt;&gt;""""),R70)*100,""""))"),"")</f>
        <v/>
      </c>
      <c r="V70" s="15" t="str">
        <f>IFERROR(__xludf.DUMMYFUNCTION("IF($A70="""","""",IFERROR(PERCENTRANK.INC(FILTER(S:S,$F:$F&lt;&gt;""""),S70)*100,""""))"),"")</f>
        <v/>
      </c>
      <c r="W70" s="15" t="str">
        <f t="shared" si="4"/>
        <v/>
      </c>
    </row>
    <row r="71">
      <c r="B71" t="str">
        <f t="array" ref="B71">IFERROR(INDEX('Player Raw Data'!C:C,Match($A71,'Player Raw Data'!$B:$B,0)),"")</f>
        <v/>
      </c>
      <c r="C71" t="str">
        <f t="array" ref="C71">IFERROR(INDEX('Player Raw Data'!D:D,Match($A71,'Player Raw Data'!$B:$B,0)),"")</f>
        <v/>
      </c>
      <c r="D71" t="str">
        <f t="array" ref="D71">IFERROR(IF(A71=A70, INDEX('Player Raw Data'!E:E,Match($A71,'Player Raw Data'!$B:$B,0)+2),INDEX('Player Raw Data'!E:E,Match($A71,'Player Raw Data'!$B:$B,0))),"")</f>
        <v/>
      </c>
      <c r="E71" t="str">
        <f t="array" ref="E71">IFERROR(INDEX('Day Range Raw Data'!D:D,Match($A71,'Day Range Raw Data'!$B:$B,0)),"")</f>
        <v/>
      </c>
      <c r="F71" t="str">
        <f t="array" ref="F71">IFERROR(INDEX('Day Range Raw Data'!F:F,Match($A71,'Day Range Raw Data'!$B:$B,0)),"")</f>
        <v/>
      </c>
      <c r="G71" t="str">
        <f t="array" ref="G71">IFERROR(INDEX('Day Range Raw Data'!G:G,Match($A71,'Day Range Raw Data'!$B:$B,0)),"")</f>
        <v/>
      </c>
      <c r="H71" t="str">
        <f t="array" ref="H71">IFERROR(INDEX('Day Range Raw Data'!H:H,Match($A71,'Day Range Raw Data'!$B:$B,0)),"")</f>
        <v/>
      </c>
      <c r="I71" t="str">
        <f t="array" ref="I71">IFERROR(INDEX('Day Range Raw Data'!M:M,Match($A71,'Day Range Raw Data'!$B:$B,0)),"")</f>
        <v/>
      </c>
      <c r="J71" t="str">
        <f t="array" ref="J71">IFERROR(INDEX('Day Range Raw Data'!N:N,Match($A71,'Day Range Raw Data'!$B:$B,0)),"")</f>
        <v/>
      </c>
      <c r="K71" t="str">
        <f t="array" ref="K71">IFERROR(INDEX('Day Range Raw Data'!R:R,Match($A71,'Day Range Raw Data'!$B:$B,0)),"")</f>
        <v/>
      </c>
      <c r="L71" t="str">
        <f t="array" ref="L71">IFERROR(INDEX('Day Range Raw Data'!S:S,Match($A71,'Day Range Raw Data'!$B:$B,0)),"")</f>
        <v/>
      </c>
      <c r="M71" t="str">
        <f t="array" ref="M71">IFERROR(INDEX('Day Range Raw Data'!T:T,Match($A71,'Day Range Raw Data'!$B:$B,0)),"")</f>
        <v/>
      </c>
      <c r="N71" t="str">
        <f t="array" ref="N71">IFERROR(INDEX('Day Range Raw Data'!U:U,Match($A71,'Day Range Raw Data'!$B:$B,0)),"")</f>
        <v/>
      </c>
      <c r="O71" t="str">
        <f t="array" ref="O71">IFERROR(INDEX('Day Range Raw Data'!V:V,Match($A71,'Day Range Raw Data'!$B:$B,0)),"")</f>
        <v/>
      </c>
      <c r="P71" t="str">
        <f t="array" ref="P71">IFERROR(INDEX('Day Range Raw Data'!X:X,Match($A71,'Day Range Raw Data'!$B:$B,0)),"")</f>
        <v/>
      </c>
      <c r="Q71" t="str">
        <f t="shared" si="1"/>
        <v/>
      </c>
      <c r="R71" s="9" t="str">
        <f t="shared" si="2"/>
        <v/>
      </c>
      <c r="S71" s="14" t="str">
        <f t="shared" si="3"/>
        <v/>
      </c>
      <c r="T71" s="15" t="str">
        <f>IFERROR(__xludf.DUMMYFUNCTION("IF($A71="""","""",IFERROR(PERCENTRANK.INC(FILTER(Q:Q,$F:$F&lt;&gt;""""),Q71)*100,""""))"),"")</f>
        <v/>
      </c>
      <c r="U71" s="15" t="str">
        <f>IFERROR(__xludf.DUMMYFUNCTION("IF($A71="""","""",IFERROR(PERCENTRANK.INC(FILTER(R:R,$F:$F&lt;&gt;""""),R71)*100,""""))"),"")</f>
        <v/>
      </c>
      <c r="V71" s="15" t="str">
        <f>IFERROR(__xludf.DUMMYFUNCTION("IF($A71="""","""",IFERROR(PERCENTRANK.INC(FILTER(S:S,$F:$F&lt;&gt;""""),S71)*100,""""))"),"")</f>
        <v/>
      </c>
      <c r="W71" s="15" t="str">
        <f t="shared" si="4"/>
        <v/>
      </c>
    </row>
    <row r="72">
      <c r="B72" t="str">
        <f t="array" ref="B72">IFERROR(INDEX('Player Raw Data'!C:C,Match($A72,'Player Raw Data'!$B:$B,0)),"")</f>
        <v/>
      </c>
      <c r="C72" t="str">
        <f t="array" ref="C72">IFERROR(INDEX('Player Raw Data'!D:D,Match($A72,'Player Raw Data'!$B:$B,0)),"")</f>
        <v/>
      </c>
      <c r="D72" t="str">
        <f t="array" ref="D72">IFERROR(IF(A72=A71, INDEX('Player Raw Data'!E:E,Match($A72,'Player Raw Data'!$B:$B,0)+2),INDEX('Player Raw Data'!E:E,Match($A72,'Player Raw Data'!$B:$B,0))),"")</f>
        <v/>
      </c>
      <c r="E72" t="str">
        <f t="array" ref="E72">IFERROR(INDEX('Day Range Raw Data'!D:D,Match($A72,'Day Range Raw Data'!$B:$B,0)),"")</f>
        <v/>
      </c>
      <c r="F72" t="str">
        <f t="array" ref="F72">IFERROR(INDEX('Day Range Raw Data'!F:F,Match($A72,'Day Range Raw Data'!$B:$B,0)),"")</f>
        <v/>
      </c>
      <c r="G72" t="str">
        <f t="array" ref="G72">IFERROR(INDEX('Day Range Raw Data'!G:G,Match($A72,'Day Range Raw Data'!$B:$B,0)),"")</f>
        <v/>
      </c>
      <c r="H72" t="str">
        <f t="array" ref="H72">IFERROR(INDEX('Day Range Raw Data'!H:H,Match($A72,'Day Range Raw Data'!$B:$B,0)),"")</f>
        <v/>
      </c>
      <c r="I72" t="str">
        <f t="array" ref="I72">IFERROR(INDEX('Day Range Raw Data'!M:M,Match($A72,'Day Range Raw Data'!$B:$B,0)),"")</f>
        <v/>
      </c>
      <c r="J72" t="str">
        <f t="array" ref="J72">IFERROR(INDEX('Day Range Raw Data'!N:N,Match($A72,'Day Range Raw Data'!$B:$B,0)),"")</f>
        <v/>
      </c>
      <c r="K72" t="str">
        <f t="array" ref="K72">IFERROR(INDEX('Day Range Raw Data'!R:R,Match($A72,'Day Range Raw Data'!$B:$B,0)),"")</f>
        <v/>
      </c>
      <c r="L72" t="str">
        <f t="array" ref="L72">IFERROR(INDEX('Day Range Raw Data'!S:S,Match($A72,'Day Range Raw Data'!$B:$B,0)),"")</f>
        <v/>
      </c>
      <c r="M72" t="str">
        <f t="array" ref="M72">IFERROR(INDEX('Day Range Raw Data'!T:T,Match($A72,'Day Range Raw Data'!$B:$B,0)),"")</f>
        <v/>
      </c>
      <c r="N72" t="str">
        <f t="array" ref="N72">IFERROR(INDEX('Day Range Raw Data'!U:U,Match($A72,'Day Range Raw Data'!$B:$B,0)),"")</f>
        <v/>
      </c>
      <c r="O72" t="str">
        <f t="array" ref="O72">IFERROR(INDEX('Day Range Raw Data'!V:V,Match($A72,'Day Range Raw Data'!$B:$B,0)),"")</f>
        <v/>
      </c>
      <c r="P72" t="str">
        <f t="array" ref="P72">IFERROR(INDEX('Day Range Raw Data'!X:X,Match($A72,'Day Range Raw Data'!$B:$B,0)),"")</f>
        <v/>
      </c>
      <c r="Q72" t="str">
        <f t="shared" si="1"/>
        <v/>
      </c>
      <c r="R72" s="9" t="str">
        <f t="shared" si="2"/>
        <v/>
      </c>
      <c r="S72" s="14" t="str">
        <f t="shared" si="3"/>
        <v/>
      </c>
      <c r="T72" s="15" t="str">
        <f>IFERROR(__xludf.DUMMYFUNCTION("IF($A72="""","""",IFERROR(PERCENTRANK.INC(FILTER(Q:Q,$F:$F&lt;&gt;""""),Q72)*100,""""))"),"")</f>
        <v/>
      </c>
      <c r="U72" s="15" t="str">
        <f>IFERROR(__xludf.DUMMYFUNCTION("IF($A72="""","""",IFERROR(PERCENTRANK.INC(FILTER(R:R,$F:$F&lt;&gt;""""),R72)*100,""""))"),"")</f>
        <v/>
      </c>
      <c r="V72" s="15" t="str">
        <f>IFERROR(__xludf.DUMMYFUNCTION("IF($A72="""","""",IFERROR(PERCENTRANK.INC(FILTER(S:S,$F:$F&lt;&gt;""""),S72)*100,""""))"),"")</f>
        <v/>
      </c>
      <c r="W72" s="15" t="str">
        <f t="shared" si="4"/>
        <v/>
      </c>
    </row>
    <row r="73">
      <c r="B73" t="str">
        <f t="array" ref="B73">IFERROR(INDEX('Player Raw Data'!C:C,Match($A73,'Player Raw Data'!$B:$B,0)),"")</f>
        <v/>
      </c>
      <c r="C73" t="str">
        <f t="array" ref="C73">IFERROR(INDEX('Player Raw Data'!D:D,Match($A73,'Player Raw Data'!$B:$B,0)),"")</f>
        <v/>
      </c>
      <c r="D73" t="str">
        <f t="array" ref="D73">IFERROR(IF(A73=A72, INDEX('Player Raw Data'!E:E,Match($A73,'Player Raw Data'!$B:$B,0)+2),INDEX('Player Raw Data'!E:E,Match($A73,'Player Raw Data'!$B:$B,0))),"")</f>
        <v/>
      </c>
      <c r="E73" t="str">
        <f t="array" ref="E73">IFERROR(INDEX('Day Range Raw Data'!D:D,Match($A73,'Day Range Raw Data'!$B:$B,0)),"")</f>
        <v/>
      </c>
      <c r="F73" t="str">
        <f t="array" ref="F73">IFERROR(INDEX('Day Range Raw Data'!F:F,Match($A73,'Day Range Raw Data'!$B:$B,0)),"")</f>
        <v/>
      </c>
      <c r="G73" t="str">
        <f t="array" ref="G73">IFERROR(INDEX('Day Range Raw Data'!G:G,Match($A73,'Day Range Raw Data'!$B:$B,0)),"")</f>
        <v/>
      </c>
      <c r="H73" t="str">
        <f t="array" ref="H73">IFERROR(INDEX('Day Range Raw Data'!H:H,Match($A73,'Day Range Raw Data'!$B:$B,0)),"")</f>
        <v/>
      </c>
      <c r="I73" t="str">
        <f t="array" ref="I73">IFERROR(INDEX('Day Range Raw Data'!M:M,Match($A73,'Day Range Raw Data'!$B:$B,0)),"")</f>
        <v/>
      </c>
      <c r="J73" t="str">
        <f t="array" ref="J73">IFERROR(INDEX('Day Range Raw Data'!N:N,Match($A73,'Day Range Raw Data'!$B:$B,0)),"")</f>
        <v/>
      </c>
      <c r="K73" t="str">
        <f t="array" ref="K73">IFERROR(INDEX('Day Range Raw Data'!R:R,Match($A73,'Day Range Raw Data'!$B:$B,0)),"")</f>
        <v/>
      </c>
      <c r="L73" t="str">
        <f t="array" ref="L73">IFERROR(INDEX('Day Range Raw Data'!S:S,Match($A73,'Day Range Raw Data'!$B:$B,0)),"")</f>
        <v/>
      </c>
      <c r="M73" t="str">
        <f t="array" ref="M73">IFERROR(INDEX('Day Range Raw Data'!T:T,Match($A73,'Day Range Raw Data'!$B:$B,0)),"")</f>
        <v/>
      </c>
      <c r="N73" t="str">
        <f t="array" ref="N73">IFERROR(INDEX('Day Range Raw Data'!U:U,Match($A73,'Day Range Raw Data'!$B:$B,0)),"")</f>
        <v/>
      </c>
      <c r="O73" t="str">
        <f t="array" ref="O73">IFERROR(INDEX('Day Range Raw Data'!V:V,Match($A73,'Day Range Raw Data'!$B:$B,0)),"")</f>
        <v/>
      </c>
      <c r="P73" t="str">
        <f t="array" ref="P73">IFERROR(INDEX('Day Range Raw Data'!X:X,Match($A73,'Day Range Raw Data'!$B:$B,0)),"")</f>
        <v/>
      </c>
      <c r="Q73" t="str">
        <f t="shared" si="1"/>
        <v/>
      </c>
      <c r="R73" s="9" t="str">
        <f t="shared" si="2"/>
        <v/>
      </c>
      <c r="S73" s="14" t="str">
        <f t="shared" si="3"/>
        <v/>
      </c>
      <c r="T73" s="15" t="str">
        <f>IFERROR(__xludf.DUMMYFUNCTION("IF($A73="""","""",IFERROR(PERCENTRANK.INC(FILTER(Q:Q,$F:$F&lt;&gt;""""),Q73)*100,""""))"),"")</f>
        <v/>
      </c>
      <c r="U73" s="15" t="str">
        <f>IFERROR(__xludf.DUMMYFUNCTION("IF($A73="""","""",IFERROR(PERCENTRANK.INC(FILTER(R:R,$F:$F&lt;&gt;""""),R73)*100,""""))"),"")</f>
        <v/>
      </c>
      <c r="V73" s="15" t="str">
        <f>IFERROR(__xludf.DUMMYFUNCTION("IF($A73="""","""",IFERROR(PERCENTRANK.INC(FILTER(S:S,$F:$F&lt;&gt;""""),S73)*100,""""))"),"")</f>
        <v/>
      </c>
      <c r="W73" s="15" t="str">
        <f t="shared" si="4"/>
        <v/>
      </c>
    </row>
    <row r="74">
      <c r="B74" t="str">
        <f t="array" ref="B74">IFERROR(INDEX('Player Raw Data'!C:C,Match($A74,'Player Raw Data'!$B:$B,0)),"")</f>
        <v/>
      </c>
      <c r="C74" t="str">
        <f t="array" ref="C74">IFERROR(INDEX('Player Raw Data'!D:D,Match($A74,'Player Raw Data'!$B:$B,0)),"")</f>
        <v/>
      </c>
      <c r="D74" t="str">
        <f t="array" ref="D74">IFERROR(IF(A74=A73, INDEX('Player Raw Data'!E:E,Match($A74,'Player Raw Data'!$B:$B,0)+2),INDEX('Player Raw Data'!E:E,Match($A74,'Player Raw Data'!$B:$B,0))),"")</f>
        <v/>
      </c>
      <c r="E74" t="str">
        <f t="array" ref="E74">IFERROR(INDEX('Day Range Raw Data'!D:D,Match($A74,'Day Range Raw Data'!$B:$B,0)),"")</f>
        <v/>
      </c>
      <c r="F74" t="str">
        <f t="array" ref="F74">IFERROR(INDEX('Day Range Raw Data'!F:F,Match($A74,'Day Range Raw Data'!$B:$B,0)),"")</f>
        <v/>
      </c>
      <c r="G74" t="str">
        <f t="array" ref="G74">IFERROR(INDEX('Day Range Raw Data'!G:G,Match($A74,'Day Range Raw Data'!$B:$B,0)),"")</f>
        <v/>
      </c>
      <c r="H74" t="str">
        <f t="array" ref="H74">IFERROR(INDEX('Day Range Raw Data'!H:H,Match($A74,'Day Range Raw Data'!$B:$B,0)),"")</f>
        <v/>
      </c>
      <c r="I74" t="str">
        <f t="array" ref="I74">IFERROR(INDEX('Day Range Raw Data'!M:M,Match($A74,'Day Range Raw Data'!$B:$B,0)),"")</f>
        <v/>
      </c>
      <c r="J74" t="str">
        <f t="array" ref="J74">IFERROR(INDEX('Day Range Raw Data'!N:N,Match($A74,'Day Range Raw Data'!$B:$B,0)),"")</f>
        <v/>
      </c>
      <c r="K74" t="str">
        <f t="array" ref="K74">IFERROR(INDEX('Day Range Raw Data'!R:R,Match($A74,'Day Range Raw Data'!$B:$B,0)),"")</f>
        <v/>
      </c>
      <c r="L74" t="str">
        <f t="array" ref="L74">IFERROR(INDEX('Day Range Raw Data'!S:S,Match($A74,'Day Range Raw Data'!$B:$B,0)),"")</f>
        <v/>
      </c>
      <c r="M74" t="str">
        <f t="array" ref="M74">IFERROR(INDEX('Day Range Raw Data'!T:T,Match($A74,'Day Range Raw Data'!$B:$B,0)),"")</f>
        <v/>
      </c>
      <c r="N74" t="str">
        <f t="array" ref="N74">IFERROR(INDEX('Day Range Raw Data'!U:U,Match($A74,'Day Range Raw Data'!$B:$B,0)),"")</f>
        <v/>
      </c>
      <c r="O74" t="str">
        <f t="array" ref="O74">IFERROR(INDEX('Day Range Raw Data'!V:V,Match($A74,'Day Range Raw Data'!$B:$B,0)),"")</f>
        <v/>
      </c>
      <c r="P74" t="str">
        <f t="array" ref="P74">IFERROR(INDEX('Day Range Raw Data'!X:X,Match($A74,'Day Range Raw Data'!$B:$B,0)),"")</f>
        <v/>
      </c>
      <c r="Q74" t="str">
        <f t="shared" si="1"/>
        <v/>
      </c>
      <c r="R74" s="9" t="str">
        <f t="shared" si="2"/>
        <v/>
      </c>
      <c r="S74" s="14" t="str">
        <f t="shared" si="3"/>
        <v/>
      </c>
      <c r="T74" s="15" t="str">
        <f>IFERROR(__xludf.DUMMYFUNCTION("IF($A74="""","""",IFERROR(PERCENTRANK.INC(FILTER(Q:Q,$F:$F&lt;&gt;""""),Q74)*100,""""))"),"")</f>
        <v/>
      </c>
      <c r="U74" s="15" t="str">
        <f>IFERROR(__xludf.DUMMYFUNCTION("IF($A74="""","""",IFERROR(PERCENTRANK.INC(FILTER(R:R,$F:$F&lt;&gt;""""),R74)*100,""""))"),"")</f>
        <v/>
      </c>
      <c r="V74" s="15" t="str">
        <f>IFERROR(__xludf.DUMMYFUNCTION("IF($A74="""","""",IFERROR(PERCENTRANK.INC(FILTER(S:S,$F:$F&lt;&gt;""""),S74)*100,""""))"),"")</f>
        <v/>
      </c>
      <c r="W74" s="15" t="str">
        <f t="shared" si="4"/>
        <v/>
      </c>
    </row>
    <row r="75">
      <c r="B75" t="str">
        <f t="array" ref="B75">IFERROR(INDEX('Player Raw Data'!C:C,Match($A75,'Player Raw Data'!$B:$B,0)),"")</f>
        <v/>
      </c>
      <c r="C75" t="str">
        <f t="array" ref="C75">IFERROR(INDEX('Player Raw Data'!D:D,Match($A75,'Player Raw Data'!$B:$B,0)),"")</f>
        <v/>
      </c>
      <c r="D75" t="str">
        <f t="array" ref="D75">IFERROR(IF(A75=A74, INDEX('Player Raw Data'!E:E,Match($A75,'Player Raw Data'!$B:$B,0)+2),INDEX('Player Raw Data'!E:E,Match($A75,'Player Raw Data'!$B:$B,0))),"")</f>
        <v/>
      </c>
      <c r="E75" t="str">
        <f t="array" ref="E75">IFERROR(INDEX('Day Range Raw Data'!D:D,Match($A75,'Day Range Raw Data'!$B:$B,0)),"")</f>
        <v/>
      </c>
      <c r="F75" t="str">
        <f t="array" ref="F75">IFERROR(INDEX('Day Range Raw Data'!F:F,Match($A75,'Day Range Raw Data'!$B:$B,0)),"")</f>
        <v/>
      </c>
      <c r="G75" t="str">
        <f t="array" ref="G75">IFERROR(INDEX('Day Range Raw Data'!G:G,Match($A75,'Day Range Raw Data'!$B:$B,0)),"")</f>
        <v/>
      </c>
      <c r="H75" t="str">
        <f t="array" ref="H75">IFERROR(INDEX('Day Range Raw Data'!H:H,Match($A75,'Day Range Raw Data'!$B:$B,0)),"")</f>
        <v/>
      </c>
      <c r="I75" t="str">
        <f t="array" ref="I75">IFERROR(INDEX('Day Range Raw Data'!M:M,Match($A75,'Day Range Raw Data'!$B:$B,0)),"")</f>
        <v/>
      </c>
      <c r="J75" t="str">
        <f t="array" ref="J75">IFERROR(INDEX('Day Range Raw Data'!N:N,Match($A75,'Day Range Raw Data'!$B:$B,0)),"")</f>
        <v/>
      </c>
      <c r="K75" t="str">
        <f t="array" ref="K75">IFERROR(INDEX('Day Range Raw Data'!R:R,Match($A75,'Day Range Raw Data'!$B:$B,0)),"")</f>
        <v/>
      </c>
      <c r="L75" t="str">
        <f t="array" ref="L75">IFERROR(INDEX('Day Range Raw Data'!S:S,Match($A75,'Day Range Raw Data'!$B:$B,0)),"")</f>
        <v/>
      </c>
      <c r="M75" t="str">
        <f t="array" ref="M75">IFERROR(INDEX('Day Range Raw Data'!T:T,Match($A75,'Day Range Raw Data'!$B:$B,0)),"")</f>
        <v/>
      </c>
      <c r="N75" t="str">
        <f t="array" ref="N75">IFERROR(INDEX('Day Range Raw Data'!U:U,Match($A75,'Day Range Raw Data'!$B:$B,0)),"")</f>
        <v/>
      </c>
      <c r="O75" t="str">
        <f t="array" ref="O75">IFERROR(INDEX('Day Range Raw Data'!V:V,Match($A75,'Day Range Raw Data'!$B:$B,0)),"")</f>
        <v/>
      </c>
      <c r="P75" t="str">
        <f t="array" ref="P75">IFERROR(INDEX('Day Range Raw Data'!X:X,Match($A75,'Day Range Raw Data'!$B:$B,0)),"")</f>
        <v/>
      </c>
      <c r="Q75" t="str">
        <f t="shared" si="1"/>
        <v/>
      </c>
      <c r="R75" s="9" t="str">
        <f t="shared" si="2"/>
        <v/>
      </c>
      <c r="S75" s="14" t="str">
        <f t="shared" si="3"/>
        <v/>
      </c>
      <c r="T75" s="15" t="str">
        <f>IFERROR(__xludf.DUMMYFUNCTION("IF($A75="""","""",IFERROR(PERCENTRANK.INC(FILTER(Q:Q,$F:$F&lt;&gt;""""),Q75)*100,""""))"),"")</f>
        <v/>
      </c>
      <c r="U75" s="15" t="str">
        <f>IFERROR(__xludf.DUMMYFUNCTION("IF($A75="""","""",IFERROR(PERCENTRANK.INC(FILTER(R:R,$F:$F&lt;&gt;""""),R75)*100,""""))"),"")</f>
        <v/>
      </c>
      <c r="V75" s="15" t="str">
        <f>IFERROR(__xludf.DUMMYFUNCTION("IF($A75="""","""",IFERROR(PERCENTRANK.INC(FILTER(S:S,$F:$F&lt;&gt;""""),S75)*100,""""))"),"")</f>
        <v/>
      </c>
      <c r="W75" s="15" t="str">
        <f t="shared" si="4"/>
        <v/>
      </c>
    </row>
    <row r="76">
      <c r="B76" t="str">
        <f t="array" ref="B76">IFERROR(INDEX('Player Raw Data'!C:C,Match($A76,'Player Raw Data'!$B:$B,0)),"")</f>
        <v/>
      </c>
      <c r="C76" t="str">
        <f t="array" ref="C76">IFERROR(INDEX('Player Raw Data'!D:D,Match($A76,'Player Raw Data'!$B:$B,0)),"")</f>
        <v/>
      </c>
      <c r="D76" t="str">
        <f t="array" ref="D76">IFERROR(IF(A76=A75, INDEX('Player Raw Data'!E:E,Match($A76,'Player Raw Data'!$B:$B,0)+2),INDEX('Player Raw Data'!E:E,Match($A76,'Player Raw Data'!$B:$B,0))),"")</f>
        <v/>
      </c>
      <c r="E76" t="str">
        <f t="array" ref="E76">IFERROR(INDEX('Day Range Raw Data'!D:D,Match($A76,'Day Range Raw Data'!$B:$B,0)),"")</f>
        <v/>
      </c>
      <c r="F76" t="str">
        <f t="array" ref="F76">IFERROR(INDEX('Day Range Raw Data'!F:F,Match($A76,'Day Range Raw Data'!$B:$B,0)),"")</f>
        <v/>
      </c>
      <c r="G76" t="str">
        <f t="array" ref="G76">IFERROR(INDEX('Day Range Raw Data'!G:G,Match($A76,'Day Range Raw Data'!$B:$B,0)),"")</f>
        <v/>
      </c>
      <c r="H76" t="str">
        <f t="array" ref="H76">IFERROR(INDEX('Day Range Raw Data'!H:H,Match($A76,'Day Range Raw Data'!$B:$B,0)),"")</f>
        <v/>
      </c>
      <c r="I76" t="str">
        <f t="array" ref="I76">IFERROR(INDEX('Day Range Raw Data'!M:M,Match($A76,'Day Range Raw Data'!$B:$B,0)),"")</f>
        <v/>
      </c>
      <c r="J76" t="str">
        <f t="array" ref="J76">IFERROR(INDEX('Day Range Raw Data'!N:N,Match($A76,'Day Range Raw Data'!$B:$B,0)),"")</f>
        <v/>
      </c>
      <c r="K76" t="str">
        <f t="array" ref="K76">IFERROR(INDEX('Day Range Raw Data'!R:R,Match($A76,'Day Range Raw Data'!$B:$B,0)),"")</f>
        <v/>
      </c>
      <c r="L76" t="str">
        <f t="array" ref="L76">IFERROR(INDEX('Day Range Raw Data'!S:S,Match($A76,'Day Range Raw Data'!$B:$B,0)),"")</f>
        <v/>
      </c>
      <c r="M76" t="str">
        <f t="array" ref="M76">IFERROR(INDEX('Day Range Raw Data'!T:T,Match($A76,'Day Range Raw Data'!$B:$B,0)),"")</f>
        <v/>
      </c>
      <c r="N76" t="str">
        <f t="array" ref="N76">IFERROR(INDEX('Day Range Raw Data'!U:U,Match($A76,'Day Range Raw Data'!$B:$B,0)),"")</f>
        <v/>
      </c>
      <c r="O76" t="str">
        <f t="array" ref="O76">IFERROR(INDEX('Day Range Raw Data'!V:V,Match($A76,'Day Range Raw Data'!$B:$B,0)),"")</f>
        <v/>
      </c>
      <c r="P76" t="str">
        <f t="array" ref="P76">IFERROR(INDEX('Day Range Raw Data'!X:X,Match($A76,'Day Range Raw Data'!$B:$B,0)),"")</f>
        <v/>
      </c>
      <c r="Q76" t="str">
        <f t="shared" si="1"/>
        <v/>
      </c>
      <c r="R76" s="9" t="str">
        <f t="shared" si="2"/>
        <v/>
      </c>
      <c r="S76" s="14" t="str">
        <f t="shared" si="3"/>
        <v/>
      </c>
      <c r="T76" s="15" t="str">
        <f>IFERROR(__xludf.DUMMYFUNCTION("IF($A76="""","""",IFERROR(PERCENTRANK.INC(FILTER(Q:Q,$F:$F&lt;&gt;""""),Q76)*100,""""))"),"")</f>
        <v/>
      </c>
      <c r="U76" s="15" t="str">
        <f>IFERROR(__xludf.DUMMYFUNCTION("IF($A76="""","""",IFERROR(PERCENTRANK.INC(FILTER(R:R,$F:$F&lt;&gt;""""),R76)*100,""""))"),"")</f>
        <v/>
      </c>
      <c r="V76" s="15" t="str">
        <f>IFERROR(__xludf.DUMMYFUNCTION("IF($A76="""","""",IFERROR(PERCENTRANK.INC(FILTER(S:S,$F:$F&lt;&gt;""""),S76)*100,""""))"),"")</f>
        <v/>
      </c>
      <c r="W76" s="15" t="str">
        <f t="shared" si="4"/>
        <v/>
      </c>
    </row>
    <row r="77">
      <c r="B77" t="str">
        <f t="array" ref="B77">IFERROR(INDEX('Player Raw Data'!C:C,Match($A77,'Player Raw Data'!$B:$B,0)),"")</f>
        <v/>
      </c>
      <c r="C77" t="str">
        <f t="array" ref="C77">IFERROR(INDEX('Player Raw Data'!D:D,Match($A77,'Player Raw Data'!$B:$B,0)),"")</f>
        <v/>
      </c>
      <c r="D77" t="str">
        <f t="array" ref="D77">IFERROR(IF(A77=A76, INDEX('Player Raw Data'!E:E,Match($A77,'Player Raw Data'!$B:$B,0)+2),INDEX('Player Raw Data'!E:E,Match($A77,'Player Raw Data'!$B:$B,0))),"")</f>
        <v/>
      </c>
      <c r="E77" t="str">
        <f t="array" ref="E77">IFERROR(INDEX('Day Range Raw Data'!D:D,Match($A77,'Day Range Raw Data'!$B:$B,0)),"")</f>
        <v/>
      </c>
      <c r="F77" t="str">
        <f t="array" ref="F77">IFERROR(INDEX('Day Range Raw Data'!F:F,Match($A77,'Day Range Raw Data'!$B:$B,0)),"")</f>
        <v/>
      </c>
      <c r="G77" t="str">
        <f t="array" ref="G77">IFERROR(INDEX('Day Range Raw Data'!G:G,Match($A77,'Day Range Raw Data'!$B:$B,0)),"")</f>
        <v/>
      </c>
      <c r="H77" t="str">
        <f t="array" ref="H77">IFERROR(INDEX('Day Range Raw Data'!H:H,Match($A77,'Day Range Raw Data'!$B:$B,0)),"")</f>
        <v/>
      </c>
      <c r="I77" t="str">
        <f t="array" ref="I77">IFERROR(INDEX('Day Range Raw Data'!M:M,Match($A77,'Day Range Raw Data'!$B:$B,0)),"")</f>
        <v/>
      </c>
      <c r="J77" t="str">
        <f t="array" ref="J77">IFERROR(INDEX('Day Range Raw Data'!N:N,Match($A77,'Day Range Raw Data'!$B:$B,0)),"")</f>
        <v/>
      </c>
      <c r="K77" t="str">
        <f t="array" ref="K77">IFERROR(INDEX('Day Range Raw Data'!R:R,Match($A77,'Day Range Raw Data'!$B:$B,0)),"")</f>
        <v/>
      </c>
      <c r="L77" t="str">
        <f t="array" ref="L77">IFERROR(INDEX('Day Range Raw Data'!S:S,Match($A77,'Day Range Raw Data'!$B:$B,0)),"")</f>
        <v/>
      </c>
      <c r="M77" t="str">
        <f t="array" ref="M77">IFERROR(INDEX('Day Range Raw Data'!T:T,Match($A77,'Day Range Raw Data'!$B:$B,0)),"")</f>
        <v/>
      </c>
      <c r="N77" t="str">
        <f t="array" ref="N77">IFERROR(INDEX('Day Range Raw Data'!U:U,Match($A77,'Day Range Raw Data'!$B:$B,0)),"")</f>
        <v/>
      </c>
      <c r="O77" t="str">
        <f t="array" ref="O77">IFERROR(INDEX('Day Range Raw Data'!V:V,Match($A77,'Day Range Raw Data'!$B:$B,0)),"")</f>
        <v/>
      </c>
      <c r="P77" t="str">
        <f t="array" ref="P77">IFERROR(INDEX('Day Range Raw Data'!X:X,Match($A77,'Day Range Raw Data'!$B:$B,0)),"")</f>
        <v/>
      </c>
      <c r="Q77" t="str">
        <f t="shared" si="1"/>
        <v/>
      </c>
      <c r="R77" s="9" t="str">
        <f t="shared" si="2"/>
        <v/>
      </c>
      <c r="S77" s="14" t="str">
        <f t="shared" si="3"/>
        <v/>
      </c>
      <c r="T77" s="15" t="str">
        <f>IFERROR(__xludf.DUMMYFUNCTION("IF($A77="""","""",IFERROR(PERCENTRANK.INC(FILTER(Q:Q,$F:$F&lt;&gt;""""),Q77)*100,""""))"),"")</f>
        <v/>
      </c>
      <c r="U77" s="15" t="str">
        <f>IFERROR(__xludf.DUMMYFUNCTION("IF($A77="""","""",IFERROR(PERCENTRANK.INC(FILTER(R:R,$F:$F&lt;&gt;""""),R77)*100,""""))"),"")</f>
        <v/>
      </c>
      <c r="V77" s="15" t="str">
        <f>IFERROR(__xludf.DUMMYFUNCTION("IF($A77="""","""",IFERROR(PERCENTRANK.INC(FILTER(S:S,$F:$F&lt;&gt;""""),S77)*100,""""))"),"")</f>
        <v/>
      </c>
      <c r="W77" s="15" t="str">
        <f t="shared" si="4"/>
        <v/>
      </c>
    </row>
    <row r="78">
      <c r="B78" t="str">
        <f t="array" ref="B78">IFERROR(INDEX('Player Raw Data'!C:C,Match($A78,'Player Raw Data'!$B:$B,0)),"")</f>
        <v/>
      </c>
      <c r="C78" t="str">
        <f t="array" ref="C78">IFERROR(INDEX('Player Raw Data'!D:D,Match($A78,'Player Raw Data'!$B:$B,0)),"")</f>
        <v/>
      </c>
      <c r="D78" t="str">
        <f t="array" ref="D78">IFERROR(IF(A78=A77, INDEX('Player Raw Data'!E:E,Match($A78,'Player Raw Data'!$B:$B,0)+2),INDEX('Player Raw Data'!E:E,Match($A78,'Player Raw Data'!$B:$B,0))),"")</f>
        <v/>
      </c>
      <c r="E78" t="str">
        <f t="array" ref="E78">IFERROR(INDEX('Day Range Raw Data'!D:D,Match($A78,'Day Range Raw Data'!$B:$B,0)),"")</f>
        <v/>
      </c>
      <c r="F78" t="str">
        <f t="array" ref="F78">IFERROR(INDEX('Day Range Raw Data'!F:F,Match($A78,'Day Range Raw Data'!$B:$B,0)),"")</f>
        <v/>
      </c>
      <c r="G78" t="str">
        <f t="array" ref="G78">IFERROR(INDEX('Day Range Raw Data'!G:G,Match($A78,'Day Range Raw Data'!$B:$B,0)),"")</f>
        <v/>
      </c>
      <c r="H78" t="str">
        <f t="array" ref="H78">IFERROR(INDEX('Day Range Raw Data'!H:H,Match($A78,'Day Range Raw Data'!$B:$B,0)),"")</f>
        <v/>
      </c>
      <c r="I78" t="str">
        <f t="array" ref="I78">IFERROR(INDEX('Day Range Raw Data'!M:M,Match($A78,'Day Range Raw Data'!$B:$B,0)),"")</f>
        <v/>
      </c>
      <c r="J78" t="str">
        <f t="array" ref="J78">IFERROR(INDEX('Day Range Raw Data'!N:N,Match($A78,'Day Range Raw Data'!$B:$B,0)),"")</f>
        <v/>
      </c>
      <c r="K78" t="str">
        <f t="array" ref="K78">IFERROR(INDEX('Day Range Raw Data'!R:R,Match($A78,'Day Range Raw Data'!$B:$B,0)),"")</f>
        <v/>
      </c>
      <c r="L78" t="str">
        <f t="array" ref="L78">IFERROR(INDEX('Day Range Raw Data'!S:S,Match($A78,'Day Range Raw Data'!$B:$B,0)),"")</f>
        <v/>
      </c>
      <c r="M78" t="str">
        <f t="array" ref="M78">IFERROR(INDEX('Day Range Raw Data'!T:T,Match($A78,'Day Range Raw Data'!$B:$B,0)),"")</f>
        <v/>
      </c>
      <c r="N78" t="str">
        <f t="array" ref="N78">IFERROR(INDEX('Day Range Raw Data'!U:U,Match($A78,'Day Range Raw Data'!$B:$B,0)),"")</f>
        <v/>
      </c>
      <c r="O78" t="str">
        <f t="array" ref="O78">IFERROR(INDEX('Day Range Raw Data'!V:V,Match($A78,'Day Range Raw Data'!$B:$B,0)),"")</f>
        <v/>
      </c>
      <c r="P78" t="str">
        <f t="array" ref="P78">IFERROR(INDEX('Day Range Raw Data'!X:X,Match($A78,'Day Range Raw Data'!$B:$B,0)),"")</f>
        <v/>
      </c>
      <c r="Q78" t="str">
        <f t="shared" si="1"/>
        <v/>
      </c>
      <c r="R78" s="9" t="str">
        <f t="shared" si="2"/>
        <v/>
      </c>
      <c r="S78" s="14" t="str">
        <f t="shared" si="3"/>
        <v/>
      </c>
      <c r="T78" s="15" t="str">
        <f>IFERROR(__xludf.DUMMYFUNCTION("IF($A78="""","""",IFERROR(PERCENTRANK.INC(FILTER(Q:Q,$F:$F&lt;&gt;""""),Q78)*100,""""))"),"")</f>
        <v/>
      </c>
      <c r="U78" s="15" t="str">
        <f>IFERROR(__xludf.DUMMYFUNCTION("IF($A78="""","""",IFERROR(PERCENTRANK.INC(FILTER(R:R,$F:$F&lt;&gt;""""),R78)*100,""""))"),"")</f>
        <v/>
      </c>
      <c r="V78" s="15" t="str">
        <f>IFERROR(__xludf.DUMMYFUNCTION("IF($A78="""","""",IFERROR(PERCENTRANK.INC(FILTER(S:S,$F:$F&lt;&gt;""""),S78)*100,""""))"),"")</f>
        <v/>
      </c>
      <c r="W78" s="15" t="str">
        <f t="shared" si="4"/>
        <v/>
      </c>
    </row>
    <row r="79">
      <c r="B79" t="str">
        <f t="array" ref="B79">IFERROR(INDEX('Player Raw Data'!C:C,Match($A79,'Player Raw Data'!$B:$B,0)),"")</f>
        <v/>
      </c>
      <c r="C79" t="str">
        <f t="array" ref="C79">IFERROR(INDEX('Player Raw Data'!D:D,Match($A79,'Player Raw Data'!$B:$B,0)),"")</f>
        <v/>
      </c>
      <c r="D79" t="str">
        <f t="array" ref="D79">IFERROR(IF(A79=A78, INDEX('Player Raw Data'!E:E,Match($A79,'Player Raw Data'!$B:$B,0)+2),INDEX('Player Raw Data'!E:E,Match($A79,'Player Raw Data'!$B:$B,0))),"")</f>
        <v/>
      </c>
      <c r="E79" t="str">
        <f t="array" ref="E79">IFERROR(INDEX('Day Range Raw Data'!D:D,Match($A79,'Day Range Raw Data'!$B:$B,0)),"")</f>
        <v/>
      </c>
      <c r="F79" t="str">
        <f t="array" ref="F79">IFERROR(INDEX('Day Range Raw Data'!F:F,Match($A79,'Day Range Raw Data'!$B:$B,0)),"")</f>
        <v/>
      </c>
      <c r="G79" t="str">
        <f t="array" ref="G79">IFERROR(INDEX('Day Range Raw Data'!G:G,Match($A79,'Day Range Raw Data'!$B:$B,0)),"")</f>
        <v/>
      </c>
      <c r="H79" t="str">
        <f t="array" ref="H79">IFERROR(INDEX('Day Range Raw Data'!H:H,Match($A79,'Day Range Raw Data'!$B:$B,0)),"")</f>
        <v/>
      </c>
      <c r="I79" t="str">
        <f t="array" ref="I79">IFERROR(INDEX('Day Range Raw Data'!M:M,Match($A79,'Day Range Raw Data'!$B:$B,0)),"")</f>
        <v/>
      </c>
      <c r="J79" t="str">
        <f t="array" ref="J79">IFERROR(INDEX('Day Range Raw Data'!N:N,Match($A79,'Day Range Raw Data'!$B:$B,0)),"")</f>
        <v/>
      </c>
      <c r="K79" t="str">
        <f t="array" ref="K79">IFERROR(INDEX('Day Range Raw Data'!R:R,Match($A79,'Day Range Raw Data'!$B:$B,0)),"")</f>
        <v/>
      </c>
      <c r="L79" t="str">
        <f t="array" ref="L79">IFERROR(INDEX('Day Range Raw Data'!S:S,Match($A79,'Day Range Raw Data'!$B:$B,0)),"")</f>
        <v/>
      </c>
      <c r="M79" t="str">
        <f t="array" ref="M79">IFERROR(INDEX('Day Range Raw Data'!T:T,Match($A79,'Day Range Raw Data'!$B:$B,0)),"")</f>
        <v/>
      </c>
      <c r="N79" t="str">
        <f t="array" ref="N79">IFERROR(INDEX('Day Range Raw Data'!U:U,Match($A79,'Day Range Raw Data'!$B:$B,0)),"")</f>
        <v/>
      </c>
      <c r="O79" t="str">
        <f t="array" ref="O79">IFERROR(INDEX('Day Range Raw Data'!V:V,Match($A79,'Day Range Raw Data'!$B:$B,0)),"")</f>
        <v/>
      </c>
      <c r="P79" t="str">
        <f t="array" ref="P79">IFERROR(INDEX('Day Range Raw Data'!X:X,Match($A79,'Day Range Raw Data'!$B:$B,0)),"")</f>
        <v/>
      </c>
      <c r="Q79" t="str">
        <f t="shared" si="1"/>
        <v/>
      </c>
      <c r="R79" s="9" t="str">
        <f t="shared" si="2"/>
        <v/>
      </c>
      <c r="S79" s="14" t="str">
        <f t="shared" si="3"/>
        <v/>
      </c>
      <c r="T79" s="15" t="str">
        <f>IFERROR(__xludf.DUMMYFUNCTION("IF($A79="""","""",IFERROR(PERCENTRANK.INC(FILTER(Q:Q,$F:$F&lt;&gt;""""),Q79)*100,""""))"),"")</f>
        <v/>
      </c>
      <c r="U79" s="15" t="str">
        <f>IFERROR(__xludf.DUMMYFUNCTION("IF($A79="""","""",IFERROR(PERCENTRANK.INC(FILTER(R:R,$F:$F&lt;&gt;""""),R79)*100,""""))"),"")</f>
        <v/>
      </c>
      <c r="V79" s="15" t="str">
        <f>IFERROR(__xludf.DUMMYFUNCTION("IF($A79="""","""",IFERROR(PERCENTRANK.INC(FILTER(S:S,$F:$F&lt;&gt;""""),S79)*100,""""))"),"")</f>
        <v/>
      </c>
      <c r="W79" s="15" t="str">
        <f t="shared" si="4"/>
        <v/>
      </c>
    </row>
    <row r="80">
      <c r="B80" t="str">
        <f t="array" ref="B80">IFERROR(INDEX('Player Raw Data'!C:C,Match($A80,'Player Raw Data'!$B:$B,0)),"")</f>
        <v/>
      </c>
      <c r="C80" t="str">
        <f t="array" ref="C80">IFERROR(INDEX('Player Raw Data'!D:D,Match($A80,'Player Raw Data'!$B:$B,0)),"")</f>
        <v/>
      </c>
      <c r="D80" t="str">
        <f t="array" ref="D80">IFERROR(IF(A80=A79, INDEX('Player Raw Data'!E:E,Match($A80,'Player Raw Data'!$B:$B,0)+2),INDEX('Player Raw Data'!E:E,Match($A80,'Player Raw Data'!$B:$B,0))),"")</f>
        <v/>
      </c>
      <c r="E80" t="str">
        <f t="array" ref="E80">IFERROR(INDEX('Day Range Raw Data'!D:D,Match($A80,'Day Range Raw Data'!$B:$B,0)),"")</f>
        <v/>
      </c>
      <c r="F80" t="str">
        <f t="array" ref="F80">IFERROR(INDEX('Day Range Raw Data'!F:F,Match($A80,'Day Range Raw Data'!$B:$B,0)),"")</f>
        <v/>
      </c>
      <c r="G80" t="str">
        <f t="array" ref="G80">IFERROR(INDEX('Day Range Raw Data'!G:G,Match($A80,'Day Range Raw Data'!$B:$B,0)),"")</f>
        <v/>
      </c>
      <c r="H80" t="str">
        <f t="array" ref="H80">IFERROR(INDEX('Day Range Raw Data'!H:H,Match($A80,'Day Range Raw Data'!$B:$B,0)),"")</f>
        <v/>
      </c>
      <c r="I80" t="str">
        <f t="array" ref="I80">IFERROR(INDEX('Day Range Raw Data'!M:M,Match($A80,'Day Range Raw Data'!$B:$B,0)),"")</f>
        <v/>
      </c>
      <c r="J80" t="str">
        <f t="array" ref="J80">IFERROR(INDEX('Day Range Raw Data'!N:N,Match($A80,'Day Range Raw Data'!$B:$B,0)),"")</f>
        <v/>
      </c>
      <c r="K80" t="str">
        <f t="array" ref="K80">IFERROR(INDEX('Day Range Raw Data'!R:R,Match($A80,'Day Range Raw Data'!$B:$B,0)),"")</f>
        <v/>
      </c>
      <c r="L80" t="str">
        <f t="array" ref="L80">IFERROR(INDEX('Day Range Raw Data'!S:S,Match($A80,'Day Range Raw Data'!$B:$B,0)),"")</f>
        <v/>
      </c>
      <c r="M80" t="str">
        <f t="array" ref="M80">IFERROR(INDEX('Day Range Raw Data'!T:T,Match($A80,'Day Range Raw Data'!$B:$B,0)),"")</f>
        <v/>
      </c>
      <c r="N80" t="str">
        <f t="array" ref="N80">IFERROR(INDEX('Day Range Raw Data'!U:U,Match($A80,'Day Range Raw Data'!$B:$B,0)),"")</f>
        <v/>
      </c>
      <c r="O80" t="str">
        <f t="array" ref="O80">IFERROR(INDEX('Day Range Raw Data'!V:V,Match($A80,'Day Range Raw Data'!$B:$B,0)),"")</f>
        <v/>
      </c>
      <c r="P80" t="str">
        <f t="array" ref="P80">IFERROR(INDEX('Day Range Raw Data'!X:X,Match($A80,'Day Range Raw Data'!$B:$B,0)),"")</f>
        <v/>
      </c>
      <c r="Q80" t="str">
        <f t="shared" si="1"/>
        <v/>
      </c>
      <c r="R80" s="9" t="str">
        <f t="shared" si="2"/>
        <v/>
      </c>
      <c r="S80" s="14" t="str">
        <f t="shared" si="3"/>
        <v/>
      </c>
      <c r="T80" s="15" t="str">
        <f>IFERROR(__xludf.DUMMYFUNCTION("IF($A80="""","""",IFERROR(PERCENTRANK.INC(FILTER(Q:Q,$F:$F&lt;&gt;""""),Q80)*100,""""))"),"")</f>
        <v/>
      </c>
      <c r="U80" s="15" t="str">
        <f>IFERROR(__xludf.DUMMYFUNCTION("IF($A80="""","""",IFERROR(PERCENTRANK.INC(FILTER(R:R,$F:$F&lt;&gt;""""),R80)*100,""""))"),"")</f>
        <v/>
      </c>
      <c r="V80" s="15" t="str">
        <f>IFERROR(__xludf.DUMMYFUNCTION("IF($A80="""","""",IFERROR(PERCENTRANK.INC(FILTER(S:S,$F:$F&lt;&gt;""""),S80)*100,""""))"),"")</f>
        <v/>
      </c>
      <c r="W80" s="15" t="str">
        <f t="shared" si="4"/>
        <v/>
      </c>
    </row>
    <row r="81">
      <c r="B81" t="str">
        <f t="array" ref="B81">IFERROR(INDEX('Player Raw Data'!C:C,Match($A81,'Player Raw Data'!$B:$B,0)),"")</f>
        <v/>
      </c>
      <c r="C81" t="str">
        <f t="array" ref="C81">IFERROR(INDEX('Player Raw Data'!D:D,Match($A81,'Player Raw Data'!$B:$B,0)),"")</f>
        <v/>
      </c>
      <c r="D81" t="str">
        <f t="array" ref="D81">IFERROR(IF(A81=A80, INDEX('Player Raw Data'!E:E,Match($A81,'Player Raw Data'!$B:$B,0)+2),INDEX('Player Raw Data'!E:E,Match($A81,'Player Raw Data'!$B:$B,0))),"")</f>
        <v/>
      </c>
      <c r="E81" t="str">
        <f t="array" ref="E81">IFERROR(INDEX('Day Range Raw Data'!D:D,Match($A81,'Day Range Raw Data'!$B:$B,0)),"")</f>
        <v/>
      </c>
      <c r="F81" t="str">
        <f t="array" ref="F81">IFERROR(INDEX('Day Range Raw Data'!F:F,Match($A81,'Day Range Raw Data'!$B:$B,0)),"")</f>
        <v/>
      </c>
      <c r="G81" t="str">
        <f t="array" ref="G81">IFERROR(INDEX('Day Range Raw Data'!G:G,Match($A81,'Day Range Raw Data'!$B:$B,0)),"")</f>
        <v/>
      </c>
      <c r="H81" t="str">
        <f t="array" ref="H81">IFERROR(INDEX('Day Range Raw Data'!H:H,Match($A81,'Day Range Raw Data'!$B:$B,0)),"")</f>
        <v/>
      </c>
      <c r="I81" t="str">
        <f t="array" ref="I81">IFERROR(INDEX('Day Range Raw Data'!M:M,Match($A81,'Day Range Raw Data'!$B:$B,0)),"")</f>
        <v/>
      </c>
      <c r="J81" t="str">
        <f t="array" ref="J81">IFERROR(INDEX('Day Range Raw Data'!N:N,Match($A81,'Day Range Raw Data'!$B:$B,0)),"")</f>
        <v/>
      </c>
      <c r="K81" t="str">
        <f t="array" ref="K81">IFERROR(INDEX('Day Range Raw Data'!R:R,Match($A81,'Day Range Raw Data'!$B:$B,0)),"")</f>
        <v/>
      </c>
      <c r="L81" t="str">
        <f t="array" ref="L81">IFERROR(INDEX('Day Range Raw Data'!S:S,Match($A81,'Day Range Raw Data'!$B:$B,0)),"")</f>
        <v/>
      </c>
      <c r="M81" t="str">
        <f t="array" ref="M81">IFERROR(INDEX('Day Range Raw Data'!T:T,Match($A81,'Day Range Raw Data'!$B:$B,0)),"")</f>
        <v/>
      </c>
      <c r="N81" t="str">
        <f t="array" ref="N81">IFERROR(INDEX('Day Range Raw Data'!U:U,Match($A81,'Day Range Raw Data'!$B:$B,0)),"")</f>
        <v/>
      </c>
      <c r="O81" t="str">
        <f t="array" ref="O81">IFERROR(INDEX('Day Range Raw Data'!V:V,Match($A81,'Day Range Raw Data'!$B:$B,0)),"")</f>
        <v/>
      </c>
      <c r="P81" t="str">
        <f t="array" ref="P81">IFERROR(INDEX('Day Range Raw Data'!X:X,Match($A81,'Day Range Raw Data'!$B:$B,0)),"")</f>
        <v/>
      </c>
      <c r="Q81" t="str">
        <f t="shared" si="1"/>
        <v/>
      </c>
      <c r="R81" s="9" t="str">
        <f t="shared" si="2"/>
        <v/>
      </c>
      <c r="S81" s="14" t="str">
        <f t="shared" si="3"/>
        <v/>
      </c>
      <c r="T81" s="15" t="str">
        <f>IFERROR(__xludf.DUMMYFUNCTION("IF($A81="""","""",IFERROR(PERCENTRANK.INC(FILTER(Q:Q,$F:$F&lt;&gt;""""),Q81)*100,""""))"),"")</f>
        <v/>
      </c>
      <c r="U81" s="15" t="str">
        <f>IFERROR(__xludf.DUMMYFUNCTION("IF($A81="""","""",IFERROR(PERCENTRANK.INC(FILTER(R:R,$F:$F&lt;&gt;""""),R81)*100,""""))"),"")</f>
        <v/>
      </c>
      <c r="V81" s="15" t="str">
        <f>IFERROR(__xludf.DUMMYFUNCTION("IF($A81="""","""",IFERROR(PERCENTRANK.INC(FILTER(S:S,$F:$F&lt;&gt;""""),S81)*100,""""))"),"")</f>
        <v/>
      </c>
      <c r="W81" s="15" t="str">
        <f t="shared" si="4"/>
        <v/>
      </c>
    </row>
    <row r="82">
      <c r="B82" t="str">
        <f t="array" ref="B82">IFERROR(INDEX('Player Raw Data'!C:C,Match($A82,'Player Raw Data'!$B:$B,0)),"")</f>
        <v/>
      </c>
      <c r="C82" t="str">
        <f t="array" ref="C82">IFERROR(INDEX('Player Raw Data'!D:D,Match($A82,'Player Raw Data'!$B:$B,0)),"")</f>
        <v/>
      </c>
      <c r="D82" t="str">
        <f t="array" ref="D82">IFERROR(IF(A82=A81, INDEX('Player Raw Data'!E:E,Match($A82,'Player Raw Data'!$B:$B,0)+2),INDEX('Player Raw Data'!E:E,Match($A82,'Player Raw Data'!$B:$B,0))),"")</f>
        <v/>
      </c>
      <c r="E82" t="str">
        <f t="array" ref="E82">IFERROR(INDEX('Day Range Raw Data'!D:D,Match($A82,'Day Range Raw Data'!$B:$B,0)),"")</f>
        <v/>
      </c>
      <c r="F82" t="str">
        <f t="array" ref="F82">IFERROR(INDEX('Day Range Raw Data'!F:F,Match($A82,'Day Range Raw Data'!$B:$B,0)),"")</f>
        <v/>
      </c>
      <c r="G82" t="str">
        <f t="array" ref="G82">IFERROR(INDEX('Day Range Raw Data'!G:G,Match($A82,'Day Range Raw Data'!$B:$B,0)),"")</f>
        <v/>
      </c>
      <c r="H82" t="str">
        <f t="array" ref="H82">IFERROR(INDEX('Day Range Raw Data'!H:H,Match($A82,'Day Range Raw Data'!$B:$B,0)),"")</f>
        <v/>
      </c>
      <c r="I82" t="str">
        <f t="array" ref="I82">IFERROR(INDEX('Day Range Raw Data'!M:M,Match($A82,'Day Range Raw Data'!$B:$B,0)),"")</f>
        <v/>
      </c>
      <c r="J82" t="str">
        <f t="array" ref="J82">IFERROR(INDEX('Day Range Raw Data'!N:N,Match($A82,'Day Range Raw Data'!$B:$B,0)),"")</f>
        <v/>
      </c>
      <c r="K82" t="str">
        <f t="array" ref="K82">IFERROR(INDEX('Day Range Raw Data'!R:R,Match($A82,'Day Range Raw Data'!$B:$B,0)),"")</f>
        <v/>
      </c>
      <c r="L82" t="str">
        <f t="array" ref="L82">IFERROR(INDEX('Day Range Raw Data'!S:S,Match($A82,'Day Range Raw Data'!$B:$B,0)),"")</f>
        <v/>
      </c>
      <c r="M82" t="str">
        <f t="array" ref="M82">IFERROR(INDEX('Day Range Raw Data'!T:T,Match($A82,'Day Range Raw Data'!$B:$B,0)),"")</f>
        <v/>
      </c>
      <c r="N82" t="str">
        <f t="array" ref="N82">IFERROR(INDEX('Day Range Raw Data'!U:U,Match($A82,'Day Range Raw Data'!$B:$B,0)),"")</f>
        <v/>
      </c>
      <c r="O82" t="str">
        <f t="array" ref="O82">IFERROR(INDEX('Day Range Raw Data'!V:V,Match($A82,'Day Range Raw Data'!$B:$B,0)),"")</f>
        <v/>
      </c>
      <c r="P82" t="str">
        <f t="array" ref="P82">IFERROR(INDEX('Day Range Raw Data'!X:X,Match($A82,'Day Range Raw Data'!$B:$B,0)),"")</f>
        <v/>
      </c>
      <c r="Q82" t="str">
        <f t="shared" si="1"/>
        <v/>
      </c>
      <c r="R82" s="9" t="str">
        <f t="shared" si="2"/>
        <v/>
      </c>
      <c r="S82" s="14" t="str">
        <f t="shared" si="3"/>
        <v/>
      </c>
      <c r="T82" s="15" t="str">
        <f>IFERROR(__xludf.DUMMYFUNCTION("IF($A82="""","""",IFERROR(PERCENTRANK.INC(FILTER(Q:Q,$F:$F&lt;&gt;""""),Q82)*100,""""))"),"")</f>
        <v/>
      </c>
      <c r="U82" s="15" t="str">
        <f>IFERROR(__xludf.DUMMYFUNCTION("IF($A82="""","""",IFERROR(PERCENTRANK.INC(FILTER(R:R,$F:$F&lt;&gt;""""),R82)*100,""""))"),"")</f>
        <v/>
      </c>
      <c r="V82" s="15" t="str">
        <f>IFERROR(__xludf.DUMMYFUNCTION("IF($A82="""","""",IFERROR(PERCENTRANK.INC(FILTER(S:S,$F:$F&lt;&gt;""""),S82)*100,""""))"),"")</f>
        <v/>
      </c>
      <c r="W82" s="15" t="str">
        <f t="shared" si="4"/>
        <v/>
      </c>
    </row>
    <row r="83">
      <c r="B83" t="str">
        <f t="array" ref="B83">IFERROR(INDEX('Player Raw Data'!C:C,Match($A83,'Player Raw Data'!$B:$B,0)),"")</f>
        <v/>
      </c>
      <c r="C83" t="str">
        <f t="array" ref="C83">IFERROR(INDEX('Player Raw Data'!D:D,Match($A83,'Player Raw Data'!$B:$B,0)),"")</f>
        <v/>
      </c>
      <c r="D83" t="str">
        <f t="array" ref="D83">IFERROR(IF(A83=A82, INDEX('Player Raw Data'!E:E,Match($A83,'Player Raw Data'!$B:$B,0)+2),INDEX('Player Raw Data'!E:E,Match($A83,'Player Raw Data'!$B:$B,0))),"")</f>
        <v/>
      </c>
      <c r="E83" t="str">
        <f t="array" ref="E83">IFERROR(INDEX('Day Range Raw Data'!D:D,Match($A83,'Day Range Raw Data'!$B:$B,0)),"")</f>
        <v/>
      </c>
      <c r="F83" t="str">
        <f t="array" ref="F83">IFERROR(INDEX('Day Range Raw Data'!F:F,Match($A83,'Day Range Raw Data'!$B:$B,0)),"")</f>
        <v/>
      </c>
      <c r="G83" t="str">
        <f t="array" ref="G83">IFERROR(INDEX('Day Range Raw Data'!G:G,Match($A83,'Day Range Raw Data'!$B:$B,0)),"")</f>
        <v/>
      </c>
      <c r="H83" t="str">
        <f t="array" ref="H83">IFERROR(INDEX('Day Range Raw Data'!H:H,Match($A83,'Day Range Raw Data'!$B:$B,0)),"")</f>
        <v/>
      </c>
      <c r="I83" t="str">
        <f t="array" ref="I83">IFERROR(INDEX('Day Range Raw Data'!M:M,Match($A83,'Day Range Raw Data'!$B:$B,0)),"")</f>
        <v/>
      </c>
      <c r="J83" t="str">
        <f t="array" ref="J83">IFERROR(INDEX('Day Range Raw Data'!N:N,Match($A83,'Day Range Raw Data'!$B:$B,0)),"")</f>
        <v/>
      </c>
      <c r="K83" t="str">
        <f t="array" ref="K83">IFERROR(INDEX('Day Range Raw Data'!R:R,Match($A83,'Day Range Raw Data'!$B:$B,0)),"")</f>
        <v/>
      </c>
      <c r="L83" t="str">
        <f t="array" ref="L83">IFERROR(INDEX('Day Range Raw Data'!S:S,Match($A83,'Day Range Raw Data'!$B:$B,0)),"")</f>
        <v/>
      </c>
      <c r="M83" t="str">
        <f t="array" ref="M83">IFERROR(INDEX('Day Range Raw Data'!T:T,Match($A83,'Day Range Raw Data'!$B:$B,0)),"")</f>
        <v/>
      </c>
      <c r="N83" t="str">
        <f t="array" ref="N83">IFERROR(INDEX('Day Range Raw Data'!U:U,Match($A83,'Day Range Raw Data'!$B:$B,0)),"")</f>
        <v/>
      </c>
      <c r="O83" t="str">
        <f t="array" ref="O83">IFERROR(INDEX('Day Range Raw Data'!V:V,Match($A83,'Day Range Raw Data'!$B:$B,0)),"")</f>
        <v/>
      </c>
      <c r="P83" t="str">
        <f t="array" ref="P83">IFERROR(INDEX('Day Range Raw Data'!X:X,Match($A83,'Day Range Raw Data'!$B:$B,0)),"")</f>
        <v/>
      </c>
      <c r="Q83" t="str">
        <f t="shared" si="1"/>
        <v/>
      </c>
      <c r="R83" s="9" t="str">
        <f t="shared" si="2"/>
        <v/>
      </c>
      <c r="S83" s="14" t="str">
        <f t="shared" si="3"/>
        <v/>
      </c>
      <c r="T83" s="15" t="str">
        <f>IFERROR(__xludf.DUMMYFUNCTION("IF($A83="""","""",IFERROR(PERCENTRANK.INC(FILTER(Q:Q,$F:$F&lt;&gt;""""),Q83)*100,""""))"),"")</f>
        <v/>
      </c>
      <c r="U83" s="15" t="str">
        <f>IFERROR(__xludf.DUMMYFUNCTION("IF($A83="""","""",IFERROR(PERCENTRANK.INC(FILTER(R:R,$F:$F&lt;&gt;""""),R83)*100,""""))"),"")</f>
        <v/>
      </c>
      <c r="V83" s="15" t="str">
        <f>IFERROR(__xludf.DUMMYFUNCTION("IF($A83="""","""",IFERROR(PERCENTRANK.INC(FILTER(S:S,$F:$F&lt;&gt;""""),S83)*100,""""))"),"")</f>
        <v/>
      </c>
      <c r="W83" s="15" t="str">
        <f t="shared" si="4"/>
        <v/>
      </c>
    </row>
    <row r="84">
      <c r="B84" t="str">
        <f t="array" ref="B84">IFERROR(INDEX('Player Raw Data'!C:C,Match($A84,'Player Raw Data'!$B:$B,0)),"")</f>
        <v/>
      </c>
      <c r="C84" t="str">
        <f t="array" ref="C84">IFERROR(INDEX('Player Raw Data'!D:D,Match($A84,'Player Raw Data'!$B:$B,0)),"")</f>
        <v/>
      </c>
      <c r="D84" t="str">
        <f t="array" ref="D84">IFERROR(IF(A84=A83, INDEX('Player Raw Data'!E:E,Match($A84,'Player Raw Data'!$B:$B,0)+2),INDEX('Player Raw Data'!E:E,Match($A84,'Player Raw Data'!$B:$B,0))),"")</f>
        <v/>
      </c>
      <c r="E84" t="str">
        <f t="array" ref="E84">IFERROR(INDEX('Day Range Raw Data'!D:D,Match($A84,'Day Range Raw Data'!$B:$B,0)),"")</f>
        <v/>
      </c>
      <c r="F84" t="str">
        <f t="array" ref="F84">IFERROR(INDEX('Day Range Raw Data'!F:F,Match($A84,'Day Range Raw Data'!$B:$B,0)),"")</f>
        <v/>
      </c>
      <c r="G84" t="str">
        <f t="array" ref="G84">IFERROR(INDEX('Day Range Raw Data'!G:G,Match($A84,'Day Range Raw Data'!$B:$B,0)),"")</f>
        <v/>
      </c>
      <c r="H84" t="str">
        <f t="array" ref="H84">IFERROR(INDEX('Day Range Raw Data'!H:H,Match($A84,'Day Range Raw Data'!$B:$B,0)),"")</f>
        <v/>
      </c>
      <c r="I84" t="str">
        <f t="array" ref="I84">IFERROR(INDEX('Day Range Raw Data'!M:M,Match($A84,'Day Range Raw Data'!$B:$B,0)),"")</f>
        <v/>
      </c>
      <c r="J84" t="str">
        <f t="array" ref="J84">IFERROR(INDEX('Day Range Raw Data'!N:N,Match($A84,'Day Range Raw Data'!$B:$B,0)),"")</f>
        <v/>
      </c>
      <c r="K84" t="str">
        <f t="array" ref="K84">IFERROR(INDEX('Day Range Raw Data'!R:R,Match($A84,'Day Range Raw Data'!$B:$B,0)),"")</f>
        <v/>
      </c>
      <c r="L84" t="str">
        <f t="array" ref="L84">IFERROR(INDEX('Day Range Raw Data'!S:S,Match($A84,'Day Range Raw Data'!$B:$B,0)),"")</f>
        <v/>
      </c>
      <c r="M84" t="str">
        <f t="array" ref="M84">IFERROR(INDEX('Day Range Raw Data'!T:T,Match($A84,'Day Range Raw Data'!$B:$B,0)),"")</f>
        <v/>
      </c>
      <c r="N84" t="str">
        <f t="array" ref="N84">IFERROR(INDEX('Day Range Raw Data'!U:U,Match($A84,'Day Range Raw Data'!$B:$B,0)),"")</f>
        <v/>
      </c>
      <c r="O84" t="str">
        <f t="array" ref="O84">IFERROR(INDEX('Day Range Raw Data'!V:V,Match($A84,'Day Range Raw Data'!$B:$B,0)),"")</f>
        <v/>
      </c>
      <c r="P84" t="str">
        <f t="array" ref="P84">IFERROR(INDEX('Day Range Raw Data'!X:X,Match($A84,'Day Range Raw Data'!$B:$B,0)),"")</f>
        <v/>
      </c>
      <c r="Q84" t="str">
        <f t="shared" si="1"/>
        <v/>
      </c>
      <c r="R84" s="9" t="str">
        <f t="shared" si="2"/>
        <v/>
      </c>
      <c r="S84" s="14" t="str">
        <f t="shared" si="3"/>
        <v/>
      </c>
      <c r="T84" s="15" t="str">
        <f>IFERROR(__xludf.DUMMYFUNCTION("IF($A84="""","""",IFERROR(PERCENTRANK.INC(FILTER(Q:Q,$F:$F&lt;&gt;""""),Q84)*100,""""))"),"")</f>
        <v/>
      </c>
      <c r="U84" s="15" t="str">
        <f>IFERROR(__xludf.DUMMYFUNCTION("IF($A84="""","""",IFERROR(PERCENTRANK.INC(FILTER(R:R,$F:$F&lt;&gt;""""),R84)*100,""""))"),"")</f>
        <v/>
      </c>
      <c r="V84" s="15" t="str">
        <f>IFERROR(__xludf.DUMMYFUNCTION("IF($A84="""","""",IFERROR(PERCENTRANK.INC(FILTER(S:S,$F:$F&lt;&gt;""""),S84)*100,""""))"),"")</f>
        <v/>
      </c>
      <c r="W84" s="15" t="str">
        <f t="shared" si="4"/>
        <v/>
      </c>
    </row>
    <row r="85">
      <c r="B85" t="str">
        <f t="array" ref="B85">IFERROR(INDEX('Player Raw Data'!C:C,Match($A85,'Player Raw Data'!$B:$B,0)),"")</f>
        <v/>
      </c>
      <c r="C85" t="str">
        <f t="array" ref="C85">IFERROR(INDEX('Player Raw Data'!D:D,Match($A85,'Player Raw Data'!$B:$B,0)),"")</f>
        <v/>
      </c>
      <c r="D85" t="str">
        <f t="array" ref="D85">IFERROR(IF(A85=A84, INDEX('Player Raw Data'!E:E,Match($A85,'Player Raw Data'!$B:$B,0)+2),INDEX('Player Raw Data'!E:E,Match($A85,'Player Raw Data'!$B:$B,0))),"")</f>
        <v/>
      </c>
      <c r="E85" t="str">
        <f t="array" ref="E85">IFERROR(INDEX('Day Range Raw Data'!D:D,Match($A85,'Day Range Raw Data'!$B:$B,0)),"")</f>
        <v/>
      </c>
      <c r="F85" t="str">
        <f t="array" ref="F85">IFERROR(INDEX('Day Range Raw Data'!F:F,Match($A85,'Day Range Raw Data'!$B:$B,0)),"")</f>
        <v/>
      </c>
      <c r="G85" t="str">
        <f t="array" ref="G85">IFERROR(INDEX('Day Range Raw Data'!G:G,Match($A85,'Day Range Raw Data'!$B:$B,0)),"")</f>
        <v/>
      </c>
      <c r="H85" t="str">
        <f t="array" ref="H85">IFERROR(INDEX('Day Range Raw Data'!H:H,Match($A85,'Day Range Raw Data'!$B:$B,0)),"")</f>
        <v/>
      </c>
      <c r="I85" t="str">
        <f t="array" ref="I85">IFERROR(INDEX('Day Range Raw Data'!M:M,Match($A85,'Day Range Raw Data'!$B:$B,0)),"")</f>
        <v/>
      </c>
      <c r="J85" t="str">
        <f t="array" ref="J85">IFERROR(INDEX('Day Range Raw Data'!N:N,Match($A85,'Day Range Raw Data'!$B:$B,0)),"")</f>
        <v/>
      </c>
      <c r="K85" t="str">
        <f t="array" ref="K85">IFERROR(INDEX('Day Range Raw Data'!R:R,Match($A85,'Day Range Raw Data'!$B:$B,0)),"")</f>
        <v/>
      </c>
      <c r="L85" t="str">
        <f t="array" ref="L85">IFERROR(INDEX('Day Range Raw Data'!S:S,Match($A85,'Day Range Raw Data'!$B:$B,0)),"")</f>
        <v/>
      </c>
      <c r="M85" t="str">
        <f t="array" ref="M85">IFERROR(INDEX('Day Range Raw Data'!T:T,Match($A85,'Day Range Raw Data'!$B:$B,0)),"")</f>
        <v/>
      </c>
      <c r="N85" t="str">
        <f t="array" ref="N85">IFERROR(INDEX('Day Range Raw Data'!U:U,Match($A85,'Day Range Raw Data'!$B:$B,0)),"")</f>
        <v/>
      </c>
      <c r="O85" t="str">
        <f t="array" ref="O85">IFERROR(INDEX('Day Range Raw Data'!V:V,Match($A85,'Day Range Raw Data'!$B:$B,0)),"")</f>
        <v/>
      </c>
      <c r="P85" t="str">
        <f t="array" ref="P85">IFERROR(INDEX('Day Range Raw Data'!X:X,Match($A85,'Day Range Raw Data'!$B:$B,0)),"")</f>
        <v/>
      </c>
      <c r="Q85" t="str">
        <f t="shared" si="1"/>
        <v/>
      </c>
      <c r="R85" s="9" t="str">
        <f t="shared" si="2"/>
        <v/>
      </c>
      <c r="S85" s="14" t="str">
        <f t="shared" si="3"/>
        <v/>
      </c>
      <c r="T85" s="15" t="str">
        <f>IFERROR(__xludf.DUMMYFUNCTION("IF($A85="""","""",IFERROR(PERCENTRANK.INC(FILTER(Q:Q,$F:$F&lt;&gt;""""),Q85)*100,""""))"),"")</f>
        <v/>
      </c>
      <c r="U85" s="15" t="str">
        <f>IFERROR(__xludf.DUMMYFUNCTION("IF($A85="""","""",IFERROR(PERCENTRANK.INC(FILTER(R:R,$F:$F&lt;&gt;""""),R85)*100,""""))"),"")</f>
        <v/>
      </c>
      <c r="V85" s="15" t="str">
        <f>IFERROR(__xludf.DUMMYFUNCTION("IF($A85="""","""",IFERROR(PERCENTRANK.INC(FILTER(S:S,$F:$F&lt;&gt;""""),S85)*100,""""))"),"")</f>
        <v/>
      </c>
      <c r="W85" s="15" t="str">
        <f t="shared" si="4"/>
        <v/>
      </c>
    </row>
    <row r="86">
      <c r="B86" t="str">
        <f t="array" ref="B86">IFERROR(INDEX('Player Raw Data'!C:C,Match($A86,'Player Raw Data'!$B:$B,0)),"")</f>
        <v/>
      </c>
      <c r="C86" t="str">
        <f t="array" ref="C86">IFERROR(INDEX('Player Raw Data'!D:D,Match($A86,'Player Raw Data'!$B:$B,0)),"")</f>
        <v/>
      </c>
      <c r="D86" t="str">
        <f t="array" ref="D86">IFERROR(IF(A86=A85, INDEX('Player Raw Data'!E:E,Match($A86,'Player Raw Data'!$B:$B,0)+2),INDEX('Player Raw Data'!E:E,Match($A86,'Player Raw Data'!$B:$B,0))),"")</f>
        <v/>
      </c>
      <c r="E86" t="str">
        <f t="array" ref="E86">IFERROR(INDEX('Day Range Raw Data'!D:D,Match($A86,'Day Range Raw Data'!$B:$B,0)),"")</f>
        <v/>
      </c>
      <c r="F86" t="str">
        <f t="array" ref="F86">IFERROR(INDEX('Day Range Raw Data'!F:F,Match($A86,'Day Range Raw Data'!$B:$B,0)),"")</f>
        <v/>
      </c>
      <c r="G86" t="str">
        <f t="array" ref="G86">IFERROR(INDEX('Day Range Raw Data'!G:G,Match($A86,'Day Range Raw Data'!$B:$B,0)),"")</f>
        <v/>
      </c>
      <c r="H86" t="str">
        <f t="array" ref="H86">IFERROR(INDEX('Day Range Raw Data'!H:H,Match($A86,'Day Range Raw Data'!$B:$B,0)),"")</f>
        <v/>
      </c>
      <c r="I86" t="str">
        <f t="array" ref="I86">IFERROR(INDEX('Day Range Raw Data'!M:M,Match($A86,'Day Range Raw Data'!$B:$B,0)),"")</f>
        <v/>
      </c>
      <c r="J86" t="str">
        <f t="array" ref="J86">IFERROR(INDEX('Day Range Raw Data'!N:N,Match($A86,'Day Range Raw Data'!$B:$B,0)),"")</f>
        <v/>
      </c>
      <c r="K86" t="str">
        <f t="array" ref="K86">IFERROR(INDEX('Day Range Raw Data'!R:R,Match($A86,'Day Range Raw Data'!$B:$B,0)),"")</f>
        <v/>
      </c>
      <c r="L86" t="str">
        <f t="array" ref="L86">IFERROR(INDEX('Day Range Raw Data'!S:S,Match($A86,'Day Range Raw Data'!$B:$B,0)),"")</f>
        <v/>
      </c>
      <c r="M86" t="str">
        <f t="array" ref="M86">IFERROR(INDEX('Day Range Raw Data'!T:T,Match($A86,'Day Range Raw Data'!$B:$B,0)),"")</f>
        <v/>
      </c>
      <c r="N86" t="str">
        <f t="array" ref="N86">IFERROR(INDEX('Day Range Raw Data'!U:U,Match($A86,'Day Range Raw Data'!$B:$B,0)),"")</f>
        <v/>
      </c>
      <c r="O86" t="str">
        <f t="array" ref="O86">IFERROR(INDEX('Day Range Raw Data'!V:V,Match($A86,'Day Range Raw Data'!$B:$B,0)),"")</f>
        <v/>
      </c>
      <c r="P86" t="str">
        <f t="array" ref="P86">IFERROR(INDEX('Day Range Raw Data'!X:X,Match($A86,'Day Range Raw Data'!$B:$B,0)),"")</f>
        <v/>
      </c>
      <c r="Q86" t="str">
        <f t="shared" si="1"/>
        <v/>
      </c>
      <c r="R86" s="9" t="str">
        <f t="shared" si="2"/>
        <v/>
      </c>
      <c r="S86" s="14" t="str">
        <f t="shared" si="3"/>
        <v/>
      </c>
      <c r="T86" s="15" t="str">
        <f>IFERROR(__xludf.DUMMYFUNCTION("IF($A86="""","""",IFERROR(PERCENTRANK.INC(FILTER(Q:Q,$F:$F&lt;&gt;""""),Q86)*100,""""))"),"")</f>
        <v/>
      </c>
      <c r="U86" s="15" t="str">
        <f>IFERROR(__xludf.DUMMYFUNCTION("IF($A86="""","""",IFERROR(PERCENTRANK.INC(FILTER(R:R,$F:$F&lt;&gt;""""),R86)*100,""""))"),"")</f>
        <v/>
      </c>
      <c r="V86" s="15" t="str">
        <f>IFERROR(__xludf.DUMMYFUNCTION("IF($A86="""","""",IFERROR(PERCENTRANK.INC(FILTER(S:S,$F:$F&lt;&gt;""""),S86)*100,""""))"),"")</f>
        <v/>
      </c>
      <c r="W86" s="15" t="str">
        <f t="shared" si="4"/>
        <v/>
      </c>
    </row>
    <row r="87">
      <c r="B87" t="str">
        <f t="array" ref="B87">IFERROR(INDEX('Player Raw Data'!C:C,Match($A87,'Player Raw Data'!$B:$B,0)),"")</f>
        <v/>
      </c>
      <c r="C87" t="str">
        <f t="array" ref="C87">IFERROR(INDEX('Player Raw Data'!D:D,Match($A87,'Player Raw Data'!$B:$B,0)),"")</f>
        <v/>
      </c>
      <c r="D87" t="str">
        <f t="array" ref="D87">IFERROR(IF(A87=A86, INDEX('Player Raw Data'!E:E,Match($A87,'Player Raw Data'!$B:$B,0)+2),INDEX('Player Raw Data'!E:E,Match($A87,'Player Raw Data'!$B:$B,0))),"")</f>
        <v/>
      </c>
      <c r="E87" t="str">
        <f t="array" ref="E87">IFERROR(INDEX('Day Range Raw Data'!D:D,Match($A87,'Day Range Raw Data'!$B:$B,0)),"")</f>
        <v/>
      </c>
      <c r="F87" t="str">
        <f t="array" ref="F87">IFERROR(INDEX('Day Range Raw Data'!F:F,Match($A87,'Day Range Raw Data'!$B:$B,0)),"")</f>
        <v/>
      </c>
      <c r="G87" t="str">
        <f t="array" ref="G87">IFERROR(INDEX('Day Range Raw Data'!G:G,Match($A87,'Day Range Raw Data'!$B:$B,0)),"")</f>
        <v/>
      </c>
      <c r="H87" t="str">
        <f t="array" ref="H87">IFERROR(INDEX('Day Range Raw Data'!H:H,Match($A87,'Day Range Raw Data'!$B:$B,0)),"")</f>
        <v/>
      </c>
      <c r="I87" t="str">
        <f t="array" ref="I87">IFERROR(INDEX('Day Range Raw Data'!M:M,Match($A87,'Day Range Raw Data'!$B:$B,0)),"")</f>
        <v/>
      </c>
      <c r="J87" t="str">
        <f t="array" ref="J87">IFERROR(INDEX('Day Range Raw Data'!N:N,Match($A87,'Day Range Raw Data'!$B:$B,0)),"")</f>
        <v/>
      </c>
      <c r="K87" t="str">
        <f t="array" ref="K87">IFERROR(INDEX('Day Range Raw Data'!R:R,Match($A87,'Day Range Raw Data'!$B:$B,0)),"")</f>
        <v/>
      </c>
      <c r="L87" t="str">
        <f t="array" ref="L87">IFERROR(INDEX('Day Range Raw Data'!S:S,Match($A87,'Day Range Raw Data'!$B:$B,0)),"")</f>
        <v/>
      </c>
      <c r="M87" t="str">
        <f t="array" ref="M87">IFERROR(INDEX('Day Range Raw Data'!T:T,Match($A87,'Day Range Raw Data'!$B:$B,0)),"")</f>
        <v/>
      </c>
      <c r="N87" t="str">
        <f t="array" ref="N87">IFERROR(INDEX('Day Range Raw Data'!U:U,Match($A87,'Day Range Raw Data'!$B:$B,0)),"")</f>
        <v/>
      </c>
      <c r="O87" t="str">
        <f t="array" ref="O87">IFERROR(INDEX('Day Range Raw Data'!V:V,Match($A87,'Day Range Raw Data'!$B:$B,0)),"")</f>
        <v/>
      </c>
      <c r="P87" t="str">
        <f t="array" ref="P87">IFERROR(INDEX('Day Range Raw Data'!X:X,Match($A87,'Day Range Raw Data'!$B:$B,0)),"")</f>
        <v/>
      </c>
      <c r="Q87" t="str">
        <f t="shared" si="1"/>
        <v/>
      </c>
      <c r="R87" s="9" t="str">
        <f t="shared" si="2"/>
        <v/>
      </c>
      <c r="S87" s="14" t="str">
        <f t="shared" si="3"/>
        <v/>
      </c>
      <c r="T87" s="15" t="str">
        <f>IFERROR(__xludf.DUMMYFUNCTION("IF($A87="""","""",IFERROR(PERCENTRANK.INC(FILTER(Q:Q,$F:$F&lt;&gt;""""),Q87)*100,""""))"),"")</f>
        <v/>
      </c>
      <c r="U87" s="15" t="str">
        <f>IFERROR(__xludf.DUMMYFUNCTION("IF($A87="""","""",IFERROR(PERCENTRANK.INC(FILTER(R:R,$F:$F&lt;&gt;""""),R87)*100,""""))"),"")</f>
        <v/>
      </c>
      <c r="V87" s="15" t="str">
        <f>IFERROR(__xludf.DUMMYFUNCTION("IF($A87="""","""",IFERROR(PERCENTRANK.INC(FILTER(S:S,$F:$F&lt;&gt;""""),S87)*100,""""))"),"")</f>
        <v/>
      </c>
      <c r="W87" s="15" t="str">
        <f t="shared" si="4"/>
        <v/>
      </c>
    </row>
    <row r="88">
      <c r="B88" t="str">
        <f t="array" ref="B88">IFERROR(INDEX('Player Raw Data'!C:C,Match($A88,'Player Raw Data'!$B:$B,0)),"")</f>
        <v/>
      </c>
      <c r="C88" t="str">
        <f t="array" ref="C88">IFERROR(INDEX('Player Raw Data'!D:D,Match($A88,'Player Raw Data'!$B:$B,0)),"")</f>
        <v/>
      </c>
      <c r="D88" t="str">
        <f t="array" ref="D88">IFERROR(IF(A88=A87, INDEX('Player Raw Data'!E:E,Match($A88,'Player Raw Data'!$B:$B,0)+2),INDEX('Player Raw Data'!E:E,Match($A88,'Player Raw Data'!$B:$B,0))),"")</f>
        <v/>
      </c>
      <c r="E88" t="str">
        <f t="array" ref="E88">IFERROR(INDEX('Day Range Raw Data'!D:D,Match($A88,'Day Range Raw Data'!$B:$B,0)),"")</f>
        <v/>
      </c>
      <c r="F88" t="str">
        <f t="array" ref="F88">IFERROR(INDEX('Day Range Raw Data'!F:F,Match($A88,'Day Range Raw Data'!$B:$B,0)),"")</f>
        <v/>
      </c>
      <c r="G88" t="str">
        <f t="array" ref="G88">IFERROR(INDEX('Day Range Raw Data'!G:G,Match($A88,'Day Range Raw Data'!$B:$B,0)),"")</f>
        <v/>
      </c>
      <c r="H88" t="str">
        <f t="array" ref="H88">IFERROR(INDEX('Day Range Raw Data'!H:H,Match($A88,'Day Range Raw Data'!$B:$B,0)),"")</f>
        <v/>
      </c>
      <c r="I88" t="str">
        <f t="array" ref="I88">IFERROR(INDEX('Day Range Raw Data'!M:M,Match($A88,'Day Range Raw Data'!$B:$B,0)),"")</f>
        <v/>
      </c>
      <c r="J88" t="str">
        <f t="array" ref="J88">IFERROR(INDEX('Day Range Raw Data'!N:N,Match($A88,'Day Range Raw Data'!$B:$B,0)),"")</f>
        <v/>
      </c>
      <c r="K88" t="str">
        <f t="array" ref="K88">IFERROR(INDEX('Day Range Raw Data'!R:R,Match($A88,'Day Range Raw Data'!$B:$B,0)),"")</f>
        <v/>
      </c>
      <c r="L88" t="str">
        <f t="array" ref="L88">IFERROR(INDEX('Day Range Raw Data'!S:S,Match($A88,'Day Range Raw Data'!$B:$B,0)),"")</f>
        <v/>
      </c>
      <c r="M88" t="str">
        <f t="array" ref="M88">IFERROR(INDEX('Day Range Raw Data'!T:T,Match($A88,'Day Range Raw Data'!$B:$B,0)),"")</f>
        <v/>
      </c>
      <c r="N88" t="str">
        <f t="array" ref="N88">IFERROR(INDEX('Day Range Raw Data'!U:U,Match($A88,'Day Range Raw Data'!$B:$B,0)),"")</f>
        <v/>
      </c>
      <c r="O88" t="str">
        <f t="array" ref="O88">IFERROR(INDEX('Day Range Raw Data'!V:V,Match($A88,'Day Range Raw Data'!$B:$B,0)),"")</f>
        <v/>
      </c>
      <c r="P88" t="str">
        <f t="array" ref="P88">IFERROR(INDEX('Day Range Raw Data'!X:X,Match($A88,'Day Range Raw Data'!$B:$B,0)),"")</f>
        <v/>
      </c>
      <c r="Q88" t="str">
        <f t="shared" si="1"/>
        <v/>
      </c>
      <c r="R88" s="9" t="str">
        <f t="shared" si="2"/>
        <v/>
      </c>
      <c r="S88" s="14" t="str">
        <f t="shared" si="3"/>
        <v/>
      </c>
      <c r="T88" s="15" t="str">
        <f>IFERROR(__xludf.DUMMYFUNCTION("IF($A88="""","""",IFERROR(PERCENTRANK.INC(FILTER(Q:Q,$F:$F&lt;&gt;""""),Q88)*100,""""))"),"")</f>
        <v/>
      </c>
      <c r="U88" s="15" t="str">
        <f>IFERROR(__xludf.DUMMYFUNCTION("IF($A88="""","""",IFERROR(PERCENTRANK.INC(FILTER(R:R,$F:$F&lt;&gt;""""),R88)*100,""""))"),"")</f>
        <v/>
      </c>
      <c r="V88" s="15" t="str">
        <f>IFERROR(__xludf.DUMMYFUNCTION("IF($A88="""","""",IFERROR(PERCENTRANK.INC(FILTER(S:S,$F:$F&lt;&gt;""""),S88)*100,""""))"),"")</f>
        <v/>
      </c>
      <c r="W88" s="15" t="str">
        <f t="shared" si="4"/>
        <v/>
      </c>
    </row>
    <row r="89">
      <c r="B89" t="str">
        <f t="array" ref="B89">IFERROR(INDEX('Player Raw Data'!C:C,Match($A89,'Player Raw Data'!$B:$B,0)),"")</f>
        <v/>
      </c>
      <c r="C89" t="str">
        <f t="array" ref="C89">IFERROR(INDEX('Player Raw Data'!D:D,Match($A89,'Player Raw Data'!$B:$B,0)),"")</f>
        <v/>
      </c>
      <c r="D89" t="str">
        <f t="array" ref="D89">IFERROR(IF(A89=A88, INDEX('Player Raw Data'!E:E,Match($A89,'Player Raw Data'!$B:$B,0)+2),INDEX('Player Raw Data'!E:E,Match($A89,'Player Raw Data'!$B:$B,0))),"")</f>
        <v/>
      </c>
      <c r="E89" t="str">
        <f t="array" ref="E89">IFERROR(INDEX('Day Range Raw Data'!D:D,Match($A89,'Day Range Raw Data'!$B:$B,0)),"")</f>
        <v/>
      </c>
      <c r="F89" t="str">
        <f t="array" ref="F89">IFERROR(INDEX('Day Range Raw Data'!F:F,Match($A89,'Day Range Raw Data'!$B:$B,0)),"")</f>
        <v/>
      </c>
      <c r="G89" t="str">
        <f t="array" ref="G89">IFERROR(INDEX('Day Range Raw Data'!G:G,Match($A89,'Day Range Raw Data'!$B:$B,0)),"")</f>
        <v/>
      </c>
      <c r="H89" t="str">
        <f t="array" ref="H89">IFERROR(INDEX('Day Range Raw Data'!H:H,Match($A89,'Day Range Raw Data'!$B:$B,0)),"")</f>
        <v/>
      </c>
      <c r="I89" t="str">
        <f t="array" ref="I89">IFERROR(INDEX('Day Range Raw Data'!M:M,Match($A89,'Day Range Raw Data'!$B:$B,0)),"")</f>
        <v/>
      </c>
      <c r="J89" t="str">
        <f t="array" ref="J89">IFERROR(INDEX('Day Range Raw Data'!N:N,Match($A89,'Day Range Raw Data'!$B:$B,0)),"")</f>
        <v/>
      </c>
      <c r="K89" t="str">
        <f t="array" ref="K89">IFERROR(INDEX('Day Range Raw Data'!R:R,Match($A89,'Day Range Raw Data'!$B:$B,0)),"")</f>
        <v/>
      </c>
      <c r="L89" t="str">
        <f t="array" ref="L89">IFERROR(INDEX('Day Range Raw Data'!S:S,Match($A89,'Day Range Raw Data'!$B:$B,0)),"")</f>
        <v/>
      </c>
      <c r="M89" t="str">
        <f t="array" ref="M89">IFERROR(INDEX('Day Range Raw Data'!T:T,Match($A89,'Day Range Raw Data'!$B:$B,0)),"")</f>
        <v/>
      </c>
      <c r="N89" t="str">
        <f t="array" ref="N89">IFERROR(INDEX('Day Range Raw Data'!U:U,Match($A89,'Day Range Raw Data'!$B:$B,0)),"")</f>
        <v/>
      </c>
      <c r="O89" t="str">
        <f t="array" ref="O89">IFERROR(INDEX('Day Range Raw Data'!V:V,Match($A89,'Day Range Raw Data'!$B:$B,0)),"")</f>
        <v/>
      </c>
      <c r="P89" t="str">
        <f t="array" ref="P89">IFERROR(INDEX('Day Range Raw Data'!X:X,Match($A89,'Day Range Raw Data'!$B:$B,0)),"")</f>
        <v/>
      </c>
      <c r="Q89" t="str">
        <f t="shared" si="1"/>
        <v/>
      </c>
      <c r="R89" s="9" t="str">
        <f t="shared" si="2"/>
        <v/>
      </c>
      <c r="S89" s="14" t="str">
        <f t="shared" si="3"/>
        <v/>
      </c>
      <c r="T89" s="15" t="str">
        <f>IFERROR(__xludf.DUMMYFUNCTION("IF($A89="""","""",IFERROR(PERCENTRANK.INC(FILTER(Q:Q,$F:$F&lt;&gt;""""),Q89)*100,""""))"),"")</f>
        <v/>
      </c>
      <c r="U89" s="15" t="str">
        <f>IFERROR(__xludf.DUMMYFUNCTION("IF($A89="""","""",IFERROR(PERCENTRANK.INC(FILTER(R:R,$F:$F&lt;&gt;""""),R89)*100,""""))"),"")</f>
        <v/>
      </c>
      <c r="V89" s="15" t="str">
        <f>IFERROR(__xludf.DUMMYFUNCTION("IF($A89="""","""",IFERROR(PERCENTRANK.INC(FILTER(S:S,$F:$F&lt;&gt;""""),S89)*100,""""))"),"")</f>
        <v/>
      </c>
      <c r="W89" s="15" t="str">
        <f t="shared" si="4"/>
        <v/>
      </c>
    </row>
    <row r="90">
      <c r="B90" t="str">
        <f t="array" ref="B90">IFERROR(INDEX('Player Raw Data'!C:C,Match($A90,'Player Raw Data'!$B:$B,0)),"")</f>
        <v/>
      </c>
      <c r="C90" t="str">
        <f t="array" ref="C90">IFERROR(INDEX('Player Raw Data'!D:D,Match($A90,'Player Raw Data'!$B:$B,0)),"")</f>
        <v/>
      </c>
      <c r="D90" t="str">
        <f t="array" ref="D90">IFERROR(IF(A90=A89, INDEX('Player Raw Data'!E:E,Match($A90,'Player Raw Data'!$B:$B,0)+2),INDEX('Player Raw Data'!E:E,Match($A90,'Player Raw Data'!$B:$B,0))),"")</f>
        <v/>
      </c>
      <c r="E90" t="str">
        <f t="array" ref="E90">IFERROR(INDEX('Day Range Raw Data'!D:D,Match($A90,'Day Range Raw Data'!$B:$B,0)),"")</f>
        <v/>
      </c>
      <c r="F90" t="str">
        <f t="array" ref="F90">IFERROR(INDEX('Day Range Raw Data'!F:F,Match($A90,'Day Range Raw Data'!$B:$B,0)),"")</f>
        <v/>
      </c>
      <c r="G90" t="str">
        <f t="array" ref="G90">IFERROR(INDEX('Day Range Raw Data'!G:G,Match($A90,'Day Range Raw Data'!$B:$B,0)),"")</f>
        <v/>
      </c>
      <c r="H90" t="str">
        <f t="array" ref="H90">IFERROR(INDEX('Day Range Raw Data'!H:H,Match($A90,'Day Range Raw Data'!$B:$B,0)),"")</f>
        <v/>
      </c>
      <c r="I90" t="str">
        <f t="array" ref="I90">IFERROR(INDEX('Day Range Raw Data'!M:M,Match($A90,'Day Range Raw Data'!$B:$B,0)),"")</f>
        <v/>
      </c>
      <c r="J90" t="str">
        <f t="array" ref="J90">IFERROR(INDEX('Day Range Raw Data'!N:N,Match($A90,'Day Range Raw Data'!$B:$B,0)),"")</f>
        <v/>
      </c>
      <c r="K90" t="str">
        <f t="array" ref="K90">IFERROR(INDEX('Day Range Raw Data'!R:R,Match($A90,'Day Range Raw Data'!$B:$B,0)),"")</f>
        <v/>
      </c>
      <c r="L90" t="str">
        <f t="array" ref="L90">IFERROR(INDEX('Day Range Raw Data'!S:S,Match($A90,'Day Range Raw Data'!$B:$B,0)),"")</f>
        <v/>
      </c>
      <c r="M90" t="str">
        <f t="array" ref="M90">IFERROR(INDEX('Day Range Raw Data'!T:T,Match($A90,'Day Range Raw Data'!$B:$B,0)),"")</f>
        <v/>
      </c>
      <c r="N90" t="str">
        <f t="array" ref="N90">IFERROR(INDEX('Day Range Raw Data'!U:U,Match($A90,'Day Range Raw Data'!$B:$B,0)),"")</f>
        <v/>
      </c>
      <c r="O90" t="str">
        <f t="array" ref="O90">IFERROR(INDEX('Day Range Raw Data'!V:V,Match($A90,'Day Range Raw Data'!$B:$B,0)),"")</f>
        <v/>
      </c>
      <c r="P90" t="str">
        <f t="array" ref="P90">IFERROR(INDEX('Day Range Raw Data'!X:X,Match($A90,'Day Range Raw Data'!$B:$B,0)),"")</f>
        <v/>
      </c>
      <c r="Q90" t="str">
        <f t="shared" si="1"/>
        <v/>
      </c>
      <c r="R90" s="9" t="str">
        <f t="shared" si="2"/>
        <v/>
      </c>
      <c r="S90" s="14" t="str">
        <f t="shared" si="3"/>
        <v/>
      </c>
      <c r="T90" s="15" t="str">
        <f>IFERROR(__xludf.DUMMYFUNCTION("IF($A90="""","""",IFERROR(PERCENTRANK.INC(FILTER(Q:Q,$F:$F&lt;&gt;""""),Q90)*100,""""))"),"")</f>
        <v/>
      </c>
      <c r="U90" s="15" t="str">
        <f>IFERROR(__xludf.DUMMYFUNCTION("IF($A90="""","""",IFERROR(PERCENTRANK.INC(FILTER(R:R,$F:$F&lt;&gt;""""),R90)*100,""""))"),"")</f>
        <v/>
      </c>
      <c r="V90" s="15" t="str">
        <f>IFERROR(__xludf.DUMMYFUNCTION("IF($A90="""","""",IFERROR(PERCENTRANK.INC(FILTER(S:S,$F:$F&lt;&gt;""""),S90)*100,""""))"),"")</f>
        <v/>
      </c>
      <c r="W90" s="15" t="str">
        <f t="shared" si="4"/>
        <v/>
      </c>
    </row>
    <row r="91">
      <c r="B91" t="str">
        <f t="array" ref="B91">IFERROR(INDEX('Player Raw Data'!C:C,Match($A91,'Player Raw Data'!$B:$B,0)),"")</f>
        <v/>
      </c>
      <c r="C91" t="str">
        <f t="array" ref="C91">IFERROR(INDEX('Player Raw Data'!D:D,Match($A91,'Player Raw Data'!$B:$B,0)),"")</f>
        <v/>
      </c>
      <c r="D91" t="str">
        <f t="array" ref="D91">IFERROR(IF(A91=A90, INDEX('Player Raw Data'!E:E,Match($A91,'Player Raw Data'!$B:$B,0)+2),INDEX('Player Raw Data'!E:E,Match($A91,'Player Raw Data'!$B:$B,0))),"")</f>
        <v/>
      </c>
      <c r="E91" t="str">
        <f t="array" ref="E91">IFERROR(INDEX('Day Range Raw Data'!D:D,Match($A91,'Day Range Raw Data'!$B:$B,0)),"")</f>
        <v/>
      </c>
      <c r="F91" t="str">
        <f t="array" ref="F91">IFERROR(INDEX('Day Range Raw Data'!F:F,Match($A91,'Day Range Raw Data'!$B:$B,0)),"")</f>
        <v/>
      </c>
      <c r="G91" t="str">
        <f t="array" ref="G91">IFERROR(INDEX('Day Range Raw Data'!G:G,Match($A91,'Day Range Raw Data'!$B:$B,0)),"")</f>
        <v/>
      </c>
      <c r="H91" t="str">
        <f t="array" ref="H91">IFERROR(INDEX('Day Range Raw Data'!H:H,Match($A91,'Day Range Raw Data'!$B:$B,0)),"")</f>
        <v/>
      </c>
      <c r="I91" t="str">
        <f t="array" ref="I91">IFERROR(INDEX('Day Range Raw Data'!M:M,Match($A91,'Day Range Raw Data'!$B:$B,0)),"")</f>
        <v/>
      </c>
      <c r="J91" t="str">
        <f t="array" ref="J91">IFERROR(INDEX('Day Range Raw Data'!N:N,Match($A91,'Day Range Raw Data'!$B:$B,0)),"")</f>
        <v/>
      </c>
      <c r="K91" t="str">
        <f t="array" ref="K91">IFERROR(INDEX('Day Range Raw Data'!R:R,Match($A91,'Day Range Raw Data'!$B:$B,0)),"")</f>
        <v/>
      </c>
      <c r="L91" t="str">
        <f t="array" ref="L91">IFERROR(INDEX('Day Range Raw Data'!S:S,Match($A91,'Day Range Raw Data'!$B:$B,0)),"")</f>
        <v/>
      </c>
      <c r="M91" t="str">
        <f t="array" ref="M91">IFERROR(INDEX('Day Range Raw Data'!T:T,Match($A91,'Day Range Raw Data'!$B:$B,0)),"")</f>
        <v/>
      </c>
      <c r="N91" t="str">
        <f t="array" ref="N91">IFERROR(INDEX('Day Range Raw Data'!U:U,Match($A91,'Day Range Raw Data'!$B:$B,0)),"")</f>
        <v/>
      </c>
      <c r="O91" t="str">
        <f t="array" ref="O91">IFERROR(INDEX('Day Range Raw Data'!V:V,Match($A91,'Day Range Raw Data'!$B:$B,0)),"")</f>
        <v/>
      </c>
      <c r="P91" t="str">
        <f t="array" ref="P91">IFERROR(INDEX('Day Range Raw Data'!X:X,Match($A91,'Day Range Raw Data'!$B:$B,0)),"")</f>
        <v/>
      </c>
      <c r="Q91" t="str">
        <f t="shared" si="1"/>
        <v/>
      </c>
      <c r="R91" s="9" t="str">
        <f t="shared" si="2"/>
        <v/>
      </c>
      <c r="S91" s="14" t="str">
        <f t="shared" si="3"/>
        <v/>
      </c>
      <c r="T91" s="15" t="str">
        <f>IFERROR(__xludf.DUMMYFUNCTION("IF($A91="""","""",IFERROR(PERCENTRANK.INC(FILTER(Q:Q,$F:$F&lt;&gt;""""),Q91)*100,""""))"),"")</f>
        <v/>
      </c>
      <c r="U91" s="15" t="str">
        <f>IFERROR(__xludf.DUMMYFUNCTION("IF($A91="""","""",IFERROR(PERCENTRANK.INC(FILTER(R:R,$F:$F&lt;&gt;""""),R91)*100,""""))"),"")</f>
        <v/>
      </c>
      <c r="V91" s="15" t="str">
        <f>IFERROR(__xludf.DUMMYFUNCTION("IF($A91="""","""",IFERROR(PERCENTRANK.INC(FILTER(S:S,$F:$F&lt;&gt;""""),S91)*100,""""))"),"")</f>
        <v/>
      </c>
      <c r="W91" s="15" t="str">
        <f t="shared" si="4"/>
        <v/>
      </c>
    </row>
    <row r="92">
      <c r="B92" t="str">
        <f t="array" ref="B92">IFERROR(INDEX('Player Raw Data'!C:C,Match($A92,'Player Raw Data'!$B:$B,0)),"")</f>
        <v/>
      </c>
      <c r="C92" t="str">
        <f t="array" ref="C92">IFERROR(INDEX('Player Raw Data'!D:D,Match($A92,'Player Raw Data'!$B:$B,0)),"")</f>
        <v/>
      </c>
      <c r="D92" t="str">
        <f t="array" ref="D92">IFERROR(IF(A92=A91, INDEX('Player Raw Data'!E:E,Match($A92,'Player Raw Data'!$B:$B,0)+2),INDEX('Player Raw Data'!E:E,Match($A92,'Player Raw Data'!$B:$B,0))),"")</f>
        <v/>
      </c>
      <c r="E92" t="str">
        <f t="array" ref="E92">IFERROR(INDEX('Day Range Raw Data'!D:D,Match($A92,'Day Range Raw Data'!$B:$B,0)),"")</f>
        <v/>
      </c>
      <c r="F92" t="str">
        <f t="array" ref="F92">IFERROR(INDEX('Day Range Raw Data'!F:F,Match($A92,'Day Range Raw Data'!$B:$B,0)),"")</f>
        <v/>
      </c>
      <c r="G92" t="str">
        <f t="array" ref="G92">IFERROR(INDEX('Day Range Raw Data'!G:G,Match($A92,'Day Range Raw Data'!$B:$B,0)),"")</f>
        <v/>
      </c>
      <c r="H92" t="str">
        <f t="array" ref="H92">IFERROR(INDEX('Day Range Raw Data'!H:H,Match($A92,'Day Range Raw Data'!$B:$B,0)),"")</f>
        <v/>
      </c>
      <c r="I92" t="str">
        <f t="array" ref="I92">IFERROR(INDEX('Day Range Raw Data'!M:M,Match($A92,'Day Range Raw Data'!$B:$B,0)),"")</f>
        <v/>
      </c>
      <c r="J92" t="str">
        <f t="array" ref="J92">IFERROR(INDEX('Day Range Raw Data'!N:N,Match($A92,'Day Range Raw Data'!$B:$B,0)),"")</f>
        <v/>
      </c>
      <c r="K92" t="str">
        <f t="array" ref="K92">IFERROR(INDEX('Day Range Raw Data'!R:R,Match($A92,'Day Range Raw Data'!$B:$B,0)),"")</f>
        <v/>
      </c>
      <c r="L92" t="str">
        <f t="array" ref="L92">IFERROR(INDEX('Day Range Raw Data'!S:S,Match($A92,'Day Range Raw Data'!$B:$B,0)),"")</f>
        <v/>
      </c>
      <c r="M92" t="str">
        <f t="array" ref="M92">IFERROR(INDEX('Day Range Raw Data'!T:T,Match($A92,'Day Range Raw Data'!$B:$B,0)),"")</f>
        <v/>
      </c>
      <c r="N92" t="str">
        <f t="array" ref="N92">IFERROR(INDEX('Day Range Raw Data'!U:U,Match($A92,'Day Range Raw Data'!$B:$B,0)),"")</f>
        <v/>
      </c>
      <c r="O92" t="str">
        <f t="array" ref="O92">IFERROR(INDEX('Day Range Raw Data'!V:V,Match($A92,'Day Range Raw Data'!$B:$B,0)),"")</f>
        <v/>
      </c>
      <c r="P92" t="str">
        <f t="array" ref="P92">IFERROR(INDEX('Day Range Raw Data'!X:X,Match($A92,'Day Range Raw Data'!$B:$B,0)),"")</f>
        <v/>
      </c>
      <c r="Q92" t="str">
        <f t="shared" si="1"/>
        <v/>
      </c>
      <c r="R92" s="9" t="str">
        <f t="shared" si="2"/>
        <v/>
      </c>
      <c r="S92" s="14" t="str">
        <f t="shared" si="3"/>
        <v/>
      </c>
      <c r="T92" s="15" t="str">
        <f>IFERROR(__xludf.DUMMYFUNCTION("IF($A92="""","""",IFERROR(PERCENTRANK.INC(FILTER(Q:Q,$F:$F&lt;&gt;""""),Q92)*100,""""))"),"")</f>
        <v/>
      </c>
      <c r="U92" s="15" t="str">
        <f>IFERROR(__xludf.DUMMYFUNCTION("IF($A92="""","""",IFERROR(PERCENTRANK.INC(FILTER(R:R,$F:$F&lt;&gt;""""),R92)*100,""""))"),"")</f>
        <v/>
      </c>
      <c r="V92" s="15" t="str">
        <f>IFERROR(__xludf.DUMMYFUNCTION("IF($A92="""","""",IFERROR(PERCENTRANK.INC(FILTER(S:S,$F:$F&lt;&gt;""""),S92)*100,""""))"),"")</f>
        <v/>
      </c>
      <c r="W92" s="15" t="str">
        <f t="shared" si="4"/>
        <v/>
      </c>
    </row>
    <row r="93">
      <c r="B93" t="str">
        <f t="array" ref="B93">IFERROR(INDEX('Player Raw Data'!C:C,Match($A93,'Player Raw Data'!$B:$B,0)),"")</f>
        <v/>
      </c>
      <c r="C93" t="str">
        <f t="array" ref="C93">IFERROR(INDEX('Player Raw Data'!D:D,Match($A93,'Player Raw Data'!$B:$B,0)),"")</f>
        <v/>
      </c>
      <c r="D93" t="str">
        <f t="array" ref="D93">IFERROR(IF(A93=A92, INDEX('Player Raw Data'!E:E,Match($A93,'Player Raw Data'!$B:$B,0)+2),INDEX('Player Raw Data'!E:E,Match($A93,'Player Raw Data'!$B:$B,0))),"")</f>
        <v/>
      </c>
      <c r="E93" t="str">
        <f t="array" ref="E93">IFERROR(INDEX('Day Range Raw Data'!D:D,Match($A93,'Day Range Raw Data'!$B:$B,0)),"")</f>
        <v/>
      </c>
      <c r="F93" t="str">
        <f t="array" ref="F93">IFERROR(INDEX('Day Range Raw Data'!F:F,Match($A93,'Day Range Raw Data'!$B:$B,0)),"")</f>
        <v/>
      </c>
      <c r="G93" t="str">
        <f t="array" ref="G93">IFERROR(INDEX('Day Range Raw Data'!G:G,Match($A93,'Day Range Raw Data'!$B:$B,0)),"")</f>
        <v/>
      </c>
      <c r="H93" t="str">
        <f t="array" ref="H93">IFERROR(INDEX('Day Range Raw Data'!H:H,Match($A93,'Day Range Raw Data'!$B:$B,0)),"")</f>
        <v/>
      </c>
      <c r="I93" t="str">
        <f t="array" ref="I93">IFERROR(INDEX('Day Range Raw Data'!M:M,Match($A93,'Day Range Raw Data'!$B:$B,0)),"")</f>
        <v/>
      </c>
      <c r="J93" t="str">
        <f t="array" ref="J93">IFERROR(INDEX('Day Range Raw Data'!N:N,Match($A93,'Day Range Raw Data'!$B:$B,0)),"")</f>
        <v/>
      </c>
      <c r="K93" t="str">
        <f t="array" ref="K93">IFERROR(INDEX('Day Range Raw Data'!R:R,Match($A93,'Day Range Raw Data'!$B:$B,0)),"")</f>
        <v/>
      </c>
      <c r="L93" t="str">
        <f t="array" ref="L93">IFERROR(INDEX('Day Range Raw Data'!S:S,Match($A93,'Day Range Raw Data'!$B:$B,0)),"")</f>
        <v/>
      </c>
      <c r="M93" t="str">
        <f t="array" ref="M93">IFERROR(INDEX('Day Range Raw Data'!T:T,Match($A93,'Day Range Raw Data'!$B:$B,0)),"")</f>
        <v/>
      </c>
      <c r="N93" t="str">
        <f t="array" ref="N93">IFERROR(INDEX('Day Range Raw Data'!U:U,Match($A93,'Day Range Raw Data'!$B:$B,0)),"")</f>
        <v/>
      </c>
      <c r="O93" t="str">
        <f t="array" ref="O93">IFERROR(INDEX('Day Range Raw Data'!V:V,Match($A93,'Day Range Raw Data'!$B:$B,0)),"")</f>
        <v/>
      </c>
      <c r="P93" t="str">
        <f t="array" ref="P93">IFERROR(INDEX('Day Range Raw Data'!X:X,Match($A93,'Day Range Raw Data'!$B:$B,0)),"")</f>
        <v/>
      </c>
      <c r="Q93" t="str">
        <f t="shared" si="1"/>
        <v/>
      </c>
      <c r="R93" s="9" t="str">
        <f t="shared" si="2"/>
        <v/>
      </c>
      <c r="S93" s="14" t="str">
        <f t="shared" si="3"/>
        <v/>
      </c>
      <c r="T93" s="15" t="str">
        <f>IFERROR(__xludf.DUMMYFUNCTION("IF($A93="""","""",IFERROR(PERCENTRANK.INC(FILTER(Q:Q,$F:$F&lt;&gt;""""),Q93)*100,""""))"),"")</f>
        <v/>
      </c>
      <c r="U93" s="15" t="str">
        <f>IFERROR(__xludf.DUMMYFUNCTION("IF($A93="""","""",IFERROR(PERCENTRANK.INC(FILTER(R:R,$F:$F&lt;&gt;""""),R93)*100,""""))"),"")</f>
        <v/>
      </c>
      <c r="V93" s="15" t="str">
        <f>IFERROR(__xludf.DUMMYFUNCTION("IF($A93="""","""",IFERROR(PERCENTRANK.INC(FILTER(S:S,$F:$F&lt;&gt;""""),S93)*100,""""))"),"")</f>
        <v/>
      </c>
      <c r="W93" s="15" t="str">
        <f t="shared" si="4"/>
        <v/>
      </c>
    </row>
    <row r="94">
      <c r="B94" t="str">
        <f t="array" ref="B94">IFERROR(INDEX('Player Raw Data'!C:C,Match($A94,'Player Raw Data'!$B:$B,0)),"")</f>
        <v/>
      </c>
      <c r="C94" t="str">
        <f t="array" ref="C94">IFERROR(INDEX('Player Raw Data'!D:D,Match($A94,'Player Raw Data'!$B:$B,0)),"")</f>
        <v/>
      </c>
      <c r="D94" t="str">
        <f t="array" ref="D94">IFERROR(IF(A94=A93, INDEX('Player Raw Data'!E:E,Match($A94,'Player Raw Data'!$B:$B,0)+2),INDEX('Player Raw Data'!E:E,Match($A94,'Player Raw Data'!$B:$B,0))),"")</f>
        <v/>
      </c>
      <c r="E94" t="str">
        <f t="array" ref="E94">IFERROR(INDEX('Day Range Raw Data'!D:D,Match($A94,'Day Range Raw Data'!$B:$B,0)),"")</f>
        <v/>
      </c>
      <c r="F94" t="str">
        <f t="array" ref="F94">IFERROR(INDEX('Day Range Raw Data'!F:F,Match($A94,'Day Range Raw Data'!$B:$B,0)),"")</f>
        <v/>
      </c>
      <c r="G94" t="str">
        <f t="array" ref="G94">IFERROR(INDEX('Day Range Raw Data'!G:G,Match($A94,'Day Range Raw Data'!$B:$B,0)),"")</f>
        <v/>
      </c>
      <c r="H94" t="str">
        <f t="array" ref="H94">IFERROR(INDEX('Day Range Raw Data'!H:H,Match($A94,'Day Range Raw Data'!$B:$B,0)),"")</f>
        <v/>
      </c>
      <c r="I94" t="str">
        <f t="array" ref="I94">IFERROR(INDEX('Day Range Raw Data'!M:M,Match($A94,'Day Range Raw Data'!$B:$B,0)),"")</f>
        <v/>
      </c>
      <c r="J94" t="str">
        <f t="array" ref="J94">IFERROR(INDEX('Day Range Raw Data'!N:N,Match($A94,'Day Range Raw Data'!$B:$B,0)),"")</f>
        <v/>
      </c>
      <c r="K94" t="str">
        <f t="array" ref="K94">IFERROR(INDEX('Day Range Raw Data'!R:R,Match($A94,'Day Range Raw Data'!$B:$B,0)),"")</f>
        <v/>
      </c>
      <c r="L94" t="str">
        <f t="array" ref="L94">IFERROR(INDEX('Day Range Raw Data'!S:S,Match($A94,'Day Range Raw Data'!$B:$B,0)),"")</f>
        <v/>
      </c>
      <c r="M94" t="str">
        <f t="array" ref="M94">IFERROR(INDEX('Day Range Raw Data'!T:T,Match($A94,'Day Range Raw Data'!$B:$B,0)),"")</f>
        <v/>
      </c>
      <c r="N94" t="str">
        <f t="array" ref="N94">IFERROR(INDEX('Day Range Raw Data'!U:U,Match($A94,'Day Range Raw Data'!$B:$B,0)),"")</f>
        <v/>
      </c>
      <c r="O94" t="str">
        <f t="array" ref="O94">IFERROR(INDEX('Day Range Raw Data'!V:V,Match($A94,'Day Range Raw Data'!$B:$B,0)),"")</f>
        <v/>
      </c>
      <c r="P94" t="str">
        <f t="array" ref="P94">IFERROR(INDEX('Day Range Raw Data'!X:X,Match($A94,'Day Range Raw Data'!$B:$B,0)),"")</f>
        <v/>
      </c>
      <c r="Q94" t="str">
        <f t="shared" si="1"/>
        <v/>
      </c>
      <c r="R94" s="9" t="str">
        <f t="shared" si="2"/>
        <v/>
      </c>
      <c r="S94" s="14" t="str">
        <f t="shared" si="3"/>
        <v/>
      </c>
      <c r="T94" s="15" t="str">
        <f>IFERROR(__xludf.DUMMYFUNCTION("IF($A94="""","""",IFERROR(PERCENTRANK.INC(FILTER(Q:Q,$F:$F&lt;&gt;""""),Q94)*100,""""))"),"")</f>
        <v/>
      </c>
      <c r="U94" s="15" t="str">
        <f>IFERROR(__xludf.DUMMYFUNCTION("IF($A94="""","""",IFERROR(PERCENTRANK.INC(FILTER(R:R,$F:$F&lt;&gt;""""),R94)*100,""""))"),"")</f>
        <v/>
      </c>
      <c r="V94" s="15" t="str">
        <f>IFERROR(__xludf.DUMMYFUNCTION("IF($A94="""","""",IFERROR(PERCENTRANK.INC(FILTER(S:S,$F:$F&lt;&gt;""""),S94)*100,""""))"),"")</f>
        <v/>
      </c>
      <c r="W94" s="15" t="str">
        <f t="shared" si="4"/>
        <v/>
      </c>
    </row>
    <row r="95">
      <c r="B95" t="str">
        <f t="array" ref="B95">IFERROR(INDEX('Player Raw Data'!C:C,Match($A95,'Player Raw Data'!$B:$B,0)),"")</f>
        <v/>
      </c>
      <c r="C95" t="str">
        <f t="array" ref="C95">IFERROR(INDEX('Player Raw Data'!D:D,Match($A95,'Player Raw Data'!$B:$B,0)),"")</f>
        <v/>
      </c>
      <c r="D95" t="str">
        <f t="array" ref="D95">IFERROR(IF(A95=A94, INDEX('Player Raw Data'!E:E,Match($A95,'Player Raw Data'!$B:$B,0)+2),INDEX('Player Raw Data'!E:E,Match($A95,'Player Raw Data'!$B:$B,0))),"")</f>
        <v/>
      </c>
      <c r="E95" t="str">
        <f t="array" ref="E95">IFERROR(INDEX('Day Range Raw Data'!D:D,Match($A95,'Day Range Raw Data'!$B:$B,0)),"")</f>
        <v/>
      </c>
      <c r="F95" t="str">
        <f t="array" ref="F95">IFERROR(INDEX('Day Range Raw Data'!F:F,Match($A95,'Day Range Raw Data'!$B:$B,0)),"")</f>
        <v/>
      </c>
      <c r="G95" t="str">
        <f t="array" ref="G95">IFERROR(INDEX('Day Range Raw Data'!G:G,Match($A95,'Day Range Raw Data'!$B:$B,0)),"")</f>
        <v/>
      </c>
      <c r="H95" t="str">
        <f t="array" ref="H95">IFERROR(INDEX('Day Range Raw Data'!H:H,Match($A95,'Day Range Raw Data'!$B:$B,0)),"")</f>
        <v/>
      </c>
      <c r="I95" t="str">
        <f t="array" ref="I95">IFERROR(INDEX('Day Range Raw Data'!M:M,Match($A95,'Day Range Raw Data'!$B:$B,0)),"")</f>
        <v/>
      </c>
      <c r="J95" t="str">
        <f t="array" ref="J95">IFERROR(INDEX('Day Range Raw Data'!N:N,Match($A95,'Day Range Raw Data'!$B:$B,0)),"")</f>
        <v/>
      </c>
      <c r="K95" t="str">
        <f t="array" ref="K95">IFERROR(INDEX('Day Range Raw Data'!R:R,Match($A95,'Day Range Raw Data'!$B:$B,0)),"")</f>
        <v/>
      </c>
      <c r="L95" t="str">
        <f t="array" ref="L95">IFERROR(INDEX('Day Range Raw Data'!S:S,Match($A95,'Day Range Raw Data'!$B:$B,0)),"")</f>
        <v/>
      </c>
      <c r="M95" t="str">
        <f t="array" ref="M95">IFERROR(INDEX('Day Range Raw Data'!T:T,Match($A95,'Day Range Raw Data'!$B:$B,0)),"")</f>
        <v/>
      </c>
      <c r="N95" t="str">
        <f t="array" ref="N95">IFERROR(INDEX('Day Range Raw Data'!U:U,Match($A95,'Day Range Raw Data'!$B:$B,0)),"")</f>
        <v/>
      </c>
      <c r="O95" t="str">
        <f t="array" ref="O95">IFERROR(INDEX('Day Range Raw Data'!V:V,Match($A95,'Day Range Raw Data'!$B:$B,0)),"")</f>
        <v/>
      </c>
      <c r="P95" t="str">
        <f t="array" ref="P95">IFERROR(INDEX('Day Range Raw Data'!X:X,Match($A95,'Day Range Raw Data'!$B:$B,0)),"")</f>
        <v/>
      </c>
      <c r="Q95" t="str">
        <f t="shared" si="1"/>
        <v/>
      </c>
      <c r="R95" s="9" t="str">
        <f t="shared" si="2"/>
        <v/>
      </c>
      <c r="S95" s="14" t="str">
        <f t="shared" si="3"/>
        <v/>
      </c>
      <c r="T95" s="15" t="str">
        <f>IFERROR(__xludf.DUMMYFUNCTION("IF($A95="""","""",IFERROR(PERCENTRANK.INC(FILTER(Q:Q,$F:$F&lt;&gt;""""),Q95)*100,""""))"),"")</f>
        <v/>
      </c>
      <c r="U95" s="15" t="str">
        <f>IFERROR(__xludf.DUMMYFUNCTION("IF($A95="""","""",IFERROR(PERCENTRANK.INC(FILTER(R:R,$F:$F&lt;&gt;""""),R95)*100,""""))"),"")</f>
        <v/>
      </c>
      <c r="V95" s="15" t="str">
        <f>IFERROR(__xludf.DUMMYFUNCTION("IF($A95="""","""",IFERROR(PERCENTRANK.INC(FILTER(S:S,$F:$F&lt;&gt;""""),S95)*100,""""))"),"")</f>
        <v/>
      </c>
      <c r="W95" s="15" t="str">
        <f t="shared" si="4"/>
        <v/>
      </c>
    </row>
    <row r="96">
      <c r="B96" t="str">
        <f t="array" ref="B96">IFERROR(INDEX('Player Raw Data'!C:C,Match($A96,'Player Raw Data'!$B:$B,0)),"")</f>
        <v/>
      </c>
      <c r="C96" t="str">
        <f t="array" ref="C96">IFERROR(INDEX('Player Raw Data'!D:D,Match($A96,'Player Raw Data'!$B:$B,0)),"")</f>
        <v/>
      </c>
      <c r="D96" t="str">
        <f t="array" ref="D96">IFERROR(IF(A96=A95, INDEX('Player Raw Data'!E:E,Match($A96,'Player Raw Data'!$B:$B,0)+2),INDEX('Player Raw Data'!E:E,Match($A96,'Player Raw Data'!$B:$B,0))),"")</f>
        <v/>
      </c>
      <c r="E96" t="str">
        <f t="array" ref="E96">IFERROR(INDEX('Day Range Raw Data'!D:D,Match($A96,'Day Range Raw Data'!$B:$B,0)),"")</f>
        <v/>
      </c>
      <c r="F96" t="str">
        <f t="array" ref="F96">IFERROR(INDEX('Day Range Raw Data'!F:F,Match($A96,'Day Range Raw Data'!$B:$B,0)),"")</f>
        <v/>
      </c>
      <c r="G96" t="str">
        <f t="array" ref="G96">IFERROR(INDEX('Day Range Raw Data'!G:G,Match($A96,'Day Range Raw Data'!$B:$B,0)),"")</f>
        <v/>
      </c>
      <c r="H96" t="str">
        <f t="array" ref="H96">IFERROR(INDEX('Day Range Raw Data'!H:H,Match($A96,'Day Range Raw Data'!$B:$B,0)),"")</f>
        <v/>
      </c>
      <c r="I96" t="str">
        <f t="array" ref="I96">IFERROR(INDEX('Day Range Raw Data'!M:M,Match($A96,'Day Range Raw Data'!$B:$B,0)),"")</f>
        <v/>
      </c>
      <c r="J96" t="str">
        <f t="array" ref="J96">IFERROR(INDEX('Day Range Raw Data'!N:N,Match($A96,'Day Range Raw Data'!$B:$B,0)),"")</f>
        <v/>
      </c>
      <c r="K96" t="str">
        <f t="array" ref="K96">IFERROR(INDEX('Day Range Raw Data'!R:R,Match($A96,'Day Range Raw Data'!$B:$B,0)),"")</f>
        <v/>
      </c>
      <c r="L96" t="str">
        <f t="array" ref="L96">IFERROR(INDEX('Day Range Raw Data'!S:S,Match($A96,'Day Range Raw Data'!$B:$B,0)),"")</f>
        <v/>
      </c>
      <c r="M96" t="str">
        <f t="array" ref="M96">IFERROR(INDEX('Day Range Raw Data'!T:T,Match($A96,'Day Range Raw Data'!$B:$B,0)),"")</f>
        <v/>
      </c>
      <c r="N96" t="str">
        <f t="array" ref="N96">IFERROR(INDEX('Day Range Raw Data'!U:U,Match($A96,'Day Range Raw Data'!$B:$B,0)),"")</f>
        <v/>
      </c>
      <c r="O96" t="str">
        <f t="array" ref="O96">IFERROR(INDEX('Day Range Raw Data'!V:V,Match($A96,'Day Range Raw Data'!$B:$B,0)),"")</f>
        <v/>
      </c>
      <c r="P96" t="str">
        <f t="array" ref="P96">IFERROR(INDEX('Day Range Raw Data'!X:X,Match($A96,'Day Range Raw Data'!$B:$B,0)),"")</f>
        <v/>
      </c>
      <c r="Q96" t="str">
        <f t="shared" si="1"/>
        <v/>
      </c>
      <c r="R96" s="9" t="str">
        <f t="shared" si="2"/>
        <v/>
      </c>
      <c r="S96" s="14" t="str">
        <f t="shared" si="3"/>
        <v/>
      </c>
      <c r="T96" s="15" t="str">
        <f>IFERROR(__xludf.DUMMYFUNCTION("IF($A96="""","""",IFERROR(PERCENTRANK.INC(FILTER(Q:Q,$F:$F&lt;&gt;""""),Q96)*100,""""))"),"")</f>
        <v/>
      </c>
      <c r="U96" s="15" t="str">
        <f>IFERROR(__xludf.DUMMYFUNCTION("IF($A96="""","""",IFERROR(PERCENTRANK.INC(FILTER(R:R,$F:$F&lt;&gt;""""),R96)*100,""""))"),"")</f>
        <v/>
      </c>
      <c r="V96" s="15" t="str">
        <f>IFERROR(__xludf.DUMMYFUNCTION("IF($A96="""","""",IFERROR(PERCENTRANK.INC(FILTER(S:S,$F:$F&lt;&gt;""""),S96)*100,""""))"),"")</f>
        <v/>
      </c>
      <c r="W96" s="15" t="str">
        <f t="shared" si="4"/>
        <v/>
      </c>
    </row>
    <row r="97">
      <c r="B97" t="str">
        <f t="array" ref="B97">IFERROR(INDEX('Player Raw Data'!C:C,Match($A97,'Player Raw Data'!$B:$B,0)),"")</f>
        <v/>
      </c>
      <c r="C97" t="str">
        <f t="array" ref="C97">IFERROR(INDEX('Player Raw Data'!D:D,Match($A97,'Player Raw Data'!$B:$B,0)),"")</f>
        <v/>
      </c>
      <c r="D97" t="str">
        <f t="array" ref="D97">IFERROR(IF(A97=A96, INDEX('Player Raw Data'!E:E,Match($A97,'Player Raw Data'!$B:$B,0)+2),INDEX('Player Raw Data'!E:E,Match($A97,'Player Raw Data'!$B:$B,0))),"")</f>
        <v/>
      </c>
      <c r="E97" t="str">
        <f t="array" ref="E97">IFERROR(INDEX('Day Range Raw Data'!D:D,Match($A97,'Day Range Raw Data'!$B:$B,0)),"")</f>
        <v/>
      </c>
      <c r="F97" t="str">
        <f t="array" ref="F97">IFERROR(INDEX('Day Range Raw Data'!F:F,Match($A97,'Day Range Raw Data'!$B:$B,0)),"")</f>
        <v/>
      </c>
      <c r="G97" t="str">
        <f t="array" ref="G97">IFERROR(INDEX('Day Range Raw Data'!G:G,Match($A97,'Day Range Raw Data'!$B:$B,0)),"")</f>
        <v/>
      </c>
      <c r="H97" t="str">
        <f t="array" ref="H97">IFERROR(INDEX('Day Range Raw Data'!H:H,Match($A97,'Day Range Raw Data'!$B:$B,0)),"")</f>
        <v/>
      </c>
      <c r="I97" t="str">
        <f t="array" ref="I97">IFERROR(INDEX('Day Range Raw Data'!M:M,Match($A97,'Day Range Raw Data'!$B:$B,0)),"")</f>
        <v/>
      </c>
      <c r="J97" t="str">
        <f t="array" ref="J97">IFERROR(INDEX('Day Range Raw Data'!N:N,Match($A97,'Day Range Raw Data'!$B:$B,0)),"")</f>
        <v/>
      </c>
      <c r="K97" t="str">
        <f t="array" ref="K97">IFERROR(INDEX('Day Range Raw Data'!R:R,Match($A97,'Day Range Raw Data'!$B:$B,0)),"")</f>
        <v/>
      </c>
      <c r="L97" t="str">
        <f t="array" ref="L97">IFERROR(INDEX('Day Range Raw Data'!S:S,Match($A97,'Day Range Raw Data'!$B:$B,0)),"")</f>
        <v/>
      </c>
      <c r="M97" t="str">
        <f t="array" ref="M97">IFERROR(INDEX('Day Range Raw Data'!T:T,Match($A97,'Day Range Raw Data'!$B:$B,0)),"")</f>
        <v/>
      </c>
      <c r="N97" t="str">
        <f t="array" ref="N97">IFERROR(INDEX('Day Range Raw Data'!U:U,Match($A97,'Day Range Raw Data'!$B:$B,0)),"")</f>
        <v/>
      </c>
      <c r="O97" t="str">
        <f t="array" ref="O97">IFERROR(INDEX('Day Range Raw Data'!V:V,Match($A97,'Day Range Raw Data'!$B:$B,0)),"")</f>
        <v/>
      </c>
      <c r="P97" t="str">
        <f t="array" ref="P97">IFERROR(INDEX('Day Range Raw Data'!X:X,Match($A97,'Day Range Raw Data'!$B:$B,0)),"")</f>
        <v/>
      </c>
      <c r="Q97" t="str">
        <f t="shared" si="1"/>
        <v/>
      </c>
      <c r="R97" s="9" t="str">
        <f t="shared" si="2"/>
        <v/>
      </c>
      <c r="S97" s="14" t="str">
        <f t="shared" si="3"/>
        <v/>
      </c>
      <c r="T97" s="15" t="str">
        <f>IFERROR(__xludf.DUMMYFUNCTION("IF($A97="""","""",IFERROR(PERCENTRANK.INC(FILTER(Q:Q,$F:$F&lt;&gt;""""),Q97)*100,""""))"),"")</f>
        <v/>
      </c>
      <c r="U97" s="15" t="str">
        <f>IFERROR(__xludf.DUMMYFUNCTION("IF($A97="""","""",IFERROR(PERCENTRANK.INC(FILTER(R:R,$F:$F&lt;&gt;""""),R97)*100,""""))"),"")</f>
        <v/>
      </c>
      <c r="V97" s="15" t="str">
        <f>IFERROR(__xludf.DUMMYFUNCTION("IF($A97="""","""",IFERROR(PERCENTRANK.INC(FILTER(S:S,$F:$F&lt;&gt;""""),S97)*100,""""))"),"")</f>
        <v/>
      </c>
      <c r="W97" s="15" t="str">
        <f t="shared" si="4"/>
        <v/>
      </c>
    </row>
    <row r="98">
      <c r="B98" t="str">
        <f t="array" ref="B98">IFERROR(INDEX('Player Raw Data'!C:C,Match($A98,'Player Raw Data'!$B:$B,0)),"")</f>
        <v/>
      </c>
      <c r="C98" t="str">
        <f t="array" ref="C98">IFERROR(INDEX('Player Raw Data'!D:D,Match($A98,'Player Raw Data'!$B:$B,0)),"")</f>
        <v/>
      </c>
      <c r="D98" t="str">
        <f t="array" ref="D98">IFERROR(IF(A98=A97, INDEX('Player Raw Data'!E:E,Match($A98,'Player Raw Data'!$B:$B,0)+2),INDEX('Player Raw Data'!E:E,Match($A98,'Player Raw Data'!$B:$B,0))),"")</f>
        <v/>
      </c>
      <c r="E98" t="str">
        <f t="array" ref="E98">IFERROR(INDEX('Day Range Raw Data'!D:D,Match($A98,'Day Range Raw Data'!$B:$B,0)),"")</f>
        <v/>
      </c>
      <c r="F98" t="str">
        <f t="array" ref="F98">IFERROR(INDEX('Day Range Raw Data'!F:F,Match($A98,'Day Range Raw Data'!$B:$B,0)),"")</f>
        <v/>
      </c>
      <c r="G98" t="str">
        <f t="array" ref="G98">IFERROR(INDEX('Day Range Raw Data'!G:G,Match($A98,'Day Range Raw Data'!$B:$B,0)),"")</f>
        <v/>
      </c>
      <c r="H98" t="str">
        <f t="array" ref="H98">IFERROR(INDEX('Day Range Raw Data'!H:H,Match($A98,'Day Range Raw Data'!$B:$B,0)),"")</f>
        <v/>
      </c>
      <c r="I98" t="str">
        <f t="array" ref="I98">IFERROR(INDEX('Day Range Raw Data'!M:M,Match($A98,'Day Range Raw Data'!$B:$B,0)),"")</f>
        <v/>
      </c>
      <c r="J98" t="str">
        <f t="array" ref="J98">IFERROR(INDEX('Day Range Raw Data'!N:N,Match($A98,'Day Range Raw Data'!$B:$B,0)),"")</f>
        <v/>
      </c>
      <c r="K98" t="str">
        <f t="array" ref="K98">IFERROR(INDEX('Day Range Raw Data'!R:R,Match($A98,'Day Range Raw Data'!$B:$B,0)),"")</f>
        <v/>
      </c>
      <c r="L98" t="str">
        <f t="array" ref="L98">IFERROR(INDEX('Day Range Raw Data'!S:S,Match($A98,'Day Range Raw Data'!$B:$B,0)),"")</f>
        <v/>
      </c>
      <c r="M98" t="str">
        <f t="array" ref="M98">IFERROR(INDEX('Day Range Raw Data'!T:T,Match($A98,'Day Range Raw Data'!$B:$B,0)),"")</f>
        <v/>
      </c>
      <c r="N98" t="str">
        <f t="array" ref="N98">IFERROR(INDEX('Day Range Raw Data'!U:U,Match($A98,'Day Range Raw Data'!$B:$B,0)),"")</f>
        <v/>
      </c>
      <c r="O98" t="str">
        <f t="array" ref="O98">IFERROR(INDEX('Day Range Raw Data'!V:V,Match($A98,'Day Range Raw Data'!$B:$B,0)),"")</f>
        <v/>
      </c>
      <c r="P98" t="str">
        <f t="array" ref="P98">IFERROR(INDEX('Day Range Raw Data'!X:X,Match($A98,'Day Range Raw Data'!$B:$B,0)),"")</f>
        <v/>
      </c>
      <c r="Q98" t="str">
        <f t="shared" si="1"/>
        <v/>
      </c>
      <c r="R98" s="9" t="str">
        <f t="shared" si="2"/>
        <v/>
      </c>
      <c r="S98" s="14" t="str">
        <f t="shared" si="3"/>
        <v/>
      </c>
      <c r="T98" s="15" t="str">
        <f>IFERROR(__xludf.DUMMYFUNCTION("IF($A98="""","""",IFERROR(PERCENTRANK.INC(FILTER(Q:Q,$F:$F&lt;&gt;""""),Q98)*100,""""))"),"")</f>
        <v/>
      </c>
      <c r="U98" s="15" t="str">
        <f>IFERROR(__xludf.DUMMYFUNCTION("IF($A98="""","""",IFERROR(PERCENTRANK.INC(FILTER(R:R,$F:$F&lt;&gt;""""),R98)*100,""""))"),"")</f>
        <v/>
      </c>
      <c r="V98" s="15" t="str">
        <f>IFERROR(__xludf.DUMMYFUNCTION("IF($A98="""","""",IFERROR(PERCENTRANK.INC(FILTER(S:S,$F:$F&lt;&gt;""""),S98)*100,""""))"),"")</f>
        <v/>
      </c>
      <c r="W98" s="15" t="str">
        <f t="shared" si="4"/>
        <v/>
      </c>
    </row>
    <row r="99">
      <c r="B99" t="str">
        <f t="array" ref="B99">IFERROR(INDEX('Player Raw Data'!C:C,Match($A99,'Player Raw Data'!$B:$B,0)),"")</f>
        <v/>
      </c>
      <c r="C99" t="str">
        <f t="array" ref="C99">IFERROR(INDEX('Player Raw Data'!D:D,Match($A99,'Player Raw Data'!$B:$B,0)),"")</f>
        <v/>
      </c>
      <c r="D99" t="str">
        <f t="array" ref="D99">IFERROR(IF(A99=A98, INDEX('Player Raw Data'!E:E,Match($A99,'Player Raw Data'!$B:$B,0)+2),INDEX('Player Raw Data'!E:E,Match($A99,'Player Raw Data'!$B:$B,0))),"")</f>
        <v/>
      </c>
      <c r="E99" t="str">
        <f t="array" ref="E99">IFERROR(INDEX('Day Range Raw Data'!D:D,Match($A99,'Day Range Raw Data'!$B:$B,0)),"")</f>
        <v/>
      </c>
      <c r="F99" t="str">
        <f t="array" ref="F99">IFERROR(INDEX('Day Range Raw Data'!F:F,Match($A99,'Day Range Raw Data'!$B:$B,0)),"")</f>
        <v/>
      </c>
      <c r="G99" t="str">
        <f t="array" ref="G99">IFERROR(INDEX('Day Range Raw Data'!G:G,Match($A99,'Day Range Raw Data'!$B:$B,0)),"")</f>
        <v/>
      </c>
      <c r="H99" t="str">
        <f t="array" ref="H99">IFERROR(INDEX('Day Range Raw Data'!H:H,Match($A99,'Day Range Raw Data'!$B:$B,0)),"")</f>
        <v/>
      </c>
      <c r="I99" t="str">
        <f t="array" ref="I99">IFERROR(INDEX('Day Range Raw Data'!M:M,Match($A99,'Day Range Raw Data'!$B:$B,0)),"")</f>
        <v/>
      </c>
      <c r="J99" t="str">
        <f t="array" ref="J99">IFERROR(INDEX('Day Range Raw Data'!N:N,Match($A99,'Day Range Raw Data'!$B:$B,0)),"")</f>
        <v/>
      </c>
      <c r="K99" t="str">
        <f t="array" ref="K99">IFERROR(INDEX('Day Range Raw Data'!R:R,Match($A99,'Day Range Raw Data'!$B:$B,0)),"")</f>
        <v/>
      </c>
      <c r="L99" t="str">
        <f t="array" ref="L99">IFERROR(INDEX('Day Range Raw Data'!S:S,Match($A99,'Day Range Raw Data'!$B:$B,0)),"")</f>
        <v/>
      </c>
      <c r="M99" t="str">
        <f t="array" ref="M99">IFERROR(INDEX('Day Range Raw Data'!T:T,Match($A99,'Day Range Raw Data'!$B:$B,0)),"")</f>
        <v/>
      </c>
      <c r="N99" t="str">
        <f t="array" ref="N99">IFERROR(INDEX('Day Range Raw Data'!U:U,Match($A99,'Day Range Raw Data'!$B:$B,0)),"")</f>
        <v/>
      </c>
      <c r="O99" t="str">
        <f t="array" ref="O99">IFERROR(INDEX('Day Range Raw Data'!V:V,Match($A99,'Day Range Raw Data'!$B:$B,0)),"")</f>
        <v/>
      </c>
      <c r="P99" t="str">
        <f t="array" ref="P99">IFERROR(INDEX('Day Range Raw Data'!X:X,Match($A99,'Day Range Raw Data'!$B:$B,0)),"")</f>
        <v/>
      </c>
      <c r="Q99" t="str">
        <f t="shared" si="1"/>
        <v/>
      </c>
      <c r="R99" s="9" t="str">
        <f t="shared" si="2"/>
        <v/>
      </c>
      <c r="S99" s="14" t="str">
        <f t="shared" si="3"/>
        <v/>
      </c>
      <c r="T99" s="15" t="str">
        <f>IFERROR(__xludf.DUMMYFUNCTION("IF($A99="""","""",IFERROR(PERCENTRANK.INC(FILTER(Q:Q,$F:$F&lt;&gt;""""),Q99)*100,""""))"),"")</f>
        <v/>
      </c>
      <c r="U99" s="15" t="str">
        <f>IFERROR(__xludf.DUMMYFUNCTION("IF($A99="""","""",IFERROR(PERCENTRANK.INC(FILTER(R:R,$F:$F&lt;&gt;""""),R99)*100,""""))"),"")</f>
        <v/>
      </c>
      <c r="V99" s="15" t="str">
        <f>IFERROR(__xludf.DUMMYFUNCTION("IF($A99="""","""",IFERROR(PERCENTRANK.INC(FILTER(S:S,$F:$F&lt;&gt;""""),S99)*100,""""))"),"")</f>
        <v/>
      </c>
      <c r="W99" s="15" t="str">
        <f t="shared" si="4"/>
        <v/>
      </c>
    </row>
    <row r="100">
      <c r="B100" t="str">
        <f t="array" ref="B100">IFERROR(INDEX('Player Raw Data'!C:C,Match($A100,'Player Raw Data'!$B:$B,0)),"")</f>
        <v/>
      </c>
      <c r="C100" t="str">
        <f t="array" ref="C100">IFERROR(INDEX('Player Raw Data'!D:D,Match($A100,'Player Raw Data'!$B:$B,0)),"")</f>
        <v/>
      </c>
      <c r="D100" t="str">
        <f t="array" ref="D100">IFERROR(IF(A100=A99, INDEX('Player Raw Data'!E:E,Match($A100,'Player Raw Data'!$B:$B,0)+2),INDEX('Player Raw Data'!E:E,Match($A100,'Player Raw Data'!$B:$B,0))),"")</f>
        <v/>
      </c>
      <c r="E100" t="str">
        <f t="array" ref="E100">IFERROR(INDEX('Day Range Raw Data'!D:D,Match($A100,'Day Range Raw Data'!$B:$B,0)),"")</f>
        <v/>
      </c>
      <c r="F100" t="str">
        <f t="array" ref="F100">IFERROR(INDEX('Day Range Raw Data'!F:F,Match($A100,'Day Range Raw Data'!$B:$B,0)),"")</f>
        <v/>
      </c>
      <c r="G100" t="str">
        <f t="array" ref="G100">IFERROR(INDEX('Day Range Raw Data'!G:G,Match($A100,'Day Range Raw Data'!$B:$B,0)),"")</f>
        <v/>
      </c>
      <c r="H100" t="str">
        <f t="array" ref="H100">IFERROR(INDEX('Day Range Raw Data'!H:H,Match($A100,'Day Range Raw Data'!$B:$B,0)),"")</f>
        <v/>
      </c>
      <c r="I100" t="str">
        <f t="array" ref="I100">IFERROR(INDEX('Day Range Raw Data'!M:M,Match($A100,'Day Range Raw Data'!$B:$B,0)),"")</f>
        <v/>
      </c>
      <c r="J100" t="str">
        <f t="array" ref="J100">IFERROR(INDEX('Day Range Raw Data'!N:N,Match($A100,'Day Range Raw Data'!$B:$B,0)),"")</f>
        <v/>
      </c>
      <c r="K100" t="str">
        <f t="array" ref="K100">IFERROR(INDEX('Day Range Raw Data'!R:R,Match($A100,'Day Range Raw Data'!$B:$B,0)),"")</f>
        <v/>
      </c>
      <c r="L100" t="str">
        <f t="array" ref="L100">IFERROR(INDEX('Day Range Raw Data'!S:S,Match($A100,'Day Range Raw Data'!$B:$B,0)),"")</f>
        <v/>
      </c>
      <c r="M100" t="str">
        <f t="array" ref="M100">IFERROR(INDEX('Day Range Raw Data'!T:T,Match($A100,'Day Range Raw Data'!$B:$B,0)),"")</f>
        <v/>
      </c>
      <c r="N100" t="str">
        <f t="array" ref="N100">IFERROR(INDEX('Day Range Raw Data'!U:U,Match($A100,'Day Range Raw Data'!$B:$B,0)),"")</f>
        <v/>
      </c>
      <c r="O100" t="str">
        <f t="array" ref="O100">IFERROR(INDEX('Day Range Raw Data'!V:V,Match($A100,'Day Range Raw Data'!$B:$B,0)),"")</f>
        <v/>
      </c>
      <c r="P100" t="str">
        <f t="array" ref="P100">IFERROR(INDEX('Day Range Raw Data'!X:X,Match($A100,'Day Range Raw Data'!$B:$B,0)),"")</f>
        <v/>
      </c>
      <c r="Q100" t="str">
        <f t="shared" si="1"/>
        <v/>
      </c>
      <c r="R100" s="9" t="str">
        <f t="shared" si="2"/>
        <v/>
      </c>
      <c r="S100" s="14" t="str">
        <f t="shared" si="3"/>
        <v/>
      </c>
      <c r="T100" s="15" t="str">
        <f>IFERROR(__xludf.DUMMYFUNCTION("IF($A100="""","""",IFERROR(PERCENTRANK.INC(FILTER(Q:Q,$F:$F&lt;&gt;""""),Q100)*100,""""))"),"")</f>
        <v/>
      </c>
      <c r="U100" s="15" t="str">
        <f>IFERROR(__xludf.DUMMYFUNCTION("IF($A100="""","""",IFERROR(PERCENTRANK.INC(FILTER(R:R,$F:$F&lt;&gt;""""),R100)*100,""""))"),"")</f>
        <v/>
      </c>
      <c r="V100" s="15" t="str">
        <f>IFERROR(__xludf.DUMMYFUNCTION("IF($A100="""","""",IFERROR(PERCENTRANK.INC(FILTER(S:S,$F:$F&lt;&gt;""""),S100)*100,""""))"),"")</f>
        <v/>
      </c>
      <c r="W100" s="15" t="str">
        <f t="shared" si="4"/>
        <v/>
      </c>
    </row>
    <row r="101">
      <c r="B101" t="str">
        <f t="array" ref="B101">IFERROR(INDEX('Player Raw Data'!C:C,Match($A101,'Player Raw Data'!$B:$B,0)),"")</f>
        <v/>
      </c>
      <c r="C101" t="str">
        <f t="array" ref="C101">IFERROR(INDEX('Player Raw Data'!D:D,Match($A101,'Player Raw Data'!$B:$B,0)),"")</f>
        <v/>
      </c>
      <c r="D101" t="str">
        <f t="array" ref="D101">IFERROR(IF(A101=A100, INDEX('Player Raw Data'!E:E,Match($A101,'Player Raw Data'!$B:$B,0)+2),INDEX('Player Raw Data'!E:E,Match($A101,'Player Raw Data'!$B:$B,0))),"")</f>
        <v/>
      </c>
      <c r="E101" t="str">
        <f t="array" ref="E101">IFERROR(INDEX('Day Range Raw Data'!D:D,Match($A101,'Day Range Raw Data'!$B:$B,0)),"")</f>
        <v/>
      </c>
      <c r="F101" t="str">
        <f t="array" ref="F101">IFERROR(INDEX('Day Range Raw Data'!F:F,Match($A101,'Day Range Raw Data'!$B:$B,0)),"")</f>
        <v/>
      </c>
      <c r="G101" t="str">
        <f t="array" ref="G101">IFERROR(INDEX('Day Range Raw Data'!G:G,Match($A101,'Day Range Raw Data'!$B:$B,0)),"")</f>
        <v/>
      </c>
      <c r="H101" t="str">
        <f t="array" ref="H101">IFERROR(INDEX('Day Range Raw Data'!H:H,Match($A101,'Day Range Raw Data'!$B:$B,0)),"")</f>
        <v/>
      </c>
      <c r="I101" t="str">
        <f t="array" ref="I101">IFERROR(INDEX('Day Range Raw Data'!M:M,Match($A101,'Day Range Raw Data'!$B:$B,0)),"")</f>
        <v/>
      </c>
      <c r="J101" t="str">
        <f t="array" ref="J101">IFERROR(INDEX('Day Range Raw Data'!N:N,Match($A101,'Day Range Raw Data'!$B:$B,0)),"")</f>
        <v/>
      </c>
      <c r="K101" t="str">
        <f t="array" ref="K101">IFERROR(INDEX('Day Range Raw Data'!R:R,Match($A101,'Day Range Raw Data'!$B:$B,0)),"")</f>
        <v/>
      </c>
      <c r="L101" t="str">
        <f t="array" ref="L101">IFERROR(INDEX('Day Range Raw Data'!S:S,Match($A101,'Day Range Raw Data'!$B:$B,0)),"")</f>
        <v/>
      </c>
      <c r="M101" t="str">
        <f t="array" ref="M101">IFERROR(INDEX('Day Range Raw Data'!T:T,Match($A101,'Day Range Raw Data'!$B:$B,0)),"")</f>
        <v/>
      </c>
      <c r="N101" t="str">
        <f t="array" ref="N101">IFERROR(INDEX('Day Range Raw Data'!U:U,Match($A101,'Day Range Raw Data'!$B:$B,0)),"")</f>
        <v/>
      </c>
      <c r="O101" t="str">
        <f t="array" ref="O101">IFERROR(INDEX('Day Range Raw Data'!V:V,Match($A101,'Day Range Raw Data'!$B:$B,0)),"")</f>
        <v/>
      </c>
      <c r="P101" t="str">
        <f t="array" ref="P101">IFERROR(INDEX('Day Range Raw Data'!X:X,Match($A101,'Day Range Raw Data'!$B:$B,0)),"")</f>
        <v/>
      </c>
      <c r="Q101" t="str">
        <f t="shared" si="1"/>
        <v/>
      </c>
      <c r="R101" s="9" t="str">
        <f t="shared" si="2"/>
        <v/>
      </c>
      <c r="S101" s="14" t="str">
        <f t="shared" si="3"/>
        <v/>
      </c>
      <c r="T101" s="15" t="str">
        <f>IFERROR(__xludf.DUMMYFUNCTION("IF($A101="""","""",IFERROR(PERCENTRANK.INC(FILTER(Q:Q,$F:$F&lt;&gt;""""),Q101)*100,""""))"),"")</f>
        <v/>
      </c>
      <c r="U101" s="15" t="str">
        <f>IFERROR(__xludf.DUMMYFUNCTION("IF($A101="""","""",IFERROR(PERCENTRANK.INC(FILTER(R:R,$F:$F&lt;&gt;""""),R101)*100,""""))"),"")</f>
        <v/>
      </c>
      <c r="V101" s="15" t="str">
        <f>IFERROR(__xludf.DUMMYFUNCTION("IF($A101="""","""",IFERROR(PERCENTRANK.INC(FILTER(S:S,$F:$F&lt;&gt;""""),S101)*100,""""))"),"")</f>
        <v/>
      </c>
      <c r="W101" s="15" t="str">
        <f t="shared" si="4"/>
        <v/>
      </c>
    </row>
    <row r="102">
      <c r="B102" t="str">
        <f t="array" ref="B102">IFERROR(INDEX('Player Raw Data'!C:C,Match($A102,'Player Raw Data'!$B:$B,0)),"")</f>
        <v/>
      </c>
      <c r="C102" t="str">
        <f t="array" ref="C102">IFERROR(INDEX('Player Raw Data'!D:D,Match($A102,'Player Raw Data'!$B:$B,0)),"")</f>
        <v/>
      </c>
      <c r="D102" t="str">
        <f t="array" ref="D102">IFERROR(IF(A102=A101, INDEX('Player Raw Data'!E:E,Match($A102,'Player Raw Data'!$B:$B,0)+2),INDEX('Player Raw Data'!E:E,Match($A102,'Player Raw Data'!$B:$B,0))),"")</f>
        <v/>
      </c>
      <c r="E102" t="str">
        <f t="array" ref="E102">IFERROR(INDEX('Day Range Raw Data'!D:D,Match($A102,'Day Range Raw Data'!$B:$B,0)),"")</f>
        <v/>
      </c>
      <c r="F102" t="str">
        <f t="array" ref="F102">IFERROR(INDEX('Day Range Raw Data'!F:F,Match($A102,'Day Range Raw Data'!$B:$B,0)),"")</f>
        <v/>
      </c>
      <c r="G102" t="str">
        <f t="array" ref="G102">IFERROR(INDEX('Day Range Raw Data'!G:G,Match($A102,'Day Range Raw Data'!$B:$B,0)),"")</f>
        <v/>
      </c>
      <c r="H102" t="str">
        <f t="array" ref="H102">IFERROR(INDEX('Day Range Raw Data'!H:H,Match($A102,'Day Range Raw Data'!$B:$B,0)),"")</f>
        <v/>
      </c>
      <c r="I102" t="str">
        <f t="array" ref="I102">IFERROR(INDEX('Day Range Raw Data'!M:M,Match($A102,'Day Range Raw Data'!$B:$B,0)),"")</f>
        <v/>
      </c>
      <c r="J102" t="str">
        <f t="array" ref="J102">IFERROR(INDEX('Day Range Raw Data'!N:N,Match($A102,'Day Range Raw Data'!$B:$B,0)),"")</f>
        <v/>
      </c>
      <c r="K102" t="str">
        <f t="array" ref="K102">IFERROR(INDEX('Day Range Raw Data'!R:R,Match($A102,'Day Range Raw Data'!$B:$B,0)),"")</f>
        <v/>
      </c>
      <c r="L102" t="str">
        <f t="array" ref="L102">IFERROR(INDEX('Day Range Raw Data'!S:S,Match($A102,'Day Range Raw Data'!$B:$B,0)),"")</f>
        <v/>
      </c>
      <c r="M102" t="str">
        <f t="array" ref="M102">IFERROR(INDEX('Day Range Raw Data'!T:T,Match($A102,'Day Range Raw Data'!$B:$B,0)),"")</f>
        <v/>
      </c>
      <c r="N102" t="str">
        <f t="array" ref="N102">IFERROR(INDEX('Day Range Raw Data'!U:U,Match($A102,'Day Range Raw Data'!$B:$B,0)),"")</f>
        <v/>
      </c>
      <c r="O102" t="str">
        <f t="array" ref="O102">IFERROR(INDEX('Day Range Raw Data'!V:V,Match($A102,'Day Range Raw Data'!$B:$B,0)),"")</f>
        <v/>
      </c>
      <c r="P102" t="str">
        <f t="array" ref="P102">IFERROR(INDEX('Day Range Raw Data'!X:X,Match($A102,'Day Range Raw Data'!$B:$B,0)),"")</f>
        <v/>
      </c>
      <c r="Q102" t="str">
        <f t="shared" si="1"/>
        <v/>
      </c>
      <c r="R102" s="9" t="str">
        <f t="shared" si="2"/>
        <v/>
      </c>
      <c r="S102" s="14" t="str">
        <f t="shared" si="3"/>
        <v/>
      </c>
      <c r="T102" s="15" t="str">
        <f>IFERROR(__xludf.DUMMYFUNCTION("IF($A102="""","""",IFERROR(PERCENTRANK.INC(FILTER(Q:Q,$F:$F&lt;&gt;""""),Q102)*100,""""))"),"")</f>
        <v/>
      </c>
      <c r="U102" s="15" t="str">
        <f>IFERROR(__xludf.DUMMYFUNCTION("IF($A102="""","""",IFERROR(PERCENTRANK.INC(FILTER(R:R,$F:$F&lt;&gt;""""),R102)*100,""""))"),"")</f>
        <v/>
      </c>
      <c r="V102" s="15" t="str">
        <f>IFERROR(__xludf.DUMMYFUNCTION("IF($A102="""","""",IFERROR(PERCENTRANK.INC(FILTER(S:S,$F:$F&lt;&gt;""""),S102)*100,""""))"),"")</f>
        <v/>
      </c>
      <c r="W102" s="15" t="str">
        <f t="shared" si="4"/>
        <v/>
      </c>
    </row>
    <row r="103">
      <c r="B103" t="str">
        <f t="array" ref="B103">IFERROR(INDEX('Player Raw Data'!C:C,Match($A103,'Player Raw Data'!$B:$B,0)),"")</f>
        <v/>
      </c>
      <c r="C103" t="str">
        <f t="array" ref="C103">IFERROR(INDEX('Player Raw Data'!D:D,Match($A103,'Player Raw Data'!$B:$B,0)),"")</f>
        <v/>
      </c>
      <c r="D103" t="str">
        <f t="array" ref="D103">IFERROR(IF(A103=A102, INDEX('Player Raw Data'!E:E,Match($A103,'Player Raw Data'!$B:$B,0)+2),INDEX('Player Raw Data'!E:E,Match($A103,'Player Raw Data'!$B:$B,0))),"")</f>
        <v/>
      </c>
      <c r="E103" t="str">
        <f t="array" ref="E103">IFERROR(INDEX('Day Range Raw Data'!D:D,Match($A103,'Day Range Raw Data'!$B:$B,0)),"")</f>
        <v/>
      </c>
      <c r="F103" t="str">
        <f t="array" ref="F103">IFERROR(INDEX('Day Range Raw Data'!F:F,Match($A103,'Day Range Raw Data'!$B:$B,0)),"")</f>
        <v/>
      </c>
      <c r="G103" t="str">
        <f t="array" ref="G103">IFERROR(INDEX('Day Range Raw Data'!G:G,Match($A103,'Day Range Raw Data'!$B:$B,0)),"")</f>
        <v/>
      </c>
      <c r="H103" t="str">
        <f t="array" ref="H103">IFERROR(INDEX('Day Range Raw Data'!H:H,Match($A103,'Day Range Raw Data'!$B:$B,0)),"")</f>
        <v/>
      </c>
      <c r="I103" t="str">
        <f t="array" ref="I103">IFERROR(INDEX('Day Range Raw Data'!M:M,Match($A103,'Day Range Raw Data'!$B:$B,0)),"")</f>
        <v/>
      </c>
      <c r="J103" t="str">
        <f t="array" ref="J103">IFERROR(INDEX('Day Range Raw Data'!N:N,Match($A103,'Day Range Raw Data'!$B:$B,0)),"")</f>
        <v/>
      </c>
      <c r="K103" t="str">
        <f t="array" ref="K103">IFERROR(INDEX('Day Range Raw Data'!R:R,Match($A103,'Day Range Raw Data'!$B:$B,0)),"")</f>
        <v/>
      </c>
      <c r="L103" t="str">
        <f t="array" ref="L103">IFERROR(INDEX('Day Range Raw Data'!S:S,Match($A103,'Day Range Raw Data'!$B:$B,0)),"")</f>
        <v/>
      </c>
      <c r="M103" t="str">
        <f t="array" ref="M103">IFERROR(INDEX('Day Range Raw Data'!T:T,Match($A103,'Day Range Raw Data'!$B:$B,0)),"")</f>
        <v/>
      </c>
      <c r="N103" t="str">
        <f t="array" ref="N103">IFERROR(INDEX('Day Range Raw Data'!U:U,Match($A103,'Day Range Raw Data'!$B:$B,0)),"")</f>
        <v/>
      </c>
      <c r="O103" t="str">
        <f t="array" ref="O103">IFERROR(INDEX('Day Range Raw Data'!V:V,Match($A103,'Day Range Raw Data'!$B:$B,0)),"")</f>
        <v/>
      </c>
      <c r="P103" t="str">
        <f t="array" ref="P103">IFERROR(INDEX('Day Range Raw Data'!X:X,Match($A103,'Day Range Raw Data'!$B:$B,0)),"")</f>
        <v/>
      </c>
      <c r="Q103" t="str">
        <f t="shared" si="1"/>
        <v/>
      </c>
      <c r="R103" s="9" t="str">
        <f t="shared" si="2"/>
        <v/>
      </c>
      <c r="S103" s="14" t="str">
        <f t="shared" si="3"/>
        <v/>
      </c>
      <c r="T103" s="15" t="str">
        <f>IFERROR(__xludf.DUMMYFUNCTION("IF($A103="""","""",IFERROR(PERCENTRANK.INC(FILTER(Q:Q,$F:$F&lt;&gt;""""),Q103)*100,""""))"),"")</f>
        <v/>
      </c>
      <c r="U103" s="15" t="str">
        <f>IFERROR(__xludf.DUMMYFUNCTION("IF($A103="""","""",IFERROR(PERCENTRANK.INC(FILTER(R:R,$F:$F&lt;&gt;""""),R103)*100,""""))"),"")</f>
        <v/>
      </c>
      <c r="V103" s="15" t="str">
        <f>IFERROR(__xludf.DUMMYFUNCTION("IF($A103="""","""",IFERROR(PERCENTRANK.INC(FILTER(S:S,$F:$F&lt;&gt;""""),S103)*100,""""))"),"")</f>
        <v/>
      </c>
      <c r="W103" s="15" t="str">
        <f t="shared" si="4"/>
        <v/>
      </c>
    </row>
    <row r="104">
      <c r="B104" t="str">
        <f t="array" ref="B104">IFERROR(INDEX('Player Raw Data'!C:C,Match($A104,'Player Raw Data'!$B:$B,0)),"")</f>
        <v/>
      </c>
      <c r="C104" t="str">
        <f t="array" ref="C104">IFERROR(INDEX('Player Raw Data'!D:D,Match($A104,'Player Raw Data'!$B:$B,0)),"")</f>
        <v/>
      </c>
      <c r="D104" t="str">
        <f t="array" ref="D104">IFERROR(IF(A104=A103, INDEX('Player Raw Data'!E:E,Match($A104,'Player Raw Data'!$B:$B,0)+2),INDEX('Player Raw Data'!E:E,Match($A104,'Player Raw Data'!$B:$B,0))),"")</f>
        <v/>
      </c>
      <c r="E104" t="str">
        <f t="array" ref="E104">IFERROR(INDEX('Day Range Raw Data'!D:D,Match($A104,'Day Range Raw Data'!$B:$B,0)),"")</f>
        <v/>
      </c>
      <c r="F104" t="str">
        <f t="array" ref="F104">IFERROR(INDEX('Day Range Raw Data'!F:F,Match($A104,'Day Range Raw Data'!$B:$B,0)),"")</f>
        <v/>
      </c>
      <c r="G104" t="str">
        <f t="array" ref="G104">IFERROR(INDEX('Day Range Raw Data'!G:G,Match($A104,'Day Range Raw Data'!$B:$B,0)),"")</f>
        <v/>
      </c>
      <c r="H104" t="str">
        <f t="array" ref="H104">IFERROR(INDEX('Day Range Raw Data'!H:H,Match($A104,'Day Range Raw Data'!$B:$B,0)),"")</f>
        <v/>
      </c>
      <c r="I104" t="str">
        <f t="array" ref="I104">IFERROR(INDEX('Day Range Raw Data'!M:M,Match($A104,'Day Range Raw Data'!$B:$B,0)),"")</f>
        <v/>
      </c>
      <c r="J104" t="str">
        <f t="array" ref="J104">IFERROR(INDEX('Day Range Raw Data'!N:N,Match($A104,'Day Range Raw Data'!$B:$B,0)),"")</f>
        <v/>
      </c>
      <c r="K104" t="str">
        <f t="array" ref="K104">IFERROR(INDEX('Day Range Raw Data'!R:R,Match($A104,'Day Range Raw Data'!$B:$B,0)),"")</f>
        <v/>
      </c>
      <c r="L104" t="str">
        <f t="array" ref="L104">IFERROR(INDEX('Day Range Raw Data'!S:S,Match($A104,'Day Range Raw Data'!$B:$B,0)),"")</f>
        <v/>
      </c>
      <c r="M104" t="str">
        <f t="array" ref="M104">IFERROR(INDEX('Day Range Raw Data'!T:T,Match($A104,'Day Range Raw Data'!$B:$B,0)),"")</f>
        <v/>
      </c>
      <c r="N104" t="str">
        <f t="array" ref="N104">IFERROR(INDEX('Day Range Raw Data'!U:U,Match($A104,'Day Range Raw Data'!$B:$B,0)),"")</f>
        <v/>
      </c>
      <c r="O104" t="str">
        <f t="array" ref="O104">IFERROR(INDEX('Day Range Raw Data'!V:V,Match($A104,'Day Range Raw Data'!$B:$B,0)),"")</f>
        <v/>
      </c>
      <c r="P104" t="str">
        <f t="array" ref="P104">IFERROR(INDEX('Day Range Raw Data'!X:X,Match($A104,'Day Range Raw Data'!$B:$B,0)),"")</f>
        <v/>
      </c>
      <c r="Q104" t="str">
        <f t="shared" si="1"/>
        <v/>
      </c>
      <c r="R104" s="9" t="str">
        <f t="shared" si="2"/>
        <v/>
      </c>
      <c r="S104" s="14" t="str">
        <f t="shared" si="3"/>
        <v/>
      </c>
      <c r="T104" s="15" t="str">
        <f>IFERROR(__xludf.DUMMYFUNCTION("IF($A104="""","""",IFERROR(PERCENTRANK.INC(FILTER(Q:Q,$F:$F&lt;&gt;""""),Q104)*100,""""))"),"")</f>
        <v/>
      </c>
      <c r="U104" s="15" t="str">
        <f>IFERROR(__xludf.DUMMYFUNCTION("IF($A104="""","""",IFERROR(PERCENTRANK.INC(FILTER(R:R,$F:$F&lt;&gt;""""),R104)*100,""""))"),"")</f>
        <v/>
      </c>
      <c r="V104" s="15" t="str">
        <f>IFERROR(__xludf.DUMMYFUNCTION("IF($A104="""","""",IFERROR(PERCENTRANK.INC(FILTER(S:S,$F:$F&lt;&gt;""""),S104)*100,""""))"),"")</f>
        <v/>
      </c>
      <c r="W104" s="15" t="str">
        <f t="shared" si="4"/>
        <v/>
      </c>
    </row>
    <row r="105">
      <c r="B105" t="str">
        <f t="array" ref="B105">IFERROR(INDEX('Player Raw Data'!C:C,Match($A105,'Player Raw Data'!$B:$B,0)),"")</f>
        <v/>
      </c>
      <c r="C105" t="str">
        <f t="array" ref="C105">IFERROR(INDEX('Player Raw Data'!D:D,Match($A105,'Player Raw Data'!$B:$B,0)),"")</f>
        <v/>
      </c>
      <c r="D105" t="str">
        <f t="array" ref="D105">IFERROR(IF(A105=A104, INDEX('Player Raw Data'!E:E,Match($A105,'Player Raw Data'!$B:$B,0)+2),INDEX('Player Raw Data'!E:E,Match($A105,'Player Raw Data'!$B:$B,0))),"")</f>
        <v/>
      </c>
      <c r="E105" t="str">
        <f t="array" ref="E105">IFERROR(INDEX('Day Range Raw Data'!D:D,Match($A105,'Day Range Raw Data'!$B:$B,0)),"")</f>
        <v/>
      </c>
      <c r="F105" t="str">
        <f t="array" ref="F105">IFERROR(INDEX('Day Range Raw Data'!F:F,Match($A105,'Day Range Raw Data'!$B:$B,0)),"")</f>
        <v/>
      </c>
      <c r="G105" t="str">
        <f t="array" ref="G105">IFERROR(INDEX('Day Range Raw Data'!G:G,Match($A105,'Day Range Raw Data'!$B:$B,0)),"")</f>
        <v/>
      </c>
      <c r="H105" t="str">
        <f t="array" ref="H105">IFERROR(INDEX('Day Range Raw Data'!H:H,Match($A105,'Day Range Raw Data'!$B:$B,0)),"")</f>
        <v/>
      </c>
      <c r="I105" t="str">
        <f t="array" ref="I105">IFERROR(INDEX('Day Range Raw Data'!M:M,Match($A105,'Day Range Raw Data'!$B:$B,0)),"")</f>
        <v/>
      </c>
      <c r="J105" t="str">
        <f t="array" ref="J105">IFERROR(INDEX('Day Range Raw Data'!N:N,Match($A105,'Day Range Raw Data'!$B:$B,0)),"")</f>
        <v/>
      </c>
      <c r="K105" t="str">
        <f t="array" ref="K105">IFERROR(INDEX('Day Range Raw Data'!R:R,Match($A105,'Day Range Raw Data'!$B:$B,0)),"")</f>
        <v/>
      </c>
      <c r="L105" t="str">
        <f t="array" ref="L105">IFERROR(INDEX('Day Range Raw Data'!S:S,Match($A105,'Day Range Raw Data'!$B:$B,0)),"")</f>
        <v/>
      </c>
      <c r="M105" t="str">
        <f t="array" ref="M105">IFERROR(INDEX('Day Range Raw Data'!T:T,Match($A105,'Day Range Raw Data'!$B:$B,0)),"")</f>
        <v/>
      </c>
      <c r="N105" t="str">
        <f t="array" ref="N105">IFERROR(INDEX('Day Range Raw Data'!U:U,Match($A105,'Day Range Raw Data'!$B:$B,0)),"")</f>
        <v/>
      </c>
      <c r="O105" t="str">
        <f t="array" ref="O105">IFERROR(INDEX('Day Range Raw Data'!V:V,Match($A105,'Day Range Raw Data'!$B:$B,0)),"")</f>
        <v/>
      </c>
      <c r="P105" t="str">
        <f t="array" ref="P105">IFERROR(INDEX('Day Range Raw Data'!X:X,Match($A105,'Day Range Raw Data'!$B:$B,0)),"")</f>
        <v/>
      </c>
      <c r="Q105" t="str">
        <f t="shared" si="1"/>
        <v/>
      </c>
      <c r="R105" s="9" t="str">
        <f t="shared" si="2"/>
        <v/>
      </c>
      <c r="S105" s="14" t="str">
        <f t="shared" si="3"/>
        <v/>
      </c>
      <c r="T105" s="15" t="str">
        <f>IFERROR(__xludf.DUMMYFUNCTION("IF($A105="""","""",IFERROR(PERCENTRANK.INC(FILTER(Q:Q,$F:$F&lt;&gt;""""),Q105)*100,""""))"),"")</f>
        <v/>
      </c>
      <c r="U105" s="15" t="str">
        <f>IFERROR(__xludf.DUMMYFUNCTION("IF($A105="""","""",IFERROR(PERCENTRANK.INC(FILTER(R:R,$F:$F&lt;&gt;""""),R105)*100,""""))"),"")</f>
        <v/>
      </c>
      <c r="V105" s="15" t="str">
        <f>IFERROR(__xludf.DUMMYFUNCTION("IF($A105="""","""",IFERROR(PERCENTRANK.INC(FILTER(S:S,$F:$F&lt;&gt;""""),S105)*100,""""))"),"")</f>
        <v/>
      </c>
      <c r="W105" s="15" t="str">
        <f t="shared" si="4"/>
        <v/>
      </c>
    </row>
    <row r="106">
      <c r="B106" t="str">
        <f t="array" ref="B106">IFERROR(INDEX('Player Raw Data'!C:C,Match($A106,'Player Raw Data'!$B:$B,0)),"")</f>
        <v/>
      </c>
      <c r="C106" t="str">
        <f t="array" ref="C106">IFERROR(INDEX('Player Raw Data'!D:D,Match($A106,'Player Raw Data'!$B:$B,0)),"")</f>
        <v/>
      </c>
      <c r="D106" t="str">
        <f t="array" ref="D106">IFERROR(IF(A106=A105, INDEX('Player Raw Data'!E:E,Match($A106,'Player Raw Data'!$B:$B,0)+2),INDEX('Player Raw Data'!E:E,Match($A106,'Player Raw Data'!$B:$B,0))),"")</f>
        <v/>
      </c>
      <c r="E106" t="str">
        <f t="array" ref="E106">IFERROR(INDEX('Day Range Raw Data'!D:D,Match($A106,'Day Range Raw Data'!$B:$B,0)),"")</f>
        <v/>
      </c>
      <c r="F106" t="str">
        <f t="array" ref="F106">IFERROR(INDEX('Day Range Raw Data'!F:F,Match($A106,'Day Range Raw Data'!$B:$B,0)),"")</f>
        <v/>
      </c>
      <c r="G106" t="str">
        <f t="array" ref="G106">IFERROR(INDEX('Day Range Raw Data'!G:G,Match($A106,'Day Range Raw Data'!$B:$B,0)),"")</f>
        <v/>
      </c>
      <c r="H106" t="str">
        <f t="array" ref="H106">IFERROR(INDEX('Day Range Raw Data'!H:H,Match($A106,'Day Range Raw Data'!$B:$B,0)),"")</f>
        <v/>
      </c>
      <c r="I106" t="str">
        <f t="array" ref="I106">IFERROR(INDEX('Day Range Raw Data'!M:M,Match($A106,'Day Range Raw Data'!$B:$B,0)),"")</f>
        <v/>
      </c>
      <c r="J106" t="str">
        <f t="array" ref="J106">IFERROR(INDEX('Day Range Raw Data'!N:N,Match($A106,'Day Range Raw Data'!$B:$B,0)),"")</f>
        <v/>
      </c>
      <c r="K106" t="str">
        <f t="array" ref="K106">IFERROR(INDEX('Day Range Raw Data'!R:R,Match($A106,'Day Range Raw Data'!$B:$B,0)),"")</f>
        <v/>
      </c>
      <c r="L106" t="str">
        <f t="array" ref="L106">IFERROR(INDEX('Day Range Raw Data'!S:S,Match($A106,'Day Range Raw Data'!$B:$B,0)),"")</f>
        <v/>
      </c>
      <c r="M106" t="str">
        <f t="array" ref="M106">IFERROR(INDEX('Day Range Raw Data'!T:T,Match($A106,'Day Range Raw Data'!$B:$B,0)),"")</f>
        <v/>
      </c>
      <c r="N106" t="str">
        <f t="array" ref="N106">IFERROR(INDEX('Day Range Raw Data'!U:U,Match($A106,'Day Range Raw Data'!$B:$B,0)),"")</f>
        <v/>
      </c>
      <c r="O106" t="str">
        <f t="array" ref="O106">IFERROR(INDEX('Day Range Raw Data'!V:V,Match($A106,'Day Range Raw Data'!$B:$B,0)),"")</f>
        <v/>
      </c>
      <c r="P106" t="str">
        <f t="array" ref="P106">IFERROR(INDEX('Day Range Raw Data'!X:X,Match($A106,'Day Range Raw Data'!$B:$B,0)),"")</f>
        <v/>
      </c>
      <c r="Q106" t="str">
        <f t="shared" si="1"/>
        <v/>
      </c>
      <c r="R106" s="9" t="str">
        <f t="shared" si="2"/>
        <v/>
      </c>
      <c r="S106" s="14" t="str">
        <f t="shared" si="3"/>
        <v/>
      </c>
      <c r="T106" s="15" t="str">
        <f>IFERROR(__xludf.DUMMYFUNCTION("IF($A106="""","""",IFERROR(PERCENTRANK.INC(FILTER(Q:Q,$F:$F&lt;&gt;""""),Q106)*100,""""))"),"")</f>
        <v/>
      </c>
      <c r="U106" s="15" t="str">
        <f>IFERROR(__xludf.DUMMYFUNCTION("IF($A106="""","""",IFERROR(PERCENTRANK.INC(FILTER(R:R,$F:$F&lt;&gt;""""),R106)*100,""""))"),"")</f>
        <v/>
      </c>
      <c r="V106" s="15" t="str">
        <f>IFERROR(__xludf.DUMMYFUNCTION("IF($A106="""","""",IFERROR(PERCENTRANK.INC(FILTER(S:S,$F:$F&lt;&gt;""""),S106)*100,""""))"),"")</f>
        <v/>
      </c>
      <c r="W106" s="15" t="str">
        <f t="shared" si="4"/>
        <v/>
      </c>
    </row>
    <row r="107">
      <c r="B107" t="str">
        <f t="array" ref="B107">IFERROR(INDEX('Player Raw Data'!C:C,Match($A107,'Player Raw Data'!$B:$B,0)),"")</f>
        <v/>
      </c>
      <c r="C107" t="str">
        <f t="array" ref="C107">IFERROR(INDEX('Player Raw Data'!D:D,Match($A107,'Player Raw Data'!$B:$B,0)),"")</f>
        <v/>
      </c>
      <c r="D107" t="str">
        <f t="array" ref="D107">IFERROR(IF(A107=A106, INDEX('Player Raw Data'!E:E,Match($A107,'Player Raw Data'!$B:$B,0)+2),INDEX('Player Raw Data'!E:E,Match($A107,'Player Raw Data'!$B:$B,0))),"")</f>
        <v/>
      </c>
      <c r="E107" t="str">
        <f t="array" ref="E107">IFERROR(INDEX('Day Range Raw Data'!D:D,Match($A107,'Day Range Raw Data'!$B:$B,0)),"")</f>
        <v/>
      </c>
      <c r="F107" t="str">
        <f t="array" ref="F107">IFERROR(INDEX('Day Range Raw Data'!F:F,Match($A107,'Day Range Raw Data'!$B:$B,0)),"")</f>
        <v/>
      </c>
      <c r="G107" t="str">
        <f t="array" ref="G107">IFERROR(INDEX('Day Range Raw Data'!G:G,Match($A107,'Day Range Raw Data'!$B:$B,0)),"")</f>
        <v/>
      </c>
      <c r="H107" t="str">
        <f t="array" ref="H107">IFERROR(INDEX('Day Range Raw Data'!H:H,Match($A107,'Day Range Raw Data'!$B:$B,0)),"")</f>
        <v/>
      </c>
      <c r="I107" t="str">
        <f t="array" ref="I107">IFERROR(INDEX('Day Range Raw Data'!M:M,Match($A107,'Day Range Raw Data'!$B:$B,0)),"")</f>
        <v/>
      </c>
      <c r="J107" t="str">
        <f t="array" ref="J107">IFERROR(INDEX('Day Range Raw Data'!N:N,Match($A107,'Day Range Raw Data'!$B:$B,0)),"")</f>
        <v/>
      </c>
      <c r="K107" t="str">
        <f t="array" ref="K107">IFERROR(INDEX('Day Range Raw Data'!R:R,Match($A107,'Day Range Raw Data'!$B:$B,0)),"")</f>
        <v/>
      </c>
      <c r="L107" t="str">
        <f t="array" ref="L107">IFERROR(INDEX('Day Range Raw Data'!S:S,Match($A107,'Day Range Raw Data'!$B:$B,0)),"")</f>
        <v/>
      </c>
      <c r="M107" t="str">
        <f t="array" ref="M107">IFERROR(INDEX('Day Range Raw Data'!T:T,Match($A107,'Day Range Raw Data'!$B:$B,0)),"")</f>
        <v/>
      </c>
      <c r="N107" t="str">
        <f t="array" ref="N107">IFERROR(INDEX('Day Range Raw Data'!U:U,Match($A107,'Day Range Raw Data'!$B:$B,0)),"")</f>
        <v/>
      </c>
      <c r="O107" t="str">
        <f t="array" ref="O107">IFERROR(INDEX('Day Range Raw Data'!V:V,Match($A107,'Day Range Raw Data'!$B:$B,0)),"")</f>
        <v/>
      </c>
      <c r="P107" t="str">
        <f t="array" ref="P107">IFERROR(INDEX('Day Range Raw Data'!X:X,Match($A107,'Day Range Raw Data'!$B:$B,0)),"")</f>
        <v/>
      </c>
      <c r="Q107" t="str">
        <f t="shared" si="1"/>
        <v/>
      </c>
      <c r="R107" s="9" t="str">
        <f t="shared" si="2"/>
        <v/>
      </c>
      <c r="S107" s="14" t="str">
        <f t="shared" si="3"/>
        <v/>
      </c>
      <c r="T107" s="15" t="str">
        <f>IFERROR(__xludf.DUMMYFUNCTION("IF($A107="""","""",IFERROR(PERCENTRANK.INC(FILTER(Q:Q,$F:$F&lt;&gt;""""),Q107)*100,""""))"),"")</f>
        <v/>
      </c>
      <c r="U107" s="15" t="str">
        <f>IFERROR(__xludf.DUMMYFUNCTION("IF($A107="""","""",IFERROR(PERCENTRANK.INC(FILTER(R:R,$F:$F&lt;&gt;""""),R107)*100,""""))"),"")</f>
        <v/>
      </c>
      <c r="V107" s="15" t="str">
        <f>IFERROR(__xludf.DUMMYFUNCTION("IF($A107="""","""",IFERROR(PERCENTRANK.INC(FILTER(S:S,$F:$F&lt;&gt;""""),S107)*100,""""))"),"")</f>
        <v/>
      </c>
      <c r="W107" s="15" t="str">
        <f t="shared" si="4"/>
        <v/>
      </c>
    </row>
    <row r="108">
      <c r="B108" t="str">
        <f t="array" ref="B108">IFERROR(INDEX('Player Raw Data'!C:C,Match($A108,'Player Raw Data'!$B:$B,0)),"")</f>
        <v/>
      </c>
      <c r="C108" t="str">
        <f t="array" ref="C108">IFERROR(INDEX('Player Raw Data'!D:D,Match($A108,'Player Raw Data'!$B:$B,0)),"")</f>
        <v/>
      </c>
      <c r="D108" t="str">
        <f t="array" ref="D108">IFERROR(IF(A108=A107, INDEX('Player Raw Data'!E:E,Match($A108,'Player Raw Data'!$B:$B,0)+2),INDEX('Player Raw Data'!E:E,Match($A108,'Player Raw Data'!$B:$B,0))),"")</f>
        <v/>
      </c>
      <c r="E108" t="str">
        <f t="array" ref="E108">IFERROR(INDEX('Day Range Raw Data'!D:D,Match($A108,'Day Range Raw Data'!$B:$B,0)),"")</f>
        <v/>
      </c>
      <c r="F108" t="str">
        <f t="array" ref="F108">IFERROR(INDEX('Day Range Raw Data'!F:F,Match($A108,'Day Range Raw Data'!$B:$B,0)),"")</f>
        <v/>
      </c>
      <c r="G108" t="str">
        <f t="array" ref="G108">IFERROR(INDEX('Day Range Raw Data'!G:G,Match($A108,'Day Range Raw Data'!$B:$B,0)),"")</f>
        <v/>
      </c>
      <c r="H108" t="str">
        <f t="array" ref="H108">IFERROR(INDEX('Day Range Raw Data'!H:H,Match($A108,'Day Range Raw Data'!$B:$B,0)),"")</f>
        <v/>
      </c>
      <c r="I108" t="str">
        <f t="array" ref="I108">IFERROR(INDEX('Day Range Raw Data'!M:M,Match($A108,'Day Range Raw Data'!$B:$B,0)),"")</f>
        <v/>
      </c>
      <c r="J108" t="str">
        <f t="array" ref="J108">IFERROR(INDEX('Day Range Raw Data'!N:N,Match($A108,'Day Range Raw Data'!$B:$B,0)),"")</f>
        <v/>
      </c>
      <c r="K108" t="str">
        <f t="array" ref="K108">IFERROR(INDEX('Day Range Raw Data'!R:R,Match($A108,'Day Range Raw Data'!$B:$B,0)),"")</f>
        <v/>
      </c>
      <c r="L108" t="str">
        <f t="array" ref="L108">IFERROR(INDEX('Day Range Raw Data'!S:S,Match($A108,'Day Range Raw Data'!$B:$B,0)),"")</f>
        <v/>
      </c>
      <c r="M108" t="str">
        <f t="array" ref="M108">IFERROR(INDEX('Day Range Raw Data'!T:T,Match($A108,'Day Range Raw Data'!$B:$B,0)),"")</f>
        <v/>
      </c>
      <c r="N108" t="str">
        <f t="array" ref="N108">IFERROR(INDEX('Day Range Raw Data'!U:U,Match($A108,'Day Range Raw Data'!$B:$B,0)),"")</f>
        <v/>
      </c>
      <c r="O108" t="str">
        <f t="array" ref="O108">IFERROR(INDEX('Day Range Raw Data'!V:V,Match($A108,'Day Range Raw Data'!$B:$B,0)),"")</f>
        <v/>
      </c>
      <c r="P108" t="str">
        <f t="array" ref="P108">IFERROR(INDEX('Day Range Raw Data'!X:X,Match($A108,'Day Range Raw Data'!$B:$B,0)),"")</f>
        <v/>
      </c>
      <c r="Q108" t="str">
        <f t="shared" si="1"/>
        <v/>
      </c>
      <c r="R108" s="9" t="str">
        <f t="shared" si="2"/>
        <v/>
      </c>
      <c r="S108" s="14" t="str">
        <f t="shared" si="3"/>
        <v/>
      </c>
      <c r="T108" s="15" t="str">
        <f>IFERROR(__xludf.DUMMYFUNCTION("IF($A108="""","""",IFERROR(PERCENTRANK.INC(FILTER(Q:Q,$F:$F&lt;&gt;""""),Q108)*100,""""))"),"")</f>
        <v/>
      </c>
      <c r="U108" s="15" t="str">
        <f>IFERROR(__xludf.DUMMYFUNCTION("IF($A108="""","""",IFERROR(PERCENTRANK.INC(FILTER(R:R,$F:$F&lt;&gt;""""),R108)*100,""""))"),"")</f>
        <v/>
      </c>
      <c r="V108" s="15" t="str">
        <f>IFERROR(__xludf.DUMMYFUNCTION("IF($A108="""","""",IFERROR(PERCENTRANK.INC(FILTER(S:S,$F:$F&lt;&gt;""""),S108)*100,""""))"),"")</f>
        <v/>
      </c>
      <c r="W108" s="15" t="str">
        <f t="shared" si="4"/>
        <v/>
      </c>
    </row>
    <row r="109">
      <c r="B109" t="str">
        <f t="array" ref="B109">IFERROR(INDEX('Player Raw Data'!C:C,Match($A109,'Player Raw Data'!$B:$B,0)),"")</f>
        <v/>
      </c>
      <c r="C109" t="str">
        <f t="array" ref="C109">IFERROR(INDEX('Player Raw Data'!D:D,Match($A109,'Player Raw Data'!$B:$B,0)),"")</f>
        <v/>
      </c>
      <c r="D109" t="str">
        <f t="array" ref="D109">IFERROR(IF(A109=A108, INDEX('Player Raw Data'!E:E,Match($A109,'Player Raw Data'!$B:$B,0)+2),INDEX('Player Raw Data'!E:E,Match($A109,'Player Raw Data'!$B:$B,0))),"")</f>
        <v/>
      </c>
      <c r="E109" t="str">
        <f t="array" ref="E109">IFERROR(INDEX('Day Range Raw Data'!D:D,Match($A109,'Day Range Raw Data'!$B:$B,0)),"")</f>
        <v/>
      </c>
      <c r="F109" t="str">
        <f t="array" ref="F109">IFERROR(INDEX('Day Range Raw Data'!F:F,Match($A109,'Day Range Raw Data'!$B:$B,0)),"")</f>
        <v/>
      </c>
      <c r="G109" t="str">
        <f t="array" ref="G109">IFERROR(INDEX('Day Range Raw Data'!G:G,Match($A109,'Day Range Raw Data'!$B:$B,0)),"")</f>
        <v/>
      </c>
      <c r="H109" t="str">
        <f t="array" ref="H109">IFERROR(INDEX('Day Range Raw Data'!H:H,Match($A109,'Day Range Raw Data'!$B:$B,0)),"")</f>
        <v/>
      </c>
      <c r="I109" t="str">
        <f t="array" ref="I109">IFERROR(INDEX('Day Range Raw Data'!M:M,Match($A109,'Day Range Raw Data'!$B:$B,0)),"")</f>
        <v/>
      </c>
      <c r="J109" t="str">
        <f t="array" ref="J109">IFERROR(INDEX('Day Range Raw Data'!N:N,Match($A109,'Day Range Raw Data'!$B:$B,0)),"")</f>
        <v/>
      </c>
      <c r="K109" t="str">
        <f t="array" ref="K109">IFERROR(INDEX('Day Range Raw Data'!R:R,Match($A109,'Day Range Raw Data'!$B:$B,0)),"")</f>
        <v/>
      </c>
      <c r="L109" t="str">
        <f t="array" ref="L109">IFERROR(INDEX('Day Range Raw Data'!S:S,Match($A109,'Day Range Raw Data'!$B:$B,0)),"")</f>
        <v/>
      </c>
      <c r="M109" t="str">
        <f t="array" ref="M109">IFERROR(INDEX('Day Range Raw Data'!T:T,Match($A109,'Day Range Raw Data'!$B:$B,0)),"")</f>
        <v/>
      </c>
      <c r="N109" t="str">
        <f t="array" ref="N109">IFERROR(INDEX('Day Range Raw Data'!U:U,Match($A109,'Day Range Raw Data'!$B:$B,0)),"")</f>
        <v/>
      </c>
      <c r="O109" t="str">
        <f t="array" ref="O109">IFERROR(INDEX('Day Range Raw Data'!V:V,Match($A109,'Day Range Raw Data'!$B:$B,0)),"")</f>
        <v/>
      </c>
      <c r="P109" t="str">
        <f t="array" ref="P109">IFERROR(INDEX('Day Range Raw Data'!X:X,Match($A109,'Day Range Raw Data'!$B:$B,0)),"")</f>
        <v/>
      </c>
      <c r="Q109" t="str">
        <f t="shared" si="1"/>
        <v/>
      </c>
      <c r="R109" s="9" t="str">
        <f t="shared" si="2"/>
        <v/>
      </c>
      <c r="S109" s="14" t="str">
        <f t="shared" si="3"/>
        <v/>
      </c>
      <c r="T109" s="15" t="str">
        <f>IFERROR(__xludf.DUMMYFUNCTION("IF($A109="""","""",IFERROR(PERCENTRANK.INC(FILTER(Q:Q,$F:$F&lt;&gt;""""),Q109)*100,""""))"),"")</f>
        <v/>
      </c>
      <c r="U109" s="15" t="str">
        <f>IFERROR(__xludf.DUMMYFUNCTION("IF($A109="""","""",IFERROR(PERCENTRANK.INC(FILTER(R:R,$F:$F&lt;&gt;""""),R109)*100,""""))"),"")</f>
        <v/>
      </c>
      <c r="V109" s="15" t="str">
        <f>IFERROR(__xludf.DUMMYFUNCTION("IF($A109="""","""",IFERROR(PERCENTRANK.INC(FILTER(S:S,$F:$F&lt;&gt;""""),S109)*100,""""))"),"")</f>
        <v/>
      </c>
      <c r="W109" s="15" t="str">
        <f t="shared" si="4"/>
        <v/>
      </c>
    </row>
    <row r="110">
      <c r="B110" t="str">
        <f t="array" ref="B110">IFERROR(INDEX('Player Raw Data'!C:C,Match($A110,'Player Raw Data'!$B:$B,0)),"")</f>
        <v/>
      </c>
      <c r="C110" t="str">
        <f t="array" ref="C110">IFERROR(INDEX('Player Raw Data'!D:D,Match($A110,'Player Raw Data'!$B:$B,0)),"")</f>
        <v/>
      </c>
      <c r="D110" t="str">
        <f t="array" ref="D110">IFERROR(IF(A110=A109, INDEX('Player Raw Data'!E:E,Match($A110,'Player Raw Data'!$B:$B,0)+2),INDEX('Player Raw Data'!E:E,Match($A110,'Player Raw Data'!$B:$B,0))),"")</f>
        <v/>
      </c>
      <c r="E110" t="str">
        <f t="array" ref="E110">IFERROR(INDEX('Day Range Raw Data'!D:D,Match($A110,'Day Range Raw Data'!$B:$B,0)),"")</f>
        <v/>
      </c>
      <c r="F110" t="str">
        <f t="array" ref="F110">IFERROR(INDEX('Day Range Raw Data'!F:F,Match($A110,'Day Range Raw Data'!$B:$B,0)),"")</f>
        <v/>
      </c>
      <c r="G110" t="str">
        <f t="array" ref="G110">IFERROR(INDEX('Day Range Raw Data'!G:G,Match($A110,'Day Range Raw Data'!$B:$B,0)),"")</f>
        <v/>
      </c>
      <c r="H110" t="str">
        <f t="array" ref="H110">IFERROR(INDEX('Day Range Raw Data'!H:H,Match($A110,'Day Range Raw Data'!$B:$B,0)),"")</f>
        <v/>
      </c>
      <c r="I110" t="str">
        <f t="array" ref="I110">IFERROR(INDEX('Day Range Raw Data'!M:M,Match($A110,'Day Range Raw Data'!$B:$B,0)),"")</f>
        <v/>
      </c>
      <c r="J110" t="str">
        <f t="array" ref="J110">IFERROR(INDEX('Day Range Raw Data'!N:N,Match($A110,'Day Range Raw Data'!$B:$B,0)),"")</f>
        <v/>
      </c>
      <c r="K110" t="str">
        <f t="array" ref="K110">IFERROR(INDEX('Day Range Raw Data'!R:R,Match($A110,'Day Range Raw Data'!$B:$B,0)),"")</f>
        <v/>
      </c>
      <c r="L110" t="str">
        <f t="array" ref="L110">IFERROR(INDEX('Day Range Raw Data'!S:S,Match($A110,'Day Range Raw Data'!$B:$B,0)),"")</f>
        <v/>
      </c>
      <c r="M110" t="str">
        <f t="array" ref="M110">IFERROR(INDEX('Day Range Raw Data'!T:T,Match($A110,'Day Range Raw Data'!$B:$B,0)),"")</f>
        <v/>
      </c>
      <c r="N110" t="str">
        <f t="array" ref="N110">IFERROR(INDEX('Day Range Raw Data'!U:U,Match($A110,'Day Range Raw Data'!$B:$B,0)),"")</f>
        <v/>
      </c>
      <c r="O110" t="str">
        <f t="array" ref="O110">IFERROR(INDEX('Day Range Raw Data'!V:V,Match($A110,'Day Range Raw Data'!$B:$B,0)),"")</f>
        <v/>
      </c>
      <c r="P110" t="str">
        <f t="array" ref="P110">IFERROR(INDEX('Day Range Raw Data'!X:X,Match($A110,'Day Range Raw Data'!$B:$B,0)),"")</f>
        <v/>
      </c>
      <c r="Q110" t="str">
        <f t="shared" si="1"/>
        <v/>
      </c>
      <c r="R110" s="9" t="str">
        <f t="shared" si="2"/>
        <v/>
      </c>
      <c r="S110" s="14" t="str">
        <f t="shared" si="3"/>
        <v/>
      </c>
      <c r="T110" s="15" t="str">
        <f>IFERROR(__xludf.DUMMYFUNCTION("IF($A110="""","""",IFERROR(PERCENTRANK.INC(FILTER(Q:Q,$F:$F&lt;&gt;""""),Q110)*100,""""))"),"")</f>
        <v/>
      </c>
      <c r="U110" s="15" t="str">
        <f>IFERROR(__xludf.DUMMYFUNCTION("IF($A110="""","""",IFERROR(PERCENTRANK.INC(FILTER(R:R,$F:$F&lt;&gt;""""),R110)*100,""""))"),"")</f>
        <v/>
      </c>
      <c r="V110" s="15" t="str">
        <f>IFERROR(__xludf.DUMMYFUNCTION("IF($A110="""","""",IFERROR(PERCENTRANK.INC(FILTER(S:S,$F:$F&lt;&gt;""""),S110)*100,""""))"),"")</f>
        <v/>
      </c>
      <c r="W110" s="15" t="str">
        <f t="shared" si="4"/>
        <v/>
      </c>
    </row>
    <row r="111">
      <c r="B111" t="str">
        <f t="array" ref="B111">IFERROR(INDEX('Player Raw Data'!C:C,Match($A111,'Player Raw Data'!$B:$B,0)),"")</f>
        <v/>
      </c>
      <c r="C111" t="str">
        <f t="array" ref="C111">IFERROR(INDEX('Player Raw Data'!D:D,Match($A111,'Player Raw Data'!$B:$B,0)),"")</f>
        <v/>
      </c>
      <c r="D111" t="str">
        <f t="array" ref="D111">IFERROR(IF(A111=A110, INDEX('Player Raw Data'!E:E,Match($A111,'Player Raw Data'!$B:$B,0)+2),INDEX('Player Raw Data'!E:E,Match($A111,'Player Raw Data'!$B:$B,0))),"")</f>
        <v/>
      </c>
      <c r="E111" t="str">
        <f t="array" ref="E111">IFERROR(INDEX('Day Range Raw Data'!D:D,Match($A111,'Day Range Raw Data'!$B:$B,0)),"")</f>
        <v/>
      </c>
      <c r="F111" t="str">
        <f t="array" ref="F111">IFERROR(INDEX('Day Range Raw Data'!F:F,Match($A111,'Day Range Raw Data'!$B:$B,0)),"")</f>
        <v/>
      </c>
      <c r="G111" t="str">
        <f t="array" ref="G111">IFERROR(INDEX('Day Range Raw Data'!G:G,Match($A111,'Day Range Raw Data'!$B:$B,0)),"")</f>
        <v/>
      </c>
      <c r="H111" t="str">
        <f t="array" ref="H111">IFERROR(INDEX('Day Range Raw Data'!H:H,Match($A111,'Day Range Raw Data'!$B:$B,0)),"")</f>
        <v/>
      </c>
      <c r="I111" t="str">
        <f t="array" ref="I111">IFERROR(INDEX('Day Range Raw Data'!M:M,Match($A111,'Day Range Raw Data'!$B:$B,0)),"")</f>
        <v/>
      </c>
      <c r="J111" t="str">
        <f t="array" ref="J111">IFERROR(INDEX('Day Range Raw Data'!N:N,Match($A111,'Day Range Raw Data'!$B:$B,0)),"")</f>
        <v/>
      </c>
      <c r="K111" t="str">
        <f t="array" ref="K111">IFERROR(INDEX('Day Range Raw Data'!R:R,Match($A111,'Day Range Raw Data'!$B:$B,0)),"")</f>
        <v/>
      </c>
      <c r="L111" t="str">
        <f t="array" ref="L111">IFERROR(INDEX('Day Range Raw Data'!S:S,Match($A111,'Day Range Raw Data'!$B:$B,0)),"")</f>
        <v/>
      </c>
      <c r="M111" t="str">
        <f t="array" ref="M111">IFERROR(INDEX('Day Range Raw Data'!T:T,Match($A111,'Day Range Raw Data'!$B:$B,0)),"")</f>
        <v/>
      </c>
      <c r="N111" t="str">
        <f t="array" ref="N111">IFERROR(INDEX('Day Range Raw Data'!U:U,Match($A111,'Day Range Raw Data'!$B:$B,0)),"")</f>
        <v/>
      </c>
      <c r="O111" t="str">
        <f t="array" ref="O111">IFERROR(INDEX('Day Range Raw Data'!V:V,Match($A111,'Day Range Raw Data'!$B:$B,0)),"")</f>
        <v/>
      </c>
      <c r="P111" t="str">
        <f t="array" ref="P111">IFERROR(INDEX('Day Range Raw Data'!X:X,Match($A111,'Day Range Raw Data'!$B:$B,0)),"")</f>
        <v/>
      </c>
      <c r="Q111" t="str">
        <f t="shared" si="1"/>
        <v/>
      </c>
      <c r="R111" s="9" t="str">
        <f t="shared" si="2"/>
        <v/>
      </c>
      <c r="S111" s="14" t="str">
        <f t="shared" si="3"/>
        <v/>
      </c>
      <c r="T111" s="15" t="str">
        <f>IFERROR(__xludf.DUMMYFUNCTION("IF($A111="""","""",IFERROR(PERCENTRANK.INC(FILTER(Q:Q,$F:$F&lt;&gt;""""),Q111)*100,""""))"),"")</f>
        <v/>
      </c>
      <c r="U111" s="15" t="str">
        <f>IFERROR(__xludf.DUMMYFUNCTION("IF($A111="""","""",IFERROR(PERCENTRANK.INC(FILTER(R:R,$F:$F&lt;&gt;""""),R111)*100,""""))"),"")</f>
        <v/>
      </c>
      <c r="V111" s="15" t="str">
        <f>IFERROR(__xludf.DUMMYFUNCTION("IF($A111="""","""",IFERROR(PERCENTRANK.INC(FILTER(S:S,$F:$F&lt;&gt;""""),S111)*100,""""))"),"")</f>
        <v/>
      </c>
      <c r="W111" s="15" t="str">
        <f t="shared" si="4"/>
        <v/>
      </c>
    </row>
    <row r="112">
      <c r="B112" t="str">
        <f t="array" ref="B112">IFERROR(INDEX('Player Raw Data'!C:C,Match($A112,'Player Raw Data'!$B:$B,0)),"")</f>
        <v/>
      </c>
      <c r="C112" t="str">
        <f t="array" ref="C112">IFERROR(INDEX('Player Raw Data'!D:D,Match($A112,'Player Raw Data'!$B:$B,0)),"")</f>
        <v/>
      </c>
      <c r="D112" t="str">
        <f t="array" ref="D112">IFERROR(IF(A112=A111, INDEX('Player Raw Data'!E:E,Match($A112,'Player Raw Data'!$B:$B,0)+2),INDEX('Player Raw Data'!E:E,Match($A112,'Player Raw Data'!$B:$B,0))),"")</f>
        <v/>
      </c>
      <c r="E112" t="str">
        <f t="array" ref="E112">IFERROR(INDEX('Day Range Raw Data'!D:D,Match($A112,'Day Range Raw Data'!$B:$B,0)),"")</f>
        <v/>
      </c>
      <c r="F112" t="str">
        <f t="array" ref="F112">IFERROR(INDEX('Day Range Raw Data'!F:F,Match($A112,'Day Range Raw Data'!$B:$B,0)),"")</f>
        <v/>
      </c>
      <c r="G112" t="str">
        <f t="array" ref="G112">IFERROR(INDEX('Day Range Raw Data'!G:G,Match($A112,'Day Range Raw Data'!$B:$B,0)),"")</f>
        <v/>
      </c>
      <c r="H112" t="str">
        <f t="array" ref="H112">IFERROR(INDEX('Day Range Raw Data'!H:H,Match($A112,'Day Range Raw Data'!$B:$B,0)),"")</f>
        <v/>
      </c>
      <c r="I112" t="str">
        <f t="array" ref="I112">IFERROR(INDEX('Day Range Raw Data'!M:M,Match($A112,'Day Range Raw Data'!$B:$B,0)),"")</f>
        <v/>
      </c>
      <c r="J112" t="str">
        <f t="array" ref="J112">IFERROR(INDEX('Day Range Raw Data'!N:N,Match($A112,'Day Range Raw Data'!$B:$B,0)),"")</f>
        <v/>
      </c>
      <c r="K112" t="str">
        <f t="array" ref="K112">IFERROR(INDEX('Day Range Raw Data'!R:R,Match($A112,'Day Range Raw Data'!$B:$B,0)),"")</f>
        <v/>
      </c>
      <c r="L112" t="str">
        <f t="array" ref="L112">IFERROR(INDEX('Day Range Raw Data'!S:S,Match($A112,'Day Range Raw Data'!$B:$B,0)),"")</f>
        <v/>
      </c>
      <c r="M112" t="str">
        <f t="array" ref="M112">IFERROR(INDEX('Day Range Raw Data'!T:T,Match($A112,'Day Range Raw Data'!$B:$B,0)),"")</f>
        <v/>
      </c>
      <c r="N112" t="str">
        <f t="array" ref="N112">IFERROR(INDEX('Day Range Raw Data'!U:U,Match($A112,'Day Range Raw Data'!$B:$B,0)),"")</f>
        <v/>
      </c>
      <c r="O112" t="str">
        <f t="array" ref="O112">IFERROR(INDEX('Day Range Raw Data'!V:V,Match($A112,'Day Range Raw Data'!$B:$B,0)),"")</f>
        <v/>
      </c>
      <c r="P112" t="str">
        <f t="array" ref="P112">IFERROR(INDEX('Day Range Raw Data'!X:X,Match($A112,'Day Range Raw Data'!$B:$B,0)),"")</f>
        <v/>
      </c>
      <c r="Q112" t="str">
        <f t="shared" si="1"/>
        <v/>
      </c>
      <c r="R112" s="9" t="str">
        <f t="shared" si="2"/>
        <v/>
      </c>
      <c r="S112" s="14" t="str">
        <f t="shared" si="3"/>
        <v/>
      </c>
      <c r="T112" s="15" t="str">
        <f>IFERROR(__xludf.DUMMYFUNCTION("IF($A112="""","""",IFERROR(PERCENTRANK.INC(FILTER(Q:Q,$F:$F&lt;&gt;""""),Q112)*100,""""))"),"")</f>
        <v/>
      </c>
      <c r="U112" s="15" t="str">
        <f>IFERROR(__xludf.DUMMYFUNCTION("IF($A112="""","""",IFERROR(PERCENTRANK.INC(FILTER(R:R,$F:$F&lt;&gt;""""),R112)*100,""""))"),"")</f>
        <v/>
      </c>
      <c r="V112" s="15" t="str">
        <f>IFERROR(__xludf.DUMMYFUNCTION("IF($A112="""","""",IFERROR(PERCENTRANK.INC(FILTER(S:S,$F:$F&lt;&gt;""""),S112)*100,""""))"),"")</f>
        <v/>
      </c>
      <c r="W112" s="15" t="str">
        <f t="shared" si="4"/>
        <v/>
      </c>
    </row>
    <row r="113">
      <c r="B113" t="str">
        <f t="array" ref="B113">IFERROR(INDEX('Player Raw Data'!C:C,Match($A113,'Player Raw Data'!$B:$B,0)),"")</f>
        <v/>
      </c>
      <c r="C113" t="str">
        <f t="array" ref="C113">IFERROR(INDEX('Player Raw Data'!D:D,Match($A113,'Player Raw Data'!$B:$B,0)),"")</f>
        <v/>
      </c>
      <c r="D113" t="str">
        <f t="array" ref="D113">IFERROR(IF(A113=A112, INDEX('Player Raw Data'!E:E,Match($A113,'Player Raw Data'!$B:$B,0)+2),INDEX('Player Raw Data'!E:E,Match($A113,'Player Raw Data'!$B:$B,0))),"")</f>
        <v/>
      </c>
      <c r="E113" t="str">
        <f t="array" ref="E113">IFERROR(INDEX('Day Range Raw Data'!D:D,Match($A113,'Day Range Raw Data'!$B:$B,0)),"")</f>
        <v/>
      </c>
      <c r="F113" t="str">
        <f t="array" ref="F113">IFERROR(INDEX('Day Range Raw Data'!F:F,Match($A113,'Day Range Raw Data'!$B:$B,0)),"")</f>
        <v/>
      </c>
      <c r="G113" t="str">
        <f t="array" ref="G113">IFERROR(INDEX('Day Range Raw Data'!G:G,Match($A113,'Day Range Raw Data'!$B:$B,0)),"")</f>
        <v/>
      </c>
      <c r="H113" t="str">
        <f t="array" ref="H113">IFERROR(INDEX('Day Range Raw Data'!H:H,Match($A113,'Day Range Raw Data'!$B:$B,0)),"")</f>
        <v/>
      </c>
      <c r="I113" t="str">
        <f t="array" ref="I113">IFERROR(INDEX('Day Range Raw Data'!M:M,Match($A113,'Day Range Raw Data'!$B:$B,0)),"")</f>
        <v/>
      </c>
      <c r="J113" t="str">
        <f t="array" ref="J113">IFERROR(INDEX('Day Range Raw Data'!N:N,Match($A113,'Day Range Raw Data'!$B:$B,0)),"")</f>
        <v/>
      </c>
      <c r="K113" t="str">
        <f t="array" ref="K113">IFERROR(INDEX('Day Range Raw Data'!R:R,Match($A113,'Day Range Raw Data'!$B:$B,0)),"")</f>
        <v/>
      </c>
      <c r="L113" t="str">
        <f t="array" ref="L113">IFERROR(INDEX('Day Range Raw Data'!S:S,Match($A113,'Day Range Raw Data'!$B:$B,0)),"")</f>
        <v/>
      </c>
      <c r="M113" t="str">
        <f t="array" ref="M113">IFERROR(INDEX('Day Range Raw Data'!T:T,Match($A113,'Day Range Raw Data'!$B:$B,0)),"")</f>
        <v/>
      </c>
      <c r="N113" t="str">
        <f t="array" ref="N113">IFERROR(INDEX('Day Range Raw Data'!U:U,Match($A113,'Day Range Raw Data'!$B:$B,0)),"")</f>
        <v/>
      </c>
      <c r="O113" t="str">
        <f t="array" ref="O113">IFERROR(INDEX('Day Range Raw Data'!V:V,Match($A113,'Day Range Raw Data'!$B:$B,0)),"")</f>
        <v/>
      </c>
      <c r="P113" t="str">
        <f t="array" ref="P113">IFERROR(INDEX('Day Range Raw Data'!X:X,Match($A113,'Day Range Raw Data'!$B:$B,0)),"")</f>
        <v/>
      </c>
      <c r="Q113" t="str">
        <f t="shared" si="1"/>
        <v/>
      </c>
      <c r="R113" s="9" t="str">
        <f t="shared" si="2"/>
        <v/>
      </c>
      <c r="S113" s="14" t="str">
        <f t="shared" si="3"/>
        <v/>
      </c>
      <c r="T113" s="15" t="str">
        <f>IFERROR(__xludf.DUMMYFUNCTION("IF($A113="""","""",IFERROR(PERCENTRANK.INC(FILTER(Q:Q,$F:$F&lt;&gt;""""),Q113)*100,""""))"),"")</f>
        <v/>
      </c>
      <c r="U113" s="15" t="str">
        <f>IFERROR(__xludf.DUMMYFUNCTION("IF($A113="""","""",IFERROR(PERCENTRANK.INC(FILTER(R:R,$F:$F&lt;&gt;""""),R113)*100,""""))"),"")</f>
        <v/>
      </c>
      <c r="V113" s="15" t="str">
        <f>IFERROR(__xludf.DUMMYFUNCTION("IF($A113="""","""",IFERROR(PERCENTRANK.INC(FILTER(S:S,$F:$F&lt;&gt;""""),S113)*100,""""))"),"")</f>
        <v/>
      </c>
      <c r="W113" s="15" t="str">
        <f t="shared" si="4"/>
        <v/>
      </c>
    </row>
    <row r="114">
      <c r="B114" t="str">
        <f t="array" ref="B114">IFERROR(INDEX('Player Raw Data'!C:C,Match($A114,'Player Raw Data'!$B:$B,0)),"")</f>
        <v/>
      </c>
      <c r="C114" t="str">
        <f t="array" ref="C114">IFERROR(INDEX('Player Raw Data'!D:D,Match($A114,'Player Raw Data'!$B:$B,0)),"")</f>
        <v/>
      </c>
      <c r="D114" t="str">
        <f t="array" ref="D114">IFERROR(IF(A114=A113, INDEX('Player Raw Data'!E:E,Match($A114,'Player Raw Data'!$B:$B,0)+2),INDEX('Player Raw Data'!E:E,Match($A114,'Player Raw Data'!$B:$B,0))),"")</f>
        <v/>
      </c>
      <c r="E114" t="str">
        <f t="array" ref="E114">IFERROR(INDEX('Day Range Raw Data'!D:D,Match($A114,'Day Range Raw Data'!$B:$B,0)),"")</f>
        <v/>
      </c>
      <c r="F114" t="str">
        <f t="array" ref="F114">IFERROR(INDEX('Day Range Raw Data'!F:F,Match($A114,'Day Range Raw Data'!$B:$B,0)),"")</f>
        <v/>
      </c>
      <c r="G114" t="str">
        <f t="array" ref="G114">IFERROR(INDEX('Day Range Raw Data'!G:G,Match($A114,'Day Range Raw Data'!$B:$B,0)),"")</f>
        <v/>
      </c>
      <c r="H114" t="str">
        <f t="array" ref="H114">IFERROR(INDEX('Day Range Raw Data'!H:H,Match($A114,'Day Range Raw Data'!$B:$B,0)),"")</f>
        <v/>
      </c>
      <c r="I114" t="str">
        <f t="array" ref="I114">IFERROR(INDEX('Day Range Raw Data'!M:M,Match($A114,'Day Range Raw Data'!$B:$B,0)),"")</f>
        <v/>
      </c>
      <c r="J114" t="str">
        <f t="array" ref="J114">IFERROR(INDEX('Day Range Raw Data'!N:N,Match($A114,'Day Range Raw Data'!$B:$B,0)),"")</f>
        <v/>
      </c>
      <c r="K114" t="str">
        <f t="array" ref="K114">IFERROR(INDEX('Day Range Raw Data'!R:R,Match($A114,'Day Range Raw Data'!$B:$B,0)),"")</f>
        <v/>
      </c>
      <c r="L114" t="str">
        <f t="array" ref="L114">IFERROR(INDEX('Day Range Raw Data'!S:S,Match($A114,'Day Range Raw Data'!$B:$B,0)),"")</f>
        <v/>
      </c>
      <c r="M114" t="str">
        <f t="array" ref="M114">IFERROR(INDEX('Day Range Raw Data'!T:T,Match($A114,'Day Range Raw Data'!$B:$B,0)),"")</f>
        <v/>
      </c>
      <c r="N114" t="str">
        <f t="array" ref="N114">IFERROR(INDEX('Day Range Raw Data'!U:U,Match($A114,'Day Range Raw Data'!$B:$B,0)),"")</f>
        <v/>
      </c>
      <c r="O114" t="str">
        <f t="array" ref="O114">IFERROR(INDEX('Day Range Raw Data'!V:V,Match($A114,'Day Range Raw Data'!$B:$B,0)),"")</f>
        <v/>
      </c>
      <c r="P114" t="str">
        <f t="array" ref="P114">IFERROR(INDEX('Day Range Raw Data'!X:X,Match($A114,'Day Range Raw Data'!$B:$B,0)),"")</f>
        <v/>
      </c>
      <c r="Q114" t="str">
        <f t="shared" si="1"/>
        <v/>
      </c>
      <c r="R114" s="9" t="str">
        <f t="shared" si="2"/>
        <v/>
      </c>
      <c r="S114" s="14" t="str">
        <f t="shared" si="3"/>
        <v/>
      </c>
      <c r="T114" s="15" t="str">
        <f>IFERROR(__xludf.DUMMYFUNCTION("IF($A114="""","""",IFERROR(PERCENTRANK.INC(FILTER(Q:Q,$F:$F&lt;&gt;""""),Q114)*100,""""))"),"")</f>
        <v/>
      </c>
      <c r="U114" s="15" t="str">
        <f>IFERROR(__xludf.DUMMYFUNCTION("IF($A114="""","""",IFERROR(PERCENTRANK.INC(FILTER(R:R,$F:$F&lt;&gt;""""),R114)*100,""""))"),"")</f>
        <v/>
      </c>
      <c r="V114" s="15" t="str">
        <f>IFERROR(__xludf.DUMMYFUNCTION("IF($A114="""","""",IFERROR(PERCENTRANK.INC(FILTER(S:S,$F:$F&lt;&gt;""""),S114)*100,""""))"),"")</f>
        <v/>
      </c>
      <c r="W114" s="15" t="str">
        <f t="shared" si="4"/>
        <v/>
      </c>
    </row>
    <row r="115">
      <c r="B115" t="str">
        <f t="array" ref="B115">IFERROR(INDEX('Player Raw Data'!C:C,Match($A115,'Player Raw Data'!$B:$B,0)),"")</f>
        <v/>
      </c>
      <c r="C115" t="str">
        <f t="array" ref="C115">IFERROR(INDEX('Player Raw Data'!D:D,Match($A115,'Player Raw Data'!$B:$B,0)),"")</f>
        <v/>
      </c>
      <c r="D115" t="str">
        <f t="array" ref="D115">IFERROR(IF(A115=A114, INDEX('Player Raw Data'!E:E,Match($A115,'Player Raw Data'!$B:$B,0)+2),INDEX('Player Raw Data'!E:E,Match($A115,'Player Raw Data'!$B:$B,0))),"")</f>
        <v/>
      </c>
      <c r="E115" t="str">
        <f t="array" ref="E115">IFERROR(INDEX('Day Range Raw Data'!D:D,Match($A115,'Day Range Raw Data'!$B:$B,0)),"")</f>
        <v/>
      </c>
      <c r="F115" t="str">
        <f t="array" ref="F115">IFERROR(INDEX('Day Range Raw Data'!F:F,Match($A115,'Day Range Raw Data'!$B:$B,0)),"")</f>
        <v/>
      </c>
      <c r="G115" t="str">
        <f t="array" ref="G115">IFERROR(INDEX('Day Range Raw Data'!G:G,Match($A115,'Day Range Raw Data'!$B:$B,0)),"")</f>
        <v/>
      </c>
      <c r="H115" t="str">
        <f t="array" ref="H115">IFERROR(INDEX('Day Range Raw Data'!H:H,Match($A115,'Day Range Raw Data'!$B:$B,0)),"")</f>
        <v/>
      </c>
      <c r="I115" t="str">
        <f t="array" ref="I115">IFERROR(INDEX('Day Range Raw Data'!M:M,Match($A115,'Day Range Raw Data'!$B:$B,0)),"")</f>
        <v/>
      </c>
      <c r="J115" t="str">
        <f t="array" ref="J115">IFERROR(INDEX('Day Range Raw Data'!N:N,Match($A115,'Day Range Raw Data'!$B:$B,0)),"")</f>
        <v/>
      </c>
      <c r="K115" t="str">
        <f t="array" ref="K115">IFERROR(INDEX('Day Range Raw Data'!R:R,Match($A115,'Day Range Raw Data'!$B:$B,0)),"")</f>
        <v/>
      </c>
      <c r="L115" t="str">
        <f t="array" ref="L115">IFERROR(INDEX('Day Range Raw Data'!S:S,Match($A115,'Day Range Raw Data'!$B:$B,0)),"")</f>
        <v/>
      </c>
      <c r="M115" t="str">
        <f t="array" ref="M115">IFERROR(INDEX('Day Range Raw Data'!T:T,Match($A115,'Day Range Raw Data'!$B:$B,0)),"")</f>
        <v/>
      </c>
      <c r="N115" t="str">
        <f t="array" ref="N115">IFERROR(INDEX('Day Range Raw Data'!U:U,Match($A115,'Day Range Raw Data'!$B:$B,0)),"")</f>
        <v/>
      </c>
      <c r="O115" t="str">
        <f t="array" ref="O115">IFERROR(INDEX('Day Range Raw Data'!V:V,Match($A115,'Day Range Raw Data'!$B:$B,0)),"")</f>
        <v/>
      </c>
      <c r="P115" t="str">
        <f t="array" ref="P115">IFERROR(INDEX('Day Range Raw Data'!X:X,Match($A115,'Day Range Raw Data'!$B:$B,0)),"")</f>
        <v/>
      </c>
      <c r="Q115" t="str">
        <f t="shared" si="1"/>
        <v/>
      </c>
      <c r="R115" s="9" t="str">
        <f t="shared" si="2"/>
        <v/>
      </c>
      <c r="S115" s="14" t="str">
        <f t="shared" si="3"/>
        <v/>
      </c>
      <c r="T115" s="15" t="str">
        <f>IFERROR(__xludf.DUMMYFUNCTION("IF($A115="""","""",IFERROR(PERCENTRANK.INC(FILTER(Q:Q,$F:$F&lt;&gt;""""),Q115)*100,""""))"),"")</f>
        <v/>
      </c>
      <c r="U115" s="15" t="str">
        <f>IFERROR(__xludf.DUMMYFUNCTION("IF($A115="""","""",IFERROR(PERCENTRANK.INC(FILTER(R:R,$F:$F&lt;&gt;""""),R115)*100,""""))"),"")</f>
        <v/>
      </c>
      <c r="V115" s="15" t="str">
        <f>IFERROR(__xludf.DUMMYFUNCTION("IF($A115="""","""",IFERROR(PERCENTRANK.INC(FILTER(S:S,$F:$F&lt;&gt;""""),S115)*100,""""))"),"")</f>
        <v/>
      </c>
      <c r="W115" s="15" t="str">
        <f t="shared" si="4"/>
        <v/>
      </c>
    </row>
    <row r="116">
      <c r="B116" t="str">
        <f t="array" ref="B116">IFERROR(INDEX('Player Raw Data'!C:C,Match($A116,'Player Raw Data'!$B:$B,0)),"")</f>
        <v/>
      </c>
      <c r="C116" t="str">
        <f t="array" ref="C116">IFERROR(INDEX('Player Raw Data'!D:D,Match($A116,'Player Raw Data'!$B:$B,0)),"")</f>
        <v/>
      </c>
      <c r="D116" t="str">
        <f t="array" ref="D116">IFERROR(IF(A116=A115, INDEX('Player Raw Data'!E:E,Match($A116,'Player Raw Data'!$B:$B,0)+2),INDEX('Player Raw Data'!E:E,Match($A116,'Player Raw Data'!$B:$B,0))),"")</f>
        <v/>
      </c>
      <c r="E116" t="str">
        <f t="array" ref="E116">IFERROR(INDEX('Day Range Raw Data'!D:D,Match($A116,'Day Range Raw Data'!$B:$B,0)),"")</f>
        <v/>
      </c>
      <c r="F116" t="str">
        <f t="array" ref="F116">IFERROR(INDEX('Day Range Raw Data'!F:F,Match($A116,'Day Range Raw Data'!$B:$B,0)),"")</f>
        <v/>
      </c>
      <c r="G116" t="str">
        <f t="array" ref="G116">IFERROR(INDEX('Day Range Raw Data'!G:G,Match($A116,'Day Range Raw Data'!$B:$B,0)),"")</f>
        <v/>
      </c>
      <c r="H116" t="str">
        <f t="array" ref="H116">IFERROR(INDEX('Day Range Raw Data'!H:H,Match($A116,'Day Range Raw Data'!$B:$B,0)),"")</f>
        <v/>
      </c>
      <c r="I116" t="str">
        <f t="array" ref="I116">IFERROR(INDEX('Day Range Raw Data'!M:M,Match($A116,'Day Range Raw Data'!$B:$B,0)),"")</f>
        <v/>
      </c>
      <c r="J116" t="str">
        <f t="array" ref="J116">IFERROR(INDEX('Day Range Raw Data'!N:N,Match($A116,'Day Range Raw Data'!$B:$B,0)),"")</f>
        <v/>
      </c>
      <c r="K116" t="str">
        <f t="array" ref="K116">IFERROR(INDEX('Day Range Raw Data'!R:R,Match($A116,'Day Range Raw Data'!$B:$B,0)),"")</f>
        <v/>
      </c>
      <c r="L116" t="str">
        <f t="array" ref="L116">IFERROR(INDEX('Day Range Raw Data'!S:S,Match($A116,'Day Range Raw Data'!$B:$B,0)),"")</f>
        <v/>
      </c>
      <c r="M116" t="str">
        <f t="array" ref="M116">IFERROR(INDEX('Day Range Raw Data'!T:T,Match($A116,'Day Range Raw Data'!$B:$B,0)),"")</f>
        <v/>
      </c>
      <c r="N116" t="str">
        <f t="array" ref="N116">IFERROR(INDEX('Day Range Raw Data'!U:U,Match($A116,'Day Range Raw Data'!$B:$B,0)),"")</f>
        <v/>
      </c>
      <c r="O116" t="str">
        <f t="array" ref="O116">IFERROR(INDEX('Day Range Raw Data'!V:V,Match($A116,'Day Range Raw Data'!$B:$B,0)),"")</f>
        <v/>
      </c>
      <c r="P116" t="str">
        <f t="array" ref="P116">IFERROR(INDEX('Day Range Raw Data'!X:X,Match($A116,'Day Range Raw Data'!$B:$B,0)),"")</f>
        <v/>
      </c>
      <c r="Q116" t="str">
        <f t="shared" si="1"/>
        <v/>
      </c>
      <c r="R116" s="9" t="str">
        <f t="shared" si="2"/>
        <v/>
      </c>
      <c r="S116" s="14" t="str">
        <f t="shared" si="3"/>
        <v/>
      </c>
      <c r="T116" s="15" t="str">
        <f>IFERROR(__xludf.DUMMYFUNCTION("IF($A116="""","""",IFERROR(PERCENTRANK.INC(FILTER(Q:Q,$F:$F&lt;&gt;""""),Q116)*100,""""))"),"")</f>
        <v/>
      </c>
      <c r="U116" s="15" t="str">
        <f>IFERROR(__xludf.DUMMYFUNCTION("IF($A116="""","""",IFERROR(PERCENTRANK.INC(FILTER(R:R,$F:$F&lt;&gt;""""),R116)*100,""""))"),"")</f>
        <v/>
      </c>
      <c r="V116" s="15" t="str">
        <f>IFERROR(__xludf.DUMMYFUNCTION("IF($A116="""","""",IFERROR(PERCENTRANK.INC(FILTER(S:S,$F:$F&lt;&gt;""""),S116)*100,""""))"),"")</f>
        <v/>
      </c>
      <c r="W116" s="15" t="str">
        <f t="shared" si="4"/>
        <v/>
      </c>
    </row>
    <row r="117">
      <c r="B117" t="str">
        <f t="array" ref="B117">IFERROR(INDEX('Player Raw Data'!C:C,Match($A117,'Player Raw Data'!$B:$B,0)),"")</f>
        <v/>
      </c>
      <c r="C117" t="str">
        <f t="array" ref="C117">IFERROR(INDEX('Player Raw Data'!D:D,Match($A117,'Player Raw Data'!$B:$B,0)),"")</f>
        <v/>
      </c>
      <c r="D117" t="str">
        <f t="array" ref="D117">IFERROR(IF(A117=A116, INDEX('Player Raw Data'!E:E,Match($A117,'Player Raw Data'!$B:$B,0)+2),INDEX('Player Raw Data'!E:E,Match($A117,'Player Raw Data'!$B:$B,0))),"")</f>
        <v/>
      </c>
      <c r="E117" t="str">
        <f t="array" ref="E117">IFERROR(INDEX('Day Range Raw Data'!D:D,Match($A117,'Day Range Raw Data'!$B:$B,0)),"")</f>
        <v/>
      </c>
      <c r="F117" t="str">
        <f t="array" ref="F117">IFERROR(INDEX('Day Range Raw Data'!F:F,Match($A117,'Day Range Raw Data'!$B:$B,0)),"")</f>
        <v/>
      </c>
      <c r="G117" t="str">
        <f t="array" ref="G117">IFERROR(INDEX('Day Range Raw Data'!G:G,Match($A117,'Day Range Raw Data'!$B:$B,0)),"")</f>
        <v/>
      </c>
      <c r="H117" t="str">
        <f t="array" ref="H117">IFERROR(INDEX('Day Range Raw Data'!H:H,Match($A117,'Day Range Raw Data'!$B:$B,0)),"")</f>
        <v/>
      </c>
      <c r="I117" t="str">
        <f t="array" ref="I117">IFERROR(INDEX('Day Range Raw Data'!M:M,Match($A117,'Day Range Raw Data'!$B:$B,0)),"")</f>
        <v/>
      </c>
      <c r="J117" t="str">
        <f t="array" ref="J117">IFERROR(INDEX('Day Range Raw Data'!N:N,Match($A117,'Day Range Raw Data'!$B:$B,0)),"")</f>
        <v/>
      </c>
      <c r="K117" t="str">
        <f t="array" ref="K117">IFERROR(INDEX('Day Range Raw Data'!R:R,Match($A117,'Day Range Raw Data'!$B:$B,0)),"")</f>
        <v/>
      </c>
      <c r="L117" t="str">
        <f t="array" ref="L117">IFERROR(INDEX('Day Range Raw Data'!S:S,Match($A117,'Day Range Raw Data'!$B:$B,0)),"")</f>
        <v/>
      </c>
      <c r="M117" t="str">
        <f t="array" ref="M117">IFERROR(INDEX('Day Range Raw Data'!T:T,Match($A117,'Day Range Raw Data'!$B:$B,0)),"")</f>
        <v/>
      </c>
      <c r="N117" t="str">
        <f t="array" ref="N117">IFERROR(INDEX('Day Range Raw Data'!U:U,Match($A117,'Day Range Raw Data'!$B:$B,0)),"")</f>
        <v/>
      </c>
      <c r="O117" t="str">
        <f t="array" ref="O117">IFERROR(INDEX('Day Range Raw Data'!V:V,Match($A117,'Day Range Raw Data'!$B:$B,0)),"")</f>
        <v/>
      </c>
      <c r="P117" t="str">
        <f t="array" ref="P117">IFERROR(INDEX('Day Range Raw Data'!X:X,Match($A117,'Day Range Raw Data'!$B:$B,0)),"")</f>
        <v/>
      </c>
      <c r="Q117" t="str">
        <f t="shared" si="1"/>
        <v/>
      </c>
      <c r="R117" s="9" t="str">
        <f t="shared" si="2"/>
        <v/>
      </c>
      <c r="S117" s="14" t="str">
        <f t="shared" si="3"/>
        <v/>
      </c>
      <c r="T117" s="15" t="str">
        <f>IFERROR(__xludf.DUMMYFUNCTION("IF($A117="""","""",IFERROR(PERCENTRANK.INC(FILTER(Q:Q,$F:$F&lt;&gt;""""),Q117)*100,""""))"),"")</f>
        <v/>
      </c>
      <c r="U117" s="15" t="str">
        <f>IFERROR(__xludf.DUMMYFUNCTION("IF($A117="""","""",IFERROR(PERCENTRANK.INC(FILTER(R:R,$F:$F&lt;&gt;""""),R117)*100,""""))"),"")</f>
        <v/>
      </c>
      <c r="V117" s="15" t="str">
        <f>IFERROR(__xludf.DUMMYFUNCTION("IF($A117="""","""",IFERROR(PERCENTRANK.INC(FILTER(S:S,$F:$F&lt;&gt;""""),S117)*100,""""))"),"")</f>
        <v/>
      </c>
      <c r="W117" s="15" t="str">
        <f t="shared" si="4"/>
        <v/>
      </c>
    </row>
    <row r="118">
      <c r="B118" t="str">
        <f t="array" ref="B118">IFERROR(INDEX('Player Raw Data'!C:C,Match($A118,'Player Raw Data'!$B:$B,0)),"")</f>
        <v/>
      </c>
      <c r="C118" t="str">
        <f t="array" ref="C118">IFERROR(INDEX('Player Raw Data'!D:D,Match($A118,'Player Raw Data'!$B:$B,0)),"")</f>
        <v/>
      </c>
      <c r="D118" t="str">
        <f t="array" ref="D118">IFERROR(IF(A118=A117, INDEX('Player Raw Data'!E:E,Match($A118,'Player Raw Data'!$B:$B,0)+2),INDEX('Player Raw Data'!E:E,Match($A118,'Player Raw Data'!$B:$B,0))),"")</f>
        <v/>
      </c>
      <c r="E118" t="str">
        <f t="array" ref="E118">IFERROR(INDEX('Day Range Raw Data'!D:D,Match($A118,'Day Range Raw Data'!$B:$B,0)),"")</f>
        <v/>
      </c>
      <c r="F118" t="str">
        <f t="array" ref="F118">IFERROR(INDEX('Day Range Raw Data'!F:F,Match($A118,'Day Range Raw Data'!$B:$B,0)),"")</f>
        <v/>
      </c>
      <c r="G118" t="str">
        <f t="array" ref="G118">IFERROR(INDEX('Day Range Raw Data'!G:G,Match($A118,'Day Range Raw Data'!$B:$B,0)),"")</f>
        <v/>
      </c>
      <c r="H118" t="str">
        <f t="array" ref="H118">IFERROR(INDEX('Day Range Raw Data'!H:H,Match($A118,'Day Range Raw Data'!$B:$B,0)),"")</f>
        <v/>
      </c>
      <c r="I118" t="str">
        <f t="array" ref="I118">IFERROR(INDEX('Day Range Raw Data'!M:M,Match($A118,'Day Range Raw Data'!$B:$B,0)),"")</f>
        <v/>
      </c>
      <c r="J118" t="str">
        <f t="array" ref="J118">IFERROR(INDEX('Day Range Raw Data'!N:N,Match($A118,'Day Range Raw Data'!$B:$B,0)),"")</f>
        <v/>
      </c>
      <c r="K118" t="str">
        <f t="array" ref="K118">IFERROR(INDEX('Day Range Raw Data'!R:R,Match($A118,'Day Range Raw Data'!$B:$B,0)),"")</f>
        <v/>
      </c>
      <c r="L118" t="str">
        <f t="array" ref="L118">IFERROR(INDEX('Day Range Raw Data'!S:S,Match($A118,'Day Range Raw Data'!$B:$B,0)),"")</f>
        <v/>
      </c>
      <c r="M118" t="str">
        <f t="array" ref="M118">IFERROR(INDEX('Day Range Raw Data'!T:T,Match($A118,'Day Range Raw Data'!$B:$B,0)),"")</f>
        <v/>
      </c>
      <c r="N118" t="str">
        <f t="array" ref="N118">IFERROR(INDEX('Day Range Raw Data'!U:U,Match($A118,'Day Range Raw Data'!$B:$B,0)),"")</f>
        <v/>
      </c>
      <c r="O118" t="str">
        <f t="array" ref="O118">IFERROR(INDEX('Day Range Raw Data'!V:V,Match($A118,'Day Range Raw Data'!$B:$B,0)),"")</f>
        <v/>
      </c>
      <c r="P118" t="str">
        <f t="array" ref="P118">IFERROR(INDEX('Day Range Raw Data'!X:X,Match($A118,'Day Range Raw Data'!$B:$B,0)),"")</f>
        <v/>
      </c>
      <c r="Q118" t="str">
        <f t="shared" si="1"/>
        <v/>
      </c>
      <c r="R118" s="9" t="str">
        <f t="shared" si="2"/>
        <v/>
      </c>
      <c r="S118" s="14" t="str">
        <f t="shared" si="3"/>
        <v/>
      </c>
      <c r="T118" s="15" t="str">
        <f>IFERROR(__xludf.DUMMYFUNCTION("IF($A118="""","""",IFERROR(PERCENTRANK.INC(FILTER(Q:Q,$F:$F&lt;&gt;""""),Q118)*100,""""))"),"")</f>
        <v/>
      </c>
      <c r="U118" s="15" t="str">
        <f>IFERROR(__xludf.DUMMYFUNCTION("IF($A118="""","""",IFERROR(PERCENTRANK.INC(FILTER(R:R,$F:$F&lt;&gt;""""),R118)*100,""""))"),"")</f>
        <v/>
      </c>
      <c r="V118" s="15" t="str">
        <f>IFERROR(__xludf.DUMMYFUNCTION("IF($A118="""","""",IFERROR(PERCENTRANK.INC(FILTER(S:S,$F:$F&lt;&gt;""""),S118)*100,""""))"),"")</f>
        <v/>
      </c>
      <c r="W118" s="15" t="str">
        <f t="shared" si="4"/>
        <v/>
      </c>
    </row>
    <row r="119">
      <c r="B119" t="str">
        <f t="array" ref="B119">IFERROR(INDEX('Player Raw Data'!C:C,Match($A119,'Player Raw Data'!$B:$B,0)),"")</f>
        <v/>
      </c>
      <c r="C119" t="str">
        <f t="array" ref="C119">IFERROR(INDEX('Player Raw Data'!D:D,Match($A119,'Player Raw Data'!$B:$B,0)),"")</f>
        <v/>
      </c>
      <c r="D119" t="str">
        <f t="array" ref="D119">IFERROR(IF(A119=A118, INDEX('Player Raw Data'!E:E,Match($A119,'Player Raw Data'!$B:$B,0)+2),INDEX('Player Raw Data'!E:E,Match($A119,'Player Raw Data'!$B:$B,0))),"")</f>
        <v/>
      </c>
      <c r="E119" t="str">
        <f t="array" ref="E119">IFERROR(INDEX('Day Range Raw Data'!D:D,Match($A119,'Day Range Raw Data'!$B:$B,0)),"")</f>
        <v/>
      </c>
      <c r="F119" t="str">
        <f t="array" ref="F119">IFERROR(INDEX('Day Range Raw Data'!F:F,Match($A119,'Day Range Raw Data'!$B:$B,0)),"")</f>
        <v/>
      </c>
      <c r="G119" t="str">
        <f t="array" ref="G119">IFERROR(INDEX('Day Range Raw Data'!G:G,Match($A119,'Day Range Raw Data'!$B:$B,0)),"")</f>
        <v/>
      </c>
      <c r="H119" t="str">
        <f t="array" ref="H119">IFERROR(INDEX('Day Range Raw Data'!H:H,Match($A119,'Day Range Raw Data'!$B:$B,0)),"")</f>
        <v/>
      </c>
      <c r="I119" t="str">
        <f t="array" ref="I119">IFERROR(INDEX('Day Range Raw Data'!M:M,Match($A119,'Day Range Raw Data'!$B:$B,0)),"")</f>
        <v/>
      </c>
      <c r="J119" t="str">
        <f t="array" ref="J119">IFERROR(INDEX('Day Range Raw Data'!N:N,Match($A119,'Day Range Raw Data'!$B:$B,0)),"")</f>
        <v/>
      </c>
      <c r="K119" t="str">
        <f t="array" ref="K119">IFERROR(INDEX('Day Range Raw Data'!R:R,Match($A119,'Day Range Raw Data'!$B:$B,0)),"")</f>
        <v/>
      </c>
      <c r="L119" t="str">
        <f t="array" ref="L119">IFERROR(INDEX('Day Range Raw Data'!S:S,Match($A119,'Day Range Raw Data'!$B:$B,0)),"")</f>
        <v/>
      </c>
      <c r="M119" t="str">
        <f t="array" ref="M119">IFERROR(INDEX('Day Range Raw Data'!T:T,Match($A119,'Day Range Raw Data'!$B:$B,0)),"")</f>
        <v/>
      </c>
      <c r="N119" t="str">
        <f t="array" ref="N119">IFERROR(INDEX('Day Range Raw Data'!U:U,Match($A119,'Day Range Raw Data'!$B:$B,0)),"")</f>
        <v/>
      </c>
      <c r="O119" t="str">
        <f t="array" ref="O119">IFERROR(INDEX('Day Range Raw Data'!V:V,Match($A119,'Day Range Raw Data'!$B:$B,0)),"")</f>
        <v/>
      </c>
      <c r="P119" t="str">
        <f t="array" ref="P119">IFERROR(INDEX('Day Range Raw Data'!X:X,Match($A119,'Day Range Raw Data'!$B:$B,0)),"")</f>
        <v/>
      </c>
      <c r="Q119" t="str">
        <f t="shared" si="1"/>
        <v/>
      </c>
      <c r="R119" s="9" t="str">
        <f t="shared" si="2"/>
        <v/>
      </c>
      <c r="S119" s="14" t="str">
        <f t="shared" si="3"/>
        <v/>
      </c>
      <c r="T119" s="15" t="str">
        <f>IFERROR(__xludf.DUMMYFUNCTION("IF($A119="""","""",IFERROR(PERCENTRANK.INC(FILTER(Q:Q,$F:$F&lt;&gt;""""),Q119)*100,""""))"),"")</f>
        <v/>
      </c>
      <c r="U119" s="15" t="str">
        <f>IFERROR(__xludf.DUMMYFUNCTION("IF($A119="""","""",IFERROR(PERCENTRANK.INC(FILTER(R:R,$F:$F&lt;&gt;""""),R119)*100,""""))"),"")</f>
        <v/>
      </c>
      <c r="V119" s="15" t="str">
        <f>IFERROR(__xludf.DUMMYFUNCTION("IF($A119="""","""",IFERROR(PERCENTRANK.INC(FILTER(S:S,$F:$F&lt;&gt;""""),S119)*100,""""))"),"")</f>
        <v/>
      </c>
      <c r="W119" s="15" t="str">
        <f t="shared" si="4"/>
        <v/>
      </c>
    </row>
    <row r="120">
      <c r="B120" t="str">
        <f t="array" ref="B120">IFERROR(INDEX('Player Raw Data'!C:C,Match($A120,'Player Raw Data'!$B:$B,0)),"")</f>
        <v/>
      </c>
      <c r="C120" t="str">
        <f t="array" ref="C120">IFERROR(INDEX('Player Raw Data'!D:D,Match($A120,'Player Raw Data'!$B:$B,0)),"")</f>
        <v/>
      </c>
      <c r="D120" t="str">
        <f t="array" ref="D120">IFERROR(IF(A120=A119, INDEX('Player Raw Data'!E:E,Match($A120,'Player Raw Data'!$B:$B,0)+2),INDEX('Player Raw Data'!E:E,Match($A120,'Player Raw Data'!$B:$B,0))),"")</f>
        <v/>
      </c>
      <c r="E120" t="str">
        <f t="array" ref="E120">IFERROR(INDEX('Day Range Raw Data'!D:D,Match($A120,'Day Range Raw Data'!$B:$B,0)),"")</f>
        <v/>
      </c>
      <c r="F120" t="str">
        <f t="array" ref="F120">IFERROR(INDEX('Day Range Raw Data'!F:F,Match($A120,'Day Range Raw Data'!$B:$B,0)),"")</f>
        <v/>
      </c>
      <c r="G120" t="str">
        <f t="array" ref="G120">IFERROR(INDEX('Day Range Raw Data'!G:G,Match($A120,'Day Range Raw Data'!$B:$B,0)),"")</f>
        <v/>
      </c>
      <c r="H120" t="str">
        <f t="array" ref="H120">IFERROR(INDEX('Day Range Raw Data'!H:H,Match($A120,'Day Range Raw Data'!$B:$B,0)),"")</f>
        <v/>
      </c>
      <c r="I120" t="str">
        <f t="array" ref="I120">IFERROR(INDEX('Day Range Raw Data'!M:M,Match($A120,'Day Range Raw Data'!$B:$B,0)),"")</f>
        <v/>
      </c>
      <c r="J120" t="str">
        <f t="array" ref="J120">IFERROR(INDEX('Day Range Raw Data'!N:N,Match($A120,'Day Range Raw Data'!$B:$B,0)),"")</f>
        <v/>
      </c>
      <c r="K120" t="str">
        <f t="array" ref="K120">IFERROR(INDEX('Day Range Raw Data'!R:R,Match($A120,'Day Range Raw Data'!$B:$B,0)),"")</f>
        <v/>
      </c>
      <c r="L120" t="str">
        <f t="array" ref="L120">IFERROR(INDEX('Day Range Raw Data'!S:S,Match($A120,'Day Range Raw Data'!$B:$B,0)),"")</f>
        <v/>
      </c>
      <c r="M120" t="str">
        <f t="array" ref="M120">IFERROR(INDEX('Day Range Raw Data'!T:T,Match($A120,'Day Range Raw Data'!$B:$B,0)),"")</f>
        <v/>
      </c>
      <c r="N120" t="str">
        <f t="array" ref="N120">IFERROR(INDEX('Day Range Raw Data'!U:U,Match($A120,'Day Range Raw Data'!$B:$B,0)),"")</f>
        <v/>
      </c>
      <c r="O120" t="str">
        <f t="array" ref="O120">IFERROR(INDEX('Day Range Raw Data'!V:V,Match($A120,'Day Range Raw Data'!$B:$B,0)),"")</f>
        <v/>
      </c>
      <c r="P120" t="str">
        <f t="array" ref="P120">IFERROR(INDEX('Day Range Raw Data'!X:X,Match($A120,'Day Range Raw Data'!$B:$B,0)),"")</f>
        <v/>
      </c>
      <c r="Q120" t="str">
        <f t="shared" si="1"/>
        <v/>
      </c>
      <c r="R120" s="9" t="str">
        <f t="shared" si="2"/>
        <v/>
      </c>
      <c r="S120" s="14" t="str">
        <f t="shared" si="3"/>
        <v/>
      </c>
      <c r="T120" s="15" t="str">
        <f>IFERROR(__xludf.DUMMYFUNCTION("IF($A120="""","""",IFERROR(PERCENTRANK.INC(FILTER(Q:Q,$F:$F&lt;&gt;""""),Q120)*100,""""))"),"")</f>
        <v/>
      </c>
      <c r="U120" s="15" t="str">
        <f>IFERROR(__xludf.DUMMYFUNCTION("IF($A120="""","""",IFERROR(PERCENTRANK.INC(FILTER(R:R,$F:$F&lt;&gt;""""),R120)*100,""""))"),"")</f>
        <v/>
      </c>
      <c r="V120" s="15" t="str">
        <f>IFERROR(__xludf.DUMMYFUNCTION("IF($A120="""","""",IFERROR(PERCENTRANK.INC(FILTER(S:S,$F:$F&lt;&gt;""""),S120)*100,""""))"),"")</f>
        <v/>
      </c>
      <c r="W120" s="15" t="str">
        <f t="shared" si="4"/>
        <v/>
      </c>
    </row>
    <row r="121">
      <c r="B121" t="str">
        <f t="array" ref="B121">IFERROR(INDEX('Player Raw Data'!C:C,Match($A121,'Player Raw Data'!$B:$B,0)),"")</f>
        <v/>
      </c>
      <c r="C121" t="str">
        <f t="array" ref="C121">IFERROR(INDEX('Player Raw Data'!D:D,Match($A121,'Player Raw Data'!$B:$B,0)),"")</f>
        <v/>
      </c>
      <c r="D121" t="str">
        <f t="array" ref="D121">IFERROR(IF(A121=A120, INDEX('Player Raw Data'!E:E,Match($A121,'Player Raw Data'!$B:$B,0)+2),INDEX('Player Raw Data'!E:E,Match($A121,'Player Raw Data'!$B:$B,0))),"")</f>
        <v/>
      </c>
      <c r="E121" t="str">
        <f t="array" ref="E121">IFERROR(INDEX('Day Range Raw Data'!D:D,Match($A121,'Day Range Raw Data'!$B:$B,0)),"")</f>
        <v/>
      </c>
      <c r="F121" t="str">
        <f t="array" ref="F121">IFERROR(INDEX('Day Range Raw Data'!F:F,Match($A121,'Day Range Raw Data'!$B:$B,0)),"")</f>
        <v/>
      </c>
      <c r="G121" t="str">
        <f t="array" ref="G121">IFERROR(INDEX('Day Range Raw Data'!G:G,Match($A121,'Day Range Raw Data'!$B:$B,0)),"")</f>
        <v/>
      </c>
      <c r="H121" t="str">
        <f t="array" ref="H121">IFERROR(INDEX('Day Range Raw Data'!H:H,Match($A121,'Day Range Raw Data'!$B:$B,0)),"")</f>
        <v/>
      </c>
      <c r="I121" t="str">
        <f t="array" ref="I121">IFERROR(INDEX('Day Range Raw Data'!M:M,Match($A121,'Day Range Raw Data'!$B:$B,0)),"")</f>
        <v/>
      </c>
      <c r="J121" t="str">
        <f t="array" ref="J121">IFERROR(INDEX('Day Range Raw Data'!N:N,Match($A121,'Day Range Raw Data'!$B:$B,0)),"")</f>
        <v/>
      </c>
      <c r="K121" t="str">
        <f t="array" ref="K121">IFERROR(INDEX('Day Range Raw Data'!R:R,Match($A121,'Day Range Raw Data'!$B:$B,0)),"")</f>
        <v/>
      </c>
      <c r="L121" t="str">
        <f t="array" ref="L121">IFERROR(INDEX('Day Range Raw Data'!S:S,Match($A121,'Day Range Raw Data'!$B:$B,0)),"")</f>
        <v/>
      </c>
      <c r="M121" t="str">
        <f t="array" ref="M121">IFERROR(INDEX('Day Range Raw Data'!T:T,Match($A121,'Day Range Raw Data'!$B:$B,0)),"")</f>
        <v/>
      </c>
      <c r="N121" t="str">
        <f t="array" ref="N121">IFERROR(INDEX('Day Range Raw Data'!U:U,Match($A121,'Day Range Raw Data'!$B:$B,0)),"")</f>
        <v/>
      </c>
      <c r="O121" t="str">
        <f t="array" ref="O121">IFERROR(INDEX('Day Range Raw Data'!V:V,Match($A121,'Day Range Raw Data'!$B:$B,0)),"")</f>
        <v/>
      </c>
      <c r="P121" t="str">
        <f t="array" ref="P121">IFERROR(INDEX('Day Range Raw Data'!X:X,Match($A121,'Day Range Raw Data'!$B:$B,0)),"")</f>
        <v/>
      </c>
      <c r="Q121" t="str">
        <f t="shared" si="1"/>
        <v/>
      </c>
      <c r="R121" s="9" t="str">
        <f t="shared" si="2"/>
        <v/>
      </c>
      <c r="S121" s="14" t="str">
        <f t="shared" si="3"/>
        <v/>
      </c>
      <c r="T121" s="15" t="str">
        <f>IFERROR(__xludf.DUMMYFUNCTION("IF($A121="""","""",IFERROR(PERCENTRANK.INC(FILTER(Q:Q,$F:$F&lt;&gt;""""),Q121)*100,""""))"),"")</f>
        <v/>
      </c>
      <c r="U121" s="15" t="str">
        <f>IFERROR(__xludf.DUMMYFUNCTION("IF($A121="""","""",IFERROR(PERCENTRANK.INC(FILTER(R:R,$F:$F&lt;&gt;""""),R121)*100,""""))"),"")</f>
        <v/>
      </c>
      <c r="V121" s="15" t="str">
        <f>IFERROR(__xludf.DUMMYFUNCTION("IF($A121="""","""",IFERROR(PERCENTRANK.INC(FILTER(S:S,$F:$F&lt;&gt;""""),S121)*100,""""))"),"")</f>
        <v/>
      </c>
      <c r="W121" s="15" t="str">
        <f t="shared" si="4"/>
        <v/>
      </c>
    </row>
    <row r="122">
      <c r="B122" t="str">
        <f t="array" ref="B122">IFERROR(INDEX('Player Raw Data'!C:C,Match($A122,'Player Raw Data'!$B:$B,0)),"")</f>
        <v/>
      </c>
      <c r="C122" t="str">
        <f t="array" ref="C122">IFERROR(INDEX('Player Raw Data'!D:D,Match($A122,'Player Raw Data'!$B:$B,0)),"")</f>
        <v/>
      </c>
      <c r="D122" t="str">
        <f t="array" ref="D122">IFERROR(IF(A122=A121, INDEX('Player Raw Data'!E:E,Match($A122,'Player Raw Data'!$B:$B,0)+2),INDEX('Player Raw Data'!E:E,Match($A122,'Player Raw Data'!$B:$B,0))),"")</f>
        <v/>
      </c>
      <c r="E122" t="str">
        <f t="array" ref="E122">IFERROR(INDEX('Day Range Raw Data'!D:D,Match($A122,'Day Range Raw Data'!$B:$B,0)),"")</f>
        <v/>
      </c>
      <c r="F122" t="str">
        <f t="array" ref="F122">IFERROR(INDEX('Day Range Raw Data'!F:F,Match($A122,'Day Range Raw Data'!$B:$B,0)),"")</f>
        <v/>
      </c>
      <c r="G122" t="str">
        <f t="array" ref="G122">IFERROR(INDEX('Day Range Raw Data'!G:G,Match($A122,'Day Range Raw Data'!$B:$B,0)),"")</f>
        <v/>
      </c>
      <c r="H122" t="str">
        <f t="array" ref="H122">IFERROR(INDEX('Day Range Raw Data'!H:H,Match($A122,'Day Range Raw Data'!$B:$B,0)),"")</f>
        <v/>
      </c>
      <c r="I122" t="str">
        <f t="array" ref="I122">IFERROR(INDEX('Day Range Raw Data'!M:M,Match($A122,'Day Range Raw Data'!$B:$B,0)),"")</f>
        <v/>
      </c>
      <c r="J122" t="str">
        <f t="array" ref="J122">IFERROR(INDEX('Day Range Raw Data'!N:N,Match($A122,'Day Range Raw Data'!$B:$B,0)),"")</f>
        <v/>
      </c>
      <c r="K122" t="str">
        <f t="array" ref="K122">IFERROR(INDEX('Day Range Raw Data'!R:R,Match($A122,'Day Range Raw Data'!$B:$B,0)),"")</f>
        <v/>
      </c>
      <c r="L122" t="str">
        <f t="array" ref="L122">IFERROR(INDEX('Day Range Raw Data'!S:S,Match($A122,'Day Range Raw Data'!$B:$B,0)),"")</f>
        <v/>
      </c>
      <c r="M122" t="str">
        <f t="array" ref="M122">IFERROR(INDEX('Day Range Raw Data'!T:T,Match($A122,'Day Range Raw Data'!$B:$B,0)),"")</f>
        <v/>
      </c>
      <c r="N122" t="str">
        <f t="array" ref="N122">IFERROR(INDEX('Day Range Raw Data'!U:U,Match($A122,'Day Range Raw Data'!$B:$B,0)),"")</f>
        <v/>
      </c>
      <c r="O122" t="str">
        <f t="array" ref="O122">IFERROR(INDEX('Day Range Raw Data'!V:V,Match($A122,'Day Range Raw Data'!$B:$B,0)),"")</f>
        <v/>
      </c>
      <c r="P122" t="str">
        <f t="array" ref="P122">IFERROR(INDEX('Day Range Raw Data'!X:X,Match($A122,'Day Range Raw Data'!$B:$B,0)),"")</f>
        <v/>
      </c>
      <c r="Q122" t="str">
        <f t="shared" si="1"/>
        <v/>
      </c>
      <c r="R122" s="9" t="str">
        <f t="shared" si="2"/>
        <v/>
      </c>
      <c r="S122" s="14" t="str">
        <f t="shared" si="3"/>
        <v/>
      </c>
      <c r="T122" s="15" t="str">
        <f>IFERROR(__xludf.DUMMYFUNCTION("IF($A122="""","""",IFERROR(PERCENTRANK.INC(FILTER(Q:Q,$F:$F&lt;&gt;""""),Q122)*100,""""))"),"")</f>
        <v/>
      </c>
      <c r="U122" s="15" t="str">
        <f>IFERROR(__xludf.DUMMYFUNCTION("IF($A122="""","""",IFERROR(PERCENTRANK.INC(FILTER(R:R,$F:$F&lt;&gt;""""),R122)*100,""""))"),"")</f>
        <v/>
      </c>
      <c r="V122" s="15" t="str">
        <f>IFERROR(__xludf.DUMMYFUNCTION("IF($A122="""","""",IFERROR(PERCENTRANK.INC(FILTER(S:S,$F:$F&lt;&gt;""""),S122)*100,""""))"),"")</f>
        <v/>
      </c>
      <c r="W122" s="15" t="str">
        <f t="shared" si="4"/>
        <v/>
      </c>
    </row>
    <row r="123">
      <c r="B123" t="str">
        <f t="array" ref="B123">IFERROR(INDEX('Player Raw Data'!C:C,Match($A123,'Player Raw Data'!$B:$B,0)),"")</f>
        <v/>
      </c>
      <c r="C123" t="str">
        <f t="array" ref="C123">IFERROR(INDEX('Player Raw Data'!D:D,Match($A123,'Player Raw Data'!$B:$B,0)),"")</f>
        <v/>
      </c>
      <c r="D123" t="str">
        <f t="array" ref="D123">IFERROR(IF(A123=A122, INDEX('Player Raw Data'!E:E,Match($A123,'Player Raw Data'!$B:$B,0)+2),INDEX('Player Raw Data'!E:E,Match($A123,'Player Raw Data'!$B:$B,0))),"")</f>
        <v/>
      </c>
      <c r="E123" t="str">
        <f t="array" ref="E123">IFERROR(INDEX('Day Range Raw Data'!D:D,Match($A123,'Day Range Raw Data'!$B:$B,0)),"")</f>
        <v/>
      </c>
      <c r="F123" t="str">
        <f t="array" ref="F123">IFERROR(INDEX('Day Range Raw Data'!F:F,Match($A123,'Day Range Raw Data'!$B:$B,0)),"")</f>
        <v/>
      </c>
      <c r="G123" t="str">
        <f t="array" ref="G123">IFERROR(INDEX('Day Range Raw Data'!G:G,Match($A123,'Day Range Raw Data'!$B:$B,0)),"")</f>
        <v/>
      </c>
      <c r="H123" t="str">
        <f t="array" ref="H123">IFERROR(INDEX('Day Range Raw Data'!H:H,Match($A123,'Day Range Raw Data'!$B:$B,0)),"")</f>
        <v/>
      </c>
      <c r="I123" t="str">
        <f t="array" ref="I123">IFERROR(INDEX('Day Range Raw Data'!M:M,Match($A123,'Day Range Raw Data'!$B:$B,0)),"")</f>
        <v/>
      </c>
      <c r="J123" t="str">
        <f t="array" ref="J123">IFERROR(INDEX('Day Range Raw Data'!N:N,Match($A123,'Day Range Raw Data'!$B:$B,0)),"")</f>
        <v/>
      </c>
      <c r="K123" t="str">
        <f t="array" ref="K123">IFERROR(INDEX('Day Range Raw Data'!R:R,Match($A123,'Day Range Raw Data'!$B:$B,0)),"")</f>
        <v/>
      </c>
      <c r="L123" t="str">
        <f t="array" ref="L123">IFERROR(INDEX('Day Range Raw Data'!S:S,Match($A123,'Day Range Raw Data'!$B:$B,0)),"")</f>
        <v/>
      </c>
      <c r="M123" t="str">
        <f t="array" ref="M123">IFERROR(INDEX('Day Range Raw Data'!T:T,Match($A123,'Day Range Raw Data'!$B:$B,0)),"")</f>
        <v/>
      </c>
      <c r="N123" t="str">
        <f t="array" ref="N123">IFERROR(INDEX('Day Range Raw Data'!U:U,Match($A123,'Day Range Raw Data'!$B:$B,0)),"")</f>
        <v/>
      </c>
      <c r="O123" t="str">
        <f t="array" ref="O123">IFERROR(INDEX('Day Range Raw Data'!V:V,Match($A123,'Day Range Raw Data'!$B:$B,0)),"")</f>
        <v/>
      </c>
      <c r="P123" t="str">
        <f t="array" ref="P123">IFERROR(INDEX('Day Range Raw Data'!X:X,Match($A123,'Day Range Raw Data'!$B:$B,0)),"")</f>
        <v/>
      </c>
      <c r="Q123" t="str">
        <f t="shared" si="1"/>
        <v/>
      </c>
      <c r="R123" s="9" t="str">
        <f t="shared" si="2"/>
        <v/>
      </c>
      <c r="S123" s="14" t="str">
        <f t="shared" si="3"/>
        <v/>
      </c>
      <c r="T123" s="15" t="str">
        <f>IFERROR(__xludf.DUMMYFUNCTION("IF($A123="""","""",IFERROR(PERCENTRANK.INC(FILTER(Q:Q,$F:$F&lt;&gt;""""),Q123)*100,""""))"),"")</f>
        <v/>
      </c>
      <c r="U123" s="15" t="str">
        <f>IFERROR(__xludf.DUMMYFUNCTION("IF($A123="""","""",IFERROR(PERCENTRANK.INC(FILTER(R:R,$F:$F&lt;&gt;""""),R123)*100,""""))"),"")</f>
        <v/>
      </c>
      <c r="V123" s="15" t="str">
        <f>IFERROR(__xludf.DUMMYFUNCTION("IF($A123="""","""",IFERROR(PERCENTRANK.INC(FILTER(S:S,$F:$F&lt;&gt;""""),S123)*100,""""))"),"")</f>
        <v/>
      </c>
      <c r="W123" s="15" t="str">
        <f t="shared" si="4"/>
        <v/>
      </c>
    </row>
    <row r="124">
      <c r="B124" t="str">
        <f t="array" ref="B124">IFERROR(INDEX('Player Raw Data'!C:C,Match($A124,'Player Raw Data'!$B:$B,0)),"")</f>
        <v/>
      </c>
      <c r="C124" t="str">
        <f t="array" ref="C124">IFERROR(INDEX('Player Raw Data'!D:D,Match($A124,'Player Raw Data'!$B:$B,0)),"")</f>
        <v/>
      </c>
      <c r="D124" t="str">
        <f t="array" ref="D124">IFERROR(IF(A124=A123, INDEX('Player Raw Data'!E:E,Match($A124,'Player Raw Data'!$B:$B,0)+2),INDEX('Player Raw Data'!E:E,Match($A124,'Player Raw Data'!$B:$B,0))),"")</f>
        <v/>
      </c>
      <c r="E124" t="str">
        <f t="array" ref="E124">IFERROR(INDEX('Day Range Raw Data'!D:D,Match($A124,'Day Range Raw Data'!$B:$B,0)),"")</f>
        <v/>
      </c>
      <c r="F124" t="str">
        <f t="array" ref="F124">IFERROR(INDEX('Day Range Raw Data'!F:F,Match($A124,'Day Range Raw Data'!$B:$B,0)),"")</f>
        <v/>
      </c>
      <c r="G124" t="str">
        <f t="array" ref="G124">IFERROR(INDEX('Day Range Raw Data'!G:G,Match($A124,'Day Range Raw Data'!$B:$B,0)),"")</f>
        <v/>
      </c>
      <c r="H124" t="str">
        <f t="array" ref="H124">IFERROR(INDEX('Day Range Raw Data'!H:H,Match($A124,'Day Range Raw Data'!$B:$B,0)),"")</f>
        <v/>
      </c>
      <c r="I124" t="str">
        <f t="array" ref="I124">IFERROR(INDEX('Day Range Raw Data'!M:M,Match($A124,'Day Range Raw Data'!$B:$B,0)),"")</f>
        <v/>
      </c>
      <c r="J124" t="str">
        <f t="array" ref="J124">IFERROR(INDEX('Day Range Raw Data'!N:N,Match($A124,'Day Range Raw Data'!$B:$B,0)),"")</f>
        <v/>
      </c>
      <c r="K124" t="str">
        <f t="array" ref="K124">IFERROR(INDEX('Day Range Raw Data'!R:R,Match($A124,'Day Range Raw Data'!$B:$B,0)),"")</f>
        <v/>
      </c>
      <c r="L124" t="str">
        <f t="array" ref="L124">IFERROR(INDEX('Day Range Raw Data'!S:S,Match($A124,'Day Range Raw Data'!$B:$B,0)),"")</f>
        <v/>
      </c>
      <c r="M124" t="str">
        <f t="array" ref="M124">IFERROR(INDEX('Day Range Raw Data'!T:T,Match($A124,'Day Range Raw Data'!$B:$B,0)),"")</f>
        <v/>
      </c>
      <c r="N124" t="str">
        <f t="array" ref="N124">IFERROR(INDEX('Day Range Raw Data'!U:U,Match($A124,'Day Range Raw Data'!$B:$B,0)),"")</f>
        <v/>
      </c>
      <c r="O124" t="str">
        <f t="array" ref="O124">IFERROR(INDEX('Day Range Raw Data'!V:V,Match($A124,'Day Range Raw Data'!$B:$B,0)),"")</f>
        <v/>
      </c>
      <c r="P124" t="str">
        <f t="array" ref="P124">IFERROR(INDEX('Day Range Raw Data'!X:X,Match($A124,'Day Range Raw Data'!$B:$B,0)),"")</f>
        <v/>
      </c>
      <c r="Q124" t="str">
        <f t="shared" si="1"/>
        <v/>
      </c>
      <c r="R124" s="9" t="str">
        <f t="shared" si="2"/>
        <v/>
      </c>
      <c r="S124" s="14" t="str">
        <f t="shared" si="3"/>
        <v/>
      </c>
      <c r="T124" s="15" t="str">
        <f>IFERROR(__xludf.DUMMYFUNCTION("IF($A124="""","""",IFERROR(PERCENTRANK.INC(FILTER(Q:Q,$F:$F&lt;&gt;""""),Q124)*100,""""))"),"")</f>
        <v/>
      </c>
      <c r="U124" s="15" t="str">
        <f>IFERROR(__xludf.DUMMYFUNCTION("IF($A124="""","""",IFERROR(PERCENTRANK.INC(FILTER(R:R,$F:$F&lt;&gt;""""),R124)*100,""""))"),"")</f>
        <v/>
      </c>
      <c r="V124" s="15" t="str">
        <f>IFERROR(__xludf.DUMMYFUNCTION("IF($A124="""","""",IFERROR(PERCENTRANK.INC(FILTER(S:S,$F:$F&lt;&gt;""""),S124)*100,""""))"),"")</f>
        <v/>
      </c>
      <c r="W124" s="15" t="str">
        <f t="shared" si="4"/>
        <v/>
      </c>
    </row>
    <row r="125">
      <c r="B125" t="str">
        <f t="array" ref="B125">IFERROR(INDEX('Player Raw Data'!C:C,Match($A125,'Player Raw Data'!$B:$B,0)),"")</f>
        <v/>
      </c>
      <c r="C125" t="str">
        <f t="array" ref="C125">IFERROR(INDEX('Player Raw Data'!D:D,Match($A125,'Player Raw Data'!$B:$B,0)),"")</f>
        <v/>
      </c>
      <c r="D125" t="str">
        <f t="array" ref="D125">IFERROR(IF(A125=A124, INDEX('Player Raw Data'!E:E,Match($A125,'Player Raw Data'!$B:$B,0)+2),INDEX('Player Raw Data'!E:E,Match($A125,'Player Raw Data'!$B:$B,0))),"")</f>
        <v/>
      </c>
      <c r="E125" t="str">
        <f t="array" ref="E125">IFERROR(INDEX('Day Range Raw Data'!D:D,Match($A125,'Day Range Raw Data'!$B:$B,0)),"")</f>
        <v/>
      </c>
      <c r="F125" t="str">
        <f t="array" ref="F125">IFERROR(INDEX('Day Range Raw Data'!F:F,Match($A125,'Day Range Raw Data'!$B:$B,0)),"")</f>
        <v/>
      </c>
      <c r="G125" t="str">
        <f t="array" ref="G125">IFERROR(INDEX('Day Range Raw Data'!G:G,Match($A125,'Day Range Raw Data'!$B:$B,0)),"")</f>
        <v/>
      </c>
      <c r="H125" t="str">
        <f t="array" ref="H125">IFERROR(INDEX('Day Range Raw Data'!H:H,Match($A125,'Day Range Raw Data'!$B:$B,0)),"")</f>
        <v/>
      </c>
      <c r="I125" t="str">
        <f t="array" ref="I125">IFERROR(INDEX('Day Range Raw Data'!M:M,Match($A125,'Day Range Raw Data'!$B:$B,0)),"")</f>
        <v/>
      </c>
      <c r="J125" t="str">
        <f t="array" ref="J125">IFERROR(INDEX('Day Range Raw Data'!N:N,Match($A125,'Day Range Raw Data'!$B:$B,0)),"")</f>
        <v/>
      </c>
      <c r="K125" t="str">
        <f t="array" ref="K125">IFERROR(INDEX('Day Range Raw Data'!R:R,Match($A125,'Day Range Raw Data'!$B:$B,0)),"")</f>
        <v/>
      </c>
      <c r="L125" t="str">
        <f t="array" ref="L125">IFERROR(INDEX('Day Range Raw Data'!S:S,Match($A125,'Day Range Raw Data'!$B:$B,0)),"")</f>
        <v/>
      </c>
      <c r="M125" t="str">
        <f t="array" ref="M125">IFERROR(INDEX('Day Range Raw Data'!T:T,Match($A125,'Day Range Raw Data'!$B:$B,0)),"")</f>
        <v/>
      </c>
      <c r="N125" t="str">
        <f t="array" ref="N125">IFERROR(INDEX('Day Range Raw Data'!U:U,Match($A125,'Day Range Raw Data'!$B:$B,0)),"")</f>
        <v/>
      </c>
      <c r="O125" t="str">
        <f t="array" ref="O125">IFERROR(INDEX('Day Range Raw Data'!V:V,Match($A125,'Day Range Raw Data'!$B:$B,0)),"")</f>
        <v/>
      </c>
      <c r="P125" t="str">
        <f t="array" ref="P125">IFERROR(INDEX('Day Range Raw Data'!X:X,Match($A125,'Day Range Raw Data'!$B:$B,0)),"")</f>
        <v/>
      </c>
      <c r="Q125" t="str">
        <f t="shared" si="1"/>
        <v/>
      </c>
      <c r="R125" s="9" t="str">
        <f t="shared" si="2"/>
        <v/>
      </c>
      <c r="S125" s="14" t="str">
        <f t="shared" si="3"/>
        <v/>
      </c>
      <c r="T125" s="15" t="str">
        <f>IFERROR(__xludf.DUMMYFUNCTION("IF($A125="""","""",IFERROR(PERCENTRANK.INC(FILTER(Q:Q,$F:$F&lt;&gt;""""),Q125)*100,""""))"),"")</f>
        <v/>
      </c>
      <c r="U125" s="15" t="str">
        <f>IFERROR(__xludf.DUMMYFUNCTION("IF($A125="""","""",IFERROR(PERCENTRANK.INC(FILTER(R:R,$F:$F&lt;&gt;""""),R125)*100,""""))"),"")</f>
        <v/>
      </c>
      <c r="V125" s="15" t="str">
        <f>IFERROR(__xludf.DUMMYFUNCTION("IF($A125="""","""",IFERROR(PERCENTRANK.INC(FILTER(S:S,$F:$F&lt;&gt;""""),S125)*100,""""))"),"")</f>
        <v/>
      </c>
      <c r="W125" s="15" t="str">
        <f t="shared" si="4"/>
        <v/>
      </c>
    </row>
    <row r="126">
      <c r="B126" t="str">
        <f t="array" ref="B126">IFERROR(INDEX('Player Raw Data'!C:C,Match($A126,'Player Raw Data'!$B:$B,0)),"")</f>
        <v/>
      </c>
      <c r="C126" t="str">
        <f t="array" ref="C126">IFERROR(INDEX('Player Raw Data'!D:D,Match($A126,'Player Raw Data'!$B:$B,0)),"")</f>
        <v/>
      </c>
      <c r="D126" t="str">
        <f t="array" ref="D126">IFERROR(IF(A126=A125, INDEX('Player Raw Data'!E:E,Match($A126,'Player Raw Data'!$B:$B,0)+2),INDEX('Player Raw Data'!E:E,Match($A126,'Player Raw Data'!$B:$B,0))),"")</f>
        <v/>
      </c>
      <c r="E126" t="str">
        <f t="array" ref="E126">IFERROR(INDEX('Day Range Raw Data'!D:D,Match($A126,'Day Range Raw Data'!$B:$B,0)),"")</f>
        <v/>
      </c>
      <c r="F126" t="str">
        <f t="array" ref="F126">IFERROR(INDEX('Day Range Raw Data'!F:F,Match($A126,'Day Range Raw Data'!$B:$B,0)),"")</f>
        <v/>
      </c>
      <c r="G126" t="str">
        <f t="array" ref="G126">IFERROR(INDEX('Day Range Raw Data'!G:G,Match($A126,'Day Range Raw Data'!$B:$B,0)),"")</f>
        <v/>
      </c>
      <c r="H126" t="str">
        <f t="array" ref="H126">IFERROR(INDEX('Day Range Raw Data'!H:H,Match($A126,'Day Range Raw Data'!$B:$B,0)),"")</f>
        <v/>
      </c>
      <c r="I126" t="str">
        <f t="array" ref="I126">IFERROR(INDEX('Day Range Raw Data'!M:M,Match($A126,'Day Range Raw Data'!$B:$B,0)),"")</f>
        <v/>
      </c>
      <c r="J126" t="str">
        <f t="array" ref="J126">IFERROR(INDEX('Day Range Raw Data'!N:N,Match($A126,'Day Range Raw Data'!$B:$B,0)),"")</f>
        <v/>
      </c>
      <c r="K126" t="str">
        <f t="array" ref="K126">IFERROR(INDEX('Day Range Raw Data'!R:R,Match($A126,'Day Range Raw Data'!$B:$B,0)),"")</f>
        <v/>
      </c>
      <c r="L126" t="str">
        <f t="array" ref="L126">IFERROR(INDEX('Day Range Raw Data'!S:S,Match($A126,'Day Range Raw Data'!$B:$B,0)),"")</f>
        <v/>
      </c>
      <c r="M126" t="str">
        <f t="array" ref="M126">IFERROR(INDEX('Day Range Raw Data'!T:T,Match($A126,'Day Range Raw Data'!$B:$B,0)),"")</f>
        <v/>
      </c>
      <c r="N126" t="str">
        <f t="array" ref="N126">IFERROR(INDEX('Day Range Raw Data'!U:U,Match($A126,'Day Range Raw Data'!$B:$B,0)),"")</f>
        <v/>
      </c>
      <c r="O126" t="str">
        <f t="array" ref="O126">IFERROR(INDEX('Day Range Raw Data'!V:V,Match($A126,'Day Range Raw Data'!$B:$B,0)),"")</f>
        <v/>
      </c>
      <c r="P126" t="str">
        <f t="array" ref="P126">IFERROR(INDEX('Day Range Raw Data'!X:X,Match($A126,'Day Range Raw Data'!$B:$B,0)),"")</f>
        <v/>
      </c>
      <c r="Q126" t="str">
        <f t="shared" si="1"/>
        <v/>
      </c>
      <c r="R126" s="9" t="str">
        <f t="shared" si="2"/>
        <v/>
      </c>
      <c r="S126" s="14" t="str">
        <f t="shared" si="3"/>
        <v/>
      </c>
      <c r="T126" s="15" t="str">
        <f>IFERROR(__xludf.DUMMYFUNCTION("IF($A126="""","""",IFERROR(PERCENTRANK.INC(FILTER(Q:Q,$F:$F&lt;&gt;""""),Q126)*100,""""))"),"")</f>
        <v/>
      </c>
      <c r="U126" s="15" t="str">
        <f>IFERROR(__xludf.DUMMYFUNCTION("IF($A126="""","""",IFERROR(PERCENTRANK.INC(FILTER(R:R,$F:$F&lt;&gt;""""),R126)*100,""""))"),"")</f>
        <v/>
      </c>
      <c r="V126" s="15" t="str">
        <f>IFERROR(__xludf.DUMMYFUNCTION("IF($A126="""","""",IFERROR(PERCENTRANK.INC(FILTER(S:S,$F:$F&lt;&gt;""""),S126)*100,""""))"),"")</f>
        <v/>
      </c>
      <c r="W126" s="15" t="str">
        <f t="shared" si="4"/>
        <v/>
      </c>
    </row>
    <row r="127">
      <c r="B127" t="str">
        <f t="array" ref="B127">IFERROR(INDEX('Player Raw Data'!C:C,Match($A127,'Player Raw Data'!$B:$B,0)),"")</f>
        <v/>
      </c>
      <c r="C127" t="str">
        <f t="array" ref="C127">IFERROR(INDEX('Player Raw Data'!D:D,Match($A127,'Player Raw Data'!$B:$B,0)),"")</f>
        <v/>
      </c>
      <c r="D127" t="str">
        <f t="array" ref="D127">IFERROR(IF(A127=A126, INDEX('Player Raw Data'!E:E,Match($A127,'Player Raw Data'!$B:$B,0)+2),INDEX('Player Raw Data'!E:E,Match($A127,'Player Raw Data'!$B:$B,0))),"")</f>
        <v/>
      </c>
      <c r="E127" t="str">
        <f t="array" ref="E127">IFERROR(INDEX('Day Range Raw Data'!D:D,Match($A127,'Day Range Raw Data'!$B:$B,0)),"")</f>
        <v/>
      </c>
      <c r="F127" t="str">
        <f t="array" ref="F127">IFERROR(INDEX('Day Range Raw Data'!F:F,Match($A127,'Day Range Raw Data'!$B:$B,0)),"")</f>
        <v/>
      </c>
      <c r="G127" t="str">
        <f t="array" ref="G127">IFERROR(INDEX('Day Range Raw Data'!G:G,Match($A127,'Day Range Raw Data'!$B:$B,0)),"")</f>
        <v/>
      </c>
      <c r="H127" t="str">
        <f t="array" ref="H127">IFERROR(INDEX('Day Range Raw Data'!H:H,Match($A127,'Day Range Raw Data'!$B:$B,0)),"")</f>
        <v/>
      </c>
      <c r="I127" t="str">
        <f t="array" ref="I127">IFERROR(INDEX('Day Range Raw Data'!M:M,Match($A127,'Day Range Raw Data'!$B:$B,0)),"")</f>
        <v/>
      </c>
      <c r="J127" t="str">
        <f t="array" ref="J127">IFERROR(INDEX('Day Range Raw Data'!N:N,Match($A127,'Day Range Raw Data'!$B:$B,0)),"")</f>
        <v/>
      </c>
      <c r="K127" t="str">
        <f t="array" ref="K127">IFERROR(INDEX('Day Range Raw Data'!R:R,Match($A127,'Day Range Raw Data'!$B:$B,0)),"")</f>
        <v/>
      </c>
      <c r="L127" t="str">
        <f t="array" ref="L127">IFERROR(INDEX('Day Range Raw Data'!S:S,Match($A127,'Day Range Raw Data'!$B:$B,0)),"")</f>
        <v/>
      </c>
      <c r="M127" t="str">
        <f t="array" ref="M127">IFERROR(INDEX('Day Range Raw Data'!T:T,Match($A127,'Day Range Raw Data'!$B:$B,0)),"")</f>
        <v/>
      </c>
      <c r="N127" t="str">
        <f t="array" ref="N127">IFERROR(INDEX('Day Range Raw Data'!U:U,Match($A127,'Day Range Raw Data'!$B:$B,0)),"")</f>
        <v/>
      </c>
      <c r="O127" t="str">
        <f t="array" ref="O127">IFERROR(INDEX('Day Range Raw Data'!V:V,Match($A127,'Day Range Raw Data'!$B:$B,0)),"")</f>
        <v/>
      </c>
      <c r="P127" t="str">
        <f t="array" ref="P127">IFERROR(INDEX('Day Range Raw Data'!X:X,Match($A127,'Day Range Raw Data'!$B:$B,0)),"")</f>
        <v/>
      </c>
      <c r="Q127" t="str">
        <f t="shared" si="1"/>
        <v/>
      </c>
      <c r="R127" s="9" t="str">
        <f t="shared" si="2"/>
        <v/>
      </c>
      <c r="S127" s="14" t="str">
        <f t="shared" si="3"/>
        <v/>
      </c>
      <c r="T127" s="15" t="str">
        <f>IFERROR(__xludf.DUMMYFUNCTION("IF($A127="""","""",IFERROR(PERCENTRANK.INC(FILTER(Q:Q,$F:$F&lt;&gt;""""),Q127)*100,""""))"),"")</f>
        <v/>
      </c>
      <c r="U127" s="15" t="str">
        <f>IFERROR(__xludf.DUMMYFUNCTION("IF($A127="""","""",IFERROR(PERCENTRANK.INC(FILTER(R:R,$F:$F&lt;&gt;""""),R127)*100,""""))"),"")</f>
        <v/>
      </c>
      <c r="V127" s="15" t="str">
        <f>IFERROR(__xludf.DUMMYFUNCTION("IF($A127="""","""",IFERROR(PERCENTRANK.INC(FILTER(S:S,$F:$F&lt;&gt;""""),S127)*100,""""))"),"")</f>
        <v/>
      </c>
      <c r="W127" s="15" t="str">
        <f t="shared" si="4"/>
        <v/>
      </c>
    </row>
    <row r="128">
      <c r="B128" t="str">
        <f t="array" ref="B128">IFERROR(INDEX('Player Raw Data'!C:C,Match($A128,'Player Raw Data'!$B:$B,0)),"")</f>
        <v/>
      </c>
      <c r="C128" t="str">
        <f t="array" ref="C128">IFERROR(INDEX('Player Raw Data'!D:D,Match($A128,'Player Raw Data'!$B:$B,0)),"")</f>
        <v/>
      </c>
      <c r="D128" t="str">
        <f t="array" ref="D128">IFERROR(IF(A128=A127, INDEX('Player Raw Data'!E:E,Match($A128,'Player Raw Data'!$B:$B,0)+2),INDEX('Player Raw Data'!E:E,Match($A128,'Player Raw Data'!$B:$B,0))),"")</f>
        <v/>
      </c>
      <c r="E128" t="str">
        <f t="array" ref="E128">IFERROR(INDEX('Day Range Raw Data'!D:D,Match($A128,'Day Range Raw Data'!$B:$B,0)),"")</f>
        <v/>
      </c>
      <c r="F128" t="str">
        <f t="array" ref="F128">IFERROR(INDEX('Day Range Raw Data'!F:F,Match($A128,'Day Range Raw Data'!$B:$B,0)),"")</f>
        <v/>
      </c>
      <c r="G128" t="str">
        <f t="array" ref="G128">IFERROR(INDEX('Day Range Raw Data'!G:G,Match($A128,'Day Range Raw Data'!$B:$B,0)),"")</f>
        <v/>
      </c>
      <c r="H128" t="str">
        <f t="array" ref="H128">IFERROR(INDEX('Day Range Raw Data'!H:H,Match($A128,'Day Range Raw Data'!$B:$B,0)),"")</f>
        <v/>
      </c>
      <c r="I128" t="str">
        <f t="array" ref="I128">IFERROR(INDEX('Day Range Raw Data'!M:M,Match($A128,'Day Range Raw Data'!$B:$B,0)),"")</f>
        <v/>
      </c>
      <c r="J128" t="str">
        <f t="array" ref="J128">IFERROR(INDEX('Day Range Raw Data'!N:N,Match($A128,'Day Range Raw Data'!$B:$B,0)),"")</f>
        <v/>
      </c>
      <c r="K128" t="str">
        <f t="array" ref="K128">IFERROR(INDEX('Day Range Raw Data'!R:R,Match($A128,'Day Range Raw Data'!$B:$B,0)),"")</f>
        <v/>
      </c>
      <c r="L128" t="str">
        <f t="array" ref="L128">IFERROR(INDEX('Day Range Raw Data'!S:S,Match($A128,'Day Range Raw Data'!$B:$B,0)),"")</f>
        <v/>
      </c>
      <c r="M128" t="str">
        <f t="array" ref="M128">IFERROR(INDEX('Day Range Raw Data'!T:T,Match($A128,'Day Range Raw Data'!$B:$B,0)),"")</f>
        <v/>
      </c>
      <c r="N128" t="str">
        <f t="array" ref="N128">IFERROR(INDEX('Day Range Raw Data'!U:U,Match($A128,'Day Range Raw Data'!$B:$B,0)),"")</f>
        <v/>
      </c>
      <c r="O128" t="str">
        <f t="array" ref="O128">IFERROR(INDEX('Day Range Raw Data'!V:V,Match($A128,'Day Range Raw Data'!$B:$B,0)),"")</f>
        <v/>
      </c>
      <c r="P128" t="str">
        <f t="array" ref="P128">IFERROR(INDEX('Day Range Raw Data'!X:X,Match($A128,'Day Range Raw Data'!$B:$B,0)),"")</f>
        <v/>
      </c>
      <c r="Q128" t="str">
        <f t="shared" si="1"/>
        <v/>
      </c>
      <c r="R128" s="9" t="str">
        <f t="shared" si="2"/>
        <v/>
      </c>
      <c r="S128" s="14" t="str">
        <f t="shared" si="3"/>
        <v/>
      </c>
      <c r="T128" s="15" t="str">
        <f>IFERROR(__xludf.DUMMYFUNCTION("IF($A128="""","""",IFERROR(PERCENTRANK.INC(FILTER(Q:Q,$F:$F&lt;&gt;""""),Q128)*100,""""))"),"")</f>
        <v/>
      </c>
      <c r="U128" s="15" t="str">
        <f>IFERROR(__xludf.DUMMYFUNCTION("IF($A128="""","""",IFERROR(PERCENTRANK.INC(FILTER(R:R,$F:$F&lt;&gt;""""),R128)*100,""""))"),"")</f>
        <v/>
      </c>
      <c r="V128" s="15" t="str">
        <f>IFERROR(__xludf.DUMMYFUNCTION("IF($A128="""","""",IFERROR(PERCENTRANK.INC(FILTER(S:S,$F:$F&lt;&gt;""""),S128)*100,""""))"),"")</f>
        <v/>
      </c>
      <c r="W128" s="15" t="str">
        <f t="shared" si="4"/>
        <v/>
      </c>
    </row>
    <row r="129">
      <c r="B129" t="str">
        <f t="array" ref="B129">IFERROR(INDEX('Player Raw Data'!C:C,Match($A129,'Player Raw Data'!$B:$B,0)),"")</f>
        <v/>
      </c>
      <c r="C129" t="str">
        <f t="array" ref="C129">IFERROR(INDEX('Player Raw Data'!D:D,Match($A129,'Player Raw Data'!$B:$B,0)),"")</f>
        <v/>
      </c>
      <c r="D129" t="str">
        <f t="array" ref="D129">IFERROR(IF(A129=A128, INDEX('Player Raw Data'!E:E,Match($A129,'Player Raw Data'!$B:$B,0)+2),INDEX('Player Raw Data'!E:E,Match($A129,'Player Raw Data'!$B:$B,0))),"")</f>
        <v/>
      </c>
      <c r="E129" t="str">
        <f t="array" ref="E129">IFERROR(INDEX('Day Range Raw Data'!D:D,Match($A129,'Day Range Raw Data'!$B:$B,0)),"")</f>
        <v/>
      </c>
      <c r="F129" t="str">
        <f t="array" ref="F129">IFERROR(INDEX('Day Range Raw Data'!F:F,Match($A129,'Day Range Raw Data'!$B:$B,0)),"")</f>
        <v/>
      </c>
      <c r="G129" t="str">
        <f t="array" ref="G129">IFERROR(INDEX('Day Range Raw Data'!G:G,Match($A129,'Day Range Raw Data'!$B:$B,0)),"")</f>
        <v/>
      </c>
      <c r="H129" t="str">
        <f t="array" ref="H129">IFERROR(INDEX('Day Range Raw Data'!H:H,Match($A129,'Day Range Raw Data'!$B:$B,0)),"")</f>
        <v/>
      </c>
      <c r="I129" t="str">
        <f t="array" ref="I129">IFERROR(INDEX('Day Range Raw Data'!M:M,Match($A129,'Day Range Raw Data'!$B:$B,0)),"")</f>
        <v/>
      </c>
      <c r="J129" t="str">
        <f t="array" ref="J129">IFERROR(INDEX('Day Range Raw Data'!N:N,Match($A129,'Day Range Raw Data'!$B:$B,0)),"")</f>
        <v/>
      </c>
      <c r="K129" t="str">
        <f t="array" ref="K129">IFERROR(INDEX('Day Range Raw Data'!R:R,Match($A129,'Day Range Raw Data'!$B:$B,0)),"")</f>
        <v/>
      </c>
      <c r="L129" t="str">
        <f t="array" ref="L129">IFERROR(INDEX('Day Range Raw Data'!S:S,Match($A129,'Day Range Raw Data'!$B:$B,0)),"")</f>
        <v/>
      </c>
      <c r="M129" t="str">
        <f t="array" ref="M129">IFERROR(INDEX('Day Range Raw Data'!T:T,Match($A129,'Day Range Raw Data'!$B:$B,0)),"")</f>
        <v/>
      </c>
      <c r="N129" t="str">
        <f t="array" ref="N129">IFERROR(INDEX('Day Range Raw Data'!U:U,Match($A129,'Day Range Raw Data'!$B:$B,0)),"")</f>
        <v/>
      </c>
      <c r="O129" t="str">
        <f t="array" ref="O129">IFERROR(INDEX('Day Range Raw Data'!V:V,Match($A129,'Day Range Raw Data'!$B:$B,0)),"")</f>
        <v/>
      </c>
      <c r="P129" t="str">
        <f t="array" ref="P129">IFERROR(INDEX('Day Range Raw Data'!X:X,Match($A129,'Day Range Raw Data'!$B:$B,0)),"")</f>
        <v/>
      </c>
      <c r="Q129" t="str">
        <f t="shared" si="1"/>
        <v/>
      </c>
      <c r="R129" s="9" t="str">
        <f t="shared" si="2"/>
        <v/>
      </c>
      <c r="S129" s="14" t="str">
        <f t="shared" si="3"/>
        <v/>
      </c>
      <c r="T129" s="15" t="str">
        <f>IFERROR(__xludf.DUMMYFUNCTION("IF($A129="""","""",IFERROR(PERCENTRANK.INC(FILTER(Q:Q,$F:$F&lt;&gt;""""),Q129)*100,""""))"),"")</f>
        <v/>
      </c>
      <c r="U129" s="15" t="str">
        <f>IFERROR(__xludf.DUMMYFUNCTION("IF($A129="""","""",IFERROR(PERCENTRANK.INC(FILTER(R:R,$F:$F&lt;&gt;""""),R129)*100,""""))"),"")</f>
        <v/>
      </c>
      <c r="V129" s="15" t="str">
        <f>IFERROR(__xludf.DUMMYFUNCTION("IF($A129="""","""",IFERROR(PERCENTRANK.INC(FILTER(S:S,$F:$F&lt;&gt;""""),S129)*100,""""))"),"")</f>
        <v/>
      </c>
      <c r="W129" s="15" t="str">
        <f t="shared" si="4"/>
        <v/>
      </c>
    </row>
    <row r="130">
      <c r="B130" t="str">
        <f t="array" ref="B130">IFERROR(INDEX('Player Raw Data'!C:C,Match($A130,'Player Raw Data'!$B:$B,0)),"")</f>
        <v/>
      </c>
      <c r="C130" t="str">
        <f t="array" ref="C130">IFERROR(INDEX('Player Raw Data'!D:D,Match($A130,'Player Raw Data'!$B:$B,0)),"")</f>
        <v/>
      </c>
      <c r="D130" t="str">
        <f t="array" ref="D130">IFERROR(IF(A130=A129, INDEX('Player Raw Data'!E:E,Match($A130,'Player Raw Data'!$B:$B,0)+2),INDEX('Player Raw Data'!E:E,Match($A130,'Player Raw Data'!$B:$B,0))),"")</f>
        <v/>
      </c>
      <c r="E130" t="str">
        <f t="array" ref="E130">IFERROR(INDEX('Day Range Raw Data'!D:D,Match($A130,'Day Range Raw Data'!$B:$B,0)),"")</f>
        <v/>
      </c>
      <c r="F130" t="str">
        <f t="array" ref="F130">IFERROR(INDEX('Day Range Raw Data'!F:F,Match($A130,'Day Range Raw Data'!$B:$B,0)),"")</f>
        <v/>
      </c>
      <c r="G130" t="str">
        <f t="array" ref="G130">IFERROR(INDEX('Day Range Raw Data'!G:G,Match($A130,'Day Range Raw Data'!$B:$B,0)),"")</f>
        <v/>
      </c>
      <c r="H130" t="str">
        <f t="array" ref="H130">IFERROR(INDEX('Day Range Raw Data'!H:H,Match($A130,'Day Range Raw Data'!$B:$B,0)),"")</f>
        <v/>
      </c>
      <c r="I130" t="str">
        <f t="array" ref="I130">IFERROR(INDEX('Day Range Raw Data'!M:M,Match($A130,'Day Range Raw Data'!$B:$B,0)),"")</f>
        <v/>
      </c>
      <c r="J130" t="str">
        <f t="array" ref="J130">IFERROR(INDEX('Day Range Raw Data'!N:N,Match($A130,'Day Range Raw Data'!$B:$B,0)),"")</f>
        <v/>
      </c>
      <c r="K130" t="str">
        <f t="array" ref="K130">IFERROR(INDEX('Day Range Raw Data'!R:R,Match($A130,'Day Range Raw Data'!$B:$B,0)),"")</f>
        <v/>
      </c>
      <c r="L130" t="str">
        <f t="array" ref="L130">IFERROR(INDEX('Day Range Raw Data'!S:S,Match($A130,'Day Range Raw Data'!$B:$B,0)),"")</f>
        <v/>
      </c>
      <c r="M130" t="str">
        <f t="array" ref="M130">IFERROR(INDEX('Day Range Raw Data'!T:T,Match($A130,'Day Range Raw Data'!$B:$B,0)),"")</f>
        <v/>
      </c>
      <c r="N130" t="str">
        <f t="array" ref="N130">IFERROR(INDEX('Day Range Raw Data'!U:U,Match($A130,'Day Range Raw Data'!$B:$B,0)),"")</f>
        <v/>
      </c>
      <c r="O130" t="str">
        <f t="array" ref="O130">IFERROR(INDEX('Day Range Raw Data'!V:V,Match($A130,'Day Range Raw Data'!$B:$B,0)),"")</f>
        <v/>
      </c>
      <c r="P130" t="str">
        <f t="array" ref="P130">IFERROR(INDEX('Day Range Raw Data'!X:X,Match($A130,'Day Range Raw Data'!$B:$B,0)),"")</f>
        <v/>
      </c>
      <c r="Q130" t="str">
        <f t="shared" si="1"/>
        <v/>
      </c>
      <c r="R130" s="9" t="str">
        <f t="shared" si="2"/>
        <v/>
      </c>
      <c r="S130" s="14" t="str">
        <f t="shared" si="3"/>
        <v/>
      </c>
      <c r="T130" s="15" t="str">
        <f>IFERROR(__xludf.DUMMYFUNCTION("IF($A130="""","""",IFERROR(PERCENTRANK.INC(FILTER(Q:Q,$F:$F&lt;&gt;""""),Q130)*100,""""))"),"")</f>
        <v/>
      </c>
      <c r="U130" s="15" t="str">
        <f>IFERROR(__xludf.DUMMYFUNCTION("IF($A130="""","""",IFERROR(PERCENTRANK.INC(FILTER(R:R,$F:$F&lt;&gt;""""),R130)*100,""""))"),"")</f>
        <v/>
      </c>
      <c r="V130" s="15" t="str">
        <f>IFERROR(__xludf.DUMMYFUNCTION("IF($A130="""","""",IFERROR(PERCENTRANK.INC(FILTER(S:S,$F:$F&lt;&gt;""""),S130)*100,""""))"),"")</f>
        <v/>
      </c>
      <c r="W130" s="15" t="str">
        <f t="shared" si="4"/>
        <v/>
      </c>
    </row>
    <row r="131">
      <c r="B131" t="str">
        <f t="array" ref="B131">IFERROR(INDEX('Player Raw Data'!C:C,Match($A131,'Player Raw Data'!$B:$B,0)),"")</f>
        <v/>
      </c>
      <c r="C131" t="str">
        <f t="array" ref="C131">IFERROR(INDEX('Player Raw Data'!D:D,Match($A131,'Player Raw Data'!$B:$B,0)),"")</f>
        <v/>
      </c>
      <c r="D131" t="str">
        <f t="array" ref="D131">IFERROR(IF(A131=A130, INDEX('Player Raw Data'!E:E,Match($A131,'Player Raw Data'!$B:$B,0)+2),INDEX('Player Raw Data'!E:E,Match($A131,'Player Raw Data'!$B:$B,0))),"")</f>
        <v/>
      </c>
      <c r="E131" t="str">
        <f t="array" ref="E131">IFERROR(INDEX('Day Range Raw Data'!D:D,Match($A131,'Day Range Raw Data'!$B:$B,0)),"")</f>
        <v/>
      </c>
      <c r="F131" t="str">
        <f t="array" ref="F131">IFERROR(INDEX('Day Range Raw Data'!F:F,Match($A131,'Day Range Raw Data'!$B:$B,0)),"")</f>
        <v/>
      </c>
      <c r="G131" t="str">
        <f t="array" ref="G131">IFERROR(INDEX('Day Range Raw Data'!G:G,Match($A131,'Day Range Raw Data'!$B:$B,0)),"")</f>
        <v/>
      </c>
      <c r="H131" t="str">
        <f t="array" ref="H131">IFERROR(INDEX('Day Range Raw Data'!H:H,Match($A131,'Day Range Raw Data'!$B:$B,0)),"")</f>
        <v/>
      </c>
      <c r="I131" t="str">
        <f t="array" ref="I131">IFERROR(INDEX('Day Range Raw Data'!M:M,Match($A131,'Day Range Raw Data'!$B:$B,0)),"")</f>
        <v/>
      </c>
      <c r="J131" t="str">
        <f t="array" ref="J131">IFERROR(INDEX('Day Range Raw Data'!N:N,Match($A131,'Day Range Raw Data'!$B:$B,0)),"")</f>
        <v/>
      </c>
      <c r="K131" t="str">
        <f t="array" ref="K131">IFERROR(INDEX('Day Range Raw Data'!R:R,Match($A131,'Day Range Raw Data'!$B:$B,0)),"")</f>
        <v/>
      </c>
      <c r="L131" t="str">
        <f t="array" ref="L131">IFERROR(INDEX('Day Range Raw Data'!S:S,Match($A131,'Day Range Raw Data'!$B:$B,0)),"")</f>
        <v/>
      </c>
      <c r="M131" t="str">
        <f t="array" ref="M131">IFERROR(INDEX('Day Range Raw Data'!T:T,Match($A131,'Day Range Raw Data'!$B:$B,0)),"")</f>
        <v/>
      </c>
      <c r="N131" t="str">
        <f t="array" ref="N131">IFERROR(INDEX('Day Range Raw Data'!U:U,Match($A131,'Day Range Raw Data'!$B:$B,0)),"")</f>
        <v/>
      </c>
      <c r="O131" t="str">
        <f t="array" ref="O131">IFERROR(INDEX('Day Range Raw Data'!V:V,Match($A131,'Day Range Raw Data'!$B:$B,0)),"")</f>
        <v/>
      </c>
      <c r="P131" t="str">
        <f t="array" ref="P131">IFERROR(INDEX('Day Range Raw Data'!X:X,Match($A131,'Day Range Raw Data'!$B:$B,0)),"")</f>
        <v/>
      </c>
      <c r="Q131" t="str">
        <f t="shared" si="1"/>
        <v/>
      </c>
      <c r="R131" s="9" t="str">
        <f t="shared" si="2"/>
        <v/>
      </c>
      <c r="S131" s="14" t="str">
        <f t="shared" si="3"/>
        <v/>
      </c>
      <c r="T131" s="15" t="str">
        <f>IFERROR(__xludf.DUMMYFUNCTION("IF($A131="""","""",IFERROR(PERCENTRANK.INC(FILTER(Q:Q,$F:$F&lt;&gt;""""),Q131)*100,""""))"),"")</f>
        <v/>
      </c>
      <c r="U131" s="15" t="str">
        <f>IFERROR(__xludf.DUMMYFUNCTION("IF($A131="""","""",IFERROR(PERCENTRANK.INC(FILTER(R:R,$F:$F&lt;&gt;""""),R131)*100,""""))"),"")</f>
        <v/>
      </c>
      <c r="V131" s="15" t="str">
        <f>IFERROR(__xludf.DUMMYFUNCTION("IF($A131="""","""",IFERROR(PERCENTRANK.INC(FILTER(S:S,$F:$F&lt;&gt;""""),S131)*100,""""))"),"")</f>
        <v/>
      </c>
      <c r="W131" s="15" t="str">
        <f t="shared" si="4"/>
        <v/>
      </c>
    </row>
    <row r="132">
      <c r="B132" t="str">
        <f t="array" ref="B132">IFERROR(INDEX('Player Raw Data'!C:C,Match($A132,'Player Raw Data'!$B:$B,0)),"")</f>
        <v/>
      </c>
      <c r="C132" t="str">
        <f t="array" ref="C132">IFERROR(INDEX('Player Raw Data'!D:D,Match($A132,'Player Raw Data'!$B:$B,0)),"")</f>
        <v/>
      </c>
      <c r="D132" t="str">
        <f t="array" ref="D132">IFERROR(IF(A132=A131, INDEX('Player Raw Data'!E:E,Match($A132,'Player Raw Data'!$B:$B,0)+2),INDEX('Player Raw Data'!E:E,Match($A132,'Player Raw Data'!$B:$B,0))),"")</f>
        <v/>
      </c>
      <c r="E132" t="str">
        <f t="array" ref="E132">IFERROR(INDEX('Day Range Raw Data'!D:D,Match($A132,'Day Range Raw Data'!$B:$B,0)),"")</f>
        <v/>
      </c>
      <c r="F132" t="str">
        <f t="array" ref="F132">IFERROR(INDEX('Day Range Raw Data'!F:F,Match($A132,'Day Range Raw Data'!$B:$B,0)),"")</f>
        <v/>
      </c>
      <c r="G132" t="str">
        <f t="array" ref="G132">IFERROR(INDEX('Day Range Raw Data'!G:G,Match($A132,'Day Range Raw Data'!$B:$B,0)),"")</f>
        <v/>
      </c>
      <c r="H132" t="str">
        <f t="array" ref="H132">IFERROR(INDEX('Day Range Raw Data'!H:H,Match($A132,'Day Range Raw Data'!$B:$B,0)),"")</f>
        <v/>
      </c>
      <c r="I132" t="str">
        <f t="array" ref="I132">IFERROR(INDEX('Day Range Raw Data'!M:M,Match($A132,'Day Range Raw Data'!$B:$B,0)),"")</f>
        <v/>
      </c>
      <c r="J132" t="str">
        <f t="array" ref="J132">IFERROR(INDEX('Day Range Raw Data'!N:N,Match($A132,'Day Range Raw Data'!$B:$B,0)),"")</f>
        <v/>
      </c>
      <c r="K132" t="str">
        <f t="array" ref="K132">IFERROR(INDEX('Day Range Raw Data'!R:R,Match($A132,'Day Range Raw Data'!$B:$B,0)),"")</f>
        <v/>
      </c>
      <c r="L132" t="str">
        <f t="array" ref="L132">IFERROR(INDEX('Day Range Raw Data'!S:S,Match($A132,'Day Range Raw Data'!$B:$B,0)),"")</f>
        <v/>
      </c>
      <c r="M132" t="str">
        <f t="array" ref="M132">IFERROR(INDEX('Day Range Raw Data'!T:T,Match($A132,'Day Range Raw Data'!$B:$B,0)),"")</f>
        <v/>
      </c>
      <c r="N132" t="str">
        <f t="array" ref="N132">IFERROR(INDEX('Day Range Raw Data'!U:U,Match($A132,'Day Range Raw Data'!$B:$B,0)),"")</f>
        <v/>
      </c>
      <c r="O132" t="str">
        <f t="array" ref="O132">IFERROR(INDEX('Day Range Raw Data'!V:V,Match($A132,'Day Range Raw Data'!$B:$B,0)),"")</f>
        <v/>
      </c>
      <c r="P132" t="str">
        <f t="array" ref="P132">IFERROR(INDEX('Day Range Raw Data'!X:X,Match($A132,'Day Range Raw Data'!$B:$B,0)),"")</f>
        <v/>
      </c>
      <c r="Q132" t="str">
        <f t="shared" si="1"/>
        <v/>
      </c>
      <c r="R132" s="9" t="str">
        <f t="shared" si="2"/>
        <v/>
      </c>
      <c r="S132" s="14" t="str">
        <f t="shared" si="3"/>
        <v/>
      </c>
      <c r="T132" s="15" t="str">
        <f>IFERROR(__xludf.DUMMYFUNCTION("IF($A132="""","""",IFERROR(PERCENTRANK.INC(FILTER(Q:Q,$F:$F&lt;&gt;""""),Q132)*100,""""))"),"")</f>
        <v/>
      </c>
      <c r="U132" s="15" t="str">
        <f>IFERROR(__xludf.DUMMYFUNCTION("IF($A132="""","""",IFERROR(PERCENTRANK.INC(FILTER(R:R,$F:$F&lt;&gt;""""),R132)*100,""""))"),"")</f>
        <v/>
      </c>
      <c r="V132" s="15" t="str">
        <f>IFERROR(__xludf.DUMMYFUNCTION("IF($A132="""","""",IFERROR(PERCENTRANK.INC(FILTER(S:S,$F:$F&lt;&gt;""""),S132)*100,""""))"),"")</f>
        <v/>
      </c>
      <c r="W132" s="15" t="str">
        <f t="shared" si="4"/>
        <v/>
      </c>
    </row>
    <row r="133">
      <c r="B133" t="str">
        <f t="array" ref="B133">IFERROR(INDEX('Player Raw Data'!C:C,Match($A133,'Player Raw Data'!$B:$B,0)),"")</f>
        <v/>
      </c>
      <c r="C133" t="str">
        <f t="array" ref="C133">IFERROR(INDEX('Player Raw Data'!D:D,Match($A133,'Player Raw Data'!$B:$B,0)),"")</f>
        <v/>
      </c>
      <c r="D133" t="str">
        <f t="array" ref="D133">IFERROR(IF(A133=A132, INDEX('Player Raw Data'!E:E,Match($A133,'Player Raw Data'!$B:$B,0)+2),INDEX('Player Raw Data'!E:E,Match($A133,'Player Raw Data'!$B:$B,0))),"")</f>
        <v/>
      </c>
      <c r="E133" t="str">
        <f t="array" ref="E133">IFERROR(INDEX('Day Range Raw Data'!D:D,Match($A133,'Day Range Raw Data'!$B:$B,0)),"")</f>
        <v/>
      </c>
      <c r="F133" t="str">
        <f t="array" ref="F133">IFERROR(INDEX('Day Range Raw Data'!F:F,Match($A133,'Day Range Raw Data'!$B:$B,0)),"")</f>
        <v/>
      </c>
      <c r="G133" t="str">
        <f t="array" ref="G133">IFERROR(INDEX('Day Range Raw Data'!G:G,Match($A133,'Day Range Raw Data'!$B:$B,0)),"")</f>
        <v/>
      </c>
      <c r="H133" t="str">
        <f t="array" ref="H133">IFERROR(INDEX('Day Range Raw Data'!H:H,Match($A133,'Day Range Raw Data'!$B:$B,0)),"")</f>
        <v/>
      </c>
      <c r="I133" t="str">
        <f t="array" ref="I133">IFERROR(INDEX('Day Range Raw Data'!M:M,Match($A133,'Day Range Raw Data'!$B:$B,0)),"")</f>
        <v/>
      </c>
      <c r="J133" t="str">
        <f t="array" ref="J133">IFERROR(INDEX('Day Range Raw Data'!N:N,Match($A133,'Day Range Raw Data'!$B:$B,0)),"")</f>
        <v/>
      </c>
      <c r="K133" t="str">
        <f t="array" ref="K133">IFERROR(INDEX('Day Range Raw Data'!R:R,Match($A133,'Day Range Raw Data'!$B:$B,0)),"")</f>
        <v/>
      </c>
      <c r="L133" t="str">
        <f t="array" ref="L133">IFERROR(INDEX('Day Range Raw Data'!S:S,Match($A133,'Day Range Raw Data'!$B:$B,0)),"")</f>
        <v/>
      </c>
      <c r="M133" t="str">
        <f t="array" ref="M133">IFERROR(INDEX('Day Range Raw Data'!T:T,Match($A133,'Day Range Raw Data'!$B:$B,0)),"")</f>
        <v/>
      </c>
      <c r="N133" t="str">
        <f t="array" ref="N133">IFERROR(INDEX('Day Range Raw Data'!U:U,Match($A133,'Day Range Raw Data'!$B:$B,0)),"")</f>
        <v/>
      </c>
      <c r="O133" t="str">
        <f t="array" ref="O133">IFERROR(INDEX('Day Range Raw Data'!V:V,Match($A133,'Day Range Raw Data'!$B:$B,0)),"")</f>
        <v/>
      </c>
      <c r="P133" t="str">
        <f t="array" ref="P133">IFERROR(INDEX('Day Range Raw Data'!X:X,Match($A133,'Day Range Raw Data'!$B:$B,0)),"")</f>
        <v/>
      </c>
      <c r="Q133" t="str">
        <f t="shared" si="1"/>
        <v/>
      </c>
      <c r="R133" s="9" t="str">
        <f t="shared" si="2"/>
        <v/>
      </c>
      <c r="S133" s="14" t="str">
        <f t="shared" si="3"/>
        <v/>
      </c>
      <c r="T133" s="15" t="str">
        <f>IFERROR(__xludf.DUMMYFUNCTION("IF($A133="""","""",IFERROR(PERCENTRANK.INC(FILTER(Q:Q,$F:$F&lt;&gt;""""),Q133)*100,""""))"),"")</f>
        <v/>
      </c>
      <c r="U133" s="15" t="str">
        <f>IFERROR(__xludf.DUMMYFUNCTION("IF($A133="""","""",IFERROR(PERCENTRANK.INC(FILTER(R:R,$F:$F&lt;&gt;""""),R133)*100,""""))"),"")</f>
        <v/>
      </c>
      <c r="V133" s="15" t="str">
        <f>IFERROR(__xludf.DUMMYFUNCTION("IF($A133="""","""",IFERROR(PERCENTRANK.INC(FILTER(S:S,$F:$F&lt;&gt;""""),S133)*100,""""))"),"")</f>
        <v/>
      </c>
      <c r="W133" s="15" t="str">
        <f t="shared" si="4"/>
        <v/>
      </c>
    </row>
    <row r="134">
      <c r="B134" t="str">
        <f t="array" ref="B134">IFERROR(INDEX('Player Raw Data'!C:C,Match($A134,'Player Raw Data'!$B:$B,0)),"")</f>
        <v/>
      </c>
      <c r="C134" t="str">
        <f t="array" ref="C134">IFERROR(INDEX('Player Raw Data'!D:D,Match($A134,'Player Raw Data'!$B:$B,0)),"")</f>
        <v/>
      </c>
      <c r="D134" t="str">
        <f t="array" ref="D134">IFERROR(IF(A134=A133, INDEX('Player Raw Data'!E:E,Match($A134,'Player Raw Data'!$B:$B,0)+2),INDEX('Player Raw Data'!E:E,Match($A134,'Player Raw Data'!$B:$B,0))),"")</f>
        <v/>
      </c>
      <c r="E134" t="str">
        <f t="array" ref="E134">IFERROR(INDEX('Day Range Raw Data'!D:D,Match($A134,'Day Range Raw Data'!$B:$B,0)),"")</f>
        <v/>
      </c>
      <c r="F134" t="str">
        <f t="array" ref="F134">IFERROR(INDEX('Day Range Raw Data'!F:F,Match($A134,'Day Range Raw Data'!$B:$B,0)),"")</f>
        <v/>
      </c>
      <c r="G134" t="str">
        <f t="array" ref="G134">IFERROR(INDEX('Day Range Raw Data'!G:G,Match($A134,'Day Range Raw Data'!$B:$B,0)),"")</f>
        <v/>
      </c>
      <c r="H134" t="str">
        <f t="array" ref="H134">IFERROR(INDEX('Day Range Raw Data'!H:H,Match($A134,'Day Range Raw Data'!$B:$B,0)),"")</f>
        <v/>
      </c>
      <c r="I134" t="str">
        <f t="array" ref="I134">IFERROR(INDEX('Day Range Raw Data'!M:M,Match($A134,'Day Range Raw Data'!$B:$B,0)),"")</f>
        <v/>
      </c>
      <c r="J134" t="str">
        <f t="array" ref="J134">IFERROR(INDEX('Day Range Raw Data'!N:N,Match($A134,'Day Range Raw Data'!$B:$B,0)),"")</f>
        <v/>
      </c>
      <c r="K134" t="str">
        <f t="array" ref="K134">IFERROR(INDEX('Day Range Raw Data'!R:R,Match($A134,'Day Range Raw Data'!$B:$B,0)),"")</f>
        <v/>
      </c>
      <c r="L134" t="str">
        <f t="array" ref="L134">IFERROR(INDEX('Day Range Raw Data'!S:S,Match($A134,'Day Range Raw Data'!$B:$B,0)),"")</f>
        <v/>
      </c>
      <c r="M134" t="str">
        <f t="array" ref="M134">IFERROR(INDEX('Day Range Raw Data'!T:T,Match($A134,'Day Range Raw Data'!$B:$B,0)),"")</f>
        <v/>
      </c>
      <c r="N134" t="str">
        <f t="array" ref="N134">IFERROR(INDEX('Day Range Raw Data'!U:U,Match($A134,'Day Range Raw Data'!$B:$B,0)),"")</f>
        <v/>
      </c>
      <c r="O134" t="str">
        <f t="array" ref="O134">IFERROR(INDEX('Day Range Raw Data'!V:V,Match($A134,'Day Range Raw Data'!$B:$B,0)),"")</f>
        <v/>
      </c>
      <c r="P134" t="str">
        <f t="array" ref="P134">IFERROR(INDEX('Day Range Raw Data'!X:X,Match($A134,'Day Range Raw Data'!$B:$B,0)),"")</f>
        <v/>
      </c>
      <c r="Q134" t="str">
        <f t="shared" si="1"/>
        <v/>
      </c>
      <c r="R134" s="9" t="str">
        <f t="shared" si="2"/>
        <v/>
      </c>
      <c r="S134" s="14" t="str">
        <f t="shared" si="3"/>
        <v/>
      </c>
      <c r="T134" s="15" t="str">
        <f>IFERROR(__xludf.DUMMYFUNCTION("IF($A134="""","""",IFERROR(PERCENTRANK.INC(FILTER(Q:Q,$F:$F&lt;&gt;""""),Q134)*100,""""))"),"")</f>
        <v/>
      </c>
      <c r="U134" s="15" t="str">
        <f>IFERROR(__xludf.DUMMYFUNCTION("IF($A134="""","""",IFERROR(PERCENTRANK.INC(FILTER(R:R,$F:$F&lt;&gt;""""),R134)*100,""""))"),"")</f>
        <v/>
      </c>
      <c r="V134" s="15" t="str">
        <f>IFERROR(__xludf.DUMMYFUNCTION("IF($A134="""","""",IFERROR(PERCENTRANK.INC(FILTER(S:S,$F:$F&lt;&gt;""""),S134)*100,""""))"),"")</f>
        <v/>
      </c>
      <c r="W134" s="15" t="str">
        <f t="shared" si="4"/>
        <v/>
      </c>
    </row>
    <row r="135">
      <c r="B135" t="str">
        <f t="array" ref="B135">IFERROR(INDEX('Player Raw Data'!C:C,Match($A135,'Player Raw Data'!$B:$B,0)),"")</f>
        <v/>
      </c>
      <c r="C135" t="str">
        <f t="array" ref="C135">IFERROR(INDEX('Player Raw Data'!D:D,Match($A135,'Player Raw Data'!$B:$B,0)),"")</f>
        <v/>
      </c>
      <c r="D135" t="str">
        <f t="array" ref="D135">IFERROR(IF(A135=A134, INDEX('Player Raw Data'!E:E,Match($A135,'Player Raw Data'!$B:$B,0)+2),INDEX('Player Raw Data'!E:E,Match($A135,'Player Raw Data'!$B:$B,0))),"")</f>
        <v/>
      </c>
      <c r="E135" t="str">
        <f t="array" ref="E135">IFERROR(INDEX('Day Range Raw Data'!D:D,Match($A135,'Day Range Raw Data'!$B:$B,0)),"")</f>
        <v/>
      </c>
      <c r="F135" t="str">
        <f t="array" ref="F135">IFERROR(INDEX('Day Range Raw Data'!F:F,Match($A135,'Day Range Raw Data'!$B:$B,0)),"")</f>
        <v/>
      </c>
      <c r="G135" t="str">
        <f t="array" ref="G135">IFERROR(INDEX('Day Range Raw Data'!G:G,Match($A135,'Day Range Raw Data'!$B:$B,0)),"")</f>
        <v/>
      </c>
      <c r="H135" t="str">
        <f t="array" ref="H135">IFERROR(INDEX('Day Range Raw Data'!H:H,Match($A135,'Day Range Raw Data'!$B:$B,0)),"")</f>
        <v/>
      </c>
      <c r="I135" t="str">
        <f t="array" ref="I135">IFERROR(INDEX('Day Range Raw Data'!M:M,Match($A135,'Day Range Raw Data'!$B:$B,0)),"")</f>
        <v/>
      </c>
      <c r="J135" t="str">
        <f t="array" ref="J135">IFERROR(INDEX('Day Range Raw Data'!N:N,Match($A135,'Day Range Raw Data'!$B:$B,0)),"")</f>
        <v/>
      </c>
      <c r="K135" t="str">
        <f t="array" ref="K135">IFERROR(INDEX('Day Range Raw Data'!R:R,Match($A135,'Day Range Raw Data'!$B:$B,0)),"")</f>
        <v/>
      </c>
      <c r="L135" t="str">
        <f t="array" ref="L135">IFERROR(INDEX('Day Range Raw Data'!S:S,Match($A135,'Day Range Raw Data'!$B:$B,0)),"")</f>
        <v/>
      </c>
      <c r="M135" t="str">
        <f t="array" ref="M135">IFERROR(INDEX('Day Range Raw Data'!T:T,Match($A135,'Day Range Raw Data'!$B:$B,0)),"")</f>
        <v/>
      </c>
      <c r="N135" t="str">
        <f t="array" ref="N135">IFERROR(INDEX('Day Range Raw Data'!U:U,Match($A135,'Day Range Raw Data'!$B:$B,0)),"")</f>
        <v/>
      </c>
      <c r="O135" t="str">
        <f t="array" ref="O135">IFERROR(INDEX('Day Range Raw Data'!V:V,Match($A135,'Day Range Raw Data'!$B:$B,0)),"")</f>
        <v/>
      </c>
      <c r="P135" t="str">
        <f t="array" ref="P135">IFERROR(INDEX('Day Range Raw Data'!X:X,Match($A135,'Day Range Raw Data'!$B:$B,0)),"")</f>
        <v/>
      </c>
      <c r="Q135" t="str">
        <f t="shared" si="1"/>
        <v/>
      </c>
      <c r="R135" s="9" t="str">
        <f t="shared" si="2"/>
        <v/>
      </c>
      <c r="S135" s="14" t="str">
        <f t="shared" si="3"/>
        <v/>
      </c>
      <c r="T135" s="15" t="str">
        <f>IFERROR(__xludf.DUMMYFUNCTION("IF($A135="""","""",IFERROR(PERCENTRANK.INC(FILTER(Q:Q,$F:$F&lt;&gt;""""),Q135)*100,""""))"),"")</f>
        <v/>
      </c>
      <c r="U135" s="15" t="str">
        <f>IFERROR(__xludf.DUMMYFUNCTION("IF($A135="""","""",IFERROR(PERCENTRANK.INC(FILTER(R:R,$F:$F&lt;&gt;""""),R135)*100,""""))"),"")</f>
        <v/>
      </c>
      <c r="V135" s="15" t="str">
        <f>IFERROR(__xludf.DUMMYFUNCTION("IF($A135="""","""",IFERROR(PERCENTRANK.INC(FILTER(S:S,$F:$F&lt;&gt;""""),S135)*100,""""))"),"")</f>
        <v/>
      </c>
      <c r="W135" s="15" t="str">
        <f t="shared" si="4"/>
        <v/>
      </c>
    </row>
    <row r="136">
      <c r="B136" t="str">
        <f t="array" ref="B136">IFERROR(INDEX('Player Raw Data'!C:C,Match($A136,'Player Raw Data'!$B:$B,0)),"")</f>
        <v/>
      </c>
      <c r="C136" t="str">
        <f t="array" ref="C136">IFERROR(INDEX('Player Raw Data'!D:D,Match($A136,'Player Raw Data'!$B:$B,0)),"")</f>
        <v/>
      </c>
      <c r="D136" t="str">
        <f t="array" ref="D136">IFERROR(IF(A136=A135, INDEX('Player Raw Data'!E:E,Match($A136,'Player Raw Data'!$B:$B,0)+2),INDEX('Player Raw Data'!E:E,Match($A136,'Player Raw Data'!$B:$B,0))),"")</f>
        <v/>
      </c>
      <c r="E136" t="str">
        <f t="array" ref="E136">IFERROR(INDEX('Day Range Raw Data'!D:D,Match($A136,'Day Range Raw Data'!$B:$B,0)),"")</f>
        <v/>
      </c>
      <c r="F136" t="str">
        <f t="array" ref="F136">IFERROR(INDEX('Day Range Raw Data'!F:F,Match($A136,'Day Range Raw Data'!$B:$B,0)),"")</f>
        <v/>
      </c>
      <c r="G136" t="str">
        <f t="array" ref="G136">IFERROR(INDEX('Day Range Raw Data'!G:G,Match($A136,'Day Range Raw Data'!$B:$B,0)),"")</f>
        <v/>
      </c>
      <c r="H136" t="str">
        <f t="array" ref="H136">IFERROR(INDEX('Day Range Raw Data'!H:H,Match($A136,'Day Range Raw Data'!$B:$B,0)),"")</f>
        <v/>
      </c>
      <c r="I136" t="str">
        <f t="array" ref="I136">IFERROR(INDEX('Day Range Raw Data'!M:M,Match($A136,'Day Range Raw Data'!$B:$B,0)),"")</f>
        <v/>
      </c>
      <c r="J136" t="str">
        <f t="array" ref="J136">IFERROR(INDEX('Day Range Raw Data'!N:N,Match($A136,'Day Range Raw Data'!$B:$B,0)),"")</f>
        <v/>
      </c>
      <c r="K136" t="str">
        <f t="array" ref="K136">IFERROR(INDEX('Day Range Raw Data'!R:R,Match($A136,'Day Range Raw Data'!$B:$B,0)),"")</f>
        <v/>
      </c>
      <c r="L136" t="str">
        <f t="array" ref="L136">IFERROR(INDEX('Day Range Raw Data'!S:S,Match($A136,'Day Range Raw Data'!$B:$B,0)),"")</f>
        <v/>
      </c>
      <c r="M136" t="str">
        <f t="array" ref="M136">IFERROR(INDEX('Day Range Raw Data'!T:T,Match($A136,'Day Range Raw Data'!$B:$B,0)),"")</f>
        <v/>
      </c>
      <c r="N136" t="str">
        <f t="array" ref="N136">IFERROR(INDEX('Day Range Raw Data'!U:U,Match($A136,'Day Range Raw Data'!$B:$B,0)),"")</f>
        <v/>
      </c>
      <c r="O136" t="str">
        <f t="array" ref="O136">IFERROR(INDEX('Day Range Raw Data'!V:V,Match($A136,'Day Range Raw Data'!$B:$B,0)),"")</f>
        <v/>
      </c>
      <c r="P136" t="str">
        <f t="array" ref="P136">IFERROR(INDEX('Day Range Raw Data'!X:X,Match($A136,'Day Range Raw Data'!$B:$B,0)),"")</f>
        <v/>
      </c>
      <c r="Q136" t="str">
        <f t="shared" si="1"/>
        <v/>
      </c>
      <c r="R136" s="9" t="str">
        <f t="shared" si="2"/>
        <v/>
      </c>
      <c r="S136" s="14" t="str">
        <f t="shared" si="3"/>
        <v/>
      </c>
      <c r="T136" s="15" t="str">
        <f>IFERROR(__xludf.DUMMYFUNCTION("IF($A136="""","""",IFERROR(PERCENTRANK.INC(FILTER(Q:Q,$F:$F&lt;&gt;""""),Q136)*100,""""))"),"")</f>
        <v/>
      </c>
      <c r="U136" s="15" t="str">
        <f>IFERROR(__xludf.DUMMYFUNCTION("IF($A136="""","""",IFERROR(PERCENTRANK.INC(FILTER(R:R,$F:$F&lt;&gt;""""),R136)*100,""""))"),"")</f>
        <v/>
      </c>
      <c r="V136" s="15" t="str">
        <f>IFERROR(__xludf.DUMMYFUNCTION("IF($A136="""","""",IFERROR(PERCENTRANK.INC(FILTER(S:S,$F:$F&lt;&gt;""""),S136)*100,""""))"),"")</f>
        <v/>
      </c>
      <c r="W136" s="15" t="str">
        <f t="shared" si="4"/>
        <v/>
      </c>
    </row>
    <row r="137">
      <c r="B137" t="str">
        <f t="array" ref="B137">IFERROR(INDEX('Player Raw Data'!C:C,Match($A137,'Player Raw Data'!$B:$B,0)),"")</f>
        <v/>
      </c>
      <c r="C137" t="str">
        <f t="array" ref="C137">IFERROR(INDEX('Player Raw Data'!D:D,Match($A137,'Player Raw Data'!$B:$B,0)),"")</f>
        <v/>
      </c>
      <c r="D137" t="str">
        <f t="array" ref="D137">IFERROR(IF(A137=A136, INDEX('Player Raw Data'!E:E,Match($A137,'Player Raw Data'!$B:$B,0)+2),INDEX('Player Raw Data'!E:E,Match($A137,'Player Raw Data'!$B:$B,0))),"")</f>
        <v/>
      </c>
      <c r="E137" t="str">
        <f t="array" ref="E137">IFERROR(INDEX('Day Range Raw Data'!D:D,Match($A137,'Day Range Raw Data'!$B:$B,0)),"")</f>
        <v/>
      </c>
      <c r="F137" t="str">
        <f t="array" ref="F137">IFERROR(INDEX('Day Range Raw Data'!F:F,Match($A137,'Day Range Raw Data'!$B:$B,0)),"")</f>
        <v/>
      </c>
      <c r="G137" t="str">
        <f t="array" ref="G137">IFERROR(INDEX('Day Range Raw Data'!G:G,Match($A137,'Day Range Raw Data'!$B:$B,0)),"")</f>
        <v/>
      </c>
      <c r="H137" t="str">
        <f t="array" ref="H137">IFERROR(INDEX('Day Range Raw Data'!H:H,Match($A137,'Day Range Raw Data'!$B:$B,0)),"")</f>
        <v/>
      </c>
      <c r="I137" t="str">
        <f t="array" ref="I137">IFERROR(INDEX('Day Range Raw Data'!M:M,Match($A137,'Day Range Raw Data'!$B:$B,0)),"")</f>
        <v/>
      </c>
      <c r="J137" t="str">
        <f t="array" ref="J137">IFERROR(INDEX('Day Range Raw Data'!N:N,Match($A137,'Day Range Raw Data'!$B:$B,0)),"")</f>
        <v/>
      </c>
      <c r="K137" t="str">
        <f t="array" ref="K137">IFERROR(INDEX('Day Range Raw Data'!R:R,Match($A137,'Day Range Raw Data'!$B:$B,0)),"")</f>
        <v/>
      </c>
      <c r="L137" t="str">
        <f t="array" ref="L137">IFERROR(INDEX('Day Range Raw Data'!S:S,Match($A137,'Day Range Raw Data'!$B:$B,0)),"")</f>
        <v/>
      </c>
      <c r="M137" t="str">
        <f t="array" ref="M137">IFERROR(INDEX('Day Range Raw Data'!T:T,Match($A137,'Day Range Raw Data'!$B:$B,0)),"")</f>
        <v/>
      </c>
      <c r="N137" t="str">
        <f t="array" ref="N137">IFERROR(INDEX('Day Range Raw Data'!U:U,Match($A137,'Day Range Raw Data'!$B:$B,0)),"")</f>
        <v/>
      </c>
      <c r="O137" t="str">
        <f t="array" ref="O137">IFERROR(INDEX('Day Range Raw Data'!V:V,Match($A137,'Day Range Raw Data'!$B:$B,0)),"")</f>
        <v/>
      </c>
      <c r="P137" t="str">
        <f t="array" ref="P137">IFERROR(INDEX('Day Range Raw Data'!X:X,Match($A137,'Day Range Raw Data'!$B:$B,0)),"")</f>
        <v/>
      </c>
      <c r="Q137" t="str">
        <f t="shared" si="1"/>
        <v/>
      </c>
      <c r="R137" s="9" t="str">
        <f t="shared" si="2"/>
        <v/>
      </c>
      <c r="S137" s="14" t="str">
        <f t="shared" si="3"/>
        <v/>
      </c>
      <c r="T137" s="15" t="str">
        <f>IFERROR(__xludf.DUMMYFUNCTION("IF($A137="""","""",IFERROR(PERCENTRANK.INC(FILTER(Q:Q,$F:$F&lt;&gt;""""),Q137)*100,""""))"),"")</f>
        <v/>
      </c>
      <c r="U137" s="15" t="str">
        <f>IFERROR(__xludf.DUMMYFUNCTION("IF($A137="""","""",IFERROR(PERCENTRANK.INC(FILTER(R:R,$F:$F&lt;&gt;""""),R137)*100,""""))"),"")</f>
        <v/>
      </c>
      <c r="V137" s="15" t="str">
        <f>IFERROR(__xludf.DUMMYFUNCTION("IF($A137="""","""",IFERROR(PERCENTRANK.INC(FILTER(S:S,$F:$F&lt;&gt;""""),S137)*100,""""))"),"")</f>
        <v/>
      </c>
      <c r="W137" s="15" t="str">
        <f t="shared" si="4"/>
        <v/>
      </c>
    </row>
    <row r="138">
      <c r="B138" t="str">
        <f t="array" ref="B138">IFERROR(INDEX('Player Raw Data'!C:C,Match($A138,'Player Raw Data'!$B:$B,0)),"")</f>
        <v/>
      </c>
      <c r="C138" t="str">
        <f t="array" ref="C138">IFERROR(INDEX('Player Raw Data'!D:D,Match($A138,'Player Raw Data'!$B:$B,0)),"")</f>
        <v/>
      </c>
      <c r="D138" t="str">
        <f t="array" ref="D138">IFERROR(IF(A138=A137, INDEX('Player Raw Data'!E:E,Match($A138,'Player Raw Data'!$B:$B,0)+2),INDEX('Player Raw Data'!E:E,Match($A138,'Player Raw Data'!$B:$B,0))),"")</f>
        <v/>
      </c>
      <c r="E138" t="str">
        <f t="array" ref="E138">IFERROR(INDEX('Day Range Raw Data'!D:D,Match($A138,'Day Range Raw Data'!$B:$B,0)),"")</f>
        <v/>
      </c>
      <c r="F138" t="str">
        <f t="array" ref="F138">IFERROR(INDEX('Day Range Raw Data'!F:F,Match($A138,'Day Range Raw Data'!$B:$B,0)),"")</f>
        <v/>
      </c>
      <c r="G138" t="str">
        <f t="array" ref="G138">IFERROR(INDEX('Day Range Raw Data'!G:G,Match($A138,'Day Range Raw Data'!$B:$B,0)),"")</f>
        <v/>
      </c>
      <c r="H138" t="str">
        <f t="array" ref="H138">IFERROR(INDEX('Day Range Raw Data'!H:H,Match($A138,'Day Range Raw Data'!$B:$B,0)),"")</f>
        <v/>
      </c>
      <c r="I138" t="str">
        <f t="array" ref="I138">IFERROR(INDEX('Day Range Raw Data'!M:M,Match($A138,'Day Range Raw Data'!$B:$B,0)),"")</f>
        <v/>
      </c>
      <c r="J138" t="str">
        <f t="array" ref="J138">IFERROR(INDEX('Day Range Raw Data'!N:N,Match($A138,'Day Range Raw Data'!$B:$B,0)),"")</f>
        <v/>
      </c>
      <c r="K138" t="str">
        <f t="array" ref="K138">IFERROR(INDEX('Day Range Raw Data'!R:R,Match($A138,'Day Range Raw Data'!$B:$B,0)),"")</f>
        <v/>
      </c>
      <c r="L138" t="str">
        <f t="array" ref="L138">IFERROR(INDEX('Day Range Raw Data'!S:S,Match($A138,'Day Range Raw Data'!$B:$B,0)),"")</f>
        <v/>
      </c>
      <c r="M138" t="str">
        <f t="array" ref="M138">IFERROR(INDEX('Day Range Raw Data'!T:T,Match($A138,'Day Range Raw Data'!$B:$B,0)),"")</f>
        <v/>
      </c>
      <c r="N138" t="str">
        <f t="array" ref="N138">IFERROR(INDEX('Day Range Raw Data'!U:U,Match($A138,'Day Range Raw Data'!$B:$B,0)),"")</f>
        <v/>
      </c>
      <c r="O138" t="str">
        <f t="array" ref="O138">IFERROR(INDEX('Day Range Raw Data'!V:V,Match($A138,'Day Range Raw Data'!$B:$B,0)),"")</f>
        <v/>
      </c>
      <c r="P138" t="str">
        <f t="array" ref="P138">IFERROR(INDEX('Day Range Raw Data'!X:X,Match($A138,'Day Range Raw Data'!$B:$B,0)),"")</f>
        <v/>
      </c>
      <c r="Q138" t="str">
        <f t="shared" si="1"/>
        <v/>
      </c>
      <c r="R138" s="9" t="str">
        <f t="shared" si="2"/>
        <v/>
      </c>
      <c r="S138" s="14" t="str">
        <f t="shared" si="3"/>
        <v/>
      </c>
      <c r="T138" s="15" t="str">
        <f>IFERROR(__xludf.DUMMYFUNCTION("IF($A138="""","""",IFERROR(PERCENTRANK.INC(FILTER(Q:Q,$F:$F&lt;&gt;""""),Q138)*100,""""))"),"")</f>
        <v/>
      </c>
      <c r="U138" s="15" t="str">
        <f>IFERROR(__xludf.DUMMYFUNCTION("IF($A138="""","""",IFERROR(PERCENTRANK.INC(FILTER(R:R,$F:$F&lt;&gt;""""),R138)*100,""""))"),"")</f>
        <v/>
      </c>
      <c r="V138" s="15" t="str">
        <f>IFERROR(__xludf.DUMMYFUNCTION("IF($A138="""","""",IFERROR(PERCENTRANK.INC(FILTER(S:S,$F:$F&lt;&gt;""""),S138)*100,""""))"),"")</f>
        <v/>
      </c>
      <c r="W138" s="15" t="str">
        <f t="shared" si="4"/>
        <v/>
      </c>
    </row>
    <row r="139">
      <c r="B139" t="str">
        <f t="array" ref="B139">IFERROR(INDEX('Player Raw Data'!C:C,Match($A139,'Player Raw Data'!$B:$B,0)),"")</f>
        <v/>
      </c>
      <c r="C139" t="str">
        <f t="array" ref="C139">IFERROR(INDEX('Player Raw Data'!D:D,Match($A139,'Player Raw Data'!$B:$B,0)),"")</f>
        <v/>
      </c>
      <c r="D139" t="str">
        <f t="array" ref="D139">IFERROR(IF(A139=A138, INDEX('Player Raw Data'!E:E,Match($A139,'Player Raw Data'!$B:$B,0)+2),INDEX('Player Raw Data'!E:E,Match($A139,'Player Raw Data'!$B:$B,0))),"")</f>
        <v/>
      </c>
      <c r="E139" t="str">
        <f t="array" ref="E139">IFERROR(INDEX('Day Range Raw Data'!D:D,Match($A139,'Day Range Raw Data'!$B:$B,0)),"")</f>
        <v/>
      </c>
      <c r="F139" t="str">
        <f t="array" ref="F139">IFERROR(INDEX('Day Range Raw Data'!F:F,Match($A139,'Day Range Raw Data'!$B:$B,0)),"")</f>
        <v/>
      </c>
      <c r="G139" t="str">
        <f t="array" ref="G139">IFERROR(INDEX('Day Range Raw Data'!G:G,Match($A139,'Day Range Raw Data'!$B:$B,0)),"")</f>
        <v/>
      </c>
      <c r="H139" t="str">
        <f t="array" ref="H139">IFERROR(INDEX('Day Range Raw Data'!H:H,Match($A139,'Day Range Raw Data'!$B:$B,0)),"")</f>
        <v/>
      </c>
      <c r="I139" t="str">
        <f t="array" ref="I139">IFERROR(INDEX('Day Range Raw Data'!M:M,Match($A139,'Day Range Raw Data'!$B:$B,0)),"")</f>
        <v/>
      </c>
      <c r="J139" t="str">
        <f t="array" ref="J139">IFERROR(INDEX('Day Range Raw Data'!N:N,Match($A139,'Day Range Raw Data'!$B:$B,0)),"")</f>
        <v/>
      </c>
      <c r="K139" t="str">
        <f t="array" ref="K139">IFERROR(INDEX('Day Range Raw Data'!R:R,Match($A139,'Day Range Raw Data'!$B:$B,0)),"")</f>
        <v/>
      </c>
      <c r="L139" t="str">
        <f t="array" ref="L139">IFERROR(INDEX('Day Range Raw Data'!S:S,Match($A139,'Day Range Raw Data'!$B:$B,0)),"")</f>
        <v/>
      </c>
      <c r="M139" t="str">
        <f t="array" ref="M139">IFERROR(INDEX('Day Range Raw Data'!T:T,Match($A139,'Day Range Raw Data'!$B:$B,0)),"")</f>
        <v/>
      </c>
      <c r="N139" t="str">
        <f t="array" ref="N139">IFERROR(INDEX('Day Range Raw Data'!U:U,Match($A139,'Day Range Raw Data'!$B:$B,0)),"")</f>
        <v/>
      </c>
      <c r="O139" t="str">
        <f t="array" ref="O139">IFERROR(INDEX('Day Range Raw Data'!V:V,Match($A139,'Day Range Raw Data'!$B:$B,0)),"")</f>
        <v/>
      </c>
      <c r="P139" t="str">
        <f t="array" ref="P139">IFERROR(INDEX('Day Range Raw Data'!X:X,Match($A139,'Day Range Raw Data'!$B:$B,0)),"")</f>
        <v/>
      </c>
      <c r="Q139" t="str">
        <f t="shared" si="1"/>
        <v/>
      </c>
      <c r="R139" s="9" t="str">
        <f t="shared" si="2"/>
        <v/>
      </c>
      <c r="S139" s="14" t="str">
        <f t="shared" si="3"/>
        <v/>
      </c>
      <c r="T139" s="15" t="str">
        <f>IFERROR(__xludf.DUMMYFUNCTION("IF($A139="""","""",IFERROR(PERCENTRANK.INC(FILTER(Q:Q,$F:$F&lt;&gt;""""),Q139)*100,""""))"),"")</f>
        <v/>
      </c>
      <c r="U139" s="15" t="str">
        <f>IFERROR(__xludf.DUMMYFUNCTION("IF($A139="""","""",IFERROR(PERCENTRANK.INC(FILTER(R:R,$F:$F&lt;&gt;""""),R139)*100,""""))"),"")</f>
        <v/>
      </c>
      <c r="V139" s="15" t="str">
        <f>IFERROR(__xludf.DUMMYFUNCTION("IF($A139="""","""",IFERROR(PERCENTRANK.INC(FILTER(S:S,$F:$F&lt;&gt;""""),S139)*100,""""))"),"")</f>
        <v/>
      </c>
      <c r="W139" s="15" t="str">
        <f t="shared" si="4"/>
        <v/>
      </c>
    </row>
    <row r="140">
      <c r="B140" t="str">
        <f t="array" ref="B140">IFERROR(INDEX('Player Raw Data'!C:C,Match($A140,'Player Raw Data'!$B:$B,0)),"")</f>
        <v/>
      </c>
      <c r="C140" t="str">
        <f t="array" ref="C140">IFERROR(INDEX('Player Raw Data'!D:D,Match($A140,'Player Raw Data'!$B:$B,0)),"")</f>
        <v/>
      </c>
      <c r="D140" t="str">
        <f t="array" ref="D140">IFERROR(IF(A140=A139, INDEX('Player Raw Data'!E:E,Match($A140,'Player Raw Data'!$B:$B,0)+2),INDEX('Player Raw Data'!E:E,Match($A140,'Player Raw Data'!$B:$B,0))),"")</f>
        <v/>
      </c>
      <c r="E140" t="str">
        <f t="array" ref="E140">IFERROR(INDEX('Day Range Raw Data'!D:D,Match($A140,'Day Range Raw Data'!$B:$B,0)),"")</f>
        <v/>
      </c>
      <c r="F140" t="str">
        <f t="array" ref="F140">IFERROR(INDEX('Day Range Raw Data'!F:F,Match($A140,'Day Range Raw Data'!$B:$B,0)),"")</f>
        <v/>
      </c>
      <c r="G140" t="str">
        <f t="array" ref="G140">IFERROR(INDEX('Day Range Raw Data'!G:G,Match($A140,'Day Range Raw Data'!$B:$B,0)),"")</f>
        <v/>
      </c>
      <c r="H140" t="str">
        <f t="array" ref="H140">IFERROR(INDEX('Day Range Raw Data'!H:H,Match($A140,'Day Range Raw Data'!$B:$B,0)),"")</f>
        <v/>
      </c>
      <c r="I140" t="str">
        <f t="array" ref="I140">IFERROR(INDEX('Day Range Raw Data'!M:M,Match($A140,'Day Range Raw Data'!$B:$B,0)),"")</f>
        <v/>
      </c>
      <c r="J140" t="str">
        <f t="array" ref="J140">IFERROR(INDEX('Day Range Raw Data'!N:N,Match($A140,'Day Range Raw Data'!$B:$B,0)),"")</f>
        <v/>
      </c>
      <c r="K140" t="str">
        <f t="array" ref="K140">IFERROR(INDEX('Day Range Raw Data'!R:R,Match($A140,'Day Range Raw Data'!$B:$B,0)),"")</f>
        <v/>
      </c>
      <c r="L140" t="str">
        <f t="array" ref="L140">IFERROR(INDEX('Day Range Raw Data'!S:S,Match($A140,'Day Range Raw Data'!$B:$B,0)),"")</f>
        <v/>
      </c>
      <c r="M140" t="str">
        <f t="array" ref="M140">IFERROR(INDEX('Day Range Raw Data'!T:T,Match($A140,'Day Range Raw Data'!$B:$B,0)),"")</f>
        <v/>
      </c>
      <c r="N140" t="str">
        <f t="array" ref="N140">IFERROR(INDEX('Day Range Raw Data'!U:U,Match($A140,'Day Range Raw Data'!$B:$B,0)),"")</f>
        <v/>
      </c>
      <c r="O140" t="str">
        <f t="array" ref="O140">IFERROR(INDEX('Day Range Raw Data'!V:V,Match($A140,'Day Range Raw Data'!$B:$B,0)),"")</f>
        <v/>
      </c>
      <c r="P140" t="str">
        <f t="array" ref="P140">IFERROR(INDEX('Day Range Raw Data'!X:X,Match($A140,'Day Range Raw Data'!$B:$B,0)),"")</f>
        <v/>
      </c>
      <c r="Q140" t="str">
        <f t="shared" si="1"/>
        <v/>
      </c>
      <c r="R140" s="9" t="str">
        <f t="shared" si="2"/>
        <v/>
      </c>
      <c r="S140" s="14" t="str">
        <f t="shared" si="3"/>
        <v/>
      </c>
      <c r="T140" s="15" t="str">
        <f>IFERROR(__xludf.DUMMYFUNCTION("IF($A140="""","""",IFERROR(PERCENTRANK.INC(FILTER(Q:Q,$F:$F&lt;&gt;""""),Q140)*100,""""))"),"")</f>
        <v/>
      </c>
      <c r="U140" s="15" t="str">
        <f>IFERROR(__xludf.DUMMYFUNCTION("IF($A140="""","""",IFERROR(PERCENTRANK.INC(FILTER(R:R,$F:$F&lt;&gt;""""),R140)*100,""""))"),"")</f>
        <v/>
      </c>
      <c r="V140" s="15" t="str">
        <f>IFERROR(__xludf.DUMMYFUNCTION("IF($A140="""","""",IFERROR(PERCENTRANK.INC(FILTER(S:S,$F:$F&lt;&gt;""""),S140)*100,""""))"),"")</f>
        <v/>
      </c>
      <c r="W140" s="15" t="str">
        <f t="shared" si="4"/>
        <v/>
      </c>
    </row>
    <row r="141">
      <c r="B141" t="str">
        <f t="array" ref="B141">IFERROR(INDEX('Player Raw Data'!C:C,Match($A141,'Player Raw Data'!$B:$B,0)),"")</f>
        <v/>
      </c>
      <c r="C141" t="str">
        <f t="array" ref="C141">IFERROR(INDEX('Player Raw Data'!D:D,Match($A141,'Player Raw Data'!$B:$B,0)),"")</f>
        <v/>
      </c>
      <c r="D141" t="str">
        <f t="array" ref="D141">IFERROR(IF(A141=A140, INDEX('Player Raw Data'!E:E,Match($A141,'Player Raw Data'!$B:$B,0)+2),INDEX('Player Raw Data'!E:E,Match($A141,'Player Raw Data'!$B:$B,0))),"")</f>
        <v/>
      </c>
      <c r="E141" t="str">
        <f t="array" ref="E141">IFERROR(INDEX('Day Range Raw Data'!D:D,Match($A141,'Day Range Raw Data'!$B:$B,0)),"")</f>
        <v/>
      </c>
      <c r="F141" t="str">
        <f t="array" ref="F141">IFERROR(INDEX('Day Range Raw Data'!F:F,Match($A141,'Day Range Raw Data'!$B:$B,0)),"")</f>
        <v/>
      </c>
      <c r="G141" t="str">
        <f t="array" ref="G141">IFERROR(INDEX('Day Range Raw Data'!G:G,Match($A141,'Day Range Raw Data'!$B:$B,0)),"")</f>
        <v/>
      </c>
      <c r="H141" t="str">
        <f t="array" ref="H141">IFERROR(INDEX('Day Range Raw Data'!H:H,Match($A141,'Day Range Raw Data'!$B:$B,0)),"")</f>
        <v/>
      </c>
      <c r="I141" t="str">
        <f t="array" ref="I141">IFERROR(INDEX('Day Range Raw Data'!M:M,Match($A141,'Day Range Raw Data'!$B:$B,0)),"")</f>
        <v/>
      </c>
      <c r="J141" t="str">
        <f t="array" ref="J141">IFERROR(INDEX('Day Range Raw Data'!N:N,Match($A141,'Day Range Raw Data'!$B:$B,0)),"")</f>
        <v/>
      </c>
      <c r="K141" t="str">
        <f t="array" ref="K141">IFERROR(INDEX('Day Range Raw Data'!R:R,Match($A141,'Day Range Raw Data'!$B:$B,0)),"")</f>
        <v/>
      </c>
      <c r="L141" t="str">
        <f t="array" ref="L141">IFERROR(INDEX('Day Range Raw Data'!S:S,Match($A141,'Day Range Raw Data'!$B:$B,0)),"")</f>
        <v/>
      </c>
      <c r="M141" t="str">
        <f t="array" ref="M141">IFERROR(INDEX('Day Range Raw Data'!T:T,Match($A141,'Day Range Raw Data'!$B:$B,0)),"")</f>
        <v/>
      </c>
      <c r="N141" t="str">
        <f t="array" ref="N141">IFERROR(INDEX('Day Range Raw Data'!U:U,Match($A141,'Day Range Raw Data'!$B:$B,0)),"")</f>
        <v/>
      </c>
      <c r="O141" t="str">
        <f t="array" ref="O141">IFERROR(INDEX('Day Range Raw Data'!V:V,Match($A141,'Day Range Raw Data'!$B:$B,0)),"")</f>
        <v/>
      </c>
      <c r="P141" t="str">
        <f t="array" ref="P141">IFERROR(INDEX('Day Range Raw Data'!X:X,Match($A141,'Day Range Raw Data'!$B:$B,0)),"")</f>
        <v/>
      </c>
      <c r="Q141" t="str">
        <f t="shared" si="1"/>
        <v/>
      </c>
      <c r="R141" s="9" t="str">
        <f t="shared" si="2"/>
        <v/>
      </c>
      <c r="S141" s="14" t="str">
        <f t="shared" si="3"/>
        <v/>
      </c>
      <c r="T141" s="15" t="str">
        <f>IFERROR(__xludf.DUMMYFUNCTION("IF($A141="""","""",IFERROR(PERCENTRANK.INC(FILTER(Q:Q,$F:$F&lt;&gt;""""),Q141)*100,""""))"),"")</f>
        <v/>
      </c>
      <c r="U141" s="15" t="str">
        <f>IFERROR(__xludf.DUMMYFUNCTION("IF($A141="""","""",IFERROR(PERCENTRANK.INC(FILTER(R:R,$F:$F&lt;&gt;""""),R141)*100,""""))"),"")</f>
        <v/>
      </c>
      <c r="V141" s="15" t="str">
        <f>IFERROR(__xludf.DUMMYFUNCTION("IF($A141="""","""",IFERROR(PERCENTRANK.INC(FILTER(S:S,$F:$F&lt;&gt;""""),S141)*100,""""))"),"")</f>
        <v/>
      </c>
      <c r="W141" s="15" t="str">
        <f t="shared" si="4"/>
        <v/>
      </c>
    </row>
    <row r="142">
      <c r="B142" t="str">
        <f t="array" ref="B142">IFERROR(INDEX('Player Raw Data'!C:C,Match($A142,'Player Raw Data'!$B:$B,0)),"")</f>
        <v/>
      </c>
      <c r="C142" t="str">
        <f t="array" ref="C142">IFERROR(INDEX('Player Raw Data'!D:D,Match($A142,'Player Raw Data'!$B:$B,0)),"")</f>
        <v/>
      </c>
      <c r="D142" t="str">
        <f t="array" ref="D142">IFERROR(IF(A142=A141, INDEX('Player Raw Data'!E:E,Match($A142,'Player Raw Data'!$B:$B,0)+2),INDEX('Player Raw Data'!E:E,Match($A142,'Player Raw Data'!$B:$B,0))),"")</f>
        <v/>
      </c>
      <c r="E142" t="str">
        <f t="array" ref="E142">IFERROR(INDEX('Day Range Raw Data'!D:D,Match($A142,'Day Range Raw Data'!$B:$B,0)),"")</f>
        <v/>
      </c>
      <c r="F142" t="str">
        <f t="array" ref="F142">IFERROR(INDEX('Day Range Raw Data'!F:F,Match($A142,'Day Range Raw Data'!$B:$B,0)),"")</f>
        <v/>
      </c>
      <c r="G142" t="str">
        <f t="array" ref="G142">IFERROR(INDEX('Day Range Raw Data'!G:G,Match($A142,'Day Range Raw Data'!$B:$B,0)),"")</f>
        <v/>
      </c>
      <c r="H142" t="str">
        <f t="array" ref="H142">IFERROR(INDEX('Day Range Raw Data'!H:H,Match($A142,'Day Range Raw Data'!$B:$B,0)),"")</f>
        <v/>
      </c>
      <c r="I142" t="str">
        <f t="array" ref="I142">IFERROR(INDEX('Day Range Raw Data'!M:M,Match($A142,'Day Range Raw Data'!$B:$B,0)),"")</f>
        <v/>
      </c>
      <c r="J142" t="str">
        <f t="array" ref="J142">IFERROR(INDEX('Day Range Raw Data'!N:N,Match($A142,'Day Range Raw Data'!$B:$B,0)),"")</f>
        <v/>
      </c>
      <c r="K142" t="str">
        <f t="array" ref="K142">IFERROR(INDEX('Day Range Raw Data'!R:R,Match($A142,'Day Range Raw Data'!$B:$B,0)),"")</f>
        <v/>
      </c>
      <c r="L142" t="str">
        <f t="array" ref="L142">IFERROR(INDEX('Day Range Raw Data'!S:S,Match($A142,'Day Range Raw Data'!$B:$B,0)),"")</f>
        <v/>
      </c>
      <c r="M142" t="str">
        <f t="array" ref="M142">IFERROR(INDEX('Day Range Raw Data'!T:T,Match($A142,'Day Range Raw Data'!$B:$B,0)),"")</f>
        <v/>
      </c>
      <c r="N142" t="str">
        <f t="array" ref="N142">IFERROR(INDEX('Day Range Raw Data'!U:U,Match($A142,'Day Range Raw Data'!$B:$B,0)),"")</f>
        <v/>
      </c>
      <c r="O142" t="str">
        <f t="array" ref="O142">IFERROR(INDEX('Day Range Raw Data'!V:V,Match($A142,'Day Range Raw Data'!$B:$B,0)),"")</f>
        <v/>
      </c>
      <c r="P142" t="str">
        <f t="array" ref="P142">IFERROR(INDEX('Day Range Raw Data'!X:X,Match($A142,'Day Range Raw Data'!$B:$B,0)),"")</f>
        <v/>
      </c>
      <c r="Q142" t="str">
        <f t="shared" si="1"/>
        <v/>
      </c>
      <c r="R142" s="9" t="str">
        <f t="shared" si="2"/>
        <v/>
      </c>
      <c r="S142" s="14" t="str">
        <f t="shared" si="3"/>
        <v/>
      </c>
      <c r="T142" s="15" t="str">
        <f>IFERROR(__xludf.DUMMYFUNCTION("IF($A142="""","""",IFERROR(PERCENTRANK.INC(FILTER(Q:Q,$F:$F&lt;&gt;""""),Q142)*100,""""))"),"")</f>
        <v/>
      </c>
      <c r="U142" s="15" t="str">
        <f>IFERROR(__xludf.DUMMYFUNCTION("IF($A142="""","""",IFERROR(PERCENTRANK.INC(FILTER(R:R,$F:$F&lt;&gt;""""),R142)*100,""""))"),"")</f>
        <v/>
      </c>
      <c r="V142" s="15" t="str">
        <f>IFERROR(__xludf.DUMMYFUNCTION("IF($A142="""","""",IFERROR(PERCENTRANK.INC(FILTER(S:S,$F:$F&lt;&gt;""""),S142)*100,""""))"),"")</f>
        <v/>
      </c>
      <c r="W142" s="15" t="str">
        <f t="shared" si="4"/>
        <v/>
      </c>
    </row>
    <row r="143">
      <c r="B143" t="str">
        <f t="array" ref="B143">IFERROR(INDEX('Player Raw Data'!C:C,Match($A143,'Player Raw Data'!$B:$B,0)),"")</f>
        <v/>
      </c>
      <c r="C143" t="str">
        <f t="array" ref="C143">IFERROR(INDEX('Player Raw Data'!D:D,Match($A143,'Player Raw Data'!$B:$B,0)),"")</f>
        <v/>
      </c>
      <c r="D143" t="str">
        <f t="array" ref="D143">IFERROR(IF(A143=A142, INDEX('Player Raw Data'!E:E,Match($A143,'Player Raw Data'!$B:$B,0)+2),INDEX('Player Raw Data'!E:E,Match($A143,'Player Raw Data'!$B:$B,0))),"")</f>
        <v/>
      </c>
      <c r="E143" t="str">
        <f t="array" ref="E143">IFERROR(INDEX('Day Range Raw Data'!D:D,Match($A143,'Day Range Raw Data'!$B:$B,0)),"")</f>
        <v/>
      </c>
      <c r="F143" t="str">
        <f t="array" ref="F143">IFERROR(INDEX('Day Range Raw Data'!F:F,Match($A143,'Day Range Raw Data'!$B:$B,0)),"")</f>
        <v/>
      </c>
      <c r="G143" t="str">
        <f t="array" ref="G143">IFERROR(INDEX('Day Range Raw Data'!G:G,Match($A143,'Day Range Raw Data'!$B:$B,0)),"")</f>
        <v/>
      </c>
      <c r="H143" t="str">
        <f t="array" ref="H143">IFERROR(INDEX('Day Range Raw Data'!H:H,Match($A143,'Day Range Raw Data'!$B:$B,0)),"")</f>
        <v/>
      </c>
      <c r="I143" t="str">
        <f t="array" ref="I143">IFERROR(INDEX('Day Range Raw Data'!M:M,Match($A143,'Day Range Raw Data'!$B:$B,0)),"")</f>
        <v/>
      </c>
      <c r="J143" t="str">
        <f t="array" ref="J143">IFERROR(INDEX('Day Range Raw Data'!N:N,Match($A143,'Day Range Raw Data'!$B:$B,0)),"")</f>
        <v/>
      </c>
      <c r="K143" t="str">
        <f t="array" ref="K143">IFERROR(INDEX('Day Range Raw Data'!R:R,Match($A143,'Day Range Raw Data'!$B:$B,0)),"")</f>
        <v/>
      </c>
      <c r="L143" t="str">
        <f t="array" ref="L143">IFERROR(INDEX('Day Range Raw Data'!S:S,Match($A143,'Day Range Raw Data'!$B:$B,0)),"")</f>
        <v/>
      </c>
      <c r="M143" t="str">
        <f t="array" ref="M143">IFERROR(INDEX('Day Range Raw Data'!T:T,Match($A143,'Day Range Raw Data'!$B:$B,0)),"")</f>
        <v/>
      </c>
      <c r="N143" t="str">
        <f t="array" ref="N143">IFERROR(INDEX('Day Range Raw Data'!U:U,Match($A143,'Day Range Raw Data'!$B:$B,0)),"")</f>
        <v/>
      </c>
      <c r="O143" t="str">
        <f t="array" ref="O143">IFERROR(INDEX('Day Range Raw Data'!V:V,Match($A143,'Day Range Raw Data'!$B:$B,0)),"")</f>
        <v/>
      </c>
      <c r="P143" t="str">
        <f t="array" ref="P143">IFERROR(INDEX('Day Range Raw Data'!X:X,Match($A143,'Day Range Raw Data'!$B:$B,0)),"")</f>
        <v/>
      </c>
      <c r="Q143" t="str">
        <f t="shared" si="1"/>
        <v/>
      </c>
      <c r="R143" s="9" t="str">
        <f t="shared" si="2"/>
        <v/>
      </c>
      <c r="S143" s="14" t="str">
        <f t="shared" si="3"/>
        <v/>
      </c>
      <c r="T143" s="15" t="str">
        <f>IFERROR(__xludf.DUMMYFUNCTION("IF($A143="""","""",IFERROR(PERCENTRANK.INC(FILTER(Q:Q,$F:$F&lt;&gt;""""),Q143)*100,""""))"),"")</f>
        <v/>
      </c>
      <c r="U143" s="15" t="str">
        <f>IFERROR(__xludf.DUMMYFUNCTION("IF($A143="""","""",IFERROR(PERCENTRANK.INC(FILTER(R:R,$F:$F&lt;&gt;""""),R143)*100,""""))"),"")</f>
        <v/>
      </c>
      <c r="V143" s="15" t="str">
        <f>IFERROR(__xludf.DUMMYFUNCTION("IF($A143="""","""",IFERROR(PERCENTRANK.INC(FILTER(S:S,$F:$F&lt;&gt;""""),S143)*100,""""))"),"")</f>
        <v/>
      </c>
      <c r="W143" s="15" t="str">
        <f t="shared" si="4"/>
        <v/>
      </c>
    </row>
    <row r="144">
      <c r="B144" t="str">
        <f t="array" ref="B144">IFERROR(INDEX('Player Raw Data'!C:C,Match($A144,'Player Raw Data'!$B:$B,0)),"")</f>
        <v/>
      </c>
      <c r="C144" t="str">
        <f t="array" ref="C144">IFERROR(INDEX('Player Raw Data'!D:D,Match($A144,'Player Raw Data'!$B:$B,0)),"")</f>
        <v/>
      </c>
      <c r="D144" t="str">
        <f t="array" ref="D144">IFERROR(IF(A144=A143, INDEX('Player Raw Data'!E:E,Match($A144,'Player Raw Data'!$B:$B,0)+2),INDEX('Player Raw Data'!E:E,Match($A144,'Player Raw Data'!$B:$B,0))),"")</f>
        <v/>
      </c>
      <c r="E144" t="str">
        <f t="array" ref="E144">IFERROR(INDEX('Day Range Raw Data'!D:D,Match($A144,'Day Range Raw Data'!$B:$B,0)),"")</f>
        <v/>
      </c>
      <c r="F144" t="str">
        <f t="array" ref="F144">IFERROR(INDEX('Day Range Raw Data'!F:F,Match($A144,'Day Range Raw Data'!$B:$B,0)),"")</f>
        <v/>
      </c>
      <c r="G144" t="str">
        <f t="array" ref="G144">IFERROR(INDEX('Day Range Raw Data'!G:G,Match($A144,'Day Range Raw Data'!$B:$B,0)),"")</f>
        <v/>
      </c>
      <c r="H144" t="str">
        <f t="array" ref="H144">IFERROR(INDEX('Day Range Raw Data'!H:H,Match($A144,'Day Range Raw Data'!$B:$B,0)),"")</f>
        <v/>
      </c>
      <c r="I144" t="str">
        <f t="array" ref="I144">IFERROR(INDEX('Day Range Raw Data'!M:M,Match($A144,'Day Range Raw Data'!$B:$B,0)),"")</f>
        <v/>
      </c>
      <c r="J144" t="str">
        <f t="array" ref="J144">IFERROR(INDEX('Day Range Raw Data'!N:N,Match($A144,'Day Range Raw Data'!$B:$B,0)),"")</f>
        <v/>
      </c>
      <c r="K144" t="str">
        <f t="array" ref="K144">IFERROR(INDEX('Day Range Raw Data'!R:R,Match($A144,'Day Range Raw Data'!$B:$B,0)),"")</f>
        <v/>
      </c>
      <c r="L144" t="str">
        <f t="array" ref="L144">IFERROR(INDEX('Day Range Raw Data'!S:S,Match($A144,'Day Range Raw Data'!$B:$B,0)),"")</f>
        <v/>
      </c>
      <c r="M144" t="str">
        <f t="array" ref="M144">IFERROR(INDEX('Day Range Raw Data'!T:T,Match($A144,'Day Range Raw Data'!$B:$B,0)),"")</f>
        <v/>
      </c>
      <c r="N144" t="str">
        <f t="array" ref="N144">IFERROR(INDEX('Day Range Raw Data'!U:U,Match($A144,'Day Range Raw Data'!$B:$B,0)),"")</f>
        <v/>
      </c>
      <c r="O144" t="str">
        <f t="array" ref="O144">IFERROR(INDEX('Day Range Raw Data'!V:V,Match($A144,'Day Range Raw Data'!$B:$B,0)),"")</f>
        <v/>
      </c>
      <c r="P144" t="str">
        <f t="array" ref="P144">IFERROR(INDEX('Day Range Raw Data'!X:X,Match($A144,'Day Range Raw Data'!$B:$B,0)),"")</f>
        <v/>
      </c>
      <c r="Q144" t="str">
        <f t="shared" si="1"/>
        <v/>
      </c>
      <c r="R144" s="9" t="str">
        <f t="shared" si="2"/>
        <v/>
      </c>
      <c r="S144" s="14" t="str">
        <f t="shared" si="3"/>
        <v/>
      </c>
      <c r="T144" s="15" t="str">
        <f>IFERROR(__xludf.DUMMYFUNCTION("IF($A144="""","""",IFERROR(PERCENTRANK.INC(FILTER(Q:Q,$F:$F&lt;&gt;""""),Q144)*100,""""))"),"")</f>
        <v/>
      </c>
      <c r="U144" s="15" t="str">
        <f>IFERROR(__xludf.DUMMYFUNCTION("IF($A144="""","""",IFERROR(PERCENTRANK.INC(FILTER(R:R,$F:$F&lt;&gt;""""),R144)*100,""""))"),"")</f>
        <v/>
      </c>
      <c r="V144" s="15" t="str">
        <f>IFERROR(__xludf.DUMMYFUNCTION("IF($A144="""","""",IFERROR(PERCENTRANK.INC(FILTER(S:S,$F:$F&lt;&gt;""""),S144)*100,""""))"),"")</f>
        <v/>
      </c>
      <c r="W144" s="15" t="str">
        <f t="shared" si="4"/>
        <v/>
      </c>
    </row>
    <row r="145">
      <c r="B145" t="str">
        <f t="array" ref="B145">IFERROR(INDEX('Player Raw Data'!C:C,Match($A145,'Player Raw Data'!$B:$B,0)),"")</f>
        <v/>
      </c>
      <c r="C145" t="str">
        <f t="array" ref="C145">IFERROR(INDEX('Player Raw Data'!D:D,Match($A145,'Player Raw Data'!$B:$B,0)),"")</f>
        <v/>
      </c>
      <c r="D145" t="str">
        <f t="array" ref="D145">IFERROR(IF(A145=A144, INDEX('Player Raw Data'!E:E,Match($A145,'Player Raw Data'!$B:$B,0)+2),INDEX('Player Raw Data'!E:E,Match($A145,'Player Raw Data'!$B:$B,0))),"")</f>
        <v/>
      </c>
      <c r="E145" t="str">
        <f t="array" ref="E145">IFERROR(INDEX('Day Range Raw Data'!D:D,Match($A145,'Day Range Raw Data'!$B:$B,0)),"")</f>
        <v/>
      </c>
      <c r="F145" t="str">
        <f t="array" ref="F145">IFERROR(INDEX('Day Range Raw Data'!F:F,Match($A145,'Day Range Raw Data'!$B:$B,0)),"")</f>
        <v/>
      </c>
      <c r="G145" t="str">
        <f t="array" ref="G145">IFERROR(INDEX('Day Range Raw Data'!G:G,Match($A145,'Day Range Raw Data'!$B:$B,0)),"")</f>
        <v/>
      </c>
      <c r="H145" t="str">
        <f t="array" ref="H145">IFERROR(INDEX('Day Range Raw Data'!H:H,Match($A145,'Day Range Raw Data'!$B:$B,0)),"")</f>
        <v/>
      </c>
      <c r="I145" t="str">
        <f t="array" ref="I145">IFERROR(INDEX('Day Range Raw Data'!M:M,Match($A145,'Day Range Raw Data'!$B:$B,0)),"")</f>
        <v/>
      </c>
      <c r="J145" t="str">
        <f t="array" ref="J145">IFERROR(INDEX('Day Range Raw Data'!N:N,Match($A145,'Day Range Raw Data'!$B:$B,0)),"")</f>
        <v/>
      </c>
      <c r="K145" t="str">
        <f t="array" ref="K145">IFERROR(INDEX('Day Range Raw Data'!R:R,Match($A145,'Day Range Raw Data'!$B:$B,0)),"")</f>
        <v/>
      </c>
      <c r="L145" t="str">
        <f t="array" ref="L145">IFERROR(INDEX('Day Range Raw Data'!S:S,Match($A145,'Day Range Raw Data'!$B:$B,0)),"")</f>
        <v/>
      </c>
      <c r="M145" t="str">
        <f t="array" ref="M145">IFERROR(INDEX('Day Range Raw Data'!T:T,Match($A145,'Day Range Raw Data'!$B:$B,0)),"")</f>
        <v/>
      </c>
      <c r="N145" t="str">
        <f t="array" ref="N145">IFERROR(INDEX('Day Range Raw Data'!U:U,Match($A145,'Day Range Raw Data'!$B:$B,0)),"")</f>
        <v/>
      </c>
      <c r="O145" t="str">
        <f t="array" ref="O145">IFERROR(INDEX('Day Range Raw Data'!V:V,Match($A145,'Day Range Raw Data'!$B:$B,0)),"")</f>
        <v/>
      </c>
      <c r="P145" t="str">
        <f t="array" ref="P145">IFERROR(INDEX('Day Range Raw Data'!X:X,Match($A145,'Day Range Raw Data'!$B:$B,0)),"")</f>
        <v/>
      </c>
      <c r="Q145" t="str">
        <f t="shared" si="1"/>
        <v/>
      </c>
      <c r="R145" s="9" t="str">
        <f t="shared" si="2"/>
        <v/>
      </c>
      <c r="S145" s="14" t="str">
        <f t="shared" si="3"/>
        <v/>
      </c>
      <c r="T145" s="15" t="str">
        <f>IFERROR(__xludf.DUMMYFUNCTION("IF($A145="""","""",IFERROR(PERCENTRANK.INC(FILTER(Q:Q,$F:$F&lt;&gt;""""),Q145)*100,""""))"),"")</f>
        <v/>
      </c>
      <c r="U145" s="15" t="str">
        <f>IFERROR(__xludf.DUMMYFUNCTION("IF($A145="""","""",IFERROR(PERCENTRANK.INC(FILTER(R:R,$F:$F&lt;&gt;""""),R145)*100,""""))"),"")</f>
        <v/>
      </c>
      <c r="V145" s="15" t="str">
        <f>IFERROR(__xludf.DUMMYFUNCTION("IF($A145="""","""",IFERROR(PERCENTRANK.INC(FILTER(S:S,$F:$F&lt;&gt;""""),S145)*100,""""))"),"")</f>
        <v/>
      </c>
      <c r="W145" s="15" t="str">
        <f t="shared" si="4"/>
        <v/>
      </c>
    </row>
    <row r="146">
      <c r="B146" t="str">
        <f t="array" ref="B146">IFERROR(INDEX('Player Raw Data'!C:C,Match($A146,'Player Raw Data'!$B:$B,0)),"")</f>
        <v/>
      </c>
      <c r="C146" t="str">
        <f t="array" ref="C146">IFERROR(INDEX('Player Raw Data'!D:D,Match($A146,'Player Raw Data'!$B:$B,0)),"")</f>
        <v/>
      </c>
      <c r="D146" t="str">
        <f t="array" ref="D146">IFERROR(IF(A146=A145, INDEX('Player Raw Data'!E:E,Match($A146,'Player Raw Data'!$B:$B,0)+2),INDEX('Player Raw Data'!E:E,Match($A146,'Player Raw Data'!$B:$B,0))),"")</f>
        <v/>
      </c>
      <c r="E146" t="str">
        <f t="array" ref="E146">IFERROR(INDEX('Day Range Raw Data'!D:D,Match($A146,'Day Range Raw Data'!$B:$B,0)),"")</f>
        <v/>
      </c>
      <c r="F146" t="str">
        <f t="array" ref="F146">IFERROR(INDEX('Day Range Raw Data'!F:F,Match($A146,'Day Range Raw Data'!$B:$B,0)),"")</f>
        <v/>
      </c>
      <c r="G146" t="str">
        <f t="array" ref="G146">IFERROR(INDEX('Day Range Raw Data'!G:G,Match($A146,'Day Range Raw Data'!$B:$B,0)),"")</f>
        <v/>
      </c>
      <c r="H146" t="str">
        <f t="array" ref="H146">IFERROR(INDEX('Day Range Raw Data'!H:H,Match($A146,'Day Range Raw Data'!$B:$B,0)),"")</f>
        <v/>
      </c>
      <c r="I146" t="str">
        <f t="array" ref="I146">IFERROR(INDEX('Day Range Raw Data'!M:M,Match($A146,'Day Range Raw Data'!$B:$B,0)),"")</f>
        <v/>
      </c>
      <c r="J146" t="str">
        <f t="array" ref="J146">IFERROR(INDEX('Day Range Raw Data'!N:N,Match($A146,'Day Range Raw Data'!$B:$B,0)),"")</f>
        <v/>
      </c>
      <c r="K146" t="str">
        <f t="array" ref="K146">IFERROR(INDEX('Day Range Raw Data'!R:R,Match($A146,'Day Range Raw Data'!$B:$B,0)),"")</f>
        <v/>
      </c>
      <c r="L146" t="str">
        <f t="array" ref="L146">IFERROR(INDEX('Day Range Raw Data'!S:S,Match($A146,'Day Range Raw Data'!$B:$B,0)),"")</f>
        <v/>
      </c>
      <c r="M146" t="str">
        <f t="array" ref="M146">IFERROR(INDEX('Day Range Raw Data'!T:T,Match($A146,'Day Range Raw Data'!$B:$B,0)),"")</f>
        <v/>
      </c>
      <c r="N146" t="str">
        <f t="array" ref="N146">IFERROR(INDEX('Day Range Raw Data'!U:U,Match($A146,'Day Range Raw Data'!$B:$B,0)),"")</f>
        <v/>
      </c>
      <c r="O146" t="str">
        <f t="array" ref="O146">IFERROR(INDEX('Day Range Raw Data'!V:V,Match($A146,'Day Range Raw Data'!$B:$B,0)),"")</f>
        <v/>
      </c>
      <c r="P146" t="str">
        <f t="array" ref="P146">IFERROR(INDEX('Day Range Raw Data'!X:X,Match($A146,'Day Range Raw Data'!$B:$B,0)),"")</f>
        <v/>
      </c>
      <c r="Q146" t="str">
        <f t="shared" si="1"/>
        <v/>
      </c>
      <c r="R146" s="9" t="str">
        <f t="shared" si="2"/>
        <v/>
      </c>
      <c r="S146" s="14" t="str">
        <f t="shared" si="3"/>
        <v/>
      </c>
      <c r="T146" s="15" t="str">
        <f>IFERROR(__xludf.DUMMYFUNCTION("IF($A146="""","""",IFERROR(PERCENTRANK.INC(FILTER(Q:Q,$F:$F&lt;&gt;""""),Q146)*100,""""))"),"")</f>
        <v/>
      </c>
      <c r="U146" s="15" t="str">
        <f>IFERROR(__xludf.DUMMYFUNCTION("IF($A146="""","""",IFERROR(PERCENTRANK.INC(FILTER(R:R,$F:$F&lt;&gt;""""),R146)*100,""""))"),"")</f>
        <v/>
      </c>
      <c r="V146" s="15" t="str">
        <f>IFERROR(__xludf.DUMMYFUNCTION("IF($A146="""","""",IFERROR(PERCENTRANK.INC(FILTER(S:S,$F:$F&lt;&gt;""""),S146)*100,""""))"),"")</f>
        <v/>
      </c>
      <c r="W146" s="15" t="str">
        <f t="shared" si="4"/>
        <v/>
      </c>
    </row>
    <row r="147">
      <c r="B147" t="str">
        <f t="array" ref="B147">IFERROR(INDEX('Player Raw Data'!C:C,Match($A147,'Player Raw Data'!$B:$B,0)),"")</f>
        <v/>
      </c>
      <c r="C147" t="str">
        <f t="array" ref="C147">IFERROR(INDEX('Player Raw Data'!D:D,Match($A147,'Player Raw Data'!$B:$B,0)),"")</f>
        <v/>
      </c>
      <c r="D147" t="str">
        <f t="array" ref="D147">IFERROR(IF(A147=A146, INDEX('Player Raw Data'!E:E,Match($A147,'Player Raw Data'!$B:$B,0)+2),INDEX('Player Raw Data'!E:E,Match($A147,'Player Raw Data'!$B:$B,0))),"")</f>
        <v/>
      </c>
      <c r="E147" t="str">
        <f t="array" ref="E147">IFERROR(INDEX('Day Range Raw Data'!D:D,Match($A147,'Day Range Raw Data'!$B:$B,0)),"")</f>
        <v/>
      </c>
      <c r="F147" t="str">
        <f t="array" ref="F147">IFERROR(INDEX('Day Range Raw Data'!F:F,Match($A147,'Day Range Raw Data'!$B:$B,0)),"")</f>
        <v/>
      </c>
      <c r="G147" t="str">
        <f t="array" ref="G147">IFERROR(INDEX('Day Range Raw Data'!G:G,Match($A147,'Day Range Raw Data'!$B:$B,0)),"")</f>
        <v/>
      </c>
      <c r="H147" t="str">
        <f t="array" ref="H147">IFERROR(INDEX('Day Range Raw Data'!H:H,Match($A147,'Day Range Raw Data'!$B:$B,0)),"")</f>
        <v/>
      </c>
      <c r="I147" t="str">
        <f t="array" ref="I147">IFERROR(INDEX('Day Range Raw Data'!M:M,Match($A147,'Day Range Raw Data'!$B:$B,0)),"")</f>
        <v/>
      </c>
      <c r="J147" t="str">
        <f t="array" ref="J147">IFERROR(INDEX('Day Range Raw Data'!N:N,Match($A147,'Day Range Raw Data'!$B:$B,0)),"")</f>
        <v/>
      </c>
      <c r="K147" t="str">
        <f t="array" ref="K147">IFERROR(INDEX('Day Range Raw Data'!R:R,Match($A147,'Day Range Raw Data'!$B:$B,0)),"")</f>
        <v/>
      </c>
      <c r="L147" t="str">
        <f t="array" ref="L147">IFERROR(INDEX('Day Range Raw Data'!S:S,Match($A147,'Day Range Raw Data'!$B:$B,0)),"")</f>
        <v/>
      </c>
      <c r="M147" t="str">
        <f t="array" ref="M147">IFERROR(INDEX('Day Range Raw Data'!T:T,Match($A147,'Day Range Raw Data'!$B:$B,0)),"")</f>
        <v/>
      </c>
      <c r="N147" t="str">
        <f t="array" ref="N147">IFERROR(INDEX('Day Range Raw Data'!U:U,Match($A147,'Day Range Raw Data'!$B:$B,0)),"")</f>
        <v/>
      </c>
      <c r="O147" t="str">
        <f t="array" ref="O147">IFERROR(INDEX('Day Range Raw Data'!V:V,Match($A147,'Day Range Raw Data'!$B:$B,0)),"")</f>
        <v/>
      </c>
      <c r="P147" t="str">
        <f t="array" ref="P147">IFERROR(INDEX('Day Range Raw Data'!X:X,Match($A147,'Day Range Raw Data'!$B:$B,0)),"")</f>
        <v/>
      </c>
      <c r="Q147" t="str">
        <f t="shared" si="1"/>
        <v/>
      </c>
      <c r="R147" s="9" t="str">
        <f t="shared" si="2"/>
        <v/>
      </c>
      <c r="S147" s="14" t="str">
        <f t="shared" si="3"/>
        <v/>
      </c>
      <c r="T147" s="15" t="str">
        <f>IFERROR(__xludf.DUMMYFUNCTION("IF($A147="""","""",IFERROR(PERCENTRANK.INC(FILTER(Q:Q,$F:$F&lt;&gt;""""),Q147)*100,""""))"),"")</f>
        <v/>
      </c>
      <c r="U147" s="15" t="str">
        <f>IFERROR(__xludf.DUMMYFUNCTION("IF($A147="""","""",IFERROR(PERCENTRANK.INC(FILTER(R:R,$F:$F&lt;&gt;""""),R147)*100,""""))"),"")</f>
        <v/>
      </c>
      <c r="V147" s="15" t="str">
        <f>IFERROR(__xludf.DUMMYFUNCTION("IF($A147="""","""",IFERROR(PERCENTRANK.INC(FILTER(S:S,$F:$F&lt;&gt;""""),S147)*100,""""))"),"")</f>
        <v/>
      </c>
      <c r="W147" s="15" t="str">
        <f t="shared" si="4"/>
        <v/>
      </c>
    </row>
    <row r="148">
      <c r="B148" t="str">
        <f t="array" ref="B148">IFERROR(INDEX('Player Raw Data'!C:C,Match($A148,'Player Raw Data'!$B:$B,0)),"")</f>
        <v/>
      </c>
      <c r="C148" t="str">
        <f t="array" ref="C148">IFERROR(INDEX('Player Raw Data'!D:D,Match($A148,'Player Raw Data'!$B:$B,0)),"")</f>
        <v/>
      </c>
      <c r="D148" t="str">
        <f t="array" ref="D148">IFERROR(IF(A148=A147, INDEX('Player Raw Data'!E:E,Match($A148,'Player Raw Data'!$B:$B,0)+2),INDEX('Player Raw Data'!E:E,Match($A148,'Player Raw Data'!$B:$B,0))),"")</f>
        <v/>
      </c>
      <c r="E148" t="str">
        <f t="array" ref="E148">IFERROR(INDEX('Day Range Raw Data'!D:D,Match($A148,'Day Range Raw Data'!$B:$B,0)),"")</f>
        <v/>
      </c>
      <c r="F148" t="str">
        <f t="array" ref="F148">IFERROR(INDEX('Day Range Raw Data'!F:F,Match($A148,'Day Range Raw Data'!$B:$B,0)),"")</f>
        <v/>
      </c>
      <c r="G148" t="str">
        <f t="array" ref="G148">IFERROR(INDEX('Day Range Raw Data'!G:G,Match($A148,'Day Range Raw Data'!$B:$B,0)),"")</f>
        <v/>
      </c>
      <c r="H148" t="str">
        <f t="array" ref="H148">IFERROR(INDEX('Day Range Raw Data'!H:H,Match($A148,'Day Range Raw Data'!$B:$B,0)),"")</f>
        <v/>
      </c>
      <c r="I148" t="str">
        <f t="array" ref="I148">IFERROR(INDEX('Day Range Raw Data'!M:M,Match($A148,'Day Range Raw Data'!$B:$B,0)),"")</f>
        <v/>
      </c>
      <c r="J148" t="str">
        <f t="array" ref="J148">IFERROR(INDEX('Day Range Raw Data'!N:N,Match($A148,'Day Range Raw Data'!$B:$B,0)),"")</f>
        <v/>
      </c>
      <c r="K148" t="str">
        <f t="array" ref="K148">IFERROR(INDEX('Day Range Raw Data'!R:R,Match($A148,'Day Range Raw Data'!$B:$B,0)),"")</f>
        <v/>
      </c>
      <c r="L148" t="str">
        <f t="array" ref="L148">IFERROR(INDEX('Day Range Raw Data'!S:S,Match($A148,'Day Range Raw Data'!$B:$B,0)),"")</f>
        <v/>
      </c>
      <c r="M148" t="str">
        <f t="array" ref="M148">IFERROR(INDEX('Day Range Raw Data'!T:T,Match($A148,'Day Range Raw Data'!$B:$B,0)),"")</f>
        <v/>
      </c>
      <c r="N148" t="str">
        <f t="array" ref="N148">IFERROR(INDEX('Day Range Raw Data'!U:U,Match($A148,'Day Range Raw Data'!$B:$B,0)),"")</f>
        <v/>
      </c>
      <c r="O148" t="str">
        <f t="array" ref="O148">IFERROR(INDEX('Day Range Raw Data'!V:V,Match($A148,'Day Range Raw Data'!$B:$B,0)),"")</f>
        <v/>
      </c>
      <c r="P148" t="str">
        <f t="array" ref="P148">IFERROR(INDEX('Day Range Raw Data'!X:X,Match($A148,'Day Range Raw Data'!$B:$B,0)),"")</f>
        <v/>
      </c>
      <c r="Q148" t="str">
        <f t="shared" si="1"/>
        <v/>
      </c>
      <c r="R148" s="9" t="str">
        <f t="shared" si="2"/>
        <v/>
      </c>
      <c r="S148" s="14" t="str">
        <f t="shared" si="3"/>
        <v/>
      </c>
      <c r="T148" s="15" t="str">
        <f>IFERROR(__xludf.DUMMYFUNCTION("IF($A148="""","""",IFERROR(PERCENTRANK.INC(FILTER(Q:Q,$F:$F&lt;&gt;""""),Q148)*100,""""))"),"")</f>
        <v/>
      </c>
      <c r="U148" s="15" t="str">
        <f>IFERROR(__xludf.DUMMYFUNCTION("IF($A148="""","""",IFERROR(PERCENTRANK.INC(FILTER(R:R,$F:$F&lt;&gt;""""),R148)*100,""""))"),"")</f>
        <v/>
      </c>
      <c r="V148" s="15" t="str">
        <f>IFERROR(__xludf.DUMMYFUNCTION("IF($A148="""","""",IFERROR(PERCENTRANK.INC(FILTER(S:S,$F:$F&lt;&gt;""""),S148)*100,""""))"),"")</f>
        <v/>
      </c>
      <c r="W148" s="15" t="str">
        <f t="shared" si="4"/>
        <v/>
      </c>
    </row>
    <row r="149">
      <c r="B149" t="str">
        <f t="array" ref="B149">IFERROR(INDEX('Player Raw Data'!C:C,Match($A149,'Player Raw Data'!$B:$B,0)),"")</f>
        <v/>
      </c>
      <c r="C149" t="str">
        <f t="array" ref="C149">IFERROR(INDEX('Player Raw Data'!D:D,Match($A149,'Player Raw Data'!$B:$B,0)),"")</f>
        <v/>
      </c>
      <c r="D149" t="str">
        <f t="array" ref="D149">IFERROR(IF(A149=A148, INDEX('Player Raw Data'!E:E,Match($A149,'Player Raw Data'!$B:$B,0)+2),INDEX('Player Raw Data'!E:E,Match($A149,'Player Raw Data'!$B:$B,0))),"")</f>
        <v/>
      </c>
      <c r="E149" t="str">
        <f t="array" ref="E149">IFERROR(INDEX('Day Range Raw Data'!D:D,Match($A149,'Day Range Raw Data'!$B:$B,0)),"")</f>
        <v/>
      </c>
      <c r="F149" t="str">
        <f t="array" ref="F149">IFERROR(INDEX('Day Range Raw Data'!F:F,Match($A149,'Day Range Raw Data'!$B:$B,0)),"")</f>
        <v/>
      </c>
      <c r="G149" t="str">
        <f t="array" ref="G149">IFERROR(INDEX('Day Range Raw Data'!G:G,Match($A149,'Day Range Raw Data'!$B:$B,0)),"")</f>
        <v/>
      </c>
      <c r="H149" t="str">
        <f t="array" ref="H149">IFERROR(INDEX('Day Range Raw Data'!H:H,Match($A149,'Day Range Raw Data'!$B:$B,0)),"")</f>
        <v/>
      </c>
      <c r="I149" t="str">
        <f t="array" ref="I149">IFERROR(INDEX('Day Range Raw Data'!M:M,Match($A149,'Day Range Raw Data'!$B:$B,0)),"")</f>
        <v/>
      </c>
      <c r="J149" t="str">
        <f t="array" ref="J149">IFERROR(INDEX('Day Range Raw Data'!N:N,Match($A149,'Day Range Raw Data'!$B:$B,0)),"")</f>
        <v/>
      </c>
      <c r="K149" t="str">
        <f t="array" ref="K149">IFERROR(INDEX('Day Range Raw Data'!R:R,Match($A149,'Day Range Raw Data'!$B:$B,0)),"")</f>
        <v/>
      </c>
      <c r="L149" t="str">
        <f t="array" ref="L149">IFERROR(INDEX('Day Range Raw Data'!S:S,Match($A149,'Day Range Raw Data'!$B:$B,0)),"")</f>
        <v/>
      </c>
      <c r="M149" t="str">
        <f t="array" ref="M149">IFERROR(INDEX('Day Range Raw Data'!T:T,Match($A149,'Day Range Raw Data'!$B:$B,0)),"")</f>
        <v/>
      </c>
      <c r="N149" t="str">
        <f t="array" ref="N149">IFERROR(INDEX('Day Range Raw Data'!U:U,Match($A149,'Day Range Raw Data'!$B:$B,0)),"")</f>
        <v/>
      </c>
      <c r="O149" t="str">
        <f t="array" ref="O149">IFERROR(INDEX('Day Range Raw Data'!V:V,Match($A149,'Day Range Raw Data'!$B:$B,0)),"")</f>
        <v/>
      </c>
      <c r="P149" t="str">
        <f t="array" ref="P149">IFERROR(INDEX('Day Range Raw Data'!X:X,Match($A149,'Day Range Raw Data'!$B:$B,0)),"")</f>
        <v/>
      </c>
      <c r="Q149" t="str">
        <f t="shared" si="1"/>
        <v/>
      </c>
      <c r="R149" s="9" t="str">
        <f t="shared" si="2"/>
        <v/>
      </c>
      <c r="S149" s="14" t="str">
        <f t="shared" si="3"/>
        <v/>
      </c>
      <c r="T149" s="15" t="str">
        <f>IFERROR(__xludf.DUMMYFUNCTION("IF($A149="""","""",IFERROR(PERCENTRANK.INC(FILTER(Q:Q,$F:$F&lt;&gt;""""),Q149)*100,""""))"),"")</f>
        <v/>
      </c>
      <c r="U149" s="15" t="str">
        <f>IFERROR(__xludf.DUMMYFUNCTION("IF($A149="""","""",IFERROR(PERCENTRANK.INC(FILTER(R:R,$F:$F&lt;&gt;""""),R149)*100,""""))"),"")</f>
        <v/>
      </c>
      <c r="V149" s="15" t="str">
        <f>IFERROR(__xludf.DUMMYFUNCTION("IF($A149="""","""",IFERROR(PERCENTRANK.INC(FILTER(S:S,$F:$F&lt;&gt;""""),S149)*100,""""))"),"")</f>
        <v/>
      </c>
      <c r="W149" s="15" t="str">
        <f t="shared" si="4"/>
        <v/>
      </c>
    </row>
    <row r="150">
      <c r="B150" t="str">
        <f t="array" ref="B150">IFERROR(INDEX('Player Raw Data'!C:C,Match($A150,'Player Raw Data'!$B:$B,0)),"")</f>
        <v/>
      </c>
      <c r="C150" t="str">
        <f t="array" ref="C150">IFERROR(INDEX('Player Raw Data'!D:D,Match($A150,'Player Raw Data'!$B:$B,0)),"")</f>
        <v/>
      </c>
      <c r="D150" t="str">
        <f t="array" ref="D150">IFERROR(IF(A150=A149, INDEX('Player Raw Data'!E:E,Match($A150,'Player Raw Data'!$B:$B,0)+2),INDEX('Player Raw Data'!E:E,Match($A150,'Player Raw Data'!$B:$B,0))),"")</f>
        <v/>
      </c>
      <c r="E150" t="str">
        <f t="array" ref="E150">IFERROR(INDEX('Day Range Raw Data'!D:D,Match($A150,'Day Range Raw Data'!$B:$B,0)),"")</f>
        <v/>
      </c>
      <c r="F150" t="str">
        <f t="array" ref="F150">IFERROR(INDEX('Day Range Raw Data'!F:F,Match($A150,'Day Range Raw Data'!$B:$B,0)),"")</f>
        <v/>
      </c>
      <c r="G150" t="str">
        <f t="array" ref="G150">IFERROR(INDEX('Day Range Raw Data'!G:G,Match($A150,'Day Range Raw Data'!$B:$B,0)),"")</f>
        <v/>
      </c>
      <c r="H150" t="str">
        <f t="array" ref="H150">IFERROR(INDEX('Day Range Raw Data'!H:H,Match($A150,'Day Range Raw Data'!$B:$B,0)),"")</f>
        <v/>
      </c>
      <c r="I150" t="str">
        <f t="array" ref="I150">IFERROR(INDEX('Day Range Raw Data'!M:M,Match($A150,'Day Range Raw Data'!$B:$B,0)),"")</f>
        <v/>
      </c>
      <c r="J150" t="str">
        <f t="array" ref="J150">IFERROR(INDEX('Day Range Raw Data'!N:N,Match($A150,'Day Range Raw Data'!$B:$B,0)),"")</f>
        <v/>
      </c>
      <c r="K150" t="str">
        <f t="array" ref="K150">IFERROR(INDEX('Day Range Raw Data'!R:R,Match($A150,'Day Range Raw Data'!$B:$B,0)),"")</f>
        <v/>
      </c>
      <c r="L150" t="str">
        <f t="array" ref="L150">IFERROR(INDEX('Day Range Raw Data'!S:S,Match($A150,'Day Range Raw Data'!$B:$B,0)),"")</f>
        <v/>
      </c>
      <c r="M150" t="str">
        <f t="array" ref="M150">IFERROR(INDEX('Day Range Raw Data'!T:T,Match($A150,'Day Range Raw Data'!$B:$B,0)),"")</f>
        <v/>
      </c>
      <c r="N150" t="str">
        <f t="array" ref="N150">IFERROR(INDEX('Day Range Raw Data'!U:U,Match($A150,'Day Range Raw Data'!$B:$B,0)),"")</f>
        <v/>
      </c>
      <c r="O150" t="str">
        <f t="array" ref="O150">IFERROR(INDEX('Day Range Raw Data'!V:V,Match($A150,'Day Range Raw Data'!$B:$B,0)),"")</f>
        <v/>
      </c>
      <c r="P150" t="str">
        <f t="array" ref="P150">IFERROR(INDEX('Day Range Raw Data'!X:X,Match($A150,'Day Range Raw Data'!$B:$B,0)),"")</f>
        <v/>
      </c>
      <c r="Q150" t="str">
        <f t="shared" si="1"/>
        <v/>
      </c>
      <c r="R150" s="9" t="str">
        <f t="shared" si="2"/>
        <v/>
      </c>
      <c r="S150" s="14" t="str">
        <f t="shared" si="3"/>
        <v/>
      </c>
      <c r="T150" s="15" t="str">
        <f>IFERROR(__xludf.DUMMYFUNCTION("IF($A150="""","""",IFERROR(PERCENTRANK.INC(FILTER(Q:Q,$F:$F&lt;&gt;""""),Q150)*100,""""))"),"")</f>
        <v/>
      </c>
      <c r="U150" s="15" t="str">
        <f>IFERROR(__xludf.DUMMYFUNCTION("IF($A150="""","""",IFERROR(PERCENTRANK.INC(FILTER(R:R,$F:$F&lt;&gt;""""),R150)*100,""""))"),"")</f>
        <v/>
      </c>
      <c r="V150" s="15" t="str">
        <f>IFERROR(__xludf.DUMMYFUNCTION("IF($A150="""","""",IFERROR(PERCENTRANK.INC(FILTER(S:S,$F:$F&lt;&gt;""""),S150)*100,""""))"),"")</f>
        <v/>
      </c>
      <c r="W150" s="15" t="str">
        <f t="shared" si="4"/>
        <v/>
      </c>
    </row>
    <row r="151">
      <c r="B151" t="str">
        <f t="array" ref="B151">IFERROR(INDEX('Player Raw Data'!C:C,Match($A151,'Player Raw Data'!$B:$B,0)),"")</f>
        <v/>
      </c>
      <c r="C151" t="str">
        <f t="array" ref="C151">IFERROR(INDEX('Player Raw Data'!D:D,Match($A151,'Player Raw Data'!$B:$B,0)),"")</f>
        <v/>
      </c>
      <c r="D151" t="str">
        <f t="array" ref="D151">IFERROR(IF(A151=A150, INDEX('Player Raw Data'!E:E,Match($A151,'Player Raw Data'!$B:$B,0)+2),INDEX('Player Raw Data'!E:E,Match($A151,'Player Raw Data'!$B:$B,0))),"")</f>
        <v/>
      </c>
      <c r="E151" t="str">
        <f t="array" ref="E151">IFERROR(INDEX('Day Range Raw Data'!D:D,Match($A151,'Day Range Raw Data'!$B:$B,0)),"")</f>
        <v/>
      </c>
      <c r="F151" t="str">
        <f t="array" ref="F151">IFERROR(INDEX('Day Range Raw Data'!F:F,Match($A151,'Day Range Raw Data'!$B:$B,0)),"")</f>
        <v/>
      </c>
      <c r="G151" t="str">
        <f t="array" ref="G151">IFERROR(INDEX('Day Range Raw Data'!G:G,Match($A151,'Day Range Raw Data'!$B:$B,0)),"")</f>
        <v/>
      </c>
      <c r="H151" t="str">
        <f t="array" ref="H151">IFERROR(INDEX('Day Range Raw Data'!H:H,Match($A151,'Day Range Raw Data'!$B:$B,0)),"")</f>
        <v/>
      </c>
      <c r="I151" t="str">
        <f t="array" ref="I151">IFERROR(INDEX('Day Range Raw Data'!M:M,Match($A151,'Day Range Raw Data'!$B:$B,0)),"")</f>
        <v/>
      </c>
      <c r="J151" t="str">
        <f t="array" ref="J151">IFERROR(INDEX('Day Range Raw Data'!N:N,Match($A151,'Day Range Raw Data'!$B:$B,0)),"")</f>
        <v/>
      </c>
      <c r="K151" t="str">
        <f t="array" ref="K151">IFERROR(INDEX('Day Range Raw Data'!R:R,Match($A151,'Day Range Raw Data'!$B:$B,0)),"")</f>
        <v/>
      </c>
      <c r="L151" t="str">
        <f t="array" ref="L151">IFERROR(INDEX('Day Range Raw Data'!S:S,Match($A151,'Day Range Raw Data'!$B:$B,0)),"")</f>
        <v/>
      </c>
      <c r="M151" t="str">
        <f t="array" ref="M151">IFERROR(INDEX('Day Range Raw Data'!T:T,Match($A151,'Day Range Raw Data'!$B:$B,0)),"")</f>
        <v/>
      </c>
      <c r="N151" t="str">
        <f t="array" ref="N151">IFERROR(INDEX('Day Range Raw Data'!U:U,Match($A151,'Day Range Raw Data'!$B:$B,0)),"")</f>
        <v/>
      </c>
      <c r="O151" t="str">
        <f t="array" ref="O151">IFERROR(INDEX('Day Range Raw Data'!V:V,Match($A151,'Day Range Raw Data'!$B:$B,0)),"")</f>
        <v/>
      </c>
      <c r="P151" t="str">
        <f t="array" ref="P151">IFERROR(INDEX('Day Range Raw Data'!X:X,Match($A151,'Day Range Raw Data'!$B:$B,0)),"")</f>
        <v/>
      </c>
      <c r="Q151" t="str">
        <f t="shared" si="1"/>
        <v/>
      </c>
      <c r="R151" s="9" t="str">
        <f t="shared" si="2"/>
        <v/>
      </c>
      <c r="S151" s="14" t="str">
        <f t="shared" si="3"/>
        <v/>
      </c>
      <c r="T151" s="15" t="str">
        <f>IFERROR(__xludf.DUMMYFUNCTION("IF($A151="""","""",IFERROR(PERCENTRANK.INC(FILTER(Q:Q,$F:$F&lt;&gt;""""),Q151)*100,""""))"),"")</f>
        <v/>
      </c>
      <c r="U151" s="15" t="str">
        <f>IFERROR(__xludf.DUMMYFUNCTION("IF($A151="""","""",IFERROR(PERCENTRANK.INC(FILTER(R:R,$F:$F&lt;&gt;""""),R151)*100,""""))"),"")</f>
        <v/>
      </c>
      <c r="V151" s="15" t="str">
        <f>IFERROR(__xludf.DUMMYFUNCTION("IF($A151="""","""",IFERROR(PERCENTRANK.INC(FILTER(S:S,$F:$F&lt;&gt;""""),S151)*100,""""))"),"")</f>
        <v/>
      </c>
      <c r="W151" s="15" t="str">
        <f t="shared" si="4"/>
        <v/>
      </c>
    </row>
    <row r="152">
      <c r="B152" t="str">
        <f t="array" ref="B152">IFERROR(INDEX('Player Raw Data'!C:C,Match($A152,'Player Raw Data'!$B:$B,0)),"")</f>
        <v/>
      </c>
      <c r="C152" t="str">
        <f t="array" ref="C152">IFERROR(INDEX('Player Raw Data'!D:D,Match($A152,'Player Raw Data'!$B:$B,0)),"")</f>
        <v/>
      </c>
      <c r="D152" t="str">
        <f t="array" ref="D152">IFERROR(IF(A152=A151, INDEX('Player Raw Data'!E:E,Match($A152,'Player Raw Data'!$B:$B,0)+2),INDEX('Player Raw Data'!E:E,Match($A152,'Player Raw Data'!$B:$B,0))),"")</f>
        <v/>
      </c>
      <c r="E152" t="str">
        <f t="array" ref="E152">IFERROR(INDEX('Day Range Raw Data'!D:D,Match($A152,'Day Range Raw Data'!$B:$B,0)),"")</f>
        <v/>
      </c>
      <c r="F152" t="str">
        <f t="array" ref="F152">IFERROR(INDEX('Day Range Raw Data'!F:F,Match($A152,'Day Range Raw Data'!$B:$B,0)),"")</f>
        <v/>
      </c>
      <c r="G152" t="str">
        <f t="array" ref="G152">IFERROR(INDEX('Day Range Raw Data'!G:G,Match($A152,'Day Range Raw Data'!$B:$B,0)),"")</f>
        <v/>
      </c>
      <c r="H152" t="str">
        <f t="array" ref="H152">IFERROR(INDEX('Day Range Raw Data'!H:H,Match($A152,'Day Range Raw Data'!$B:$B,0)),"")</f>
        <v/>
      </c>
      <c r="I152" t="str">
        <f t="array" ref="I152">IFERROR(INDEX('Day Range Raw Data'!M:M,Match($A152,'Day Range Raw Data'!$B:$B,0)),"")</f>
        <v/>
      </c>
      <c r="J152" t="str">
        <f t="array" ref="J152">IFERROR(INDEX('Day Range Raw Data'!N:N,Match($A152,'Day Range Raw Data'!$B:$B,0)),"")</f>
        <v/>
      </c>
      <c r="K152" t="str">
        <f t="array" ref="K152">IFERROR(INDEX('Day Range Raw Data'!R:R,Match($A152,'Day Range Raw Data'!$B:$B,0)),"")</f>
        <v/>
      </c>
      <c r="L152" t="str">
        <f t="array" ref="L152">IFERROR(INDEX('Day Range Raw Data'!S:S,Match($A152,'Day Range Raw Data'!$B:$B,0)),"")</f>
        <v/>
      </c>
      <c r="M152" t="str">
        <f t="array" ref="M152">IFERROR(INDEX('Day Range Raw Data'!T:T,Match($A152,'Day Range Raw Data'!$B:$B,0)),"")</f>
        <v/>
      </c>
      <c r="N152" t="str">
        <f t="array" ref="N152">IFERROR(INDEX('Day Range Raw Data'!U:U,Match($A152,'Day Range Raw Data'!$B:$B,0)),"")</f>
        <v/>
      </c>
      <c r="O152" t="str">
        <f t="array" ref="O152">IFERROR(INDEX('Day Range Raw Data'!V:V,Match($A152,'Day Range Raw Data'!$B:$B,0)),"")</f>
        <v/>
      </c>
      <c r="P152" t="str">
        <f t="array" ref="P152">IFERROR(INDEX('Day Range Raw Data'!X:X,Match($A152,'Day Range Raw Data'!$B:$B,0)),"")</f>
        <v/>
      </c>
      <c r="Q152" t="str">
        <f t="shared" si="1"/>
        <v/>
      </c>
      <c r="R152" s="9" t="str">
        <f t="shared" si="2"/>
        <v/>
      </c>
      <c r="S152" s="14" t="str">
        <f t="shared" si="3"/>
        <v/>
      </c>
      <c r="T152" s="15" t="str">
        <f>IFERROR(__xludf.DUMMYFUNCTION("IF($A152="""","""",IFERROR(PERCENTRANK.INC(FILTER(Q:Q,$F:$F&lt;&gt;""""),Q152)*100,""""))"),"")</f>
        <v/>
      </c>
      <c r="U152" s="15" t="str">
        <f>IFERROR(__xludf.DUMMYFUNCTION("IF($A152="""","""",IFERROR(PERCENTRANK.INC(FILTER(R:R,$F:$F&lt;&gt;""""),R152)*100,""""))"),"")</f>
        <v/>
      </c>
      <c r="V152" s="15" t="str">
        <f>IFERROR(__xludf.DUMMYFUNCTION("IF($A152="""","""",IFERROR(PERCENTRANK.INC(FILTER(S:S,$F:$F&lt;&gt;""""),S152)*100,""""))"),"")</f>
        <v/>
      </c>
      <c r="W152" s="15" t="str">
        <f t="shared" si="4"/>
        <v/>
      </c>
    </row>
    <row r="153">
      <c r="B153" t="str">
        <f t="array" ref="B153">IFERROR(INDEX('Player Raw Data'!C:C,Match($A153,'Player Raw Data'!$B:$B,0)),"")</f>
        <v/>
      </c>
      <c r="C153" t="str">
        <f t="array" ref="C153">IFERROR(INDEX('Player Raw Data'!D:D,Match($A153,'Player Raw Data'!$B:$B,0)),"")</f>
        <v/>
      </c>
      <c r="D153" t="str">
        <f t="array" ref="D153">IFERROR(IF(A153=A152, INDEX('Player Raw Data'!E:E,Match($A153,'Player Raw Data'!$B:$B,0)+2),INDEX('Player Raw Data'!E:E,Match($A153,'Player Raw Data'!$B:$B,0))),"")</f>
        <v/>
      </c>
      <c r="E153" t="str">
        <f t="array" ref="E153">IFERROR(INDEX('Day Range Raw Data'!D:D,Match($A153,'Day Range Raw Data'!$B:$B,0)),"")</f>
        <v/>
      </c>
      <c r="F153" t="str">
        <f t="array" ref="F153">IFERROR(INDEX('Day Range Raw Data'!F:F,Match($A153,'Day Range Raw Data'!$B:$B,0)),"")</f>
        <v/>
      </c>
      <c r="G153" t="str">
        <f t="array" ref="G153">IFERROR(INDEX('Day Range Raw Data'!G:G,Match($A153,'Day Range Raw Data'!$B:$B,0)),"")</f>
        <v/>
      </c>
      <c r="H153" t="str">
        <f t="array" ref="H153">IFERROR(INDEX('Day Range Raw Data'!H:H,Match($A153,'Day Range Raw Data'!$B:$B,0)),"")</f>
        <v/>
      </c>
      <c r="I153" t="str">
        <f t="array" ref="I153">IFERROR(INDEX('Day Range Raw Data'!M:M,Match($A153,'Day Range Raw Data'!$B:$B,0)),"")</f>
        <v/>
      </c>
      <c r="J153" t="str">
        <f t="array" ref="J153">IFERROR(INDEX('Day Range Raw Data'!N:N,Match($A153,'Day Range Raw Data'!$B:$B,0)),"")</f>
        <v/>
      </c>
      <c r="K153" t="str">
        <f t="array" ref="K153">IFERROR(INDEX('Day Range Raw Data'!R:R,Match($A153,'Day Range Raw Data'!$B:$B,0)),"")</f>
        <v/>
      </c>
      <c r="L153" t="str">
        <f t="array" ref="L153">IFERROR(INDEX('Day Range Raw Data'!S:S,Match($A153,'Day Range Raw Data'!$B:$B,0)),"")</f>
        <v/>
      </c>
      <c r="M153" t="str">
        <f t="array" ref="M153">IFERROR(INDEX('Day Range Raw Data'!T:T,Match($A153,'Day Range Raw Data'!$B:$B,0)),"")</f>
        <v/>
      </c>
      <c r="N153" t="str">
        <f t="array" ref="N153">IFERROR(INDEX('Day Range Raw Data'!U:U,Match($A153,'Day Range Raw Data'!$B:$B,0)),"")</f>
        <v/>
      </c>
      <c r="O153" t="str">
        <f t="array" ref="O153">IFERROR(INDEX('Day Range Raw Data'!V:V,Match($A153,'Day Range Raw Data'!$B:$B,0)),"")</f>
        <v/>
      </c>
      <c r="P153" t="str">
        <f t="array" ref="P153">IFERROR(INDEX('Day Range Raw Data'!X:X,Match($A153,'Day Range Raw Data'!$B:$B,0)),"")</f>
        <v/>
      </c>
      <c r="Q153" t="str">
        <f t="shared" si="1"/>
        <v/>
      </c>
      <c r="R153" s="9" t="str">
        <f t="shared" si="2"/>
        <v/>
      </c>
      <c r="S153" s="14" t="str">
        <f t="shared" si="3"/>
        <v/>
      </c>
      <c r="T153" s="15" t="str">
        <f>IFERROR(__xludf.DUMMYFUNCTION("IF($A153="""","""",IFERROR(PERCENTRANK.INC(FILTER(Q:Q,$F:$F&lt;&gt;""""),Q153)*100,""""))"),"")</f>
        <v/>
      </c>
      <c r="U153" s="15" t="str">
        <f>IFERROR(__xludf.DUMMYFUNCTION("IF($A153="""","""",IFERROR(PERCENTRANK.INC(FILTER(R:R,$F:$F&lt;&gt;""""),R153)*100,""""))"),"")</f>
        <v/>
      </c>
      <c r="V153" s="15" t="str">
        <f>IFERROR(__xludf.DUMMYFUNCTION("IF($A153="""","""",IFERROR(PERCENTRANK.INC(FILTER(S:S,$F:$F&lt;&gt;""""),S153)*100,""""))"),"")</f>
        <v/>
      </c>
      <c r="W153" s="15" t="str">
        <f t="shared" si="4"/>
        <v/>
      </c>
    </row>
    <row r="154">
      <c r="B154" t="str">
        <f t="array" ref="B154">IFERROR(INDEX('Player Raw Data'!C:C,Match($A154,'Player Raw Data'!$B:$B,0)),"")</f>
        <v/>
      </c>
      <c r="C154" t="str">
        <f t="array" ref="C154">IFERROR(INDEX('Player Raw Data'!D:D,Match($A154,'Player Raw Data'!$B:$B,0)),"")</f>
        <v/>
      </c>
      <c r="D154" t="str">
        <f t="array" ref="D154">IFERROR(IF(A154=A153, INDEX('Player Raw Data'!E:E,Match($A154,'Player Raw Data'!$B:$B,0)+2),INDEX('Player Raw Data'!E:E,Match($A154,'Player Raw Data'!$B:$B,0))),"")</f>
        <v/>
      </c>
      <c r="E154" t="str">
        <f t="array" ref="E154">IFERROR(INDEX('Day Range Raw Data'!D:D,Match($A154,'Day Range Raw Data'!$B:$B,0)),"")</f>
        <v/>
      </c>
      <c r="F154" t="str">
        <f t="array" ref="F154">IFERROR(INDEX('Day Range Raw Data'!F:F,Match($A154,'Day Range Raw Data'!$B:$B,0)),"")</f>
        <v/>
      </c>
      <c r="G154" t="str">
        <f t="array" ref="G154">IFERROR(INDEX('Day Range Raw Data'!G:G,Match($A154,'Day Range Raw Data'!$B:$B,0)),"")</f>
        <v/>
      </c>
      <c r="H154" t="str">
        <f t="array" ref="H154">IFERROR(INDEX('Day Range Raw Data'!H:H,Match($A154,'Day Range Raw Data'!$B:$B,0)),"")</f>
        <v/>
      </c>
      <c r="I154" t="str">
        <f t="array" ref="I154">IFERROR(INDEX('Day Range Raw Data'!M:M,Match($A154,'Day Range Raw Data'!$B:$B,0)),"")</f>
        <v/>
      </c>
      <c r="J154" t="str">
        <f t="array" ref="J154">IFERROR(INDEX('Day Range Raw Data'!N:N,Match($A154,'Day Range Raw Data'!$B:$B,0)),"")</f>
        <v/>
      </c>
      <c r="K154" t="str">
        <f t="array" ref="K154">IFERROR(INDEX('Day Range Raw Data'!R:R,Match($A154,'Day Range Raw Data'!$B:$B,0)),"")</f>
        <v/>
      </c>
      <c r="L154" t="str">
        <f t="array" ref="L154">IFERROR(INDEX('Day Range Raw Data'!S:S,Match($A154,'Day Range Raw Data'!$B:$B,0)),"")</f>
        <v/>
      </c>
      <c r="M154" t="str">
        <f t="array" ref="M154">IFERROR(INDEX('Day Range Raw Data'!T:T,Match($A154,'Day Range Raw Data'!$B:$B,0)),"")</f>
        <v/>
      </c>
      <c r="N154" t="str">
        <f t="array" ref="N154">IFERROR(INDEX('Day Range Raw Data'!U:U,Match($A154,'Day Range Raw Data'!$B:$B,0)),"")</f>
        <v/>
      </c>
      <c r="O154" t="str">
        <f t="array" ref="O154">IFERROR(INDEX('Day Range Raw Data'!V:V,Match($A154,'Day Range Raw Data'!$B:$B,0)),"")</f>
        <v/>
      </c>
      <c r="P154" t="str">
        <f t="array" ref="P154">IFERROR(INDEX('Day Range Raw Data'!X:X,Match($A154,'Day Range Raw Data'!$B:$B,0)),"")</f>
        <v/>
      </c>
      <c r="Q154" t="str">
        <f t="shared" si="1"/>
        <v/>
      </c>
      <c r="R154" s="9" t="str">
        <f t="shared" si="2"/>
        <v/>
      </c>
      <c r="S154" s="14" t="str">
        <f t="shared" si="3"/>
        <v/>
      </c>
      <c r="T154" s="15" t="str">
        <f>IFERROR(__xludf.DUMMYFUNCTION("IF($A154="""","""",IFERROR(PERCENTRANK.INC(FILTER(Q:Q,$F:$F&lt;&gt;""""),Q154)*100,""""))"),"")</f>
        <v/>
      </c>
      <c r="U154" s="15" t="str">
        <f>IFERROR(__xludf.DUMMYFUNCTION("IF($A154="""","""",IFERROR(PERCENTRANK.INC(FILTER(R:R,$F:$F&lt;&gt;""""),R154)*100,""""))"),"")</f>
        <v/>
      </c>
      <c r="V154" s="15" t="str">
        <f>IFERROR(__xludf.DUMMYFUNCTION("IF($A154="""","""",IFERROR(PERCENTRANK.INC(FILTER(S:S,$F:$F&lt;&gt;""""),S154)*100,""""))"),"")</f>
        <v/>
      </c>
      <c r="W154" s="15" t="str">
        <f t="shared" si="4"/>
        <v/>
      </c>
    </row>
    <row r="155">
      <c r="B155" t="str">
        <f t="array" ref="B155">IFERROR(INDEX('Player Raw Data'!C:C,Match($A155,'Player Raw Data'!$B:$B,0)),"")</f>
        <v/>
      </c>
      <c r="C155" t="str">
        <f t="array" ref="C155">IFERROR(INDEX('Player Raw Data'!D:D,Match($A155,'Player Raw Data'!$B:$B,0)),"")</f>
        <v/>
      </c>
      <c r="D155" t="str">
        <f t="array" ref="D155">IFERROR(IF(A155=A154, INDEX('Player Raw Data'!E:E,Match($A155,'Player Raw Data'!$B:$B,0)+2),INDEX('Player Raw Data'!E:E,Match($A155,'Player Raw Data'!$B:$B,0))),"")</f>
        <v/>
      </c>
      <c r="E155" t="str">
        <f t="array" ref="E155">IFERROR(INDEX('Day Range Raw Data'!D:D,Match($A155,'Day Range Raw Data'!$B:$B,0)),"")</f>
        <v/>
      </c>
      <c r="F155" t="str">
        <f t="array" ref="F155">IFERROR(INDEX('Day Range Raw Data'!F:F,Match($A155,'Day Range Raw Data'!$B:$B,0)),"")</f>
        <v/>
      </c>
      <c r="G155" t="str">
        <f t="array" ref="G155">IFERROR(INDEX('Day Range Raw Data'!G:G,Match($A155,'Day Range Raw Data'!$B:$B,0)),"")</f>
        <v/>
      </c>
      <c r="H155" t="str">
        <f t="array" ref="H155">IFERROR(INDEX('Day Range Raw Data'!H:H,Match($A155,'Day Range Raw Data'!$B:$B,0)),"")</f>
        <v/>
      </c>
      <c r="I155" t="str">
        <f t="array" ref="I155">IFERROR(INDEX('Day Range Raw Data'!M:M,Match($A155,'Day Range Raw Data'!$B:$B,0)),"")</f>
        <v/>
      </c>
      <c r="J155" t="str">
        <f t="array" ref="J155">IFERROR(INDEX('Day Range Raw Data'!N:N,Match($A155,'Day Range Raw Data'!$B:$B,0)),"")</f>
        <v/>
      </c>
      <c r="K155" t="str">
        <f t="array" ref="K155">IFERROR(INDEX('Day Range Raw Data'!R:R,Match($A155,'Day Range Raw Data'!$B:$B,0)),"")</f>
        <v/>
      </c>
      <c r="L155" t="str">
        <f t="array" ref="L155">IFERROR(INDEX('Day Range Raw Data'!S:S,Match($A155,'Day Range Raw Data'!$B:$B,0)),"")</f>
        <v/>
      </c>
      <c r="M155" t="str">
        <f t="array" ref="M155">IFERROR(INDEX('Day Range Raw Data'!T:T,Match($A155,'Day Range Raw Data'!$B:$B,0)),"")</f>
        <v/>
      </c>
      <c r="N155" t="str">
        <f t="array" ref="N155">IFERROR(INDEX('Day Range Raw Data'!U:U,Match($A155,'Day Range Raw Data'!$B:$B,0)),"")</f>
        <v/>
      </c>
      <c r="O155" t="str">
        <f t="array" ref="O155">IFERROR(INDEX('Day Range Raw Data'!V:V,Match($A155,'Day Range Raw Data'!$B:$B,0)),"")</f>
        <v/>
      </c>
      <c r="P155" t="str">
        <f t="array" ref="P155">IFERROR(INDEX('Day Range Raw Data'!X:X,Match($A155,'Day Range Raw Data'!$B:$B,0)),"")</f>
        <v/>
      </c>
      <c r="Q155" t="str">
        <f t="shared" si="1"/>
        <v/>
      </c>
      <c r="R155" s="9" t="str">
        <f t="shared" si="2"/>
        <v/>
      </c>
      <c r="S155" s="14" t="str">
        <f t="shared" si="3"/>
        <v/>
      </c>
      <c r="T155" s="15" t="str">
        <f>IFERROR(__xludf.DUMMYFUNCTION("IF($A155="""","""",IFERROR(PERCENTRANK.INC(FILTER(Q:Q,$F:$F&lt;&gt;""""),Q155)*100,""""))"),"")</f>
        <v/>
      </c>
      <c r="U155" s="15" t="str">
        <f>IFERROR(__xludf.DUMMYFUNCTION("IF($A155="""","""",IFERROR(PERCENTRANK.INC(FILTER(R:R,$F:$F&lt;&gt;""""),R155)*100,""""))"),"")</f>
        <v/>
      </c>
      <c r="V155" s="15" t="str">
        <f>IFERROR(__xludf.DUMMYFUNCTION("IF($A155="""","""",IFERROR(PERCENTRANK.INC(FILTER(S:S,$F:$F&lt;&gt;""""),S155)*100,""""))"),"")</f>
        <v/>
      </c>
      <c r="W155" s="15" t="str">
        <f t="shared" si="4"/>
        <v/>
      </c>
    </row>
    <row r="156">
      <c r="B156" t="str">
        <f t="array" ref="B156">IFERROR(INDEX('Player Raw Data'!C:C,Match($A156,'Player Raw Data'!$B:$B,0)),"")</f>
        <v/>
      </c>
      <c r="C156" t="str">
        <f t="array" ref="C156">IFERROR(INDEX('Player Raw Data'!D:D,Match($A156,'Player Raw Data'!$B:$B,0)),"")</f>
        <v/>
      </c>
      <c r="D156" t="str">
        <f t="array" ref="D156">IFERROR(IF(A156=A155, INDEX('Player Raw Data'!E:E,Match($A156,'Player Raw Data'!$B:$B,0)+2),INDEX('Player Raw Data'!E:E,Match($A156,'Player Raw Data'!$B:$B,0))),"")</f>
        <v/>
      </c>
      <c r="E156" t="str">
        <f t="array" ref="E156">IFERROR(INDEX('Day Range Raw Data'!D:D,Match($A156,'Day Range Raw Data'!$B:$B,0)),"")</f>
        <v/>
      </c>
      <c r="F156" t="str">
        <f t="array" ref="F156">IFERROR(INDEX('Day Range Raw Data'!F:F,Match($A156,'Day Range Raw Data'!$B:$B,0)),"")</f>
        <v/>
      </c>
      <c r="G156" t="str">
        <f t="array" ref="G156">IFERROR(INDEX('Day Range Raw Data'!G:G,Match($A156,'Day Range Raw Data'!$B:$B,0)),"")</f>
        <v/>
      </c>
      <c r="H156" t="str">
        <f t="array" ref="H156">IFERROR(INDEX('Day Range Raw Data'!H:H,Match($A156,'Day Range Raw Data'!$B:$B,0)),"")</f>
        <v/>
      </c>
      <c r="I156" t="str">
        <f t="array" ref="I156">IFERROR(INDEX('Day Range Raw Data'!M:M,Match($A156,'Day Range Raw Data'!$B:$B,0)),"")</f>
        <v/>
      </c>
      <c r="J156" t="str">
        <f t="array" ref="J156">IFERROR(INDEX('Day Range Raw Data'!N:N,Match($A156,'Day Range Raw Data'!$B:$B,0)),"")</f>
        <v/>
      </c>
      <c r="K156" t="str">
        <f t="array" ref="K156">IFERROR(INDEX('Day Range Raw Data'!R:R,Match($A156,'Day Range Raw Data'!$B:$B,0)),"")</f>
        <v/>
      </c>
      <c r="L156" t="str">
        <f t="array" ref="L156">IFERROR(INDEX('Day Range Raw Data'!S:S,Match($A156,'Day Range Raw Data'!$B:$B,0)),"")</f>
        <v/>
      </c>
      <c r="M156" t="str">
        <f t="array" ref="M156">IFERROR(INDEX('Day Range Raw Data'!T:T,Match($A156,'Day Range Raw Data'!$B:$B,0)),"")</f>
        <v/>
      </c>
      <c r="N156" t="str">
        <f t="array" ref="N156">IFERROR(INDEX('Day Range Raw Data'!U:U,Match($A156,'Day Range Raw Data'!$B:$B,0)),"")</f>
        <v/>
      </c>
      <c r="O156" t="str">
        <f t="array" ref="O156">IFERROR(INDEX('Day Range Raw Data'!V:V,Match($A156,'Day Range Raw Data'!$B:$B,0)),"")</f>
        <v/>
      </c>
      <c r="P156" t="str">
        <f t="array" ref="P156">IFERROR(INDEX('Day Range Raw Data'!X:X,Match($A156,'Day Range Raw Data'!$B:$B,0)),"")</f>
        <v/>
      </c>
      <c r="Q156" t="str">
        <f t="shared" si="1"/>
        <v/>
      </c>
      <c r="R156" s="9" t="str">
        <f t="shared" si="2"/>
        <v/>
      </c>
      <c r="S156" s="14" t="str">
        <f t="shared" si="3"/>
        <v/>
      </c>
      <c r="T156" s="15" t="str">
        <f>IFERROR(__xludf.DUMMYFUNCTION("IF($A156="""","""",IFERROR(PERCENTRANK.INC(FILTER(Q:Q,$F:$F&lt;&gt;""""),Q156)*100,""""))"),"")</f>
        <v/>
      </c>
      <c r="U156" s="15" t="str">
        <f>IFERROR(__xludf.DUMMYFUNCTION("IF($A156="""","""",IFERROR(PERCENTRANK.INC(FILTER(R:R,$F:$F&lt;&gt;""""),R156)*100,""""))"),"")</f>
        <v/>
      </c>
      <c r="V156" s="15" t="str">
        <f>IFERROR(__xludf.DUMMYFUNCTION("IF($A156="""","""",IFERROR(PERCENTRANK.INC(FILTER(S:S,$F:$F&lt;&gt;""""),S156)*100,""""))"),"")</f>
        <v/>
      </c>
      <c r="W156" s="15" t="str">
        <f t="shared" si="4"/>
        <v/>
      </c>
    </row>
    <row r="157">
      <c r="B157" t="str">
        <f t="array" ref="B157">IFERROR(INDEX('Player Raw Data'!C:C,Match($A157,'Player Raw Data'!$B:$B,0)),"")</f>
        <v/>
      </c>
      <c r="C157" t="str">
        <f t="array" ref="C157">IFERROR(INDEX('Player Raw Data'!D:D,Match($A157,'Player Raw Data'!$B:$B,0)),"")</f>
        <v/>
      </c>
      <c r="D157" t="str">
        <f t="array" ref="D157">IFERROR(IF(A157=A156, INDEX('Player Raw Data'!E:E,Match($A157,'Player Raw Data'!$B:$B,0)+2),INDEX('Player Raw Data'!E:E,Match($A157,'Player Raw Data'!$B:$B,0))),"")</f>
        <v/>
      </c>
      <c r="E157" t="str">
        <f t="array" ref="E157">IFERROR(INDEX('Day Range Raw Data'!D:D,Match($A157,'Day Range Raw Data'!$B:$B,0)),"")</f>
        <v/>
      </c>
      <c r="F157" t="str">
        <f t="array" ref="F157">IFERROR(INDEX('Day Range Raw Data'!F:F,Match($A157,'Day Range Raw Data'!$B:$B,0)),"")</f>
        <v/>
      </c>
      <c r="G157" t="str">
        <f t="array" ref="G157">IFERROR(INDEX('Day Range Raw Data'!G:G,Match($A157,'Day Range Raw Data'!$B:$B,0)),"")</f>
        <v/>
      </c>
      <c r="H157" t="str">
        <f t="array" ref="H157">IFERROR(INDEX('Day Range Raw Data'!H:H,Match($A157,'Day Range Raw Data'!$B:$B,0)),"")</f>
        <v/>
      </c>
      <c r="I157" t="str">
        <f t="array" ref="I157">IFERROR(INDEX('Day Range Raw Data'!M:M,Match($A157,'Day Range Raw Data'!$B:$B,0)),"")</f>
        <v/>
      </c>
      <c r="J157" t="str">
        <f t="array" ref="J157">IFERROR(INDEX('Day Range Raw Data'!N:N,Match($A157,'Day Range Raw Data'!$B:$B,0)),"")</f>
        <v/>
      </c>
      <c r="K157" t="str">
        <f t="array" ref="K157">IFERROR(INDEX('Day Range Raw Data'!R:R,Match($A157,'Day Range Raw Data'!$B:$B,0)),"")</f>
        <v/>
      </c>
      <c r="L157" t="str">
        <f t="array" ref="L157">IFERROR(INDEX('Day Range Raw Data'!S:S,Match($A157,'Day Range Raw Data'!$B:$B,0)),"")</f>
        <v/>
      </c>
      <c r="M157" t="str">
        <f t="array" ref="M157">IFERROR(INDEX('Day Range Raw Data'!T:T,Match($A157,'Day Range Raw Data'!$B:$B,0)),"")</f>
        <v/>
      </c>
      <c r="N157" t="str">
        <f t="array" ref="N157">IFERROR(INDEX('Day Range Raw Data'!U:U,Match($A157,'Day Range Raw Data'!$B:$B,0)),"")</f>
        <v/>
      </c>
      <c r="O157" t="str">
        <f t="array" ref="O157">IFERROR(INDEX('Day Range Raw Data'!V:V,Match($A157,'Day Range Raw Data'!$B:$B,0)),"")</f>
        <v/>
      </c>
      <c r="P157" t="str">
        <f t="array" ref="P157">IFERROR(INDEX('Day Range Raw Data'!X:X,Match($A157,'Day Range Raw Data'!$B:$B,0)),"")</f>
        <v/>
      </c>
      <c r="Q157" t="str">
        <f t="shared" si="1"/>
        <v/>
      </c>
      <c r="R157" s="9" t="str">
        <f t="shared" si="2"/>
        <v/>
      </c>
      <c r="S157" s="14" t="str">
        <f t="shared" si="3"/>
        <v/>
      </c>
      <c r="T157" s="15" t="str">
        <f>IFERROR(__xludf.DUMMYFUNCTION("IF($A157="""","""",IFERROR(PERCENTRANK.INC(FILTER(Q:Q,$F:$F&lt;&gt;""""),Q157)*100,""""))"),"")</f>
        <v/>
      </c>
      <c r="U157" s="15" t="str">
        <f>IFERROR(__xludf.DUMMYFUNCTION("IF($A157="""","""",IFERROR(PERCENTRANK.INC(FILTER(R:R,$F:$F&lt;&gt;""""),R157)*100,""""))"),"")</f>
        <v/>
      </c>
      <c r="V157" s="15" t="str">
        <f>IFERROR(__xludf.DUMMYFUNCTION("IF($A157="""","""",IFERROR(PERCENTRANK.INC(FILTER(S:S,$F:$F&lt;&gt;""""),S157)*100,""""))"),"")</f>
        <v/>
      </c>
      <c r="W157" s="15" t="str">
        <f t="shared" si="4"/>
        <v/>
      </c>
    </row>
    <row r="158">
      <c r="B158" t="str">
        <f t="array" ref="B158">IFERROR(INDEX('Player Raw Data'!C:C,Match($A158,'Player Raw Data'!$B:$B,0)),"")</f>
        <v/>
      </c>
      <c r="C158" t="str">
        <f t="array" ref="C158">IFERROR(INDEX('Player Raw Data'!D:D,Match($A158,'Player Raw Data'!$B:$B,0)),"")</f>
        <v/>
      </c>
      <c r="D158" t="str">
        <f t="array" ref="D158">IFERROR(IF(A158=A157, INDEX('Player Raw Data'!E:E,Match($A158,'Player Raw Data'!$B:$B,0)+2),INDEX('Player Raw Data'!E:E,Match($A158,'Player Raw Data'!$B:$B,0))),"")</f>
        <v/>
      </c>
      <c r="E158" t="str">
        <f t="array" ref="E158">IFERROR(INDEX('Day Range Raw Data'!D:D,Match($A158,'Day Range Raw Data'!$B:$B,0)),"")</f>
        <v/>
      </c>
      <c r="F158" t="str">
        <f t="array" ref="F158">IFERROR(INDEX('Day Range Raw Data'!F:F,Match($A158,'Day Range Raw Data'!$B:$B,0)),"")</f>
        <v/>
      </c>
      <c r="G158" t="str">
        <f t="array" ref="G158">IFERROR(INDEX('Day Range Raw Data'!G:G,Match($A158,'Day Range Raw Data'!$B:$B,0)),"")</f>
        <v/>
      </c>
      <c r="H158" t="str">
        <f t="array" ref="H158">IFERROR(INDEX('Day Range Raw Data'!H:H,Match($A158,'Day Range Raw Data'!$B:$B,0)),"")</f>
        <v/>
      </c>
      <c r="I158" t="str">
        <f t="array" ref="I158">IFERROR(INDEX('Day Range Raw Data'!M:M,Match($A158,'Day Range Raw Data'!$B:$B,0)),"")</f>
        <v/>
      </c>
      <c r="J158" t="str">
        <f t="array" ref="J158">IFERROR(INDEX('Day Range Raw Data'!N:N,Match($A158,'Day Range Raw Data'!$B:$B,0)),"")</f>
        <v/>
      </c>
      <c r="K158" t="str">
        <f t="array" ref="K158">IFERROR(INDEX('Day Range Raw Data'!R:R,Match($A158,'Day Range Raw Data'!$B:$B,0)),"")</f>
        <v/>
      </c>
      <c r="L158" t="str">
        <f t="array" ref="L158">IFERROR(INDEX('Day Range Raw Data'!S:S,Match($A158,'Day Range Raw Data'!$B:$B,0)),"")</f>
        <v/>
      </c>
      <c r="M158" t="str">
        <f t="array" ref="M158">IFERROR(INDEX('Day Range Raw Data'!T:T,Match($A158,'Day Range Raw Data'!$B:$B,0)),"")</f>
        <v/>
      </c>
      <c r="N158" t="str">
        <f t="array" ref="N158">IFERROR(INDEX('Day Range Raw Data'!U:U,Match($A158,'Day Range Raw Data'!$B:$B,0)),"")</f>
        <v/>
      </c>
      <c r="O158" t="str">
        <f t="array" ref="O158">IFERROR(INDEX('Day Range Raw Data'!V:V,Match($A158,'Day Range Raw Data'!$B:$B,0)),"")</f>
        <v/>
      </c>
      <c r="P158" t="str">
        <f t="array" ref="P158">IFERROR(INDEX('Day Range Raw Data'!X:X,Match($A158,'Day Range Raw Data'!$B:$B,0)),"")</f>
        <v/>
      </c>
      <c r="Q158" t="str">
        <f t="shared" si="1"/>
        <v/>
      </c>
      <c r="R158" s="9" t="str">
        <f t="shared" si="2"/>
        <v/>
      </c>
      <c r="S158" s="14" t="str">
        <f t="shared" si="3"/>
        <v/>
      </c>
      <c r="T158" s="15" t="str">
        <f>IFERROR(__xludf.DUMMYFUNCTION("IF($A158="""","""",IFERROR(PERCENTRANK.INC(FILTER(Q:Q,$F:$F&lt;&gt;""""),Q158)*100,""""))"),"")</f>
        <v/>
      </c>
      <c r="U158" s="15" t="str">
        <f>IFERROR(__xludf.DUMMYFUNCTION("IF($A158="""","""",IFERROR(PERCENTRANK.INC(FILTER(R:R,$F:$F&lt;&gt;""""),R158)*100,""""))"),"")</f>
        <v/>
      </c>
      <c r="V158" s="15" t="str">
        <f>IFERROR(__xludf.DUMMYFUNCTION("IF($A158="""","""",IFERROR(PERCENTRANK.INC(FILTER(S:S,$F:$F&lt;&gt;""""),S158)*100,""""))"),"")</f>
        <v/>
      </c>
      <c r="W158" s="15" t="str">
        <f t="shared" si="4"/>
        <v/>
      </c>
    </row>
    <row r="159">
      <c r="B159" t="str">
        <f t="array" ref="B159">IFERROR(INDEX('Player Raw Data'!C:C,Match($A159,'Player Raw Data'!$B:$B,0)),"")</f>
        <v/>
      </c>
      <c r="C159" t="str">
        <f t="array" ref="C159">IFERROR(INDEX('Player Raw Data'!D:D,Match($A159,'Player Raw Data'!$B:$B,0)),"")</f>
        <v/>
      </c>
      <c r="D159" t="str">
        <f t="array" ref="D159">IFERROR(IF(A159=A158, INDEX('Player Raw Data'!E:E,Match($A159,'Player Raw Data'!$B:$B,0)+2),INDEX('Player Raw Data'!E:E,Match($A159,'Player Raw Data'!$B:$B,0))),"")</f>
        <v/>
      </c>
      <c r="E159" t="str">
        <f t="array" ref="E159">IFERROR(INDEX('Day Range Raw Data'!D:D,Match($A159,'Day Range Raw Data'!$B:$B,0)),"")</f>
        <v/>
      </c>
      <c r="F159" t="str">
        <f t="array" ref="F159">IFERROR(INDEX('Day Range Raw Data'!F:F,Match($A159,'Day Range Raw Data'!$B:$B,0)),"")</f>
        <v/>
      </c>
      <c r="G159" t="str">
        <f t="array" ref="G159">IFERROR(INDEX('Day Range Raw Data'!G:G,Match($A159,'Day Range Raw Data'!$B:$B,0)),"")</f>
        <v/>
      </c>
      <c r="H159" t="str">
        <f t="array" ref="H159">IFERROR(INDEX('Day Range Raw Data'!H:H,Match($A159,'Day Range Raw Data'!$B:$B,0)),"")</f>
        <v/>
      </c>
      <c r="I159" t="str">
        <f t="array" ref="I159">IFERROR(INDEX('Day Range Raw Data'!M:M,Match($A159,'Day Range Raw Data'!$B:$B,0)),"")</f>
        <v/>
      </c>
      <c r="J159" t="str">
        <f t="array" ref="J159">IFERROR(INDEX('Day Range Raw Data'!N:N,Match($A159,'Day Range Raw Data'!$B:$B,0)),"")</f>
        <v/>
      </c>
      <c r="K159" t="str">
        <f t="array" ref="K159">IFERROR(INDEX('Day Range Raw Data'!R:R,Match($A159,'Day Range Raw Data'!$B:$B,0)),"")</f>
        <v/>
      </c>
      <c r="L159" t="str">
        <f t="array" ref="L159">IFERROR(INDEX('Day Range Raw Data'!S:S,Match($A159,'Day Range Raw Data'!$B:$B,0)),"")</f>
        <v/>
      </c>
      <c r="M159" t="str">
        <f t="array" ref="M159">IFERROR(INDEX('Day Range Raw Data'!T:T,Match($A159,'Day Range Raw Data'!$B:$B,0)),"")</f>
        <v/>
      </c>
      <c r="N159" t="str">
        <f t="array" ref="N159">IFERROR(INDEX('Day Range Raw Data'!U:U,Match($A159,'Day Range Raw Data'!$B:$B,0)),"")</f>
        <v/>
      </c>
      <c r="O159" t="str">
        <f t="array" ref="O159">IFERROR(INDEX('Day Range Raw Data'!V:V,Match($A159,'Day Range Raw Data'!$B:$B,0)),"")</f>
        <v/>
      </c>
      <c r="P159" t="str">
        <f t="array" ref="P159">IFERROR(INDEX('Day Range Raw Data'!X:X,Match($A159,'Day Range Raw Data'!$B:$B,0)),"")</f>
        <v/>
      </c>
      <c r="Q159" t="str">
        <f t="shared" si="1"/>
        <v/>
      </c>
      <c r="R159" s="9" t="str">
        <f t="shared" si="2"/>
        <v/>
      </c>
      <c r="S159" s="14" t="str">
        <f t="shared" si="3"/>
        <v/>
      </c>
      <c r="T159" s="15" t="str">
        <f>IFERROR(__xludf.DUMMYFUNCTION("IF($A159="""","""",IFERROR(PERCENTRANK.INC(FILTER(Q:Q,$F:$F&lt;&gt;""""),Q159)*100,""""))"),"")</f>
        <v/>
      </c>
      <c r="U159" s="15" t="str">
        <f>IFERROR(__xludf.DUMMYFUNCTION("IF($A159="""","""",IFERROR(PERCENTRANK.INC(FILTER(R:R,$F:$F&lt;&gt;""""),R159)*100,""""))"),"")</f>
        <v/>
      </c>
      <c r="V159" s="15" t="str">
        <f>IFERROR(__xludf.DUMMYFUNCTION("IF($A159="""","""",IFERROR(PERCENTRANK.INC(FILTER(S:S,$F:$F&lt;&gt;""""),S159)*100,""""))"),"")</f>
        <v/>
      </c>
      <c r="W159" s="15" t="str">
        <f t="shared" si="4"/>
        <v/>
      </c>
    </row>
    <row r="160">
      <c r="B160" t="str">
        <f t="array" ref="B160">IFERROR(INDEX('Player Raw Data'!C:C,Match($A160,'Player Raw Data'!$B:$B,0)),"")</f>
        <v/>
      </c>
      <c r="C160" t="str">
        <f t="array" ref="C160">IFERROR(INDEX('Player Raw Data'!D:D,Match($A160,'Player Raw Data'!$B:$B,0)),"")</f>
        <v/>
      </c>
      <c r="D160" t="str">
        <f t="array" ref="D160">IFERROR(IF(A160=A159, INDEX('Player Raw Data'!E:E,Match($A160,'Player Raw Data'!$B:$B,0)+2),INDEX('Player Raw Data'!E:E,Match($A160,'Player Raw Data'!$B:$B,0))),"")</f>
        <v/>
      </c>
      <c r="E160" t="str">
        <f t="array" ref="E160">IFERROR(INDEX('Day Range Raw Data'!D:D,Match($A160,'Day Range Raw Data'!$B:$B,0)),"")</f>
        <v/>
      </c>
      <c r="F160" t="str">
        <f t="array" ref="F160">IFERROR(INDEX('Day Range Raw Data'!F:F,Match($A160,'Day Range Raw Data'!$B:$B,0)),"")</f>
        <v/>
      </c>
      <c r="G160" t="str">
        <f t="array" ref="G160">IFERROR(INDEX('Day Range Raw Data'!G:G,Match($A160,'Day Range Raw Data'!$B:$B,0)),"")</f>
        <v/>
      </c>
      <c r="H160" t="str">
        <f t="array" ref="H160">IFERROR(INDEX('Day Range Raw Data'!H:H,Match($A160,'Day Range Raw Data'!$B:$B,0)),"")</f>
        <v/>
      </c>
      <c r="I160" t="str">
        <f t="array" ref="I160">IFERROR(INDEX('Day Range Raw Data'!M:M,Match($A160,'Day Range Raw Data'!$B:$B,0)),"")</f>
        <v/>
      </c>
      <c r="J160" t="str">
        <f t="array" ref="J160">IFERROR(INDEX('Day Range Raw Data'!N:N,Match($A160,'Day Range Raw Data'!$B:$B,0)),"")</f>
        <v/>
      </c>
      <c r="K160" t="str">
        <f t="array" ref="K160">IFERROR(INDEX('Day Range Raw Data'!R:R,Match($A160,'Day Range Raw Data'!$B:$B,0)),"")</f>
        <v/>
      </c>
      <c r="L160" t="str">
        <f t="array" ref="L160">IFERROR(INDEX('Day Range Raw Data'!S:S,Match($A160,'Day Range Raw Data'!$B:$B,0)),"")</f>
        <v/>
      </c>
      <c r="M160" t="str">
        <f t="array" ref="M160">IFERROR(INDEX('Day Range Raw Data'!T:T,Match($A160,'Day Range Raw Data'!$B:$B,0)),"")</f>
        <v/>
      </c>
      <c r="N160" t="str">
        <f t="array" ref="N160">IFERROR(INDEX('Day Range Raw Data'!U:U,Match($A160,'Day Range Raw Data'!$B:$B,0)),"")</f>
        <v/>
      </c>
      <c r="O160" t="str">
        <f t="array" ref="O160">IFERROR(INDEX('Day Range Raw Data'!V:V,Match($A160,'Day Range Raw Data'!$B:$B,0)),"")</f>
        <v/>
      </c>
      <c r="P160" t="str">
        <f t="array" ref="P160">IFERROR(INDEX('Day Range Raw Data'!X:X,Match($A160,'Day Range Raw Data'!$B:$B,0)),"")</f>
        <v/>
      </c>
      <c r="Q160" t="str">
        <f t="shared" si="1"/>
        <v/>
      </c>
      <c r="R160" s="9" t="str">
        <f t="shared" si="2"/>
        <v/>
      </c>
      <c r="S160" s="14" t="str">
        <f t="shared" si="3"/>
        <v/>
      </c>
      <c r="T160" s="15" t="str">
        <f>IFERROR(__xludf.DUMMYFUNCTION("IF($A160="""","""",IFERROR(PERCENTRANK.INC(FILTER(Q:Q,$F:$F&lt;&gt;""""),Q160)*100,""""))"),"")</f>
        <v/>
      </c>
      <c r="U160" s="15" t="str">
        <f>IFERROR(__xludf.DUMMYFUNCTION("IF($A160="""","""",IFERROR(PERCENTRANK.INC(FILTER(R:R,$F:$F&lt;&gt;""""),R160)*100,""""))"),"")</f>
        <v/>
      </c>
      <c r="V160" s="15" t="str">
        <f>IFERROR(__xludf.DUMMYFUNCTION("IF($A160="""","""",IFERROR(PERCENTRANK.INC(FILTER(S:S,$F:$F&lt;&gt;""""),S160)*100,""""))"),"")</f>
        <v/>
      </c>
      <c r="W160" s="15" t="str">
        <f t="shared" si="4"/>
        <v/>
      </c>
    </row>
    <row r="161">
      <c r="B161" t="str">
        <f t="array" ref="B161">IFERROR(INDEX('Player Raw Data'!C:C,Match($A161,'Player Raw Data'!$B:$B,0)),"")</f>
        <v/>
      </c>
      <c r="C161" t="str">
        <f t="array" ref="C161">IFERROR(INDEX('Player Raw Data'!D:D,Match($A161,'Player Raw Data'!$B:$B,0)),"")</f>
        <v/>
      </c>
      <c r="D161" t="str">
        <f t="array" ref="D161">IFERROR(IF(A161=A160, INDEX('Player Raw Data'!E:E,Match($A161,'Player Raw Data'!$B:$B,0)+2),INDEX('Player Raw Data'!E:E,Match($A161,'Player Raw Data'!$B:$B,0))),"")</f>
        <v/>
      </c>
      <c r="E161" t="str">
        <f t="array" ref="E161">IFERROR(INDEX('Day Range Raw Data'!D:D,Match($A161,'Day Range Raw Data'!$B:$B,0)),"")</f>
        <v/>
      </c>
      <c r="F161" t="str">
        <f t="array" ref="F161">IFERROR(INDEX('Day Range Raw Data'!F:F,Match($A161,'Day Range Raw Data'!$B:$B,0)),"")</f>
        <v/>
      </c>
      <c r="G161" t="str">
        <f t="array" ref="G161">IFERROR(INDEX('Day Range Raw Data'!G:G,Match($A161,'Day Range Raw Data'!$B:$B,0)),"")</f>
        <v/>
      </c>
      <c r="H161" t="str">
        <f t="array" ref="H161">IFERROR(INDEX('Day Range Raw Data'!H:H,Match($A161,'Day Range Raw Data'!$B:$B,0)),"")</f>
        <v/>
      </c>
      <c r="I161" t="str">
        <f t="array" ref="I161">IFERROR(INDEX('Day Range Raw Data'!M:M,Match($A161,'Day Range Raw Data'!$B:$B,0)),"")</f>
        <v/>
      </c>
      <c r="J161" t="str">
        <f t="array" ref="J161">IFERROR(INDEX('Day Range Raw Data'!N:N,Match($A161,'Day Range Raw Data'!$B:$B,0)),"")</f>
        <v/>
      </c>
      <c r="K161" t="str">
        <f t="array" ref="K161">IFERROR(INDEX('Day Range Raw Data'!R:R,Match($A161,'Day Range Raw Data'!$B:$B,0)),"")</f>
        <v/>
      </c>
      <c r="L161" t="str">
        <f t="array" ref="L161">IFERROR(INDEX('Day Range Raw Data'!S:S,Match($A161,'Day Range Raw Data'!$B:$B,0)),"")</f>
        <v/>
      </c>
      <c r="M161" t="str">
        <f t="array" ref="M161">IFERROR(INDEX('Day Range Raw Data'!T:T,Match($A161,'Day Range Raw Data'!$B:$B,0)),"")</f>
        <v/>
      </c>
      <c r="N161" t="str">
        <f t="array" ref="N161">IFERROR(INDEX('Day Range Raw Data'!U:U,Match($A161,'Day Range Raw Data'!$B:$B,0)),"")</f>
        <v/>
      </c>
      <c r="O161" t="str">
        <f t="array" ref="O161">IFERROR(INDEX('Day Range Raw Data'!V:V,Match($A161,'Day Range Raw Data'!$B:$B,0)),"")</f>
        <v/>
      </c>
      <c r="P161" t="str">
        <f t="array" ref="P161">IFERROR(INDEX('Day Range Raw Data'!X:X,Match($A161,'Day Range Raw Data'!$B:$B,0)),"")</f>
        <v/>
      </c>
      <c r="Q161" t="str">
        <f t="shared" si="1"/>
        <v/>
      </c>
      <c r="R161" s="9" t="str">
        <f t="shared" si="2"/>
        <v/>
      </c>
      <c r="S161" s="14" t="str">
        <f t="shared" si="3"/>
        <v/>
      </c>
      <c r="T161" s="15" t="str">
        <f>IFERROR(__xludf.DUMMYFUNCTION("IF($A161="""","""",IFERROR(PERCENTRANK.INC(FILTER(Q:Q,$F:$F&lt;&gt;""""),Q161)*100,""""))"),"")</f>
        <v/>
      </c>
      <c r="U161" s="15" t="str">
        <f>IFERROR(__xludf.DUMMYFUNCTION("IF($A161="""","""",IFERROR(PERCENTRANK.INC(FILTER(R:R,$F:$F&lt;&gt;""""),R161)*100,""""))"),"")</f>
        <v/>
      </c>
      <c r="V161" s="15" t="str">
        <f>IFERROR(__xludf.DUMMYFUNCTION("IF($A161="""","""",IFERROR(PERCENTRANK.INC(FILTER(S:S,$F:$F&lt;&gt;""""),S161)*100,""""))"),"")</f>
        <v/>
      </c>
      <c r="W161" s="15" t="str">
        <f t="shared" si="4"/>
        <v/>
      </c>
    </row>
    <row r="162">
      <c r="B162" t="str">
        <f t="array" ref="B162">IFERROR(INDEX('Player Raw Data'!C:C,Match($A162,'Player Raw Data'!$B:$B,0)),"")</f>
        <v/>
      </c>
      <c r="C162" t="str">
        <f t="array" ref="C162">IFERROR(INDEX('Player Raw Data'!D:D,Match($A162,'Player Raw Data'!$B:$B,0)),"")</f>
        <v/>
      </c>
      <c r="D162" t="str">
        <f t="array" ref="D162">IFERROR(IF(A162=A161, INDEX('Player Raw Data'!E:E,Match($A162,'Player Raw Data'!$B:$B,0)+2),INDEX('Player Raw Data'!E:E,Match($A162,'Player Raw Data'!$B:$B,0))),"")</f>
        <v/>
      </c>
      <c r="E162" t="str">
        <f t="array" ref="E162">IFERROR(INDEX('Day Range Raw Data'!D:D,Match($A162,'Day Range Raw Data'!$B:$B,0)),"")</f>
        <v/>
      </c>
      <c r="F162" t="str">
        <f t="array" ref="F162">IFERROR(INDEX('Day Range Raw Data'!F:F,Match($A162,'Day Range Raw Data'!$B:$B,0)),"")</f>
        <v/>
      </c>
      <c r="G162" t="str">
        <f t="array" ref="G162">IFERROR(INDEX('Day Range Raw Data'!G:G,Match($A162,'Day Range Raw Data'!$B:$B,0)),"")</f>
        <v/>
      </c>
      <c r="H162" t="str">
        <f t="array" ref="H162">IFERROR(INDEX('Day Range Raw Data'!H:H,Match($A162,'Day Range Raw Data'!$B:$B,0)),"")</f>
        <v/>
      </c>
      <c r="I162" t="str">
        <f t="array" ref="I162">IFERROR(INDEX('Day Range Raw Data'!M:M,Match($A162,'Day Range Raw Data'!$B:$B,0)),"")</f>
        <v/>
      </c>
      <c r="J162" t="str">
        <f t="array" ref="J162">IFERROR(INDEX('Day Range Raw Data'!N:N,Match($A162,'Day Range Raw Data'!$B:$B,0)),"")</f>
        <v/>
      </c>
      <c r="K162" t="str">
        <f t="array" ref="K162">IFERROR(INDEX('Day Range Raw Data'!R:R,Match($A162,'Day Range Raw Data'!$B:$B,0)),"")</f>
        <v/>
      </c>
      <c r="L162" t="str">
        <f t="array" ref="L162">IFERROR(INDEX('Day Range Raw Data'!S:S,Match($A162,'Day Range Raw Data'!$B:$B,0)),"")</f>
        <v/>
      </c>
      <c r="M162" t="str">
        <f t="array" ref="M162">IFERROR(INDEX('Day Range Raw Data'!T:T,Match($A162,'Day Range Raw Data'!$B:$B,0)),"")</f>
        <v/>
      </c>
      <c r="N162" t="str">
        <f t="array" ref="N162">IFERROR(INDEX('Day Range Raw Data'!U:U,Match($A162,'Day Range Raw Data'!$B:$B,0)),"")</f>
        <v/>
      </c>
      <c r="O162" t="str">
        <f t="array" ref="O162">IFERROR(INDEX('Day Range Raw Data'!V:V,Match($A162,'Day Range Raw Data'!$B:$B,0)),"")</f>
        <v/>
      </c>
      <c r="P162" t="str">
        <f t="array" ref="P162">IFERROR(INDEX('Day Range Raw Data'!X:X,Match($A162,'Day Range Raw Data'!$B:$B,0)),"")</f>
        <v/>
      </c>
      <c r="Q162" t="str">
        <f t="shared" si="1"/>
        <v/>
      </c>
      <c r="R162" s="9" t="str">
        <f t="shared" si="2"/>
        <v/>
      </c>
      <c r="S162" s="14" t="str">
        <f t="shared" si="3"/>
        <v/>
      </c>
      <c r="T162" s="15" t="str">
        <f>IFERROR(__xludf.DUMMYFUNCTION("IF($A162="""","""",IFERROR(PERCENTRANK.INC(FILTER(Q:Q,$F:$F&lt;&gt;""""),Q162)*100,""""))"),"")</f>
        <v/>
      </c>
      <c r="U162" s="15" t="str">
        <f>IFERROR(__xludf.DUMMYFUNCTION("IF($A162="""","""",IFERROR(PERCENTRANK.INC(FILTER(R:R,$F:$F&lt;&gt;""""),R162)*100,""""))"),"")</f>
        <v/>
      </c>
      <c r="V162" s="15" t="str">
        <f>IFERROR(__xludf.DUMMYFUNCTION("IF($A162="""","""",IFERROR(PERCENTRANK.INC(FILTER(S:S,$F:$F&lt;&gt;""""),S162)*100,""""))"),"")</f>
        <v/>
      </c>
      <c r="W162" s="15" t="str">
        <f t="shared" si="4"/>
        <v/>
      </c>
    </row>
    <row r="163">
      <c r="B163" t="str">
        <f t="array" ref="B163">IFERROR(INDEX('Player Raw Data'!C:C,Match($A163,'Player Raw Data'!$B:$B,0)),"")</f>
        <v/>
      </c>
      <c r="C163" t="str">
        <f t="array" ref="C163">IFERROR(INDEX('Player Raw Data'!D:D,Match($A163,'Player Raw Data'!$B:$B,0)),"")</f>
        <v/>
      </c>
      <c r="D163" t="str">
        <f t="array" ref="D163">IFERROR(IF(A163=A162, INDEX('Player Raw Data'!E:E,Match($A163,'Player Raw Data'!$B:$B,0)+2),INDEX('Player Raw Data'!E:E,Match($A163,'Player Raw Data'!$B:$B,0))),"")</f>
        <v/>
      </c>
      <c r="E163" t="str">
        <f t="array" ref="E163">IFERROR(INDEX('Day Range Raw Data'!D:D,Match($A163,'Day Range Raw Data'!$B:$B,0)),"")</f>
        <v/>
      </c>
      <c r="F163" t="str">
        <f t="array" ref="F163">IFERROR(INDEX('Day Range Raw Data'!F:F,Match($A163,'Day Range Raw Data'!$B:$B,0)),"")</f>
        <v/>
      </c>
      <c r="G163" t="str">
        <f t="array" ref="G163">IFERROR(INDEX('Day Range Raw Data'!G:G,Match($A163,'Day Range Raw Data'!$B:$B,0)),"")</f>
        <v/>
      </c>
      <c r="H163" t="str">
        <f t="array" ref="H163">IFERROR(INDEX('Day Range Raw Data'!H:H,Match($A163,'Day Range Raw Data'!$B:$B,0)),"")</f>
        <v/>
      </c>
      <c r="I163" t="str">
        <f t="array" ref="I163">IFERROR(INDEX('Day Range Raw Data'!M:M,Match($A163,'Day Range Raw Data'!$B:$B,0)),"")</f>
        <v/>
      </c>
      <c r="J163" t="str">
        <f t="array" ref="J163">IFERROR(INDEX('Day Range Raw Data'!N:N,Match($A163,'Day Range Raw Data'!$B:$B,0)),"")</f>
        <v/>
      </c>
      <c r="K163" t="str">
        <f t="array" ref="K163">IFERROR(INDEX('Day Range Raw Data'!R:R,Match($A163,'Day Range Raw Data'!$B:$B,0)),"")</f>
        <v/>
      </c>
      <c r="L163" t="str">
        <f t="array" ref="L163">IFERROR(INDEX('Day Range Raw Data'!S:S,Match($A163,'Day Range Raw Data'!$B:$B,0)),"")</f>
        <v/>
      </c>
      <c r="M163" t="str">
        <f t="array" ref="M163">IFERROR(INDEX('Day Range Raw Data'!T:T,Match($A163,'Day Range Raw Data'!$B:$B,0)),"")</f>
        <v/>
      </c>
      <c r="N163" t="str">
        <f t="array" ref="N163">IFERROR(INDEX('Day Range Raw Data'!U:U,Match($A163,'Day Range Raw Data'!$B:$B,0)),"")</f>
        <v/>
      </c>
      <c r="O163" t="str">
        <f t="array" ref="O163">IFERROR(INDEX('Day Range Raw Data'!V:V,Match($A163,'Day Range Raw Data'!$B:$B,0)),"")</f>
        <v/>
      </c>
      <c r="P163" t="str">
        <f t="array" ref="P163">IFERROR(INDEX('Day Range Raw Data'!X:X,Match($A163,'Day Range Raw Data'!$B:$B,0)),"")</f>
        <v/>
      </c>
      <c r="Q163" t="str">
        <f t="shared" si="1"/>
        <v/>
      </c>
      <c r="R163" s="9" t="str">
        <f t="shared" si="2"/>
        <v/>
      </c>
      <c r="S163" s="14" t="str">
        <f t="shared" si="3"/>
        <v/>
      </c>
      <c r="T163" s="15" t="str">
        <f>IFERROR(__xludf.DUMMYFUNCTION("IF($A163="""","""",IFERROR(PERCENTRANK.INC(FILTER(Q:Q,$F:$F&lt;&gt;""""),Q163)*100,""""))"),"")</f>
        <v/>
      </c>
      <c r="U163" s="15" t="str">
        <f>IFERROR(__xludf.DUMMYFUNCTION("IF($A163="""","""",IFERROR(PERCENTRANK.INC(FILTER(R:R,$F:$F&lt;&gt;""""),R163)*100,""""))"),"")</f>
        <v/>
      </c>
      <c r="V163" s="15" t="str">
        <f>IFERROR(__xludf.DUMMYFUNCTION("IF($A163="""","""",IFERROR(PERCENTRANK.INC(FILTER(S:S,$F:$F&lt;&gt;""""),S163)*100,""""))"),"")</f>
        <v/>
      </c>
      <c r="W163" s="15" t="str">
        <f t="shared" si="4"/>
        <v/>
      </c>
    </row>
    <row r="164">
      <c r="B164" t="str">
        <f t="array" ref="B164">IFERROR(INDEX('Player Raw Data'!C:C,Match($A164,'Player Raw Data'!$B:$B,0)),"")</f>
        <v/>
      </c>
      <c r="C164" t="str">
        <f t="array" ref="C164">IFERROR(INDEX('Player Raw Data'!D:D,Match($A164,'Player Raw Data'!$B:$B,0)),"")</f>
        <v/>
      </c>
      <c r="D164" t="str">
        <f t="array" ref="D164">IFERROR(IF(A164=A163, INDEX('Player Raw Data'!E:E,Match($A164,'Player Raw Data'!$B:$B,0)+2),INDEX('Player Raw Data'!E:E,Match($A164,'Player Raw Data'!$B:$B,0))),"")</f>
        <v/>
      </c>
      <c r="E164" t="str">
        <f t="array" ref="E164">IFERROR(INDEX('Day Range Raw Data'!D:D,Match($A164,'Day Range Raw Data'!$B:$B,0)),"")</f>
        <v/>
      </c>
      <c r="F164" t="str">
        <f t="array" ref="F164">IFERROR(INDEX('Day Range Raw Data'!F:F,Match($A164,'Day Range Raw Data'!$B:$B,0)),"")</f>
        <v/>
      </c>
      <c r="G164" t="str">
        <f t="array" ref="G164">IFERROR(INDEX('Day Range Raw Data'!G:G,Match($A164,'Day Range Raw Data'!$B:$B,0)),"")</f>
        <v/>
      </c>
      <c r="H164" t="str">
        <f t="array" ref="H164">IFERROR(INDEX('Day Range Raw Data'!H:H,Match($A164,'Day Range Raw Data'!$B:$B,0)),"")</f>
        <v/>
      </c>
      <c r="I164" t="str">
        <f t="array" ref="I164">IFERROR(INDEX('Day Range Raw Data'!M:M,Match($A164,'Day Range Raw Data'!$B:$B,0)),"")</f>
        <v/>
      </c>
      <c r="J164" t="str">
        <f t="array" ref="J164">IFERROR(INDEX('Day Range Raw Data'!N:N,Match($A164,'Day Range Raw Data'!$B:$B,0)),"")</f>
        <v/>
      </c>
      <c r="K164" t="str">
        <f t="array" ref="K164">IFERROR(INDEX('Day Range Raw Data'!R:R,Match($A164,'Day Range Raw Data'!$B:$B,0)),"")</f>
        <v/>
      </c>
      <c r="L164" t="str">
        <f t="array" ref="L164">IFERROR(INDEX('Day Range Raw Data'!S:S,Match($A164,'Day Range Raw Data'!$B:$B,0)),"")</f>
        <v/>
      </c>
      <c r="M164" t="str">
        <f t="array" ref="M164">IFERROR(INDEX('Day Range Raw Data'!T:T,Match($A164,'Day Range Raw Data'!$B:$B,0)),"")</f>
        <v/>
      </c>
      <c r="N164" t="str">
        <f t="array" ref="N164">IFERROR(INDEX('Day Range Raw Data'!U:U,Match($A164,'Day Range Raw Data'!$B:$B,0)),"")</f>
        <v/>
      </c>
      <c r="O164" t="str">
        <f t="array" ref="O164">IFERROR(INDEX('Day Range Raw Data'!V:V,Match($A164,'Day Range Raw Data'!$B:$B,0)),"")</f>
        <v/>
      </c>
      <c r="P164" t="str">
        <f t="array" ref="P164">IFERROR(INDEX('Day Range Raw Data'!X:X,Match($A164,'Day Range Raw Data'!$B:$B,0)),"")</f>
        <v/>
      </c>
      <c r="Q164" t="str">
        <f t="shared" si="1"/>
        <v/>
      </c>
      <c r="R164" s="9" t="str">
        <f t="shared" si="2"/>
        <v/>
      </c>
      <c r="S164" s="14" t="str">
        <f t="shared" si="3"/>
        <v/>
      </c>
      <c r="T164" s="15" t="str">
        <f>IFERROR(__xludf.DUMMYFUNCTION("IF($A164="""","""",IFERROR(PERCENTRANK.INC(FILTER(Q:Q,$F:$F&lt;&gt;""""),Q164)*100,""""))"),"")</f>
        <v/>
      </c>
      <c r="U164" s="15" t="str">
        <f>IFERROR(__xludf.DUMMYFUNCTION("IF($A164="""","""",IFERROR(PERCENTRANK.INC(FILTER(R:R,$F:$F&lt;&gt;""""),R164)*100,""""))"),"")</f>
        <v/>
      </c>
      <c r="V164" s="15" t="str">
        <f>IFERROR(__xludf.DUMMYFUNCTION("IF($A164="""","""",IFERROR(PERCENTRANK.INC(FILTER(S:S,$F:$F&lt;&gt;""""),S164)*100,""""))"),"")</f>
        <v/>
      </c>
      <c r="W164" s="15" t="str">
        <f t="shared" si="4"/>
        <v/>
      </c>
    </row>
    <row r="165">
      <c r="B165" t="str">
        <f t="array" ref="B165">IFERROR(INDEX('Player Raw Data'!C:C,Match($A165,'Player Raw Data'!$B:$B,0)),"")</f>
        <v/>
      </c>
      <c r="C165" t="str">
        <f t="array" ref="C165">IFERROR(INDEX('Player Raw Data'!D:D,Match($A165,'Player Raw Data'!$B:$B,0)),"")</f>
        <v/>
      </c>
      <c r="D165" t="str">
        <f t="array" ref="D165">IFERROR(IF(A165=A164, INDEX('Player Raw Data'!E:E,Match($A165,'Player Raw Data'!$B:$B,0)+2),INDEX('Player Raw Data'!E:E,Match($A165,'Player Raw Data'!$B:$B,0))),"")</f>
        <v/>
      </c>
      <c r="E165" t="str">
        <f t="array" ref="E165">IFERROR(INDEX('Day Range Raw Data'!D:D,Match($A165,'Day Range Raw Data'!$B:$B,0)),"")</f>
        <v/>
      </c>
      <c r="F165" t="str">
        <f t="array" ref="F165">IFERROR(INDEX('Day Range Raw Data'!F:F,Match($A165,'Day Range Raw Data'!$B:$B,0)),"")</f>
        <v/>
      </c>
      <c r="G165" t="str">
        <f t="array" ref="G165">IFERROR(INDEX('Day Range Raw Data'!G:G,Match($A165,'Day Range Raw Data'!$B:$B,0)),"")</f>
        <v/>
      </c>
      <c r="H165" t="str">
        <f t="array" ref="H165">IFERROR(INDEX('Day Range Raw Data'!H:H,Match($A165,'Day Range Raw Data'!$B:$B,0)),"")</f>
        <v/>
      </c>
      <c r="I165" t="str">
        <f t="array" ref="I165">IFERROR(INDEX('Day Range Raw Data'!M:M,Match($A165,'Day Range Raw Data'!$B:$B,0)),"")</f>
        <v/>
      </c>
      <c r="J165" t="str">
        <f t="array" ref="J165">IFERROR(INDEX('Day Range Raw Data'!N:N,Match($A165,'Day Range Raw Data'!$B:$B,0)),"")</f>
        <v/>
      </c>
      <c r="K165" t="str">
        <f t="array" ref="K165">IFERROR(INDEX('Day Range Raw Data'!R:R,Match($A165,'Day Range Raw Data'!$B:$B,0)),"")</f>
        <v/>
      </c>
      <c r="L165" t="str">
        <f t="array" ref="L165">IFERROR(INDEX('Day Range Raw Data'!S:S,Match($A165,'Day Range Raw Data'!$B:$B,0)),"")</f>
        <v/>
      </c>
      <c r="M165" t="str">
        <f t="array" ref="M165">IFERROR(INDEX('Day Range Raw Data'!T:T,Match($A165,'Day Range Raw Data'!$B:$B,0)),"")</f>
        <v/>
      </c>
      <c r="N165" t="str">
        <f t="array" ref="N165">IFERROR(INDEX('Day Range Raw Data'!U:U,Match($A165,'Day Range Raw Data'!$B:$B,0)),"")</f>
        <v/>
      </c>
      <c r="O165" t="str">
        <f t="array" ref="O165">IFERROR(INDEX('Day Range Raw Data'!V:V,Match($A165,'Day Range Raw Data'!$B:$B,0)),"")</f>
        <v/>
      </c>
      <c r="P165" t="str">
        <f t="array" ref="P165">IFERROR(INDEX('Day Range Raw Data'!X:X,Match($A165,'Day Range Raw Data'!$B:$B,0)),"")</f>
        <v/>
      </c>
      <c r="Q165" t="str">
        <f t="shared" si="1"/>
        <v/>
      </c>
      <c r="R165" s="9" t="str">
        <f t="shared" si="2"/>
        <v/>
      </c>
      <c r="S165" s="14" t="str">
        <f t="shared" si="3"/>
        <v/>
      </c>
      <c r="T165" s="15" t="str">
        <f>IFERROR(__xludf.DUMMYFUNCTION("IF($A165="""","""",IFERROR(PERCENTRANK.INC(FILTER(Q:Q,$F:$F&lt;&gt;""""),Q165)*100,""""))"),"")</f>
        <v/>
      </c>
      <c r="U165" s="15" t="str">
        <f>IFERROR(__xludf.DUMMYFUNCTION("IF($A165="""","""",IFERROR(PERCENTRANK.INC(FILTER(R:R,$F:$F&lt;&gt;""""),R165)*100,""""))"),"")</f>
        <v/>
      </c>
      <c r="V165" s="15" t="str">
        <f>IFERROR(__xludf.DUMMYFUNCTION("IF($A165="""","""",IFERROR(PERCENTRANK.INC(FILTER(S:S,$F:$F&lt;&gt;""""),S165)*100,""""))"),"")</f>
        <v/>
      </c>
      <c r="W165" s="15" t="str">
        <f t="shared" si="4"/>
        <v/>
      </c>
    </row>
    <row r="166">
      <c r="B166" t="str">
        <f t="array" ref="B166">IFERROR(INDEX('Player Raw Data'!C:C,Match($A166,'Player Raw Data'!$B:$B,0)),"")</f>
        <v/>
      </c>
      <c r="C166" t="str">
        <f t="array" ref="C166">IFERROR(INDEX('Player Raw Data'!D:D,Match($A166,'Player Raw Data'!$B:$B,0)),"")</f>
        <v/>
      </c>
      <c r="D166" t="str">
        <f t="array" ref="D166">IFERROR(IF(A166=A165, INDEX('Player Raw Data'!E:E,Match($A166,'Player Raw Data'!$B:$B,0)+2),INDEX('Player Raw Data'!E:E,Match($A166,'Player Raw Data'!$B:$B,0))),"")</f>
        <v/>
      </c>
      <c r="E166" t="str">
        <f t="array" ref="E166">IFERROR(INDEX('Day Range Raw Data'!D:D,Match($A166,'Day Range Raw Data'!$B:$B,0)),"")</f>
        <v/>
      </c>
      <c r="F166" t="str">
        <f t="array" ref="F166">IFERROR(INDEX('Day Range Raw Data'!F:F,Match($A166,'Day Range Raw Data'!$B:$B,0)),"")</f>
        <v/>
      </c>
      <c r="G166" t="str">
        <f t="array" ref="G166">IFERROR(INDEX('Day Range Raw Data'!G:G,Match($A166,'Day Range Raw Data'!$B:$B,0)),"")</f>
        <v/>
      </c>
      <c r="H166" t="str">
        <f t="array" ref="H166">IFERROR(INDEX('Day Range Raw Data'!H:H,Match($A166,'Day Range Raw Data'!$B:$B,0)),"")</f>
        <v/>
      </c>
      <c r="I166" t="str">
        <f t="array" ref="I166">IFERROR(INDEX('Day Range Raw Data'!M:M,Match($A166,'Day Range Raw Data'!$B:$B,0)),"")</f>
        <v/>
      </c>
      <c r="J166" t="str">
        <f t="array" ref="J166">IFERROR(INDEX('Day Range Raw Data'!N:N,Match($A166,'Day Range Raw Data'!$B:$B,0)),"")</f>
        <v/>
      </c>
      <c r="K166" t="str">
        <f t="array" ref="K166">IFERROR(INDEX('Day Range Raw Data'!R:R,Match($A166,'Day Range Raw Data'!$B:$B,0)),"")</f>
        <v/>
      </c>
      <c r="L166" t="str">
        <f t="array" ref="L166">IFERROR(INDEX('Day Range Raw Data'!S:S,Match($A166,'Day Range Raw Data'!$B:$B,0)),"")</f>
        <v/>
      </c>
      <c r="M166" t="str">
        <f t="array" ref="M166">IFERROR(INDEX('Day Range Raw Data'!T:T,Match($A166,'Day Range Raw Data'!$B:$B,0)),"")</f>
        <v/>
      </c>
      <c r="N166" t="str">
        <f t="array" ref="N166">IFERROR(INDEX('Day Range Raw Data'!U:U,Match($A166,'Day Range Raw Data'!$B:$B,0)),"")</f>
        <v/>
      </c>
      <c r="O166" t="str">
        <f t="array" ref="O166">IFERROR(INDEX('Day Range Raw Data'!V:V,Match($A166,'Day Range Raw Data'!$B:$B,0)),"")</f>
        <v/>
      </c>
      <c r="P166" t="str">
        <f t="array" ref="P166">IFERROR(INDEX('Day Range Raw Data'!X:X,Match($A166,'Day Range Raw Data'!$B:$B,0)),"")</f>
        <v/>
      </c>
      <c r="Q166" t="str">
        <f t="shared" si="1"/>
        <v/>
      </c>
      <c r="R166" s="9" t="str">
        <f t="shared" si="2"/>
        <v/>
      </c>
      <c r="S166" s="14" t="str">
        <f t="shared" si="3"/>
        <v/>
      </c>
      <c r="T166" s="15" t="str">
        <f>IFERROR(__xludf.DUMMYFUNCTION("IF($A166="""","""",IFERROR(PERCENTRANK.INC(FILTER(Q:Q,$F:$F&lt;&gt;""""),Q166)*100,""""))"),"")</f>
        <v/>
      </c>
      <c r="U166" s="15" t="str">
        <f>IFERROR(__xludf.DUMMYFUNCTION("IF($A166="""","""",IFERROR(PERCENTRANK.INC(FILTER(R:R,$F:$F&lt;&gt;""""),R166)*100,""""))"),"")</f>
        <v/>
      </c>
      <c r="V166" s="15" t="str">
        <f>IFERROR(__xludf.DUMMYFUNCTION("IF($A166="""","""",IFERROR(PERCENTRANK.INC(FILTER(S:S,$F:$F&lt;&gt;""""),S166)*100,""""))"),"")</f>
        <v/>
      </c>
      <c r="W166" s="15" t="str">
        <f t="shared" si="4"/>
        <v/>
      </c>
    </row>
    <row r="167">
      <c r="B167" t="str">
        <f t="array" ref="B167">IFERROR(INDEX('Player Raw Data'!C:C,Match($A167,'Player Raw Data'!$B:$B,0)),"")</f>
        <v/>
      </c>
      <c r="C167" t="str">
        <f t="array" ref="C167">IFERROR(INDEX('Player Raw Data'!D:D,Match($A167,'Player Raw Data'!$B:$B,0)),"")</f>
        <v/>
      </c>
      <c r="D167" t="str">
        <f t="array" ref="D167">IFERROR(IF(A167=A166, INDEX('Player Raw Data'!E:E,Match($A167,'Player Raw Data'!$B:$B,0)+2),INDEX('Player Raw Data'!E:E,Match($A167,'Player Raw Data'!$B:$B,0))),"")</f>
        <v/>
      </c>
      <c r="E167" t="str">
        <f t="array" ref="E167">IFERROR(INDEX('Day Range Raw Data'!D:D,Match($A167,'Day Range Raw Data'!$B:$B,0)),"")</f>
        <v/>
      </c>
      <c r="F167" t="str">
        <f t="array" ref="F167">IFERROR(INDEX('Day Range Raw Data'!F:F,Match($A167,'Day Range Raw Data'!$B:$B,0)),"")</f>
        <v/>
      </c>
      <c r="G167" t="str">
        <f t="array" ref="G167">IFERROR(INDEX('Day Range Raw Data'!G:G,Match($A167,'Day Range Raw Data'!$B:$B,0)),"")</f>
        <v/>
      </c>
      <c r="H167" t="str">
        <f t="array" ref="H167">IFERROR(INDEX('Day Range Raw Data'!H:H,Match($A167,'Day Range Raw Data'!$B:$B,0)),"")</f>
        <v/>
      </c>
      <c r="I167" t="str">
        <f t="array" ref="I167">IFERROR(INDEX('Day Range Raw Data'!M:M,Match($A167,'Day Range Raw Data'!$B:$B,0)),"")</f>
        <v/>
      </c>
      <c r="J167" t="str">
        <f t="array" ref="J167">IFERROR(INDEX('Day Range Raw Data'!N:N,Match($A167,'Day Range Raw Data'!$B:$B,0)),"")</f>
        <v/>
      </c>
      <c r="K167" t="str">
        <f t="array" ref="K167">IFERROR(INDEX('Day Range Raw Data'!R:R,Match($A167,'Day Range Raw Data'!$B:$B,0)),"")</f>
        <v/>
      </c>
      <c r="L167" t="str">
        <f t="array" ref="L167">IFERROR(INDEX('Day Range Raw Data'!S:S,Match($A167,'Day Range Raw Data'!$B:$B,0)),"")</f>
        <v/>
      </c>
      <c r="M167" t="str">
        <f t="array" ref="M167">IFERROR(INDEX('Day Range Raw Data'!T:T,Match($A167,'Day Range Raw Data'!$B:$B,0)),"")</f>
        <v/>
      </c>
      <c r="N167" t="str">
        <f t="array" ref="N167">IFERROR(INDEX('Day Range Raw Data'!U:U,Match($A167,'Day Range Raw Data'!$B:$B,0)),"")</f>
        <v/>
      </c>
      <c r="O167" t="str">
        <f t="array" ref="O167">IFERROR(INDEX('Day Range Raw Data'!V:V,Match($A167,'Day Range Raw Data'!$B:$B,0)),"")</f>
        <v/>
      </c>
      <c r="P167" t="str">
        <f t="array" ref="P167">IFERROR(INDEX('Day Range Raw Data'!X:X,Match($A167,'Day Range Raw Data'!$B:$B,0)),"")</f>
        <v/>
      </c>
      <c r="Q167" t="str">
        <f t="shared" si="1"/>
        <v/>
      </c>
      <c r="R167" s="9" t="str">
        <f t="shared" si="2"/>
        <v/>
      </c>
      <c r="S167" s="14" t="str">
        <f t="shared" si="3"/>
        <v/>
      </c>
      <c r="T167" s="15" t="str">
        <f>IFERROR(__xludf.DUMMYFUNCTION("IF($A167="""","""",IFERROR(PERCENTRANK.INC(FILTER(Q:Q,$F:$F&lt;&gt;""""),Q167)*100,""""))"),"")</f>
        <v/>
      </c>
      <c r="U167" s="15" t="str">
        <f>IFERROR(__xludf.DUMMYFUNCTION("IF($A167="""","""",IFERROR(PERCENTRANK.INC(FILTER(R:R,$F:$F&lt;&gt;""""),R167)*100,""""))"),"")</f>
        <v/>
      </c>
      <c r="V167" s="15" t="str">
        <f>IFERROR(__xludf.DUMMYFUNCTION("IF($A167="""","""",IFERROR(PERCENTRANK.INC(FILTER(S:S,$F:$F&lt;&gt;""""),S167)*100,""""))"),"")</f>
        <v/>
      </c>
      <c r="W167" s="15" t="str">
        <f t="shared" si="4"/>
        <v/>
      </c>
    </row>
    <row r="168">
      <c r="B168" t="str">
        <f t="array" ref="B168">IFERROR(INDEX('Player Raw Data'!C:C,Match($A168,'Player Raw Data'!$B:$B,0)),"")</f>
        <v/>
      </c>
      <c r="C168" t="str">
        <f t="array" ref="C168">IFERROR(INDEX('Player Raw Data'!D:D,Match($A168,'Player Raw Data'!$B:$B,0)),"")</f>
        <v/>
      </c>
      <c r="D168" t="str">
        <f t="array" ref="D168">IFERROR(IF(A168=A167, INDEX('Player Raw Data'!E:E,Match($A168,'Player Raw Data'!$B:$B,0)+2),INDEX('Player Raw Data'!E:E,Match($A168,'Player Raw Data'!$B:$B,0))),"")</f>
        <v/>
      </c>
      <c r="E168" t="str">
        <f t="array" ref="E168">IFERROR(INDEX('Day Range Raw Data'!D:D,Match($A168,'Day Range Raw Data'!$B:$B,0)),"")</f>
        <v/>
      </c>
      <c r="F168" t="str">
        <f t="array" ref="F168">IFERROR(INDEX('Day Range Raw Data'!F:F,Match($A168,'Day Range Raw Data'!$B:$B,0)),"")</f>
        <v/>
      </c>
      <c r="G168" t="str">
        <f t="array" ref="G168">IFERROR(INDEX('Day Range Raw Data'!G:G,Match($A168,'Day Range Raw Data'!$B:$B,0)),"")</f>
        <v/>
      </c>
      <c r="H168" t="str">
        <f t="array" ref="H168">IFERROR(INDEX('Day Range Raw Data'!H:H,Match($A168,'Day Range Raw Data'!$B:$B,0)),"")</f>
        <v/>
      </c>
      <c r="I168" t="str">
        <f t="array" ref="I168">IFERROR(INDEX('Day Range Raw Data'!M:M,Match($A168,'Day Range Raw Data'!$B:$B,0)),"")</f>
        <v/>
      </c>
      <c r="J168" t="str">
        <f t="array" ref="J168">IFERROR(INDEX('Day Range Raw Data'!N:N,Match($A168,'Day Range Raw Data'!$B:$B,0)),"")</f>
        <v/>
      </c>
      <c r="K168" t="str">
        <f t="array" ref="K168">IFERROR(INDEX('Day Range Raw Data'!R:R,Match($A168,'Day Range Raw Data'!$B:$B,0)),"")</f>
        <v/>
      </c>
      <c r="L168" t="str">
        <f t="array" ref="L168">IFERROR(INDEX('Day Range Raw Data'!S:S,Match($A168,'Day Range Raw Data'!$B:$B,0)),"")</f>
        <v/>
      </c>
      <c r="M168" t="str">
        <f t="array" ref="M168">IFERROR(INDEX('Day Range Raw Data'!T:T,Match($A168,'Day Range Raw Data'!$B:$B,0)),"")</f>
        <v/>
      </c>
      <c r="N168" t="str">
        <f t="array" ref="N168">IFERROR(INDEX('Day Range Raw Data'!U:U,Match($A168,'Day Range Raw Data'!$B:$B,0)),"")</f>
        <v/>
      </c>
      <c r="O168" t="str">
        <f t="array" ref="O168">IFERROR(INDEX('Day Range Raw Data'!V:V,Match($A168,'Day Range Raw Data'!$B:$B,0)),"")</f>
        <v/>
      </c>
      <c r="P168" t="str">
        <f t="array" ref="P168">IFERROR(INDEX('Day Range Raw Data'!X:X,Match($A168,'Day Range Raw Data'!$B:$B,0)),"")</f>
        <v/>
      </c>
      <c r="Q168" t="str">
        <f t="shared" si="1"/>
        <v/>
      </c>
      <c r="R168" s="9" t="str">
        <f t="shared" si="2"/>
        <v/>
      </c>
      <c r="S168" s="14" t="str">
        <f t="shared" si="3"/>
        <v/>
      </c>
      <c r="T168" s="15" t="str">
        <f>IFERROR(__xludf.DUMMYFUNCTION("IF($A168="""","""",IFERROR(PERCENTRANK.INC(FILTER(Q:Q,$F:$F&lt;&gt;""""),Q168)*100,""""))"),"")</f>
        <v/>
      </c>
      <c r="U168" s="15" t="str">
        <f>IFERROR(__xludf.DUMMYFUNCTION("IF($A168="""","""",IFERROR(PERCENTRANK.INC(FILTER(R:R,$F:$F&lt;&gt;""""),R168)*100,""""))"),"")</f>
        <v/>
      </c>
      <c r="V168" s="15" t="str">
        <f>IFERROR(__xludf.DUMMYFUNCTION("IF($A168="""","""",IFERROR(PERCENTRANK.INC(FILTER(S:S,$F:$F&lt;&gt;""""),S168)*100,""""))"),"")</f>
        <v/>
      </c>
      <c r="W168" s="15" t="str">
        <f t="shared" si="4"/>
        <v/>
      </c>
    </row>
    <row r="169">
      <c r="B169" t="str">
        <f t="array" ref="B169">IFERROR(INDEX('Player Raw Data'!C:C,Match($A169,'Player Raw Data'!$B:$B,0)),"")</f>
        <v/>
      </c>
      <c r="C169" t="str">
        <f t="array" ref="C169">IFERROR(INDEX('Player Raw Data'!D:D,Match($A169,'Player Raw Data'!$B:$B,0)),"")</f>
        <v/>
      </c>
      <c r="D169" t="str">
        <f t="array" ref="D169">IFERROR(IF(A169=A168, INDEX('Player Raw Data'!E:E,Match($A169,'Player Raw Data'!$B:$B,0)+2),INDEX('Player Raw Data'!E:E,Match($A169,'Player Raw Data'!$B:$B,0))),"")</f>
        <v/>
      </c>
      <c r="E169" t="str">
        <f t="array" ref="E169">IFERROR(INDEX('Day Range Raw Data'!D:D,Match($A169,'Day Range Raw Data'!$B:$B,0)),"")</f>
        <v/>
      </c>
      <c r="F169" t="str">
        <f t="array" ref="F169">IFERROR(INDEX('Day Range Raw Data'!F:F,Match($A169,'Day Range Raw Data'!$B:$B,0)),"")</f>
        <v/>
      </c>
      <c r="G169" t="str">
        <f t="array" ref="G169">IFERROR(INDEX('Day Range Raw Data'!G:G,Match($A169,'Day Range Raw Data'!$B:$B,0)),"")</f>
        <v/>
      </c>
      <c r="H169" t="str">
        <f t="array" ref="H169">IFERROR(INDEX('Day Range Raw Data'!H:H,Match($A169,'Day Range Raw Data'!$B:$B,0)),"")</f>
        <v/>
      </c>
      <c r="I169" t="str">
        <f t="array" ref="I169">IFERROR(INDEX('Day Range Raw Data'!M:M,Match($A169,'Day Range Raw Data'!$B:$B,0)),"")</f>
        <v/>
      </c>
      <c r="J169" t="str">
        <f t="array" ref="J169">IFERROR(INDEX('Day Range Raw Data'!N:N,Match($A169,'Day Range Raw Data'!$B:$B,0)),"")</f>
        <v/>
      </c>
      <c r="K169" t="str">
        <f t="array" ref="K169">IFERROR(INDEX('Day Range Raw Data'!R:R,Match($A169,'Day Range Raw Data'!$B:$B,0)),"")</f>
        <v/>
      </c>
      <c r="L169" t="str">
        <f t="array" ref="L169">IFERROR(INDEX('Day Range Raw Data'!S:S,Match($A169,'Day Range Raw Data'!$B:$B,0)),"")</f>
        <v/>
      </c>
      <c r="M169" t="str">
        <f t="array" ref="M169">IFERROR(INDEX('Day Range Raw Data'!T:T,Match($A169,'Day Range Raw Data'!$B:$B,0)),"")</f>
        <v/>
      </c>
      <c r="N169" t="str">
        <f t="array" ref="N169">IFERROR(INDEX('Day Range Raw Data'!U:U,Match($A169,'Day Range Raw Data'!$B:$B,0)),"")</f>
        <v/>
      </c>
      <c r="O169" t="str">
        <f t="array" ref="O169">IFERROR(INDEX('Day Range Raw Data'!V:V,Match($A169,'Day Range Raw Data'!$B:$B,0)),"")</f>
        <v/>
      </c>
      <c r="P169" t="str">
        <f t="array" ref="P169">IFERROR(INDEX('Day Range Raw Data'!X:X,Match($A169,'Day Range Raw Data'!$B:$B,0)),"")</f>
        <v/>
      </c>
      <c r="Q169" t="str">
        <f t="shared" si="1"/>
        <v/>
      </c>
      <c r="R169" s="9" t="str">
        <f t="shared" si="2"/>
        <v/>
      </c>
      <c r="S169" s="14" t="str">
        <f t="shared" si="3"/>
        <v/>
      </c>
      <c r="T169" s="15" t="str">
        <f>IFERROR(__xludf.DUMMYFUNCTION("IF($A169="""","""",IFERROR(PERCENTRANK.INC(FILTER(Q:Q,$F:$F&lt;&gt;""""),Q169)*100,""""))"),"")</f>
        <v/>
      </c>
      <c r="U169" s="15" t="str">
        <f>IFERROR(__xludf.DUMMYFUNCTION("IF($A169="""","""",IFERROR(PERCENTRANK.INC(FILTER(R:R,$F:$F&lt;&gt;""""),R169)*100,""""))"),"")</f>
        <v/>
      </c>
      <c r="V169" s="15" t="str">
        <f>IFERROR(__xludf.DUMMYFUNCTION("IF($A169="""","""",IFERROR(PERCENTRANK.INC(FILTER(S:S,$F:$F&lt;&gt;""""),S169)*100,""""))"),"")</f>
        <v/>
      </c>
      <c r="W169" s="15" t="str">
        <f t="shared" si="4"/>
        <v/>
      </c>
    </row>
    <row r="170">
      <c r="B170" t="str">
        <f t="array" ref="B170">IFERROR(INDEX('Player Raw Data'!C:C,Match($A170,'Player Raw Data'!$B:$B,0)),"")</f>
        <v/>
      </c>
      <c r="C170" t="str">
        <f t="array" ref="C170">IFERROR(INDEX('Player Raw Data'!D:D,Match($A170,'Player Raw Data'!$B:$B,0)),"")</f>
        <v/>
      </c>
      <c r="D170" t="str">
        <f t="array" ref="D170">IFERROR(IF(A170=A169, INDEX('Player Raw Data'!E:E,Match($A170,'Player Raw Data'!$B:$B,0)+2),INDEX('Player Raw Data'!E:E,Match($A170,'Player Raw Data'!$B:$B,0))),"")</f>
        <v/>
      </c>
      <c r="E170" t="str">
        <f t="array" ref="E170">IFERROR(INDEX('Day Range Raw Data'!D:D,Match($A170,'Day Range Raw Data'!$B:$B,0)),"")</f>
        <v/>
      </c>
      <c r="F170" t="str">
        <f t="array" ref="F170">IFERROR(INDEX('Day Range Raw Data'!F:F,Match($A170,'Day Range Raw Data'!$B:$B,0)),"")</f>
        <v/>
      </c>
      <c r="G170" t="str">
        <f t="array" ref="G170">IFERROR(INDEX('Day Range Raw Data'!G:G,Match($A170,'Day Range Raw Data'!$B:$B,0)),"")</f>
        <v/>
      </c>
      <c r="H170" t="str">
        <f t="array" ref="H170">IFERROR(INDEX('Day Range Raw Data'!H:H,Match($A170,'Day Range Raw Data'!$B:$B,0)),"")</f>
        <v/>
      </c>
      <c r="I170" t="str">
        <f t="array" ref="I170">IFERROR(INDEX('Day Range Raw Data'!M:M,Match($A170,'Day Range Raw Data'!$B:$B,0)),"")</f>
        <v/>
      </c>
      <c r="J170" t="str">
        <f t="array" ref="J170">IFERROR(INDEX('Day Range Raw Data'!N:N,Match($A170,'Day Range Raw Data'!$B:$B,0)),"")</f>
        <v/>
      </c>
      <c r="K170" t="str">
        <f t="array" ref="K170">IFERROR(INDEX('Day Range Raw Data'!R:R,Match($A170,'Day Range Raw Data'!$B:$B,0)),"")</f>
        <v/>
      </c>
      <c r="L170" t="str">
        <f t="array" ref="L170">IFERROR(INDEX('Day Range Raw Data'!S:S,Match($A170,'Day Range Raw Data'!$B:$B,0)),"")</f>
        <v/>
      </c>
      <c r="M170" t="str">
        <f t="array" ref="M170">IFERROR(INDEX('Day Range Raw Data'!T:T,Match($A170,'Day Range Raw Data'!$B:$B,0)),"")</f>
        <v/>
      </c>
      <c r="N170" t="str">
        <f t="array" ref="N170">IFERROR(INDEX('Day Range Raw Data'!U:U,Match($A170,'Day Range Raw Data'!$B:$B,0)),"")</f>
        <v/>
      </c>
      <c r="O170" t="str">
        <f t="array" ref="O170">IFERROR(INDEX('Day Range Raw Data'!V:V,Match($A170,'Day Range Raw Data'!$B:$B,0)),"")</f>
        <v/>
      </c>
      <c r="P170" t="str">
        <f t="array" ref="P170">IFERROR(INDEX('Day Range Raw Data'!X:X,Match($A170,'Day Range Raw Data'!$B:$B,0)),"")</f>
        <v/>
      </c>
      <c r="Q170" t="str">
        <f t="shared" si="1"/>
        <v/>
      </c>
      <c r="R170" s="9" t="str">
        <f t="shared" si="2"/>
        <v/>
      </c>
      <c r="S170" s="14" t="str">
        <f t="shared" si="3"/>
        <v/>
      </c>
      <c r="T170" s="15" t="str">
        <f>IFERROR(__xludf.DUMMYFUNCTION("IF($A170="""","""",IFERROR(PERCENTRANK.INC(FILTER(Q:Q,$F:$F&lt;&gt;""""),Q170)*100,""""))"),"")</f>
        <v/>
      </c>
      <c r="U170" s="15" t="str">
        <f>IFERROR(__xludf.DUMMYFUNCTION("IF($A170="""","""",IFERROR(PERCENTRANK.INC(FILTER(R:R,$F:$F&lt;&gt;""""),R170)*100,""""))"),"")</f>
        <v/>
      </c>
      <c r="V170" s="15" t="str">
        <f>IFERROR(__xludf.DUMMYFUNCTION("IF($A170="""","""",IFERROR(PERCENTRANK.INC(FILTER(S:S,$F:$F&lt;&gt;""""),S170)*100,""""))"),"")</f>
        <v/>
      </c>
      <c r="W170" s="15" t="str">
        <f t="shared" si="4"/>
        <v/>
      </c>
    </row>
    <row r="171">
      <c r="B171" t="str">
        <f t="array" ref="B171">IFERROR(INDEX('Player Raw Data'!C:C,Match($A171,'Player Raw Data'!$B:$B,0)),"")</f>
        <v/>
      </c>
      <c r="C171" t="str">
        <f t="array" ref="C171">IFERROR(INDEX('Player Raw Data'!D:D,Match($A171,'Player Raw Data'!$B:$B,0)),"")</f>
        <v/>
      </c>
      <c r="D171" t="str">
        <f t="array" ref="D171">IFERROR(IF(A171=A170, INDEX('Player Raw Data'!E:E,Match($A171,'Player Raw Data'!$B:$B,0)+2),INDEX('Player Raw Data'!E:E,Match($A171,'Player Raw Data'!$B:$B,0))),"")</f>
        <v/>
      </c>
      <c r="E171" t="str">
        <f t="array" ref="E171">IFERROR(INDEX('Day Range Raw Data'!D:D,Match($A171,'Day Range Raw Data'!$B:$B,0)),"")</f>
        <v/>
      </c>
      <c r="F171" t="str">
        <f t="array" ref="F171">IFERROR(INDEX('Day Range Raw Data'!F:F,Match($A171,'Day Range Raw Data'!$B:$B,0)),"")</f>
        <v/>
      </c>
      <c r="G171" t="str">
        <f t="array" ref="G171">IFERROR(INDEX('Day Range Raw Data'!G:G,Match($A171,'Day Range Raw Data'!$B:$B,0)),"")</f>
        <v/>
      </c>
      <c r="H171" t="str">
        <f t="array" ref="H171">IFERROR(INDEX('Day Range Raw Data'!H:H,Match($A171,'Day Range Raw Data'!$B:$B,0)),"")</f>
        <v/>
      </c>
      <c r="I171" t="str">
        <f t="array" ref="I171">IFERROR(INDEX('Day Range Raw Data'!M:M,Match($A171,'Day Range Raw Data'!$B:$B,0)),"")</f>
        <v/>
      </c>
      <c r="J171" t="str">
        <f t="array" ref="J171">IFERROR(INDEX('Day Range Raw Data'!N:N,Match($A171,'Day Range Raw Data'!$B:$B,0)),"")</f>
        <v/>
      </c>
      <c r="K171" t="str">
        <f t="array" ref="K171">IFERROR(INDEX('Day Range Raw Data'!R:R,Match($A171,'Day Range Raw Data'!$B:$B,0)),"")</f>
        <v/>
      </c>
      <c r="L171" t="str">
        <f t="array" ref="L171">IFERROR(INDEX('Day Range Raw Data'!S:S,Match($A171,'Day Range Raw Data'!$B:$B,0)),"")</f>
        <v/>
      </c>
      <c r="M171" t="str">
        <f t="array" ref="M171">IFERROR(INDEX('Day Range Raw Data'!T:T,Match($A171,'Day Range Raw Data'!$B:$B,0)),"")</f>
        <v/>
      </c>
      <c r="N171" t="str">
        <f t="array" ref="N171">IFERROR(INDEX('Day Range Raw Data'!U:U,Match($A171,'Day Range Raw Data'!$B:$B,0)),"")</f>
        <v/>
      </c>
      <c r="O171" t="str">
        <f t="array" ref="O171">IFERROR(INDEX('Day Range Raw Data'!V:V,Match($A171,'Day Range Raw Data'!$B:$B,0)),"")</f>
        <v/>
      </c>
      <c r="P171" t="str">
        <f t="array" ref="P171">IFERROR(INDEX('Day Range Raw Data'!X:X,Match($A171,'Day Range Raw Data'!$B:$B,0)),"")</f>
        <v/>
      </c>
      <c r="Q171" t="str">
        <f t="shared" si="1"/>
        <v/>
      </c>
      <c r="R171" s="9" t="str">
        <f t="shared" si="2"/>
        <v/>
      </c>
      <c r="S171" s="14" t="str">
        <f t="shared" si="3"/>
        <v/>
      </c>
      <c r="T171" s="15" t="str">
        <f>IFERROR(__xludf.DUMMYFUNCTION("IF($A171="""","""",IFERROR(PERCENTRANK.INC(FILTER(Q:Q,$F:$F&lt;&gt;""""),Q171)*100,""""))"),"")</f>
        <v/>
      </c>
      <c r="U171" s="15" t="str">
        <f>IFERROR(__xludf.DUMMYFUNCTION("IF($A171="""","""",IFERROR(PERCENTRANK.INC(FILTER(R:R,$F:$F&lt;&gt;""""),R171)*100,""""))"),"")</f>
        <v/>
      </c>
      <c r="V171" s="15" t="str">
        <f>IFERROR(__xludf.DUMMYFUNCTION("IF($A171="""","""",IFERROR(PERCENTRANK.INC(FILTER(S:S,$F:$F&lt;&gt;""""),S171)*100,""""))"),"")</f>
        <v/>
      </c>
      <c r="W171" s="15" t="str">
        <f t="shared" si="4"/>
        <v/>
      </c>
    </row>
    <row r="172">
      <c r="B172" t="str">
        <f t="array" ref="B172">IFERROR(INDEX('Player Raw Data'!C:C,Match($A172,'Player Raw Data'!$B:$B,0)),"")</f>
        <v/>
      </c>
      <c r="C172" t="str">
        <f t="array" ref="C172">IFERROR(INDEX('Player Raw Data'!D:D,Match($A172,'Player Raw Data'!$B:$B,0)),"")</f>
        <v/>
      </c>
      <c r="D172" t="str">
        <f t="array" ref="D172">IFERROR(IF(A172=A171, INDEX('Player Raw Data'!E:E,Match($A172,'Player Raw Data'!$B:$B,0)+2),INDEX('Player Raw Data'!E:E,Match($A172,'Player Raw Data'!$B:$B,0))),"")</f>
        <v/>
      </c>
      <c r="E172" t="str">
        <f t="array" ref="E172">IFERROR(INDEX('Day Range Raw Data'!D:D,Match($A172,'Day Range Raw Data'!$B:$B,0)),"")</f>
        <v/>
      </c>
      <c r="F172" t="str">
        <f t="array" ref="F172">IFERROR(INDEX('Day Range Raw Data'!F:F,Match($A172,'Day Range Raw Data'!$B:$B,0)),"")</f>
        <v/>
      </c>
      <c r="G172" t="str">
        <f t="array" ref="G172">IFERROR(INDEX('Day Range Raw Data'!G:G,Match($A172,'Day Range Raw Data'!$B:$B,0)),"")</f>
        <v/>
      </c>
      <c r="H172" t="str">
        <f t="array" ref="H172">IFERROR(INDEX('Day Range Raw Data'!H:H,Match($A172,'Day Range Raw Data'!$B:$B,0)),"")</f>
        <v/>
      </c>
      <c r="I172" t="str">
        <f t="array" ref="I172">IFERROR(INDEX('Day Range Raw Data'!M:M,Match($A172,'Day Range Raw Data'!$B:$B,0)),"")</f>
        <v/>
      </c>
      <c r="J172" t="str">
        <f t="array" ref="J172">IFERROR(INDEX('Day Range Raw Data'!N:N,Match($A172,'Day Range Raw Data'!$B:$B,0)),"")</f>
        <v/>
      </c>
      <c r="K172" t="str">
        <f t="array" ref="K172">IFERROR(INDEX('Day Range Raw Data'!R:R,Match($A172,'Day Range Raw Data'!$B:$B,0)),"")</f>
        <v/>
      </c>
      <c r="L172" t="str">
        <f t="array" ref="L172">IFERROR(INDEX('Day Range Raw Data'!S:S,Match($A172,'Day Range Raw Data'!$B:$B,0)),"")</f>
        <v/>
      </c>
      <c r="M172" t="str">
        <f t="array" ref="M172">IFERROR(INDEX('Day Range Raw Data'!T:T,Match($A172,'Day Range Raw Data'!$B:$B,0)),"")</f>
        <v/>
      </c>
      <c r="N172" t="str">
        <f t="array" ref="N172">IFERROR(INDEX('Day Range Raw Data'!U:U,Match($A172,'Day Range Raw Data'!$B:$B,0)),"")</f>
        <v/>
      </c>
      <c r="O172" t="str">
        <f t="array" ref="O172">IFERROR(INDEX('Day Range Raw Data'!V:V,Match($A172,'Day Range Raw Data'!$B:$B,0)),"")</f>
        <v/>
      </c>
      <c r="P172" t="str">
        <f t="array" ref="P172">IFERROR(INDEX('Day Range Raw Data'!X:X,Match($A172,'Day Range Raw Data'!$B:$B,0)),"")</f>
        <v/>
      </c>
      <c r="Q172" t="str">
        <f t="shared" si="1"/>
        <v/>
      </c>
      <c r="R172" s="9" t="str">
        <f t="shared" si="2"/>
        <v/>
      </c>
      <c r="S172" s="14" t="str">
        <f t="shared" si="3"/>
        <v/>
      </c>
      <c r="T172" s="15" t="str">
        <f>IFERROR(__xludf.DUMMYFUNCTION("IF($A172="""","""",IFERROR(PERCENTRANK.INC(FILTER(Q:Q,$F:$F&lt;&gt;""""),Q172)*100,""""))"),"")</f>
        <v/>
      </c>
      <c r="U172" s="15" t="str">
        <f>IFERROR(__xludf.DUMMYFUNCTION("IF($A172="""","""",IFERROR(PERCENTRANK.INC(FILTER(R:R,$F:$F&lt;&gt;""""),R172)*100,""""))"),"")</f>
        <v/>
      </c>
      <c r="V172" s="15" t="str">
        <f>IFERROR(__xludf.DUMMYFUNCTION("IF($A172="""","""",IFERROR(PERCENTRANK.INC(FILTER(S:S,$F:$F&lt;&gt;""""),S172)*100,""""))"),"")</f>
        <v/>
      </c>
      <c r="W172" s="15" t="str">
        <f t="shared" si="4"/>
        <v/>
      </c>
    </row>
    <row r="173">
      <c r="B173" t="str">
        <f t="array" ref="B173">IFERROR(INDEX('Player Raw Data'!C:C,Match($A173,'Player Raw Data'!$B:$B,0)),"")</f>
        <v/>
      </c>
      <c r="C173" t="str">
        <f t="array" ref="C173">IFERROR(INDEX('Player Raw Data'!D:D,Match($A173,'Player Raw Data'!$B:$B,0)),"")</f>
        <v/>
      </c>
      <c r="D173" t="str">
        <f t="array" ref="D173">IFERROR(IF(A173=A172, INDEX('Player Raw Data'!E:E,Match($A173,'Player Raw Data'!$B:$B,0)+2),INDEX('Player Raw Data'!E:E,Match($A173,'Player Raw Data'!$B:$B,0))),"")</f>
        <v/>
      </c>
      <c r="E173" t="str">
        <f t="array" ref="E173">IFERROR(INDEX('Day Range Raw Data'!D:D,Match($A173,'Day Range Raw Data'!$B:$B,0)),"")</f>
        <v/>
      </c>
      <c r="F173" t="str">
        <f t="array" ref="F173">IFERROR(INDEX('Day Range Raw Data'!F:F,Match($A173,'Day Range Raw Data'!$B:$B,0)),"")</f>
        <v/>
      </c>
      <c r="G173" t="str">
        <f t="array" ref="G173">IFERROR(INDEX('Day Range Raw Data'!G:G,Match($A173,'Day Range Raw Data'!$B:$B,0)),"")</f>
        <v/>
      </c>
      <c r="H173" t="str">
        <f t="array" ref="H173">IFERROR(INDEX('Day Range Raw Data'!H:H,Match($A173,'Day Range Raw Data'!$B:$B,0)),"")</f>
        <v/>
      </c>
      <c r="I173" t="str">
        <f t="array" ref="I173">IFERROR(INDEX('Day Range Raw Data'!M:M,Match($A173,'Day Range Raw Data'!$B:$B,0)),"")</f>
        <v/>
      </c>
      <c r="J173" t="str">
        <f t="array" ref="J173">IFERROR(INDEX('Day Range Raw Data'!N:N,Match($A173,'Day Range Raw Data'!$B:$B,0)),"")</f>
        <v/>
      </c>
      <c r="K173" t="str">
        <f t="array" ref="K173">IFERROR(INDEX('Day Range Raw Data'!R:R,Match($A173,'Day Range Raw Data'!$B:$B,0)),"")</f>
        <v/>
      </c>
      <c r="L173" t="str">
        <f t="array" ref="L173">IFERROR(INDEX('Day Range Raw Data'!S:S,Match($A173,'Day Range Raw Data'!$B:$B,0)),"")</f>
        <v/>
      </c>
      <c r="M173" t="str">
        <f t="array" ref="M173">IFERROR(INDEX('Day Range Raw Data'!T:T,Match($A173,'Day Range Raw Data'!$B:$B,0)),"")</f>
        <v/>
      </c>
      <c r="N173" t="str">
        <f t="array" ref="N173">IFERROR(INDEX('Day Range Raw Data'!U:U,Match($A173,'Day Range Raw Data'!$B:$B,0)),"")</f>
        <v/>
      </c>
      <c r="O173" t="str">
        <f t="array" ref="O173">IFERROR(INDEX('Day Range Raw Data'!V:V,Match($A173,'Day Range Raw Data'!$B:$B,0)),"")</f>
        <v/>
      </c>
      <c r="P173" t="str">
        <f t="array" ref="P173">IFERROR(INDEX('Day Range Raw Data'!X:X,Match($A173,'Day Range Raw Data'!$B:$B,0)),"")</f>
        <v/>
      </c>
      <c r="Q173" t="str">
        <f t="shared" si="1"/>
        <v/>
      </c>
      <c r="R173" s="9" t="str">
        <f t="shared" si="2"/>
        <v/>
      </c>
      <c r="S173" s="14" t="str">
        <f t="shared" si="3"/>
        <v/>
      </c>
      <c r="T173" s="15" t="str">
        <f>IFERROR(__xludf.DUMMYFUNCTION("IF($A173="""","""",IFERROR(PERCENTRANK.INC(FILTER(Q:Q,$F:$F&lt;&gt;""""),Q173)*100,""""))"),"")</f>
        <v/>
      </c>
      <c r="U173" s="15" t="str">
        <f>IFERROR(__xludf.DUMMYFUNCTION("IF($A173="""","""",IFERROR(PERCENTRANK.INC(FILTER(R:R,$F:$F&lt;&gt;""""),R173)*100,""""))"),"")</f>
        <v/>
      </c>
      <c r="V173" s="15" t="str">
        <f>IFERROR(__xludf.DUMMYFUNCTION("IF($A173="""","""",IFERROR(PERCENTRANK.INC(FILTER(S:S,$F:$F&lt;&gt;""""),S173)*100,""""))"),"")</f>
        <v/>
      </c>
      <c r="W173" s="15" t="str">
        <f t="shared" si="4"/>
        <v/>
      </c>
    </row>
    <row r="174">
      <c r="B174" t="str">
        <f t="array" ref="B174">IFERROR(INDEX('Player Raw Data'!C:C,Match($A174,'Player Raw Data'!$B:$B,0)),"")</f>
        <v/>
      </c>
      <c r="C174" t="str">
        <f t="array" ref="C174">IFERROR(INDEX('Player Raw Data'!D:D,Match($A174,'Player Raw Data'!$B:$B,0)),"")</f>
        <v/>
      </c>
      <c r="D174" t="str">
        <f t="array" ref="D174">IFERROR(IF(A174=A173, INDEX('Player Raw Data'!E:E,Match($A174,'Player Raw Data'!$B:$B,0)+2),INDEX('Player Raw Data'!E:E,Match($A174,'Player Raw Data'!$B:$B,0))),"")</f>
        <v/>
      </c>
      <c r="E174" t="str">
        <f t="array" ref="E174">IFERROR(INDEX('Day Range Raw Data'!D:D,Match($A174,'Day Range Raw Data'!$B:$B,0)),"")</f>
        <v/>
      </c>
      <c r="F174" t="str">
        <f t="array" ref="F174">IFERROR(INDEX('Day Range Raw Data'!F:F,Match($A174,'Day Range Raw Data'!$B:$B,0)),"")</f>
        <v/>
      </c>
      <c r="G174" t="str">
        <f t="array" ref="G174">IFERROR(INDEX('Day Range Raw Data'!G:G,Match($A174,'Day Range Raw Data'!$B:$B,0)),"")</f>
        <v/>
      </c>
      <c r="H174" t="str">
        <f t="array" ref="H174">IFERROR(INDEX('Day Range Raw Data'!H:H,Match($A174,'Day Range Raw Data'!$B:$B,0)),"")</f>
        <v/>
      </c>
      <c r="I174" t="str">
        <f t="array" ref="I174">IFERROR(INDEX('Day Range Raw Data'!M:M,Match($A174,'Day Range Raw Data'!$B:$B,0)),"")</f>
        <v/>
      </c>
      <c r="J174" t="str">
        <f t="array" ref="J174">IFERROR(INDEX('Day Range Raw Data'!N:N,Match($A174,'Day Range Raw Data'!$B:$B,0)),"")</f>
        <v/>
      </c>
      <c r="K174" t="str">
        <f t="array" ref="K174">IFERROR(INDEX('Day Range Raw Data'!R:R,Match($A174,'Day Range Raw Data'!$B:$B,0)),"")</f>
        <v/>
      </c>
      <c r="L174" t="str">
        <f t="array" ref="L174">IFERROR(INDEX('Day Range Raw Data'!S:S,Match($A174,'Day Range Raw Data'!$B:$B,0)),"")</f>
        <v/>
      </c>
      <c r="M174" t="str">
        <f t="array" ref="M174">IFERROR(INDEX('Day Range Raw Data'!T:T,Match($A174,'Day Range Raw Data'!$B:$B,0)),"")</f>
        <v/>
      </c>
      <c r="N174" t="str">
        <f t="array" ref="N174">IFERROR(INDEX('Day Range Raw Data'!U:U,Match($A174,'Day Range Raw Data'!$B:$B,0)),"")</f>
        <v/>
      </c>
      <c r="O174" t="str">
        <f t="array" ref="O174">IFERROR(INDEX('Day Range Raw Data'!V:V,Match($A174,'Day Range Raw Data'!$B:$B,0)),"")</f>
        <v/>
      </c>
      <c r="P174" t="str">
        <f t="array" ref="P174">IFERROR(INDEX('Day Range Raw Data'!X:X,Match($A174,'Day Range Raw Data'!$B:$B,0)),"")</f>
        <v/>
      </c>
      <c r="Q174" t="str">
        <f t="shared" si="1"/>
        <v/>
      </c>
      <c r="R174" s="9" t="str">
        <f t="shared" si="2"/>
        <v/>
      </c>
      <c r="S174" s="14" t="str">
        <f t="shared" si="3"/>
        <v/>
      </c>
      <c r="T174" s="15" t="str">
        <f>IFERROR(__xludf.DUMMYFUNCTION("IF($A174="""","""",IFERROR(PERCENTRANK.INC(FILTER(Q:Q,$F:$F&lt;&gt;""""),Q174)*100,""""))"),"")</f>
        <v/>
      </c>
      <c r="U174" s="15" t="str">
        <f>IFERROR(__xludf.DUMMYFUNCTION("IF($A174="""","""",IFERROR(PERCENTRANK.INC(FILTER(R:R,$F:$F&lt;&gt;""""),R174)*100,""""))"),"")</f>
        <v/>
      </c>
      <c r="V174" s="15" t="str">
        <f>IFERROR(__xludf.DUMMYFUNCTION("IF($A174="""","""",IFERROR(PERCENTRANK.INC(FILTER(S:S,$F:$F&lt;&gt;""""),S174)*100,""""))"),"")</f>
        <v/>
      </c>
      <c r="W174" s="15" t="str">
        <f t="shared" si="4"/>
        <v/>
      </c>
    </row>
    <row r="175">
      <c r="B175" t="str">
        <f t="array" ref="B175">IFERROR(INDEX('Player Raw Data'!C:C,Match($A175,'Player Raw Data'!$B:$B,0)),"")</f>
        <v/>
      </c>
      <c r="C175" t="str">
        <f t="array" ref="C175">IFERROR(INDEX('Player Raw Data'!D:D,Match($A175,'Player Raw Data'!$B:$B,0)),"")</f>
        <v/>
      </c>
      <c r="D175" t="str">
        <f t="array" ref="D175">IFERROR(IF(A175=A174, INDEX('Player Raw Data'!E:E,Match($A175,'Player Raw Data'!$B:$B,0)+2),INDEX('Player Raw Data'!E:E,Match($A175,'Player Raw Data'!$B:$B,0))),"")</f>
        <v/>
      </c>
      <c r="E175" t="str">
        <f t="array" ref="E175">IFERROR(INDEX('Day Range Raw Data'!D:D,Match($A175,'Day Range Raw Data'!$B:$B,0)),"")</f>
        <v/>
      </c>
      <c r="F175" t="str">
        <f t="array" ref="F175">IFERROR(INDEX('Day Range Raw Data'!F:F,Match($A175,'Day Range Raw Data'!$B:$B,0)),"")</f>
        <v/>
      </c>
      <c r="G175" t="str">
        <f t="array" ref="G175">IFERROR(INDEX('Day Range Raw Data'!G:G,Match($A175,'Day Range Raw Data'!$B:$B,0)),"")</f>
        <v/>
      </c>
      <c r="H175" t="str">
        <f t="array" ref="H175">IFERROR(INDEX('Day Range Raw Data'!H:H,Match($A175,'Day Range Raw Data'!$B:$B,0)),"")</f>
        <v/>
      </c>
      <c r="I175" t="str">
        <f t="array" ref="I175">IFERROR(INDEX('Day Range Raw Data'!M:M,Match($A175,'Day Range Raw Data'!$B:$B,0)),"")</f>
        <v/>
      </c>
      <c r="J175" t="str">
        <f t="array" ref="J175">IFERROR(INDEX('Day Range Raw Data'!N:N,Match($A175,'Day Range Raw Data'!$B:$B,0)),"")</f>
        <v/>
      </c>
      <c r="K175" t="str">
        <f t="array" ref="K175">IFERROR(INDEX('Day Range Raw Data'!R:R,Match($A175,'Day Range Raw Data'!$B:$B,0)),"")</f>
        <v/>
      </c>
      <c r="L175" t="str">
        <f t="array" ref="L175">IFERROR(INDEX('Day Range Raw Data'!S:S,Match($A175,'Day Range Raw Data'!$B:$B,0)),"")</f>
        <v/>
      </c>
      <c r="M175" t="str">
        <f t="array" ref="M175">IFERROR(INDEX('Day Range Raw Data'!T:T,Match($A175,'Day Range Raw Data'!$B:$B,0)),"")</f>
        <v/>
      </c>
      <c r="N175" t="str">
        <f t="array" ref="N175">IFERROR(INDEX('Day Range Raw Data'!U:U,Match($A175,'Day Range Raw Data'!$B:$B,0)),"")</f>
        <v/>
      </c>
      <c r="O175" t="str">
        <f t="array" ref="O175">IFERROR(INDEX('Day Range Raw Data'!V:V,Match($A175,'Day Range Raw Data'!$B:$B,0)),"")</f>
        <v/>
      </c>
      <c r="P175" t="str">
        <f t="array" ref="P175">IFERROR(INDEX('Day Range Raw Data'!X:X,Match($A175,'Day Range Raw Data'!$B:$B,0)),"")</f>
        <v/>
      </c>
      <c r="Q175" t="str">
        <f t="shared" si="1"/>
        <v/>
      </c>
      <c r="R175" s="9" t="str">
        <f t="shared" si="2"/>
        <v/>
      </c>
      <c r="S175" s="14" t="str">
        <f t="shared" si="3"/>
        <v/>
      </c>
      <c r="T175" s="15" t="str">
        <f>IFERROR(__xludf.DUMMYFUNCTION("IF($A175="""","""",IFERROR(PERCENTRANK.INC(FILTER(Q:Q,$F:$F&lt;&gt;""""),Q175)*100,""""))"),"")</f>
        <v/>
      </c>
      <c r="U175" s="15" t="str">
        <f>IFERROR(__xludf.DUMMYFUNCTION("IF($A175="""","""",IFERROR(PERCENTRANK.INC(FILTER(R:R,$F:$F&lt;&gt;""""),R175)*100,""""))"),"")</f>
        <v/>
      </c>
      <c r="V175" s="15" t="str">
        <f>IFERROR(__xludf.DUMMYFUNCTION("IF($A175="""","""",IFERROR(PERCENTRANK.INC(FILTER(S:S,$F:$F&lt;&gt;""""),S175)*100,""""))"),"")</f>
        <v/>
      </c>
      <c r="W175" s="15" t="str">
        <f t="shared" si="4"/>
        <v/>
      </c>
    </row>
    <row r="176">
      <c r="B176" t="str">
        <f t="array" ref="B176">IFERROR(INDEX('Player Raw Data'!C:C,Match($A176,'Player Raw Data'!$B:$B,0)),"")</f>
        <v/>
      </c>
      <c r="C176" t="str">
        <f t="array" ref="C176">IFERROR(INDEX('Player Raw Data'!D:D,Match($A176,'Player Raw Data'!$B:$B,0)),"")</f>
        <v/>
      </c>
      <c r="D176" t="str">
        <f t="array" ref="D176">IFERROR(IF(A176=A175, INDEX('Player Raw Data'!E:E,Match($A176,'Player Raw Data'!$B:$B,0)+2),INDEX('Player Raw Data'!E:E,Match($A176,'Player Raw Data'!$B:$B,0))),"")</f>
        <v/>
      </c>
      <c r="E176" t="str">
        <f t="array" ref="E176">IFERROR(INDEX('Day Range Raw Data'!D:D,Match($A176,'Day Range Raw Data'!$B:$B,0)),"")</f>
        <v/>
      </c>
      <c r="F176" t="str">
        <f t="array" ref="F176">IFERROR(INDEX('Day Range Raw Data'!F:F,Match($A176,'Day Range Raw Data'!$B:$B,0)),"")</f>
        <v/>
      </c>
      <c r="G176" t="str">
        <f t="array" ref="G176">IFERROR(INDEX('Day Range Raw Data'!G:G,Match($A176,'Day Range Raw Data'!$B:$B,0)),"")</f>
        <v/>
      </c>
      <c r="H176" t="str">
        <f t="array" ref="H176">IFERROR(INDEX('Day Range Raw Data'!H:H,Match($A176,'Day Range Raw Data'!$B:$B,0)),"")</f>
        <v/>
      </c>
      <c r="I176" t="str">
        <f t="array" ref="I176">IFERROR(INDEX('Day Range Raw Data'!M:M,Match($A176,'Day Range Raw Data'!$B:$B,0)),"")</f>
        <v/>
      </c>
      <c r="J176" t="str">
        <f t="array" ref="J176">IFERROR(INDEX('Day Range Raw Data'!N:N,Match($A176,'Day Range Raw Data'!$B:$B,0)),"")</f>
        <v/>
      </c>
      <c r="K176" t="str">
        <f t="array" ref="K176">IFERROR(INDEX('Day Range Raw Data'!R:R,Match($A176,'Day Range Raw Data'!$B:$B,0)),"")</f>
        <v/>
      </c>
      <c r="L176" t="str">
        <f t="array" ref="L176">IFERROR(INDEX('Day Range Raw Data'!S:S,Match($A176,'Day Range Raw Data'!$B:$B,0)),"")</f>
        <v/>
      </c>
      <c r="M176" t="str">
        <f t="array" ref="M176">IFERROR(INDEX('Day Range Raw Data'!T:T,Match($A176,'Day Range Raw Data'!$B:$B,0)),"")</f>
        <v/>
      </c>
      <c r="N176" t="str">
        <f t="array" ref="N176">IFERROR(INDEX('Day Range Raw Data'!U:U,Match($A176,'Day Range Raw Data'!$B:$B,0)),"")</f>
        <v/>
      </c>
      <c r="O176" t="str">
        <f t="array" ref="O176">IFERROR(INDEX('Day Range Raw Data'!V:V,Match($A176,'Day Range Raw Data'!$B:$B,0)),"")</f>
        <v/>
      </c>
      <c r="P176" t="str">
        <f t="array" ref="P176">IFERROR(INDEX('Day Range Raw Data'!X:X,Match($A176,'Day Range Raw Data'!$B:$B,0)),"")</f>
        <v/>
      </c>
      <c r="Q176" t="str">
        <f t="shared" si="1"/>
        <v/>
      </c>
      <c r="R176" s="9" t="str">
        <f t="shared" si="2"/>
        <v/>
      </c>
      <c r="S176" s="14" t="str">
        <f t="shared" si="3"/>
        <v/>
      </c>
      <c r="T176" s="15" t="str">
        <f>IFERROR(__xludf.DUMMYFUNCTION("IF($A176="""","""",IFERROR(PERCENTRANK.INC(FILTER(Q:Q,$F:$F&lt;&gt;""""),Q176)*100,""""))"),"")</f>
        <v/>
      </c>
      <c r="U176" s="15" t="str">
        <f>IFERROR(__xludf.DUMMYFUNCTION("IF($A176="""","""",IFERROR(PERCENTRANK.INC(FILTER(R:R,$F:$F&lt;&gt;""""),R176)*100,""""))"),"")</f>
        <v/>
      </c>
      <c r="V176" s="15" t="str">
        <f>IFERROR(__xludf.DUMMYFUNCTION("IF($A176="""","""",IFERROR(PERCENTRANK.INC(FILTER(S:S,$F:$F&lt;&gt;""""),S176)*100,""""))"),"")</f>
        <v/>
      </c>
      <c r="W176" s="15" t="str">
        <f t="shared" si="4"/>
        <v/>
      </c>
    </row>
    <row r="177">
      <c r="B177" t="str">
        <f t="array" ref="B177">IFERROR(INDEX('Player Raw Data'!C:C,Match($A177,'Player Raw Data'!$B:$B,0)),"")</f>
        <v/>
      </c>
      <c r="C177" t="str">
        <f t="array" ref="C177">IFERROR(INDEX('Player Raw Data'!D:D,Match($A177,'Player Raw Data'!$B:$B,0)),"")</f>
        <v/>
      </c>
      <c r="D177" t="str">
        <f t="array" ref="D177">IFERROR(IF(A177=A176, INDEX('Player Raw Data'!E:E,Match($A177,'Player Raw Data'!$B:$B,0)+2),INDEX('Player Raw Data'!E:E,Match($A177,'Player Raw Data'!$B:$B,0))),"")</f>
        <v/>
      </c>
      <c r="E177" t="str">
        <f t="array" ref="E177">IFERROR(INDEX('Day Range Raw Data'!D:D,Match($A177,'Day Range Raw Data'!$B:$B,0)),"")</f>
        <v/>
      </c>
      <c r="F177" t="str">
        <f t="array" ref="F177">IFERROR(INDEX('Day Range Raw Data'!F:F,Match($A177,'Day Range Raw Data'!$B:$B,0)),"")</f>
        <v/>
      </c>
      <c r="G177" t="str">
        <f t="array" ref="G177">IFERROR(INDEX('Day Range Raw Data'!G:G,Match($A177,'Day Range Raw Data'!$B:$B,0)),"")</f>
        <v/>
      </c>
      <c r="H177" t="str">
        <f t="array" ref="H177">IFERROR(INDEX('Day Range Raw Data'!H:H,Match($A177,'Day Range Raw Data'!$B:$B,0)),"")</f>
        <v/>
      </c>
      <c r="I177" t="str">
        <f t="array" ref="I177">IFERROR(INDEX('Day Range Raw Data'!M:M,Match($A177,'Day Range Raw Data'!$B:$B,0)),"")</f>
        <v/>
      </c>
      <c r="J177" t="str">
        <f t="array" ref="J177">IFERROR(INDEX('Day Range Raw Data'!N:N,Match($A177,'Day Range Raw Data'!$B:$B,0)),"")</f>
        <v/>
      </c>
      <c r="K177" t="str">
        <f t="array" ref="K177">IFERROR(INDEX('Day Range Raw Data'!R:R,Match($A177,'Day Range Raw Data'!$B:$B,0)),"")</f>
        <v/>
      </c>
      <c r="L177" t="str">
        <f t="array" ref="L177">IFERROR(INDEX('Day Range Raw Data'!S:S,Match($A177,'Day Range Raw Data'!$B:$B,0)),"")</f>
        <v/>
      </c>
      <c r="M177" t="str">
        <f t="array" ref="M177">IFERROR(INDEX('Day Range Raw Data'!T:T,Match($A177,'Day Range Raw Data'!$B:$B,0)),"")</f>
        <v/>
      </c>
      <c r="N177" t="str">
        <f t="array" ref="N177">IFERROR(INDEX('Day Range Raw Data'!U:U,Match($A177,'Day Range Raw Data'!$B:$B,0)),"")</f>
        <v/>
      </c>
      <c r="O177" t="str">
        <f t="array" ref="O177">IFERROR(INDEX('Day Range Raw Data'!V:V,Match($A177,'Day Range Raw Data'!$B:$B,0)),"")</f>
        <v/>
      </c>
      <c r="P177" t="str">
        <f t="array" ref="P177">IFERROR(INDEX('Day Range Raw Data'!X:X,Match($A177,'Day Range Raw Data'!$B:$B,0)),"")</f>
        <v/>
      </c>
      <c r="Q177" t="str">
        <f t="shared" si="1"/>
        <v/>
      </c>
      <c r="R177" s="9" t="str">
        <f t="shared" si="2"/>
        <v/>
      </c>
      <c r="S177" s="14" t="str">
        <f t="shared" si="3"/>
        <v/>
      </c>
      <c r="T177" s="15" t="str">
        <f>IFERROR(__xludf.DUMMYFUNCTION("IF($A177="""","""",IFERROR(PERCENTRANK.INC(FILTER(Q:Q,$F:$F&lt;&gt;""""),Q177)*100,""""))"),"")</f>
        <v/>
      </c>
      <c r="U177" s="15" t="str">
        <f>IFERROR(__xludf.DUMMYFUNCTION("IF($A177="""","""",IFERROR(PERCENTRANK.INC(FILTER(R:R,$F:$F&lt;&gt;""""),R177)*100,""""))"),"")</f>
        <v/>
      </c>
      <c r="V177" s="15" t="str">
        <f>IFERROR(__xludf.DUMMYFUNCTION("IF($A177="""","""",IFERROR(PERCENTRANK.INC(FILTER(S:S,$F:$F&lt;&gt;""""),S177)*100,""""))"),"")</f>
        <v/>
      </c>
      <c r="W177" s="15" t="str">
        <f t="shared" si="4"/>
        <v/>
      </c>
    </row>
    <row r="178">
      <c r="B178" t="str">
        <f t="array" ref="B178">IFERROR(INDEX('Player Raw Data'!C:C,Match($A178,'Player Raw Data'!$B:$B,0)),"")</f>
        <v/>
      </c>
      <c r="C178" t="str">
        <f t="array" ref="C178">IFERROR(INDEX('Player Raw Data'!D:D,Match($A178,'Player Raw Data'!$B:$B,0)),"")</f>
        <v/>
      </c>
      <c r="D178" t="str">
        <f t="array" ref="D178">IFERROR(IF(A178=A177, INDEX('Player Raw Data'!E:E,Match($A178,'Player Raw Data'!$B:$B,0)+2),INDEX('Player Raw Data'!E:E,Match($A178,'Player Raw Data'!$B:$B,0))),"")</f>
        <v/>
      </c>
      <c r="E178" t="str">
        <f t="array" ref="E178">IFERROR(INDEX('Day Range Raw Data'!D:D,Match($A178,'Day Range Raw Data'!$B:$B,0)),"")</f>
        <v/>
      </c>
      <c r="F178" t="str">
        <f t="array" ref="F178">IFERROR(INDEX('Day Range Raw Data'!F:F,Match($A178,'Day Range Raw Data'!$B:$B,0)),"")</f>
        <v/>
      </c>
      <c r="G178" t="str">
        <f t="array" ref="G178">IFERROR(INDEX('Day Range Raw Data'!G:G,Match($A178,'Day Range Raw Data'!$B:$B,0)),"")</f>
        <v/>
      </c>
      <c r="H178" t="str">
        <f t="array" ref="H178">IFERROR(INDEX('Day Range Raw Data'!H:H,Match($A178,'Day Range Raw Data'!$B:$B,0)),"")</f>
        <v/>
      </c>
      <c r="I178" t="str">
        <f t="array" ref="I178">IFERROR(INDEX('Day Range Raw Data'!M:M,Match($A178,'Day Range Raw Data'!$B:$B,0)),"")</f>
        <v/>
      </c>
      <c r="J178" t="str">
        <f t="array" ref="J178">IFERROR(INDEX('Day Range Raw Data'!N:N,Match($A178,'Day Range Raw Data'!$B:$B,0)),"")</f>
        <v/>
      </c>
      <c r="K178" t="str">
        <f t="array" ref="K178">IFERROR(INDEX('Day Range Raw Data'!R:R,Match($A178,'Day Range Raw Data'!$B:$B,0)),"")</f>
        <v/>
      </c>
      <c r="L178" t="str">
        <f t="array" ref="L178">IFERROR(INDEX('Day Range Raw Data'!S:S,Match($A178,'Day Range Raw Data'!$B:$B,0)),"")</f>
        <v/>
      </c>
      <c r="M178" t="str">
        <f t="array" ref="M178">IFERROR(INDEX('Day Range Raw Data'!T:T,Match($A178,'Day Range Raw Data'!$B:$B,0)),"")</f>
        <v/>
      </c>
      <c r="N178" t="str">
        <f t="array" ref="N178">IFERROR(INDEX('Day Range Raw Data'!U:U,Match($A178,'Day Range Raw Data'!$B:$B,0)),"")</f>
        <v/>
      </c>
      <c r="O178" t="str">
        <f t="array" ref="O178">IFERROR(INDEX('Day Range Raw Data'!V:V,Match($A178,'Day Range Raw Data'!$B:$B,0)),"")</f>
        <v/>
      </c>
      <c r="P178" t="str">
        <f t="array" ref="P178">IFERROR(INDEX('Day Range Raw Data'!X:X,Match($A178,'Day Range Raw Data'!$B:$B,0)),"")</f>
        <v/>
      </c>
      <c r="Q178" t="str">
        <f t="shared" si="1"/>
        <v/>
      </c>
      <c r="R178" s="9" t="str">
        <f t="shared" si="2"/>
        <v/>
      </c>
      <c r="S178" s="14" t="str">
        <f t="shared" si="3"/>
        <v/>
      </c>
      <c r="T178" s="15" t="str">
        <f>IFERROR(__xludf.DUMMYFUNCTION("IF($A178="""","""",IFERROR(PERCENTRANK.INC(FILTER(Q:Q,$F:$F&lt;&gt;""""),Q178)*100,""""))"),"")</f>
        <v/>
      </c>
      <c r="U178" s="15" t="str">
        <f>IFERROR(__xludf.DUMMYFUNCTION("IF($A178="""","""",IFERROR(PERCENTRANK.INC(FILTER(R:R,$F:$F&lt;&gt;""""),R178)*100,""""))"),"")</f>
        <v/>
      </c>
      <c r="V178" s="15" t="str">
        <f>IFERROR(__xludf.DUMMYFUNCTION("IF($A178="""","""",IFERROR(PERCENTRANK.INC(FILTER(S:S,$F:$F&lt;&gt;""""),S178)*100,""""))"),"")</f>
        <v/>
      </c>
      <c r="W178" s="15" t="str">
        <f t="shared" si="4"/>
        <v/>
      </c>
    </row>
    <row r="179">
      <c r="B179" t="str">
        <f t="array" ref="B179">IFERROR(INDEX('Player Raw Data'!C:C,Match($A179,'Player Raw Data'!$B:$B,0)),"")</f>
        <v/>
      </c>
      <c r="C179" t="str">
        <f t="array" ref="C179">IFERROR(INDEX('Player Raw Data'!D:D,Match($A179,'Player Raw Data'!$B:$B,0)),"")</f>
        <v/>
      </c>
      <c r="D179" t="str">
        <f t="array" ref="D179">IFERROR(IF(A179=A178, INDEX('Player Raw Data'!E:E,Match($A179,'Player Raw Data'!$B:$B,0)+2),INDEX('Player Raw Data'!E:E,Match($A179,'Player Raw Data'!$B:$B,0))),"")</f>
        <v/>
      </c>
      <c r="E179" t="str">
        <f t="array" ref="E179">IFERROR(INDEX('Day Range Raw Data'!D:D,Match($A179,'Day Range Raw Data'!$B:$B,0)),"")</f>
        <v/>
      </c>
      <c r="F179" t="str">
        <f t="array" ref="F179">IFERROR(INDEX('Day Range Raw Data'!F:F,Match($A179,'Day Range Raw Data'!$B:$B,0)),"")</f>
        <v/>
      </c>
      <c r="G179" t="str">
        <f t="array" ref="G179">IFERROR(INDEX('Day Range Raw Data'!G:G,Match($A179,'Day Range Raw Data'!$B:$B,0)),"")</f>
        <v/>
      </c>
      <c r="H179" t="str">
        <f t="array" ref="H179">IFERROR(INDEX('Day Range Raw Data'!H:H,Match($A179,'Day Range Raw Data'!$B:$B,0)),"")</f>
        <v/>
      </c>
      <c r="I179" t="str">
        <f t="array" ref="I179">IFERROR(INDEX('Day Range Raw Data'!M:M,Match($A179,'Day Range Raw Data'!$B:$B,0)),"")</f>
        <v/>
      </c>
      <c r="J179" t="str">
        <f t="array" ref="J179">IFERROR(INDEX('Day Range Raw Data'!N:N,Match($A179,'Day Range Raw Data'!$B:$B,0)),"")</f>
        <v/>
      </c>
      <c r="K179" t="str">
        <f t="array" ref="K179">IFERROR(INDEX('Day Range Raw Data'!R:R,Match($A179,'Day Range Raw Data'!$B:$B,0)),"")</f>
        <v/>
      </c>
      <c r="L179" t="str">
        <f t="array" ref="L179">IFERROR(INDEX('Day Range Raw Data'!S:S,Match($A179,'Day Range Raw Data'!$B:$B,0)),"")</f>
        <v/>
      </c>
      <c r="M179" t="str">
        <f t="array" ref="M179">IFERROR(INDEX('Day Range Raw Data'!T:T,Match($A179,'Day Range Raw Data'!$B:$B,0)),"")</f>
        <v/>
      </c>
      <c r="N179" t="str">
        <f t="array" ref="N179">IFERROR(INDEX('Day Range Raw Data'!U:U,Match($A179,'Day Range Raw Data'!$B:$B,0)),"")</f>
        <v/>
      </c>
      <c r="O179" t="str">
        <f t="array" ref="O179">IFERROR(INDEX('Day Range Raw Data'!V:V,Match($A179,'Day Range Raw Data'!$B:$B,0)),"")</f>
        <v/>
      </c>
      <c r="P179" t="str">
        <f t="array" ref="P179">IFERROR(INDEX('Day Range Raw Data'!X:X,Match($A179,'Day Range Raw Data'!$B:$B,0)),"")</f>
        <v/>
      </c>
      <c r="Q179" t="str">
        <f t="shared" si="1"/>
        <v/>
      </c>
      <c r="R179" s="9" t="str">
        <f t="shared" si="2"/>
        <v/>
      </c>
      <c r="S179" s="14" t="str">
        <f t="shared" si="3"/>
        <v/>
      </c>
      <c r="T179" s="15" t="str">
        <f>IFERROR(__xludf.DUMMYFUNCTION("IF($A179="""","""",IFERROR(PERCENTRANK.INC(FILTER(Q:Q,$F:$F&lt;&gt;""""),Q179)*100,""""))"),"")</f>
        <v/>
      </c>
      <c r="U179" s="15" t="str">
        <f>IFERROR(__xludf.DUMMYFUNCTION("IF($A179="""","""",IFERROR(PERCENTRANK.INC(FILTER(R:R,$F:$F&lt;&gt;""""),R179)*100,""""))"),"")</f>
        <v/>
      </c>
      <c r="V179" s="15" t="str">
        <f>IFERROR(__xludf.DUMMYFUNCTION("IF($A179="""","""",IFERROR(PERCENTRANK.INC(FILTER(S:S,$F:$F&lt;&gt;""""),S179)*100,""""))"),"")</f>
        <v/>
      </c>
      <c r="W179" s="15" t="str">
        <f t="shared" si="4"/>
        <v/>
      </c>
    </row>
    <row r="180">
      <c r="B180" t="str">
        <f t="array" ref="B180">IFERROR(INDEX('Player Raw Data'!C:C,Match($A180,'Player Raw Data'!$B:$B,0)),"")</f>
        <v/>
      </c>
      <c r="C180" t="str">
        <f t="array" ref="C180">IFERROR(INDEX('Player Raw Data'!D:D,Match($A180,'Player Raw Data'!$B:$B,0)),"")</f>
        <v/>
      </c>
      <c r="D180" t="str">
        <f t="array" ref="D180">IFERROR(IF(A180=A179, INDEX('Player Raw Data'!E:E,Match($A180,'Player Raw Data'!$B:$B,0)+2),INDEX('Player Raw Data'!E:E,Match($A180,'Player Raw Data'!$B:$B,0))),"")</f>
        <v/>
      </c>
      <c r="E180" t="str">
        <f t="array" ref="E180">IFERROR(INDEX('Day Range Raw Data'!D:D,Match($A180,'Day Range Raw Data'!$B:$B,0)),"")</f>
        <v/>
      </c>
      <c r="F180" t="str">
        <f t="array" ref="F180">IFERROR(INDEX('Day Range Raw Data'!F:F,Match($A180,'Day Range Raw Data'!$B:$B,0)),"")</f>
        <v/>
      </c>
      <c r="G180" t="str">
        <f t="array" ref="G180">IFERROR(INDEX('Day Range Raw Data'!G:G,Match($A180,'Day Range Raw Data'!$B:$B,0)),"")</f>
        <v/>
      </c>
      <c r="H180" t="str">
        <f t="array" ref="H180">IFERROR(INDEX('Day Range Raw Data'!H:H,Match($A180,'Day Range Raw Data'!$B:$B,0)),"")</f>
        <v/>
      </c>
      <c r="I180" t="str">
        <f t="array" ref="I180">IFERROR(INDEX('Day Range Raw Data'!M:M,Match($A180,'Day Range Raw Data'!$B:$B,0)),"")</f>
        <v/>
      </c>
      <c r="J180" t="str">
        <f t="array" ref="J180">IFERROR(INDEX('Day Range Raw Data'!N:N,Match($A180,'Day Range Raw Data'!$B:$B,0)),"")</f>
        <v/>
      </c>
      <c r="K180" t="str">
        <f t="array" ref="K180">IFERROR(INDEX('Day Range Raw Data'!R:R,Match($A180,'Day Range Raw Data'!$B:$B,0)),"")</f>
        <v/>
      </c>
      <c r="L180" t="str">
        <f t="array" ref="L180">IFERROR(INDEX('Day Range Raw Data'!S:S,Match($A180,'Day Range Raw Data'!$B:$B,0)),"")</f>
        <v/>
      </c>
      <c r="M180" t="str">
        <f t="array" ref="M180">IFERROR(INDEX('Day Range Raw Data'!T:T,Match($A180,'Day Range Raw Data'!$B:$B,0)),"")</f>
        <v/>
      </c>
      <c r="N180" t="str">
        <f t="array" ref="N180">IFERROR(INDEX('Day Range Raw Data'!U:U,Match($A180,'Day Range Raw Data'!$B:$B,0)),"")</f>
        <v/>
      </c>
      <c r="O180" t="str">
        <f t="array" ref="O180">IFERROR(INDEX('Day Range Raw Data'!V:V,Match($A180,'Day Range Raw Data'!$B:$B,0)),"")</f>
        <v/>
      </c>
      <c r="P180" t="str">
        <f t="array" ref="P180">IFERROR(INDEX('Day Range Raw Data'!X:X,Match($A180,'Day Range Raw Data'!$B:$B,0)),"")</f>
        <v/>
      </c>
      <c r="Q180" t="str">
        <f t="shared" si="1"/>
        <v/>
      </c>
      <c r="R180" s="9" t="str">
        <f t="shared" si="2"/>
        <v/>
      </c>
      <c r="S180" s="14" t="str">
        <f t="shared" si="3"/>
        <v/>
      </c>
      <c r="T180" s="15" t="str">
        <f>IFERROR(__xludf.DUMMYFUNCTION("IF($A180="""","""",IFERROR(PERCENTRANK.INC(FILTER(Q:Q,$F:$F&lt;&gt;""""),Q180)*100,""""))"),"")</f>
        <v/>
      </c>
      <c r="U180" s="15" t="str">
        <f>IFERROR(__xludf.DUMMYFUNCTION("IF($A180="""","""",IFERROR(PERCENTRANK.INC(FILTER(R:R,$F:$F&lt;&gt;""""),R180)*100,""""))"),"")</f>
        <v/>
      </c>
      <c r="V180" s="15" t="str">
        <f>IFERROR(__xludf.DUMMYFUNCTION("IF($A180="""","""",IFERROR(PERCENTRANK.INC(FILTER(S:S,$F:$F&lt;&gt;""""),S180)*100,""""))"),"")</f>
        <v/>
      </c>
      <c r="W180" s="15" t="str">
        <f t="shared" si="4"/>
        <v/>
      </c>
    </row>
    <row r="181">
      <c r="B181" t="str">
        <f t="array" ref="B181">IFERROR(INDEX('Player Raw Data'!C:C,Match($A181,'Player Raw Data'!$B:$B,0)),"")</f>
        <v/>
      </c>
      <c r="C181" t="str">
        <f t="array" ref="C181">IFERROR(INDEX('Player Raw Data'!D:D,Match($A181,'Player Raw Data'!$B:$B,0)),"")</f>
        <v/>
      </c>
      <c r="D181" t="str">
        <f t="array" ref="D181">IFERROR(IF(A181=A180, INDEX('Player Raw Data'!E:E,Match($A181,'Player Raw Data'!$B:$B,0)+2),INDEX('Player Raw Data'!E:E,Match($A181,'Player Raw Data'!$B:$B,0))),"")</f>
        <v/>
      </c>
      <c r="E181" t="str">
        <f t="array" ref="E181">IFERROR(INDEX('Day Range Raw Data'!D:D,Match($A181,'Day Range Raw Data'!$B:$B,0)),"")</f>
        <v/>
      </c>
      <c r="F181" t="str">
        <f t="array" ref="F181">IFERROR(INDEX('Day Range Raw Data'!F:F,Match($A181,'Day Range Raw Data'!$B:$B,0)),"")</f>
        <v/>
      </c>
      <c r="G181" t="str">
        <f t="array" ref="G181">IFERROR(INDEX('Day Range Raw Data'!G:G,Match($A181,'Day Range Raw Data'!$B:$B,0)),"")</f>
        <v/>
      </c>
      <c r="H181" t="str">
        <f t="array" ref="H181">IFERROR(INDEX('Day Range Raw Data'!H:H,Match($A181,'Day Range Raw Data'!$B:$B,0)),"")</f>
        <v/>
      </c>
      <c r="I181" t="str">
        <f t="array" ref="I181">IFERROR(INDEX('Day Range Raw Data'!M:M,Match($A181,'Day Range Raw Data'!$B:$B,0)),"")</f>
        <v/>
      </c>
      <c r="J181" t="str">
        <f t="array" ref="J181">IFERROR(INDEX('Day Range Raw Data'!N:N,Match($A181,'Day Range Raw Data'!$B:$B,0)),"")</f>
        <v/>
      </c>
      <c r="K181" t="str">
        <f t="array" ref="K181">IFERROR(INDEX('Day Range Raw Data'!R:R,Match($A181,'Day Range Raw Data'!$B:$B,0)),"")</f>
        <v/>
      </c>
      <c r="L181" t="str">
        <f t="array" ref="L181">IFERROR(INDEX('Day Range Raw Data'!S:S,Match($A181,'Day Range Raw Data'!$B:$B,0)),"")</f>
        <v/>
      </c>
      <c r="M181" t="str">
        <f t="array" ref="M181">IFERROR(INDEX('Day Range Raw Data'!T:T,Match($A181,'Day Range Raw Data'!$B:$B,0)),"")</f>
        <v/>
      </c>
      <c r="N181" t="str">
        <f t="array" ref="N181">IFERROR(INDEX('Day Range Raw Data'!U:U,Match($A181,'Day Range Raw Data'!$B:$B,0)),"")</f>
        <v/>
      </c>
      <c r="O181" t="str">
        <f t="array" ref="O181">IFERROR(INDEX('Day Range Raw Data'!V:V,Match($A181,'Day Range Raw Data'!$B:$B,0)),"")</f>
        <v/>
      </c>
      <c r="P181" t="str">
        <f t="array" ref="P181">IFERROR(INDEX('Day Range Raw Data'!X:X,Match($A181,'Day Range Raw Data'!$B:$B,0)),"")</f>
        <v/>
      </c>
      <c r="Q181" t="str">
        <f t="shared" si="1"/>
        <v/>
      </c>
      <c r="R181" s="9" t="str">
        <f t="shared" si="2"/>
        <v/>
      </c>
      <c r="S181" s="14" t="str">
        <f t="shared" si="3"/>
        <v/>
      </c>
      <c r="T181" s="15" t="str">
        <f>IFERROR(__xludf.DUMMYFUNCTION("IF($A181="""","""",IFERROR(PERCENTRANK.INC(FILTER(Q:Q,$F:$F&lt;&gt;""""),Q181)*100,""""))"),"")</f>
        <v/>
      </c>
      <c r="U181" s="15" t="str">
        <f>IFERROR(__xludf.DUMMYFUNCTION("IF($A181="""","""",IFERROR(PERCENTRANK.INC(FILTER(R:R,$F:$F&lt;&gt;""""),R181)*100,""""))"),"")</f>
        <v/>
      </c>
      <c r="V181" s="15" t="str">
        <f>IFERROR(__xludf.DUMMYFUNCTION("IF($A181="""","""",IFERROR(PERCENTRANK.INC(FILTER(S:S,$F:$F&lt;&gt;""""),S181)*100,""""))"),"")</f>
        <v/>
      </c>
      <c r="W181" s="15" t="str">
        <f t="shared" si="4"/>
        <v/>
      </c>
    </row>
    <row r="182">
      <c r="B182" t="str">
        <f t="array" ref="B182">IFERROR(INDEX('Player Raw Data'!C:C,Match($A182,'Player Raw Data'!$B:$B,0)),"")</f>
        <v/>
      </c>
      <c r="C182" t="str">
        <f t="array" ref="C182">IFERROR(INDEX('Player Raw Data'!D:D,Match($A182,'Player Raw Data'!$B:$B,0)),"")</f>
        <v/>
      </c>
      <c r="D182" t="str">
        <f t="array" ref="D182">IFERROR(IF(A182=A181, INDEX('Player Raw Data'!E:E,Match($A182,'Player Raw Data'!$B:$B,0)+2),INDEX('Player Raw Data'!E:E,Match($A182,'Player Raw Data'!$B:$B,0))),"")</f>
        <v/>
      </c>
      <c r="E182" t="str">
        <f t="array" ref="E182">IFERROR(INDEX('Day Range Raw Data'!D:D,Match($A182,'Day Range Raw Data'!$B:$B,0)),"")</f>
        <v/>
      </c>
      <c r="F182" t="str">
        <f t="array" ref="F182">IFERROR(INDEX('Day Range Raw Data'!F:F,Match($A182,'Day Range Raw Data'!$B:$B,0)),"")</f>
        <v/>
      </c>
      <c r="G182" t="str">
        <f t="array" ref="G182">IFERROR(INDEX('Day Range Raw Data'!G:G,Match($A182,'Day Range Raw Data'!$B:$B,0)),"")</f>
        <v/>
      </c>
      <c r="H182" t="str">
        <f t="array" ref="H182">IFERROR(INDEX('Day Range Raw Data'!H:H,Match($A182,'Day Range Raw Data'!$B:$B,0)),"")</f>
        <v/>
      </c>
      <c r="I182" t="str">
        <f t="array" ref="I182">IFERROR(INDEX('Day Range Raw Data'!M:M,Match($A182,'Day Range Raw Data'!$B:$B,0)),"")</f>
        <v/>
      </c>
      <c r="J182" t="str">
        <f t="array" ref="J182">IFERROR(INDEX('Day Range Raw Data'!N:N,Match($A182,'Day Range Raw Data'!$B:$B,0)),"")</f>
        <v/>
      </c>
      <c r="K182" t="str">
        <f t="array" ref="K182">IFERROR(INDEX('Day Range Raw Data'!R:R,Match($A182,'Day Range Raw Data'!$B:$B,0)),"")</f>
        <v/>
      </c>
      <c r="L182" t="str">
        <f t="array" ref="L182">IFERROR(INDEX('Day Range Raw Data'!S:S,Match($A182,'Day Range Raw Data'!$B:$B,0)),"")</f>
        <v/>
      </c>
      <c r="M182" t="str">
        <f t="array" ref="M182">IFERROR(INDEX('Day Range Raw Data'!T:T,Match($A182,'Day Range Raw Data'!$B:$B,0)),"")</f>
        <v/>
      </c>
      <c r="N182" t="str">
        <f t="array" ref="N182">IFERROR(INDEX('Day Range Raw Data'!U:U,Match($A182,'Day Range Raw Data'!$B:$B,0)),"")</f>
        <v/>
      </c>
      <c r="O182" t="str">
        <f t="array" ref="O182">IFERROR(INDEX('Day Range Raw Data'!V:V,Match($A182,'Day Range Raw Data'!$B:$B,0)),"")</f>
        <v/>
      </c>
      <c r="P182" t="str">
        <f t="array" ref="P182">IFERROR(INDEX('Day Range Raw Data'!X:X,Match($A182,'Day Range Raw Data'!$B:$B,0)),"")</f>
        <v/>
      </c>
      <c r="Q182" t="str">
        <f t="shared" si="1"/>
        <v/>
      </c>
      <c r="R182" s="9" t="str">
        <f t="shared" si="2"/>
        <v/>
      </c>
      <c r="S182" s="14" t="str">
        <f t="shared" si="3"/>
        <v/>
      </c>
      <c r="T182" s="15" t="str">
        <f>IFERROR(__xludf.DUMMYFUNCTION("IF($A182="""","""",IFERROR(PERCENTRANK.INC(FILTER(Q:Q,$F:$F&lt;&gt;""""),Q182)*100,""""))"),"")</f>
        <v/>
      </c>
      <c r="U182" s="15" t="str">
        <f>IFERROR(__xludf.DUMMYFUNCTION("IF($A182="""","""",IFERROR(PERCENTRANK.INC(FILTER(R:R,$F:$F&lt;&gt;""""),R182)*100,""""))"),"")</f>
        <v/>
      </c>
      <c r="V182" s="15" t="str">
        <f>IFERROR(__xludf.DUMMYFUNCTION("IF($A182="""","""",IFERROR(PERCENTRANK.INC(FILTER(S:S,$F:$F&lt;&gt;""""),S182)*100,""""))"),"")</f>
        <v/>
      </c>
      <c r="W182" s="15" t="str">
        <f t="shared" si="4"/>
        <v/>
      </c>
    </row>
    <row r="183">
      <c r="B183" t="str">
        <f t="array" ref="B183">IFERROR(INDEX('Player Raw Data'!C:C,Match($A183,'Player Raw Data'!$B:$B,0)),"")</f>
        <v/>
      </c>
      <c r="C183" t="str">
        <f t="array" ref="C183">IFERROR(INDEX('Player Raw Data'!D:D,Match($A183,'Player Raw Data'!$B:$B,0)),"")</f>
        <v/>
      </c>
      <c r="D183" t="str">
        <f t="array" ref="D183">IFERROR(IF(A183=A182, INDEX('Player Raw Data'!E:E,Match($A183,'Player Raw Data'!$B:$B,0)+2),INDEX('Player Raw Data'!E:E,Match($A183,'Player Raw Data'!$B:$B,0))),"")</f>
        <v/>
      </c>
      <c r="E183" t="str">
        <f t="array" ref="E183">IFERROR(INDEX('Day Range Raw Data'!D:D,Match($A183,'Day Range Raw Data'!$B:$B,0)),"")</f>
        <v/>
      </c>
      <c r="F183" t="str">
        <f t="array" ref="F183">IFERROR(INDEX('Day Range Raw Data'!F:F,Match($A183,'Day Range Raw Data'!$B:$B,0)),"")</f>
        <v/>
      </c>
      <c r="G183" t="str">
        <f t="array" ref="G183">IFERROR(INDEX('Day Range Raw Data'!G:G,Match($A183,'Day Range Raw Data'!$B:$B,0)),"")</f>
        <v/>
      </c>
      <c r="H183" t="str">
        <f t="array" ref="H183">IFERROR(INDEX('Day Range Raw Data'!H:H,Match($A183,'Day Range Raw Data'!$B:$B,0)),"")</f>
        <v/>
      </c>
      <c r="I183" t="str">
        <f t="array" ref="I183">IFERROR(INDEX('Day Range Raw Data'!M:M,Match($A183,'Day Range Raw Data'!$B:$B,0)),"")</f>
        <v/>
      </c>
      <c r="J183" t="str">
        <f t="array" ref="J183">IFERROR(INDEX('Day Range Raw Data'!N:N,Match($A183,'Day Range Raw Data'!$B:$B,0)),"")</f>
        <v/>
      </c>
      <c r="K183" t="str">
        <f t="array" ref="K183">IFERROR(INDEX('Day Range Raw Data'!R:R,Match($A183,'Day Range Raw Data'!$B:$B,0)),"")</f>
        <v/>
      </c>
      <c r="L183" t="str">
        <f t="array" ref="L183">IFERROR(INDEX('Day Range Raw Data'!S:S,Match($A183,'Day Range Raw Data'!$B:$B,0)),"")</f>
        <v/>
      </c>
      <c r="M183" t="str">
        <f t="array" ref="M183">IFERROR(INDEX('Day Range Raw Data'!T:T,Match($A183,'Day Range Raw Data'!$B:$B,0)),"")</f>
        <v/>
      </c>
      <c r="N183" t="str">
        <f t="array" ref="N183">IFERROR(INDEX('Day Range Raw Data'!U:U,Match($A183,'Day Range Raw Data'!$B:$B,0)),"")</f>
        <v/>
      </c>
      <c r="O183" t="str">
        <f t="array" ref="O183">IFERROR(INDEX('Day Range Raw Data'!V:V,Match($A183,'Day Range Raw Data'!$B:$B,0)),"")</f>
        <v/>
      </c>
      <c r="P183" t="str">
        <f t="array" ref="P183">IFERROR(INDEX('Day Range Raw Data'!X:X,Match($A183,'Day Range Raw Data'!$B:$B,0)),"")</f>
        <v/>
      </c>
      <c r="Q183" t="str">
        <f t="shared" si="1"/>
        <v/>
      </c>
      <c r="R183" s="9" t="str">
        <f t="shared" si="2"/>
        <v/>
      </c>
      <c r="S183" s="14" t="str">
        <f t="shared" si="3"/>
        <v/>
      </c>
      <c r="T183" s="15" t="str">
        <f>IFERROR(__xludf.DUMMYFUNCTION("IF($A183="""","""",IFERROR(PERCENTRANK.INC(FILTER(Q:Q,$F:$F&lt;&gt;""""),Q183)*100,""""))"),"")</f>
        <v/>
      </c>
      <c r="U183" s="15" t="str">
        <f>IFERROR(__xludf.DUMMYFUNCTION("IF($A183="""","""",IFERROR(PERCENTRANK.INC(FILTER(R:R,$F:$F&lt;&gt;""""),R183)*100,""""))"),"")</f>
        <v/>
      </c>
      <c r="V183" s="15" t="str">
        <f>IFERROR(__xludf.DUMMYFUNCTION("IF($A183="""","""",IFERROR(PERCENTRANK.INC(FILTER(S:S,$F:$F&lt;&gt;""""),S183)*100,""""))"),"")</f>
        <v/>
      </c>
      <c r="W183" s="15" t="str">
        <f t="shared" si="4"/>
        <v/>
      </c>
    </row>
    <row r="184">
      <c r="B184" t="str">
        <f t="array" ref="B184">IFERROR(INDEX('Player Raw Data'!C:C,Match($A184,'Player Raw Data'!$B:$B,0)),"")</f>
        <v/>
      </c>
      <c r="C184" t="str">
        <f t="array" ref="C184">IFERROR(INDEX('Player Raw Data'!D:D,Match($A184,'Player Raw Data'!$B:$B,0)),"")</f>
        <v/>
      </c>
      <c r="D184" t="str">
        <f t="array" ref="D184">IFERROR(IF(A184=A183, INDEX('Player Raw Data'!E:E,Match($A184,'Player Raw Data'!$B:$B,0)+2),INDEX('Player Raw Data'!E:E,Match($A184,'Player Raw Data'!$B:$B,0))),"")</f>
        <v/>
      </c>
      <c r="E184" t="str">
        <f t="array" ref="E184">IFERROR(INDEX('Day Range Raw Data'!D:D,Match($A184,'Day Range Raw Data'!$B:$B,0)),"")</f>
        <v/>
      </c>
      <c r="F184" t="str">
        <f t="array" ref="F184">IFERROR(INDEX('Day Range Raw Data'!F:F,Match($A184,'Day Range Raw Data'!$B:$B,0)),"")</f>
        <v/>
      </c>
      <c r="G184" t="str">
        <f t="array" ref="G184">IFERROR(INDEX('Day Range Raw Data'!G:G,Match($A184,'Day Range Raw Data'!$B:$B,0)),"")</f>
        <v/>
      </c>
      <c r="H184" t="str">
        <f t="array" ref="H184">IFERROR(INDEX('Day Range Raw Data'!H:H,Match($A184,'Day Range Raw Data'!$B:$B,0)),"")</f>
        <v/>
      </c>
      <c r="I184" t="str">
        <f t="array" ref="I184">IFERROR(INDEX('Day Range Raw Data'!M:M,Match($A184,'Day Range Raw Data'!$B:$B,0)),"")</f>
        <v/>
      </c>
      <c r="J184" t="str">
        <f t="array" ref="J184">IFERROR(INDEX('Day Range Raw Data'!N:N,Match($A184,'Day Range Raw Data'!$B:$B,0)),"")</f>
        <v/>
      </c>
      <c r="K184" t="str">
        <f t="array" ref="K184">IFERROR(INDEX('Day Range Raw Data'!R:R,Match($A184,'Day Range Raw Data'!$B:$B,0)),"")</f>
        <v/>
      </c>
      <c r="L184" t="str">
        <f t="array" ref="L184">IFERROR(INDEX('Day Range Raw Data'!S:S,Match($A184,'Day Range Raw Data'!$B:$B,0)),"")</f>
        <v/>
      </c>
      <c r="M184" t="str">
        <f t="array" ref="M184">IFERROR(INDEX('Day Range Raw Data'!T:T,Match($A184,'Day Range Raw Data'!$B:$B,0)),"")</f>
        <v/>
      </c>
      <c r="N184" t="str">
        <f t="array" ref="N184">IFERROR(INDEX('Day Range Raw Data'!U:U,Match($A184,'Day Range Raw Data'!$B:$B,0)),"")</f>
        <v/>
      </c>
      <c r="O184" t="str">
        <f t="array" ref="O184">IFERROR(INDEX('Day Range Raw Data'!V:V,Match($A184,'Day Range Raw Data'!$B:$B,0)),"")</f>
        <v/>
      </c>
      <c r="P184" t="str">
        <f t="array" ref="P184">IFERROR(INDEX('Day Range Raw Data'!X:X,Match($A184,'Day Range Raw Data'!$B:$B,0)),"")</f>
        <v/>
      </c>
      <c r="Q184" t="str">
        <f t="shared" si="1"/>
        <v/>
      </c>
      <c r="R184" s="9" t="str">
        <f t="shared" si="2"/>
        <v/>
      </c>
      <c r="S184" s="14" t="str">
        <f t="shared" si="3"/>
        <v/>
      </c>
      <c r="T184" s="15" t="str">
        <f>IFERROR(__xludf.DUMMYFUNCTION("IF($A184="""","""",IFERROR(PERCENTRANK.INC(FILTER(Q:Q,$F:$F&lt;&gt;""""),Q184)*100,""""))"),"")</f>
        <v/>
      </c>
      <c r="U184" s="15" t="str">
        <f>IFERROR(__xludf.DUMMYFUNCTION("IF($A184="""","""",IFERROR(PERCENTRANK.INC(FILTER(R:R,$F:$F&lt;&gt;""""),R184)*100,""""))"),"")</f>
        <v/>
      </c>
      <c r="V184" s="15" t="str">
        <f>IFERROR(__xludf.DUMMYFUNCTION("IF($A184="""","""",IFERROR(PERCENTRANK.INC(FILTER(S:S,$F:$F&lt;&gt;""""),S184)*100,""""))"),"")</f>
        <v/>
      </c>
      <c r="W184" s="15" t="str">
        <f t="shared" si="4"/>
        <v/>
      </c>
    </row>
    <row r="185">
      <c r="B185" t="str">
        <f t="array" ref="B185">IFERROR(INDEX('Player Raw Data'!C:C,Match($A185,'Player Raw Data'!$B:$B,0)),"")</f>
        <v/>
      </c>
      <c r="C185" t="str">
        <f t="array" ref="C185">IFERROR(INDEX('Player Raw Data'!D:D,Match($A185,'Player Raw Data'!$B:$B,0)),"")</f>
        <v/>
      </c>
      <c r="D185" t="str">
        <f t="array" ref="D185">IFERROR(IF(A185=A184, INDEX('Player Raw Data'!E:E,Match($A185,'Player Raw Data'!$B:$B,0)+2),INDEX('Player Raw Data'!E:E,Match($A185,'Player Raw Data'!$B:$B,0))),"")</f>
        <v/>
      </c>
      <c r="E185" t="str">
        <f t="array" ref="E185">IFERROR(INDEX('Day Range Raw Data'!D:D,Match($A185,'Day Range Raw Data'!$B:$B,0)),"")</f>
        <v/>
      </c>
      <c r="F185" t="str">
        <f t="array" ref="F185">IFERROR(INDEX('Day Range Raw Data'!F:F,Match($A185,'Day Range Raw Data'!$B:$B,0)),"")</f>
        <v/>
      </c>
      <c r="G185" t="str">
        <f t="array" ref="G185">IFERROR(INDEX('Day Range Raw Data'!G:G,Match($A185,'Day Range Raw Data'!$B:$B,0)),"")</f>
        <v/>
      </c>
      <c r="H185" t="str">
        <f t="array" ref="H185">IFERROR(INDEX('Day Range Raw Data'!H:H,Match($A185,'Day Range Raw Data'!$B:$B,0)),"")</f>
        <v/>
      </c>
      <c r="I185" t="str">
        <f t="array" ref="I185">IFERROR(INDEX('Day Range Raw Data'!M:M,Match($A185,'Day Range Raw Data'!$B:$B,0)),"")</f>
        <v/>
      </c>
      <c r="J185" t="str">
        <f t="array" ref="J185">IFERROR(INDEX('Day Range Raw Data'!N:N,Match($A185,'Day Range Raw Data'!$B:$B,0)),"")</f>
        <v/>
      </c>
      <c r="K185" t="str">
        <f t="array" ref="K185">IFERROR(INDEX('Day Range Raw Data'!R:R,Match($A185,'Day Range Raw Data'!$B:$B,0)),"")</f>
        <v/>
      </c>
      <c r="L185" t="str">
        <f t="array" ref="L185">IFERROR(INDEX('Day Range Raw Data'!S:S,Match($A185,'Day Range Raw Data'!$B:$B,0)),"")</f>
        <v/>
      </c>
      <c r="M185" t="str">
        <f t="array" ref="M185">IFERROR(INDEX('Day Range Raw Data'!T:T,Match($A185,'Day Range Raw Data'!$B:$B,0)),"")</f>
        <v/>
      </c>
      <c r="N185" t="str">
        <f t="array" ref="N185">IFERROR(INDEX('Day Range Raw Data'!U:U,Match($A185,'Day Range Raw Data'!$B:$B,0)),"")</f>
        <v/>
      </c>
      <c r="O185" t="str">
        <f t="array" ref="O185">IFERROR(INDEX('Day Range Raw Data'!V:V,Match($A185,'Day Range Raw Data'!$B:$B,0)),"")</f>
        <v/>
      </c>
      <c r="P185" t="str">
        <f t="array" ref="P185">IFERROR(INDEX('Day Range Raw Data'!X:X,Match($A185,'Day Range Raw Data'!$B:$B,0)),"")</f>
        <v/>
      </c>
      <c r="Q185" t="str">
        <f t="shared" si="1"/>
        <v/>
      </c>
      <c r="R185" s="9" t="str">
        <f t="shared" si="2"/>
        <v/>
      </c>
      <c r="S185" s="14" t="str">
        <f t="shared" si="3"/>
        <v/>
      </c>
      <c r="T185" s="15" t="str">
        <f>IFERROR(__xludf.DUMMYFUNCTION("IF($A185="""","""",IFERROR(PERCENTRANK.INC(FILTER(Q:Q,$F:$F&lt;&gt;""""),Q185)*100,""""))"),"")</f>
        <v/>
      </c>
      <c r="U185" s="15" t="str">
        <f>IFERROR(__xludf.DUMMYFUNCTION("IF($A185="""","""",IFERROR(PERCENTRANK.INC(FILTER(R:R,$F:$F&lt;&gt;""""),R185)*100,""""))"),"")</f>
        <v/>
      </c>
      <c r="V185" s="15" t="str">
        <f>IFERROR(__xludf.DUMMYFUNCTION("IF($A185="""","""",IFERROR(PERCENTRANK.INC(FILTER(S:S,$F:$F&lt;&gt;""""),S185)*100,""""))"),"")</f>
        <v/>
      </c>
      <c r="W185" s="15" t="str">
        <f t="shared" si="4"/>
        <v/>
      </c>
    </row>
    <row r="186">
      <c r="B186" t="str">
        <f t="array" ref="B186">IFERROR(INDEX('Player Raw Data'!C:C,Match($A186,'Player Raw Data'!$B:$B,0)),"")</f>
        <v/>
      </c>
      <c r="C186" t="str">
        <f t="array" ref="C186">IFERROR(INDEX('Player Raw Data'!D:D,Match($A186,'Player Raw Data'!$B:$B,0)),"")</f>
        <v/>
      </c>
      <c r="D186" t="str">
        <f t="array" ref="D186">IFERROR(IF(A186=A185, INDEX('Player Raw Data'!E:E,Match($A186,'Player Raw Data'!$B:$B,0)+2),INDEX('Player Raw Data'!E:E,Match($A186,'Player Raw Data'!$B:$B,0))),"")</f>
        <v/>
      </c>
      <c r="E186" t="str">
        <f t="array" ref="E186">IFERROR(INDEX('Day Range Raw Data'!D:D,Match($A186,'Day Range Raw Data'!$B:$B,0)),"")</f>
        <v/>
      </c>
      <c r="F186" t="str">
        <f t="array" ref="F186">IFERROR(INDEX('Day Range Raw Data'!F:F,Match($A186,'Day Range Raw Data'!$B:$B,0)),"")</f>
        <v/>
      </c>
      <c r="G186" t="str">
        <f t="array" ref="G186">IFERROR(INDEX('Day Range Raw Data'!G:G,Match($A186,'Day Range Raw Data'!$B:$B,0)),"")</f>
        <v/>
      </c>
      <c r="H186" t="str">
        <f t="array" ref="H186">IFERROR(INDEX('Day Range Raw Data'!H:H,Match($A186,'Day Range Raw Data'!$B:$B,0)),"")</f>
        <v/>
      </c>
      <c r="I186" t="str">
        <f t="array" ref="I186">IFERROR(INDEX('Day Range Raw Data'!M:M,Match($A186,'Day Range Raw Data'!$B:$B,0)),"")</f>
        <v/>
      </c>
      <c r="J186" t="str">
        <f t="array" ref="J186">IFERROR(INDEX('Day Range Raw Data'!N:N,Match($A186,'Day Range Raw Data'!$B:$B,0)),"")</f>
        <v/>
      </c>
      <c r="K186" t="str">
        <f t="array" ref="K186">IFERROR(INDEX('Day Range Raw Data'!R:R,Match($A186,'Day Range Raw Data'!$B:$B,0)),"")</f>
        <v/>
      </c>
      <c r="L186" t="str">
        <f t="array" ref="L186">IFERROR(INDEX('Day Range Raw Data'!S:S,Match($A186,'Day Range Raw Data'!$B:$B,0)),"")</f>
        <v/>
      </c>
      <c r="M186" t="str">
        <f t="array" ref="M186">IFERROR(INDEX('Day Range Raw Data'!T:T,Match($A186,'Day Range Raw Data'!$B:$B,0)),"")</f>
        <v/>
      </c>
      <c r="N186" t="str">
        <f t="array" ref="N186">IFERROR(INDEX('Day Range Raw Data'!U:U,Match($A186,'Day Range Raw Data'!$B:$B,0)),"")</f>
        <v/>
      </c>
      <c r="O186" t="str">
        <f t="array" ref="O186">IFERROR(INDEX('Day Range Raw Data'!V:V,Match($A186,'Day Range Raw Data'!$B:$B,0)),"")</f>
        <v/>
      </c>
      <c r="P186" t="str">
        <f t="array" ref="P186">IFERROR(INDEX('Day Range Raw Data'!X:X,Match($A186,'Day Range Raw Data'!$B:$B,0)),"")</f>
        <v/>
      </c>
      <c r="Q186" t="str">
        <f t="shared" si="1"/>
        <v/>
      </c>
      <c r="R186" s="9" t="str">
        <f t="shared" si="2"/>
        <v/>
      </c>
      <c r="S186" s="14" t="str">
        <f t="shared" si="3"/>
        <v/>
      </c>
      <c r="T186" s="15" t="str">
        <f>IFERROR(__xludf.DUMMYFUNCTION("IF($A186="""","""",IFERROR(PERCENTRANK.INC(FILTER(Q:Q,$F:$F&lt;&gt;""""),Q186)*100,""""))"),"")</f>
        <v/>
      </c>
      <c r="U186" s="15" t="str">
        <f>IFERROR(__xludf.DUMMYFUNCTION("IF($A186="""","""",IFERROR(PERCENTRANK.INC(FILTER(R:R,$F:$F&lt;&gt;""""),R186)*100,""""))"),"")</f>
        <v/>
      </c>
      <c r="V186" s="15" t="str">
        <f>IFERROR(__xludf.DUMMYFUNCTION("IF($A186="""","""",IFERROR(PERCENTRANK.INC(FILTER(S:S,$F:$F&lt;&gt;""""),S186)*100,""""))"),"")</f>
        <v/>
      </c>
      <c r="W186" s="15" t="str">
        <f t="shared" si="4"/>
        <v/>
      </c>
    </row>
    <row r="187">
      <c r="B187" t="str">
        <f t="array" ref="B187">IFERROR(INDEX('Player Raw Data'!C:C,Match($A187,'Player Raw Data'!$B:$B,0)),"")</f>
        <v/>
      </c>
      <c r="C187" t="str">
        <f t="array" ref="C187">IFERROR(INDEX('Player Raw Data'!D:D,Match($A187,'Player Raw Data'!$B:$B,0)),"")</f>
        <v/>
      </c>
      <c r="D187" t="str">
        <f t="array" ref="D187">IFERROR(IF(A187=A186, INDEX('Player Raw Data'!E:E,Match($A187,'Player Raw Data'!$B:$B,0)+2),INDEX('Player Raw Data'!E:E,Match($A187,'Player Raw Data'!$B:$B,0))),"")</f>
        <v/>
      </c>
      <c r="E187" t="str">
        <f t="array" ref="E187">IFERROR(INDEX('Day Range Raw Data'!D:D,Match($A187,'Day Range Raw Data'!$B:$B,0)),"")</f>
        <v/>
      </c>
      <c r="F187" t="str">
        <f t="array" ref="F187">IFERROR(INDEX('Day Range Raw Data'!F:F,Match($A187,'Day Range Raw Data'!$B:$B,0)),"")</f>
        <v/>
      </c>
      <c r="G187" t="str">
        <f t="array" ref="G187">IFERROR(INDEX('Day Range Raw Data'!G:G,Match($A187,'Day Range Raw Data'!$B:$B,0)),"")</f>
        <v/>
      </c>
      <c r="H187" t="str">
        <f t="array" ref="H187">IFERROR(INDEX('Day Range Raw Data'!H:H,Match($A187,'Day Range Raw Data'!$B:$B,0)),"")</f>
        <v/>
      </c>
      <c r="I187" t="str">
        <f t="array" ref="I187">IFERROR(INDEX('Day Range Raw Data'!M:M,Match($A187,'Day Range Raw Data'!$B:$B,0)),"")</f>
        <v/>
      </c>
      <c r="J187" t="str">
        <f t="array" ref="J187">IFERROR(INDEX('Day Range Raw Data'!N:N,Match($A187,'Day Range Raw Data'!$B:$B,0)),"")</f>
        <v/>
      </c>
      <c r="K187" t="str">
        <f t="array" ref="K187">IFERROR(INDEX('Day Range Raw Data'!R:R,Match($A187,'Day Range Raw Data'!$B:$B,0)),"")</f>
        <v/>
      </c>
      <c r="L187" t="str">
        <f t="array" ref="L187">IFERROR(INDEX('Day Range Raw Data'!S:S,Match($A187,'Day Range Raw Data'!$B:$B,0)),"")</f>
        <v/>
      </c>
      <c r="M187" t="str">
        <f t="array" ref="M187">IFERROR(INDEX('Day Range Raw Data'!T:T,Match($A187,'Day Range Raw Data'!$B:$B,0)),"")</f>
        <v/>
      </c>
      <c r="N187" t="str">
        <f t="array" ref="N187">IFERROR(INDEX('Day Range Raw Data'!U:U,Match($A187,'Day Range Raw Data'!$B:$B,0)),"")</f>
        <v/>
      </c>
      <c r="O187" t="str">
        <f t="array" ref="O187">IFERROR(INDEX('Day Range Raw Data'!V:V,Match($A187,'Day Range Raw Data'!$B:$B,0)),"")</f>
        <v/>
      </c>
      <c r="P187" t="str">
        <f t="array" ref="P187">IFERROR(INDEX('Day Range Raw Data'!X:X,Match($A187,'Day Range Raw Data'!$B:$B,0)),"")</f>
        <v/>
      </c>
      <c r="Q187" t="str">
        <f t="shared" si="1"/>
        <v/>
      </c>
      <c r="R187" s="9" t="str">
        <f t="shared" si="2"/>
        <v/>
      </c>
      <c r="S187" s="14" t="str">
        <f t="shared" si="3"/>
        <v/>
      </c>
      <c r="T187" s="15" t="str">
        <f>IFERROR(__xludf.DUMMYFUNCTION("IF($A187="""","""",IFERROR(PERCENTRANK.INC(FILTER(Q:Q,$F:$F&lt;&gt;""""),Q187)*100,""""))"),"")</f>
        <v/>
      </c>
      <c r="U187" s="15" t="str">
        <f>IFERROR(__xludf.DUMMYFUNCTION("IF($A187="""","""",IFERROR(PERCENTRANK.INC(FILTER(R:R,$F:$F&lt;&gt;""""),R187)*100,""""))"),"")</f>
        <v/>
      </c>
      <c r="V187" s="15" t="str">
        <f>IFERROR(__xludf.DUMMYFUNCTION("IF($A187="""","""",IFERROR(PERCENTRANK.INC(FILTER(S:S,$F:$F&lt;&gt;""""),S187)*100,""""))"),"")</f>
        <v/>
      </c>
      <c r="W187" s="15" t="str">
        <f t="shared" si="4"/>
        <v/>
      </c>
    </row>
    <row r="188">
      <c r="B188" t="str">
        <f t="array" ref="B188">IFERROR(INDEX('Player Raw Data'!C:C,Match($A188,'Player Raw Data'!$B:$B,0)),"")</f>
        <v/>
      </c>
      <c r="C188" t="str">
        <f t="array" ref="C188">IFERROR(INDEX('Player Raw Data'!D:D,Match($A188,'Player Raw Data'!$B:$B,0)),"")</f>
        <v/>
      </c>
      <c r="D188" t="str">
        <f t="array" ref="D188">IFERROR(IF(A188=A187, INDEX('Player Raw Data'!E:E,Match($A188,'Player Raw Data'!$B:$B,0)+2),INDEX('Player Raw Data'!E:E,Match($A188,'Player Raw Data'!$B:$B,0))),"")</f>
        <v/>
      </c>
      <c r="E188" t="str">
        <f t="array" ref="E188">IFERROR(INDEX('Day Range Raw Data'!D:D,Match($A188,'Day Range Raw Data'!$B:$B,0)),"")</f>
        <v/>
      </c>
      <c r="F188" t="str">
        <f t="array" ref="F188">IFERROR(INDEX('Day Range Raw Data'!F:F,Match($A188,'Day Range Raw Data'!$B:$B,0)),"")</f>
        <v/>
      </c>
      <c r="G188" t="str">
        <f t="array" ref="G188">IFERROR(INDEX('Day Range Raw Data'!G:G,Match($A188,'Day Range Raw Data'!$B:$B,0)),"")</f>
        <v/>
      </c>
      <c r="H188" t="str">
        <f t="array" ref="H188">IFERROR(INDEX('Day Range Raw Data'!H:H,Match($A188,'Day Range Raw Data'!$B:$B,0)),"")</f>
        <v/>
      </c>
      <c r="I188" t="str">
        <f t="array" ref="I188">IFERROR(INDEX('Day Range Raw Data'!M:M,Match($A188,'Day Range Raw Data'!$B:$B,0)),"")</f>
        <v/>
      </c>
      <c r="J188" t="str">
        <f t="array" ref="J188">IFERROR(INDEX('Day Range Raw Data'!N:N,Match($A188,'Day Range Raw Data'!$B:$B,0)),"")</f>
        <v/>
      </c>
      <c r="K188" t="str">
        <f t="array" ref="K188">IFERROR(INDEX('Day Range Raw Data'!R:R,Match($A188,'Day Range Raw Data'!$B:$B,0)),"")</f>
        <v/>
      </c>
      <c r="L188" t="str">
        <f t="array" ref="L188">IFERROR(INDEX('Day Range Raw Data'!S:S,Match($A188,'Day Range Raw Data'!$B:$B,0)),"")</f>
        <v/>
      </c>
      <c r="M188" t="str">
        <f t="array" ref="M188">IFERROR(INDEX('Day Range Raw Data'!T:T,Match($A188,'Day Range Raw Data'!$B:$B,0)),"")</f>
        <v/>
      </c>
      <c r="N188" t="str">
        <f t="array" ref="N188">IFERROR(INDEX('Day Range Raw Data'!U:U,Match($A188,'Day Range Raw Data'!$B:$B,0)),"")</f>
        <v/>
      </c>
      <c r="O188" t="str">
        <f t="array" ref="O188">IFERROR(INDEX('Day Range Raw Data'!V:V,Match($A188,'Day Range Raw Data'!$B:$B,0)),"")</f>
        <v/>
      </c>
      <c r="P188" t="str">
        <f t="array" ref="P188">IFERROR(INDEX('Day Range Raw Data'!X:X,Match($A188,'Day Range Raw Data'!$B:$B,0)),"")</f>
        <v/>
      </c>
      <c r="Q188" t="str">
        <f t="shared" si="1"/>
        <v/>
      </c>
      <c r="R188" s="9" t="str">
        <f t="shared" si="2"/>
        <v/>
      </c>
      <c r="S188" s="14" t="str">
        <f t="shared" si="3"/>
        <v/>
      </c>
      <c r="T188" s="15" t="str">
        <f>IFERROR(__xludf.DUMMYFUNCTION("IF($A188="""","""",IFERROR(PERCENTRANK.INC(FILTER(Q:Q,$F:$F&lt;&gt;""""),Q188)*100,""""))"),"")</f>
        <v/>
      </c>
      <c r="U188" s="15" t="str">
        <f>IFERROR(__xludf.DUMMYFUNCTION("IF($A188="""","""",IFERROR(PERCENTRANK.INC(FILTER(R:R,$F:$F&lt;&gt;""""),R188)*100,""""))"),"")</f>
        <v/>
      </c>
      <c r="V188" s="15" t="str">
        <f>IFERROR(__xludf.DUMMYFUNCTION("IF($A188="""","""",IFERROR(PERCENTRANK.INC(FILTER(S:S,$F:$F&lt;&gt;""""),S188)*100,""""))"),"")</f>
        <v/>
      </c>
      <c r="W188" s="15" t="str">
        <f t="shared" si="4"/>
        <v/>
      </c>
    </row>
    <row r="189">
      <c r="B189" t="str">
        <f t="array" ref="B189">IFERROR(INDEX('Player Raw Data'!C:C,Match($A189,'Player Raw Data'!$B:$B,0)),"")</f>
        <v/>
      </c>
      <c r="C189" t="str">
        <f t="array" ref="C189">IFERROR(INDEX('Player Raw Data'!D:D,Match($A189,'Player Raw Data'!$B:$B,0)),"")</f>
        <v/>
      </c>
      <c r="D189" t="str">
        <f t="array" ref="D189">IFERROR(IF(A189=A188, INDEX('Player Raw Data'!E:E,Match($A189,'Player Raw Data'!$B:$B,0)+2),INDEX('Player Raw Data'!E:E,Match($A189,'Player Raw Data'!$B:$B,0))),"")</f>
        <v/>
      </c>
      <c r="E189" t="str">
        <f t="array" ref="E189">IFERROR(INDEX('Day Range Raw Data'!D:D,Match($A189,'Day Range Raw Data'!$B:$B,0)),"")</f>
        <v/>
      </c>
      <c r="F189" t="str">
        <f t="array" ref="F189">IFERROR(INDEX('Day Range Raw Data'!F:F,Match($A189,'Day Range Raw Data'!$B:$B,0)),"")</f>
        <v/>
      </c>
      <c r="G189" t="str">
        <f t="array" ref="G189">IFERROR(INDEX('Day Range Raw Data'!G:G,Match($A189,'Day Range Raw Data'!$B:$B,0)),"")</f>
        <v/>
      </c>
      <c r="H189" t="str">
        <f t="array" ref="H189">IFERROR(INDEX('Day Range Raw Data'!H:H,Match($A189,'Day Range Raw Data'!$B:$B,0)),"")</f>
        <v/>
      </c>
      <c r="I189" t="str">
        <f t="array" ref="I189">IFERROR(INDEX('Day Range Raw Data'!M:M,Match($A189,'Day Range Raw Data'!$B:$B,0)),"")</f>
        <v/>
      </c>
      <c r="J189" t="str">
        <f t="array" ref="J189">IFERROR(INDEX('Day Range Raw Data'!N:N,Match($A189,'Day Range Raw Data'!$B:$B,0)),"")</f>
        <v/>
      </c>
      <c r="K189" t="str">
        <f t="array" ref="K189">IFERROR(INDEX('Day Range Raw Data'!R:R,Match($A189,'Day Range Raw Data'!$B:$B,0)),"")</f>
        <v/>
      </c>
      <c r="L189" t="str">
        <f t="array" ref="L189">IFERROR(INDEX('Day Range Raw Data'!S:S,Match($A189,'Day Range Raw Data'!$B:$B,0)),"")</f>
        <v/>
      </c>
      <c r="M189" t="str">
        <f t="array" ref="M189">IFERROR(INDEX('Day Range Raw Data'!T:T,Match($A189,'Day Range Raw Data'!$B:$B,0)),"")</f>
        <v/>
      </c>
      <c r="N189" t="str">
        <f t="array" ref="N189">IFERROR(INDEX('Day Range Raw Data'!U:U,Match($A189,'Day Range Raw Data'!$B:$B,0)),"")</f>
        <v/>
      </c>
      <c r="O189" t="str">
        <f t="array" ref="O189">IFERROR(INDEX('Day Range Raw Data'!V:V,Match($A189,'Day Range Raw Data'!$B:$B,0)),"")</f>
        <v/>
      </c>
      <c r="P189" t="str">
        <f t="array" ref="P189">IFERROR(INDEX('Day Range Raw Data'!X:X,Match($A189,'Day Range Raw Data'!$B:$B,0)),"")</f>
        <v/>
      </c>
      <c r="Q189" t="str">
        <f t="shared" si="1"/>
        <v/>
      </c>
      <c r="R189" s="9" t="str">
        <f t="shared" si="2"/>
        <v/>
      </c>
      <c r="S189" s="14" t="str">
        <f t="shared" si="3"/>
        <v/>
      </c>
      <c r="T189" s="15" t="str">
        <f>IFERROR(__xludf.DUMMYFUNCTION("IF($A189="""","""",IFERROR(PERCENTRANK.INC(FILTER(Q:Q,$F:$F&lt;&gt;""""),Q189)*100,""""))"),"")</f>
        <v/>
      </c>
      <c r="U189" s="15" t="str">
        <f>IFERROR(__xludf.DUMMYFUNCTION("IF($A189="""","""",IFERROR(PERCENTRANK.INC(FILTER(R:R,$F:$F&lt;&gt;""""),R189)*100,""""))"),"")</f>
        <v/>
      </c>
      <c r="V189" s="15" t="str">
        <f>IFERROR(__xludf.DUMMYFUNCTION("IF($A189="""","""",IFERROR(PERCENTRANK.INC(FILTER(S:S,$F:$F&lt;&gt;""""),S189)*100,""""))"),"")</f>
        <v/>
      </c>
      <c r="W189" s="15" t="str">
        <f t="shared" si="4"/>
        <v/>
      </c>
    </row>
    <row r="190">
      <c r="B190" t="str">
        <f t="array" ref="B190">IFERROR(INDEX('Player Raw Data'!C:C,Match($A190,'Player Raw Data'!$B:$B,0)),"")</f>
        <v/>
      </c>
      <c r="C190" t="str">
        <f t="array" ref="C190">IFERROR(INDEX('Player Raw Data'!D:D,Match($A190,'Player Raw Data'!$B:$B,0)),"")</f>
        <v/>
      </c>
      <c r="D190" t="str">
        <f t="array" ref="D190">IFERROR(IF(A190=A189, INDEX('Player Raw Data'!E:E,Match($A190,'Player Raw Data'!$B:$B,0)+2),INDEX('Player Raw Data'!E:E,Match($A190,'Player Raw Data'!$B:$B,0))),"")</f>
        <v/>
      </c>
      <c r="E190" t="str">
        <f t="array" ref="E190">IFERROR(INDEX('Day Range Raw Data'!D:D,Match($A190,'Day Range Raw Data'!$B:$B,0)),"")</f>
        <v/>
      </c>
      <c r="F190" t="str">
        <f t="array" ref="F190">IFERROR(INDEX('Day Range Raw Data'!F:F,Match($A190,'Day Range Raw Data'!$B:$B,0)),"")</f>
        <v/>
      </c>
      <c r="G190" t="str">
        <f t="array" ref="G190">IFERROR(INDEX('Day Range Raw Data'!G:G,Match($A190,'Day Range Raw Data'!$B:$B,0)),"")</f>
        <v/>
      </c>
      <c r="H190" t="str">
        <f t="array" ref="H190">IFERROR(INDEX('Day Range Raw Data'!H:H,Match($A190,'Day Range Raw Data'!$B:$B,0)),"")</f>
        <v/>
      </c>
      <c r="I190" t="str">
        <f t="array" ref="I190">IFERROR(INDEX('Day Range Raw Data'!M:M,Match($A190,'Day Range Raw Data'!$B:$B,0)),"")</f>
        <v/>
      </c>
      <c r="J190" t="str">
        <f t="array" ref="J190">IFERROR(INDEX('Day Range Raw Data'!N:N,Match($A190,'Day Range Raw Data'!$B:$B,0)),"")</f>
        <v/>
      </c>
      <c r="K190" t="str">
        <f t="array" ref="K190">IFERROR(INDEX('Day Range Raw Data'!R:R,Match($A190,'Day Range Raw Data'!$B:$B,0)),"")</f>
        <v/>
      </c>
      <c r="L190" t="str">
        <f t="array" ref="L190">IFERROR(INDEX('Day Range Raw Data'!S:S,Match($A190,'Day Range Raw Data'!$B:$B,0)),"")</f>
        <v/>
      </c>
      <c r="M190" t="str">
        <f t="array" ref="M190">IFERROR(INDEX('Day Range Raw Data'!T:T,Match($A190,'Day Range Raw Data'!$B:$B,0)),"")</f>
        <v/>
      </c>
      <c r="N190" t="str">
        <f t="array" ref="N190">IFERROR(INDEX('Day Range Raw Data'!U:U,Match($A190,'Day Range Raw Data'!$B:$B,0)),"")</f>
        <v/>
      </c>
      <c r="O190" t="str">
        <f t="array" ref="O190">IFERROR(INDEX('Day Range Raw Data'!V:V,Match($A190,'Day Range Raw Data'!$B:$B,0)),"")</f>
        <v/>
      </c>
      <c r="P190" t="str">
        <f t="array" ref="P190">IFERROR(INDEX('Day Range Raw Data'!X:X,Match($A190,'Day Range Raw Data'!$B:$B,0)),"")</f>
        <v/>
      </c>
      <c r="Q190" t="str">
        <f t="shared" si="1"/>
        <v/>
      </c>
      <c r="R190" s="9" t="str">
        <f t="shared" si="2"/>
        <v/>
      </c>
      <c r="S190" s="14" t="str">
        <f t="shared" si="3"/>
        <v/>
      </c>
      <c r="T190" s="15" t="str">
        <f>IFERROR(__xludf.DUMMYFUNCTION("IF($A190="""","""",IFERROR(PERCENTRANK.INC(FILTER(Q:Q,$F:$F&lt;&gt;""""),Q190)*100,""""))"),"")</f>
        <v/>
      </c>
      <c r="U190" s="15" t="str">
        <f>IFERROR(__xludf.DUMMYFUNCTION("IF($A190="""","""",IFERROR(PERCENTRANK.INC(FILTER(R:R,$F:$F&lt;&gt;""""),R190)*100,""""))"),"")</f>
        <v/>
      </c>
      <c r="V190" s="15" t="str">
        <f>IFERROR(__xludf.DUMMYFUNCTION("IF($A190="""","""",IFERROR(PERCENTRANK.INC(FILTER(S:S,$F:$F&lt;&gt;""""),S190)*100,""""))"),"")</f>
        <v/>
      </c>
      <c r="W190" s="15" t="str">
        <f t="shared" si="4"/>
        <v/>
      </c>
    </row>
    <row r="191">
      <c r="B191" t="str">
        <f t="array" ref="B191">IFERROR(INDEX('Player Raw Data'!C:C,Match($A191,'Player Raw Data'!$B:$B,0)),"")</f>
        <v/>
      </c>
      <c r="C191" t="str">
        <f t="array" ref="C191">IFERROR(INDEX('Player Raw Data'!D:D,Match($A191,'Player Raw Data'!$B:$B,0)),"")</f>
        <v/>
      </c>
      <c r="D191" t="str">
        <f t="array" ref="D191">IFERROR(IF(A191=A190, INDEX('Player Raw Data'!E:E,Match($A191,'Player Raw Data'!$B:$B,0)+2),INDEX('Player Raw Data'!E:E,Match($A191,'Player Raw Data'!$B:$B,0))),"")</f>
        <v/>
      </c>
      <c r="E191" t="str">
        <f t="array" ref="E191">IFERROR(INDEX('Day Range Raw Data'!D:D,Match($A191,'Day Range Raw Data'!$B:$B,0)),"")</f>
        <v/>
      </c>
      <c r="F191" t="str">
        <f t="array" ref="F191">IFERROR(INDEX('Day Range Raw Data'!F:F,Match($A191,'Day Range Raw Data'!$B:$B,0)),"")</f>
        <v/>
      </c>
      <c r="G191" t="str">
        <f t="array" ref="G191">IFERROR(INDEX('Day Range Raw Data'!G:G,Match($A191,'Day Range Raw Data'!$B:$B,0)),"")</f>
        <v/>
      </c>
      <c r="H191" t="str">
        <f t="array" ref="H191">IFERROR(INDEX('Day Range Raw Data'!H:H,Match($A191,'Day Range Raw Data'!$B:$B,0)),"")</f>
        <v/>
      </c>
      <c r="I191" t="str">
        <f t="array" ref="I191">IFERROR(INDEX('Day Range Raw Data'!M:M,Match($A191,'Day Range Raw Data'!$B:$B,0)),"")</f>
        <v/>
      </c>
      <c r="J191" t="str">
        <f t="array" ref="J191">IFERROR(INDEX('Day Range Raw Data'!N:N,Match($A191,'Day Range Raw Data'!$B:$B,0)),"")</f>
        <v/>
      </c>
      <c r="K191" t="str">
        <f t="array" ref="K191">IFERROR(INDEX('Day Range Raw Data'!R:R,Match($A191,'Day Range Raw Data'!$B:$B,0)),"")</f>
        <v/>
      </c>
      <c r="L191" t="str">
        <f t="array" ref="L191">IFERROR(INDEX('Day Range Raw Data'!S:S,Match($A191,'Day Range Raw Data'!$B:$B,0)),"")</f>
        <v/>
      </c>
      <c r="M191" t="str">
        <f t="array" ref="M191">IFERROR(INDEX('Day Range Raw Data'!T:T,Match($A191,'Day Range Raw Data'!$B:$B,0)),"")</f>
        <v/>
      </c>
      <c r="N191" t="str">
        <f t="array" ref="N191">IFERROR(INDEX('Day Range Raw Data'!U:U,Match($A191,'Day Range Raw Data'!$B:$B,0)),"")</f>
        <v/>
      </c>
      <c r="O191" t="str">
        <f t="array" ref="O191">IFERROR(INDEX('Day Range Raw Data'!V:V,Match($A191,'Day Range Raw Data'!$B:$B,0)),"")</f>
        <v/>
      </c>
      <c r="P191" t="str">
        <f t="array" ref="P191">IFERROR(INDEX('Day Range Raw Data'!X:X,Match($A191,'Day Range Raw Data'!$B:$B,0)),"")</f>
        <v/>
      </c>
      <c r="Q191" t="str">
        <f t="shared" si="1"/>
        <v/>
      </c>
      <c r="R191" s="9" t="str">
        <f t="shared" si="2"/>
        <v/>
      </c>
      <c r="S191" s="14" t="str">
        <f t="shared" si="3"/>
        <v/>
      </c>
      <c r="T191" s="15" t="str">
        <f>IFERROR(__xludf.DUMMYFUNCTION("IF($A191="""","""",IFERROR(PERCENTRANK.INC(FILTER(Q:Q,$F:$F&lt;&gt;""""),Q191)*100,""""))"),"")</f>
        <v/>
      </c>
      <c r="U191" s="15" t="str">
        <f>IFERROR(__xludf.DUMMYFUNCTION("IF($A191="""","""",IFERROR(PERCENTRANK.INC(FILTER(R:R,$F:$F&lt;&gt;""""),R191)*100,""""))"),"")</f>
        <v/>
      </c>
      <c r="V191" s="15" t="str">
        <f>IFERROR(__xludf.DUMMYFUNCTION("IF($A191="""","""",IFERROR(PERCENTRANK.INC(FILTER(S:S,$F:$F&lt;&gt;""""),S191)*100,""""))"),"")</f>
        <v/>
      </c>
      <c r="W191" s="15" t="str">
        <f t="shared" si="4"/>
        <v/>
      </c>
    </row>
    <row r="192">
      <c r="B192" t="str">
        <f t="array" ref="B192">IFERROR(INDEX('Player Raw Data'!C:C,Match($A192,'Player Raw Data'!$B:$B,0)),"")</f>
        <v/>
      </c>
      <c r="C192" t="str">
        <f t="array" ref="C192">IFERROR(INDEX('Player Raw Data'!D:D,Match($A192,'Player Raw Data'!$B:$B,0)),"")</f>
        <v/>
      </c>
      <c r="D192" t="str">
        <f t="array" ref="D192">IFERROR(IF(A192=A191, INDEX('Player Raw Data'!E:E,Match($A192,'Player Raw Data'!$B:$B,0)+2),INDEX('Player Raw Data'!E:E,Match($A192,'Player Raw Data'!$B:$B,0))),"")</f>
        <v/>
      </c>
      <c r="E192" t="str">
        <f t="array" ref="E192">IFERROR(INDEX('Day Range Raw Data'!D:D,Match($A192,'Day Range Raw Data'!$B:$B,0)),"")</f>
        <v/>
      </c>
      <c r="F192" t="str">
        <f t="array" ref="F192">IFERROR(INDEX('Day Range Raw Data'!F:F,Match($A192,'Day Range Raw Data'!$B:$B,0)),"")</f>
        <v/>
      </c>
      <c r="G192" t="str">
        <f t="array" ref="G192">IFERROR(INDEX('Day Range Raw Data'!G:G,Match($A192,'Day Range Raw Data'!$B:$B,0)),"")</f>
        <v/>
      </c>
      <c r="H192" t="str">
        <f t="array" ref="H192">IFERROR(INDEX('Day Range Raw Data'!H:H,Match($A192,'Day Range Raw Data'!$B:$B,0)),"")</f>
        <v/>
      </c>
      <c r="I192" t="str">
        <f t="array" ref="I192">IFERROR(INDEX('Day Range Raw Data'!M:M,Match($A192,'Day Range Raw Data'!$B:$B,0)),"")</f>
        <v/>
      </c>
      <c r="J192" t="str">
        <f t="array" ref="J192">IFERROR(INDEX('Day Range Raw Data'!N:N,Match($A192,'Day Range Raw Data'!$B:$B,0)),"")</f>
        <v/>
      </c>
      <c r="K192" t="str">
        <f t="array" ref="K192">IFERROR(INDEX('Day Range Raw Data'!R:R,Match($A192,'Day Range Raw Data'!$B:$B,0)),"")</f>
        <v/>
      </c>
      <c r="L192" t="str">
        <f t="array" ref="L192">IFERROR(INDEX('Day Range Raw Data'!S:S,Match($A192,'Day Range Raw Data'!$B:$B,0)),"")</f>
        <v/>
      </c>
      <c r="M192" t="str">
        <f t="array" ref="M192">IFERROR(INDEX('Day Range Raw Data'!T:T,Match($A192,'Day Range Raw Data'!$B:$B,0)),"")</f>
        <v/>
      </c>
      <c r="N192" t="str">
        <f t="array" ref="N192">IFERROR(INDEX('Day Range Raw Data'!U:U,Match($A192,'Day Range Raw Data'!$B:$B,0)),"")</f>
        <v/>
      </c>
      <c r="O192" t="str">
        <f t="array" ref="O192">IFERROR(INDEX('Day Range Raw Data'!V:V,Match($A192,'Day Range Raw Data'!$B:$B,0)),"")</f>
        <v/>
      </c>
      <c r="P192" t="str">
        <f t="array" ref="P192">IFERROR(INDEX('Day Range Raw Data'!X:X,Match($A192,'Day Range Raw Data'!$B:$B,0)),"")</f>
        <v/>
      </c>
      <c r="Q192" t="str">
        <f t="shared" si="1"/>
        <v/>
      </c>
      <c r="R192" s="9" t="str">
        <f t="shared" si="2"/>
        <v/>
      </c>
      <c r="S192" s="14" t="str">
        <f t="shared" si="3"/>
        <v/>
      </c>
      <c r="T192" s="15" t="str">
        <f>IFERROR(__xludf.DUMMYFUNCTION("IF($A192="""","""",IFERROR(PERCENTRANK.INC(FILTER(Q:Q,$F:$F&lt;&gt;""""),Q192)*100,""""))"),"")</f>
        <v/>
      </c>
      <c r="U192" s="15" t="str">
        <f>IFERROR(__xludf.DUMMYFUNCTION("IF($A192="""","""",IFERROR(PERCENTRANK.INC(FILTER(R:R,$F:$F&lt;&gt;""""),R192)*100,""""))"),"")</f>
        <v/>
      </c>
      <c r="V192" s="15" t="str">
        <f>IFERROR(__xludf.DUMMYFUNCTION("IF($A192="""","""",IFERROR(PERCENTRANK.INC(FILTER(S:S,$F:$F&lt;&gt;""""),S192)*100,""""))"),"")</f>
        <v/>
      </c>
      <c r="W192" s="15" t="str">
        <f t="shared" si="4"/>
        <v/>
      </c>
    </row>
    <row r="193">
      <c r="B193" t="str">
        <f t="array" ref="B193">IFERROR(INDEX('Player Raw Data'!C:C,Match($A193,'Player Raw Data'!$B:$B,0)),"")</f>
        <v/>
      </c>
      <c r="C193" t="str">
        <f t="array" ref="C193">IFERROR(INDEX('Player Raw Data'!D:D,Match($A193,'Player Raw Data'!$B:$B,0)),"")</f>
        <v/>
      </c>
      <c r="D193" t="str">
        <f t="array" ref="D193">IFERROR(IF(A193=A192, INDEX('Player Raw Data'!E:E,Match($A193,'Player Raw Data'!$B:$B,0)+2),INDEX('Player Raw Data'!E:E,Match($A193,'Player Raw Data'!$B:$B,0))),"")</f>
        <v/>
      </c>
      <c r="E193" t="str">
        <f t="array" ref="E193">IFERROR(INDEX('Day Range Raw Data'!D:D,Match($A193,'Day Range Raw Data'!$B:$B,0)),"")</f>
        <v/>
      </c>
      <c r="F193" t="str">
        <f t="array" ref="F193">IFERROR(INDEX('Day Range Raw Data'!F:F,Match($A193,'Day Range Raw Data'!$B:$B,0)),"")</f>
        <v/>
      </c>
      <c r="G193" t="str">
        <f t="array" ref="G193">IFERROR(INDEX('Day Range Raw Data'!G:G,Match($A193,'Day Range Raw Data'!$B:$B,0)),"")</f>
        <v/>
      </c>
      <c r="H193" t="str">
        <f t="array" ref="H193">IFERROR(INDEX('Day Range Raw Data'!H:H,Match($A193,'Day Range Raw Data'!$B:$B,0)),"")</f>
        <v/>
      </c>
      <c r="I193" t="str">
        <f t="array" ref="I193">IFERROR(INDEX('Day Range Raw Data'!M:M,Match($A193,'Day Range Raw Data'!$B:$B,0)),"")</f>
        <v/>
      </c>
      <c r="J193" t="str">
        <f t="array" ref="J193">IFERROR(INDEX('Day Range Raw Data'!N:N,Match($A193,'Day Range Raw Data'!$B:$B,0)),"")</f>
        <v/>
      </c>
      <c r="K193" t="str">
        <f t="array" ref="K193">IFERROR(INDEX('Day Range Raw Data'!R:R,Match($A193,'Day Range Raw Data'!$B:$B,0)),"")</f>
        <v/>
      </c>
      <c r="L193" t="str">
        <f t="array" ref="L193">IFERROR(INDEX('Day Range Raw Data'!S:S,Match($A193,'Day Range Raw Data'!$B:$B,0)),"")</f>
        <v/>
      </c>
      <c r="M193" t="str">
        <f t="array" ref="M193">IFERROR(INDEX('Day Range Raw Data'!T:T,Match($A193,'Day Range Raw Data'!$B:$B,0)),"")</f>
        <v/>
      </c>
      <c r="N193" t="str">
        <f t="array" ref="N193">IFERROR(INDEX('Day Range Raw Data'!U:U,Match($A193,'Day Range Raw Data'!$B:$B,0)),"")</f>
        <v/>
      </c>
      <c r="O193" t="str">
        <f t="array" ref="O193">IFERROR(INDEX('Day Range Raw Data'!V:V,Match($A193,'Day Range Raw Data'!$B:$B,0)),"")</f>
        <v/>
      </c>
      <c r="P193" t="str">
        <f t="array" ref="P193">IFERROR(INDEX('Day Range Raw Data'!X:X,Match($A193,'Day Range Raw Data'!$B:$B,0)),"")</f>
        <v/>
      </c>
      <c r="Q193" t="str">
        <f t="shared" si="1"/>
        <v/>
      </c>
      <c r="R193" s="9" t="str">
        <f t="shared" si="2"/>
        <v/>
      </c>
      <c r="S193" s="14" t="str">
        <f t="shared" si="3"/>
        <v/>
      </c>
      <c r="T193" s="15" t="str">
        <f>IFERROR(__xludf.DUMMYFUNCTION("IF($A193="""","""",IFERROR(PERCENTRANK.INC(FILTER(Q:Q,$F:$F&lt;&gt;""""),Q193)*100,""""))"),"")</f>
        <v/>
      </c>
      <c r="U193" s="15" t="str">
        <f>IFERROR(__xludf.DUMMYFUNCTION("IF($A193="""","""",IFERROR(PERCENTRANK.INC(FILTER(R:R,$F:$F&lt;&gt;""""),R193)*100,""""))"),"")</f>
        <v/>
      </c>
      <c r="V193" s="15" t="str">
        <f>IFERROR(__xludf.DUMMYFUNCTION("IF($A193="""","""",IFERROR(PERCENTRANK.INC(FILTER(S:S,$F:$F&lt;&gt;""""),S193)*100,""""))"),"")</f>
        <v/>
      </c>
      <c r="W193" s="15" t="str">
        <f t="shared" si="4"/>
        <v/>
      </c>
    </row>
    <row r="194">
      <c r="B194" t="str">
        <f t="array" ref="B194">IFERROR(INDEX('Player Raw Data'!C:C,Match($A194,'Player Raw Data'!$B:$B,0)),"")</f>
        <v/>
      </c>
      <c r="C194" t="str">
        <f t="array" ref="C194">IFERROR(INDEX('Player Raw Data'!D:D,Match($A194,'Player Raw Data'!$B:$B,0)),"")</f>
        <v/>
      </c>
      <c r="D194" t="str">
        <f t="array" ref="D194">IFERROR(IF(A194=A193, INDEX('Player Raw Data'!E:E,Match($A194,'Player Raw Data'!$B:$B,0)+2),INDEX('Player Raw Data'!E:E,Match($A194,'Player Raw Data'!$B:$B,0))),"")</f>
        <v/>
      </c>
      <c r="E194" t="str">
        <f t="array" ref="E194">IFERROR(INDEX('Day Range Raw Data'!D:D,Match($A194,'Day Range Raw Data'!$B:$B,0)),"")</f>
        <v/>
      </c>
      <c r="F194" t="str">
        <f t="array" ref="F194">IFERROR(INDEX('Day Range Raw Data'!F:F,Match($A194,'Day Range Raw Data'!$B:$B,0)),"")</f>
        <v/>
      </c>
      <c r="G194" t="str">
        <f t="array" ref="G194">IFERROR(INDEX('Day Range Raw Data'!G:G,Match($A194,'Day Range Raw Data'!$B:$B,0)),"")</f>
        <v/>
      </c>
      <c r="H194" t="str">
        <f t="array" ref="H194">IFERROR(INDEX('Day Range Raw Data'!H:H,Match($A194,'Day Range Raw Data'!$B:$B,0)),"")</f>
        <v/>
      </c>
      <c r="I194" t="str">
        <f t="array" ref="I194">IFERROR(INDEX('Day Range Raw Data'!M:M,Match($A194,'Day Range Raw Data'!$B:$B,0)),"")</f>
        <v/>
      </c>
      <c r="J194" t="str">
        <f t="array" ref="J194">IFERROR(INDEX('Day Range Raw Data'!N:N,Match($A194,'Day Range Raw Data'!$B:$B,0)),"")</f>
        <v/>
      </c>
      <c r="K194" t="str">
        <f t="array" ref="K194">IFERROR(INDEX('Day Range Raw Data'!R:R,Match($A194,'Day Range Raw Data'!$B:$B,0)),"")</f>
        <v/>
      </c>
      <c r="L194" t="str">
        <f t="array" ref="L194">IFERROR(INDEX('Day Range Raw Data'!S:S,Match($A194,'Day Range Raw Data'!$B:$B,0)),"")</f>
        <v/>
      </c>
      <c r="M194" t="str">
        <f t="array" ref="M194">IFERROR(INDEX('Day Range Raw Data'!T:T,Match($A194,'Day Range Raw Data'!$B:$B,0)),"")</f>
        <v/>
      </c>
      <c r="N194" t="str">
        <f t="array" ref="N194">IFERROR(INDEX('Day Range Raw Data'!U:U,Match($A194,'Day Range Raw Data'!$B:$B,0)),"")</f>
        <v/>
      </c>
      <c r="O194" t="str">
        <f t="array" ref="O194">IFERROR(INDEX('Day Range Raw Data'!V:V,Match($A194,'Day Range Raw Data'!$B:$B,0)),"")</f>
        <v/>
      </c>
      <c r="P194" t="str">
        <f t="array" ref="P194">IFERROR(INDEX('Day Range Raw Data'!X:X,Match($A194,'Day Range Raw Data'!$B:$B,0)),"")</f>
        <v/>
      </c>
      <c r="Q194" t="str">
        <f t="shared" si="1"/>
        <v/>
      </c>
      <c r="R194" s="9" t="str">
        <f t="shared" si="2"/>
        <v/>
      </c>
      <c r="S194" s="14" t="str">
        <f t="shared" si="3"/>
        <v/>
      </c>
      <c r="T194" s="15" t="str">
        <f>IFERROR(__xludf.DUMMYFUNCTION("IF($A194="""","""",IFERROR(PERCENTRANK.INC(FILTER(Q:Q,$F:$F&lt;&gt;""""),Q194)*100,""""))"),"")</f>
        <v/>
      </c>
      <c r="U194" s="15" t="str">
        <f>IFERROR(__xludf.DUMMYFUNCTION("IF($A194="""","""",IFERROR(PERCENTRANK.INC(FILTER(R:R,$F:$F&lt;&gt;""""),R194)*100,""""))"),"")</f>
        <v/>
      </c>
      <c r="V194" s="15" t="str">
        <f>IFERROR(__xludf.DUMMYFUNCTION("IF($A194="""","""",IFERROR(PERCENTRANK.INC(FILTER(S:S,$F:$F&lt;&gt;""""),S194)*100,""""))"),"")</f>
        <v/>
      </c>
      <c r="W194" s="15" t="str">
        <f t="shared" si="4"/>
        <v/>
      </c>
    </row>
    <row r="195">
      <c r="B195" t="str">
        <f t="array" ref="B195">IFERROR(INDEX('Player Raw Data'!C:C,Match($A195,'Player Raw Data'!$B:$B,0)),"")</f>
        <v/>
      </c>
      <c r="C195" t="str">
        <f t="array" ref="C195">IFERROR(INDEX('Player Raw Data'!D:D,Match($A195,'Player Raw Data'!$B:$B,0)),"")</f>
        <v/>
      </c>
      <c r="D195" t="str">
        <f t="array" ref="D195">IFERROR(IF(A195=A194, INDEX('Player Raw Data'!E:E,Match($A195,'Player Raw Data'!$B:$B,0)+2),INDEX('Player Raw Data'!E:E,Match($A195,'Player Raw Data'!$B:$B,0))),"")</f>
        <v/>
      </c>
      <c r="E195" t="str">
        <f t="array" ref="E195">IFERROR(INDEX('Day Range Raw Data'!D:D,Match($A195,'Day Range Raw Data'!$B:$B,0)),"")</f>
        <v/>
      </c>
      <c r="F195" t="str">
        <f t="array" ref="F195">IFERROR(INDEX('Day Range Raw Data'!F:F,Match($A195,'Day Range Raw Data'!$B:$B,0)),"")</f>
        <v/>
      </c>
      <c r="G195" t="str">
        <f t="array" ref="G195">IFERROR(INDEX('Day Range Raw Data'!G:G,Match($A195,'Day Range Raw Data'!$B:$B,0)),"")</f>
        <v/>
      </c>
      <c r="H195" t="str">
        <f t="array" ref="H195">IFERROR(INDEX('Day Range Raw Data'!H:H,Match($A195,'Day Range Raw Data'!$B:$B,0)),"")</f>
        <v/>
      </c>
      <c r="I195" t="str">
        <f t="array" ref="I195">IFERROR(INDEX('Day Range Raw Data'!M:M,Match($A195,'Day Range Raw Data'!$B:$B,0)),"")</f>
        <v/>
      </c>
      <c r="J195" t="str">
        <f t="array" ref="J195">IFERROR(INDEX('Day Range Raw Data'!N:N,Match($A195,'Day Range Raw Data'!$B:$B,0)),"")</f>
        <v/>
      </c>
      <c r="K195" t="str">
        <f t="array" ref="K195">IFERROR(INDEX('Day Range Raw Data'!R:R,Match($A195,'Day Range Raw Data'!$B:$B,0)),"")</f>
        <v/>
      </c>
      <c r="L195" t="str">
        <f t="array" ref="L195">IFERROR(INDEX('Day Range Raw Data'!S:S,Match($A195,'Day Range Raw Data'!$B:$B,0)),"")</f>
        <v/>
      </c>
      <c r="M195" t="str">
        <f t="array" ref="M195">IFERROR(INDEX('Day Range Raw Data'!T:T,Match($A195,'Day Range Raw Data'!$B:$B,0)),"")</f>
        <v/>
      </c>
      <c r="N195" t="str">
        <f t="array" ref="N195">IFERROR(INDEX('Day Range Raw Data'!U:U,Match($A195,'Day Range Raw Data'!$B:$B,0)),"")</f>
        <v/>
      </c>
      <c r="O195" t="str">
        <f t="array" ref="O195">IFERROR(INDEX('Day Range Raw Data'!V:V,Match($A195,'Day Range Raw Data'!$B:$B,0)),"")</f>
        <v/>
      </c>
      <c r="P195" t="str">
        <f t="array" ref="P195">IFERROR(INDEX('Day Range Raw Data'!X:X,Match($A195,'Day Range Raw Data'!$B:$B,0)),"")</f>
        <v/>
      </c>
      <c r="Q195" t="str">
        <f t="shared" si="1"/>
        <v/>
      </c>
      <c r="R195" s="9" t="str">
        <f t="shared" si="2"/>
        <v/>
      </c>
      <c r="S195" s="14" t="str">
        <f t="shared" si="3"/>
        <v/>
      </c>
      <c r="T195" s="15" t="str">
        <f>IFERROR(__xludf.DUMMYFUNCTION("IF($A195="""","""",IFERROR(PERCENTRANK.INC(FILTER(Q:Q,$F:$F&lt;&gt;""""),Q195)*100,""""))"),"")</f>
        <v/>
      </c>
      <c r="U195" s="15" t="str">
        <f>IFERROR(__xludf.DUMMYFUNCTION("IF($A195="""","""",IFERROR(PERCENTRANK.INC(FILTER(R:R,$F:$F&lt;&gt;""""),R195)*100,""""))"),"")</f>
        <v/>
      </c>
      <c r="V195" s="15" t="str">
        <f>IFERROR(__xludf.DUMMYFUNCTION("IF($A195="""","""",IFERROR(PERCENTRANK.INC(FILTER(S:S,$F:$F&lt;&gt;""""),S195)*100,""""))"),"")</f>
        <v/>
      </c>
      <c r="W195" s="15" t="str">
        <f t="shared" si="4"/>
        <v/>
      </c>
    </row>
    <row r="196">
      <c r="B196" t="str">
        <f t="array" ref="B196">IFERROR(INDEX('Player Raw Data'!C:C,Match($A196,'Player Raw Data'!$B:$B,0)),"")</f>
        <v/>
      </c>
      <c r="C196" t="str">
        <f t="array" ref="C196">IFERROR(INDEX('Player Raw Data'!D:D,Match($A196,'Player Raw Data'!$B:$B,0)),"")</f>
        <v/>
      </c>
      <c r="D196" t="str">
        <f t="array" ref="D196">IFERROR(IF(A196=A195, INDEX('Player Raw Data'!E:E,Match($A196,'Player Raw Data'!$B:$B,0)+2),INDEX('Player Raw Data'!E:E,Match($A196,'Player Raw Data'!$B:$B,0))),"")</f>
        <v/>
      </c>
      <c r="E196" t="str">
        <f t="array" ref="E196">IFERROR(INDEX('Day Range Raw Data'!D:D,Match($A196,'Day Range Raw Data'!$B:$B,0)),"")</f>
        <v/>
      </c>
      <c r="F196" t="str">
        <f t="array" ref="F196">IFERROR(INDEX('Day Range Raw Data'!F:F,Match($A196,'Day Range Raw Data'!$B:$B,0)),"")</f>
        <v/>
      </c>
      <c r="G196" t="str">
        <f t="array" ref="G196">IFERROR(INDEX('Day Range Raw Data'!G:G,Match($A196,'Day Range Raw Data'!$B:$B,0)),"")</f>
        <v/>
      </c>
      <c r="H196" t="str">
        <f t="array" ref="H196">IFERROR(INDEX('Day Range Raw Data'!H:H,Match($A196,'Day Range Raw Data'!$B:$B,0)),"")</f>
        <v/>
      </c>
      <c r="I196" t="str">
        <f t="array" ref="I196">IFERROR(INDEX('Day Range Raw Data'!M:M,Match($A196,'Day Range Raw Data'!$B:$B,0)),"")</f>
        <v/>
      </c>
      <c r="J196" t="str">
        <f t="array" ref="J196">IFERROR(INDEX('Day Range Raw Data'!N:N,Match($A196,'Day Range Raw Data'!$B:$B,0)),"")</f>
        <v/>
      </c>
      <c r="K196" t="str">
        <f t="array" ref="K196">IFERROR(INDEX('Day Range Raw Data'!R:R,Match($A196,'Day Range Raw Data'!$B:$B,0)),"")</f>
        <v/>
      </c>
      <c r="L196" t="str">
        <f t="array" ref="L196">IFERROR(INDEX('Day Range Raw Data'!S:S,Match($A196,'Day Range Raw Data'!$B:$B,0)),"")</f>
        <v/>
      </c>
      <c r="M196" t="str">
        <f t="array" ref="M196">IFERROR(INDEX('Day Range Raw Data'!T:T,Match($A196,'Day Range Raw Data'!$B:$B,0)),"")</f>
        <v/>
      </c>
      <c r="N196" t="str">
        <f t="array" ref="N196">IFERROR(INDEX('Day Range Raw Data'!U:U,Match($A196,'Day Range Raw Data'!$B:$B,0)),"")</f>
        <v/>
      </c>
      <c r="O196" t="str">
        <f t="array" ref="O196">IFERROR(INDEX('Day Range Raw Data'!V:V,Match($A196,'Day Range Raw Data'!$B:$B,0)),"")</f>
        <v/>
      </c>
      <c r="P196" t="str">
        <f t="array" ref="P196">IFERROR(INDEX('Day Range Raw Data'!X:X,Match($A196,'Day Range Raw Data'!$B:$B,0)),"")</f>
        <v/>
      </c>
      <c r="Q196" t="str">
        <f t="shared" si="1"/>
        <v/>
      </c>
      <c r="R196" s="9" t="str">
        <f t="shared" si="2"/>
        <v/>
      </c>
      <c r="S196" s="14" t="str">
        <f t="shared" si="3"/>
        <v/>
      </c>
      <c r="T196" s="15" t="str">
        <f>IFERROR(__xludf.DUMMYFUNCTION("IF($A196="""","""",IFERROR(PERCENTRANK.INC(FILTER(Q:Q,$F:$F&lt;&gt;""""),Q196)*100,""""))"),"")</f>
        <v/>
      </c>
      <c r="U196" s="15" t="str">
        <f>IFERROR(__xludf.DUMMYFUNCTION("IF($A196="""","""",IFERROR(PERCENTRANK.INC(FILTER(R:R,$F:$F&lt;&gt;""""),R196)*100,""""))"),"")</f>
        <v/>
      </c>
      <c r="V196" s="15" t="str">
        <f>IFERROR(__xludf.DUMMYFUNCTION("IF($A196="""","""",IFERROR(PERCENTRANK.INC(FILTER(S:S,$F:$F&lt;&gt;""""),S196)*100,""""))"),"")</f>
        <v/>
      </c>
      <c r="W196" s="15" t="str">
        <f t="shared" si="4"/>
        <v/>
      </c>
    </row>
    <row r="197">
      <c r="B197" t="str">
        <f t="array" ref="B197">IFERROR(INDEX('Player Raw Data'!C:C,Match($A197,'Player Raw Data'!$B:$B,0)),"")</f>
        <v/>
      </c>
      <c r="C197" t="str">
        <f t="array" ref="C197">IFERROR(INDEX('Player Raw Data'!D:D,Match($A197,'Player Raw Data'!$B:$B,0)),"")</f>
        <v/>
      </c>
      <c r="D197" t="str">
        <f t="array" ref="D197">IFERROR(IF(A197=A196, INDEX('Player Raw Data'!E:E,Match($A197,'Player Raw Data'!$B:$B,0)+2),INDEX('Player Raw Data'!E:E,Match($A197,'Player Raw Data'!$B:$B,0))),"")</f>
        <v/>
      </c>
      <c r="E197" t="str">
        <f t="array" ref="E197">IFERROR(INDEX('Day Range Raw Data'!D:D,Match($A197,'Day Range Raw Data'!$B:$B,0)),"")</f>
        <v/>
      </c>
      <c r="F197" t="str">
        <f t="array" ref="F197">IFERROR(INDEX('Day Range Raw Data'!F:F,Match($A197,'Day Range Raw Data'!$B:$B,0)),"")</f>
        <v/>
      </c>
      <c r="G197" t="str">
        <f t="array" ref="G197">IFERROR(INDEX('Day Range Raw Data'!G:G,Match($A197,'Day Range Raw Data'!$B:$B,0)),"")</f>
        <v/>
      </c>
      <c r="H197" t="str">
        <f t="array" ref="H197">IFERROR(INDEX('Day Range Raw Data'!H:H,Match($A197,'Day Range Raw Data'!$B:$B,0)),"")</f>
        <v/>
      </c>
      <c r="I197" t="str">
        <f t="array" ref="I197">IFERROR(INDEX('Day Range Raw Data'!M:M,Match($A197,'Day Range Raw Data'!$B:$B,0)),"")</f>
        <v/>
      </c>
      <c r="J197" t="str">
        <f t="array" ref="J197">IFERROR(INDEX('Day Range Raw Data'!N:N,Match($A197,'Day Range Raw Data'!$B:$B,0)),"")</f>
        <v/>
      </c>
      <c r="K197" t="str">
        <f t="array" ref="K197">IFERROR(INDEX('Day Range Raw Data'!R:R,Match($A197,'Day Range Raw Data'!$B:$B,0)),"")</f>
        <v/>
      </c>
      <c r="L197" t="str">
        <f t="array" ref="L197">IFERROR(INDEX('Day Range Raw Data'!S:S,Match($A197,'Day Range Raw Data'!$B:$B,0)),"")</f>
        <v/>
      </c>
      <c r="M197" t="str">
        <f t="array" ref="M197">IFERROR(INDEX('Day Range Raw Data'!T:T,Match($A197,'Day Range Raw Data'!$B:$B,0)),"")</f>
        <v/>
      </c>
      <c r="N197" t="str">
        <f t="array" ref="N197">IFERROR(INDEX('Day Range Raw Data'!U:U,Match($A197,'Day Range Raw Data'!$B:$B,0)),"")</f>
        <v/>
      </c>
      <c r="O197" t="str">
        <f t="array" ref="O197">IFERROR(INDEX('Day Range Raw Data'!V:V,Match($A197,'Day Range Raw Data'!$B:$B,0)),"")</f>
        <v/>
      </c>
      <c r="P197" t="str">
        <f t="array" ref="P197">IFERROR(INDEX('Day Range Raw Data'!X:X,Match($A197,'Day Range Raw Data'!$B:$B,0)),"")</f>
        <v/>
      </c>
      <c r="Q197" t="str">
        <f t="shared" si="1"/>
        <v/>
      </c>
      <c r="R197" s="9" t="str">
        <f t="shared" si="2"/>
        <v/>
      </c>
      <c r="S197" s="14" t="str">
        <f t="shared" si="3"/>
        <v/>
      </c>
      <c r="T197" s="15" t="str">
        <f>IFERROR(__xludf.DUMMYFUNCTION("IF($A197="""","""",IFERROR(PERCENTRANK.INC(FILTER(Q:Q,$F:$F&lt;&gt;""""),Q197)*100,""""))"),"")</f>
        <v/>
      </c>
      <c r="U197" s="15" t="str">
        <f>IFERROR(__xludf.DUMMYFUNCTION("IF($A197="""","""",IFERROR(PERCENTRANK.INC(FILTER(R:R,$F:$F&lt;&gt;""""),R197)*100,""""))"),"")</f>
        <v/>
      </c>
      <c r="V197" s="15" t="str">
        <f>IFERROR(__xludf.DUMMYFUNCTION("IF($A197="""","""",IFERROR(PERCENTRANK.INC(FILTER(S:S,$F:$F&lt;&gt;""""),S197)*100,""""))"),"")</f>
        <v/>
      </c>
      <c r="W197" s="15" t="str">
        <f t="shared" si="4"/>
        <v/>
      </c>
    </row>
    <row r="198">
      <c r="B198" t="str">
        <f t="array" ref="B198">IFERROR(INDEX('Player Raw Data'!C:C,Match($A198,'Player Raw Data'!$B:$B,0)),"")</f>
        <v/>
      </c>
      <c r="C198" t="str">
        <f t="array" ref="C198">IFERROR(INDEX('Player Raw Data'!D:D,Match($A198,'Player Raw Data'!$B:$B,0)),"")</f>
        <v/>
      </c>
      <c r="D198" t="str">
        <f t="array" ref="D198">IFERROR(IF(A198=A197, INDEX('Player Raw Data'!E:E,Match($A198,'Player Raw Data'!$B:$B,0)+2),INDEX('Player Raw Data'!E:E,Match($A198,'Player Raw Data'!$B:$B,0))),"")</f>
        <v/>
      </c>
      <c r="E198" t="str">
        <f t="array" ref="E198">IFERROR(INDEX('Day Range Raw Data'!D:D,Match($A198,'Day Range Raw Data'!$B:$B,0)),"")</f>
        <v/>
      </c>
      <c r="F198" t="str">
        <f t="array" ref="F198">IFERROR(INDEX('Day Range Raw Data'!F:F,Match($A198,'Day Range Raw Data'!$B:$B,0)),"")</f>
        <v/>
      </c>
      <c r="G198" t="str">
        <f t="array" ref="G198">IFERROR(INDEX('Day Range Raw Data'!G:G,Match($A198,'Day Range Raw Data'!$B:$B,0)),"")</f>
        <v/>
      </c>
      <c r="H198" t="str">
        <f t="array" ref="H198">IFERROR(INDEX('Day Range Raw Data'!H:H,Match($A198,'Day Range Raw Data'!$B:$B,0)),"")</f>
        <v/>
      </c>
      <c r="I198" t="str">
        <f t="array" ref="I198">IFERROR(INDEX('Day Range Raw Data'!M:M,Match($A198,'Day Range Raw Data'!$B:$B,0)),"")</f>
        <v/>
      </c>
      <c r="J198" t="str">
        <f t="array" ref="J198">IFERROR(INDEX('Day Range Raw Data'!N:N,Match($A198,'Day Range Raw Data'!$B:$B,0)),"")</f>
        <v/>
      </c>
      <c r="K198" t="str">
        <f t="array" ref="K198">IFERROR(INDEX('Day Range Raw Data'!R:R,Match($A198,'Day Range Raw Data'!$B:$B,0)),"")</f>
        <v/>
      </c>
      <c r="L198" t="str">
        <f t="array" ref="L198">IFERROR(INDEX('Day Range Raw Data'!S:S,Match($A198,'Day Range Raw Data'!$B:$B,0)),"")</f>
        <v/>
      </c>
      <c r="M198" t="str">
        <f t="array" ref="M198">IFERROR(INDEX('Day Range Raw Data'!T:T,Match($A198,'Day Range Raw Data'!$B:$B,0)),"")</f>
        <v/>
      </c>
      <c r="N198" t="str">
        <f t="array" ref="N198">IFERROR(INDEX('Day Range Raw Data'!U:U,Match($A198,'Day Range Raw Data'!$B:$B,0)),"")</f>
        <v/>
      </c>
      <c r="O198" t="str">
        <f t="array" ref="O198">IFERROR(INDEX('Day Range Raw Data'!V:V,Match($A198,'Day Range Raw Data'!$B:$B,0)),"")</f>
        <v/>
      </c>
      <c r="P198" t="str">
        <f t="array" ref="P198">IFERROR(INDEX('Day Range Raw Data'!X:X,Match($A198,'Day Range Raw Data'!$B:$B,0)),"")</f>
        <v/>
      </c>
      <c r="Q198" t="str">
        <f t="shared" si="1"/>
        <v/>
      </c>
      <c r="R198" s="9" t="str">
        <f t="shared" si="2"/>
        <v/>
      </c>
      <c r="S198" s="14" t="str">
        <f t="shared" si="3"/>
        <v/>
      </c>
      <c r="T198" s="15" t="str">
        <f>IFERROR(__xludf.DUMMYFUNCTION("IF($A198="""","""",IFERROR(PERCENTRANK.INC(FILTER(Q:Q,$F:$F&lt;&gt;""""),Q198)*100,""""))"),"")</f>
        <v/>
      </c>
      <c r="U198" s="15" t="str">
        <f>IFERROR(__xludf.DUMMYFUNCTION("IF($A198="""","""",IFERROR(PERCENTRANK.INC(FILTER(R:R,$F:$F&lt;&gt;""""),R198)*100,""""))"),"")</f>
        <v/>
      </c>
      <c r="V198" s="15" t="str">
        <f>IFERROR(__xludf.DUMMYFUNCTION("IF($A198="""","""",IFERROR(PERCENTRANK.INC(FILTER(S:S,$F:$F&lt;&gt;""""),S198)*100,""""))"),"")</f>
        <v/>
      </c>
      <c r="W198" s="15" t="str">
        <f t="shared" si="4"/>
        <v/>
      </c>
    </row>
    <row r="199">
      <c r="B199" t="str">
        <f t="array" ref="B199">IFERROR(INDEX('Player Raw Data'!C:C,Match($A199,'Player Raw Data'!$B:$B,0)),"")</f>
        <v/>
      </c>
      <c r="C199" t="str">
        <f t="array" ref="C199">IFERROR(INDEX('Player Raw Data'!D:D,Match($A199,'Player Raw Data'!$B:$B,0)),"")</f>
        <v/>
      </c>
      <c r="D199" t="str">
        <f t="array" ref="D199">IFERROR(IF(A199=A198, INDEX('Player Raw Data'!E:E,Match($A199,'Player Raw Data'!$B:$B,0)+2),INDEX('Player Raw Data'!E:E,Match($A199,'Player Raw Data'!$B:$B,0))),"")</f>
        <v/>
      </c>
      <c r="E199" t="str">
        <f t="array" ref="E199">IFERROR(INDEX('Day Range Raw Data'!D:D,Match($A199,'Day Range Raw Data'!$B:$B,0)),"")</f>
        <v/>
      </c>
      <c r="F199" t="str">
        <f t="array" ref="F199">IFERROR(INDEX('Day Range Raw Data'!F:F,Match($A199,'Day Range Raw Data'!$B:$B,0)),"")</f>
        <v/>
      </c>
      <c r="G199" t="str">
        <f t="array" ref="G199">IFERROR(INDEX('Day Range Raw Data'!G:G,Match($A199,'Day Range Raw Data'!$B:$B,0)),"")</f>
        <v/>
      </c>
      <c r="H199" t="str">
        <f t="array" ref="H199">IFERROR(INDEX('Day Range Raw Data'!H:H,Match($A199,'Day Range Raw Data'!$B:$B,0)),"")</f>
        <v/>
      </c>
      <c r="I199" t="str">
        <f t="array" ref="I199">IFERROR(INDEX('Day Range Raw Data'!M:M,Match($A199,'Day Range Raw Data'!$B:$B,0)),"")</f>
        <v/>
      </c>
      <c r="J199" t="str">
        <f t="array" ref="J199">IFERROR(INDEX('Day Range Raw Data'!N:N,Match($A199,'Day Range Raw Data'!$B:$B,0)),"")</f>
        <v/>
      </c>
      <c r="K199" t="str">
        <f t="array" ref="K199">IFERROR(INDEX('Day Range Raw Data'!R:R,Match($A199,'Day Range Raw Data'!$B:$B,0)),"")</f>
        <v/>
      </c>
      <c r="L199" t="str">
        <f t="array" ref="L199">IFERROR(INDEX('Day Range Raw Data'!S:S,Match($A199,'Day Range Raw Data'!$B:$B,0)),"")</f>
        <v/>
      </c>
      <c r="M199" t="str">
        <f t="array" ref="M199">IFERROR(INDEX('Day Range Raw Data'!T:T,Match($A199,'Day Range Raw Data'!$B:$B,0)),"")</f>
        <v/>
      </c>
      <c r="N199" t="str">
        <f t="array" ref="N199">IFERROR(INDEX('Day Range Raw Data'!U:U,Match($A199,'Day Range Raw Data'!$B:$B,0)),"")</f>
        <v/>
      </c>
      <c r="O199" t="str">
        <f t="array" ref="O199">IFERROR(INDEX('Day Range Raw Data'!V:V,Match($A199,'Day Range Raw Data'!$B:$B,0)),"")</f>
        <v/>
      </c>
      <c r="P199" t="str">
        <f t="array" ref="P199">IFERROR(INDEX('Day Range Raw Data'!X:X,Match($A199,'Day Range Raw Data'!$B:$B,0)),"")</f>
        <v/>
      </c>
      <c r="Q199" t="str">
        <f t="shared" si="1"/>
        <v/>
      </c>
      <c r="R199" s="9" t="str">
        <f t="shared" si="2"/>
        <v/>
      </c>
      <c r="S199" s="14" t="str">
        <f t="shared" si="3"/>
        <v/>
      </c>
      <c r="T199" s="15" t="str">
        <f>IFERROR(__xludf.DUMMYFUNCTION("IF($A199="""","""",IFERROR(PERCENTRANK.INC(FILTER(Q:Q,$F:$F&lt;&gt;""""),Q199)*100,""""))"),"")</f>
        <v/>
      </c>
      <c r="U199" s="15" t="str">
        <f>IFERROR(__xludf.DUMMYFUNCTION("IF($A199="""","""",IFERROR(PERCENTRANK.INC(FILTER(R:R,$F:$F&lt;&gt;""""),R199)*100,""""))"),"")</f>
        <v/>
      </c>
      <c r="V199" s="15" t="str">
        <f>IFERROR(__xludf.DUMMYFUNCTION("IF($A199="""","""",IFERROR(PERCENTRANK.INC(FILTER(S:S,$F:$F&lt;&gt;""""),S199)*100,""""))"),"")</f>
        <v/>
      </c>
      <c r="W199" s="15" t="str">
        <f t="shared" si="4"/>
        <v/>
      </c>
    </row>
    <row r="200">
      <c r="B200" t="str">
        <f t="array" ref="B200">IFERROR(INDEX('Player Raw Data'!C:C,Match($A200,'Player Raw Data'!$B:$B,0)),"")</f>
        <v/>
      </c>
      <c r="C200" t="str">
        <f t="array" ref="C200">IFERROR(INDEX('Player Raw Data'!D:D,Match($A200,'Player Raw Data'!$B:$B,0)),"")</f>
        <v/>
      </c>
      <c r="D200" t="str">
        <f t="array" ref="D200">IFERROR(IF(A200=A199, INDEX('Player Raw Data'!E:E,Match($A200,'Player Raw Data'!$B:$B,0)+2),INDEX('Player Raw Data'!E:E,Match($A200,'Player Raw Data'!$B:$B,0))),"")</f>
        <v/>
      </c>
      <c r="E200" t="str">
        <f t="array" ref="E200">IFERROR(INDEX('Day Range Raw Data'!D:D,Match($A200,'Day Range Raw Data'!$B:$B,0)),"")</f>
        <v/>
      </c>
      <c r="F200" t="str">
        <f t="array" ref="F200">IFERROR(INDEX('Day Range Raw Data'!F:F,Match($A200,'Day Range Raw Data'!$B:$B,0)),"")</f>
        <v/>
      </c>
      <c r="G200" t="str">
        <f t="array" ref="G200">IFERROR(INDEX('Day Range Raw Data'!G:G,Match($A200,'Day Range Raw Data'!$B:$B,0)),"")</f>
        <v/>
      </c>
      <c r="H200" t="str">
        <f t="array" ref="H200">IFERROR(INDEX('Day Range Raw Data'!H:H,Match($A200,'Day Range Raw Data'!$B:$B,0)),"")</f>
        <v/>
      </c>
      <c r="I200" t="str">
        <f t="array" ref="I200">IFERROR(INDEX('Day Range Raw Data'!M:M,Match($A200,'Day Range Raw Data'!$B:$B,0)),"")</f>
        <v/>
      </c>
      <c r="J200" t="str">
        <f t="array" ref="J200">IFERROR(INDEX('Day Range Raw Data'!N:N,Match($A200,'Day Range Raw Data'!$B:$B,0)),"")</f>
        <v/>
      </c>
      <c r="K200" t="str">
        <f t="array" ref="K200">IFERROR(INDEX('Day Range Raw Data'!R:R,Match($A200,'Day Range Raw Data'!$B:$B,0)),"")</f>
        <v/>
      </c>
      <c r="L200" t="str">
        <f t="array" ref="L200">IFERROR(INDEX('Day Range Raw Data'!S:S,Match($A200,'Day Range Raw Data'!$B:$B,0)),"")</f>
        <v/>
      </c>
      <c r="M200" t="str">
        <f t="array" ref="M200">IFERROR(INDEX('Day Range Raw Data'!T:T,Match($A200,'Day Range Raw Data'!$B:$B,0)),"")</f>
        <v/>
      </c>
      <c r="N200" t="str">
        <f t="array" ref="N200">IFERROR(INDEX('Day Range Raw Data'!U:U,Match($A200,'Day Range Raw Data'!$B:$B,0)),"")</f>
        <v/>
      </c>
      <c r="O200" t="str">
        <f t="array" ref="O200">IFERROR(INDEX('Day Range Raw Data'!V:V,Match($A200,'Day Range Raw Data'!$B:$B,0)),"")</f>
        <v/>
      </c>
      <c r="P200" t="str">
        <f t="array" ref="P200">IFERROR(INDEX('Day Range Raw Data'!X:X,Match($A200,'Day Range Raw Data'!$B:$B,0)),"")</f>
        <v/>
      </c>
      <c r="Q200" t="str">
        <f t="shared" si="1"/>
        <v/>
      </c>
      <c r="R200" s="9" t="str">
        <f t="shared" si="2"/>
        <v/>
      </c>
      <c r="S200" s="14" t="str">
        <f t="shared" si="3"/>
        <v/>
      </c>
      <c r="T200" s="15" t="str">
        <f>IFERROR(__xludf.DUMMYFUNCTION("IF($A200="""","""",IFERROR(PERCENTRANK.INC(FILTER(Q:Q,$F:$F&lt;&gt;""""),Q200)*100,""""))"),"")</f>
        <v/>
      </c>
      <c r="U200" s="15" t="str">
        <f>IFERROR(__xludf.DUMMYFUNCTION("IF($A200="""","""",IFERROR(PERCENTRANK.INC(FILTER(R:R,$F:$F&lt;&gt;""""),R200)*100,""""))"),"")</f>
        <v/>
      </c>
      <c r="V200" s="15" t="str">
        <f>IFERROR(__xludf.DUMMYFUNCTION("IF($A200="""","""",IFERROR(PERCENTRANK.INC(FILTER(S:S,$F:$F&lt;&gt;""""),S200)*100,""""))"),"")</f>
        <v/>
      </c>
      <c r="W200" s="15" t="str">
        <f t="shared" si="4"/>
        <v/>
      </c>
    </row>
    <row r="201">
      <c r="B201" t="str">
        <f t="array" ref="B201">IFERROR(INDEX('Player Raw Data'!C:C,Match($A201,'Player Raw Data'!$B:$B,0)),"")</f>
        <v/>
      </c>
      <c r="C201" t="str">
        <f t="array" ref="C201">IFERROR(INDEX('Player Raw Data'!D:D,Match($A201,'Player Raw Data'!$B:$B,0)),"")</f>
        <v/>
      </c>
      <c r="D201" t="str">
        <f t="array" ref="D201">IFERROR(IF(A201=A200, INDEX('Player Raw Data'!E:E,Match($A201,'Player Raw Data'!$B:$B,0)+2),INDEX('Player Raw Data'!E:E,Match($A201,'Player Raw Data'!$B:$B,0))),"")</f>
        <v/>
      </c>
      <c r="E201" t="str">
        <f t="array" ref="E201">IFERROR(INDEX('Day Range Raw Data'!D:D,Match($A201,'Day Range Raw Data'!$B:$B,0)),"")</f>
        <v/>
      </c>
      <c r="F201" t="str">
        <f t="array" ref="F201">IFERROR(INDEX('Day Range Raw Data'!F:F,Match($A201,'Day Range Raw Data'!$B:$B,0)),"")</f>
        <v/>
      </c>
      <c r="G201" t="str">
        <f t="array" ref="G201">IFERROR(INDEX('Day Range Raw Data'!G:G,Match($A201,'Day Range Raw Data'!$B:$B,0)),"")</f>
        <v/>
      </c>
      <c r="H201" t="str">
        <f t="array" ref="H201">IFERROR(INDEX('Day Range Raw Data'!H:H,Match($A201,'Day Range Raw Data'!$B:$B,0)),"")</f>
        <v/>
      </c>
      <c r="I201" t="str">
        <f t="array" ref="I201">IFERROR(INDEX('Day Range Raw Data'!M:M,Match($A201,'Day Range Raw Data'!$B:$B,0)),"")</f>
        <v/>
      </c>
      <c r="J201" t="str">
        <f t="array" ref="J201">IFERROR(INDEX('Day Range Raw Data'!N:N,Match($A201,'Day Range Raw Data'!$B:$B,0)),"")</f>
        <v/>
      </c>
      <c r="K201" t="str">
        <f t="array" ref="K201">IFERROR(INDEX('Day Range Raw Data'!R:R,Match($A201,'Day Range Raw Data'!$B:$B,0)),"")</f>
        <v/>
      </c>
      <c r="L201" t="str">
        <f t="array" ref="L201">IFERROR(INDEX('Day Range Raw Data'!S:S,Match($A201,'Day Range Raw Data'!$B:$B,0)),"")</f>
        <v/>
      </c>
      <c r="M201" t="str">
        <f t="array" ref="M201">IFERROR(INDEX('Day Range Raw Data'!T:T,Match($A201,'Day Range Raw Data'!$B:$B,0)),"")</f>
        <v/>
      </c>
      <c r="N201" t="str">
        <f t="array" ref="N201">IFERROR(INDEX('Day Range Raw Data'!U:U,Match($A201,'Day Range Raw Data'!$B:$B,0)),"")</f>
        <v/>
      </c>
      <c r="O201" t="str">
        <f t="array" ref="O201">IFERROR(INDEX('Day Range Raw Data'!V:V,Match($A201,'Day Range Raw Data'!$B:$B,0)),"")</f>
        <v/>
      </c>
      <c r="P201" t="str">
        <f t="array" ref="P201">IFERROR(INDEX('Day Range Raw Data'!X:X,Match($A201,'Day Range Raw Data'!$B:$B,0)),"")</f>
        <v/>
      </c>
      <c r="Q201" t="str">
        <f t="shared" si="1"/>
        <v/>
      </c>
      <c r="R201" s="9" t="str">
        <f t="shared" si="2"/>
        <v/>
      </c>
      <c r="S201" s="14" t="str">
        <f t="shared" si="3"/>
        <v/>
      </c>
      <c r="T201" s="15" t="str">
        <f>IFERROR(__xludf.DUMMYFUNCTION("IF($A201="""","""",IFERROR(PERCENTRANK.INC(FILTER(Q:Q,$F:$F&lt;&gt;""""),Q201)*100,""""))"),"")</f>
        <v/>
      </c>
      <c r="U201" s="15" t="str">
        <f>IFERROR(__xludf.DUMMYFUNCTION("IF($A201="""","""",IFERROR(PERCENTRANK.INC(FILTER(R:R,$F:$F&lt;&gt;""""),R201)*100,""""))"),"")</f>
        <v/>
      </c>
      <c r="V201" s="15" t="str">
        <f>IFERROR(__xludf.DUMMYFUNCTION("IF($A201="""","""",IFERROR(PERCENTRANK.INC(FILTER(S:S,$F:$F&lt;&gt;""""),S201)*100,""""))"),"")</f>
        <v/>
      </c>
      <c r="W201" s="15" t="str">
        <f t="shared" si="4"/>
        <v/>
      </c>
    </row>
    <row r="202">
      <c r="B202" t="str">
        <f t="array" ref="B202">IFERROR(INDEX('Player Raw Data'!C:C,Match($A202,'Player Raw Data'!$B:$B,0)),"")</f>
        <v/>
      </c>
      <c r="C202" t="str">
        <f t="array" ref="C202">IFERROR(INDEX('Player Raw Data'!D:D,Match($A202,'Player Raw Data'!$B:$B,0)),"")</f>
        <v/>
      </c>
      <c r="D202" t="str">
        <f t="array" ref="D202">IFERROR(IF(A202=A201, INDEX('Player Raw Data'!E:E,Match($A202,'Player Raw Data'!$B:$B,0)+2),INDEX('Player Raw Data'!E:E,Match($A202,'Player Raw Data'!$B:$B,0))),"")</f>
        <v/>
      </c>
      <c r="E202" t="str">
        <f t="array" ref="E202">IFERROR(INDEX('Day Range Raw Data'!D:D,Match($A202,'Day Range Raw Data'!$B:$B,0)),"")</f>
        <v/>
      </c>
      <c r="F202" t="str">
        <f t="array" ref="F202">IFERROR(INDEX('Day Range Raw Data'!F:F,Match($A202,'Day Range Raw Data'!$B:$B,0)),"")</f>
        <v/>
      </c>
      <c r="G202" t="str">
        <f t="array" ref="G202">IFERROR(INDEX('Day Range Raw Data'!G:G,Match($A202,'Day Range Raw Data'!$B:$B,0)),"")</f>
        <v/>
      </c>
      <c r="H202" t="str">
        <f t="array" ref="H202">IFERROR(INDEX('Day Range Raw Data'!H:H,Match($A202,'Day Range Raw Data'!$B:$B,0)),"")</f>
        <v/>
      </c>
      <c r="I202" t="str">
        <f t="array" ref="I202">IFERROR(INDEX('Day Range Raw Data'!M:M,Match($A202,'Day Range Raw Data'!$B:$B,0)),"")</f>
        <v/>
      </c>
      <c r="J202" t="str">
        <f t="array" ref="J202">IFERROR(INDEX('Day Range Raw Data'!N:N,Match($A202,'Day Range Raw Data'!$B:$B,0)),"")</f>
        <v/>
      </c>
      <c r="K202" t="str">
        <f t="array" ref="K202">IFERROR(INDEX('Day Range Raw Data'!R:R,Match($A202,'Day Range Raw Data'!$B:$B,0)),"")</f>
        <v/>
      </c>
      <c r="L202" t="str">
        <f t="array" ref="L202">IFERROR(INDEX('Day Range Raw Data'!S:S,Match($A202,'Day Range Raw Data'!$B:$B,0)),"")</f>
        <v/>
      </c>
      <c r="M202" t="str">
        <f t="array" ref="M202">IFERROR(INDEX('Day Range Raw Data'!T:T,Match($A202,'Day Range Raw Data'!$B:$B,0)),"")</f>
        <v/>
      </c>
      <c r="N202" t="str">
        <f t="array" ref="N202">IFERROR(INDEX('Day Range Raw Data'!U:U,Match($A202,'Day Range Raw Data'!$B:$B,0)),"")</f>
        <v/>
      </c>
      <c r="O202" t="str">
        <f t="array" ref="O202">IFERROR(INDEX('Day Range Raw Data'!V:V,Match($A202,'Day Range Raw Data'!$B:$B,0)),"")</f>
        <v/>
      </c>
      <c r="P202" t="str">
        <f t="array" ref="P202">IFERROR(INDEX('Day Range Raw Data'!X:X,Match($A202,'Day Range Raw Data'!$B:$B,0)),"")</f>
        <v/>
      </c>
      <c r="Q202" t="str">
        <f t="shared" si="1"/>
        <v/>
      </c>
      <c r="R202" s="9" t="str">
        <f t="shared" si="2"/>
        <v/>
      </c>
      <c r="S202" s="14" t="str">
        <f t="shared" si="3"/>
        <v/>
      </c>
      <c r="T202" s="15" t="str">
        <f>IFERROR(__xludf.DUMMYFUNCTION("IF($A202="""","""",IFERROR(PERCENTRANK.INC(FILTER(Q:Q,$F:$F&lt;&gt;""""),Q202)*100,""""))"),"")</f>
        <v/>
      </c>
      <c r="U202" s="15" t="str">
        <f>IFERROR(__xludf.DUMMYFUNCTION("IF($A202="""","""",IFERROR(PERCENTRANK.INC(FILTER(R:R,$F:$F&lt;&gt;""""),R202)*100,""""))"),"")</f>
        <v/>
      </c>
      <c r="V202" s="15" t="str">
        <f>IFERROR(__xludf.DUMMYFUNCTION("IF($A202="""","""",IFERROR(PERCENTRANK.INC(FILTER(S:S,$F:$F&lt;&gt;""""),S202)*100,""""))"),"")</f>
        <v/>
      </c>
      <c r="W202" s="15" t="str">
        <f t="shared" si="4"/>
        <v/>
      </c>
    </row>
    <row r="203">
      <c r="B203" t="str">
        <f t="array" ref="B203">IFERROR(INDEX('Player Raw Data'!C:C,Match($A203,'Player Raw Data'!$B:$B,0)),"")</f>
        <v/>
      </c>
      <c r="C203" t="str">
        <f t="array" ref="C203">IFERROR(INDEX('Player Raw Data'!D:D,Match($A203,'Player Raw Data'!$B:$B,0)),"")</f>
        <v/>
      </c>
      <c r="D203" t="str">
        <f t="array" ref="D203">IFERROR(IF(A203=A202, INDEX('Player Raw Data'!E:E,Match($A203,'Player Raw Data'!$B:$B,0)+2),INDEX('Player Raw Data'!E:E,Match($A203,'Player Raw Data'!$B:$B,0))),"")</f>
        <v/>
      </c>
      <c r="E203" t="str">
        <f t="array" ref="E203">IFERROR(INDEX('Day Range Raw Data'!D:D,Match($A203,'Day Range Raw Data'!$B:$B,0)),"")</f>
        <v/>
      </c>
      <c r="F203" t="str">
        <f t="array" ref="F203">IFERROR(INDEX('Day Range Raw Data'!F:F,Match($A203,'Day Range Raw Data'!$B:$B,0)),"")</f>
        <v/>
      </c>
      <c r="G203" t="str">
        <f t="array" ref="G203">IFERROR(INDEX('Day Range Raw Data'!G:G,Match($A203,'Day Range Raw Data'!$B:$B,0)),"")</f>
        <v/>
      </c>
      <c r="H203" t="str">
        <f t="array" ref="H203">IFERROR(INDEX('Day Range Raw Data'!H:H,Match($A203,'Day Range Raw Data'!$B:$B,0)),"")</f>
        <v/>
      </c>
      <c r="I203" t="str">
        <f t="array" ref="I203">IFERROR(INDEX('Day Range Raw Data'!M:M,Match($A203,'Day Range Raw Data'!$B:$B,0)),"")</f>
        <v/>
      </c>
      <c r="J203" t="str">
        <f t="array" ref="J203">IFERROR(INDEX('Day Range Raw Data'!N:N,Match($A203,'Day Range Raw Data'!$B:$B,0)),"")</f>
        <v/>
      </c>
      <c r="K203" t="str">
        <f t="array" ref="K203">IFERROR(INDEX('Day Range Raw Data'!R:R,Match($A203,'Day Range Raw Data'!$B:$B,0)),"")</f>
        <v/>
      </c>
      <c r="L203" t="str">
        <f t="array" ref="L203">IFERROR(INDEX('Day Range Raw Data'!S:S,Match($A203,'Day Range Raw Data'!$B:$B,0)),"")</f>
        <v/>
      </c>
      <c r="M203" t="str">
        <f t="array" ref="M203">IFERROR(INDEX('Day Range Raw Data'!T:T,Match($A203,'Day Range Raw Data'!$B:$B,0)),"")</f>
        <v/>
      </c>
      <c r="N203" t="str">
        <f t="array" ref="N203">IFERROR(INDEX('Day Range Raw Data'!U:U,Match($A203,'Day Range Raw Data'!$B:$B,0)),"")</f>
        <v/>
      </c>
      <c r="O203" t="str">
        <f t="array" ref="O203">IFERROR(INDEX('Day Range Raw Data'!V:V,Match($A203,'Day Range Raw Data'!$B:$B,0)),"")</f>
        <v/>
      </c>
      <c r="P203" t="str">
        <f t="array" ref="P203">IFERROR(INDEX('Day Range Raw Data'!X:X,Match($A203,'Day Range Raw Data'!$B:$B,0)),"")</f>
        <v/>
      </c>
      <c r="Q203" t="str">
        <f t="shared" si="1"/>
        <v/>
      </c>
      <c r="R203" s="9" t="str">
        <f t="shared" si="2"/>
        <v/>
      </c>
      <c r="S203" s="14" t="str">
        <f t="shared" si="3"/>
        <v/>
      </c>
      <c r="T203" s="15" t="str">
        <f>IFERROR(__xludf.DUMMYFUNCTION("IF($A203="""","""",IFERROR(PERCENTRANK.INC(FILTER(Q:Q,$F:$F&lt;&gt;""""),Q203)*100,""""))"),"")</f>
        <v/>
      </c>
      <c r="U203" s="15" t="str">
        <f>IFERROR(__xludf.DUMMYFUNCTION("IF($A203="""","""",IFERROR(PERCENTRANK.INC(FILTER(R:R,$F:$F&lt;&gt;""""),R203)*100,""""))"),"")</f>
        <v/>
      </c>
      <c r="V203" s="15" t="str">
        <f>IFERROR(__xludf.DUMMYFUNCTION("IF($A203="""","""",IFERROR(PERCENTRANK.INC(FILTER(S:S,$F:$F&lt;&gt;""""),S203)*100,""""))"),"")</f>
        <v/>
      </c>
      <c r="W203" s="15" t="str">
        <f t="shared" si="4"/>
        <v/>
      </c>
    </row>
    <row r="204">
      <c r="B204" t="str">
        <f t="array" ref="B204">IFERROR(INDEX('Player Raw Data'!C:C,Match($A204,'Player Raw Data'!$B:$B,0)),"")</f>
        <v/>
      </c>
      <c r="C204" t="str">
        <f t="array" ref="C204">IFERROR(INDEX('Player Raw Data'!D:D,Match($A204,'Player Raw Data'!$B:$B,0)),"")</f>
        <v/>
      </c>
      <c r="D204" t="str">
        <f t="array" ref="D204">IFERROR(IF(A204=A203, INDEX('Player Raw Data'!E:E,Match($A204,'Player Raw Data'!$B:$B,0)+2),INDEX('Player Raw Data'!E:E,Match($A204,'Player Raw Data'!$B:$B,0))),"")</f>
        <v/>
      </c>
      <c r="E204" t="str">
        <f t="array" ref="E204">IFERROR(INDEX('Day Range Raw Data'!D:D,Match($A204,'Day Range Raw Data'!$B:$B,0)),"")</f>
        <v/>
      </c>
      <c r="F204" t="str">
        <f t="array" ref="F204">IFERROR(INDEX('Day Range Raw Data'!F:F,Match($A204,'Day Range Raw Data'!$B:$B,0)),"")</f>
        <v/>
      </c>
      <c r="G204" t="str">
        <f t="array" ref="G204">IFERROR(INDEX('Day Range Raw Data'!G:G,Match($A204,'Day Range Raw Data'!$B:$B,0)),"")</f>
        <v/>
      </c>
      <c r="H204" t="str">
        <f t="array" ref="H204">IFERROR(INDEX('Day Range Raw Data'!H:H,Match($A204,'Day Range Raw Data'!$B:$B,0)),"")</f>
        <v/>
      </c>
      <c r="I204" t="str">
        <f t="array" ref="I204">IFERROR(INDEX('Day Range Raw Data'!M:M,Match($A204,'Day Range Raw Data'!$B:$B,0)),"")</f>
        <v/>
      </c>
      <c r="J204" t="str">
        <f t="array" ref="J204">IFERROR(INDEX('Day Range Raw Data'!N:N,Match($A204,'Day Range Raw Data'!$B:$B,0)),"")</f>
        <v/>
      </c>
      <c r="K204" t="str">
        <f t="array" ref="K204">IFERROR(INDEX('Day Range Raw Data'!R:R,Match($A204,'Day Range Raw Data'!$B:$B,0)),"")</f>
        <v/>
      </c>
      <c r="L204" t="str">
        <f t="array" ref="L204">IFERROR(INDEX('Day Range Raw Data'!S:S,Match($A204,'Day Range Raw Data'!$B:$B,0)),"")</f>
        <v/>
      </c>
      <c r="M204" t="str">
        <f t="array" ref="M204">IFERROR(INDEX('Day Range Raw Data'!T:T,Match($A204,'Day Range Raw Data'!$B:$B,0)),"")</f>
        <v/>
      </c>
      <c r="N204" t="str">
        <f t="array" ref="N204">IFERROR(INDEX('Day Range Raw Data'!U:U,Match($A204,'Day Range Raw Data'!$B:$B,0)),"")</f>
        <v/>
      </c>
      <c r="O204" t="str">
        <f t="array" ref="O204">IFERROR(INDEX('Day Range Raw Data'!V:V,Match($A204,'Day Range Raw Data'!$B:$B,0)),"")</f>
        <v/>
      </c>
      <c r="P204" t="str">
        <f t="array" ref="P204">IFERROR(INDEX('Day Range Raw Data'!X:X,Match($A204,'Day Range Raw Data'!$B:$B,0)),"")</f>
        <v/>
      </c>
      <c r="Q204" t="str">
        <f t="shared" si="1"/>
        <v/>
      </c>
      <c r="R204" s="9" t="str">
        <f t="shared" si="2"/>
        <v/>
      </c>
      <c r="S204" s="14" t="str">
        <f t="shared" si="3"/>
        <v/>
      </c>
      <c r="T204" s="15" t="str">
        <f>IFERROR(__xludf.DUMMYFUNCTION("IF($A204="""","""",IFERROR(PERCENTRANK.INC(FILTER(Q:Q,$F:$F&lt;&gt;""""),Q204)*100,""""))"),"")</f>
        <v/>
      </c>
      <c r="U204" s="15" t="str">
        <f>IFERROR(__xludf.DUMMYFUNCTION("IF($A204="""","""",IFERROR(PERCENTRANK.INC(FILTER(R:R,$F:$F&lt;&gt;""""),R204)*100,""""))"),"")</f>
        <v/>
      </c>
      <c r="V204" s="15" t="str">
        <f>IFERROR(__xludf.DUMMYFUNCTION("IF($A204="""","""",IFERROR(PERCENTRANK.INC(FILTER(S:S,$F:$F&lt;&gt;""""),S204)*100,""""))"),"")</f>
        <v/>
      </c>
      <c r="W204" s="15" t="str">
        <f t="shared" si="4"/>
        <v/>
      </c>
    </row>
    <row r="205">
      <c r="B205" t="str">
        <f t="array" ref="B205">IFERROR(INDEX('Player Raw Data'!C:C,Match($A205,'Player Raw Data'!$B:$B,0)),"")</f>
        <v/>
      </c>
      <c r="C205" t="str">
        <f t="array" ref="C205">IFERROR(INDEX('Player Raw Data'!D:D,Match($A205,'Player Raw Data'!$B:$B,0)),"")</f>
        <v/>
      </c>
      <c r="D205" t="str">
        <f t="array" ref="D205">IFERROR(IF(A205=A204, INDEX('Player Raw Data'!E:E,Match($A205,'Player Raw Data'!$B:$B,0)+2),INDEX('Player Raw Data'!E:E,Match($A205,'Player Raw Data'!$B:$B,0))),"")</f>
        <v/>
      </c>
      <c r="E205" t="str">
        <f t="array" ref="E205">IFERROR(INDEX('Day Range Raw Data'!D:D,Match($A205,'Day Range Raw Data'!$B:$B,0)),"")</f>
        <v/>
      </c>
      <c r="F205" t="str">
        <f t="array" ref="F205">IFERROR(INDEX('Day Range Raw Data'!F:F,Match($A205,'Day Range Raw Data'!$B:$B,0)),"")</f>
        <v/>
      </c>
      <c r="G205" t="str">
        <f t="array" ref="G205">IFERROR(INDEX('Day Range Raw Data'!G:G,Match($A205,'Day Range Raw Data'!$B:$B,0)),"")</f>
        <v/>
      </c>
      <c r="H205" t="str">
        <f t="array" ref="H205">IFERROR(INDEX('Day Range Raw Data'!H:H,Match($A205,'Day Range Raw Data'!$B:$B,0)),"")</f>
        <v/>
      </c>
      <c r="I205" t="str">
        <f t="array" ref="I205">IFERROR(INDEX('Day Range Raw Data'!M:M,Match($A205,'Day Range Raw Data'!$B:$B,0)),"")</f>
        <v/>
      </c>
      <c r="J205" t="str">
        <f t="array" ref="J205">IFERROR(INDEX('Day Range Raw Data'!N:N,Match($A205,'Day Range Raw Data'!$B:$B,0)),"")</f>
        <v/>
      </c>
      <c r="K205" t="str">
        <f t="array" ref="K205">IFERROR(INDEX('Day Range Raw Data'!R:R,Match($A205,'Day Range Raw Data'!$B:$B,0)),"")</f>
        <v/>
      </c>
      <c r="L205" t="str">
        <f t="array" ref="L205">IFERROR(INDEX('Day Range Raw Data'!S:S,Match($A205,'Day Range Raw Data'!$B:$B,0)),"")</f>
        <v/>
      </c>
      <c r="M205" t="str">
        <f t="array" ref="M205">IFERROR(INDEX('Day Range Raw Data'!T:T,Match($A205,'Day Range Raw Data'!$B:$B,0)),"")</f>
        <v/>
      </c>
      <c r="N205" t="str">
        <f t="array" ref="N205">IFERROR(INDEX('Day Range Raw Data'!U:U,Match($A205,'Day Range Raw Data'!$B:$B,0)),"")</f>
        <v/>
      </c>
      <c r="O205" t="str">
        <f t="array" ref="O205">IFERROR(INDEX('Day Range Raw Data'!V:V,Match($A205,'Day Range Raw Data'!$B:$B,0)),"")</f>
        <v/>
      </c>
      <c r="P205" t="str">
        <f t="array" ref="P205">IFERROR(INDEX('Day Range Raw Data'!X:X,Match($A205,'Day Range Raw Data'!$B:$B,0)),"")</f>
        <v/>
      </c>
      <c r="Q205" t="str">
        <f t="shared" si="1"/>
        <v/>
      </c>
      <c r="R205" s="9" t="str">
        <f t="shared" si="2"/>
        <v/>
      </c>
      <c r="S205" s="14" t="str">
        <f t="shared" si="3"/>
        <v/>
      </c>
      <c r="T205" s="15" t="str">
        <f>IFERROR(__xludf.DUMMYFUNCTION("IF($A205="""","""",IFERROR(PERCENTRANK.INC(FILTER(Q:Q,$F:$F&lt;&gt;""""),Q205)*100,""""))"),"")</f>
        <v/>
      </c>
      <c r="U205" s="15" t="str">
        <f>IFERROR(__xludf.DUMMYFUNCTION("IF($A205="""","""",IFERROR(PERCENTRANK.INC(FILTER(R:R,$F:$F&lt;&gt;""""),R205)*100,""""))"),"")</f>
        <v/>
      </c>
      <c r="V205" s="15" t="str">
        <f>IFERROR(__xludf.DUMMYFUNCTION("IF($A205="""","""",IFERROR(PERCENTRANK.INC(FILTER(S:S,$F:$F&lt;&gt;""""),S205)*100,""""))"),"")</f>
        <v/>
      </c>
      <c r="W205" s="15" t="str">
        <f t="shared" si="4"/>
        <v/>
      </c>
    </row>
    <row r="206">
      <c r="B206" t="str">
        <f t="array" ref="B206">IFERROR(INDEX('Player Raw Data'!C:C,Match($A206,'Player Raw Data'!$B:$B,0)),"")</f>
        <v/>
      </c>
      <c r="C206" t="str">
        <f t="array" ref="C206">IFERROR(INDEX('Player Raw Data'!D:D,Match($A206,'Player Raw Data'!$B:$B,0)),"")</f>
        <v/>
      </c>
      <c r="D206" t="str">
        <f t="array" ref="D206">IFERROR(IF(A206=A205, INDEX('Player Raw Data'!E:E,Match($A206,'Player Raw Data'!$B:$B,0)+2),INDEX('Player Raw Data'!E:E,Match($A206,'Player Raw Data'!$B:$B,0))),"")</f>
        <v/>
      </c>
      <c r="E206" t="str">
        <f t="array" ref="E206">IFERROR(INDEX('Day Range Raw Data'!D:D,Match($A206,'Day Range Raw Data'!$B:$B,0)),"")</f>
        <v/>
      </c>
      <c r="F206" t="str">
        <f t="array" ref="F206">IFERROR(INDEX('Day Range Raw Data'!F:F,Match($A206,'Day Range Raw Data'!$B:$B,0)),"")</f>
        <v/>
      </c>
      <c r="G206" t="str">
        <f t="array" ref="G206">IFERROR(INDEX('Day Range Raw Data'!G:G,Match($A206,'Day Range Raw Data'!$B:$B,0)),"")</f>
        <v/>
      </c>
      <c r="H206" t="str">
        <f t="array" ref="H206">IFERROR(INDEX('Day Range Raw Data'!H:H,Match($A206,'Day Range Raw Data'!$B:$B,0)),"")</f>
        <v/>
      </c>
      <c r="I206" t="str">
        <f t="array" ref="I206">IFERROR(INDEX('Day Range Raw Data'!M:M,Match($A206,'Day Range Raw Data'!$B:$B,0)),"")</f>
        <v/>
      </c>
      <c r="J206" t="str">
        <f t="array" ref="J206">IFERROR(INDEX('Day Range Raw Data'!N:N,Match($A206,'Day Range Raw Data'!$B:$B,0)),"")</f>
        <v/>
      </c>
      <c r="K206" t="str">
        <f t="array" ref="K206">IFERROR(INDEX('Day Range Raw Data'!R:R,Match($A206,'Day Range Raw Data'!$B:$B,0)),"")</f>
        <v/>
      </c>
      <c r="L206" t="str">
        <f t="array" ref="L206">IFERROR(INDEX('Day Range Raw Data'!S:S,Match($A206,'Day Range Raw Data'!$B:$B,0)),"")</f>
        <v/>
      </c>
      <c r="M206" t="str">
        <f t="array" ref="M206">IFERROR(INDEX('Day Range Raw Data'!T:T,Match($A206,'Day Range Raw Data'!$B:$B,0)),"")</f>
        <v/>
      </c>
      <c r="N206" t="str">
        <f t="array" ref="N206">IFERROR(INDEX('Day Range Raw Data'!U:U,Match($A206,'Day Range Raw Data'!$B:$B,0)),"")</f>
        <v/>
      </c>
      <c r="O206" t="str">
        <f t="array" ref="O206">IFERROR(INDEX('Day Range Raw Data'!V:V,Match($A206,'Day Range Raw Data'!$B:$B,0)),"")</f>
        <v/>
      </c>
      <c r="P206" t="str">
        <f t="array" ref="P206">IFERROR(INDEX('Day Range Raw Data'!X:X,Match($A206,'Day Range Raw Data'!$B:$B,0)),"")</f>
        <v/>
      </c>
      <c r="Q206" t="str">
        <f t="shared" si="1"/>
        <v/>
      </c>
      <c r="R206" s="9" t="str">
        <f t="shared" si="2"/>
        <v/>
      </c>
      <c r="S206" s="14" t="str">
        <f t="shared" si="3"/>
        <v/>
      </c>
      <c r="T206" s="15" t="str">
        <f>IFERROR(__xludf.DUMMYFUNCTION("IF($A206="""","""",IFERROR(PERCENTRANK.INC(FILTER(Q:Q,$F:$F&lt;&gt;""""),Q206)*100,""""))"),"")</f>
        <v/>
      </c>
      <c r="U206" s="15" t="str">
        <f>IFERROR(__xludf.DUMMYFUNCTION("IF($A206="""","""",IFERROR(PERCENTRANK.INC(FILTER(R:R,$F:$F&lt;&gt;""""),R206)*100,""""))"),"")</f>
        <v/>
      </c>
      <c r="V206" s="15" t="str">
        <f>IFERROR(__xludf.DUMMYFUNCTION("IF($A206="""","""",IFERROR(PERCENTRANK.INC(FILTER(S:S,$F:$F&lt;&gt;""""),S206)*100,""""))"),"")</f>
        <v/>
      </c>
      <c r="W206" s="15" t="str">
        <f t="shared" si="4"/>
        <v/>
      </c>
    </row>
    <row r="207">
      <c r="B207" t="str">
        <f t="array" ref="B207">IFERROR(INDEX('Player Raw Data'!C:C,Match($A207,'Player Raw Data'!$B:$B,0)),"")</f>
        <v/>
      </c>
      <c r="C207" t="str">
        <f t="array" ref="C207">IFERROR(INDEX('Player Raw Data'!D:D,Match($A207,'Player Raw Data'!$B:$B,0)),"")</f>
        <v/>
      </c>
      <c r="D207" t="str">
        <f t="array" ref="D207">IFERROR(IF(A207=A206, INDEX('Player Raw Data'!E:E,Match($A207,'Player Raw Data'!$B:$B,0)+2),INDEX('Player Raw Data'!E:E,Match($A207,'Player Raw Data'!$B:$B,0))),"")</f>
        <v/>
      </c>
      <c r="E207" t="str">
        <f t="array" ref="E207">IFERROR(INDEX('Day Range Raw Data'!D:D,Match($A207,'Day Range Raw Data'!$B:$B,0)),"")</f>
        <v/>
      </c>
      <c r="F207" t="str">
        <f t="array" ref="F207">IFERROR(INDEX('Day Range Raw Data'!F:F,Match($A207,'Day Range Raw Data'!$B:$B,0)),"")</f>
        <v/>
      </c>
      <c r="G207" t="str">
        <f t="array" ref="G207">IFERROR(INDEX('Day Range Raw Data'!G:G,Match($A207,'Day Range Raw Data'!$B:$B,0)),"")</f>
        <v/>
      </c>
      <c r="H207" t="str">
        <f t="array" ref="H207">IFERROR(INDEX('Day Range Raw Data'!H:H,Match($A207,'Day Range Raw Data'!$B:$B,0)),"")</f>
        <v/>
      </c>
      <c r="I207" t="str">
        <f t="array" ref="I207">IFERROR(INDEX('Day Range Raw Data'!M:M,Match($A207,'Day Range Raw Data'!$B:$B,0)),"")</f>
        <v/>
      </c>
      <c r="J207" t="str">
        <f t="array" ref="J207">IFERROR(INDEX('Day Range Raw Data'!N:N,Match($A207,'Day Range Raw Data'!$B:$B,0)),"")</f>
        <v/>
      </c>
      <c r="K207" t="str">
        <f t="array" ref="K207">IFERROR(INDEX('Day Range Raw Data'!R:R,Match($A207,'Day Range Raw Data'!$B:$B,0)),"")</f>
        <v/>
      </c>
      <c r="L207" t="str">
        <f t="array" ref="L207">IFERROR(INDEX('Day Range Raw Data'!S:S,Match($A207,'Day Range Raw Data'!$B:$B,0)),"")</f>
        <v/>
      </c>
      <c r="M207" t="str">
        <f t="array" ref="M207">IFERROR(INDEX('Day Range Raw Data'!T:T,Match($A207,'Day Range Raw Data'!$B:$B,0)),"")</f>
        <v/>
      </c>
      <c r="N207" t="str">
        <f t="array" ref="N207">IFERROR(INDEX('Day Range Raw Data'!U:U,Match($A207,'Day Range Raw Data'!$B:$B,0)),"")</f>
        <v/>
      </c>
      <c r="O207" t="str">
        <f t="array" ref="O207">IFERROR(INDEX('Day Range Raw Data'!V:V,Match($A207,'Day Range Raw Data'!$B:$B,0)),"")</f>
        <v/>
      </c>
      <c r="P207" t="str">
        <f t="array" ref="P207">IFERROR(INDEX('Day Range Raw Data'!X:X,Match($A207,'Day Range Raw Data'!$B:$B,0)),"")</f>
        <v/>
      </c>
      <c r="Q207" t="str">
        <f t="shared" si="1"/>
        <v/>
      </c>
      <c r="R207" s="9" t="str">
        <f t="shared" si="2"/>
        <v/>
      </c>
      <c r="S207" s="14" t="str">
        <f t="shared" si="3"/>
        <v/>
      </c>
      <c r="T207" s="15" t="str">
        <f>IFERROR(__xludf.DUMMYFUNCTION("IF($A207="""","""",IFERROR(PERCENTRANK.INC(FILTER(Q:Q,$F:$F&lt;&gt;""""),Q207)*100,""""))"),"")</f>
        <v/>
      </c>
      <c r="U207" s="15" t="str">
        <f>IFERROR(__xludf.DUMMYFUNCTION("IF($A207="""","""",IFERROR(PERCENTRANK.INC(FILTER(R:R,$F:$F&lt;&gt;""""),R207)*100,""""))"),"")</f>
        <v/>
      </c>
      <c r="V207" s="15" t="str">
        <f>IFERROR(__xludf.DUMMYFUNCTION("IF($A207="""","""",IFERROR(PERCENTRANK.INC(FILTER(S:S,$F:$F&lt;&gt;""""),S207)*100,""""))"),"")</f>
        <v/>
      </c>
      <c r="W207" s="15" t="str">
        <f t="shared" si="4"/>
        <v/>
      </c>
    </row>
    <row r="208">
      <c r="B208" t="str">
        <f t="array" ref="B208">IFERROR(INDEX('Player Raw Data'!C:C,Match($A208,'Player Raw Data'!$B:$B,0)),"")</f>
        <v/>
      </c>
      <c r="C208" t="str">
        <f t="array" ref="C208">IFERROR(INDEX('Player Raw Data'!D:D,Match($A208,'Player Raw Data'!$B:$B,0)),"")</f>
        <v/>
      </c>
      <c r="D208" t="str">
        <f t="array" ref="D208">IFERROR(IF(A208=A207, INDEX('Player Raw Data'!E:E,Match($A208,'Player Raw Data'!$B:$B,0)+2),INDEX('Player Raw Data'!E:E,Match($A208,'Player Raw Data'!$B:$B,0))),"")</f>
        <v/>
      </c>
      <c r="E208" t="str">
        <f t="array" ref="E208">IFERROR(INDEX('Day Range Raw Data'!D:D,Match($A208,'Day Range Raw Data'!$B:$B,0)),"")</f>
        <v/>
      </c>
      <c r="F208" t="str">
        <f t="array" ref="F208">IFERROR(INDEX('Day Range Raw Data'!F:F,Match($A208,'Day Range Raw Data'!$B:$B,0)),"")</f>
        <v/>
      </c>
      <c r="G208" t="str">
        <f t="array" ref="G208">IFERROR(INDEX('Day Range Raw Data'!G:G,Match($A208,'Day Range Raw Data'!$B:$B,0)),"")</f>
        <v/>
      </c>
      <c r="H208" t="str">
        <f t="array" ref="H208">IFERROR(INDEX('Day Range Raw Data'!H:H,Match($A208,'Day Range Raw Data'!$B:$B,0)),"")</f>
        <v/>
      </c>
      <c r="I208" t="str">
        <f t="array" ref="I208">IFERROR(INDEX('Day Range Raw Data'!M:M,Match($A208,'Day Range Raw Data'!$B:$B,0)),"")</f>
        <v/>
      </c>
      <c r="J208" t="str">
        <f t="array" ref="J208">IFERROR(INDEX('Day Range Raw Data'!N:N,Match($A208,'Day Range Raw Data'!$B:$B,0)),"")</f>
        <v/>
      </c>
      <c r="K208" t="str">
        <f t="array" ref="K208">IFERROR(INDEX('Day Range Raw Data'!R:R,Match($A208,'Day Range Raw Data'!$B:$B,0)),"")</f>
        <v/>
      </c>
      <c r="L208" t="str">
        <f t="array" ref="L208">IFERROR(INDEX('Day Range Raw Data'!S:S,Match($A208,'Day Range Raw Data'!$B:$B,0)),"")</f>
        <v/>
      </c>
      <c r="M208" t="str">
        <f t="array" ref="M208">IFERROR(INDEX('Day Range Raw Data'!T:T,Match($A208,'Day Range Raw Data'!$B:$B,0)),"")</f>
        <v/>
      </c>
      <c r="N208" t="str">
        <f t="array" ref="N208">IFERROR(INDEX('Day Range Raw Data'!U:U,Match($A208,'Day Range Raw Data'!$B:$B,0)),"")</f>
        <v/>
      </c>
      <c r="O208" t="str">
        <f t="array" ref="O208">IFERROR(INDEX('Day Range Raw Data'!V:V,Match($A208,'Day Range Raw Data'!$B:$B,0)),"")</f>
        <v/>
      </c>
      <c r="P208" t="str">
        <f t="array" ref="P208">IFERROR(INDEX('Day Range Raw Data'!X:X,Match($A208,'Day Range Raw Data'!$B:$B,0)),"")</f>
        <v/>
      </c>
      <c r="Q208" t="str">
        <f t="shared" si="1"/>
        <v/>
      </c>
      <c r="R208" s="9" t="str">
        <f t="shared" si="2"/>
        <v/>
      </c>
      <c r="S208" s="14" t="str">
        <f t="shared" si="3"/>
        <v/>
      </c>
      <c r="T208" s="15" t="str">
        <f>IFERROR(__xludf.DUMMYFUNCTION("IF($A208="""","""",IFERROR(PERCENTRANK.INC(FILTER(Q:Q,$F:$F&lt;&gt;""""),Q208)*100,""""))"),"")</f>
        <v/>
      </c>
      <c r="U208" s="15" t="str">
        <f>IFERROR(__xludf.DUMMYFUNCTION("IF($A208="""","""",IFERROR(PERCENTRANK.INC(FILTER(R:R,$F:$F&lt;&gt;""""),R208)*100,""""))"),"")</f>
        <v/>
      </c>
      <c r="V208" s="15" t="str">
        <f>IFERROR(__xludf.DUMMYFUNCTION("IF($A208="""","""",IFERROR(PERCENTRANK.INC(FILTER(S:S,$F:$F&lt;&gt;""""),S208)*100,""""))"),"")</f>
        <v/>
      </c>
      <c r="W208" s="15" t="str">
        <f t="shared" si="4"/>
        <v/>
      </c>
    </row>
    <row r="209">
      <c r="B209" t="str">
        <f t="array" ref="B209">IFERROR(INDEX('Player Raw Data'!C:C,Match($A209,'Player Raw Data'!$B:$B,0)),"")</f>
        <v/>
      </c>
      <c r="C209" t="str">
        <f t="array" ref="C209">IFERROR(INDEX('Player Raw Data'!D:D,Match($A209,'Player Raw Data'!$B:$B,0)),"")</f>
        <v/>
      </c>
      <c r="D209" t="str">
        <f t="array" ref="D209">IFERROR(IF(A209=A208, INDEX('Player Raw Data'!E:E,Match($A209,'Player Raw Data'!$B:$B,0)+2),INDEX('Player Raw Data'!E:E,Match($A209,'Player Raw Data'!$B:$B,0))),"")</f>
        <v/>
      </c>
      <c r="E209" t="str">
        <f t="array" ref="E209">IFERROR(INDEX('Day Range Raw Data'!D:D,Match($A209,'Day Range Raw Data'!$B:$B,0)),"")</f>
        <v/>
      </c>
      <c r="F209" t="str">
        <f t="array" ref="F209">IFERROR(INDEX('Day Range Raw Data'!F:F,Match($A209,'Day Range Raw Data'!$B:$B,0)),"")</f>
        <v/>
      </c>
      <c r="G209" t="str">
        <f t="array" ref="G209">IFERROR(INDEX('Day Range Raw Data'!G:G,Match($A209,'Day Range Raw Data'!$B:$B,0)),"")</f>
        <v/>
      </c>
      <c r="H209" t="str">
        <f t="array" ref="H209">IFERROR(INDEX('Day Range Raw Data'!H:H,Match($A209,'Day Range Raw Data'!$B:$B,0)),"")</f>
        <v/>
      </c>
      <c r="I209" t="str">
        <f t="array" ref="I209">IFERROR(INDEX('Day Range Raw Data'!M:M,Match($A209,'Day Range Raw Data'!$B:$B,0)),"")</f>
        <v/>
      </c>
      <c r="J209" t="str">
        <f t="array" ref="J209">IFERROR(INDEX('Day Range Raw Data'!N:N,Match($A209,'Day Range Raw Data'!$B:$B,0)),"")</f>
        <v/>
      </c>
      <c r="K209" t="str">
        <f t="array" ref="K209">IFERROR(INDEX('Day Range Raw Data'!R:R,Match($A209,'Day Range Raw Data'!$B:$B,0)),"")</f>
        <v/>
      </c>
      <c r="L209" t="str">
        <f t="array" ref="L209">IFERROR(INDEX('Day Range Raw Data'!S:S,Match($A209,'Day Range Raw Data'!$B:$B,0)),"")</f>
        <v/>
      </c>
      <c r="M209" t="str">
        <f t="array" ref="M209">IFERROR(INDEX('Day Range Raw Data'!T:T,Match($A209,'Day Range Raw Data'!$B:$B,0)),"")</f>
        <v/>
      </c>
      <c r="N209" t="str">
        <f t="array" ref="N209">IFERROR(INDEX('Day Range Raw Data'!U:U,Match($A209,'Day Range Raw Data'!$B:$B,0)),"")</f>
        <v/>
      </c>
      <c r="O209" t="str">
        <f t="array" ref="O209">IFERROR(INDEX('Day Range Raw Data'!V:V,Match($A209,'Day Range Raw Data'!$B:$B,0)),"")</f>
        <v/>
      </c>
      <c r="P209" t="str">
        <f t="array" ref="P209">IFERROR(INDEX('Day Range Raw Data'!X:X,Match($A209,'Day Range Raw Data'!$B:$B,0)),"")</f>
        <v/>
      </c>
      <c r="Q209" t="str">
        <f t="shared" si="1"/>
        <v/>
      </c>
      <c r="R209" s="9" t="str">
        <f t="shared" si="2"/>
        <v/>
      </c>
      <c r="S209" s="14" t="str">
        <f t="shared" si="3"/>
        <v/>
      </c>
      <c r="T209" s="15" t="str">
        <f>IFERROR(__xludf.DUMMYFUNCTION("IF($A209="""","""",IFERROR(PERCENTRANK.INC(FILTER(Q:Q,$F:$F&lt;&gt;""""),Q209)*100,""""))"),"")</f>
        <v/>
      </c>
      <c r="U209" s="15" t="str">
        <f>IFERROR(__xludf.DUMMYFUNCTION("IF($A209="""","""",IFERROR(PERCENTRANK.INC(FILTER(R:R,$F:$F&lt;&gt;""""),R209)*100,""""))"),"")</f>
        <v/>
      </c>
      <c r="V209" s="15" t="str">
        <f>IFERROR(__xludf.DUMMYFUNCTION("IF($A209="""","""",IFERROR(PERCENTRANK.INC(FILTER(S:S,$F:$F&lt;&gt;""""),S209)*100,""""))"),"")</f>
        <v/>
      </c>
      <c r="W209" s="15" t="str">
        <f t="shared" si="4"/>
        <v/>
      </c>
    </row>
    <row r="210">
      <c r="B210" t="str">
        <f t="array" ref="B210">IFERROR(INDEX('Player Raw Data'!C:C,Match($A210,'Player Raw Data'!$B:$B,0)),"")</f>
        <v/>
      </c>
      <c r="C210" t="str">
        <f t="array" ref="C210">IFERROR(INDEX('Player Raw Data'!D:D,Match($A210,'Player Raw Data'!$B:$B,0)),"")</f>
        <v/>
      </c>
      <c r="D210" t="str">
        <f t="array" ref="D210">IFERROR(IF(A210=A209, INDEX('Player Raw Data'!E:E,Match($A210,'Player Raw Data'!$B:$B,0)+2),INDEX('Player Raw Data'!E:E,Match($A210,'Player Raw Data'!$B:$B,0))),"")</f>
        <v/>
      </c>
      <c r="E210" t="str">
        <f t="array" ref="E210">IFERROR(INDEX('Day Range Raw Data'!D:D,Match($A210,'Day Range Raw Data'!$B:$B,0)),"")</f>
        <v/>
      </c>
      <c r="F210" t="str">
        <f t="array" ref="F210">IFERROR(INDEX('Day Range Raw Data'!F:F,Match($A210,'Day Range Raw Data'!$B:$B,0)),"")</f>
        <v/>
      </c>
      <c r="G210" t="str">
        <f t="array" ref="G210">IFERROR(INDEX('Day Range Raw Data'!G:G,Match($A210,'Day Range Raw Data'!$B:$B,0)),"")</f>
        <v/>
      </c>
      <c r="H210" t="str">
        <f t="array" ref="H210">IFERROR(INDEX('Day Range Raw Data'!H:H,Match($A210,'Day Range Raw Data'!$B:$B,0)),"")</f>
        <v/>
      </c>
      <c r="I210" t="str">
        <f t="array" ref="I210">IFERROR(INDEX('Day Range Raw Data'!M:M,Match($A210,'Day Range Raw Data'!$B:$B,0)),"")</f>
        <v/>
      </c>
      <c r="J210" t="str">
        <f t="array" ref="J210">IFERROR(INDEX('Day Range Raw Data'!N:N,Match($A210,'Day Range Raw Data'!$B:$B,0)),"")</f>
        <v/>
      </c>
      <c r="K210" t="str">
        <f t="array" ref="K210">IFERROR(INDEX('Day Range Raw Data'!R:R,Match($A210,'Day Range Raw Data'!$B:$B,0)),"")</f>
        <v/>
      </c>
      <c r="L210" t="str">
        <f t="array" ref="L210">IFERROR(INDEX('Day Range Raw Data'!S:S,Match($A210,'Day Range Raw Data'!$B:$B,0)),"")</f>
        <v/>
      </c>
      <c r="M210" t="str">
        <f t="array" ref="M210">IFERROR(INDEX('Day Range Raw Data'!T:T,Match($A210,'Day Range Raw Data'!$B:$B,0)),"")</f>
        <v/>
      </c>
      <c r="N210" t="str">
        <f t="array" ref="N210">IFERROR(INDEX('Day Range Raw Data'!U:U,Match($A210,'Day Range Raw Data'!$B:$B,0)),"")</f>
        <v/>
      </c>
      <c r="O210" t="str">
        <f t="array" ref="O210">IFERROR(INDEX('Day Range Raw Data'!V:V,Match($A210,'Day Range Raw Data'!$B:$B,0)),"")</f>
        <v/>
      </c>
      <c r="P210" t="str">
        <f t="array" ref="P210">IFERROR(INDEX('Day Range Raw Data'!X:X,Match($A210,'Day Range Raw Data'!$B:$B,0)),"")</f>
        <v/>
      </c>
      <c r="Q210" t="str">
        <f t="shared" si="1"/>
        <v/>
      </c>
      <c r="R210" s="9" t="str">
        <f t="shared" si="2"/>
        <v/>
      </c>
      <c r="S210" s="14" t="str">
        <f t="shared" si="3"/>
        <v/>
      </c>
      <c r="T210" s="15" t="str">
        <f>IFERROR(__xludf.DUMMYFUNCTION("IF($A210="""","""",IFERROR(PERCENTRANK.INC(FILTER(Q:Q,$F:$F&lt;&gt;""""),Q210)*100,""""))"),"")</f>
        <v/>
      </c>
      <c r="U210" s="15" t="str">
        <f>IFERROR(__xludf.DUMMYFUNCTION("IF($A210="""","""",IFERROR(PERCENTRANK.INC(FILTER(R:R,$F:$F&lt;&gt;""""),R210)*100,""""))"),"")</f>
        <v/>
      </c>
      <c r="V210" s="15" t="str">
        <f>IFERROR(__xludf.DUMMYFUNCTION("IF($A210="""","""",IFERROR(PERCENTRANK.INC(FILTER(S:S,$F:$F&lt;&gt;""""),S210)*100,""""))"),"")</f>
        <v/>
      </c>
      <c r="W210" s="15" t="str">
        <f t="shared" si="4"/>
        <v/>
      </c>
    </row>
    <row r="211">
      <c r="B211" t="str">
        <f t="array" ref="B211">IFERROR(INDEX('Player Raw Data'!C:C,Match($A211,'Player Raw Data'!$B:$B,0)),"")</f>
        <v/>
      </c>
      <c r="C211" t="str">
        <f t="array" ref="C211">IFERROR(INDEX('Player Raw Data'!D:D,Match($A211,'Player Raw Data'!$B:$B,0)),"")</f>
        <v/>
      </c>
      <c r="D211" t="str">
        <f t="array" ref="D211">IFERROR(IF(A211=A210, INDEX('Player Raw Data'!E:E,Match($A211,'Player Raw Data'!$B:$B,0)+2),INDEX('Player Raw Data'!E:E,Match($A211,'Player Raw Data'!$B:$B,0))),"")</f>
        <v/>
      </c>
      <c r="E211" t="str">
        <f t="array" ref="E211">IFERROR(INDEX('Day Range Raw Data'!D:D,Match($A211,'Day Range Raw Data'!$B:$B,0)),"")</f>
        <v/>
      </c>
      <c r="F211" t="str">
        <f t="array" ref="F211">IFERROR(INDEX('Day Range Raw Data'!F:F,Match($A211,'Day Range Raw Data'!$B:$B,0)),"")</f>
        <v/>
      </c>
      <c r="G211" t="str">
        <f t="array" ref="G211">IFERROR(INDEX('Day Range Raw Data'!G:G,Match($A211,'Day Range Raw Data'!$B:$B,0)),"")</f>
        <v/>
      </c>
      <c r="H211" t="str">
        <f t="array" ref="H211">IFERROR(INDEX('Day Range Raw Data'!H:H,Match($A211,'Day Range Raw Data'!$B:$B,0)),"")</f>
        <v/>
      </c>
      <c r="I211" t="str">
        <f t="array" ref="I211">IFERROR(INDEX('Day Range Raw Data'!M:M,Match($A211,'Day Range Raw Data'!$B:$B,0)),"")</f>
        <v/>
      </c>
      <c r="J211" t="str">
        <f t="array" ref="J211">IFERROR(INDEX('Day Range Raw Data'!N:N,Match($A211,'Day Range Raw Data'!$B:$B,0)),"")</f>
        <v/>
      </c>
      <c r="K211" t="str">
        <f t="array" ref="K211">IFERROR(INDEX('Day Range Raw Data'!R:R,Match($A211,'Day Range Raw Data'!$B:$B,0)),"")</f>
        <v/>
      </c>
      <c r="L211" t="str">
        <f t="array" ref="L211">IFERROR(INDEX('Day Range Raw Data'!S:S,Match($A211,'Day Range Raw Data'!$B:$B,0)),"")</f>
        <v/>
      </c>
      <c r="M211" t="str">
        <f t="array" ref="M211">IFERROR(INDEX('Day Range Raw Data'!T:T,Match($A211,'Day Range Raw Data'!$B:$B,0)),"")</f>
        <v/>
      </c>
      <c r="N211" t="str">
        <f t="array" ref="N211">IFERROR(INDEX('Day Range Raw Data'!U:U,Match($A211,'Day Range Raw Data'!$B:$B,0)),"")</f>
        <v/>
      </c>
      <c r="O211" t="str">
        <f t="array" ref="O211">IFERROR(INDEX('Day Range Raw Data'!V:V,Match($A211,'Day Range Raw Data'!$B:$B,0)),"")</f>
        <v/>
      </c>
      <c r="P211" t="str">
        <f t="array" ref="P211">IFERROR(INDEX('Day Range Raw Data'!X:X,Match($A211,'Day Range Raw Data'!$B:$B,0)),"")</f>
        <v/>
      </c>
      <c r="Q211" t="str">
        <f t="shared" si="1"/>
        <v/>
      </c>
      <c r="R211" s="9" t="str">
        <f t="shared" si="2"/>
        <v/>
      </c>
      <c r="S211" s="14" t="str">
        <f t="shared" si="3"/>
        <v/>
      </c>
      <c r="T211" s="15" t="str">
        <f>IFERROR(__xludf.DUMMYFUNCTION("IF($A211="""","""",IFERROR(PERCENTRANK.INC(FILTER(Q:Q,$F:$F&lt;&gt;""""),Q211)*100,""""))"),"")</f>
        <v/>
      </c>
      <c r="U211" s="15" t="str">
        <f>IFERROR(__xludf.DUMMYFUNCTION("IF($A211="""","""",IFERROR(PERCENTRANK.INC(FILTER(R:R,$F:$F&lt;&gt;""""),R211)*100,""""))"),"")</f>
        <v/>
      </c>
      <c r="V211" s="15" t="str">
        <f>IFERROR(__xludf.DUMMYFUNCTION("IF($A211="""","""",IFERROR(PERCENTRANK.INC(FILTER(S:S,$F:$F&lt;&gt;""""),S211)*100,""""))"),"")</f>
        <v/>
      </c>
      <c r="W211" s="15" t="str">
        <f t="shared" si="4"/>
        <v/>
      </c>
    </row>
    <row r="212">
      <c r="B212" t="str">
        <f t="array" ref="B212">IFERROR(INDEX('Player Raw Data'!C:C,Match($A212,'Player Raw Data'!$B:$B,0)),"")</f>
        <v/>
      </c>
      <c r="C212" t="str">
        <f t="array" ref="C212">IFERROR(INDEX('Player Raw Data'!D:D,Match($A212,'Player Raw Data'!$B:$B,0)),"")</f>
        <v/>
      </c>
      <c r="D212" t="str">
        <f t="array" ref="D212">IFERROR(IF(A212=A211, INDEX('Player Raw Data'!E:E,Match($A212,'Player Raw Data'!$B:$B,0)+2),INDEX('Player Raw Data'!E:E,Match($A212,'Player Raw Data'!$B:$B,0))),"")</f>
        <v/>
      </c>
      <c r="E212" t="str">
        <f t="array" ref="E212">IFERROR(INDEX('Day Range Raw Data'!D:D,Match($A212,'Day Range Raw Data'!$B:$B,0)),"")</f>
        <v/>
      </c>
      <c r="F212" t="str">
        <f t="array" ref="F212">IFERROR(INDEX('Day Range Raw Data'!F:F,Match($A212,'Day Range Raw Data'!$B:$B,0)),"")</f>
        <v/>
      </c>
      <c r="G212" t="str">
        <f t="array" ref="G212">IFERROR(INDEX('Day Range Raw Data'!G:G,Match($A212,'Day Range Raw Data'!$B:$B,0)),"")</f>
        <v/>
      </c>
      <c r="H212" t="str">
        <f t="array" ref="H212">IFERROR(INDEX('Day Range Raw Data'!H:H,Match($A212,'Day Range Raw Data'!$B:$B,0)),"")</f>
        <v/>
      </c>
      <c r="I212" t="str">
        <f t="array" ref="I212">IFERROR(INDEX('Day Range Raw Data'!M:M,Match($A212,'Day Range Raw Data'!$B:$B,0)),"")</f>
        <v/>
      </c>
      <c r="J212" t="str">
        <f t="array" ref="J212">IFERROR(INDEX('Day Range Raw Data'!N:N,Match($A212,'Day Range Raw Data'!$B:$B,0)),"")</f>
        <v/>
      </c>
      <c r="K212" t="str">
        <f t="array" ref="K212">IFERROR(INDEX('Day Range Raw Data'!R:R,Match($A212,'Day Range Raw Data'!$B:$B,0)),"")</f>
        <v/>
      </c>
      <c r="L212" t="str">
        <f t="array" ref="L212">IFERROR(INDEX('Day Range Raw Data'!S:S,Match($A212,'Day Range Raw Data'!$B:$B,0)),"")</f>
        <v/>
      </c>
      <c r="M212" t="str">
        <f t="array" ref="M212">IFERROR(INDEX('Day Range Raw Data'!T:T,Match($A212,'Day Range Raw Data'!$B:$B,0)),"")</f>
        <v/>
      </c>
      <c r="N212" t="str">
        <f t="array" ref="N212">IFERROR(INDEX('Day Range Raw Data'!U:U,Match($A212,'Day Range Raw Data'!$B:$B,0)),"")</f>
        <v/>
      </c>
      <c r="O212" t="str">
        <f t="array" ref="O212">IFERROR(INDEX('Day Range Raw Data'!V:V,Match($A212,'Day Range Raw Data'!$B:$B,0)),"")</f>
        <v/>
      </c>
      <c r="P212" t="str">
        <f t="array" ref="P212">IFERROR(INDEX('Day Range Raw Data'!X:X,Match($A212,'Day Range Raw Data'!$B:$B,0)),"")</f>
        <v/>
      </c>
      <c r="Q212" t="str">
        <f t="shared" si="1"/>
        <v/>
      </c>
      <c r="R212" s="9" t="str">
        <f t="shared" si="2"/>
        <v/>
      </c>
      <c r="S212" s="14" t="str">
        <f t="shared" si="3"/>
        <v/>
      </c>
      <c r="T212" s="15" t="str">
        <f>IFERROR(__xludf.DUMMYFUNCTION("IF($A212="""","""",IFERROR(PERCENTRANK.INC(FILTER(Q:Q,$F:$F&lt;&gt;""""),Q212)*100,""""))"),"")</f>
        <v/>
      </c>
      <c r="U212" s="15" t="str">
        <f>IFERROR(__xludf.DUMMYFUNCTION("IF($A212="""","""",IFERROR(PERCENTRANK.INC(FILTER(R:R,$F:$F&lt;&gt;""""),R212)*100,""""))"),"")</f>
        <v/>
      </c>
      <c r="V212" s="15" t="str">
        <f>IFERROR(__xludf.DUMMYFUNCTION("IF($A212="""","""",IFERROR(PERCENTRANK.INC(FILTER(S:S,$F:$F&lt;&gt;""""),S212)*100,""""))"),"")</f>
        <v/>
      </c>
      <c r="W212" s="15" t="str">
        <f t="shared" si="4"/>
        <v/>
      </c>
    </row>
    <row r="213">
      <c r="B213" t="str">
        <f t="array" ref="B213">IFERROR(INDEX('Player Raw Data'!C:C,Match($A213,'Player Raw Data'!$B:$B,0)),"")</f>
        <v/>
      </c>
      <c r="C213" t="str">
        <f t="array" ref="C213">IFERROR(INDEX('Player Raw Data'!D:D,Match($A213,'Player Raw Data'!$B:$B,0)),"")</f>
        <v/>
      </c>
      <c r="D213" t="str">
        <f t="array" ref="D213">IFERROR(IF(A213=A212, INDEX('Player Raw Data'!E:E,Match($A213,'Player Raw Data'!$B:$B,0)+2),INDEX('Player Raw Data'!E:E,Match($A213,'Player Raw Data'!$B:$B,0))),"")</f>
        <v/>
      </c>
      <c r="E213" t="str">
        <f t="array" ref="E213">IFERROR(INDEX('Day Range Raw Data'!D:D,Match($A213,'Day Range Raw Data'!$B:$B,0)),"")</f>
        <v/>
      </c>
      <c r="F213" t="str">
        <f t="array" ref="F213">IFERROR(INDEX('Day Range Raw Data'!F:F,Match($A213,'Day Range Raw Data'!$B:$B,0)),"")</f>
        <v/>
      </c>
      <c r="G213" t="str">
        <f t="array" ref="G213">IFERROR(INDEX('Day Range Raw Data'!G:G,Match($A213,'Day Range Raw Data'!$B:$B,0)),"")</f>
        <v/>
      </c>
      <c r="H213" t="str">
        <f t="array" ref="H213">IFERROR(INDEX('Day Range Raw Data'!H:H,Match($A213,'Day Range Raw Data'!$B:$B,0)),"")</f>
        <v/>
      </c>
      <c r="I213" t="str">
        <f t="array" ref="I213">IFERROR(INDEX('Day Range Raw Data'!M:M,Match($A213,'Day Range Raw Data'!$B:$B,0)),"")</f>
        <v/>
      </c>
      <c r="J213" t="str">
        <f t="array" ref="J213">IFERROR(INDEX('Day Range Raw Data'!N:N,Match($A213,'Day Range Raw Data'!$B:$B,0)),"")</f>
        <v/>
      </c>
      <c r="K213" t="str">
        <f t="array" ref="K213">IFERROR(INDEX('Day Range Raw Data'!R:R,Match($A213,'Day Range Raw Data'!$B:$B,0)),"")</f>
        <v/>
      </c>
      <c r="L213" t="str">
        <f t="array" ref="L213">IFERROR(INDEX('Day Range Raw Data'!S:S,Match($A213,'Day Range Raw Data'!$B:$B,0)),"")</f>
        <v/>
      </c>
      <c r="M213" t="str">
        <f t="array" ref="M213">IFERROR(INDEX('Day Range Raw Data'!T:T,Match($A213,'Day Range Raw Data'!$B:$B,0)),"")</f>
        <v/>
      </c>
      <c r="N213" t="str">
        <f t="array" ref="N213">IFERROR(INDEX('Day Range Raw Data'!U:U,Match($A213,'Day Range Raw Data'!$B:$B,0)),"")</f>
        <v/>
      </c>
      <c r="O213" t="str">
        <f t="array" ref="O213">IFERROR(INDEX('Day Range Raw Data'!V:V,Match($A213,'Day Range Raw Data'!$B:$B,0)),"")</f>
        <v/>
      </c>
      <c r="P213" t="str">
        <f t="array" ref="P213">IFERROR(INDEX('Day Range Raw Data'!X:X,Match($A213,'Day Range Raw Data'!$B:$B,0)),"")</f>
        <v/>
      </c>
      <c r="Q213" t="str">
        <f t="shared" si="1"/>
        <v/>
      </c>
      <c r="R213" s="9" t="str">
        <f t="shared" si="2"/>
        <v/>
      </c>
      <c r="S213" s="14" t="str">
        <f t="shared" si="3"/>
        <v/>
      </c>
      <c r="T213" s="15" t="str">
        <f>IFERROR(__xludf.DUMMYFUNCTION("IF($A213="""","""",IFERROR(PERCENTRANK.INC(FILTER(Q:Q,$F:$F&lt;&gt;""""),Q213)*100,""""))"),"")</f>
        <v/>
      </c>
      <c r="U213" s="15" t="str">
        <f>IFERROR(__xludf.DUMMYFUNCTION("IF($A213="""","""",IFERROR(PERCENTRANK.INC(FILTER(R:R,$F:$F&lt;&gt;""""),R213)*100,""""))"),"")</f>
        <v/>
      </c>
      <c r="V213" s="15" t="str">
        <f>IFERROR(__xludf.DUMMYFUNCTION("IF($A213="""","""",IFERROR(PERCENTRANK.INC(FILTER(S:S,$F:$F&lt;&gt;""""),S213)*100,""""))"),"")</f>
        <v/>
      </c>
      <c r="W213" s="15" t="str">
        <f t="shared" si="4"/>
        <v/>
      </c>
    </row>
    <row r="214">
      <c r="B214" t="str">
        <f t="array" ref="B214">IFERROR(INDEX('Player Raw Data'!C:C,Match($A214,'Player Raw Data'!$B:$B,0)),"")</f>
        <v/>
      </c>
      <c r="C214" t="str">
        <f t="array" ref="C214">IFERROR(INDEX('Player Raw Data'!D:D,Match($A214,'Player Raw Data'!$B:$B,0)),"")</f>
        <v/>
      </c>
      <c r="D214" t="str">
        <f t="array" ref="D214">IFERROR(IF(A214=A213, INDEX('Player Raw Data'!E:E,Match($A214,'Player Raw Data'!$B:$B,0)+2),INDEX('Player Raw Data'!E:E,Match($A214,'Player Raw Data'!$B:$B,0))),"")</f>
        <v/>
      </c>
      <c r="E214" t="str">
        <f t="array" ref="E214">IFERROR(INDEX('Day Range Raw Data'!D:D,Match($A214,'Day Range Raw Data'!$B:$B,0)),"")</f>
        <v/>
      </c>
      <c r="F214" t="str">
        <f t="array" ref="F214">IFERROR(INDEX('Day Range Raw Data'!F:F,Match($A214,'Day Range Raw Data'!$B:$B,0)),"")</f>
        <v/>
      </c>
      <c r="G214" t="str">
        <f t="array" ref="G214">IFERROR(INDEX('Day Range Raw Data'!G:G,Match($A214,'Day Range Raw Data'!$B:$B,0)),"")</f>
        <v/>
      </c>
      <c r="H214" t="str">
        <f t="array" ref="H214">IFERROR(INDEX('Day Range Raw Data'!H:H,Match($A214,'Day Range Raw Data'!$B:$B,0)),"")</f>
        <v/>
      </c>
      <c r="I214" t="str">
        <f t="array" ref="I214">IFERROR(INDEX('Day Range Raw Data'!M:M,Match($A214,'Day Range Raw Data'!$B:$B,0)),"")</f>
        <v/>
      </c>
      <c r="J214" t="str">
        <f t="array" ref="J214">IFERROR(INDEX('Day Range Raw Data'!N:N,Match($A214,'Day Range Raw Data'!$B:$B,0)),"")</f>
        <v/>
      </c>
      <c r="K214" t="str">
        <f t="array" ref="K214">IFERROR(INDEX('Day Range Raw Data'!R:R,Match($A214,'Day Range Raw Data'!$B:$B,0)),"")</f>
        <v/>
      </c>
      <c r="L214" t="str">
        <f t="array" ref="L214">IFERROR(INDEX('Day Range Raw Data'!S:S,Match($A214,'Day Range Raw Data'!$B:$B,0)),"")</f>
        <v/>
      </c>
      <c r="M214" t="str">
        <f t="array" ref="M214">IFERROR(INDEX('Day Range Raw Data'!T:T,Match($A214,'Day Range Raw Data'!$B:$B,0)),"")</f>
        <v/>
      </c>
      <c r="N214" t="str">
        <f t="array" ref="N214">IFERROR(INDEX('Day Range Raw Data'!U:U,Match($A214,'Day Range Raw Data'!$B:$B,0)),"")</f>
        <v/>
      </c>
      <c r="O214" t="str">
        <f t="array" ref="O214">IFERROR(INDEX('Day Range Raw Data'!V:V,Match($A214,'Day Range Raw Data'!$B:$B,0)),"")</f>
        <v/>
      </c>
      <c r="P214" t="str">
        <f t="array" ref="P214">IFERROR(INDEX('Day Range Raw Data'!X:X,Match($A214,'Day Range Raw Data'!$B:$B,0)),"")</f>
        <v/>
      </c>
      <c r="Q214" t="str">
        <f t="shared" si="1"/>
        <v/>
      </c>
      <c r="R214" s="9" t="str">
        <f t="shared" si="2"/>
        <v/>
      </c>
      <c r="S214" s="14" t="str">
        <f t="shared" si="3"/>
        <v/>
      </c>
      <c r="T214" s="15" t="str">
        <f>IFERROR(__xludf.DUMMYFUNCTION("IF($A214="""","""",IFERROR(PERCENTRANK.INC(FILTER(Q:Q,$F:$F&lt;&gt;""""),Q214)*100,""""))"),"")</f>
        <v/>
      </c>
      <c r="U214" s="15" t="str">
        <f>IFERROR(__xludf.DUMMYFUNCTION("IF($A214="""","""",IFERROR(PERCENTRANK.INC(FILTER(R:R,$F:$F&lt;&gt;""""),R214)*100,""""))"),"")</f>
        <v/>
      </c>
      <c r="V214" s="15" t="str">
        <f>IFERROR(__xludf.DUMMYFUNCTION("IF($A214="""","""",IFERROR(PERCENTRANK.INC(FILTER(S:S,$F:$F&lt;&gt;""""),S214)*100,""""))"),"")</f>
        <v/>
      </c>
      <c r="W214" s="15" t="str">
        <f t="shared" si="4"/>
        <v/>
      </c>
    </row>
    <row r="215">
      <c r="B215" t="str">
        <f t="array" ref="B215">IFERROR(INDEX('Player Raw Data'!C:C,Match($A215,'Player Raw Data'!$B:$B,0)),"")</f>
        <v/>
      </c>
      <c r="C215" t="str">
        <f t="array" ref="C215">IFERROR(INDEX('Player Raw Data'!D:D,Match($A215,'Player Raw Data'!$B:$B,0)),"")</f>
        <v/>
      </c>
      <c r="D215" t="str">
        <f t="array" ref="D215">IFERROR(IF(A215=A214, INDEX('Player Raw Data'!E:E,Match($A215,'Player Raw Data'!$B:$B,0)+2),INDEX('Player Raw Data'!E:E,Match($A215,'Player Raw Data'!$B:$B,0))),"")</f>
        <v/>
      </c>
      <c r="E215" t="str">
        <f t="array" ref="E215">IFERROR(INDEX('Day Range Raw Data'!D:D,Match($A215,'Day Range Raw Data'!$B:$B,0)),"")</f>
        <v/>
      </c>
      <c r="F215" t="str">
        <f t="array" ref="F215">IFERROR(INDEX('Day Range Raw Data'!F:F,Match($A215,'Day Range Raw Data'!$B:$B,0)),"")</f>
        <v/>
      </c>
      <c r="G215" t="str">
        <f t="array" ref="G215">IFERROR(INDEX('Day Range Raw Data'!G:G,Match($A215,'Day Range Raw Data'!$B:$B,0)),"")</f>
        <v/>
      </c>
      <c r="H215" t="str">
        <f t="array" ref="H215">IFERROR(INDEX('Day Range Raw Data'!H:H,Match($A215,'Day Range Raw Data'!$B:$B,0)),"")</f>
        <v/>
      </c>
      <c r="I215" t="str">
        <f t="array" ref="I215">IFERROR(INDEX('Day Range Raw Data'!M:M,Match($A215,'Day Range Raw Data'!$B:$B,0)),"")</f>
        <v/>
      </c>
      <c r="J215" t="str">
        <f t="array" ref="J215">IFERROR(INDEX('Day Range Raw Data'!N:N,Match($A215,'Day Range Raw Data'!$B:$B,0)),"")</f>
        <v/>
      </c>
      <c r="K215" t="str">
        <f t="array" ref="K215">IFERROR(INDEX('Day Range Raw Data'!R:R,Match($A215,'Day Range Raw Data'!$B:$B,0)),"")</f>
        <v/>
      </c>
      <c r="L215" t="str">
        <f t="array" ref="L215">IFERROR(INDEX('Day Range Raw Data'!S:S,Match($A215,'Day Range Raw Data'!$B:$B,0)),"")</f>
        <v/>
      </c>
      <c r="M215" t="str">
        <f t="array" ref="M215">IFERROR(INDEX('Day Range Raw Data'!T:T,Match($A215,'Day Range Raw Data'!$B:$B,0)),"")</f>
        <v/>
      </c>
      <c r="N215" t="str">
        <f t="array" ref="N215">IFERROR(INDEX('Day Range Raw Data'!U:U,Match($A215,'Day Range Raw Data'!$B:$B,0)),"")</f>
        <v/>
      </c>
      <c r="O215" t="str">
        <f t="array" ref="O215">IFERROR(INDEX('Day Range Raw Data'!V:V,Match($A215,'Day Range Raw Data'!$B:$B,0)),"")</f>
        <v/>
      </c>
      <c r="P215" t="str">
        <f t="array" ref="P215">IFERROR(INDEX('Day Range Raw Data'!X:X,Match($A215,'Day Range Raw Data'!$B:$B,0)),"")</f>
        <v/>
      </c>
      <c r="Q215" t="str">
        <f t="shared" si="1"/>
        <v/>
      </c>
      <c r="R215" s="9" t="str">
        <f t="shared" si="2"/>
        <v/>
      </c>
      <c r="S215" s="14" t="str">
        <f t="shared" si="3"/>
        <v/>
      </c>
      <c r="T215" s="15" t="str">
        <f>IFERROR(__xludf.DUMMYFUNCTION("IF($A215="""","""",IFERROR(PERCENTRANK.INC(FILTER(Q:Q,$F:$F&lt;&gt;""""),Q215)*100,""""))"),"")</f>
        <v/>
      </c>
      <c r="U215" s="15" t="str">
        <f>IFERROR(__xludf.DUMMYFUNCTION("IF($A215="""","""",IFERROR(PERCENTRANK.INC(FILTER(R:R,$F:$F&lt;&gt;""""),R215)*100,""""))"),"")</f>
        <v/>
      </c>
      <c r="V215" s="15" t="str">
        <f>IFERROR(__xludf.DUMMYFUNCTION("IF($A215="""","""",IFERROR(PERCENTRANK.INC(FILTER(S:S,$F:$F&lt;&gt;""""),S215)*100,""""))"),"")</f>
        <v/>
      </c>
      <c r="W215" s="15" t="str">
        <f t="shared" si="4"/>
        <v/>
      </c>
    </row>
    <row r="216">
      <c r="B216" t="str">
        <f t="array" ref="B216">IFERROR(INDEX('Player Raw Data'!C:C,Match($A216,'Player Raw Data'!$B:$B,0)),"")</f>
        <v/>
      </c>
      <c r="C216" t="str">
        <f t="array" ref="C216">IFERROR(INDEX('Player Raw Data'!D:D,Match($A216,'Player Raw Data'!$B:$B,0)),"")</f>
        <v/>
      </c>
      <c r="D216" t="str">
        <f t="array" ref="D216">IFERROR(IF(A216=A215, INDEX('Player Raw Data'!E:E,Match($A216,'Player Raw Data'!$B:$B,0)+2),INDEX('Player Raw Data'!E:E,Match($A216,'Player Raw Data'!$B:$B,0))),"")</f>
        <v/>
      </c>
      <c r="E216" t="str">
        <f t="array" ref="E216">IFERROR(INDEX('Day Range Raw Data'!D:D,Match($A216,'Day Range Raw Data'!$B:$B,0)),"")</f>
        <v/>
      </c>
      <c r="F216" t="str">
        <f t="array" ref="F216">IFERROR(INDEX('Day Range Raw Data'!F:F,Match($A216,'Day Range Raw Data'!$B:$B,0)),"")</f>
        <v/>
      </c>
      <c r="G216" t="str">
        <f t="array" ref="G216">IFERROR(INDEX('Day Range Raw Data'!G:G,Match($A216,'Day Range Raw Data'!$B:$B,0)),"")</f>
        <v/>
      </c>
      <c r="H216" t="str">
        <f t="array" ref="H216">IFERROR(INDEX('Day Range Raw Data'!H:H,Match($A216,'Day Range Raw Data'!$B:$B,0)),"")</f>
        <v/>
      </c>
      <c r="I216" t="str">
        <f t="array" ref="I216">IFERROR(INDEX('Day Range Raw Data'!M:M,Match($A216,'Day Range Raw Data'!$B:$B,0)),"")</f>
        <v/>
      </c>
      <c r="J216" t="str">
        <f t="array" ref="J216">IFERROR(INDEX('Day Range Raw Data'!N:N,Match($A216,'Day Range Raw Data'!$B:$B,0)),"")</f>
        <v/>
      </c>
      <c r="K216" t="str">
        <f t="array" ref="K216">IFERROR(INDEX('Day Range Raw Data'!R:R,Match($A216,'Day Range Raw Data'!$B:$B,0)),"")</f>
        <v/>
      </c>
      <c r="L216" t="str">
        <f t="array" ref="L216">IFERROR(INDEX('Day Range Raw Data'!S:S,Match($A216,'Day Range Raw Data'!$B:$B,0)),"")</f>
        <v/>
      </c>
      <c r="M216" t="str">
        <f t="array" ref="M216">IFERROR(INDEX('Day Range Raw Data'!T:T,Match($A216,'Day Range Raw Data'!$B:$B,0)),"")</f>
        <v/>
      </c>
      <c r="N216" t="str">
        <f t="array" ref="N216">IFERROR(INDEX('Day Range Raw Data'!U:U,Match($A216,'Day Range Raw Data'!$B:$B,0)),"")</f>
        <v/>
      </c>
      <c r="O216" t="str">
        <f t="array" ref="O216">IFERROR(INDEX('Day Range Raw Data'!V:V,Match($A216,'Day Range Raw Data'!$B:$B,0)),"")</f>
        <v/>
      </c>
      <c r="P216" t="str">
        <f t="array" ref="P216">IFERROR(INDEX('Day Range Raw Data'!X:X,Match($A216,'Day Range Raw Data'!$B:$B,0)),"")</f>
        <v/>
      </c>
      <c r="Q216" t="str">
        <f t="shared" si="1"/>
        <v/>
      </c>
      <c r="R216" s="9" t="str">
        <f t="shared" si="2"/>
        <v/>
      </c>
      <c r="S216" s="14" t="str">
        <f t="shared" si="3"/>
        <v/>
      </c>
      <c r="T216" s="15" t="str">
        <f>IFERROR(__xludf.DUMMYFUNCTION("IF($A216="""","""",IFERROR(PERCENTRANK.INC(FILTER(Q:Q,$F:$F&lt;&gt;""""),Q216)*100,""""))"),"")</f>
        <v/>
      </c>
      <c r="U216" s="15" t="str">
        <f>IFERROR(__xludf.DUMMYFUNCTION("IF($A216="""","""",IFERROR(PERCENTRANK.INC(FILTER(R:R,$F:$F&lt;&gt;""""),R216)*100,""""))"),"")</f>
        <v/>
      </c>
      <c r="V216" s="15" t="str">
        <f>IFERROR(__xludf.DUMMYFUNCTION("IF($A216="""","""",IFERROR(PERCENTRANK.INC(FILTER(S:S,$F:$F&lt;&gt;""""),S216)*100,""""))"),"")</f>
        <v/>
      </c>
      <c r="W216" s="15" t="str">
        <f t="shared" si="4"/>
        <v/>
      </c>
    </row>
    <row r="217">
      <c r="B217" t="str">
        <f t="array" ref="B217">IFERROR(INDEX('Player Raw Data'!C:C,Match($A217,'Player Raw Data'!$B:$B,0)),"")</f>
        <v/>
      </c>
      <c r="C217" t="str">
        <f t="array" ref="C217">IFERROR(INDEX('Player Raw Data'!D:D,Match($A217,'Player Raw Data'!$B:$B,0)),"")</f>
        <v/>
      </c>
      <c r="D217" t="str">
        <f t="array" ref="D217">IFERROR(IF(A217=A216, INDEX('Player Raw Data'!E:E,Match($A217,'Player Raw Data'!$B:$B,0)+2),INDEX('Player Raw Data'!E:E,Match($A217,'Player Raw Data'!$B:$B,0))),"")</f>
        <v/>
      </c>
      <c r="E217" t="str">
        <f t="array" ref="E217">IFERROR(INDEX('Day Range Raw Data'!D:D,Match($A217,'Day Range Raw Data'!$B:$B,0)),"")</f>
        <v/>
      </c>
      <c r="F217" t="str">
        <f t="array" ref="F217">IFERROR(INDEX('Day Range Raw Data'!F:F,Match($A217,'Day Range Raw Data'!$B:$B,0)),"")</f>
        <v/>
      </c>
      <c r="G217" t="str">
        <f t="array" ref="G217">IFERROR(INDEX('Day Range Raw Data'!G:G,Match($A217,'Day Range Raw Data'!$B:$B,0)),"")</f>
        <v/>
      </c>
      <c r="H217" t="str">
        <f t="array" ref="H217">IFERROR(INDEX('Day Range Raw Data'!H:H,Match($A217,'Day Range Raw Data'!$B:$B,0)),"")</f>
        <v/>
      </c>
      <c r="I217" t="str">
        <f t="array" ref="I217">IFERROR(INDEX('Day Range Raw Data'!M:M,Match($A217,'Day Range Raw Data'!$B:$B,0)),"")</f>
        <v/>
      </c>
      <c r="J217" t="str">
        <f t="array" ref="J217">IFERROR(INDEX('Day Range Raw Data'!N:N,Match($A217,'Day Range Raw Data'!$B:$B,0)),"")</f>
        <v/>
      </c>
      <c r="K217" t="str">
        <f t="array" ref="K217">IFERROR(INDEX('Day Range Raw Data'!R:R,Match($A217,'Day Range Raw Data'!$B:$B,0)),"")</f>
        <v/>
      </c>
      <c r="L217" t="str">
        <f t="array" ref="L217">IFERROR(INDEX('Day Range Raw Data'!S:S,Match($A217,'Day Range Raw Data'!$B:$B,0)),"")</f>
        <v/>
      </c>
      <c r="M217" t="str">
        <f t="array" ref="M217">IFERROR(INDEX('Day Range Raw Data'!T:T,Match($A217,'Day Range Raw Data'!$B:$B,0)),"")</f>
        <v/>
      </c>
      <c r="N217" t="str">
        <f t="array" ref="N217">IFERROR(INDEX('Day Range Raw Data'!U:U,Match($A217,'Day Range Raw Data'!$B:$B,0)),"")</f>
        <v/>
      </c>
      <c r="O217" t="str">
        <f t="array" ref="O217">IFERROR(INDEX('Day Range Raw Data'!V:V,Match($A217,'Day Range Raw Data'!$B:$B,0)),"")</f>
        <v/>
      </c>
      <c r="P217" t="str">
        <f t="array" ref="P217">IFERROR(INDEX('Day Range Raw Data'!X:X,Match($A217,'Day Range Raw Data'!$B:$B,0)),"")</f>
        <v/>
      </c>
      <c r="Q217" t="str">
        <f t="shared" si="1"/>
        <v/>
      </c>
      <c r="R217" s="9" t="str">
        <f t="shared" si="2"/>
        <v/>
      </c>
      <c r="S217" s="14" t="str">
        <f t="shared" si="3"/>
        <v/>
      </c>
      <c r="T217" s="15" t="str">
        <f>IFERROR(__xludf.DUMMYFUNCTION("IF($A217="""","""",IFERROR(PERCENTRANK.INC(FILTER(Q:Q,$F:$F&lt;&gt;""""),Q217)*100,""""))"),"")</f>
        <v/>
      </c>
      <c r="U217" s="15" t="str">
        <f>IFERROR(__xludf.DUMMYFUNCTION("IF($A217="""","""",IFERROR(PERCENTRANK.INC(FILTER(R:R,$F:$F&lt;&gt;""""),R217)*100,""""))"),"")</f>
        <v/>
      </c>
      <c r="V217" s="15" t="str">
        <f>IFERROR(__xludf.DUMMYFUNCTION("IF($A217="""","""",IFERROR(PERCENTRANK.INC(FILTER(S:S,$F:$F&lt;&gt;""""),S217)*100,""""))"),"")</f>
        <v/>
      </c>
      <c r="W217" s="15" t="str">
        <f t="shared" si="4"/>
        <v/>
      </c>
    </row>
    <row r="218">
      <c r="B218" t="str">
        <f t="array" ref="B218">IFERROR(INDEX('Player Raw Data'!C:C,Match($A218,'Player Raw Data'!$B:$B,0)),"")</f>
        <v/>
      </c>
      <c r="C218" t="str">
        <f t="array" ref="C218">IFERROR(INDEX('Player Raw Data'!D:D,Match($A218,'Player Raw Data'!$B:$B,0)),"")</f>
        <v/>
      </c>
      <c r="D218" t="str">
        <f t="array" ref="D218">IFERROR(IF(A218=A217, INDEX('Player Raw Data'!E:E,Match($A218,'Player Raw Data'!$B:$B,0)+2),INDEX('Player Raw Data'!E:E,Match($A218,'Player Raw Data'!$B:$B,0))),"")</f>
        <v/>
      </c>
      <c r="E218" t="str">
        <f t="array" ref="E218">IFERROR(INDEX('Day Range Raw Data'!D:D,Match($A218,'Day Range Raw Data'!$B:$B,0)),"")</f>
        <v/>
      </c>
      <c r="F218" t="str">
        <f t="array" ref="F218">IFERROR(INDEX('Day Range Raw Data'!F:F,Match($A218,'Day Range Raw Data'!$B:$B,0)),"")</f>
        <v/>
      </c>
      <c r="G218" t="str">
        <f t="array" ref="G218">IFERROR(INDEX('Day Range Raw Data'!G:G,Match($A218,'Day Range Raw Data'!$B:$B,0)),"")</f>
        <v/>
      </c>
      <c r="H218" t="str">
        <f t="array" ref="H218">IFERROR(INDEX('Day Range Raw Data'!H:H,Match($A218,'Day Range Raw Data'!$B:$B,0)),"")</f>
        <v/>
      </c>
      <c r="I218" t="str">
        <f t="array" ref="I218">IFERROR(INDEX('Day Range Raw Data'!M:M,Match($A218,'Day Range Raw Data'!$B:$B,0)),"")</f>
        <v/>
      </c>
      <c r="J218" t="str">
        <f t="array" ref="J218">IFERROR(INDEX('Day Range Raw Data'!N:N,Match($A218,'Day Range Raw Data'!$B:$B,0)),"")</f>
        <v/>
      </c>
      <c r="K218" t="str">
        <f t="array" ref="K218">IFERROR(INDEX('Day Range Raw Data'!R:R,Match($A218,'Day Range Raw Data'!$B:$B,0)),"")</f>
        <v/>
      </c>
      <c r="L218" t="str">
        <f t="array" ref="L218">IFERROR(INDEX('Day Range Raw Data'!S:S,Match($A218,'Day Range Raw Data'!$B:$B,0)),"")</f>
        <v/>
      </c>
      <c r="M218" t="str">
        <f t="array" ref="M218">IFERROR(INDEX('Day Range Raw Data'!T:T,Match($A218,'Day Range Raw Data'!$B:$B,0)),"")</f>
        <v/>
      </c>
      <c r="N218" t="str">
        <f t="array" ref="N218">IFERROR(INDEX('Day Range Raw Data'!U:U,Match($A218,'Day Range Raw Data'!$B:$B,0)),"")</f>
        <v/>
      </c>
      <c r="O218" t="str">
        <f t="array" ref="O218">IFERROR(INDEX('Day Range Raw Data'!V:V,Match($A218,'Day Range Raw Data'!$B:$B,0)),"")</f>
        <v/>
      </c>
      <c r="P218" t="str">
        <f t="array" ref="P218">IFERROR(INDEX('Day Range Raw Data'!X:X,Match($A218,'Day Range Raw Data'!$B:$B,0)),"")</f>
        <v/>
      </c>
      <c r="Q218" t="str">
        <f t="shared" si="1"/>
        <v/>
      </c>
      <c r="R218" s="9" t="str">
        <f t="shared" si="2"/>
        <v/>
      </c>
      <c r="S218" s="14" t="str">
        <f t="shared" si="3"/>
        <v/>
      </c>
      <c r="T218" s="15" t="str">
        <f>IFERROR(__xludf.DUMMYFUNCTION("IF($A218="""","""",IFERROR(PERCENTRANK.INC(FILTER(Q:Q,$F:$F&lt;&gt;""""),Q218)*100,""""))"),"")</f>
        <v/>
      </c>
      <c r="U218" s="15" t="str">
        <f>IFERROR(__xludf.DUMMYFUNCTION("IF($A218="""","""",IFERROR(PERCENTRANK.INC(FILTER(R:R,$F:$F&lt;&gt;""""),R218)*100,""""))"),"")</f>
        <v/>
      </c>
      <c r="V218" s="15" t="str">
        <f>IFERROR(__xludf.DUMMYFUNCTION("IF($A218="""","""",IFERROR(PERCENTRANK.INC(FILTER(S:S,$F:$F&lt;&gt;""""),S218)*100,""""))"),"")</f>
        <v/>
      </c>
      <c r="W218" s="15" t="str">
        <f t="shared" si="4"/>
        <v/>
      </c>
    </row>
    <row r="219">
      <c r="B219" t="str">
        <f t="array" ref="B219">IFERROR(INDEX('Player Raw Data'!C:C,Match($A219,'Player Raw Data'!$B:$B,0)),"")</f>
        <v/>
      </c>
      <c r="C219" t="str">
        <f t="array" ref="C219">IFERROR(INDEX('Player Raw Data'!D:D,Match($A219,'Player Raw Data'!$B:$B,0)),"")</f>
        <v/>
      </c>
      <c r="D219" t="str">
        <f t="array" ref="D219">IFERROR(IF(A219=A218, INDEX('Player Raw Data'!E:E,Match($A219,'Player Raw Data'!$B:$B,0)+2),INDEX('Player Raw Data'!E:E,Match($A219,'Player Raw Data'!$B:$B,0))),"")</f>
        <v/>
      </c>
      <c r="E219" t="str">
        <f t="array" ref="E219">IFERROR(INDEX('Day Range Raw Data'!D:D,Match($A219,'Day Range Raw Data'!$B:$B,0)),"")</f>
        <v/>
      </c>
      <c r="F219" t="str">
        <f t="array" ref="F219">IFERROR(INDEX('Day Range Raw Data'!F:F,Match($A219,'Day Range Raw Data'!$B:$B,0)),"")</f>
        <v/>
      </c>
      <c r="G219" t="str">
        <f t="array" ref="G219">IFERROR(INDEX('Day Range Raw Data'!G:G,Match($A219,'Day Range Raw Data'!$B:$B,0)),"")</f>
        <v/>
      </c>
      <c r="H219" t="str">
        <f t="array" ref="H219">IFERROR(INDEX('Day Range Raw Data'!H:H,Match($A219,'Day Range Raw Data'!$B:$B,0)),"")</f>
        <v/>
      </c>
      <c r="I219" t="str">
        <f t="array" ref="I219">IFERROR(INDEX('Day Range Raw Data'!M:M,Match($A219,'Day Range Raw Data'!$B:$B,0)),"")</f>
        <v/>
      </c>
      <c r="J219" t="str">
        <f t="array" ref="J219">IFERROR(INDEX('Day Range Raw Data'!N:N,Match($A219,'Day Range Raw Data'!$B:$B,0)),"")</f>
        <v/>
      </c>
      <c r="K219" t="str">
        <f t="array" ref="K219">IFERROR(INDEX('Day Range Raw Data'!R:R,Match($A219,'Day Range Raw Data'!$B:$B,0)),"")</f>
        <v/>
      </c>
      <c r="L219" t="str">
        <f t="array" ref="L219">IFERROR(INDEX('Day Range Raw Data'!S:S,Match($A219,'Day Range Raw Data'!$B:$B,0)),"")</f>
        <v/>
      </c>
      <c r="M219" t="str">
        <f t="array" ref="M219">IFERROR(INDEX('Day Range Raw Data'!T:T,Match($A219,'Day Range Raw Data'!$B:$B,0)),"")</f>
        <v/>
      </c>
      <c r="N219" t="str">
        <f t="array" ref="N219">IFERROR(INDEX('Day Range Raw Data'!U:U,Match($A219,'Day Range Raw Data'!$B:$B,0)),"")</f>
        <v/>
      </c>
      <c r="O219" t="str">
        <f t="array" ref="O219">IFERROR(INDEX('Day Range Raw Data'!V:V,Match($A219,'Day Range Raw Data'!$B:$B,0)),"")</f>
        <v/>
      </c>
      <c r="P219" t="str">
        <f t="array" ref="P219">IFERROR(INDEX('Day Range Raw Data'!X:X,Match($A219,'Day Range Raw Data'!$B:$B,0)),"")</f>
        <v/>
      </c>
      <c r="Q219" t="str">
        <f t="shared" si="1"/>
        <v/>
      </c>
      <c r="R219" s="9" t="str">
        <f t="shared" si="2"/>
        <v/>
      </c>
      <c r="S219" s="14" t="str">
        <f t="shared" si="3"/>
        <v/>
      </c>
      <c r="T219" s="15" t="str">
        <f>IFERROR(__xludf.DUMMYFUNCTION("IF($A219="""","""",IFERROR(PERCENTRANK.INC(FILTER(Q:Q,$F:$F&lt;&gt;""""),Q219)*100,""""))"),"")</f>
        <v/>
      </c>
      <c r="U219" s="15" t="str">
        <f>IFERROR(__xludf.DUMMYFUNCTION("IF($A219="""","""",IFERROR(PERCENTRANK.INC(FILTER(R:R,$F:$F&lt;&gt;""""),R219)*100,""""))"),"")</f>
        <v/>
      </c>
      <c r="V219" s="15" t="str">
        <f>IFERROR(__xludf.DUMMYFUNCTION("IF($A219="""","""",IFERROR(PERCENTRANK.INC(FILTER(S:S,$F:$F&lt;&gt;""""),S219)*100,""""))"),"")</f>
        <v/>
      </c>
      <c r="W219" s="15" t="str">
        <f t="shared" si="4"/>
        <v/>
      </c>
    </row>
    <row r="220">
      <c r="B220" t="str">
        <f t="array" ref="B220">IFERROR(INDEX('Player Raw Data'!C:C,Match($A220,'Player Raw Data'!$B:$B,0)),"")</f>
        <v/>
      </c>
      <c r="C220" t="str">
        <f t="array" ref="C220">IFERROR(INDEX('Player Raw Data'!D:D,Match($A220,'Player Raw Data'!$B:$B,0)),"")</f>
        <v/>
      </c>
      <c r="D220" t="str">
        <f t="array" ref="D220">IFERROR(IF(A220=A219, INDEX('Player Raw Data'!E:E,Match($A220,'Player Raw Data'!$B:$B,0)+2),INDEX('Player Raw Data'!E:E,Match($A220,'Player Raw Data'!$B:$B,0))),"")</f>
        <v/>
      </c>
      <c r="E220" t="str">
        <f t="array" ref="E220">IFERROR(INDEX('Day Range Raw Data'!D:D,Match($A220,'Day Range Raw Data'!$B:$B,0)),"")</f>
        <v/>
      </c>
      <c r="F220" t="str">
        <f t="array" ref="F220">IFERROR(INDEX('Day Range Raw Data'!F:F,Match($A220,'Day Range Raw Data'!$B:$B,0)),"")</f>
        <v/>
      </c>
      <c r="G220" t="str">
        <f t="array" ref="G220">IFERROR(INDEX('Day Range Raw Data'!G:G,Match($A220,'Day Range Raw Data'!$B:$B,0)),"")</f>
        <v/>
      </c>
      <c r="H220" t="str">
        <f t="array" ref="H220">IFERROR(INDEX('Day Range Raw Data'!H:H,Match($A220,'Day Range Raw Data'!$B:$B,0)),"")</f>
        <v/>
      </c>
      <c r="I220" t="str">
        <f t="array" ref="I220">IFERROR(INDEX('Day Range Raw Data'!M:M,Match($A220,'Day Range Raw Data'!$B:$B,0)),"")</f>
        <v/>
      </c>
      <c r="J220" t="str">
        <f t="array" ref="J220">IFERROR(INDEX('Day Range Raw Data'!N:N,Match($A220,'Day Range Raw Data'!$B:$B,0)),"")</f>
        <v/>
      </c>
      <c r="K220" t="str">
        <f t="array" ref="K220">IFERROR(INDEX('Day Range Raw Data'!R:R,Match($A220,'Day Range Raw Data'!$B:$B,0)),"")</f>
        <v/>
      </c>
      <c r="L220" t="str">
        <f t="array" ref="L220">IFERROR(INDEX('Day Range Raw Data'!S:S,Match($A220,'Day Range Raw Data'!$B:$B,0)),"")</f>
        <v/>
      </c>
      <c r="M220" t="str">
        <f t="array" ref="M220">IFERROR(INDEX('Day Range Raw Data'!T:T,Match($A220,'Day Range Raw Data'!$B:$B,0)),"")</f>
        <v/>
      </c>
      <c r="N220" t="str">
        <f t="array" ref="N220">IFERROR(INDEX('Day Range Raw Data'!U:U,Match($A220,'Day Range Raw Data'!$B:$B,0)),"")</f>
        <v/>
      </c>
      <c r="O220" t="str">
        <f t="array" ref="O220">IFERROR(INDEX('Day Range Raw Data'!V:V,Match($A220,'Day Range Raw Data'!$B:$B,0)),"")</f>
        <v/>
      </c>
      <c r="P220" t="str">
        <f t="array" ref="P220">IFERROR(INDEX('Day Range Raw Data'!X:X,Match($A220,'Day Range Raw Data'!$B:$B,0)),"")</f>
        <v/>
      </c>
      <c r="Q220" t="str">
        <f t="shared" si="1"/>
        <v/>
      </c>
      <c r="R220" s="9" t="str">
        <f t="shared" si="2"/>
        <v/>
      </c>
      <c r="S220" s="14" t="str">
        <f t="shared" si="3"/>
        <v/>
      </c>
      <c r="T220" s="15" t="str">
        <f>IFERROR(__xludf.DUMMYFUNCTION("IF($A220="""","""",IFERROR(PERCENTRANK.INC(FILTER(Q:Q,$F:$F&lt;&gt;""""),Q220)*100,""""))"),"")</f>
        <v/>
      </c>
      <c r="U220" s="15" t="str">
        <f>IFERROR(__xludf.DUMMYFUNCTION("IF($A220="""","""",IFERROR(PERCENTRANK.INC(FILTER(R:R,$F:$F&lt;&gt;""""),R220)*100,""""))"),"")</f>
        <v/>
      </c>
      <c r="V220" s="15" t="str">
        <f>IFERROR(__xludf.DUMMYFUNCTION("IF($A220="""","""",IFERROR(PERCENTRANK.INC(FILTER(S:S,$F:$F&lt;&gt;""""),S220)*100,""""))"),"")</f>
        <v/>
      </c>
      <c r="W220" s="15" t="str">
        <f t="shared" si="4"/>
        <v/>
      </c>
    </row>
    <row r="221">
      <c r="B221" t="str">
        <f t="array" ref="B221">IFERROR(INDEX('Player Raw Data'!C:C,Match($A221,'Player Raw Data'!$B:$B,0)),"")</f>
        <v/>
      </c>
      <c r="C221" t="str">
        <f t="array" ref="C221">IFERROR(INDEX('Player Raw Data'!D:D,Match($A221,'Player Raw Data'!$B:$B,0)),"")</f>
        <v/>
      </c>
      <c r="D221" t="str">
        <f t="array" ref="D221">IFERROR(IF(A221=A220, INDEX('Player Raw Data'!E:E,Match($A221,'Player Raw Data'!$B:$B,0)+2),INDEX('Player Raw Data'!E:E,Match($A221,'Player Raw Data'!$B:$B,0))),"")</f>
        <v/>
      </c>
      <c r="E221" t="str">
        <f t="array" ref="E221">IFERROR(INDEX('Day Range Raw Data'!D:D,Match($A221,'Day Range Raw Data'!$B:$B,0)),"")</f>
        <v/>
      </c>
      <c r="F221" t="str">
        <f t="array" ref="F221">IFERROR(INDEX('Day Range Raw Data'!F:F,Match($A221,'Day Range Raw Data'!$B:$B,0)),"")</f>
        <v/>
      </c>
      <c r="G221" t="str">
        <f t="array" ref="G221">IFERROR(INDEX('Day Range Raw Data'!G:G,Match($A221,'Day Range Raw Data'!$B:$B,0)),"")</f>
        <v/>
      </c>
      <c r="H221" t="str">
        <f t="array" ref="H221">IFERROR(INDEX('Day Range Raw Data'!H:H,Match($A221,'Day Range Raw Data'!$B:$B,0)),"")</f>
        <v/>
      </c>
      <c r="I221" t="str">
        <f t="array" ref="I221">IFERROR(INDEX('Day Range Raw Data'!M:M,Match($A221,'Day Range Raw Data'!$B:$B,0)),"")</f>
        <v/>
      </c>
      <c r="J221" t="str">
        <f t="array" ref="J221">IFERROR(INDEX('Day Range Raw Data'!N:N,Match($A221,'Day Range Raw Data'!$B:$B,0)),"")</f>
        <v/>
      </c>
      <c r="K221" t="str">
        <f t="array" ref="K221">IFERROR(INDEX('Day Range Raw Data'!R:R,Match($A221,'Day Range Raw Data'!$B:$B,0)),"")</f>
        <v/>
      </c>
      <c r="L221" t="str">
        <f t="array" ref="L221">IFERROR(INDEX('Day Range Raw Data'!S:S,Match($A221,'Day Range Raw Data'!$B:$B,0)),"")</f>
        <v/>
      </c>
      <c r="M221" t="str">
        <f t="array" ref="M221">IFERROR(INDEX('Day Range Raw Data'!T:T,Match($A221,'Day Range Raw Data'!$B:$B,0)),"")</f>
        <v/>
      </c>
      <c r="N221" t="str">
        <f t="array" ref="N221">IFERROR(INDEX('Day Range Raw Data'!U:U,Match($A221,'Day Range Raw Data'!$B:$B,0)),"")</f>
        <v/>
      </c>
      <c r="O221" t="str">
        <f t="array" ref="O221">IFERROR(INDEX('Day Range Raw Data'!V:V,Match($A221,'Day Range Raw Data'!$B:$B,0)),"")</f>
        <v/>
      </c>
      <c r="P221" t="str">
        <f t="array" ref="P221">IFERROR(INDEX('Day Range Raw Data'!X:X,Match($A221,'Day Range Raw Data'!$B:$B,0)),"")</f>
        <v/>
      </c>
      <c r="Q221" t="str">
        <f t="shared" si="1"/>
        <v/>
      </c>
      <c r="R221" s="9" t="str">
        <f t="shared" si="2"/>
        <v/>
      </c>
      <c r="S221" s="14" t="str">
        <f t="shared" si="3"/>
        <v/>
      </c>
      <c r="T221" s="15" t="str">
        <f>IFERROR(__xludf.DUMMYFUNCTION("IF($A221="""","""",IFERROR(PERCENTRANK.INC(FILTER(Q:Q,$F:$F&lt;&gt;""""),Q221)*100,""""))"),"")</f>
        <v/>
      </c>
      <c r="U221" s="15" t="str">
        <f>IFERROR(__xludf.DUMMYFUNCTION("IF($A221="""","""",IFERROR(PERCENTRANK.INC(FILTER(R:R,$F:$F&lt;&gt;""""),R221)*100,""""))"),"")</f>
        <v/>
      </c>
      <c r="V221" s="15" t="str">
        <f>IFERROR(__xludf.DUMMYFUNCTION("IF($A221="""","""",IFERROR(PERCENTRANK.INC(FILTER(S:S,$F:$F&lt;&gt;""""),S221)*100,""""))"),"")</f>
        <v/>
      </c>
      <c r="W221" s="15" t="str">
        <f t="shared" si="4"/>
        <v/>
      </c>
    </row>
    <row r="222">
      <c r="B222" t="str">
        <f t="array" ref="B222">IFERROR(INDEX('Player Raw Data'!C:C,Match($A222,'Player Raw Data'!$B:$B,0)),"")</f>
        <v/>
      </c>
      <c r="C222" t="str">
        <f t="array" ref="C222">IFERROR(INDEX('Player Raw Data'!D:D,Match($A222,'Player Raw Data'!$B:$B,0)),"")</f>
        <v/>
      </c>
      <c r="D222" t="str">
        <f t="array" ref="D222">IFERROR(IF(A222=A221, INDEX('Player Raw Data'!E:E,Match($A222,'Player Raw Data'!$B:$B,0)+2),INDEX('Player Raw Data'!E:E,Match($A222,'Player Raw Data'!$B:$B,0))),"")</f>
        <v/>
      </c>
      <c r="E222" t="str">
        <f t="array" ref="E222">IFERROR(INDEX('Day Range Raw Data'!D:D,Match($A222,'Day Range Raw Data'!$B:$B,0)),"")</f>
        <v/>
      </c>
      <c r="F222" t="str">
        <f t="array" ref="F222">IFERROR(INDEX('Day Range Raw Data'!F:F,Match($A222,'Day Range Raw Data'!$B:$B,0)),"")</f>
        <v/>
      </c>
      <c r="G222" t="str">
        <f t="array" ref="G222">IFERROR(INDEX('Day Range Raw Data'!G:G,Match($A222,'Day Range Raw Data'!$B:$B,0)),"")</f>
        <v/>
      </c>
      <c r="H222" t="str">
        <f t="array" ref="H222">IFERROR(INDEX('Day Range Raw Data'!H:H,Match($A222,'Day Range Raw Data'!$B:$B,0)),"")</f>
        <v/>
      </c>
      <c r="I222" t="str">
        <f t="array" ref="I222">IFERROR(INDEX('Day Range Raw Data'!M:M,Match($A222,'Day Range Raw Data'!$B:$B,0)),"")</f>
        <v/>
      </c>
      <c r="J222" t="str">
        <f t="array" ref="J222">IFERROR(INDEX('Day Range Raw Data'!N:N,Match($A222,'Day Range Raw Data'!$B:$B,0)),"")</f>
        <v/>
      </c>
      <c r="K222" t="str">
        <f t="array" ref="K222">IFERROR(INDEX('Day Range Raw Data'!R:R,Match($A222,'Day Range Raw Data'!$B:$B,0)),"")</f>
        <v/>
      </c>
      <c r="L222" t="str">
        <f t="array" ref="L222">IFERROR(INDEX('Day Range Raw Data'!S:S,Match($A222,'Day Range Raw Data'!$B:$B,0)),"")</f>
        <v/>
      </c>
      <c r="M222" t="str">
        <f t="array" ref="M222">IFERROR(INDEX('Day Range Raw Data'!T:T,Match($A222,'Day Range Raw Data'!$B:$B,0)),"")</f>
        <v/>
      </c>
      <c r="N222" t="str">
        <f t="array" ref="N222">IFERROR(INDEX('Day Range Raw Data'!U:U,Match($A222,'Day Range Raw Data'!$B:$B,0)),"")</f>
        <v/>
      </c>
      <c r="O222" t="str">
        <f t="array" ref="O222">IFERROR(INDEX('Day Range Raw Data'!V:V,Match($A222,'Day Range Raw Data'!$B:$B,0)),"")</f>
        <v/>
      </c>
      <c r="P222" t="str">
        <f t="array" ref="P222">IFERROR(INDEX('Day Range Raw Data'!X:X,Match($A222,'Day Range Raw Data'!$B:$B,0)),"")</f>
        <v/>
      </c>
      <c r="Q222" t="str">
        <f t="shared" si="1"/>
        <v/>
      </c>
      <c r="R222" s="9" t="str">
        <f t="shared" si="2"/>
        <v/>
      </c>
      <c r="S222" s="14" t="str">
        <f t="shared" si="3"/>
        <v/>
      </c>
      <c r="T222" s="15" t="str">
        <f>IFERROR(__xludf.DUMMYFUNCTION("IF($A222="""","""",IFERROR(PERCENTRANK.INC(FILTER(Q:Q,$F:$F&lt;&gt;""""),Q222)*100,""""))"),"")</f>
        <v/>
      </c>
      <c r="U222" s="15" t="str">
        <f>IFERROR(__xludf.DUMMYFUNCTION("IF($A222="""","""",IFERROR(PERCENTRANK.INC(FILTER(R:R,$F:$F&lt;&gt;""""),R222)*100,""""))"),"")</f>
        <v/>
      </c>
      <c r="V222" s="15" t="str">
        <f>IFERROR(__xludf.DUMMYFUNCTION("IF($A222="""","""",IFERROR(PERCENTRANK.INC(FILTER(S:S,$F:$F&lt;&gt;""""),S222)*100,""""))"),"")</f>
        <v/>
      </c>
      <c r="W222" s="15" t="str">
        <f t="shared" si="4"/>
        <v/>
      </c>
    </row>
    <row r="223">
      <c r="B223" t="str">
        <f t="array" ref="B223">IFERROR(INDEX('Player Raw Data'!C:C,Match($A223,'Player Raw Data'!$B:$B,0)),"")</f>
        <v/>
      </c>
      <c r="C223" t="str">
        <f t="array" ref="C223">IFERROR(INDEX('Player Raw Data'!D:D,Match($A223,'Player Raw Data'!$B:$B,0)),"")</f>
        <v/>
      </c>
      <c r="D223" t="str">
        <f t="array" ref="D223">IFERROR(IF(A223=A222, INDEX('Player Raw Data'!E:E,Match($A223,'Player Raw Data'!$B:$B,0)+2),INDEX('Player Raw Data'!E:E,Match($A223,'Player Raw Data'!$B:$B,0))),"")</f>
        <v/>
      </c>
      <c r="E223" t="str">
        <f t="array" ref="E223">IFERROR(INDEX('Day Range Raw Data'!D:D,Match($A223,'Day Range Raw Data'!$B:$B,0)),"")</f>
        <v/>
      </c>
      <c r="F223" t="str">
        <f t="array" ref="F223">IFERROR(INDEX('Day Range Raw Data'!F:F,Match($A223,'Day Range Raw Data'!$B:$B,0)),"")</f>
        <v/>
      </c>
      <c r="G223" t="str">
        <f t="array" ref="G223">IFERROR(INDEX('Day Range Raw Data'!G:G,Match($A223,'Day Range Raw Data'!$B:$B,0)),"")</f>
        <v/>
      </c>
      <c r="H223" t="str">
        <f t="array" ref="H223">IFERROR(INDEX('Day Range Raw Data'!H:H,Match($A223,'Day Range Raw Data'!$B:$B,0)),"")</f>
        <v/>
      </c>
      <c r="I223" t="str">
        <f t="array" ref="I223">IFERROR(INDEX('Day Range Raw Data'!M:M,Match($A223,'Day Range Raw Data'!$B:$B,0)),"")</f>
        <v/>
      </c>
      <c r="J223" t="str">
        <f t="array" ref="J223">IFERROR(INDEX('Day Range Raw Data'!N:N,Match($A223,'Day Range Raw Data'!$B:$B,0)),"")</f>
        <v/>
      </c>
      <c r="K223" t="str">
        <f t="array" ref="K223">IFERROR(INDEX('Day Range Raw Data'!R:R,Match($A223,'Day Range Raw Data'!$B:$B,0)),"")</f>
        <v/>
      </c>
      <c r="L223" t="str">
        <f t="array" ref="L223">IFERROR(INDEX('Day Range Raw Data'!S:S,Match($A223,'Day Range Raw Data'!$B:$B,0)),"")</f>
        <v/>
      </c>
      <c r="M223" t="str">
        <f t="array" ref="M223">IFERROR(INDEX('Day Range Raw Data'!T:T,Match($A223,'Day Range Raw Data'!$B:$B,0)),"")</f>
        <v/>
      </c>
      <c r="N223" t="str">
        <f t="array" ref="N223">IFERROR(INDEX('Day Range Raw Data'!U:U,Match($A223,'Day Range Raw Data'!$B:$B,0)),"")</f>
        <v/>
      </c>
      <c r="O223" t="str">
        <f t="array" ref="O223">IFERROR(INDEX('Day Range Raw Data'!V:V,Match($A223,'Day Range Raw Data'!$B:$B,0)),"")</f>
        <v/>
      </c>
      <c r="P223" t="str">
        <f t="array" ref="P223">IFERROR(INDEX('Day Range Raw Data'!X:X,Match($A223,'Day Range Raw Data'!$B:$B,0)),"")</f>
        <v/>
      </c>
      <c r="Q223" t="str">
        <f t="shared" si="1"/>
        <v/>
      </c>
      <c r="R223" s="9" t="str">
        <f t="shared" si="2"/>
        <v/>
      </c>
      <c r="S223" s="14" t="str">
        <f t="shared" si="3"/>
        <v/>
      </c>
      <c r="T223" s="15" t="str">
        <f>IFERROR(__xludf.DUMMYFUNCTION("IF($A223="""","""",IFERROR(PERCENTRANK.INC(FILTER(Q:Q,$F:$F&lt;&gt;""""),Q223)*100,""""))"),"")</f>
        <v/>
      </c>
      <c r="U223" s="15" t="str">
        <f>IFERROR(__xludf.DUMMYFUNCTION("IF($A223="""","""",IFERROR(PERCENTRANK.INC(FILTER(R:R,$F:$F&lt;&gt;""""),R223)*100,""""))"),"")</f>
        <v/>
      </c>
      <c r="V223" s="15" t="str">
        <f>IFERROR(__xludf.DUMMYFUNCTION("IF($A223="""","""",IFERROR(PERCENTRANK.INC(FILTER(S:S,$F:$F&lt;&gt;""""),S223)*100,""""))"),"")</f>
        <v/>
      </c>
      <c r="W223" s="15" t="str">
        <f t="shared" si="4"/>
        <v/>
      </c>
    </row>
    <row r="224">
      <c r="B224" t="str">
        <f t="array" ref="B224">IFERROR(INDEX('Player Raw Data'!C:C,Match($A224,'Player Raw Data'!$B:$B,0)),"")</f>
        <v/>
      </c>
      <c r="C224" t="str">
        <f t="array" ref="C224">IFERROR(INDEX('Player Raw Data'!D:D,Match($A224,'Player Raw Data'!$B:$B,0)),"")</f>
        <v/>
      </c>
      <c r="D224" t="str">
        <f t="array" ref="D224">IFERROR(IF(A224=A223, INDEX('Player Raw Data'!E:E,Match($A224,'Player Raw Data'!$B:$B,0)+2),INDEX('Player Raw Data'!E:E,Match($A224,'Player Raw Data'!$B:$B,0))),"")</f>
        <v/>
      </c>
      <c r="E224" t="str">
        <f t="array" ref="E224">IFERROR(INDEX('Day Range Raw Data'!D:D,Match($A224,'Day Range Raw Data'!$B:$B,0)),"")</f>
        <v/>
      </c>
      <c r="F224" t="str">
        <f t="array" ref="F224">IFERROR(INDEX('Day Range Raw Data'!F:F,Match($A224,'Day Range Raw Data'!$B:$B,0)),"")</f>
        <v/>
      </c>
      <c r="G224" t="str">
        <f t="array" ref="G224">IFERROR(INDEX('Day Range Raw Data'!G:G,Match($A224,'Day Range Raw Data'!$B:$B,0)),"")</f>
        <v/>
      </c>
      <c r="H224" t="str">
        <f t="array" ref="H224">IFERROR(INDEX('Day Range Raw Data'!H:H,Match($A224,'Day Range Raw Data'!$B:$B,0)),"")</f>
        <v/>
      </c>
      <c r="I224" t="str">
        <f t="array" ref="I224">IFERROR(INDEX('Day Range Raw Data'!M:M,Match($A224,'Day Range Raw Data'!$B:$B,0)),"")</f>
        <v/>
      </c>
      <c r="J224" t="str">
        <f t="array" ref="J224">IFERROR(INDEX('Day Range Raw Data'!N:N,Match($A224,'Day Range Raw Data'!$B:$B,0)),"")</f>
        <v/>
      </c>
      <c r="K224" t="str">
        <f t="array" ref="K224">IFERROR(INDEX('Day Range Raw Data'!R:R,Match($A224,'Day Range Raw Data'!$B:$B,0)),"")</f>
        <v/>
      </c>
      <c r="L224" t="str">
        <f t="array" ref="L224">IFERROR(INDEX('Day Range Raw Data'!S:S,Match($A224,'Day Range Raw Data'!$B:$B,0)),"")</f>
        <v/>
      </c>
      <c r="M224" t="str">
        <f t="array" ref="M224">IFERROR(INDEX('Day Range Raw Data'!T:T,Match($A224,'Day Range Raw Data'!$B:$B,0)),"")</f>
        <v/>
      </c>
      <c r="N224" t="str">
        <f t="array" ref="N224">IFERROR(INDEX('Day Range Raw Data'!U:U,Match($A224,'Day Range Raw Data'!$B:$B,0)),"")</f>
        <v/>
      </c>
      <c r="O224" t="str">
        <f t="array" ref="O224">IFERROR(INDEX('Day Range Raw Data'!V:V,Match($A224,'Day Range Raw Data'!$B:$B,0)),"")</f>
        <v/>
      </c>
      <c r="P224" t="str">
        <f t="array" ref="P224">IFERROR(INDEX('Day Range Raw Data'!X:X,Match($A224,'Day Range Raw Data'!$B:$B,0)),"")</f>
        <v/>
      </c>
      <c r="Q224" t="str">
        <f t="shared" si="1"/>
        <v/>
      </c>
      <c r="R224" s="9" t="str">
        <f t="shared" si="2"/>
        <v/>
      </c>
      <c r="S224" s="14" t="str">
        <f t="shared" si="3"/>
        <v/>
      </c>
      <c r="T224" s="15" t="str">
        <f>IFERROR(__xludf.DUMMYFUNCTION("IF($A224="""","""",IFERROR(PERCENTRANK.INC(FILTER(Q:Q,$F:$F&lt;&gt;""""),Q224)*100,""""))"),"")</f>
        <v/>
      </c>
      <c r="U224" s="15" t="str">
        <f>IFERROR(__xludf.DUMMYFUNCTION("IF($A224="""","""",IFERROR(PERCENTRANK.INC(FILTER(R:R,$F:$F&lt;&gt;""""),R224)*100,""""))"),"")</f>
        <v/>
      </c>
      <c r="V224" s="15" t="str">
        <f>IFERROR(__xludf.DUMMYFUNCTION("IF($A224="""","""",IFERROR(PERCENTRANK.INC(FILTER(S:S,$F:$F&lt;&gt;""""),S224)*100,""""))"),"")</f>
        <v/>
      </c>
      <c r="W224" s="15" t="str">
        <f t="shared" si="4"/>
        <v/>
      </c>
    </row>
    <row r="225">
      <c r="B225" t="str">
        <f t="array" ref="B225">IFERROR(INDEX('Player Raw Data'!C:C,Match($A225,'Player Raw Data'!$B:$B,0)),"")</f>
        <v/>
      </c>
      <c r="C225" t="str">
        <f t="array" ref="C225">IFERROR(INDEX('Player Raw Data'!D:D,Match($A225,'Player Raw Data'!$B:$B,0)),"")</f>
        <v/>
      </c>
      <c r="D225" t="str">
        <f t="array" ref="D225">IFERROR(IF(A225=A224, INDEX('Player Raw Data'!E:E,Match($A225,'Player Raw Data'!$B:$B,0)+2),INDEX('Player Raw Data'!E:E,Match($A225,'Player Raw Data'!$B:$B,0))),"")</f>
        <v/>
      </c>
      <c r="E225" t="str">
        <f t="array" ref="E225">IFERROR(INDEX('Day Range Raw Data'!D:D,Match($A225,'Day Range Raw Data'!$B:$B,0)),"")</f>
        <v/>
      </c>
      <c r="F225" t="str">
        <f t="array" ref="F225">IFERROR(INDEX('Day Range Raw Data'!F:F,Match($A225,'Day Range Raw Data'!$B:$B,0)),"")</f>
        <v/>
      </c>
      <c r="G225" t="str">
        <f t="array" ref="G225">IFERROR(INDEX('Day Range Raw Data'!G:G,Match($A225,'Day Range Raw Data'!$B:$B,0)),"")</f>
        <v/>
      </c>
      <c r="H225" t="str">
        <f t="array" ref="H225">IFERROR(INDEX('Day Range Raw Data'!H:H,Match($A225,'Day Range Raw Data'!$B:$B,0)),"")</f>
        <v/>
      </c>
      <c r="I225" t="str">
        <f t="array" ref="I225">IFERROR(INDEX('Day Range Raw Data'!M:M,Match($A225,'Day Range Raw Data'!$B:$B,0)),"")</f>
        <v/>
      </c>
      <c r="J225" t="str">
        <f t="array" ref="J225">IFERROR(INDEX('Day Range Raw Data'!N:N,Match($A225,'Day Range Raw Data'!$B:$B,0)),"")</f>
        <v/>
      </c>
      <c r="K225" t="str">
        <f t="array" ref="K225">IFERROR(INDEX('Day Range Raw Data'!R:R,Match($A225,'Day Range Raw Data'!$B:$B,0)),"")</f>
        <v/>
      </c>
      <c r="L225" t="str">
        <f t="array" ref="L225">IFERROR(INDEX('Day Range Raw Data'!S:S,Match($A225,'Day Range Raw Data'!$B:$B,0)),"")</f>
        <v/>
      </c>
      <c r="M225" t="str">
        <f t="array" ref="M225">IFERROR(INDEX('Day Range Raw Data'!T:T,Match($A225,'Day Range Raw Data'!$B:$B,0)),"")</f>
        <v/>
      </c>
      <c r="N225" t="str">
        <f t="array" ref="N225">IFERROR(INDEX('Day Range Raw Data'!U:U,Match($A225,'Day Range Raw Data'!$B:$B,0)),"")</f>
        <v/>
      </c>
      <c r="O225" t="str">
        <f t="array" ref="O225">IFERROR(INDEX('Day Range Raw Data'!V:V,Match($A225,'Day Range Raw Data'!$B:$B,0)),"")</f>
        <v/>
      </c>
      <c r="P225" t="str">
        <f t="array" ref="P225">IFERROR(INDEX('Day Range Raw Data'!X:X,Match($A225,'Day Range Raw Data'!$B:$B,0)),"")</f>
        <v/>
      </c>
      <c r="Q225" t="str">
        <f t="shared" si="1"/>
        <v/>
      </c>
      <c r="R225" s="9" t="str">
        <f t="shared" si="2"/>
        <v/>
      </c>
      <c r="S225" s="14" t="str">
        <f t="shared" si="3"/>
        <v/>
      </c>
      <c r="T225" s="15" t="str">
        <f>IFERROR(__xludf.DUMMYFUNCTION("IF($A225="""","""",IFERROR(PERCENTRANK.INC(FILTER(Q:Q,$F:$F&lt;&gt;""""),Q225)*100,""""))"),"")</f>
        <v/>
      </c>
      <c r="U225" s="15" t="str">
        <f>IFERROR(__xludf.DUMMYFUNCTION("IF($A225="""","""",IFERROR(PERCENTRANK.INC(FILTER(R:R,$F:$F&lt;&gt;""""),R225)*100,""""))"),"")</f>
        <v/>
      </c>
      <c r="V225" s="15" t="str">
        <f>IFERROR(__xludf.DUMMYFUNCTION("IF($A225="""","""",IFERROR(PERCENTRANK.INC(FILTER(S:S,$F:$F&lt;&gt;""""),S225)*100,""""))"),"")</f>
        <v/>
      </c>
      <c r="W225" s="15" t="str">
        <f t="shared" si="4"/>
        <v/>
      </c>
    </row>
    <row r="226">
      <c r="B226" t="str">
        <f t="array" ref="B226">IFERROR(INDEX('Player Raw Data'!C:C,Match($A226,'Player Raw Data'!$B:$B,0)),"")</f>
        <v/>
      </c>
      <c r="C226" t="str">
        <f t="array" ref="C226">IFERROR(INDEX('Player Raw Data'!D:D,Match($A226,'Player Raw Data'!$B:$B,0)),"")</f>
        <v/>
      </c>
      <c r="D226" t="str">
        <f t="array" ref="D226">IFERROR(IF(A226=A225, INDEX('Player Raw Data'!E:E,Match($A226,'Player Raw Data'!$B:$B,0)+2),INDEX('Player Raw Data'!E:E,Match($A226,'Player Raw Data'!$B:$B,0))),"")</f>
        <v/>
      </c>
      <c r="E226" t="str">
        <f t="array" ref="E226">IFERROR(INDEX('Day Range Raw Data'!D:D,Match($A226,'Day Range Raw Data'!$B:$B,0)),"")</f>
        <v/>
      </c>
      <c r="F226" t="str">
        <f t="array" ref="F226">IFERROR(INDEX('Day Range Raw Data'!F:F,Match($A226,'Day Range Raw Data'!$B:$B,0)),"")</f>
        <v/>
      </c>
      <c r="G226" t="str">
        <f t="array" ref="G226">IFERROR(INDEX('Day Range Raw Data'!G:G,Match($A226,'Day Range Raw Data'!$B:$B,0)),"")</f>
        <v/>
      </c>
      <c r="H226" t="str">
        <f t="array" ref="H226">IFERROR(INDEX('Day Range Raw Data'!H:H,Match($A226,'Day Range Raw Data'!$B:$B,0)),"")</f>
        <v/>
      </c>
      <c r="I226" t="str">
        <f t="array" ref="I226">IFERROR(INDEX('Day Range Raw Data'!M:M,Match($A226,'Day Range Raw Data'!$B:$B,0)),"")</f>
        <v/>
      </c>
      <c r="J226" t="str">
        <f t="array" ref="J226">IFERROR(INDEX('Day Range Raw Data'!N:N,Match($A226,'Day Range Raw Data'!$B:$B,0)),"")</f>
        <v/>
      </c>
      <c r="K226" t="str">
        <f t="array" ref="K226">IFERROR(INDEX('Day Range Raw Data'!R:R,Match($A226,'Day Range Raw Data'!$B:$B,0)),"")</f>
        <v/>
      </c>
      <c r="L226" t="str">
        <f t="array" ref="L226">IFERROR(INDEX('Day Range Raw Data'!S:S,Match($A226,'Day Range Raw Data'!$B:$B,0)),"")</f>
        <v/>
      </c>
      <c r="M226" t="str">
        <f t="array" ref="M226">IFERROR(INDEX('Day Range Raw Data'!T:T,Match($A226,'Day Range Raw Data'!$B:$B,0)),"")</f>
        <v/>
      </c>
      <c r="N226" t="str">
        <f t="array" ref="N226">IFERROR(INDEX('Day Range Raw Data'!U:U,Match($A226,'Day Range Raw Data'!$B:$B,0)),"")</f>
        <v/>
      </c>
      <c r="O226" t="str">
        <f t="array" ref="O226">IFERROR(INDEX('Day Range Raw Data'!V:V,Match($A226,'Day Range Raw Data'!$B:$B,0)),"")</f>
        <v/>
      </c>
      <c r="P226" t="str">
        <f t="array" ref="P226">IFERROR(INDEX('Day Range Raw Data'!X:X,Match($A226,'Day Range Raw Data'!$B:$B,0)),"")</f>
        <v/>
      </c>
      <c r="Q226" t="str">
        <f t="shared" si="1"/>
        <v/>
      </c>
      <c r="R226" s="9" t="str">
        <f t="shared" si="2"/>
        <v/>
      </c>
      <c r="S226" s="14" t="str">
        <f t="shared" si="3"/>
        <v/>
      </c>
      <c r="T226" s="15" t="str">
        <f>IFERROR(__xludf.DUMMYFUNCTION("IF($A226="""","""",IFERROR(PERCENTRANK.INC(FILTER(Q:Q,$F:$F&lt;&gt;""""),Q226)*100,""""))"),"")</f>
        <v/>
      </c>
      <c r="U226" s="15" t="str">
        <f>IFERROR(__xludf.DUMMYFUNCTION("IF($A226="""","""",IFERROR(PERCENTRANK.INC(FILTER(R:R,$F:$F&lt;&gt;""""),R226)*100,""""))"),"")</f>
        <v/>
      </c>
      <c r="V226" s="15" t="str">
        <f>IFERROR(__xludf.DUMMYFUNCTION("IF($A226="""","""",IFERROR(PERCENTRANK.INC(FILTER(S:S,$F:$F&lt;&gt;""""),S226)*100,""""))"),"")</f>
        <v/>
      </c>
      <c r="W226" s="15" t="str">
        <f t="shared" si="4"/>
        <v/>
      </c>
    </row>
    <row r="227">
      <c r="B227" t="str">
        <f t="array" ref="B227">IFERROR(INDEX('Player Raw Data'!C:C,Match($A227,'Player Raw Data'!$B:$B,0)),"")</f>
        <v/>
      </c>
      <c r="C227" t="str">
        <f t="array" ref="C227">IFERROR(INDEX('Player Raw Data'!D:D,Match($A227,'Player Raw Data'!$B:$B,0)),"")</f>
        <v/>
      </c>
      <c r="D227" t="str">
        <f t="array" ref="D227">IFERROR(IF(A227=A226, INDEX('Player Raw Data'!E:E,Match($A227,'Player Raw Data'!$B:$B,0)+2),INDEX('Player Raw Data'!E:E,Match($A227,'Player Raw Data'!$B:$B,0))),"")</f>
        <v/>
      </c>
      <c r="E227" t="str">
        <f t="array" ref="E227">IFERROR(INDEX('Day Range Raw Data'!D:D,Match($A227,'Day Range Raw Data'!$B:$B,0)),"")</f>
        <v/>
      </c>
      <c r="F227" t="str">
        <f t="array" ref="F227">IFERROR(INDEX('Day Range Raw Data'!F:F,Match($A227,'Day Range Raw Data'!$B:$B,0)),"")</f>
        <v/>
      </c>
      <c r="G227" t="str">
        <f t="array" ref="G227">IFERROR(INDEX('Day Range Raw Data'!G:G,Match($A227,'Day Range Raw Data'!$B:$B,0)),"")</f>
        <v/>
      </c>
      <c r="H227" t="str">
        <f t="array" ref="H227">IFERROR(INDEX('Day Range Raw Data'!H:H,Match($A227,'Day Range Raw Data'!$B:$B,0)),"")</f>
        <v/>
      </c>
      <c r="I227" t="str">
        <f t="array" ref="I227">IFERROR(INDEX('Day Range Raw Data'!M:M,Match($A227,'Day Range Raw Data'!$B:$B,0)),"")</f>
        <v/>
      </c>
      <c r="J227" t="str">
        <f t="array" ref="J227">IFERROR(INDEX('Day Range Raw Data'!N:N,Match($A227,'Day Range Raw Data'!$B:$B,0)),"")</f>
        <v/>
      </c>
      <c r="K227" t="str">
        <f t="array" ref="K227">IFERROR(INDEX('Day Range Raw Data'!R:R,Match($A227,'Day Range Raw Data'!$B:$B,0)),"")</f>
        <v/>
      </c>
      <c r="L227" t="str">
        <f t="array" ref="L227">IFERROR(INDEX('Day Range Raw Data'!S:S,Match($A227,'Day Range Raw Data'!$B:$B,0)),"")</f>
        <v/>
      </c>
      <c r="M227" t="str">
        <f t="array" ref="M227">IFERROR(INDEX('Day Range Raw Data'!T:T,Match($A227,'Day Range Raw Data'!$B:$B,0)),"")</f>
        <v/>
      </c>
      <c r="N227" t="str">
        <f t="array" ref="N227">IFERROR(INDEX('Day Range Raw Data'!U:U,Match($A227,'Day Range Raw Data'!$B:$B,0)),"")</f>
        <v/>
      </c>
      <c r="O227" t="str">
        <f t="array" ref="O227">IFERROR(INDEX('Day Range Raw Data'!V:V,Match($A227,'Day Range Raw Data'!$B:$B,0)),"")</f>
        <v/>
      </c>
      <c r="P227" t="str">
        <f t="array" ref="P227">IFERROR(INDEX('Day Range Raw Data'!X:X,Match($A227,'Day Range Raw Data'!$B:$B,0)),"")</f>
        <v/>
      </c>
      <c r="Q227" t="str">
        <f t="shared" si="1"/>
        <v/>
      </c>
      <c r="R227" s="9" t="str">
        <f t="shared" si="2"/>
        <v/>
      </c>
      <c r="S227" s="14" t="str">
        <f t="shared" si="3"/>
        <v/>
      </c>
      <c r="T227" s="15" t="str">
        <f>IFERROR(__xludf.DUMMYFUNCTION("IF($A227="""","""",IFERROR(PERCENTRANK.INC(FILTER(Q:Q,$F:$F&lt;&gt;""""),Q227)*100,""""))"),"")</f>
        <v/>
      </c>
      <c r="U227" s="15" t="str">
        <f>IFERROR(__xludf.DUMMYFUNCTION("IF($A227="""","""",IFERROR(PERCENTRANK.INC(FILTER(R:R,$F:$F&lt;&gt;""""),R227)*100,""""))"),"")</f>
        <v/>
      </c>
      <c r="V227" s="15" t="str">
        <f>IFERROR(__xludf.DUMMYFUNCTION("IF($A227="""","""",IFERROR(PERCENTRANK.INC(FILTER(S:S,$F:$F&lt;&gt;""""),S227)*100,""""))"),"")</f>
        <v/>
      </c>
      <c r="W227" s="15" t="str">
        <f t="shared" si="4"/>
        <v/>
      </c>
    </row>
    <row r="228">
      <c r="B228" t="str">
        <f t="array" ref="B228">IFERROR(INDEX('Player Raw Data'!C:C,Match($A228,'Player Raw Data'!$B:$B,0)),"")</f>
        <v/>
      </c>
      <c r="C228" t="str">
        <f t="array" ref="C228">IFERROR(INDEX('Player Raw Data'!D:D,Match($A228,'Player Raw Data'!$B:$B,0)),"")</f>
        <v/>
      </c>
      <c r="D228" t="str">
        <f t="array" ref="D228">IFERROR(IF(A228=A227, INDEX('Player Raw Data'!E:E,Match($A228,'Player Raw Data'!$B:$B,0)+2),INDEX('Player Raw Data'!E:E,Match($A228,'Player Raw Data'!$B:$B,0))),"")</f>
        <v/>
      </c>
      <c r="E228" t="str">
        <f t="array" ref="E228">IFERROR(INDEX('Day Range Raw Data'!D:D,Match($A228,'Day Range Raw Data'!$B:$B,0)),"")</f>
        <v/>
      </c>
      <c r="F228" t="str">
        <f t="array" ref="F228">IFERROR(INDEX('Day Range Raw Data'!F:F,Match($A228,'Day Range Raw Data'!$B:$B,0)),"")</f>
        <v/>
      </c>
      <c r="G228" t="str">
        <f t="array" ref="G228">IFERROR(INDEX('Day Range Raw Data'!G:G,Match($A228,'Day Range Raw Data'!$B:$B,0)),"")</f>
        <v/>
      </c>
      <c r="H228" t="str">
        <f t="array" ref="H228">IFERROR(INDEX('Day Range Raw Data'!H:H,Match($A228,'Day Range Raw Data'!$B:$B,0)),"")</f>
        <v/>
      </c>
      <c r="I228" t="str">
        <f t="array" ref="I228">IFERROR(INDEX('Day Range Raw Data'!M:M,Match($A228,'Day Range Raw Data'!$B:$B,0)),"")</f>
        <v/>
      </c>
      <c r="J228" t="str">
        <f t="array" ref="J228">IFERROR(INDEX('Day Range Raw Data'!N:N,Match($A228,'Day Range Raw Data'!$B:$B,0)),"")</f>
        <v/>
      </c>
      <c r="K228" t="str">
        <f t="array" ref="K228">IFERROR(INDEX('Day Range Raw Data'!R:R,Match($A228,'Day Range Raw Data'!$B:$B,0)),"")</f>
        <v/>
      </c>
      <c r="L228" t="str">
        <f t="array" ref="L228">IFERROR(INDEX('Day Range Raw Data'!S:S,Match($A228,'Day Range Raw Data'!$B:$B,0)),"")</f>
        <v/>
      </c>
      <c r="M228" t="str">
        <f t="array" ref="M228">IFERROR(INDEX('Day Range Raw Data'!T:T,Match($A228,'Day Range Raw Data'!$B:$B,0)),"")</f>
        <v/>
      </c>
      <c r="N228" t="str">
        <f t="array" ref="N228">IFERROR(INDEX('Day Range Raw Data'!U:U,Match($A228,'Day Range Raw Data'!$B:$B,0)),"")</f>
        <v/>
      </c>
      <c r="O228" t="str">
        <f t="array" ref="O228">IFERROR(INDEX('Day Range Raw Data'!V:V,Match($A228,'Day Range Raw Data'!$B:$B,0)),"")</f>
        <v/>
      </c>
      <c r="P228" t="str">
        <f t="array" ref="P228">IFERROR(INDEX('Day Range Raw Data'!X:X,Match($A228,'Day Range Raw Data'!$B:$B,0)),"")</f>
        <v/>
      </c>
      <c r="Q228" t="str">
        <f t="shared" si="1"/>
        <v/>
      </c>
      <c r="R228" s="9" t="str">
        <f t="shared" si="2"/>
        <v/>
      </c>
      <c r="S228" s="14" t="str">
        <f t="shared" si="3"/>
        <v/>
      </c>
      <c r="T228" s="15" t="str">
        <f>IFERROR(__xludf.DUMMYFUNCTION("IF($A228="""","""",IFERROR(PERCENTRANK.INC(FILTER(Q:Q,$F:$F&lt;&gt;""""),Q228)*100,""""))"),"")</f>
        <v/>
      </c>
      <c r="U228" s="15" t="str">
        <f>IFERROR(__xludf.DUMMYFUNCTION("IF($A228="""","""",IFERROR(PERCENTRANK.INC(FILTER(R:R,$F:$F&lt;&gt;""""),R228)*100,""""))"),"")</f>
        <v/>
      </c>
      <c r="V228" s="15" t="str">
        <f>IFERROR(__xludf.DUMMYFUNCTION("IF($A228="""","""",IFERROR(PERCENTRANK.INC(FILTER(S:S,$F:$F&lt;&gt;""""),S228)*100,""""))"),"")</f>
        <v/>
      </c>
      <c r="W228" s="15" t="str">
        <f t="shared" si="4"/>
        <v/>
      </c>
    </row>
    <row r="229">
      <c r="B229" t="str">
        <f t="array" ref="B229">IFERROR(INDEX('Player Raw Data'!C:C,Match($A229,'Player Raw Data'!$B:$B,0)),"")</f>
        <v/>
      </c>
      <c r="C229" t="str">
        <f t="array" ref="C229">IFERROR(INDEX('Player Raw Data'!D:D,Match($A229,'Player Raw Data'!$B:$B,0)),"")</f>
        <v/>
      </c>
      <c r="D229" t="str">
        <f t="array" ref="D229">IFERROR(IF(A229=A228, INDEX('Player Raw Data'!E:E,Match($A229,'Player Raw Data'!$B:$B,0)+2),INDEX('Player Raw Data'!E:E,Match($A229,'Player Raw Data'!$B:$B,0))),"")</f>
        <v/>
      </c>
      <c r="E229" t="str">
        <f t="array" ref="E229">IFERROR(INDEX('Day Range Raw Data'!D:D,Match($A229,'Day Range Raw Data'!$B:$B,0)),"")</f>
        <v/>
      </c>
      <c r="F229" t="str">
        <f t="array" ref="F229">IFERROR(INDEX('Day Range Raw Data'!F:F,Match($A229,'Day Range Raw Data'!$B:$B,0)),"")</f>
        <v/>
      </c>
      <c r="G229" t="str">
        <f t="array" ref="G229">IFERROR(INDEX('Day Range Raw Data'!G:G,Match($A229,'Day Range Raw Data'!$B:$B,0)),"")</f>
        <v/>
      </c>
      <c r="H229" t="str">
        <f t="array" ref="H229">IFERROR(INDEX('Day Range Raw Data'!H:H,Match($A229,'Day Range Raw Data'!$B:$B,0)),"")</f>
        <v/>
      </c>
      <c r="I229" t="str">
        <f t="array" ref="I229">IFERROR(INDEX('Day Range Raw Data'!M:M,Match($A229,'Day Range Raw Data'!$B:$B,0)),"")</f>
        <v/>
      </c>
      <c r="J229" t="str">
        <f t="array" ref="J229">IFERROR(INDEX('Day Range Raw Data'!N:N,Match($A229,'Day Range Raw Data'!$B:$B,0)),"")</f>
        <v/>
      </c>
      <c r="K229" t="str">
        <f t="array" ref="K229">IFERROR(INDEX('Day Range Raw Data'!R:R,Match($A229,'Day Range Raw Data'!$B:$B,0)),"")</f>
        <v/>
      </c>
      <c r="L229" t="str">
        <f t="array" ref="L229">IFERROR(INDEX('Day Range Raw Data'!S:S,Match($A229,'Day Range Raw Data'!$B:$B,0)),"")</f>
        <v/>
      </c>
      <c r="M229" t="str">
        <f t="array" ref="M229">IFERROR(INDEX('Day Range Raw Data'!T:T,Match($A229,'Day Range Raw Data'!$B:$B,0)),"")</f>
        <v/>
      </c>
      <c r="N229" t="str">
        <f t="array" ref="N229">IFERROR(INDEX('Day Range Raw Data'!U:U,Match($A229,'Day Range Raw Data'!$B:$B,0)),"")</f>
        <v/>
      </c>
      <c r="O229" t="str">
        <f t="array" ref="O229">IFERROR(INDEX('Day Range Raw Data'!V:V,Match($A229,'Day Range Raw Data'!$B:$B,0)),"")</f>
        <v/>
      </c>
      <c r="P229" t="str">
        <f t="array" ref="P229">IFERROR(INDEX('Day Range Raw Data'!X:X,Match($A229,'Day Range Raw Data'!$B:$B,0)),"")</f>
        <v/>
      </c>
      <c r="Q229" t="str">
        <f t="shared" si="1"/>
        <v/>
      </c>
      <c r="R229" s="9" t="str">
        <f t="shared" si="2"/>
        <v/>
      </c>
      <c r="S229" s="14" t="str">
        <f t="shared" si="3"/>
        <v/>
      </c>
      <c r="T229" s="15" t="str">
        <f>IFERROR(__xludf.DUMMYFUNCTION("IF($A229="""","""",IFERROR(PERCENTRANK.INC(FILTER(Q:Q,$F:$F&lt;&gt;""""),Q229)*100,""""))"),"")</f>
        <v/>
      </c>
      <c r="U229" s="15" t="str">
        <f>IFERROR(__xludf.DUMMYFUNCTION("IF($A229="""","""",IFERROR(PERCENTRANK.INC(FILTER(R:R,$F:$F&lt;&gt;""""),R229)*100,""""))"),"")</f>
        <v/>
      </c>
      <c r="V229" s="15" t="str">
        <f>IFERROR(__xludf.DUMMYFUNCTION("IF($A229="""","""",IFERROR(PERCENTRANK.INC(FILTER(S:S,$F:$F&lt;&gt;""""),S229)*100,""""))"),"")</f>
        <v/>
      </c>
      <c r="W229" s="15" t="str">
        <f t="shared" si="4"/>
        <v/>
      </c>
    </row>
    <row r="230">
      <c r="B230" t="str">
        <f t="array" ref="B230">IFERROR(INDEX('Player Raw Data'!C:C,Match($A230,'Player Raw Data'!$B:$B,0)),"")</f>
        <v/>
      </c>
      <c r="C230" t="str">
        <f t="array" ref="C230">IFERROR(INDEX('Player Raw Data'!D:D,Match($A230,'Player Raw Data'!$B:$B,0)),"")</f>
        <v/>
      </c>
      <c r="D230" t="str">
        <f t="array" ref="D230">IFERROR(IF(A230=A229, INDEX('Player Raw Data'!E:E,Match($A230,'Player Raw Data'!$B:$B,0)+2),INDEX('Player Raw Data'!E:E,Match($A230,'Player Raw Data'!$B:$B,0))),"")</f>
        <v/>
      </c>
      <c r="E230" t="str">
        <f t="array" ref="E230">IFERROR(INDEX('Day Range Raw Data'!D:D,Match($A230,'Day Range Raw Data'!$B:$B,0)),"")</f>
        <v/>
      </c>
      <c r="F230" t="str">
        <f t="array" ref="F230">IFERROR(INDEX('Day Range Raw Data'!F:F,Match($A230,'Day Range Raw Data'!$B:$B,0)),"")</f>
        <v/>
      </c>
      <c r="G230" t="str">
        <f t="array" ref="G230">IFERROR(INDEX('Day Range Raw Data'!G:G,Match($A230,'Day Range Raw Data'!$B:$B,0)),"")</f>
        <v/>
      </c>
      <c r="H230" t="str">
        <f t="array" ref="H230">IFERROR(INDEX('Day Range Raw Data'!H:H,Match($A230,'Day Range Raw Data'!$B:$B,0)),"")</f>
        <v/>
      </c>
      <c r="I230" t="str">
        <f t="array" ref="I230">IFERROR(INDEX('Day Range Raw Data'!M:M,Match($A230,'Day Range Raw Data'!$B:$B,0)),"")</f>
        <v/>
      </c>
      <c r="J230" t="str">
        <f t="array" ref="J230">IFERROR(INDEX('Day Range Raw Data'!N:N,Match($A230,'Day Range Raw Data'!$B:$B,0)),"")</f>
        <v/>
      </c>
      <c r="K230" t="str">
        <f t="array" ref="K230">IFERROR(INDEX('Day Range Raw Data'!R:R,Match($A230,'Day Range Raw Data'!$B:$B,0)),"")</f>
        <v/>
      </c>
      <c r="L230" t="str">
        <f t="array" ref="L230">IFERROR(INDEX('Day Range Raw Data'!S:S,Match($A230,'Day Range Raw Data'!$B:$B,0)),"")</f>
        <v/>
      </c>
      <c r="M230" t="str">
        <f t="array" ref="M230">IFERROR(INDEX('Day Range Raw Data'!T:T,Match($A230,'Day Range Raw Data'!$B:$B,0)),"")</f>
        <v/>
      </c>
      <c r="N230" t="str">
        <f t="array" ref="N230">IFERROR(INDEX('Day Range Raw Data'!U:U,Match($A230,'Day Range Raw Data'!$B:$B,0)),"")</f>
        <v/>
      </c>
      <c r="O230" t="str">
        <f t="array" ref="O230">IFERROR(INDEX('Day Range Raw Data'!V:V,Match($A230,'Day Range Raw Data'!$B:$B,0)),"")</f>
        <v/>
      </c>
      <c r="P230" t="str">
        <f t="array" ref="P230">IFERROR(INDEX('Day Range Raw Data'!X:X,Match($A230,'Day Range Raw Data'!$B:$B,0)),"")</f>
        <v/>
      </c>
      <c r="Q230" t="str">
        <f t="shared" si="1"/>
        <v/>
      </c>
      <c r="R230" s="9" t="str">
        <f t="shared" si="2"/>
        <v/>
      </c>
      <c r="S230" s="14" t="str">
        <f t="shared" si="3"/>
        <v/>
      </c>
      <c r="T230" s="15" t="str">
        <f>IFERROR(__xludf.DUMMYFUNCTION("IF($A230="""","""",IFERROR(PERCENTRANK.INC(FILTER(Q:Q,$F:$F&lt;&gt;""""),Q230)*100,""""))"),"")</f>
        <v/>
      </c>
      <c r="U230" s="15" t="str">
        <f>IFERROR(__xludf.DUMMYFUNCTION("IF($A230="""","""",IFERROR(PERCENTRANK.INC(FILTER(R:R,$F:$F&lt;&gt;""""),R230)*100,""""))"),"")</f>
        <v/>
      </c>
      <c r="V230" s="15" t="str">
        <f>IFERROR(__xludf.DUMMYFUNCTION("IF($A230="""","""",IFERROR(PERCENTRANK.INC(FILTER(S:S,$F:$F&lt;&gt;""""),S230)*100,""""))"),"")</f>
        <v/>
      </c>
      <c r="W230" s="15" t="str">
        <f t="shared" si="4"/>
        <v/>
      </c>
    </row>
    <row r="231">
      <c r="B231" t="str">
        <f t="array" ref="B231">IFERROR(INDEX('Player Raw Data'!C:C,Match($A231,'Player Raw Data'!$B:$B,0)),"")</f>
        <v/>
      </c>
      <c r="C231" t="str">
        <f t="array" ref="C231">IFERROR(INDEX('Player Raw Data'!D:D,Match($A231,'Player Raw Data'!$B:$B,0)),"")</f>
        <v/>
      </c>
      <c r="D231" t="str">
        <f t="array" ref="D231">IFERROR(IF(A231=A230, INDEX('Player Raw Data'!E:E,Match($A231,'Player Raw Data'!$B:$B,0)+2),INDEX('Player Raw Data'!E:E,Match($A231,'Player Raw Data'!$B:$B,0))),"")</f>
        <v/>
      </c>
      <c r="E231" t="str">
        <f t="array" ref="E231">IFERROR(INDEX('Day Range Raw Data'!D:D,Match($A231,'Day Range Raw Data'!$B:$B,0)),"")</f>
        <v/>
      </c>
      <c r="F231" t="str">
        <f t="array" ref="F231">IFERROR(INDEX('Day Range Raw Data'!F:F,Match($A231,'Day Range Raw Data'!$B:$B,0)),"")</f>
        <v/>
      </c>
      <c r="G231" t="str">
        <f t="array" ref="G231">IFERROR(INDEX('Day Range Raw Data'!G:G,Match($A231,'Day Range Raw Data'!$B:$B,0)),"")</f>
        <v/>
      </c>
      <c r="H231" t="str">
        <f t="array" ref="H231">IFERROR(INDEX('Day Range Raw Data'!H:H,Match($A231,'Day Range Raw Data'!$B:$B,0)),"")</f>
        <v/>
      </c>
      <c r="I231" t="str">
        <f t="array" ref="I231">IFERROR(INDEX('Day Range Raw Data'!M:M,Match($A231,'Day Range Raw Data'!$B:$B,0)),"")</f>
        <v/>
      </c>
      <c r="J231" t="str">
        <f t="array" ref="J231">IFERROR(INDEX('Day Range Raw Data'!N:N,Match($A231,'Day Range Raw Data'!$B:$B,0)),"")</f>
        <v/>
      </c>
      <c r="K231" t="str">
        <f t="array" ref="K231">IFERROR(INDEX('Day Range Raw Data'!R:R,Match($A231,'Day Range Raw Data'!$B:$B,0)),"")</f>
        <v/>
      </c>
      <c r="L231" t="str">
        <f t="array" ref="L231">IFERROR(INDEX('Day Range Raw Data'!S:S,Match($A231,'Day Range Raw Data'!$B:$B,0)),"")</f>
        <v/>
      </c>
      <c r="M231" t="str">
        <f t="array" ref="M231">IFERROR(INDEX('Day Range Raw Data'!T:T,Match($A231,'Day Range Raw Data'!$B:$B,0)),"")</f>
        <v/>
      </c>
      <c r="N231" t="str">
        <f t="array" ref="N231">IFERROR(INDEX('Day Range Raw Data'!U:U,Match($A231,'Day Range Raw Data'!$B:$B,0)),"")</f>
        <v/>
      </c>
      <c r="O231" t="str">
        <f t="array" ref="O231">IFERROR(INDEX('Day Range Raw Data'!V:V,Match($A231,'Day Range Raw Data'!$B:$B,0)),"")</f>
        <v/>
      </c>
      <c r="P231" t="str">
        <f t="array" ref="P231">IFERROR(INDEX('Day Range Raw Data'!X:X,Match($A231,'Day Range Raw Data'!$B:$B,0)),"")</f>
        <v/>
      </c>
      <c r="Q231" t="str">
        <f t="shared" si="1"/>
        <v/>
      </c>
      <c r="R231" s="9" t="str">
        <f t="shared" si="2"/>
        <v/>
      </c>
      <c r="S231" s="14" t="str">
        <f t="shared" si="3"/>
        <v/>
      </c>
      <c r="T231" s="15" t="str">
        <f>IFERROR(__xludf.DUMMYFUNCTION("IF($A231="""","""",IFERROR(PERCENTRANK.INC(FILTER(Q:Q,$F:$F&lt;&gt;""""),Q231)*100,""""))"),"")</f>
        <v/>
      </c>
      <c r="U231" s="15" t="str">
        <f>IFERROR(__xludf.DUMMYFUNCTION("IF($A231="""","""",IFERROR(PERCENTRANK.INC(FILTER(R:R,$F:$F&lt;&gt;""""),R231)*100,""""))"),"")</f>
        <v/>
      </c>
      <c r="V231" s="15" t="str">
        <f>IFERROR(__xludf.DUMMYFUNCTION("IF($A231="""","""",IFERROR(PERCENTRANK.INC(FILTER(S:S,$F:$F&lt;&gt;""""),S231)*100,""""))"),"")</f>
        <v/>
      </c>
      <c r="W231" s="15" t="str">
        <f t="shared" si="4"/>
        <v/>
      </c>
    </row>
    <row r="232">
      <c r="B232" t="str">
        <f t="array" ref="B232">IFERROR(INDEX('Player Raw Data'!C:C,Match($A232,'Player Raw Data'!$B:$B,0)),"")</f>
        <v/>
      </c>
      <c r="C232" t="str">
        <f t="array" ref="C232">IFERROR(INDEX('Player Raw Data'!D:D,Match($A232,'Player Raw Data'!$B:$B,0)),"")</f>
        <v/>
      </c>
      <c r="D232" t="str">
        <f t="array" ref="D232">IFERROR(IF(A232=A231, INDEX('Player Raw Data'!E:E,Match($A232,'Player Raw Data'!$B:$B,0)+2),INDEX('Player Raw Data'!E:E,Match($A232,'Player Raw Data'!$B:$B,0))),"")</f>
        <v/>
      </c>
      <c r="E232" t="str">
        <f t="array" ref="E232">IFERROR(INDEX('Day Range Raw Data'!D:D,Match($A232,'Day Range Raw Data'!$B:$B,0)),"")</f>
        <v/>
      </c>
      <c r="F232" t="str">
        <f t="array" ref="F232">IFERROR(INDEX('Day Range Raw Data'!F:F,Match($A232,'Day Range Raw Data'!$B:$B,0)),"")</f>
        <v/>
      </c>
      <c r="G232" t="str">
        <f t="array" ref="G232">IFERROR(INDEX('Day Range Raw Data'!G:G,Match($A232,'Day Range Raw Data'!$B:$B,0)),"")</f>
        <v/>
      </c>
      <c r="H232" t="str">
        <f t="array" ref="H232">IFERROR(INDEX('Day Range Raw Data'!H:H,Match($A232,'Day Range Raw Data'!$B:$B,0)),"")</f>
        <v/>
      </c>
      <c r="I232" t="str">
        <f t="array" ref="I232">IFERROR(INDEX('Day Range Raw Data'!M:M,Match($A232,'Day Range Raw Data'!$B:$B,0)),"")</f>
        <v/>
      </c>
      <c r="J232" t="str">
        <f t="array" ref="J232">IFERROR(INDEX('Day Range Raw Data'!N:N,Match($A232,'Day Range Raw Data'!$B:$B,0)),"")</f>
        <v/>
      </c>
      <c r="K232" t="str">
        <f t="array" ref="K232">IFERROR(INDEX('Day Range Raw Data'!R:R,Match($A232,'Day Range Raw Data'!$B:$B,0)),"")</f>
        <v/>
      </c>
      <c r="L232" t="str">
        <f t="array" ref="L232">IFERROR(INDEX('Day Range Raw Data'!S:S,Match($A232,'Day Range Raw Data'!$B:$B,0)),"")</f>
        <v/>
      </c>
      <c r="M232" t="str">
        <f t="array" ref="M232">IFERROR(INDEX('Day Range Raw Data'!T:T,Match($A232,'Day Range Raw Data'!$B:$B,0)),"")</f>
        <v/>
      </c>
      <c r="N232" t="str">
        <f t="array" ref="N232">IFERROR(INDEX('Day Range Raw Data'!U:U,Match($A232,'Day Range Raw Data'!$B:$B,0)),"")</f>
        <v/>
      </c>
      <c r="O232" t="str">
        <f t="array" ref="O232">IFERROR(INDEX('Day Range Raw Data'!V:V,Match($A232,'Day Range Raw Data'!$B:$B,0)),"")</f>
        <v/>
      </c>
      <c r="P232" t="str">
        <f t="array" ref="P232">IFERROR(INDEX('Day Range Raw Data'!X:X,Match($A232,'Day Range Raw Data'!$B:$B,0)),"")</f>
        <v/>
      </c>
      <c r="Q232" t="str">
        <f t="shared" si="1"/>
        <v/>
      </c>
      <c r="R232" s="9" t="str">
        <f t="shared" si="2"/>
        <v/>
      </c>
      <c r="S232" s="14" t="str">
        <f t="shared" si="3"/>
        <v/>
      </c>
      <c r="T232" s="15" t="str">
        <f>IFERROR(__xludf.DUMMYFUNCTION("IF($A232="""","""",IFERROR(PERCENTRANK.INC(FILTER(Q:Q,$F:$F&lt;&gt;""""),Q232)*100,""""))"),"")</f>
        <v/>
      </c>
      <c r="U232" s="15" t="str">
        <f>IFERROR(__xludf.DUMMYFUNCTION("IF($A232="""","""",IFERROR(PERCENTRANK.INC(FILTER(R:R,$F:$F&lt;&gt;""""),R232)*100,""""))"),"")</f>
        <v/>
      </c>
      <c r="V232" s="15" t="str">
        <f>IFERROR(__xludf.DUMMYFUNCTION("IF($A232="""","""",IFERROR(PERCENTRANK.INC(FILTER(S:S,$F:$F&lt;&gt;""""),S232)*100,""""))"),"")</f>
        <v/>
      </c>
      <c r="W232" s="15" t="str">
        <f t="shared" si="4"/>
        <v/>
      </c>
    </row>
    <row r="233">
      <c r="B233" t="str">
        <f t="array" ref="B233">IFERROR(INDEX('Player Raw Data'!C:C,Match($A233,'Player Raw Data'!$B:$B,0)),"")</f>
        <v/>
      </c>
      <c r="C233" t="str">
        <f t="array" ref="C233">IFERROR(INDEX('Player Raw Data'!D:D,Match($A233,'Player Raw Data'!$B:$B,0)),"")</f>
        <v/>
      </c>
      <c r="D233" t="str">
        <f t="array" ref="D233">IFERROR(IF(A233=A232, INDEX('Player Raw Data'!E:E,Match($A233,'Player Raw Data'!$B:$B,0)+2),INDEX('Player Raw Data'!E:E,Match($A233,'Player Raw Data'!$B:$B,0))),"")</f>
        <v/>
      </c>
      <c r="E233" t="str">
        <f t="array" ref="E233">IFERROR(INDEX('Day Range Raw Data'!D:D,Match($A233,'Day Range Raw Data'!$B:$B,0)),"")</f>
        <v/>
      </c>
      <c r="F233" t="str">
        <f t="array" ref="F233">IFERROR(INDEX('Day Range Raw Data'!F:F,Match($A233,'Day Range Raw Data'!$B:$B,0)),"")</f>
        <v/>
      </c>
      <c r="G233" t="str">
        <f t="array" ref="G233">IFERROR(INDEX('Day Range Raw Data'!G:G,Match($A233,'Day Range Raw Data'!$B:$B,0)),"")</f>
        <v/>
      </c>
      <c r="H233" t="str">
        <f t="array" ref="H233">IFERROR(INDEX('Day Range Raw Data'!H:H,Match($A233,'Day Range Raw Data'!$B:$B,0)),"")</f>
        <v/>
      </c>
      <c r="I233" t="str">
        <f t="array" ref="I233">IFERROR(INDEX('Day Range Raw Data'!M:M,Match($A233,'Day Range Raw Data'!$B:$B,0)),"")</f>
        <v/>
      </c>
      <c r="J233" t="str">
        <f t="array" ref="J233">IFERROR(INDEX('Day Range Raw Data'!N:N,Match($A233,'Day Range Raw Data'!$B:$B,0)),"")</f>
        <v/>
      </c>
      <c r="K233" t="str">
        <f t="array" ref="K233">IFERROR(INDEX('Day Range Raw Data'!R:R,Match($A233,'Day Range Raw Data'!$B:$B,0)),"")</f>
        <v/>
      </c>
      <c r="L233" t="str">
        <f t="array" ref="L233">IFERROR(INDEX('Day Range Raw Data'!S:S,Match($A233,'Day Range Raw Data'!$B:$B,0)),"")</f>
        <v/>
      </c>
      <c r="M233" t="str">
        <f t="array" ref="M233">IFERROR(INDEX('Day Range Raw Data'!T:T,Match($A233,'Day Range Raw Data'!$B:$B,0)),"")</f>
        <v/>
      </c>
      <c r="N233" t="str">
        <f t="array" ref="N233">IFERROR(INDEX('Day Range Raw Data'!U:U,Match($A233,'Day Range Raw Data'!$B:$B,0)),"")</f>
        <v/>
      </c>
      <c r="O233" t="str">
        <f t="array" ref="O233">IFERROR(INDEX('Day Range Raw Data'!V:V,Match($A233,'Day Range Raw Data'!$B:$B,0)),"")</f>
        <v/>
      </c>
      <c r="P233" t="str">
        <f t="array" ref="P233">IFERROR(INDEX('Day Range Raw Data'!X:X,Match($A233,'Day Range Raw Data'!$B:$B,0)),"")</f>
        <v/>
      </c>
      <c r="Q233" t="str">
        <f t="shared" si="1"/>
        <v/>
      </c>
      <c r="R233" s="9" t="str">
        <f t="shared" si="2"/>
        <v/>
      </c>
      <c r="S233" s="14" t="str">
        <f t="shared" si="3"/>
        <v/>
      </c>
      <c r="T233" s="15" t="str">
        <f>IFERROR(__xludf.DUMMYFUNCTION("IF($A233="""","""",IFERROR(PERCENTRANK.INC(FILTER(Q:Q,$F:$F&lt;&gt;""""),Q233)*100,""""))"),"")</f>
        <v/>
      </c>
      <c r="U233" s="15" t="str">
        <f>IFERROR(__xludf.DUMMYFUNCTION("IF($A233="""","""",IFERROR(PERCENTRANK.INC(FILTER(R:R,$F:$F&lt;&gt;""""),R233)*100,""""))"),"")</f>
        <v/>
      </c>
      <c r="V233" s="15" t="str">
        <f>IFERROR(__xludf.DUMMYFUNCTION("IF($A233="""","""",IFERROR(PERCENTRANK.INC(FILTER(S:S,$F:$F&lt;&gt;""""),S233)*100,""""))"),"")</f>
        <v/>
      </c>
      <c r="W233" s="15" t="str">
        <f t="shared" si="4"/>
        <v/>
      </c>
    </row>
    <row r="234">
      <c r="B234" t="str">
        <f t="array" ref="B234">IFERROR(INDEX('Player Raw Data'!C:C,Match($A234,'Player Raw Data'!$B:$B,0)),"")</f>
        <v/>
      </c>
      <c r="C234" t="str">
        <f t="array" ref="C234">IFERROR(INDEX('Player Raw Data'!D:D,Match($A234,'Player Raw Data'!$B:$B,0)),"")</f>
        <v/>
      </c>
      <c r="D234" t="str">
        <f t="array" ref="D234">IFERROR(IF(A234=A233, INDEX('Player Raw Data'!E:E,Match($A234,'Player Raw Data'!$B:$B,0)+2),INDEX('Player Raw Data'!E:E,Match($A234,'Player Raw Data'!$B:$B,0))),"")</f>
        <v/>
      </c>
      <c r="E234" t="str">
        <f t="array" ref="E234">IFERROR(INDEX('Day Range Raw Data'!D:D,Match($A234,'Day Range Raw Data'!$B:$B,0)),"")</f>
        <v/>
      </c>
      <c r="F234" t="str">
        <f t="array" ref="F234">IFERROR(INDEX('Day Range Raw Data'!F:F,Match($A234,'Day Range Raw Data'!$B:$B,0)),"")</f>
        <v/>
      </c>
      <c r="G234" t="str">
        <f t="array" ref="G234">IFERROR(INDEX('Day Range Raw Data'!G:G,Match($A234,'Day Range Raw Data'!$B:$B,0)),"")</f>
        <v/>
      </c>
      <c r="H234" t="str">
        <f t="array" ref="H234">IFERROR(INDEX('Day Range Raw Data'!H:H,Match($A234,'Day Range Raw Data'!$B:$B,0)),"")</f>
        <v/>
      </c>
      <c r="I234" t="str">
        <f t="array" ref="I234">IFERROR(INDEX('Day Range Raw Data'!M:M,Match($A234,'Day Range Raw Data'!$B:$B,0)),"")</f>
        <v/>
      </c>
      <c r="J234" t="str">
        <f t="array" ref="J234">IFERROR(INDEX('Day Range Raw Data'!N:N,Match($A234,'Day Range Raw Data'!$B:$B,0)),"")</f>
        <v/>
      </c>
      <c r="K234" t="str">
        <f t="array" ref="K234">IFERROR(INDEX('Day Range Raw Data'!R:R,Match($A234,'Day Range Raw Data'!$B:$B,0)),"")</f>
        <v/>
      </c>
      <c r="L234" t="str">
        <f t="array" ref="L234">IFERROR(INDEX('Day Range Raw Data'!S:S,Match($A234,'Day Range Raw Data'!$B:$B,0)),"")</f>
        <v/>
      </c>
      <c r="M234" t="str">
        <f t="array" ref="M234">IFERROR(INDEX('Day Range Raw Data'!T:T,Match($A234,'Day Range Raw Data'!$B:$B,0)),"")</f>
        <v/>
      </c>
      <c r="N234" t="str">
        <f t="array" ref="N234">IFERROR(INDEX('Day Range Raw Data'!U:U,Match($A234,'Day Range Raw Data'!$B:$B,0)),"")</f>
        <v/>
      </c>
      <c r="O234" t="str">
        <f t="array" ref="O234">IFERROR(INDEX('Day Range Raw Data'!V:V,Match($A234,'Day Range Raw Data'!$B:$B,0)),"")</f>
        <v/>
      </c>
      <c r="P234" t="str">
        <f t="array" ref="P234">IFERROR(INDEX('Day Range Raw Data'!X:X,Match($A234,'Day Range Raw Data'!$B:$B,0)),"")</f>
        <v/>
      </c>
      <c r="Q234" t="str">
        <f t="shared" si="1"/>
        <v/>
      </c>
      <c r="R234" s="9" t="str">
        <f t="shared" si="2"/>
        <v/>
      </c>
      <c r="S234" s="14" t="str">
        <f t="shared" si="3"/>
        <v/>
      </c>
      <c r="T234" s="15" t="str">
        <f>IFERROR(__xludf.DUMMYFUNCTION("IF($A234="""","""",IFERROR(PERCENTRANK.INC(FILTER(Q:Q,$F:$F&lt;&gt;""""),Q234)*100,""""))"),"")</f>
        <v/>
      </c>
      <c r="U234" s="15" t="str">
        <f>IFERROR(__xludf.DUMMYFUNCTION("IF($A234="""","""",IFERROR(PERCENTRANK.INC(FILTER(R:R,$F:$F&lt;&gt;""""),R234)*100,""""))"),"")</f>
        <v/>
      </c>
      <c r="V234" s="15" t="str">
        <f>IFERROR(__xludf.DUMMYFUNCTION("IF($A234="""","""",IFERROR(PERCENTRANK.INC(FILTER(S:S,$F:$F&lt;&gt;""""),S234)*100,""""))"),"")</f>
        <v/>
      </c>
      <c r="W234" s="15" t="str">
        <f t="shared" si="4"/>
        <v/>
      </c>
    </row>
    <row r="235">
      <c r="B235" t="str">
        <f t="array" ref="B235">IFERROR(INDEX('Player Raw Data'!C:C,Match($A235,'Player Raw Data'!$B:$B,0)),"")</f>
        <v/>
      </c>
      <c r="C235" t="str">
        <f t="array" ref="C235">IFERROR(INDEX('Player Raw Data'!D:D,Match($A235,'Player Raw Data'!$B:$B,0)),"")</f>
        <v/>
      </c>
      <c r="D235" t="str">
        <f t="array" ref="D235">IFERROR(IF(A235=A234, INDEX('Player Raw Data'!E:E,Match($A235,'Player Raw Data'!$B:$B,0)+2),INDEX('Player Raw Data'!E:E,Match($A235,'Player Raw Data'!$B:$B,0))),"")</f>
        <v/>
      </c>
      <c r="E235" t="str">
        <f t="array" ref="E235">IFERROR(INDEX('Day Range Raw Data'!D:D,Match($A235,'Day Range Raw Data'!$B:$B,0)),"")</f>
        <v/>
      </c>
      <c r="F235" t="str">
        <f t="array" ref="F235">IFERROR(INDEX('Day Range Raw Data'!F:F,Match($A235,'Day Range Raw Data'!$B:$B,0)),"")</f>
        <v/>
      </c>
      <c r="G235" t="str">
        <f t="array" ref="G235">IFERROR(INDEX('Day Range Raw Data'!G:G,Match($A235,'Day Range Raw Data'!$B:$B,0)),"")</f>
        <v/>
      </c>
      <c r="H235" t="str">
        <f t="array" ref="H235">IFERROR(INDEX('Day Range Raw Data'!H:H,Match($A235,'Day Range Raw Data'!$B:$B,0)),"")</f>
        <v/>
      </c>
      <c r="I235" t="str">
        <f t="array" ref="I235">IFERROR(INDEX('Day Range Raw Data'!M:M,Match($A235,'Day Range Raw Data'!$B:$B,0)),"")</f>
        <v/>
      </c>
      <c r="J235" t="str">
        <f t="array" ref="J235">IFERROR(INDEX('Day Range Raw Data'!N:N,Match($A235,'Day Range Raw Data'!$B:$B,0)),"")</f>
        <v/>
      </c>
      <c r="K235" t="str">
        <f t="array" ref="K235">IFERROR(INDEX('Day Range Raw Data'!R:R,Match($A235,'Day Range Raw Data'!$B:$B,0)),"")</f>
        <v/>
      </c>
      <c r="L235" t="str">
        <f t="array" ref="L235">IFERROR(INDEX('Day Range Raw Data'!S:S,Match($A235,'Day Range Raw Data'!$B:$B,0)),"")</f>
        <v/>
      </c>
      <c r="M235" t="str">
        <f t="array" ref="M235">IFERROR(INDEX('Day Range Raw Data'!T:T,Match($A235,'Day Range Raw Data'!$B:$B,0)),"")</f>
        <v/>
      </c>
      <c r="N235" t="str">
        <f t="array" ref="N235">IFERROR(INDEX('Day Range Raw Data'!U:U,Match($A235,'Day Range Raw Data'!$B:$B,0)),"")</f>
        <v/>
      </c>
      <c r="O235" t="str">
        <f t="array" ref="O235">IFERROR(INDEX('Day Range Raw Data'!V:V,Match($A235,'Day Range Raw Data'!$B:$B,0)),"")</f>
        <v/>
      </c>
      <c r="P235" t="str">
        <f t="array" ref="P235">IFERROR(INDEX('Day Range Raw Data'!X:X,Match($A235,'Day Range Raw Data'!$B:$B,0)),"")</f>
        <v/>
      </c>
      <c r="Q235" t="str">
        <f t="shared" si="1"/>
        <v/>
      </c>
      <c r="R235" s="9" t="str">
        <f t="shared" si="2"/>
        <v/>
      </c>
      <c r="S235" s="14" t="str">
        <f t="shared" si="3"/>
        <v/>
      </c>
      <c r="T235" s="15" t="str">
        <f>IFERROR(__xludf.DUMMYFUNCTION("IF($A235="""","""",IFERROR(PERCENTRANK.INC(FILTER(Q:Q,$F:$F&lt;&gt;""""),Q235)*100,""""))"),"")</f>
        <v/>
      </c>
      <c r="U235" s="15" t="str">
        <f>IFERROR(__xludf.DUMMYFUNCTION("IF($A235="""","""",IFERROR(PERCENTRANK.INC(FILTER(R:R,$F:$F&lt;&gt;""""),R235)*100,""""))"),"")</f>
        <v/>
      </c>
      <c r="V235" s="15" t="str">
        <f>IFERROR(__xludf.DUMMYFUNCTION("IF($A235="""","""",IFERROR(PERCENTRANK.INC(FILTER(S:S,$F:$F&lt;&gt;""""),S235)*100,""""))"),"")</f>
        <v/>
      </c>
      <c r="W235" s="15" t="str">
        <f t="shared" si="4"/>
        <v/>
      </c>
    </row>
    <row r="236">
      <c r="B236" t="str">
        <f t="array" ref="B236">IFERROR(INDEX('Player Raw Data'!C:C,Match($A236,'Player Raw Data'!$B:$B,0)),"")</f>
        <v/>
      </c>
      <c r="C236" t="str">
        <f t="array" ref="C236">IFERROR(INDEX('Player Raw Data'!D:D,Match($A236,'Player Raw Data'!$B:$B,0)),"")</f>
        <v/>
      </c>
      <c r="D236" t="str">
        <f t="array" ref="D236">IFERROR(IF(A236=A235, INDEX('Player Raw Data'!E:E,Match($A236,'Player Raw Data'!$B:$B,0)+2),INDEX('Player Raw Data'!E:E,Match($A236,'Player Raw Data'!$B:$B,0))),"")</f>
        <v/>
      </c>
      <c r="E236" t="str">
        <f t="array" ref="E236">IFERROR(INDEX('Day Range Raw Data'!D:D,Match($A236,'Day Range Raw Data'!$B:$B,0)),"")</f>
        <v/>
      </c>
      <c r="F236" t="str">
        <f t="array" ref="F236">IFERROR(INDEX('Day Range Raw Data'!F:F,Match($A236,'Day Range Raw Data'!$B:$B,0)),"")</f>
        <v/>
      </c>
      <c r="G236" t="str">
        <f t="array" ref="G236">IFERROR(INDEX('Day Range Raw Data'!G:G,Match($A236,'Day Range Raw Data'!$B:$B,0)),"")</f>
        <v/>
      </c>
      <c r="H236" t="str">
        <f t="array" ref="H236">IFERROR(INDEX('Day Range Raw Data'!H:H,Match($A236,'Day Range Raw Data'!$B:$B,0)),"")</f>
        <v/>
      </c>
      <c r="I236" t="str">
        <f t="array" ref="I236">IFERROR(INDEX('Day Range Raw Data'!M:M,Match($A236,'Day Range Raw Data'!$B:$B,0)),"")</f>
        <v/>
      </c>
      <c r="J236" t="str">
        <f t="array" ref="J236">IFERROR(INDEX('Day Range Raw Data'!N:N,Match($A236,'Day Range Raw Data'!$B:$B,0)),"")</f>
        <v/>
      </c>
      <c r="K236" t="str">
        <f t="array" ref="K236">IFERROR(INDEX('Day Range Raw Data'!R:R,Match($A236,'Day Range Raw Data'!$B:$B,0)),"")</f>
        <v/>
      </c>
      <c r="L236" t="str">
        <f t="array" ref="L236">IFERROR(INDEX('Day Range Raw Data'!S:S,Match($A236,'Day Range Raw Data'!$B:$B,0)),"")</f>
        <v/>
      </c>
      <c r="M236" t="str">
        <f t="array" ref="M236">IFERROR(INDEX('Day Range Raw Data'!T:T,Match($A236,'Day Range Raw Data'!$B:$B,0)),"")</f>
        <v/>
      </c>
      <c r="N236" t="str">
        <f t="array" ref="N236">IFERROR(INDEX('Day Range Raw Data'!U:U,Match($A236,'Day Range Raw Data'!$B:$B,0)),"")</f>
        <v/>
      </c>
      <c r="O236" t="str">
        <f t="array" ref="O236">IFERROR(INDEX('Day Range Raw Data'!V:V,Match($A236,'Day Range Raw Data'!$B:$B,0)),"")</f>
        <v/>
      </c>
      <c r="P236" t="str">
        <f t="array" ref="P236">IFERROR(INDEX('Day Range Raw Data'!X:X,Match($A236,'Day Range Raw Data'!$B:$B,0)),"")</f>
        <v/>
      </c>
      <c r="Q236" t="str">
        <f t="shared" si="1"/>
        <v/>
      </c>
      <c r="R236" s="9" t="str">
        <f t="shared" si="2"/>
        <v/>
      </c>
      <c r="S236" s="14" t="str">
        <f t="shared" si="3"/>
        <v/>
      </c>
      <c r="T236" s="15" t="str">
        <f>IFERROR(__xludf.DUMMYFUNCTION("IF($A236="""","""",IFERROR(PERCENTRANK.INC(FILTER(Q:Q,$F:$F&lt;&gt;""""),Q236)*100,""""))"),"")</f>
        <v/>
      </c>
      <c r="U236" s="15" t="str">
        <f>IFERROR(__xludf.DUMMYFUNCTION("IF($A236="""","""",IFERROR(PERCENTRANK.INC(FILTER(R:R,$F:$F&lt;&gt;""""),R236)*100,""""))"),"")</f>
        <v/>
      </c>
      <c r="V236" s="15" t="str">
        <f>IFERROR(__xludf.DUMMYFUNCTION("IF($A236="""","""",IFERROR(PERCENTRANK.INC(FILTER(S:S,$F:$F&lt;&gt;""""),S236)*100,""""))"),"")</f>
        <v/>
      </c>
      <c r="W236" s="15" t="str">
        <f t="shared" si="4"/>
        <v/>
      </c>
    </row>
    <row r="237">
      <c r="B237" t="str">
        <f t="array" ref="B237">IFERROR(INDEX('Player Raw Data'!C:C,Match($A237,'Player Raw Data'!$B:$B,0)),"")</f>
        <v/>
      </c>
      <c r="C237" t="str">
        <f t="array" ref="C237">IFERROR(INDEX('Player Raw Data'!D:D,Match($A237,'Player Raw Data'!$B:$B,0)),"")</f>
        <v/>
      </c>
      <c r="D237" t="str">
        <f t="array" ref="D237">IFERROR(IF(A237=A236, INDEX('Player Raw Data'!E:E,Match($A237,'Player Raw Data'!$B:$B,0)+2),INDEX('Player Raw Data'!E:E,Match($A237,'Player Raw Data'!$B:$B,0))),"")</f>
        <v/>
      </c>
      <c r="E237" t="str">
        <f t="array" ref="E237">IFERROR(INDEX('Day Range Raw Data'!D:D,Match($A237,'Day Range Raw Data'!$B:$B,0)),"")</f>
        <v/>
      </c>
      <c r="F237" t="str">
        <f t="array" ref="F237">IFERROR(INDEX('Day Range Raw Data'!F:F,Match($A237,'Day Range Raw Data'!$B:$B,0)),"")</f>
        <v/>
      </c>
      <c r="G237" t="str">
        <f t="array" ref="G237">IFERROR(INDEX('Day Range Raw Data'!G:G,Match($A237,'Day Range Raw Data'!$B:$B,0)),"")</f>
        <v/>
      </c>
      <c r="H237" t="str">
        <f t="array" ref="H237">IFERROR(INDEX('Day Range Raw Data'!H:H,Match($A237,'Day Range Raw Data'!$B:$B,0)),"")</f>
        <v/>
      </c>
      <c r="I237" t="str">
        <f t="array" ref="I237">IFERROR(INDEX('Day Range Raw Data'!M:M,Match($A237,'Day Range Raw Data'!$B:$B,0)),"")</f>
        <v/>
      </c>
      <c r="J237" t="str">
        <f t="array" ref="J237">IFERROR(INDEX('Day Range Raw Data'!N:N,Match($A237,'Day Range Raw Data'!$B:$B,0)),"")</f>
        <v/>
      </c>
      <c r="K237" t="str">
        <f t="array" ref="K237">IFERROR(INDEX('Day Range Raw Data'!R:R,Match($A237,'Day Range Raw Data'!$B:$B,0)),"")</f>
        <v/>
      </c>
      <c r="L237" t="str">
        <f t="array" ref="L237">IFERROR(INDEX('Day Range Raw Data'!S:S,Match($A237,'Day Range Raw Data'!$B:$B,0)),"")</f>
        <v/>
      </c>
      <c r="M237" t="str">
        <f t="array" ref="M237">IFERROR(INDEX('Day Range Raw Data'!T:T,Match($A237,'Day Range Raw Data'!$B:$B,0)),"")</f>
        <v/>
      </c>
      <c r="N237" t="str">
        <f t="array" ref="N237">IFERROR(INDEX('Day Range Raw Data'!U:U,Match($A237,'Day Range Raw Data'!$B:$B,0)),"")</f>
        <v/>
      </c>
      <c r="O237" t="str">
        <f t="array" ref="O237">IFERROR(INDEX('Day Range Raw Data'!V:V,Match($A237,'Day Range Raw Data'!$B:$B,0)),"")</f>
        <v/>
      </c>
      <c r="P237" t="str">
        <f t="array" ref="P237">IFERROR(INDEX('Day Range Raw Data'!X:X,Match($A237,'Day Range Raw Data'!$B:$B,0)),"")</f>
        <v/>
      </c>
      <c r="Q237" t="str">
        <f t="shared" si="1"/>
        <v/>
      </c>
      <c r="R237" s="9" t="str">
        <f t="shared" si="2"/>
        <v/>
      </c>
      <c r="S237" s="14" t="str">
        <f t="shared" si="3"/>
        <v/>
      </c>
      <c r="T237" s="15" t="str">
        <f>IFERROR(__xludf.DUMMYFUNCTION("IF($A237="""","""",IFERROR(PERCENTRANK.INC(FILTER(Q:Q,$F:$F&lt;&gt;""""),Q237)*100,""""))"),"")</f>
        <v/>
      </c>
      <c r="U237" s="15" t="str">
        <f>IFERROR(__xludf.DUMMYFUNCTION("IF($A237="""","""",IFERROR(PERCENTRANK.INC(FILTER(R:R,$F:$F&lt;&gt;""""),R237)*100,""""))"),"")</f>
        <v/>
      </c>
      <c r="V237" s="15" t="str">
        <f>IFERROR(__xludf.DUMMYFUNCTION("IF($A237="""","""",IFERROR(PERCENTRANK.INC(FILTER(S:S,$F:$F&lt;&gt;""""),S237)*100,""""))"),"")</f>
        <v/>
      </c>
      <c r="W237" s="15" t="str">
        <f t="shared" si="4"/>
        <v/>
      </c>
    </row>
    <row r="238">
      <c r="B238" t="str">
        <f t="array" ref="B238">IFERROR(INDEX('Player Raw Data'!C:C,Match($A238,'Player Raw Data'!$B:$B,0)),"")</f>
        <v/>
      </c>
      <c r="C238" t="str">
        <f t="array" ref="C238">IFERROR(INDEX('Player Raw Data'!D:D,Match($A238,'Player Raw Data'!$B:$B,0)),"")</f>
        <v/>
      </c>
      <c r="D238" t="str">
        <f t="array" ref="D238">IFERROR(IF(A238=A237, INDEX('Player Raw Data'!E:E,Match($A238,'Player Raw Data'!$B:$B,0)+2),INDEX('Player Raw Data'!E:E,Match($A238,'Player Raw Data'!$B:$B,0))),"")</f>
        <v/>
      </c>
      <c r="E238" t="str">
        <f t="array" ref="E238">IFERROR(INDEX('Day Range Raw Data'!D:D,Match($A238,'Day Range Raw Data'!$B:$B,0)),"")</f>
        <v/>
      </c>
      <c r="F238" t="str">
        <f t="array" ref="F238">IFERROR(INDEX('Day Range Raw Data'!F:F,Match($A238,'Day Range Raw Data'!$B:$B,0)),"")</f>
        <v/>
      </c>
      <c r="G238" t="str">
        <f t="array" ref="G238">IFERROR(INDEX('Day Range Raw Data'!G:G,Match($A238,'Day Range Raw Data'!$B:$B,0)),"")</f>
        <v/>
      </c>
      <c r="H238" t="str">
        <f t="array" ref="H238">IFERROR(INDEX('Day Range Raw Data'!H:H,Match($A238,'Day Range Raw Data'!$B:$B,0)),"")</f>
        <v/>
      </c>
      <c r="I238" t="str">
        <f t="array" ref="I238">IFERROR(INDEX('Day Range Raw Data'!M:M,Match($A238,'Day Range Raw Data'!$B:$B,0)),"")</f>
        <v/>
      </c>
      <c r="J238" t="str">
        <f t="array" ref="J238">IFERROR(INDEX('Day Range Raw Data'!N:N,Match($A238,'Day Range Raw Data'!$B:$B,0)),"")</f>
        <v/>
      </c>
      <c r="K238" t="str">
        <f t="array" ref="K238">IFERROR(INDEX('Day Range Raw Data'!R:R,Match($A238,'Day Range Raw Data'!$B:$B,0)),"")</f>
        <v/>
      </c>
      <c r="L238" t="str">
        <f t="array" ref="L238">IFERROR(INDEX('Day Range Raw Data'!S:S,Match($A238,'Day Range Raw Data'!$B:$B,0)),"")</f>
        <v/>
      </c>
      <c r="M238" t="str">
        <f t="array" ref="M238">IFERROR(INDEX('Day Range Raw Data'!T:T,Match($A238,'Day Range Raw Data'!$B:$B,0)),"")</f>
        <v/>
      </c>
      <c r="N238" t="str">
        <f t="array" ref="N238">IFERROR(INDEX('Day Range Raw Data'!U:U,Match($A238,'Day Range Raw Data'!$B:$B,0)),"")</f>
        <v/>
      </c>
      <c r="O238" t="str">
        <f t="array" ref="O238">IFERROR(INDEX('Day Range Raw Data'!V:V,Match($A238,'Day Range Raw Data'!$B:$B,0)),"")</f>
        <v/>
      </c>
      <c r="P238" t="str">
        <f t="array" ref="P238">IFERROR(INDEX('Day Range Raw Data'!X:X,Match($A238,'Day Range Raw Data'!$B:$B,0)),"")</f>
        <v/>
      </c>
      <c r="Q238" t="str">
        <f t="shared" si="1"/>
        <v/>
      </c>
      <c r="R238" s="9" t="str">
        <f t="shared" si="2"/>
        <v/>
      </c>
      <c r="S238" s="14" t="str">
        <f t="shared" si="3"/>
        <v/>
      </c>
      <c r="T238" s="15" t="str">
        <f>IFERROR(__xludf.DUMMYFUNCTION("IF($A238="""","""",IFERROR(PERCENTRANK.INC(FILTER(Q:Q,$F:$F&lt;&gt;""""),Q238)*100,""""))"),"")</f>
        <v/>
      </c>
      <c r="U238" s="15" t="str">
        <f>IFERROR(__xludf.DUMMYFUNCTION("IF($A238="""","""",IFERROR(PERCENTRANK.INC(FILTER(R:R,$F:$F&lt;&gt;""""),R238)*100,""""))"),"")</f>
        <v/>
      </c>
      <c r="V238" s="15" t="str">
        <f>IFERROR(__xludf.DUMMYFUNCTION("IF($A238="""","""",IFERROR(PERCENTRANK.INC(FILTER(S:S,$F:$F&lt;&gt;""""),S238)*100,""""))"),"")</f>
        <v/>
      </c>
      <c r="W238" s="15" t="str">
        <f t="shared" si="4"/>
        <v/>
      </c>
    </row>
    <row r="239">
      <c r="B239" t="str">
        <f t="array" ref="B239">IFERROR(INDEX('Player Raw Data'!C:C,Match($A239,'Player Raw Data'!$B:$B,0)),"")</f>
        <v/>
      </c>
      <c r="C239" t="str">
        <f t="array" ref="C239">IFERROR(INDEX('Player Raw Data'!D:D,Match($A239,'Player Raw Data'!$B:$B,0)),"")</f>
        <v/>
      </c>
      <c r="D239" t="str">
        <f t="array" ref="D239">IFERROR(IF(A239=A238, INDEX('Player Raw Data'!E:E,Match($A239,'Player Raw Data'!$B:$B,0)+2),INDEX('Player Raw Data'!E:E,Match($A239,'Player Raw Data'!$B:$B,0))),"")</f>
        <v/>
      </c>
      <c r="E239" t="str">
        <f t="array" ref="E239">IFERROR(INDEX('Day Range Raw Data'!D:D,Match($A239,'Day Range Raw Data'!$B:$B,0)),"")</f>
        <v/>
      </c>
      <c r="F239" t="str">
        <f t="array" ref="F239">IFERROR(INDEX('Day Range Raw Data'!F:F,Match($A239,'Day Range Raw Data'!$B:$B,0)),"")</f>
        <v/>
      </c>
      <c r="G239" t="str">
        <f t="array" ref="G239">IFERROR(INDEX('Day Range Raw Data'!G:G,Match($A239,'Day Range Raw Data'!$B:$B,0)),"")</f>
        <v/>
      </c>
      <c r="H239" t="str">
        <f t="array" ref="H239">IFERROR(INDEX('Day Range Raw Data'!H:H,Match($A239,'Day Range Raw Data'!$B:$B,0)),"")</f>
        <v/>
      </c>
      <c r="I239" t="str">
        <f t="array" ref="I239">IFERROR(INDEX('Day Range Raw Data'!M:M,Match($A239,'Day Range Raw Data'!$B:$B,0)),"")</f>
        <v/>
      </c>
      <c r="J239" t="str">
        <f t="array" ref="J239">IFERROR(INDEX('Day Range Raw Data'!N:N,Match($A239,'Day Range Raw Data'!$B:$B,0)),"")</f>
        <v/>
      </c>
      <c r="K239" t="str">
        <f t="array" ref="K239">IFERROR(INDEX('Day Range Raw Data'!R:R,Match($A239,'Day Range Raw Data'!$B:$B,0)),"")</f>
        <v/>
      </c>
      <c r="L239" t="str">
        <f t="array" ref="L239">IFERROR(INDEX('Day Range Raw Data'!S:S,Match($A239,'Day Range Raw Data'!$B:$B,0)),"")</f>
        <v/>
      </c>
      <c r="M239" t="str">
        <f t="array" ref="M239">IFERROR(INDEX('Day Range Raw Data'!T:T,Match($A239,'Day Range Raw Data'!$B:$B,0)),"")</f>
        <v/>
      </c>
      <c r="N239" t="str">
        <f t="array" ref="N239">IFERROR(INDEX('Day Range Raw Data'!U:U,Match($A239,'Day Range Raw Data'!$B:$B,0)),"")</f>
        <v/>
      </c>
      <c r="O239" t="str">
        <f t="array" ref="O239">IFERROR(INDEX('Day Range Raw Data'!V:V,Match($A239,'Day Range Raw Data'!$B:$B,0)),"")</f>
        <v/>
      </c>
      <c r="P239" t="str">
        <f t="array" ref="P239">IFERROR(INDEX('Day Range Raw Data'!X:X,Match($A239,'Day Range Raw Data'!$B:$B,0)),"")</f>
        <v/>
      </c>
      <c r="Q239" t="str">
        <f t="shared" si="1"/>
        <v/>
      </c>
      <c r="R239" s="9" t="str">
        <f t="shared" si="2"/>
        <v/>
      </c>
      <c r="S239" s="14" t="str">
        <f t="shared" si="3"/>
        <v/>
      </c>
      <c r="T239" s="15" t="str">
        <f>IFERROR(__xludf.DUMMYFUNCTION("IF($A239="""","""",IFERROR(PERCENTRANK.INC(FILTER(Q:Q,$F:$F&lt;&gt;""""),Q239)*100,""""))"),"")</f>
        <v/>
      </c>
      <c r="U239" s="15" t="str">
        <f>IFERROR(__xludf.DUMMYFUNCTION("IF($A239="""","""",IFERROR(PERCENTRANK.INC(FILTER(R:R,$F:$F&lt;&gt;""""),R239)*100,""""))"),"")</f>
        <v/>
      </c>
      <c r="V239" s="15" t="str">
        <f>IFERROR(__xludf.DUMMYFUNCTION("IF($A239="""","""",IFERROR(PERCENTRANK.INC(FILTER(S:S,$F:$F&lt;&gt;""""),S239)*100,""""))"),"")</f>
        <v/>
      </c>
      <c r="W239" s="15" t="str">
        <f t="shared" si="4"/>
        <v/>
      </c>
    </row>
    <row r="240">
      <c r="B240" t="str">
        <f t="array" ref="B240">IFERROR(INDEX('Player Raw Data'!C:C,Match($A240,'Player Raw Data'!$B:$B,0)),"")</f>
        <v/>
      </c>
      <c r="C240" t="str">
        <f t="array" ref="C240">IFERROR(INDEX('Player Raw Data'!D:D,Match($A240,'Player Raw Data'!$B:$B,0)),"")</f>
        <v/>
      </c>
      <c r="D240" t="str">
        <f t="array" ref="D240">IFERROR(IF(A240=A239, INDEX('Player Raw Data'!E:E,Match($A240,'Player Raw Data'!$B:$B,0)+2),INDEX('Player Raw Data'!E:E,Match($A240,'Player Raw Data'!$B:$B,0))),"")</f>
        <v/>
      </c>
      <c r="E240" t="str">
        <f t="array" ref="E240">IFERROR(INDEX('Day Range Raw Data'!D:D,Match($A240,'Day Range Raw Data'!$B:$B,0)),"")</f>
        <v/>
      </c>
      <c r="F240" t="str">
        <f t="array" ref="F240">IFERROR(INDEX('Day Range Raw Data'!F:F,Match($A240,'Day Range Raw Data'!$B:$B,0)),"")</f>
        <v/>
      </c>
      <c r="G240" t="str">
        <f t="array" ref="G240">IFERROR(INDEX('Day Range Raw Data'!G:G,Match($A240,'Day Range Raw Data'!$B:$B,0)),"")</f>
        <v/>
      </c>
      <c r="H240" t="str">
        <f t="array" ref="H240">IFERROR(INDEX('Day Range Raw Data'!H:H,Match($A240,'Day Range Raw Data'!$B:$B,0)),"")</f>
        <v/>
      </c>
      <c r="I240" t="str">
        <f t="array" ref="I240">IFERROR(INDEX('Day Range Raw Data'!M:M,Match($A240,'Day Range Raw Data'!$B:$B,0)),"")</f>
        <v/>
      </c>
      <c r="J240" t="str">
        <f t="array" ref="J240">IFERROR(INDEX('Day Range Raw Data'!N:N,Match($A240,'Day Range Raw Data'!$B:$B,0)),"")</f>
        <v/>
      </c>
      <c r="K240" t="str">
        <f t="array" ref="K240">IFERROR(INDEX('Day Range Raw Data'!R:R,Match($A240,'Day Range Raw Data'!$B:$B,0)),"")</f>
        <v/>
      </c>
      <c r="L240" t="str">
        <f t="array" ref="L240">IFERROR(INDEX('Day Range Raw Data'!S:S,Match($A240,'Day Range Raw Data'!$B:$B,0)),"")</f>
        <v/>
      </c>
      <c r="M240" t="str">
        <f t="array" ref="M240">IFERROR(INDEX('Day Range Raw Data'!T:T,Match($A240,'Day Range Raw Data'!$B:$B,0)),"")</f>
        <v/>
      </c>
      <c r="N240" t="str">
        <f t="array" ref="N240">IFERROR(INDEX('Day Range Raw Data'!U:U,Match($A240,'Day Range Raw Data'!$B:$B,0)),"")</f>
        <v/>
      </c>
      <c r="O240" t="str">
        <f t="array" ref="O240">IFERROR(INDEX('Day Range Raw Data'!V:V,Match($A240,'Day Range Raw Data'!$B:$B,0)),"")</f>
        <v/>
      </c>
      <c r="P240" t="str">
        <f t="array" ref="P240">IFERROR(INDEX('Day Range Raw Data'!X:X,Match($A240,'Day Range Raw Data'!$B:$B,0)),"")</f>
        <v/>
      </c>
      <c r="Q240" t="str">
        <f t="shared" si="1"/>
        <v/>
      </c>
      <c r="R240" s="9" t="str">
        <f t="shared" si="2"/>
        <v/>
      </c>
      <c r="S240" s="14" t="str">
        <f t="shared" si="3"/>
        <v/>
      </c>
      <c r="T240" s="15" t="str">
        <f>IFERROR(__xludf.DUMMYFUNCTION("IF($A240="""","""",IFERROR(PERCENTRANK.INC(FILTER(Q:Q,$F:$F&lt;&gt;""""),Q240)*100,""""))"),"")</f>
        <v/>
      </c>
      <c r="U240" s="15" t="str">
        <f>IFERROR(__xludf.DUMMYFUNCTION("IF($A240="""","""",IFERROR(PERCENTRANK.INC(FILTER(R:R,$F:$F&lt;&gt;""""),R240)*100,""""))"),"")</f>
        <v/>
      </c>
      <c r="V240" s="15" t="str">
        <f>IFERROR(__xludf.DUMMYFUNCTION("IF($A240="""","""",IFERROR(PERCENTRANK.INC(FILTER(S:S,$F:$F&lt;&gt;""""),S240)*100,""""))"),"")</f>
        <v/>
      </c>
      <c r="W240" s="15" t="str">
        <f t="shared" si="4"/>
        <v/>
      </c>
    </row>
    <row r="241">
      <c r="B241" t="str">
        <f t="array" ref="B241">IFERROR(INDEX('Player Raw Data'!C:C,Match($A241,'Player Raw Data'!$B:$B,0)),"")</f>
        <v/>
      </c>
      <c r="C241" t="str">
        <f t="array" ref="C241">IFERROR(INDEX('Player Raw Data'!D:D,Match($A241,'Player Raw Data'!$B:$B,0)),"")</f>
        <v/>
      </c>
      <c r="D241" t="str">
        <f t="array" ref="D241">IFERROR(IF(A241=A240, INDEX('Player Raw Data'!E:E,Match($A241,'Player Raw Data'!$B:$B,0)+2),INDEX('Player Raw Data'!E:E,Match($A241,'Player Raw Data'!$B:$B,0))),"")</f>
        <v/>
      </c>
      <c r="E241" t="str">
        <f t="array" ref="E241">IFERROR(INDEX('Day Range Raw Data'!D:D,Match($A241,'Day Range Raw Data'!$B:$B,0)),"")</f>
        <v/>
      </c>
      <c r="F241" t="str">
        <f t="array" ref="F241">IFERROR(INDEX('Day Range Raw Data'!F:F,Match($A241,'Day Range Raw Data'!$B:$B,0)),"")</f>
        <v/>
      </c>
      <c r="G241" t="str">
        <f t="array" ref="G241">IFERROR(INDEX('Day Range Raw Data'!G:G,Match($A241,'Day Range Raw Data'!$B:$B,0)),"")</f>
        <v/>
      </c>
      <c r="H241" t="str">
        <f t="array" ref="H241">IFERROR(INDEX('Day Range Raw Data'!H:H,Match($A241,'Day Range Raw Data'!$B:$B,0)),"")</f>
        <v/>
      </c>
      <c r="I241" t="str">
        <f t="array" ref="I241">IFERROR(INDEX('Day Range Raw Data'!M:M,Match($A241,'Day Range Raw Data'!$B:$B,0)),"")</f>
        <v/>
      </c>
      <c r="J241" t="str">
        <f t="array" ref="J241">IFERROR(INDEX('Day Range Raw Data'!N:N,Match($A241,'Day Range Raw Data'!$B:$B,0)),"")</f>
        <v/>
      </c>
      <c r="K241" t="str">
        <f t="array" ref="K241">IFERROR(INDEX('Day Range Raw Data'!R:R,Match($A241,'Day Range Raw Data'!$B:$B,0)),"")</f>
        <v/>
      </c>
      <c r="L241" t="str">
        <f t="array" ref="L241">IFERROR(INDEX('Day Range Raw Data'!S:S,Match($A241,'Day Range Raw Data'!$B:$B,0)),"")</f>
        <v/>
      </c>
      <c r="M241" t="str">
        <f t="array" ref="M241">IFERROR(INDEX('Day Range Raw Data'!T:T,Match($A241,'Day Range Raw Data'!$B:$B,0)),"")</f>
        <v/>
      </c>
      <c r="N241" t="str">
        <f t="array" ref="N241">IFERROR(INDEX('Day Range Raw Data'!U:U,Match($A241,'Day Range Raw Data'!$B:$B,0)),"")</f>
        <v/>
      </c>
      <c r="O241" t="str">
        <f t="array" ref="O241">IFERROR(INDEX('Day Range Raw Data'!V:V,Match($A241,'Day Range Raw Data'!$B:$B,0)),"")</f>
        <v/>
      </c>
      <c r="P241" t="str">
        <f t="array" ref="P241">IFERROR(INDEX('Day Range Raw Data'!X:X,Match($A241,'Day Range Raw Data'!$B:$B,0)),"")</f>
        <v/>
      </c>
      <c r="Q241" t="str">
        <f t="shared" si="1"/>
        <v/>
      </c>
      <c r="R241" s="9" t="str">
        <f t="shared" si="2"/>
        <v/>
      </c>
      <c r="S241" s="14" t="str">
        <f t="shared" si="3"/>
        <v/>
      </c>
      <c r="T241" s="15" t="str">
        <f>IFERROR(__xludf.DUMMYFUNCTION("IF($A241="""","""",IFERROR(PERCENTRANK.INC(FILTER(Q:Q,$F:$F&lt;&gt;""""),Q241)*100,""""))"),"")</f>
        <v/>
      </c>
      <c r="U241" s="15" t="str">
        <f>IFERROR(__xludf.DUMMYFUNCTION("IF($A241="""","""",IFERROR(PERCENTRANK.INC(FILTER(R:R,$F:$F&lt;&gt;""""),R241)*100,""""))"),"")</f>
        <v/>
      </c>
      <c r="V241" s="15" t="str">
        <f>IFERROR(__xludf.DUMMYFUNCTION("IF($A241="""","""",IFERROR(PERCENTRANK.INC(FILTER(S:S,$F:$F&lt;&gt;""""),S241)*100,""""))"),"")</f>
        <v/>
      </c>
      <c r="W241" s="15" t="str">
        <f t="shared" si="4"/>
        <v/>
      </c>
    </row>
    <row r="242">
      <c r="B242" t="str">
        <f t="array" ref="B242">IFERROR(INDEX('Player Raw Data'!C:C,Match($A242,'Player Raw Data'!$B:$B,0)),"")</f>
        <v/>
      </c>
      <c r="C242" t="str">
        <f t="array" ref="C242">IFERROR(INDEX('Player Raw Data'!D:D,Match($A242,'Player Raw Data'!$B:$B,0)),"")</f>
        <v/>
      </c>
      <c r="D242" t="str">
        <f t="array" ref="D242">IFERROR(IF(A242=A241, INDEX('Player Raw Data'!E:E,Match($A242,'Player Raw Data'!$B:$B,0)+2),INDEX('Player Raw Data'!E:E,Match($A242,'Player Raw Data'!$B:$B,0))),"")</f>
        <v/>
      </c>
      <c r="E242" t="str">
        <f t="array" ref="E242">IFERROR(INDEX('Day Range Raw Data'!D:D,Match($A242,'Day Range Raw Data'!$B:$B,0)),"")</f>
        <v/>
      </c>
      <c r="F242" t="str">
        <f t="array" ref="F242">IFERROR(INDEX('Day Range Raw Data'!F:F,Match($A242,'Day Range Raw Data'!$B:$B,0)),"")</f>
        <v/>
      </c>
      <c r="G242" t="str">
        <f t="array" ref="G242">IFERROR(INDEX('Day Range Raw Data'!G:G,Match($A242,'Day Range Raw Data'!$B:$B,0)),"")</f>
        <v/>
      </c>
      <c r="H242" t="str">
        <f t="array" ref="H242">IFERROR(INDEX('Day Range Raw Data'!H:H,Match($A242,'Day Range Raw Data'!$B:$B,0)),"")</f>
        <v/>
      </c>
      <c r="I242" t="str">
        <f t="array" ref="I242">IFERROR(INDEX('Day Range Raw Data'!M:M,Match($A242,'Day Range Raw Data'!$B:$B,0)),"")</f>
        <v/>
      </c>
      <c r="J242" t="str">
        <f t="array" ref="J242">IFERROR(INDEX('Day Range Raw Data'!N:N,Match($A242,'Day Range Raw Data'!$B:$B,0)),"")</f>
        <v/>
      </c>
      <c r="K242" t="str">
        <f t="array" ref="K242">IFERROR(INDEX('Day Range Raw Data'!R:R,Match($A242,'Day Range Raw Data'!$B:$B,0)),"")</f>
        <v/>
      </c>
      <c r="L242" t="str">
        <f t="array" ref="L242">IFERROR(INDEX('Day Range Raw Data'!S:S,Match($A242,'Day Range Raw Data'!$B:$B,0)),"")</f>
        <v/>
      </c>
      <c r="M242" t="str">
        <f t="array" ref="M242">IFERROR(INDEX('Day Range Raw Data'!T:T,Match($A242,'Day Range Raw Data'!$B:$B,0)),"")</f>
        <v/>
      </c>
      <c r="N242" t="str">
        <f t="array" ref="N242">IFERROR(INDEX('Day Range Raw Data'!U:U,Match($A242,'Day Range Raw Data'!$B:$B,0)),"")</f>
        <v/>
      </c>
      <c r="O242" t="str">
        <f t="array" ref="O242">IFERROR(INDEX('Day Range Raw Data'!V:V,Match($A242,'Day Range Raw Data'!$B:$B,0)),"")</f>
        <v/>
      </c>
      <c r="P242" t="str">
        <f t="array" ref="P242">IFERROR(INDEX('Day Range Raw Data'!X:X,Match($A242,'Day Range Raw Data'!$B:$B,0)),"")</f>
        <v/>
      </c>
      <c r="Q242" t="str">
        <f t="shared" si="1"/>
        <v/>
      </c>
      <c r="R242" s="9" t="str">
        <f t="shared" si="2"/>
        <v/>
      </c>
      <c r="S242" s="14" t="str">
        <f t="shared" si="3"/>
        <v/>
      </c>
      <c r="T242" s="15" t="str">
        <f>IFERROR(__xludf.DUMMYFUNCTION("IF($A242="""","""",IFERROR(PERCENTRANK.INC(FILTER(Q:Q,$F:$F&lt;&gt;""""),Q242)*100,""""))"),"")</f>
        <v/>
      </c>
      <c r="U242" s="15" t="str">
        <f>IFERROR(__xludf.DUMMYFUNCTION("IF($A242="""","""",IFERROR(PERCENTRANK.INC(FILTER(R:R,$F:$F&lt;&gt;""""),R242)*100,""""))"),"")</f>
        <v/>
      </c>
      <c r="V242" s="15" t="str">
        <f>IFERROR(__xludf.DUMMYFUNCTION("IF($A242="""","""",IFERROR(PERCENTRANK.INC(FILTER(S:S,$F:$F&lt;&gt;""""),S242)*100,""""))"),"")</f>
        <v/>
      </c>
      <c r="W242" s="15" t="str">
        <f t="shared" si="4"/>
        <v/>
      </c>
    </row>
    <row r="243">
      <c r="B243" t="str">
        <f t="array" ref="B243">IFERROR(INDEX('Player Raw Data'!C:C,Match($A243,'Player Raw Data'!$B:$B,0)),"")</f>
        <v/>
      </c>
      <c r="C243" t="str">
        <f t="array" ref="C243">IFERROR(INDEX('Player Raw Data'!D:D,Match($A243,'Player Raw Data'!$B:$B,0)),"")</f>
        <v/>
      </c>
      <c r="D243" t="str">
        <f t="array" ref="D243">IFERROR(IF(A243=A242, INDEX('Player Raw Data'!E:E,Match($A243,'Player Raw Data'!$B:$B,0)+2),INDEX('Player Raw Data'!E:E,Match($A243,'Player Raw Data'!$B:$B,0))),"")</f>
        <v/>
      </c>
      <c r="E243" t="str">
        <f t="array" ref="E243">IFERROR(INDEX('Day Range Raw Data'!D:D,Match($A243,'Day Range Raw Data'!$B:$B,0)),"")</f>
        <v/>
      </c>
      <c r="F243" t="str">
        <f t="array" ref="F243">IFERROR(INDEX('Day Range Raw Data'!F:F,Match($A243,'Day Range Raw Data'!$B:$B,0)),"")</f>
        <v/>
      </c>
      <c r="G243" t="str">
        <f t="array" ref="G243">IFERROR(INDEX('Day Range Raw Data'!G:G,Match($A243,'Day Range Raw Data'!$B:$B,0)),"")</f>
        <v/>
      </c>
      <c r="H243" t="str">
        <f t="array" ref="H243">IFERROR(INDEX('Day Range Raw Data'!H:H,Match($A243,'Day Range Raw Data'!$B:$B,0)),"")</f>
        <v/>
      </c>
      <c r="I243" t="str">
        <f t="array" ref="I243">IFERROR(INDEX('Day Range Raw Data'!M:M,Match($A243,'Day Range Raw Data'!$B:$B,0)),"")</f>
        <v/>
      </c>
      <c r="J243" t="str">
        <f t="array" ref="J243">IFERROR(INDEX('Day Range Raw Data'!N:N,Match($A243,'Day Range Raw Data'!$B:$B,0)),"")</f>
        <v/>
      </c>
      <c r="K243" t="str">
        <f t="array" ref="K243">IFERROR(INDEX('Day Range Raw Data'!R:R,Match($A243,'Day Range Raw Data'!$B:$B,0)),"")</f>
        <v/>
      </c>
      <c r="L243" t="str">
        <f t="array" ref="L243">IFERROR(INDEX('Day Range Raw Data'!S:S,Match($A243,'Day Range Raw Data'!$B:$B,0)),"")</f>
        <v/>
      </c>
      <c r="M243" t="str">
        <f t="array" ref="M243">IFERROR(INDEX('Day Range Raw Data'!T:T,Match($A243,'Day Range Raw Data'!$B:$B,0)),"")</f>
        <v/>
      </c>
      <c r="N243" t="str">
        <f t="array" ref="N243">IFERROR(INDEX('Day Range Raw Data'!U:U,Match($A243,'Day Range Raw Data'!$B:$B,0)),"")</f>
        <v/>
      </c>
      <c r="O243" t="str">
        <f t="array" ref="O243">IFERROR(INDEX('Day Range Raw Data'!V:V,Match($A243,'Day Range Raw Data'!$B:$B,0)),"")</f>
        <v/>
      </c>
      <c r="P243" t="str">
        <f t="array" ref="P243">IFERROR(INDEX('Day Range Raw Data'!X:X,Match($A243,'Day Range Raw Data'!$B:$B,0)),"")</f>
        <v/>
      </c>
      <c r="Q243" t="str">
        <f t="shared" si="1"/>
        <v/>
      </c>
      <c r="R243" s="9" t="str">
        <f t="shared" si="2"/>
        <v/>
      </c>
      <c r="S243" s="14" t="str">
        <f t="shared" si="3"/>
        <v/>
      </c>
      <c r="T243" s="15" t="str">
        <f>IFERROR(__xludf.DUMMYFUNCTION("IF($A243="""","""",IFERROR(PERCENTRANK.INC(FILTER(Q:Q,$F:$F&lt;&gt;""""),Q243)*100,""""))"),"")</f>
        <v/>
      </c>
      <c r="U243" s="15" t="str">
        <f>IFERROR(__xludf.DUMMYFUNCTION("IF($A243="""","""",IFERROR(PERCENTRANK.INC(FILTER(R:R,$F:$F&lt;&gt;""""),R243)*100,""""))"),"")</f>
        <v/>
      </c>
      <c r="V243" s="15" t="str">
        <f>IFERROR(__xludf.DUMMYFUNCTION("IF($A243="""","""",IFERROR(PERCENTRANK.INC(FILTER(S:S,$F:$F&lt;&gt;""""),S243)*100,""""))"),"")</f>
        <v/>
      </c>
      <c r="W243" s="15" t="str">
        <f t="shared" si="4"/>
        <v/>
      </c>
    </row>
    <row r="244">
      <c r="B244" t="str">
        <f t="array" ref="B244">IFERROR(INDEX('Player Raw Data'!C:C,Match($A244,'Player Raw Data'!$B:$B,0)),"")</f>
        <v/>
      </c>
      <c r="C244" t="str">
        <f t="array" ref="C244">IFERROR(INDEX('Player Raw Data'!D:D,Match($A244,'Player Raw Data'!$B:$B,0)),"")</f>
        <v/>
      </c>
      <c r="D244" t="str">
        <f t="array" ref="D244">IFERROR(IF(A244=A243, INDEX('Player Raw Data'!E:E,Match($A244,'Player Raw Data'!$B:$B,0)+2),INDEX('Player Raw Data'!E:E,Match($A244,'Player Raw Data'!$B:$B,0))),"")</f>
        <v/>
      </c>
      <c r="E244" t="str">
        <f t="array" ref="E244">IFERROR(INDEX('Day Range Raw Data'!D:D,Match($A244,'Day Range Raw Data'!$B:$B,0)),"")</f>
        <v/>
      </c>
      <c r="F244" t="str">
        <f t="array" ref="F244">IFERROR(INDEX('Day Range Raw Data'!F:F,Match($A244,'Day Range Raw Data'!$B:$B,0)),"")</f>
        <v/>
      </c>
      <c r="G244" t="str">
        <f t="array" ref="G244">IFERROR(INDEX('Day Range Raw Data'!G:G,Match($A244,'Day Range Raw Data'!$B:$B,0)),"")</f>
        <v/>
      </c>
      <c r="H244" t="str">
        <f t="array" ref="H244">IFERROR(INDEX('Day Range Raw Data'!H:H,Match($A244,'Day Range Raw Data'!$B:$B,0)),"")</f>
        <v/>
      </c>
      <c r="I244" t="str">
        <f t="array" ref="I244">IFERROR(INDEX('Day Range Raw Data'!M:M,Match($A244,'Day Range Raw Data'!$B:$B,0)),"")</f>
        <v/>
      </c>
      <c r="J244" t="str">
        <f t="array" ref="J244">IFERROR(INDEX('Day Range Raw Data'!N:N,Match($A244,'Day Range Raw Data'!$B:$B,0)),"")</f>
        <v/>
      </c>
      <c r="K244" t="str">
        <f t="array" ref="K244">IFERROR(INDEX('Day Range Raw Data'!R:R,Match($A244,'Day Range Raw Data'!$B:$B,0)),"")</f>
        <v/>
      </c>
      <c r="L244" t="str">
        <f t="array" ref="L244">IFERROR(INDEX('Day Range Raw Data'!S:S,Match($A244,'Day Range Raw Data'!$B:$B,0)),"")</f>
        <v/>
      </c>
      <c r="M244" t="str">
        <f t="array" ref="M244">IFERROR(INDEX('Day Range Raw Data'!T:T,Match($A244,'Day Range Raw Data'!$B:$B,0)),"")</f>
        <v/>
      </c>
      <c r="N244" t="str">
        <f t="array" ref="N244">IFERROR(INDEX('Day Range Raw Data'!U:U,Match($A244,'Day Range Raw Data'!$B:$B,0)),"")</f>
        <v/>
      </c>
      <c r="O244" t="str">
        <f t="array" ref="O244">IFERROR(INDEX('Day Range Raw Data'!V:V,Match($A244,'Day Range Raw Data'!$B:$B,0)),"")</f>
        <v/>
      </c>
      <c r="P244" t="str">
        <f t="array" ref="P244">IFERROR(INDEX('Day Range Raw Data'!X:X,Match($A244,'Day Range Raw Data'!$B:$B,0)),"")</f>
        <v/>
      </c>
      <c r="Q244" t="str">
        <f t="shared" si="1"/>
        <v/>
      </c>
      <c r="R244" s="9" t="str">
        <f t="shared" si="2"/>
        <v/>
      </c>
      <c r="S244" s="14" t="str">
        <f t="shared" si="3"/>
        <v/>
      </c>
      <c r="T244" s="15" t="str">
        <f>IFERROR(__xludf.DUMMYFUNCTION("IF($A244="""","""",IFERROR(PERCENTRANK.INC(FILTER(Q:Q,$F:$F&lt;&gt;""""),Q244)*100,""""))"),"")</f>
        <v/>
      </c>
      <c r="U244" s="15" t="str">
        <f>IFERROR(__xludf.DUMMYFUNCTION("IF($A244="""","""",IFERROR(PERCENTRANK.INC(FILTER(R:R,$F:$F&lt;&gt;""""),R244)*100,""""))"),"")</f>
        <v/>
      </c>
      <c r="V244" s="15" t="str">
        <f>IFERROR(__xludf.DUMMYFUNCTION("IF($A244="""","""",IFERROR(PERCENTRANK.INC(FILTER(S:S,$F:$F&lt;&gt;""""),S244)*100,""""))"),"")</f>
        <v/>
      </c>
      <c r="W244" s="15" t="str">
        <f t="shared" si="4"/>
        <v/>
      </c>
    </row>
    <row r="245">
      <c r="B245" t="str">
        <f t="array" ref="B245">IFERROR(INDEX('Player Raw Data'!C:C,Match($A245,'Player Raw Data'!$B:$B,0)),"")</f>
        <v/>
      </c>
      <c r="C245" t="str">
        <f t="array" ref="C245">IFERROR(INDEX('Player Raw Data'!D:D,Match($A245,'Player Raw Data'!$B:$B,0)),"")</f>
        <v/>
      </c>
      <c r="D245" t="str">
        <f t="array" ref="D245">IFERROR(IF(A245=A244, INDEX('Player Raw Data'!E:E,Match($A245,'Player Raw Data'!$B:$B,0)+2),INDEX('Player Raw Data'!E:E,Match($A245,'Player Raw Data'!$B:$B,0))),"")</f>
        <v/>
      </c>
      <c r="E245" t="str">
        <f t="array" ref="E245">IFERROR(INDEX('Day Range Raw Data'!D:D,Match($A245,'Day Range Raw Data'!$B:$B,0)),"")</f>
        <v/>
      </c>
      <c r="F245" t="str">
        <f t="array" ref="F245">IFERROR(INDEX('Day Range Raw Data'!F:F,Match($A245,'Day Range Raw Data'!$B:$B,0)),"")</f>
        <v/>
      </c>
      <c r="G245" t="str">
        <f t="array" ref="G245">IFERROR(INDEX('Day Range Raw Data'!G:G,Match($A245,'Day Range Raw Data'!$B:$B,0)),"")</f>
        <v/>
      </c>
      <c r="H245" t="str">
        <f t="array" ref="H245">IFERROR(INDEX('Day Range Raw Data'!H:H,Match($A245,'Day Range Raw Data'!$B:$B,0)),"")</f>
        <v/>
      </c>
      <c r="I245" t="str">
        <f t="array" ref="I245">IFERROR(INDEX('Day Range Raw Data'!M:M,Match($A245,'Day Range Raw Data'!$B:$B,0)),"")</f>
        <v/>
      </c>
      <c r="J245" t="str">
        <f t="array" ref="J245">IFERROR(INDEX('Day Range Raw Data'!N:N,Match($A245,'Day Range Raw Data'!$B:$B,0)),"")</f>
        <v/>
      </c>
      <c r="K245" t="str">
        <f t="array" ref="K245">IFERROR(INDEX('Day Range Raw Data'!R:R,Match($A245,'Day Range Raw Data'!$B:$B,0)),"")</f>
        <v/>
      </c>
      <c r="L245" t="str">
        <f t="array" ref="L245">IFERROR(INDEX('Day Range Raw Data'!S:S,Match($A245,'Day Range Raw Data'!$B:$B,0)),"")</f>
        <v/>
      </c>
      <c r="M245" t="str">
        <f t="array" ref="M245">IFERROR(INDEX('Day Range Raw Data'!T:T,Match($A245,'Day Range Raw Data'!$B:$B,0)),"")</f>
        <v/>
      </c>
      <c r="N245" t="str">
        <f t="array" ref="N245">IFERROR(INDEX('Day Range Raw Data'!U:U,Match($A245,'Day Range Raw Data'!$B:$B,0)),"")</f>
        <v/>
      </c>
      <c r="O245" t="str">
        <f t="array" ref="O245">IFERROR(INDEX('Day Range Raw Data'!V:V,Match($A245,'Day Range Raw Data'!$B:$B,0)),"")</f>
        <v/>
      </c>
      <c r="P245" t="str">
        <f t="array" ref="P245">IFERROR(INDEX('Day Range Raw Data'!X:X,Match($A245,'Day Range Raw Data'!$B:$B,0)),"")</f>
        <v/>
      </c>
      <c r="Q245" t="str">
        <f t="shared" si="1"/>
        <v/>
      </c>
      <c r="R245" s="9" t="str">
        <f t="shared" si="2"/>
        <v/>
      </c>
      <c r="S245" s="14" t="str">
        <f t="shared" si="3"/>
        <v/>
      </c>
      <c r="T245" s="15" t="str">
        <f>IFERROR(__xludf.DUMMYFUNCTION("IF($A245="""","""",IFERROR(PERCENTRANK.INC(FILTER(Q:Q,$F:$F&lt;&gt;""""),Q245)*100,""""))"),"")</f>
        <v/>
      </c>
      <c r="U245" s="15" t="str">
        <f>IFERROR(__xludf.DUMMYFUNCTION("IF($A245="""","""",IFERROR(PERCENTRANK.INC(FILTER(R:R,$F:$F&lt;&gt;""""),R245)*100,""""))"),"")</f>
        <v/>
      </c>
      <c r="V245" s="15" t="str">
        <f>IFERROR(__xludf.DUMMYFUNCTION("IF($A245="""","""",IFERROR(PERCENTRANK.INC(FILTER(S:S,$F:$F&lt;&gt;""""),S245)*100,""""))"),"")</f>
        <v/>
      </c>
      <c r="W245" s="15" t="str">
        <f t="shared" si="4"/>
        <v/>
      </c>
    </row>
    <row r="246">
      <c r="B246" t="str">
        <f t="array" ref="B246">IFERROR(INDEX('Player Raw Data'!C:C,Match($A246,'Player Raw Data'!$B:$B,0)),"")</f>
        <v/>
      </c>
      <c r="C246" t="str">
        <f t="array" ref="C246">IFERROR(INDEX('Player Raw Data'!D:D,Match($A246,'Player Raw Data'!$B:$B,0)),"")</f>
        <v/>
      </c>
      <c r="D246" t="str">
        <f t="array" ref="D246">IFERROR(IF(A246=A245, INDEX('Player Raw Data'!E:E,Match($A246,'Player Raw Data'!$B:$B,0)+2),INDEX('Player Raw Data'!E:E,Match($A246,'Player Raw Data'!$B:$B,0))),"")</f>
        <v/>
      </c>
      <c r="E246" t="str">
        <f t="array" ref="E246">IFERROR(INDEX('Day Range Raw Data'!D:D,Match($A246,'Day Range Raw Data'!$B:$B,0)),"")</f>
        <v/>
      </c>
      <c r="F246" t="str">
        <f t="array" ref="F246">IFERROR(INDEX('Day Range Raw Data'!F:F,Match($A246,'Day Range Raw Data'!$B:$B,0)),"")</f>
        <v/>
      </c>
      <c r="G246" t="str">
        <f t="array" ref="G246">IFERROR(INDEX('Day Range Raw Data'!G:G,Match($A246,'Day Range Raw Data'!$B:$B,0)),"")</f>
        <v/>
      </c>
      <c r="H246" t="str">
        <f t="array" ref="H246">IFERROR(INDEX('Day Range Raw Data'!H:H,Match($A246,'Day Range Raw Data'!$B:$B,0)),"")</f>
        <v/>
      </c>
      <c r="I246" t="str">
        <f t="array" ref="I246">IFERROR(INDEX('Day Range Raw Data'!M:M,Match($A246,'Day Range Raw Data'!$B:$B,0)),"")</f>
        <v/>
      </c>
      <c r="J246" t="str">
        <f t="array" ref="J246">IFERROR(INDEX('Day Range Raw Data'!N:N,Match($A246,'Day Range Raw Data'!$B:$B,0)),"")</f>
        <v/>
      </c>
      <c r="K246" t="str">
        <f t="array" ref="K246">IFERROR(INDEX('Day Range Raw Data'!R:R,Match($A246,'Day Range Raw Data'!$B:$B,0)),"")</f>
        <v/>
      </c>
      <c r="L246" t="str">
        <f t="array" ref="L246">IFERROR(INDEX('Day Range Raw Data'!S:S,Match($A246,'Day Range Raw Data'!$B:$B,0)),"")</f>
        <v/>
      </c>
      <c r="M246" t="str">
        <f t="array" ref="M246">IFERROR(INDEX('Day Range Raw Data'!T:T,Match($A246,'Day Range Raw Data'!$B:$B,0)),"")</f>
        <v/>
      </c>
      <c r="N246" t="str">
        <f t="array" ref="N246">IFERROR(INDEX('Day Range Raw Data'!U:U,Match($A246,'Day Range Raw Data'!$B:$B,0)),"")</f>
        <v/>
      </c>
      <c r="O246" t="str">
        <f t="array" ref="O246">IFERROR(INDEX('Day Range Raw Data'!V:V,Match($A246,'Day Range Raw Data'!$B:$B,0)),"")</f>
        <v/>
      </c>
      <c r="P246" t="str">
        <f t="array" ref="P246">IFERROR(INDEX('Day Range Raw Data'!X:X,Match($A246,'Day Range Raw Data'!$B:$B,0)),"")</f>
        <v/>
      </c>
      <c r="Q246" t="str">
        <f t="shared" si="1"/>
        <v/>
      </c>
      <c r="R246" s="9" t="str">
        <f t="shared" si="2"/>
        <v/>
      </c>
      <c r="S246" s="14" t="str">
        <f t="shared" si="3"/>
        <v/>
      </c>
      <c r="T246" s="15" t="str">
        <f>IFERROR(__xludf.DUMMYFUNCTION("IF($A246="""","""",IFERROR(PERCENTRANK.INC(FILTER(Q:Q,$F:$F&lt;&gt;""""),Q246)*100,""""))"),"")</f>
        <v/>
      </c>
      <c r="U246" s="15" t="str">
        <f>IFERROR(__xludf.DUMMYFUNCTION("IF($A246="""","""",IFERROR(PERCENTRANK.INC(FILTER(R:R,$F:$F&lt;&gt;""""),R246)*100,""""))"),"")</f>
        <v/>
      </c>
      <c r="V246" s="15" t="str">
        <f>IFERROR(__xludf.DUMMYFUNCTION("IF($A246="""","""",IFERROR(PERCENTRANK.INC(FILTER(S:S,$F:$F&lt;&gt;""""),S246)*100,""""))"),"")</f>
        <v/>
      </c>
      <c r="W246" s="15" t="str">
        <f t="shared" si="4"/>
        <v/>
      </c>
    </row>
    <row r="247">
      <c r="B247" t="str">
        <f t="array" ref="B247">IFERROR(INDEX('Player Raw Data'!C:C,Match($A247,'Player Raw Data'!$B:$B,0)),"")</f>
        <v/>
      </c>
      <c r="C247" t="str">
        <f t="array" ref="C247">IFERROR(INDEX('Player Raw Data'!D:D,Match($A247,'Player Raw Data'!$B:$B,0)),"")</f>
        <v/>
      </c>
      <c r="D247" t="str">
        <f t="array" ref="D247">IFERROR(IF(A247=A246, INDEX('Player Raw Data'!E:E,Match($A247,'Player Raw Data'!$B:$B,0)+2),INDEX('Player Raw Data'!E:E,Match($A247,'Player Raw Data'!$B:$B,0))),"")</f>
        <v/>
      </c>
      <c r="E247" t="str">
        <f t="array" ref="E247">IFERROR(INDEX('Day Range Raw Data'!D:D,Match($A247,'Day Range Raw Data'!$B:$B,0)),"")</f>
        <v/>
      </c>
      <c r="F247" t="str">
        <f t="array" ref="F247">IFERROR(INDEX('Day Range Raw Data'!F:F,Match($A247,'Day Range Raw Data'!$B:$B,0)),"")</f>
        <v/>
      </c>
      <c r="G247" t="str">
        <f t="array" ref="G247">IFERROR(INDEX('Day Range Raw Data'!G:G,Match($A247,'Day Range Raw Data'!$B:$B,0)),"")</f>
        <v/>
      </c>
      <c r="H247" t="str">
        <f t="array" ref="H247">IFERROR(INDEX('Day Range Raw Data'!H:H,Match($A247,'Day Range Raw Data'!$B:$B,0)),"")</f>
        <v/>
      </c>
      <c r="I247" t="str">
        <f t="array" ref="I247">IFERROR(INDEX('Day Range Raw Data'!M:M,Match($A247,'Day Range Raw Data'!$B:$B,0)),"")</f>
        <v/>
      </c>
      <c r="J247" t="str">
        <f t="array" ref="J247">IFERROR(INDEX('Day Range Raw Data'!N:N,Match($A247,'Day Range Raw Data'!$B:$B,0)),"")</f>
        <v/>
      </c>
      <c r="K247" t="str">
        <f t="array" ref="K247">IFERROR(INDEX('Day Range Raw Data'!R:R,Match($A247,'Day Range Raw Data'!$B:$B,0)),"")</f>
        <v/>
      </c>
      <c r="L247" t="str">
        <f t="array" ref="L247">IFERROR(INDEX('Day Range Raw Data'!S:S,Match($A247,'Day Range Raw Data'!$B:$B,0)),"")</f>
        <v/>
      </c>
      <c r="M247" t="str">
        <f t="array" ref="M247">IFERROR(INDEX('Day Range Raw Data'!T:T,Match($A247,'Day Range Raw Data'!$B:$B,0)),"")</f>
        <v/>
      </c>
      <c r="N247" t="str">
        <f t="array" ref="N247">IFERROR(INDEX('Day Range Raw Data'!U:U,Match($A247,'Day Range Raw Data'!$B:$B,0)),"")</f>
        <v/>
      </c>
      <c r="O247" t="str">
        <f t="array" ref="O247">IFERROR(INDEX('Day Range Raw Data'!V:V,Match($A247,'Day Range Raw Data'!$B:$B,0)),"")</f>
        <v/>
      </c>
      <c r="P247" t="str">
        <f t="array" ref="P247">IFERROR(INDEX('Day Range Raw Data'!X:X,Match($A247,'Day Range Raw Data'!$B:$B,0)),"")</f>
        <v/>
      </c>
      <c r="Q247" t="str">
        <f t="shared" si="1"/>
        <v/>
      </c>
      <c r="R247" s="9" t="str">
        <f t="shared" si="2"/>
        <v/>
      </c>
      <c r="S247" s="14" t="str">
        <f t="shared" si="3"/>
        <v/>
      </c>
      <c r="T247" s="15" t="str">
        <f>IFERROR(__xludf.DUMMYFUNCTION("IF($A247="""","""",IFERROR(PERCENTRANK.INC(FILTER(Q:Q,$F:$F&lt;&gt;""""),Q247)*100,""""))"),"")</f>
        <v/>
      </c>
      <c r="U247" s="15" t="str">
        <f>IFERROR(__xludf.DUMMYFUNCTION("IF($A247="""","""",IFERROR(PERCENTRANK.INC(FILTER(R:R,$F:$F&lt;&gt;""""),R247)*100,""""))"),"")</f>
        <v/>
      </c>
      <c r="V247" s="15" t="str">
        <f>IFERROR(__xludf.DUMMYFUNCTION("IF($A247="""","""",IFERROR(PERCENTRANK.INC(FILTER(S:S,$F:$F&lt;&gt;""""),S247)*100,""""))"),"")</f>
        <v/>
      </c>
      <c r="W247" s="15" t="str">
        <f t="shared" si="4"/>
        <v/>
      </c>
    </row>
    <row r="248">
      <c r="B248" t="str">
        <f t="array" ref="B248">IFERROR(INDEX('Player Raw Data'!C:C,Match($A248,'Player Raw Data'!$B:$B,0)),"")</f>
        <v/>
      </c>
      <c r="C248" t="str">
        <f t="array" ref="C248">IFERROR(INDEX('Player Raw Data'!D:D,Match($A248,'Player Raw Data'!$B:$B,0)),"")</f>
        <v/>
      </c>
      <c r="D248" t="str">
        <f t="array" ref="D248">IFERROR(IF(A248=A247, INDEX('Player Raw Data'!E:E,Match($A248,'Player Raw Data'!$B:$B,0)+2),INDEX('Player Raw Data'!E:E,Match($A248,'Player Raw Data'!$B:$B,0))),"")</f>
        <v/>
      </c>
      <c r="E248" t="str">
        <f t="array" ref="E248">IFERROR(INDEX('Day Range Raw Data'!D:D,Match($A248,'Day Range Raw Data'!$B:$B,0)),"")</f>
        <v/>
      </c>
      <c r="F248" t="str">
        <f t="array" ref="F248">IFERROR(INDEX('Day Range Raw Data'!F:F,Match($A248,'Day Range Raw Data'!$B:$B,0)),"")</f>
        <v/>
      </c>
      <c r="G248" t="str">
        <f t="array" ref="G248">IFERROR(INDEX('Day Range Raw Data'!G:G,Match($A248,'Day Range Raw Data'!$B:$B,0)),"")</f>
        <v/>
      </c>
      <c r="H248" t="str">
        <f t="array" ref="H248">IFERROR(INDEX('Day Range Raw Data'!H:H,Match($A248,'Day Range Raw Data'!$B:$B,0)),"")</f>
        <v/>
      </c>
      <c r="I248" t="str">
        <f t="array" ref="I248">IFERROR(INDEX('Day Range Raw Data'!M:M,Match($A248,'Day Range Raw Data'!$B:$B,0)),"")</f>
        <v/>
      </c>
      <c r="J248" t="str">
        <f t="array" ref="J248">IFERROR(INDEX('Day Range Raw Data'!N:N,Match($A248,'Day Range Raw Data'!$B:$B,0)),"")</f>
        <v/>
      </c>
      <c r="K248" t="str">
        <f t="array" ref="K248">IFERROR(INDEX('Day Range Raw Data'!R:R,Match($A248,'Day Range Raw Data'!$B:$B,0)),"")</f>
        <v/>
      </c>
      <c r="L248" t="str">
        <f t="array" ref="L248">IFERROR(INDEX('Day Range Raw Data'!S:S,Match($A248,'Day Range Raw Data'!$B:$B,0)),"")</f>
        <v/>
      </c>
      <c r="M248" t="str">
        <f t="array" ref="M248">IFERROR(INDEX('Day Range Raw Data'!T:T,Match($A248,'Day Range Raw Data'!$B:$B,0)),"")</f>
        <v/>
      </c>
      <c r="N248" t="str">
        <f t="array" ref="N248">IFERROR(INDEX('Day Range Raw Data'!U:U,Match($A248,'Day Range Raw Data'!$B:$B,0)),"")</f>
        <v/>
      </c>
      <c r="O248" t="str">
        <f t="array" ref="O248">IFERROR(INDEX('Day Range Raw Data'!V:V,Match($A248,'Day Range Raw Data'!$B:$B,0)),"")</f>
        <v/>
      </c>
      <c r="P248" t="str">
        <f t="array" ref="P248">IFERROR(INDEX('Day Range Raw Data'!X:X,Match($A248,'Day Range Raw Data'!$B:$B,0)),"")</f>
        <v/>
      </c>
      <c r="Q248" t="str">
        <f t="shared" si="1"/>
        <v/>
      </c>
      <c r="R248" s="9" t="str">
        <f t="shared" si="2"/>
        <v/>
      </c>
      <c r="S248" s="14" t="str">
        <f t="shared" si="3"/>
        <v/>
      </c>
      <c r="T248" s="15" t="str">
        <f>IFERROR(__xludf.DUMMYFUNCTION("IF($A248="""","""",IFERROR(PERCENTRANK.INC(FILTER(Q:Q,$F:$F&lt;&gt;""""),Q248)*100,""""))"),"")</f>
        <v/>
      </c>
      <c r="U248" s="15" t="str">
        <f>IFERROR(__xludf.DUMMYFUNCTION("IF($A248="""","""",IFERROR(PERCENTRANK.INC(FILTER(R:R,$F:$F&lt;&gt;""""),R248)*100,""""))"),"")</f>
        <v/>
      </c>
      <c r="V248" s="15" t="str">
        <f>IFERROR(__xludf.DUMMYFUNCTION("IF($A248="""","""",IFERROR(PERCENTRANK.INC(FILTER(S:S,$F:$F&lt;&gt;""""),S248)*100,""""))"),"")</f>
        <v/>
      </c>
      <c r="W248" s="15" t="str">
        <f t="shared" si="4"/>
        <v/>
      </c>
    </row>
    <row r="249">
      <c r="B249" t="str">
        <f t="array" ref="B249">IFERROR(INDEX('Player Raw Data'!C:C,Match($A249,'Player Raw Data'!$B:$B,0)),"")</f>
        <v/>
      </c>
      <c r="C249" t="str">
        <f t="array" ref="C249">IFERROR(INDEX('Player Raw Data'!D:D,Match($A249,'Player Raw Data'!$B:$B,0)),"")</f>
        <v/>
      </c>
      <c r="D249" t="str">
        <f t="array" ref="D249">IFERROR(IF(A249=A248, INDEX('Player Raw Data'!E:E,Match($A249,'Player Raw Data'!$B:$B,0)+2),INDEX('Player Raw Data'!E:E,Match($A249,'Player Raw Data'!$B:$B,0))),"")</f>
        <v/>
      </c>
      <c r="E249" t="str">
        <f t="array" ref="E249">IFERROR(INDEX('Day Range Raw Data'!D:D,Match($A249,'Day Range Raw Data'!$B:$B,0)),"")</f>
        <v/>
      </c>
      <c r="F249" t="str">
        <f t="array" ref="F249">IFERROR(INDEX('Day Range Raw Data'!F:F,Match($A249,'Day Range Raw Data'!$B:$B,0)),"")</f>
        <v/>
      </c>
      <c r="G249" t="str">
        <f t="array" ref="G249">IFERROR(INDEX('Day Range Raw Data'!G:G,Match($A249,'Day Range Raw Data'!$B:$B,0)),"")</f>
        <v/>
      </c>
      <c r="H249" t="str">
        <f t="array" ref="H249">IFERROR(INDEX('Day Range Raw Data'!H:H,Match($A249,'Day Range Raw Data'!$B:$B,0)),"")</f>
        <v/>
      </c>
      <c r="I249" t="str">
        <f t="array" ref="I249">IFERROR(INDEX('Day Range Raw Data'!M:M,Match($A249,'Day Range Raw Data'!$B:$B,0)),"")</f>
        <v/>
      </c>
      <c r="J249" t="str">
        <f t="array" ref="J249">IFERROR(INDEX('Day Range Raw Data'!N:N,Match($A249,'Day Range Raw Data'!$B:$B,0)),"")</f>
        <v/>
      </c>
      <c r="K249" t="str">
        <f t="array" ref="K249">IFERROR(INDEX('Day Range Raw Data'!R:R,Match($A249,'Day Range Raw Data'!$B:$B,0)),"")</f>
        <v/>
      </c>
      <c r="L249" t="str">
        <f t="array" ref="L249">IFERROR(INDEX('Day Range Raw Data'!S:S,Match($A249,'Day Range Raw Data'!$B:$B,0)),"")</f>
        <v/>
      </c>
      <c r="M249" t="str">
        <f t="array" ref="M249">IFERROR(INDEX('Day Range Raw Data'!T:T,Match($A249,'Day Range Raw Data'!$B:$B,0)),"")</f>
        <v/>
      </c>
      <c r="N249" t="str">
        <f t="array" ref="N249">IFERROR(INDEX('Day Range Raw Data'!U:U,Match($A249,'Day Range Raw Data'!$B:$B,0)),"")</f>
        <v/>
      </c>
      <c r="O249" t="str">
        <f t="array" ref="O249">IFERROR(INDEX('Day Range Raw Data'!V:V,Match($A249,'Day Range Raw Data'!$B:$B,0)),"")</f>
        <v/>
      </c>
      <c r="P249" t="str">
        <f t="array" ref="P249">IFERROR(INDEX('Day Range Raw Data'!X:X,Match($A249,'Day Range Raw Data'!$B:$B,0)),"")</f>
        <v/>
      </c>
      <c r="Q249" t="str">
        <f t="shared" si="1"/>
        <v/>
      </c>
      <c r="R249" s="9" t="str">
        <f t="shared" si="2"/>
        <v/>
      </c>
      <c r="S249" s="14" t="str">
        <f t="shared" si="3"/>
        <v/>
      </c>
      <c r="T249" s="15" t="str">
        <f>IFERROR(__xludf.DUMMYFUNCTION("IF($A249="""","""",IFERROR(PERCENTRANK.INC(FILTER(Q:Q,$F:$F&lt;&gt;""""),Q249)*100,""""))"),"")</f>
        <v/>
      </c>
      <c r="U249" s="15" t="str">
        <f>IFERROR(__xludf.DUMMYFUNCTION("IF($A249="""","""",IFERROR(PERCENTRANK.INC(FILTER(R:R,$F:$F&lt;&gt;""""),R249)*100,""""))"),"")</f>
        <v/>
      </c>
      <c r="V249" s="15" t="str">
        <f>IFERROR(__xludf.DUMMYFUNCTION("IF($A249="""","""",IFERROR(PERCENTRANK.INC(FILTER(S:S,$F:$F&lt;&gt;""""),S249)*100,""""))"),"")</f>
        <v/>
      </c>
      <c r="W249" s="15" t="str">
        <f t="shared" si="4"/>
        <v/>
      </c>
    </row>
    <row r="250">
      <c r="B250" t="str">
        <f t="array" ref="B250">IFERROR(INDEX('Player Raw Data'!C:C,Match($A250,'Player Raw Data'!$B:$B,0)),"")</f>
        <v/>
      </c>
      <c r="C250" t="str">
        <f t="array" ref="C250">IFERROR(INDEX('Player Raw Data'!D:D,Match($A250,'Player Raw Data'!$B:$B,0)),"")</f>
        <v/>
      </c>
      <c r="D250" t="str">
        <f t="array" ref="D250">IFERROR(IF(A250=A249, INDEX('Player Raw Data'!E:E,Match($A250,'Player Raw Data'!$B:$B,0)+2),INDEX('Player Raw Data'!E:E,Match($A250,'Player Raw Data'!$B:$B,0))),"")</f>
        <v/>
      </c>
      <c r="E250" t="str">
        <f t="array" ref="E250">IFERROR(INDEX('Day Range Raw Data'!D:D,Match($A250,'Day Range Raw Data'!$B:$B,0)),"")</f>
        <v/>
      </c>
      <c r="F250" t="str">
        <f t="array" ref="F250">IFERROR(INDEX('Day Range Raw Data'!F:F,Match($A250,'Day Range Raw Data'!$B:$B,0)),"")</f>
        <v/>
      </c>
      <c r="G250" t="str">
        <f t="array" ref="G250">IFERROR(INDEX('Day Range Raw Data'!G:G,Match($A250,'Day Range Raw Data'!$B:$B,0)),"")</f>
        <v/>
      </c>
      <c r="H250" t="str">
        <f t="array" ref="H250">IFERROR(INDEX('Day Range Raw Data'!H:H,Match($A250,'Day Range Raw Data'!$B:$B,0)),"")</f>
        <v/>
      </c>
      <c r="I250" t="str">
        <f t="array" ref="I250">IFERROR(INDEX('Day Range Raw Data'!M:M,Match($A250,'Day Range Raw Data'!$B:$B,0)),"")</f>
        <v/>
      </c>
      <c r="J250" t="str">
        <f t="array" ref="J250">IFERROR(INDEX('Day Range Raw Data'!N:N,Match($A250,'Day Range Raw Data'!$B:$B,0)),"")</f>
        <v/>
      </c>
      <c r="K250" t="str">
        <f t="array" ref="K250">IFERROR(INDEX('Day Range Raw Data'!R:R,Match($A250,'Day Range Raw Data'!$B:$B,0)),"")</f>
        <v/>
      </c>
      <c r="L250" t="str">
        <f t="array" ref="L250">IFERROR(INDEX('Day Range Raw Data'!S:S,Match($A250,'Day Range Raw Data'!$B:$B,0)),"")</f>
        <v/>
      </c>
      <c r="M250" t="str">
        <f t="array" ref="M250">IFERROR(INDEX('Day Range Raw Data'!T:T,Match($A250,'Day Range Raw Data'!$B:$B,0)),"")</f>
        <v/>
      </c>
      <c r="N250" t="str">
        <f t="array" ref="N250">IFERROR(INDEX('Day Range Raw Data'!U:U,Match($A250,'Day Range Raw Data'!$B:$B,0)),"")</f>
        <v/>
      </c>
      <c r="O250" t="str">
        <f t="array" ref="O250">IFERROR(INDEX('Day Range Raw Data'!V:V,Match($A250,'Day Range Raw Data'!$B:$B,0)),"")</f>
        <v/>
      </c>
      <c r="P250" t="str">
        <f t="array" ref="P250">IFERROR(INDEX('Day Range Raw Data'!X:X,Match($A250,'Day Range Raw Data'!$B:$B,0)),"")</f>
        <v/>
      </c>
      <c r="Q250" t="str">
        <f t="shared" si="1"/>
        <v/>
      </c>
      <c r="R250" s="9" t="str">
        <f t="shared" si="2"/>
        <v/>
      </c>
      <c r="S250" s="14" t="str">
        <f t="shared" si="3"/>
        <v/>
      </c>
      <c r="T250" s="15" t="str">
        <f>IFERROR(__xludf.DUMMYFUNCTION("IF($A250="""","""",IFERROR(PERCENTRANK.INC(FILTER(Q:Q,$F:$F&lt;&gt;""""),Q250)*100,""""))"),"")</f>
        <v/>
      </c>
      <c r="U250" s="15" t="str">
        <f>IFERROR(__xludf.DUMMYFUNCTION("IF($A250="""","""",IFERROR(PERCENTRANK.INC(FILTER(R:R,$F:$F&lt;&gt;""""),R250)*100,""""))"),"")</f>
        <v/>
      </c>
      <c r="V250" s="15" t="str">
        <f>IFERROR(__xludf.DUMMYFUNCTION("IF($A250="""","""",IFERROR(PERCENTRANK.INC(FILTER(S:S,$F:$F&lt;&gt;""""),S250)*100,""""))"),"")</f>
        <v/>
      </c>
      <c r="W250" s="15" t="str">
        <f t="shared" si="4"/>
        <v/>
      </c>
    </row>
    <row r="251">
      <c r="B251" t="str">
        <f t="array" ref="B251">IFERROR(INDEX('Player Raw Data'!C:C,Match($A251,'Player Raw Data'!$B:$B,0)),"")</f>
        <v/>
      </c>
      <c r="C251" t="str">
        <f t="array" ref="C251">IFERROR(INDEX('Player Raw Data'!D:D,Match($A251,'Player Raw Data'!$B:$B,0)),"")</f>
        <v/>
      </c>
      <c r="D251" t="str">
        <f t="array" ref="D251">IFERROR(IF(A251=A250, INDEX('Player Raw Data'!E:E,Match($A251,'Player Raw Data'!$B:$B,0)+2),INDEX('Player Raw Data'!E:E,Match($A251,'Player Raw Data'!$B:$B,0))),"")</f>
        <v/>
      </c>
      <c r="E251" t="str">
        <f t="array" ref="E251">IFERROR(INDEX('Day Range Raw Data'!D:D,Match($A251,'Day Range Raw Data'!$B:$B,0)),"")</f>
        <v/>
      </c>
      <c r="F251" t="str">
        <f t="array" ref="F251">IFERROR(INDEX('Day Range Raw Data'!F:F,Match($A251,'Day Range Raw Data'!$B:$B,0)),"")</f>
        <v/>
      </c>
      <c r="G251" t="str">
        <f t="array" ref="G251">IFERROR(INDEX('Day Range Raw Data'!G:G,Match($A251,'Day Range Raw Data'!$B:$B,0)),"")</f>
        <v/>
      </c>
      <c r="H251" t="str">
        <f t="array" ref="H251">IFERROR(INDEX('Day Range Raw Data'!H:H,Match($A251,'Day Range Raw Data'!$B:$B,0)),"")</f>
        <v/>
      </c>
      <c r="I251" t="str">
        <f t="array" ref="I251">IFERROR(INDEX('Day Range Raw Data'!M:M,Match($A251,'Day Range Raw Data'!$B:$B,0)),"")</f>
        <v/>
      </c>
      <c r="J251" t="str">
        <f t="array" ref="J251">IFERROR(INDEX('Day Range Raw Data'!N:N,Match($A251,'Day Range Raw Data'!$B:$B,0)),"")</f>
        <v/>
      </c>
      <c r="K251" t="str">
        <f t="array" ref="K251">IFERROR(INDEX('Day Range Raw Data'!R:R,Match($A251,'Day Range Raw Data'!$B:$B,0)),"")</f>
        <v/>
      </c>
      <c r="L251" t="str">
        <f t="array" ref="L251">IFERROR(INDEX('Day Range Raw Data'!S:S,Match($A251,'Day Range Raw Data'!$B:$B,0)),"")</f>
        <v/>
      </c>
      <c r="M251" t="str">
        <f t="array" ref="M251">IFERROR(INDEX('Day Range Raw Data'!T:T,Match($A251,'Day Range Raw Data'!$B:$B,0)),"")</f>
        <v/>
      </c>
      <c r="N251" t="str">
        <f t="array" ref="N251">IFERROR(INDEX('Day Range Raw Data'!U:U,Match($A251,'Day Range Raw Data'!$B:$B,0)),"")</f>
        <v/>
      </c>
      <c r="O251" t="str">
        <f t="array" ref="O251">IFERROR(INDEX('Day Range Raw Data'!V:V,Match($A251,'Day Range Raw Data'!$B:$B,0)),"")</f>
        <v/>
      </c>
      <c r="P251" t="str">
        <f t="array" ref="P251">IFERROR(INDEX('Day Range Raw Data'!X:X,Match($A251,'Day Range Raw Data'!$B:$B,0)),"")</f>
        <v/>
      </c>
      <c r="Q251" t="str">
        <f t="shared" si="1"/>
        <v/>
      </c>
      <c r="R251" s="9" t="str">
        <f t="shared" si="2"/>
        <v/>
      </c>
      <c r="S251" s="14" t="str">
        <f t="shared" si="3"/>
        <v/>
      </c>
      <c r="T251" s="15" t="str">
        <f>IFERROR(__xludf.DUMMYFUNCTION("IF($A251="""","""",IFERROR(PERCENTRANK.INC(FILTER(Q:Q,$F:$F&lt;&gt;""""),Q251)*100,""""))"),"")</f>
        <v/>
      </c>
      <c r="U251" s="15" t="str">
        <f>IFERROR(__xludf.DUMMYFUNCTION("IF($A251="""","""",IFERROR(PERCENTRANK.INC(FILTER(R:R,$F:$F&lt;&gt;""""),R251)*100,""""))"),"")</f>
        <v/>
      </c>
      <c r="V251" s="15" t="str">
        <f>IFERROR(__xludf.DUMMYFUNCTION("IF($A251="""","""",IFERROR(PERCENTRANK.INC(FILTER(S:S,$F:$F&lt;&gt;""""),S251)*100,""""))"),"")</f>
        <v/>
      </c>
      <c r="W251" s="15" t="str">
        <f t="shared" si="4"/>
        <v/>
      </c>
    </row>
    <row r="252">
      <c r="B252" t="str">
        <f t="array" ref="B252">IFERROR(INDEX('Player Raw Data'!C:C,Match($A252,'Player Raw Data'!$B:$B,0)),"")</f>
        <v/>
      </c>
      <c r="C252" t="str">
        <f t="array" ref="C252">IFERROR(INDEX('Player Raw Data'!D:D,Match($A252,'Player Raw Data'!$B:$B,0)),"")</f>
        <v/>
      </c>
      <c r="D252" t="str">
        <f t="array" ref="D252">IFERROR(IF(A252=A251, INDEX('Player Raw Data'!E:E,Match($A252,'Player Raw Data'!$B:$B,0)+2),INDEX('Player Raw Data'!E:E,Match($A252,'Player Raw Data'!$B:$B,0))),"")</f>
        <v/>
      </c>
      <c r="E252" t="str">
        <f t="array" ref="E252">IFERROR(INDEX('Day Range Raw Data'!D:D,Match($A252,'Day Range Raw Data'!$B:$B,0)),"")</f>
        <v/>
      </c>
      <c r="F252" t="str">
        <f t="array" ref="F252">IFERROR(INDEX('Day Range Raw Data'!F:F,Match($A252,'Day Range Raw Data'!$B:$B,0)),"")</f>
        <v/>
      </c>
      <c r="G252" t="str">
        <f t="array" ref="G252">IFERROR(INDEX('Day Range Raw Data'!G:G,Match($A252,'Day Range Raw Data'!$B:$B,0)),"")</f>
        <v/>
      </c>
      <c r="H252" t="str">
        <f t="array" ref="H252">IFERROR(INDEX('Day Range Raw Data'!H:H,Match($A252,'Day Range Raw Data'!$B:$B,0)),"")</f>
        <v/>
      </c>
      <c r="I252" t="str">
        <f t="array" ref="I252">IFERROR(INDEX('Day Range Raw Data'!M:M,Match($A252,'Day Range Raw Data'!$B:$B,0)),"")</f>
        <v/>
      </c>
      <c r="J252" t="str">
        <f t="array" ref="J252">IFERROR(INDEX('Day Range Raw Data'!N:N,Match($A252,'Day Range Raw Data'!$B:$B,0)),"")</f>
        <v/>
      </c>
      <c r="K252" t="str">
        <f t="array" ref="K252">IFERROR(INDEX('Day Range Raw Data'!R:R,Match($A252,'Day Range Raw Data'!$B:$B,0)),"")</f>
        <v/>
      </c>
      <c r="L252" t="str">
        <f t="array" ref="L252">IFERROR(INDEX('Day Range Raw Data'!S:S,Match($A252,'Day Range Raw Data'!$B:$B,0)),"")</f>
        <v/>
      </c>
      <c r="M252" t="str">
        <f t="array" ref="M252">IFERROR(INDEX('Day Range Raw Data'!T:T,Match($A252,'Day Range Raw Data'!$B:$B,0)),"")</f>
        <v/>
      </c>
      <c r="N252" t="str">
        <f t="array" ref="N252">IFERROR(INDEX('Day Range Raw Data'!U:U,Match($A252,'Day Range Raw Data'!$B:$B,0)),"")</f>
        <v/>
      </c>
      <c r="O252" t="str">
        <f t="array" ref="O252">IFERROR(INDEX('Day Range Raw Data'!V:V,Match($A252,'Day Range Raw Data'!$B:$B,0)),"")</f>
        <v/>
      </c>
      <c r="P252" t="str">
        <f t="array" ref="P252">IFERROR(INDEX('Day Range Raw Data'!X:X,Match($A252,'Day Range Raw Data'!$B:$B,0)),"")</f>
        <v/>
      </c>
      <c r="Q252" t="str">
        <f t="shared" si="1"/>
        <v/>
      </c>
      <c r="R252" s="9" t="str">
        <f t="shared" si="2"/>
        <v/>
      </c>
      <c r="S252" s="14" t="str">
        <f t="shared" si="3"/>
        <v/>
      </c>
      <c r="T252" s="15" t="str">
        <f>IFERROR(__xludf.DUMMYFUNCTION("IF($A252="""","""",IFERROR(PERCENTRANK.INC(FILTER(Q:Q,$F:$F&lt;&gt;""""),Q252)*100,""""))"),"")</f>
        <v/>
      </c>
      <c r="U252" s="15" t="str">
        <f>IFERROR(__xludf.DUMMYFUNCTION("IF($A252="""","""",IFERROR(PERCENTRANK.INC(FILTER(R:R,$F:$F&lt;&gt;""""),R252)*100,""""))"),"")</f>
        <v/>
      </c>
      <c r="V252" s="15" t="str">
        <f>IFERROR(__xludf.DUMMYFUNCTION("IF($A252="""","""",IFERROR(PERCENTRANK.INC(FILTER(S:S,$F:$F&lt;&gt;""""),S252)*100,""""))"),"")</f>
        <v/>
      </c>
      <c r="W252" s="15" t="str">
        <f t="shared" si="4"/>
        <v/>
      </c>
    </row>
    <row r="253">
      <c r="B253" t="str">
        <f t="array" ref="B253">IFERROR(INDEX('Player Raw Data'!C:C,Match($A253,'Player Raw Data'!$B:$B,0)),"")</f>
        <v/>
      </c>
      <c r="C253" t="str">
        <f t="array" ref="C253">IFERROR(INDEX('Player Raw Data'!D:D,Match($A253,'Player Raw Data'!$B:$B,0)),"")</f>
        <v/>
      </c>
      <c r="D253" t="str">
        <f t="array" ref="D253">IFERROR(IF(A253=A252, INDEX('Player Raw Data'!E:E,Match($A253,'Player Raw Data'!$B:$B,0)+2),INDEX('Player Raw Data'!E:E,Match($A253,'Player Raw Data'!$B:$B,0))),"")</f>
        <v/>
      </c>
      <c r="E253" t="str">
        <f t="array" ref="E253">IFERROR(INDEX('Day Range Raw Data'!D:D,Match($A253,'Day Range Raw Data'!$B:$B,0)),"")</f>
        <v/>
      </c>
      <c r="F253" t="str">
        <f t="array" ref="F253">IFERROR(INDEX('Day Range Raw Data'!F:F,Match($A253,'Day Range Raw Data'!$B:$B,0)),"")</f>
        <v/>
      </c>
      <c r="G253" t="str">
        <f t="array" ref="G253">IFERROR(INDEX('Day Range Raw Data'!G:G,Match($A253,'Day Range Raw Data'!$B:$B,0)),"")</f>
        <v/>
      </c>
      <c r="H253" t="str">
        <f t="array" ref="H253">IFERROR(INDEX('Day Range Raw Data'!H:H,Match($A253,'Day Range Raw Data'!$B:$B,0)),"")</f>
        <v/>
      </c>
      <c r="I253" t="str">
        <f t="array" ref="I253">IFERROR(INDEX('Day Range Raw Data'!M:M,Match($A253,'Day Range Raw Data'!$B:$B,0)),"")</f>
        <v/>
      </c>
      <c r="J253" t="str">
        <f t="array" ref="J253">IFERROR(INDEX('Day Range Raw Data'!N:N,Match($A253,'Day Range Raw Data'!$B:$B,0)),"")</f>
        <v/>
      </c>
      <c r="K253" t="str">
        <f t="array" ref="K253">IFERROR(INDEX('Day Range Raw Data'!R:R,Match($A253,'Day Range Raw Data'!$B:$B,0)),"")</f>
        <v/>
      </c>
      <c r="L253" t="str">
        <f t="array" ref="L253">IFERROR(INDEX('Day Range Raw Data'!S:S,Match($A253,'Day Range Raw Data'!$B:$B,0)),"")</f>
        <v/>
      </c>
      <c r="M253" t="str">
        <f t="array" ref="M253">IFERROR(INDEX('Day Range Raw Data'!T:T,Match($A253,'Day Range Raw Data'!$B:$B,0)),"")</f>
        <v/>
      </c>
      <c r="N253" t="str">
        <f t="array" ref="N253">IFERROR(INDEX('Day Range Raw Data'!U:U,Match($A253,'Day Range Raw Data'!$B:$B,0)),"")</f>
        <v/>
      </c>
      <c r="O253" t="str">
        <f t="array" ref="O253">IFERROR(INDEX('Day Range Raw Data'!V:V,Match($A253,'Day Range Raw Data'!$B:$B,0)),"")</f>
        <v/>
      </c>
      <c r="P253" t="str">
        <f t="array" ref="P253">IFERROR(INDEX('Day Range Raw Data'!X:X,Match($A253,'Day Range Raw Data'!$B:$B,0)),"")</f>
        <v/>
      </c>
      <c r="Q253" t="str">
        <f t="shared" si="1"/>
        <v/>
      </c>
      <c r="R253" s="9" t="str">
        <f t="shared" si="2"/>
        <v/>
      </c>
      <c r="S253" s="14" t="str">
        <f t="shared" si="3"/>
        <v/>
      </c>
      <c r="T253" s="15" t="str">
        <f>IFERROR(__xludf.DUMMYFUNCTION("IF($A253="""","""",IFERROR(PERCENTRANK.INC(FILTER(Q:Q,$F:$F&lt;&gt;""""),Q253)*100,""""))"),"")</f>
        <v/>
      </c>
      <c r="U253" s="15" t="str">
        <f>IFERROR(__xludf.DUMMYFUNCTION("IF($A253="""","""",IFERROR(PERCENTRANK.INC(FILTER(R:R,$F:$F&lt;&gt;""""),R253)*100,""""))"),"")</f>
        <v/>
      </c>
      <c r="V253" s="15" t="str">
        <f>IFERROR(__xludf.DUMMYFUNCTION("IF($A253="""","""",IFERROR(PERCENTRANK.INC(FILTER(S:S,$F:$F&lt;&gt;""""),S253)*100,""""))"),"")</f>
        <v/>
      </c>
      <c r="W253" s="15" t="str">
        <f t="shared" si="4"/>
        <v/>
      </c>
    </row>
    <row r="254">
      <c r="B254" t="str">
        <f t="array" ref="B254">IFERROR(INDEX('Player Raw Data'!C:C,Match($A254,'Player Raw Data'!$B:$B,0)),"")</f>
        <v/>
      </c>
      <c r="C254" t="str">
        <f t="array" ref="C254">IFERROR(INDEX('Player Raw Data'!D:D,Match($A254,'Player Raw Data'!$B:$B,0)),"")</f>
        <v/>
      </c>
      <c r="D254" t="str">
        <f t="array" ref="D254">IFERROR(IF(A254=A253, INDEX('Player Raw Data'!E:E,Match($A254,'Player Raw Data'!$B:$B,0)+2),INDEX('Player Raw Data'!E:E,Match($A254,'Player Raw Data'!$B:$B,0))),"")</f>
        <v/>
      </c>
      <c r="E254" t="str">
        <f t="array" ref="E254">IFERROR(INDEX('Day Range Raw Data'!D:D,Match($A254,'Day Range Raw Data'!$B:$B,0)),"")</f>
        <v/>
      </c>
      <c r="F254" t="str">
        <f t="array" ref="F254">IFERROR(INDEX('Day Range Raw Data'!F:F,Match($A254,'Day Range Raw Data'!$B:$B,0)),"")</f>
        <v/>
      </c>
      <c r="G254" t="str">
        <f t="array" ref="G254">IFERROR(INDEX('Day Range Raw Data'!G:G,Match($A254,'Day Range Raw Data'!$B:$B,0)),"")</f>
        <v/>
      </c>
      <c r="H254" t="str">
        <f t="array" ref="H254">IFERROR(INDEX('Day Range Raw Data'!H:H,Match($A254,'Day Range Raw Data'!$B:$B,0)),"")</f>
        <v/>
      </c>
      <c r="I254" t="str">
        <f t="array" ref="I254">IFERROR(INDEX('Day Range Raw Data'!M:M,Match($A254,'Day Range Raw Data'!$B:$B,0)),"")</f>
        <v/>
      </c>
      <c r="J254" t="str">
        <f t="array" ref="J254">IFERROR(INDEX('Day Range Raw Data'!N:N,Match($A254,'Day Range Raw Data'!$B:$B,0)),"")</f>
        <v/>
      </c>
      <c r="K254" t="str">
        <f t="array" ref="K254">IFERROR(INDEX('Day Range Raw Data'!R:R,Match($A254,'Day Range Raw Data'!$B:$B,0)),"")</f>
        <v/>
      </c>
      <c r="L254" t="str">
        <f t="array" ref="L254">IFERROR(INDEX('Day Range Raw Data'!S:S,Match($A254,'Day Range Raw Data'!$B:$B,0)),"")</f>
        <v/>
      </c>
      <c r="M254" t="str">
        <f t="array" ref="M254">IFERROR(INDEX('Day Range Raw Data'!T:T,Match($A254,'Day Range Raw Data'!$B:$B,0)),"")</f>
        <v/>
      </c>
      <c r="N254" t="str">
        <f t="array" ref="N254">IFERROR(INDEX('Day Range Raw Data'!U:U,Match($A254,'Day Range Raw Data'!$B:$B,0)),"")</f>
        <v/>
      </c>
      <c r="O254" t="str">
        <f t="array" ref="O254">IFERROR(INDEX('Day Range Raw Data'!V:V,Match($A254,'Day Range Raw Data'!$B:$B,0)),"")</f>
        <v/>
      </c>
      <c r="P254" t="str">
        <f t="array" ref="P254">IFERROR(INDEX('Day Range Raw Data'!X:X,Match($A254,'Day Range Raw Data'!$B:$B,0)),"")</f>
        <v/>
      </c>
      <c r="Q254" t="str">
        <f t="shared" si="1"/>
        <v/>
      </c>
      <c r="R254" s="9" t="str">
        <f t="shared" si="2"/>
        <v/>
      </c>
      <c r="S254" s="14" t="str">
        <f t="shared" si="3"/>
        <v/>
      </c>
      <c r="T254" s="15" t="str">
        <f>IFERROR(__xludf.DUMMYFUNCTION("IF($A254="""","""",IFERROR(PERCENTRANK.INC(FILTER(Q:Q,$F:$F&lt;&gt;""""),Q254)*100,""""))"),"")</f>
        <v/>
      </c>
      <c r="U254" s="15" t="str">
        <f>IFERROR(__xludf.DUMMYFUNCTION("IF($A254="""","""",IFERROR(PERCENTRANK.INC(FILTER(R:R,$F:$F&lt;&gt;""""),R254)*100,""""))"),"")</f>
        <v/>
      </c>
      <c r="V254" s="15" t="str">
        <f>IFERROR(__xludf.DUMMYFUNCTION("IF($A254="""","""",IFERROR(PERCENTRANK.INC(FILTER(S:S,$F:$F&lt;&gt;""""),S254)*100,""""))"),"")</f>
        <v/>
      </c>
      <c r="W254" s="15" t="str">
        <f t="shared" si="4"/>
        <v/>
      </c>
    </row>
    <row r="255">
      <c r="B255" t="str">
        <f t="array" ref="B255">IFERROR(INDEX('Player Raw Data'!C:C,Match($A255,'Player Raw Data'!$B:$B,0)),"")</f>
        <v/>
      </c>
      <c r="C255" t="str">
        <f t="array" ref="C255">IFERROR(INDEX('Player Raw Data'!D:D,Match($A255,'Player Raw Data'!$B:$B,0)),"")</f>
        <v/>
      </c>
      <c r="D255" t="str">
        <f t="array" ref="D255">IFERROR(IF(A255=A254, INDEX('Player Raw Data'!E:E,Match($A255,'Player Raw Data'!$B:$B,0)+2),INDEX('Player Raw Data'!E:E,Match($A255,'Player Raw Data'!$B:$B,0))),"")</f>
        <v/>
      </c>
      <c r="E255" t="str">
        <f t="array" ref="E255">IFERROR(INDEX('Day Range Raw Data'!D:D,Match($A255,'Day Range Raw Data'!$B:$B,0)),"")</f>
        <v/>
      </c>
      <c r="F255" t="str">
        <f t="array" ref="F255">IFERROR(INDEX('Day Range Raw Data'!F:F,Match($A255,'Day Range Raw Data'!$B:$B,0)),"")</f>
        <v/>
      </c>
      <c r="G255" t="str">
        <f t="array" ref="G255">IFERROR(INDEX('Day Range Raw Data'!G:G,Match($A255,'Day Range Raw Data'!$B:$B,0)),"")</f>
        <v/>
      </c>
      <c r="H255" t="str">
        <f t="array" ref="H255">IFERROR(INDEX('Day Range Raw Data'!H:H,Match($A255,'Day Range Raw Data'!$B:$B,0)),"")</f>
        <v/>
      </c>
      <c r="I255" t="str">
        <f t="array" ref="I255">IFERROR(INDEX('Day Range Raw Data'!M:M,Match($A255,'Day Range Raw Data'!$B:$B,0)),"")</f>
        <v/>
      </c>
      <c r="J255" t="str">
        <f t="array" ref="J255">IFERROR(INDEX('Day Range Raw Data'!N:N,Match($A255,'Day Range Raw Data'!$B:$B,0)),"")</f>
        <v/>
      </c>
      <c r="K255" t="str">
        <f t="array" ref="K255">IFERROR(INDEX('Day Range Raw Data'!R:R,Match($A255,'Day Range Raw Data'!$B:$B,0)),"")</f>
        <v/>
      </c>
      <c r="L255" t="str">
        <f t="array" ref="L255">IFERROR(INDEX('Day Range Raw Data'!S:S,Match($A255,'Day Range Raw Data'!$B:$B,0)),"")</f>
        <v/>
      </c>
      <c r="M255" t="str">
        <f t="array" ref="M255">IFERROR(INDEX('Day Range Raw Data'!T:T,Match($A255,'Day Range Raw Data'!$B:$B,0)),"")</f>
        <v/>
      </c>
      <c r="N255" t="str">
        <f t="array" ref="N255">IFERROR(INDEX('Day Range Raw Data'!U:U,Match($A255,'Day Range Raw Data'!$B:$B,0)),"")</f>
        <v/>
      </c>
      <c r="O255" t="str">
        <f t="array" ref="O255">IFERROR(INDEX('Day Range Raw Data'!V:V,Match($A255,'Day Range Raw Data'!$B:$B,0)),"")</f>
        <v/>
      </c>
      <c r="P255" t="str">
        <f t="array" ref="P255">IFERROR(INDEX('Day Range Raw Data'!X:X,Match($A255,'Day Range Raw Data'!$B:$B,0)),"")</f>
        <v/>
      </c>
      <c r="Q255" t="str">
        <f t="shared" si="1"/>
        <v/>
      </c>
      <c r="R255" s="9" t="str">
        <f t="shared" si="2"/>
        <v/>
      </c>
      <c r="S255" s="14" t="str">
        <f t="shared" si="3"/>
        <v/>
      </c>
      <c r="T255" s="15" t="str">
        <f>IFERROR(__xludf.DUMMYFUNCTION("IF($A255="""","""",IFERROR(PERCENTRANK.INC(FILTER(Q:Q,$F:$F&lt;&gt;""""),Q255)*100,""""))"),"")</f>
        <v/>
      </c>
      <c r="U255" s="15" t="str">
        <f>IFERROR(__xludf.DUMMYFUNCTION("IF($A255="""","""",IFERROR(PERCENTRANK.INC(FILTER(R:R,$F:$F&lt;&gt;""""),R255)*100,""""))"),"")</f>
        <v/>
      </c>
      <c r="V255" s="15" t="str">
        <f>IFERROR(__xludf.DUMMYFUNCTION("IF($A255="""","""",IFERROR(PERCENTRANK.INC(FILTER(S:S,$F:$F&lt;&gt;""""),S255)*100,""""))"),"")</f>
        <v/>
      </c>
      <c r="W255" s="15" t="str">
        <f t="shared" si="4"/>
        <v/>
      </c>
    </row>
    <row r="256">
      <c r="B256" t="str">
        <f t="array" ref="B256">IFERROR(INDEX('Player Raw Data'!C:C,Match($A256,'Player Raw Data'!$B:$B,0)),"")</f>
        <v/>
      </c>
      <c r="C256" t="str">
        <f t="array" ref="C256">IFERROR(INDEX('Player Raw Data'!D:D,Match($A256,'Player Raw Data'!$B:$B,0)),"")</f>
        <v/>
      </c>
      <c r="D256" t="str">
        <f t="array" ref="D256">IFERROR(IF(A256=A255, INDEX('Player Raw Data'!E:E,Match($A256,'Player Raw Data'!$B:$B,0)+2),INDEX('Player Raw Data'!E:E,Match($A256,'Player Raw Data'!$B:$B,0))),"")</f>
        <v/>
      </c>
      <c r="E256" t="str">
        <f t="array" ref="E256">IFERROR(INDEX('Day Range Raw Data'!D:D,Match($A256,'Day Range Raw Data'!$B:$B,0)),"")</f>
        <v/>
      </c>
      <c r="F256" t="str">
        <f t="array" ref="F256">IFERROR(INDEX('Day Range Raw Data'!F:F,Match($A256,'Day Range Raw Data'!$B:$B,0)),"")</f>
        <v/>
      </c>
      <c r="G256" t="str">
        <f t="array" ref="G256">IFERROR(INDEX('Day Range Raw Data'!G:G,Match($A256,'Day Range Raw Data'!$B:$B,0)),"")</f>
        <v/>
      </c>
      <c r="H256" t="str">
        <f t="array" ref="H256">IFERROR(INDEX('Day Range Raw Data'!H:H,Match($A256,'Day Range Raw Data'!$B:$B,0)),"")</f>
        <v/>
      </c>
      <c r="I256" t="str">
        <f t="array" ref="I256">IFERROR(INDEX('Day Range Raw Data'!M:M,Match($A256,'Day Range Raw Data'!$B:$B,0)),"")</f>
        <v/>
      </c>
      <c r="J256" t="str">
        <f t="array" ref="J256">IFERROR(INDEX('Day Range Raw Data'!N:N,Match($A256,'Day Range Raw Data'!$B:$B,0)),"")</f>
        <v/>
      </c>
      <c r="K256" t="str">
        <f t="array" ref="K256">IFERROR(INDEX('Day Range Raw Data'!R:R,Match($A256,'Day Range Raw Data'!$B:$B,0)),"")</f>
        <v/>
      </c>
      <c r="L256" t="str">
        <f t="array" ref="L256">IFERROR(INDEX('Day Range Raw Data'!S:S,Match($A256,'Day Range Raw Data'!$B:$B,0)),"")</f>
        <v/>
      </c>
      <c r="M256" t="str">
        <f t="array" ref="M256">IFERROR(INDEX('Day Range Raw Data'!T:T,Match($A256,'Day Range Raw Data'!$B:$B,0)),"")</f>
        <v/>
      </c>
      <c r="N256" t="str">
        <f t="array" ref="N256">IFERROR(INDEX('Day Range Raw Data'!U:U,Match($A256,'Day Range Raw Data'!$B:$B,0)),"")</f>
        <v/>
      </c>
      <c r="O256" t="str">
        <f t="array" ref="O256">IFERROR(INDEX('Day Range Raw Data'!V:V,Match($A256,'Day Range Raw Data'!$B:$B,0)),"")</f>
        <v/>
      </c>
      <c r="P256" t="str">
        <f t="array" ref="P256">IFERROR(INDEX('Day Range Raw Data'!X:X,Match($A256,'Day Range Raw Data'!$B:$B,0)),"")</f>
        <v/>
      </c>
      <c r="Q256" t="str">
        <f t="shared" si="1"/>
        <v/>
      </c>
      <c r="R256" s="9" t="str">
        <f t="shared" si="2"/>
        <v/>
      </c>
      <c r="S256" s="14" t="str">
        <f t="shared" si="3"/>
        <v/>
      </c>
      <c r="T256" s="15" t="str">
        <f>IFERROR(__xludf.DUMMYFUNCTION("IF($A256="""","""",IFERROR(PERCENTRANK.INC(FILTER(Q:Q,$F:$F&lt;&gt;""""),Q256)*100,""""))"),"")</f>
        <v/>
      </c>
      <c r="U256" s="15" t="str">
        <f>IFERROR(__xludf.DUMMYFUNCTION("IF($A256="""","""",IFERROR(PERCENTRANK.INC(FILTER(R:R,$F:$F&lt;&gt;""""),R256)*100,""""))"),"")</f>
        <v/>
      </c>
      <c r="V256" s="15" t="str">
        <f>IFERROR(__xludf.DUMMYFUNCTION("IF($A256="""","""",IFERROR(PERCENTRANK.INC(FILTER(S:S,$F:$F&lt;&gt;""""),S256)*100,""""))"),"")</f>
        <v/>
      </c>
      <c r="W256" s="15" t="str">
        <f t="shared" si="4"/>
        <v/>
      </c>
    </row>
    <row r="257">
      <c r="B257" t="str">
        <f t="array" ref="B257">IFERROR(INDEX('Player Raw Data'!C:C,Match($A257,'Player Raw Data'!$B:$B,0)),"")</f>
        <v/>
      </c>
      <c r="C257" t="str">
        <f t="array" ref="C257">IFERROR(INDEX('Player Raw Data'!D:D,Match($A257,'Player Raw Data'!$B:$B,0)),"")</f>
        <v/>
      </c>
      <c r="D257" t="str">
        <f t="array" ref="D257">IFERROR(IF(A257=A256, INDEX('Player Raw Data'!E:E,Match($A257,'Player Raw Data'!$B:$B,0)+2),INDEX('Player Raw Data'!E:E,Match($A257,'Player Raw Data'!$B:$B,0))),"")</f>
        <v/>
      </c>
      <c r="E257" t="str">
        <f t="array" ref="E257">IFERROR(INDEX('Day Range Raw Data'!D:D,Match($A257,'Day Range Raw Data'!$B:$B,0)),"")</f>
        <v/>
      </c>
      <c r="F257" t="str">
        <f t="array" ref="F257">IFERROR(INDEX('Day Range Raw Data'!F:F,Match($A257,'Day Range Raw Data'!$B:$B,0)),"")</f>
        <v/>
      </c>
      <c r="G257" t="str">
        <f t="array" ref="G257">IFERROR(INDEX('Day Range Raw Data'!G:G,Match($A257,'Day Range Raw Data'!$B:$B,0)),"")</f>
        <v/>
      </c>
      <c r="H257" t="str">
        <f t="array" ref="H257">IFERROR(INDEX('Day Range Raw Data'!H:H,Match($A257,'Day Range Raw Data'!$B:$B,0)),"")</f>
        <v/>
      </c>
      <c r="I257" t="str">
        <f t="array" ref="I257">IFERROR(INDEX('Day Range Raw Data'!M:M,Match($A257,'Day Range Raw Data'!$B:$B,0)),"")</f>
        <v/>
      </c>
      <c r="J257" t="str">
        <f t="array" ref="J257">IFERROR(INDEX('Day Range Raw Data'!N:N,Match($A257,'Day Range Raw Data'!$B:$B,0)),"")</f>
        <v/>
      </c>
      <c r="K257" t="str">
        <f t="array" ref="K257">IFERROR(INDEX('Day Range Raw Data'!R:R,Match($A257,'Day Range Raw Data'!$B:$B,0)),"")</f>
        <v/>
      </c>
      <c r="L257" t="str">
        <f t="array" ref="L257">IFERROR(INDEX('Day Range Raw Data'!S:S,Match($A257,'Day Range Raw Data'!$B:$B,0)),"")</f>
        <v/>
      </c>
      <c r="M257" t="str">
        <f t="array" ref="M257">IFERROR(INDEX('Day Range Raw Data'!T:T,Match($A257,'Day Range Raw Data'!$B:$B,0)),"")</f>
        <v/>
      </c>
      <c r="N257" t="str">
        <f t="array" ref="N257">IFERROR(INDEX('Day Range Raw Data'!U:U,Match($A257,'Day Range Raw Data'!$B:$B,0)),"")</f>
        <v/>
      </c>
      <c r="O257" t="str">
        <f t="array" ref="O257">IFERROR(INDEX('Day Range Raw Data'!V:V,Match($A257,'Day Range Raw Data'!$B:$B,0)),"")</f>
        <v/>
      </c>
      <c r="P257" t="str">
        <f t="array" ref="P257">IFERROR(INDEX('Day Range Raw Data'!X:X,Match($A257,'Day Range Raw Data'!$B:$B,0)),"")</f>
        <v/>
      </c>
      <c r="Q257" t="str">
        <f t="shared" si="1"/>
        <v/>
      </c>
      <c r="R257" s="9" t="str">
        <f t="shared" si="2"/>
        <v/>
      </c>
      <c r="S257" s="14" t="str">
        <f t="shared" si="3"/>
        <v/>
      </c>
      <c r="T257" s="15" t="str">
        <f>IFERROR(__xludf.DUMMYFUNCTION("IF($A257="""","""",IFERROR(PERCENTRANK.INC(FILTER(Q:Q,$F:$F&lt;&gt;""""),Q257)*100,""""))"),"")</f>
        <v/>
      </c>
      <c r="U257" s="15" t="str">
        <f>IFERROR(__xludf.DUMMYFUNCTION("IF($A257="""","""",IFERROR(PERCENTRANK.INC(FILTER(R:R,$F:$F&lt;&gt;""""),R257)*100,""""))"),"")</f>
        <v/>
      </c>
      <c r="V257" s="15" t="str">
        <f>IFERROR(__xludf.DUMMYFUNCTION("IF($A257="""","""",IFERROR(PERCENTRANK.INC(FILTER(S:S,$F:$F&lt;&gt;""""),S257)*100,""""))"),"")</f>
        <v/>
      </c>
      <c r="W257" s="15" t="str">
        <f t="shared" si="4"/>
        <v/>
      </c>
    </row>
    <row r="258">
      <c r="B258" t="str">
        <f t="array" ref="B258">IFERROR(INDEX('Player Raw Data'!C:C,Match($A258,'Player Raw Data'!$B:$B,0)),"")</f>
        <v/>
      </c>
      <c r="C258" t="str">
        <f t="array" ref="C258">IFERROR(INDEX('Player Raw Data'!D:D,Match($A258,'Player Raw Data'!$B:$B,0)),"")</f>
        <v/>
      </c>
      <c r="D258" t="str">
        <f t="array" ref="D258">IFERROR(IF(A258=A257, INDEX('Player Raw Data'!E:E,Match($A258,'Player Raw Data'!$B:$B,0)+2),INDEX('Player Raw Data'!E:E,Match($A258,'Player Raw Data'!$B:$B,0))),"")</f>
        <v/>
      </c>
      <c r="E258" t="str">
        <f t="array" ref="E258">IFERROR(INDEX('Day Range Raw Data'!D:D,Match($A258,'Day Range Raw Data'!$B:$B,0)),"")</f>
        <v/>
      </c>
      <c r="F258" t="str">
        <f t="array" ref="F258">IFERROR(INDEX('Day Range Raw Data'!F:F,Match($A258,'Day Range Raw Data'!$B:$B,0)),"")</f>
        <v/>
      </c>
      <c r="G258" t="str">
        <f t="array" ref="G258">IFERROR(INDEX('Day Range Raw Data'!G:G,Match($A258,'Day Range Raw Data'!$B:$B,0)),"")</f>
        <v/>
      </c>
      <c r="H258" t="str">
        <f t="array" ref="H258">IFERROR(INDEX('Day Range Raw Data'!H:H,Match($A258,'Day Range Raw Data'!$B:$B,0)),"")</f>
        <v/>
      </c>
      <c r="I258" t="str">
        <f t="array" ref="I258">IFERROR(INDEX('Day Range Raw Data'!M:M,Match($A258,'Day Range Raw Data'!$B:$B,0)),"")</f>
        <v/>
      </c>
      <c r="J258" t="str">
        <f t="array" ref="J258">IFERROR(INDEX('Day Range Raw Data'!N:N,Match($A258,'Day Range Raw Data'!$B:$B,0)),"")</f>
        <v/>
      </c>
      <c r="K258" t="str">
        <f t="array" ref="K258">IFERROR(INDEX('Day Range Raw Data'!R:R,Match($A258,'Day Range Raw Data'!$B:$B,0)),"")</f>
        <v/>
      </c>
      <c r="L258" t="str">
        <f t="array" ref="L258">IFERROR(INDEX('Day Range Raw Data'!S:S,Match($A258,'Day Range Raw Data'!$B:$B,0)),"")</f>
        <v/>
      </c>
      <c r="M258" t="str">
        <f t="array" ref="M258">IFERROR(INDEX('Day Range Raw Data'!T:T,Match($A258,'Day Range Raw Data'!$B:$B,0)),"")</f>
        <v/>
      </c>
      <c r="N258" t="str">
        <f t="array" ref="N258">IFERROR(INDEX('Day Range Raw Data'!U:U,Match($A258,'Day Range Raw Data'!$B:$B,0)),"")</f>
        <v/>
      </c>
      <c r="O258" t="str">
        <f t="array" ref="O258">IFERROR(INDEX('Day Range Raw Data'!V:V,Match($A258,'Day Range Raw Data'!$B:$B,0)),"")</f>
        <v/>
      </c>
      <c r="P258" t="str">
        <f t="array" ref="P258">IFERROR(INDEX('Day Range Raw Data'!X:X,Match($A258,'Day Range Raw Data'!$B:$B,0)),"")</f>
        <v/>
      </c>
      <c r="Q258" t="str">
        <f t="shared" si="1"/>
        <v/>
      </c>
      <c r="R258" s="9" t="str">
        <f t="shared" si="2"/>
        <v/>
      </c>
      <c r="S258" s="14" t="str">
        <f t="shared" si="3"/>
        <v/>
      </c>
      <c r="T258" s="15" t="str">
        <f>IFERROR(__xludf.DUMMYFUNCTION("IF($A258="""","""",IFERROR(PERCENTRANK.INC(FILTER(Q:Q,$F:$F&lt;&gt;""""),Q258)*100,""""))"),"")</f>
        <v/>
      </c>
      <c r="U258" s="15" t="str">
        <f>IFERROR(__xludf.DUMMYFUNCTION("IF($A258="""","""",IFERROR(PERCENTRANK.INC(FILTER(R:R,$F:$F&lt;&gt;""""),R258)*100,""""))"),"")</f>
        <v/>
      </c>
      <c r="V258" s="15" t="str">
        <f>IFERROR(__xludf.DUMMYFUNCTION("IF($A258="""","""",IFERROR(PERCENTRANK.INC(FILTER(S:S,$F:$F&lt;&gt;""""),S258)*100,""""))"),"")</f>
        <v/>
      </c>
      <c r="W258" s="15" t="str">
        <f t="shared" si="4"/>
        <v/>
      </c>
    </row>
    <row r="259">
      <c r="B259" t="str">
        <f t="array" ref="B259">IFERROR(INDEX('Player Raw Data'!C:C,Match($A259,'Player Raw Data'!$B:$B,0)),"")</f>
        <v/>
      </c>
      <c r="C259" t="str">
        <f t="array" ref="C259">IFERROR(INDEX('Player Raw Data'!D:D,Match($A259,'Player Raw Data'!$B:$B,0)),"")</f>
        <v/>
      </c>
      <c r="D259" t="str">
        <f t="array" ref="D259">IFERROR(IF(A259=A258, INDEX('Player Raw Data'!E:E,Match($A259,'Player Raw Data'!$B:$B,0)+2),INDEX('Player Raw Data'!E:E,Match($A259,'Player Raw Data'!$B:$B,0))),"")</f>
        <v/>
      </c>
      <c r="E259" t="str">
        <f t="array" ref="E259">IFERROR(INDEX('Day Range Raw Data'!D:D,Match($A259,'Day Range Raw Data'!$B:$B,0)),"")</f>
        <v/>
      </c>
      <c r="F259" t="str">
        <f t="array" ref="F259">IFERROR(INDEX('Day Range Raw Data'!F:F,Match($A259,'Day Range Raw Data'!$B:$B,0)),"")</f>
        <v/>
      </c>
      <c r="G259" t="str">
        <f t="array" ref="G259">IFERROR(INDEX('Day Range Raw Data'!G:G,Match($A259,'Day Range Raw Data'!$B:$B,0)),"")</f>
        <v/>
      </c>
      <c r="H259" t="str">
        <f t="array" ref="H259">IFERROR(INDEX('Day Range Raw Data'!H:H,Match($A259,'Day Range Raw Data'!$B:$B,0)),"")</f>
        <v/>
      </c>
      <c r="I259" t="str">
        <f t="array" ref="I259">IFERROR(INDEX('Day Range Raw Data'!M:M,Match($A259,'Day Range Raw Data'!$B:$B,0)),"")</f>
        <v/>
      </c>
      <c r="J259" t="str">
        <f t="array" ref="J259">IFERROR(INDEX('Day Range Raw Data'!N:N,Match($A259,'Day Range Raw Data'!$B:$B,0)),"")</f>
        <v/>
      </c>
      <c r="K259" t="str">
        <f t="array" ref="K259">IFERROR(INDEX('Day Range Raw Data'!R:R,Match($A259,'Day Range Raw Data'!$B:$B,0)),"")</f>
        <v/>
      </c>
      <c r="L259" t="str">
        <f t="array" ref="L259">IFERROR(INDEX('Day Range Raw Data'!S:S,Match($A259,'Day Range Raw Data'!$B:$B,0)),"")</f>
        <v/>
      </c>
      <c r="M259" t="str">
        <f t="array" ref="M259">IFERROR(INDEX('Day Range Raw Data'!T:T,Match($A259,'Day Range Raw Data'!$B:$B,0)),"")</f>
        <v/>
      </c>
      <c r="N259" t="str">
        <f t="array" ref="N259">IFERROR(INDEX('Day Range Raw Data'!U:U,Match($A259,'Day Range Raw Data'!$B:$B,0)),"")</f>
        <v/>
      </c>
      <c r="O259" t="str">
        <f t="array" ref="O259">IFERROR(INDEX('Day Range Raw Data'!V:V,Match($A259,'Day Range Raw Data'!$B:$B,0)),"")</f>
        <v/>
      </c>
      <c r="P259" t="str">
        <f t="array" ref="P259">IFERROR(INDEX('Day Range Raw Data'!X:X,Match($A259,'Day Range Raw Data'!$B:$B,0)),"")</f>
        <v/>
      </c>
      <c r="Q259" t="str">
        <f t="shared" si="1"/>
        <v/>
      </c>
      <c r="R259" s="9" t="str">
        <f t="shared" si="2"/>
        <v/>
      </c>
      <c r="S259" s="14" t="str">
        <f t="shared" si="3"/>
        <v/>
      </c>
      <c r="T259" s="15" t="str">
        <f>IFERROR(__xludf.DUMMYFUNCTION("IF($A259="""","""",IFERROR(PERCENTRANK.INC(FILTER(Q:Q,$F:$F&lt;&gt;""""),Q259)*100,""""))"),"")</f>
        <v/>
      </c>
      <c r="U259" s="15" t="str">
        <f>IFERROR(__xludf.DUMMYFUNCTION("IF($A259="""","""",IFERROR(PERCENTRANK.INC(FILTER(R:R,$F:$F&lt;&gt;""""),R259)*100,""""))"),"")</f>
        <v/>
      </c>
      <c r="V259" s="15" t="str">
        <f>IFERROR(__xludf.DUMMYFUNCTION("IF($A259="""","""",IFERROR(PERCENTRANK.INC(FILTER(S:S,$F:$F&lt;&gt;""""),S259)*100,""""))"),"")</f>
        <v/>
      </c>
      <c r="W259" s="15" t="str">
        <f t="shared" si="4"/>
        <v/>
      </c>
    </row>
    <row r="260">
      <c r="B260" t="str">
        <f t="array" ref="B260">IFERROR(INDEX('Player Raw Data'!C:C,Match($A260,'Player Raw Data'!$B:$B,0)),"")</f>
        <v/>
      </c>
      <c r="C260" t="str">
        <f t="array" ref="C260">IFERROR(INDEX('Player Raw Data'!D:D,Match($A260,'Player Raw Data'!$B:$B,0)),"")</f>
        <v/>
      </c>
      <c r="D260" t="str">
        <f t="array" ref="D260">IFERROR(IF(A260=A259, INDEX('Player Raw Data'!E:E,Match($A260,'Player Raw Data'!$B:$B,0)+2),INDEX('Player Raw Data'!E:E,Match($A260,'Player Raw Data'!$B:$B,0))),"")</f>
        <v/>
      </c>
      <c r="E260" t="str">
        <f t="array" ref="E260">IFERROR(INDEX('Day Range Raw Data'!D:D,Match($A260,'Day Range Raw Data'!$B:$B,0)),"")</f>
        <v/>
      </c>
      <c r="F260" t="str">
        <f t="array" ref="F260">IFERROR(INDEX('Day Range Raw Data'!F:F,Match($A260,'Day Range Raw Data'!$B:$B,0)),"")</f>
        <v/>
      </c>
      <c r="G260" t="str">
        <f t="array" ref="G260">IFERROR(INDEX('Day Range Raw Data'!G:G,Match($A260,'Day Range Raw Data'!$B:$B,0)),"")</f>
        <v/>
      </c>
      <c r="H260" t="str">
        <f t="array" ref="H260">IFERROR(INDEX('Day Range Raw Data'!H:H,Match($A260,'Day Range Raw Data'!$B:$B,0)),"")</f>
        <v/>
      </c>
      <c r="I260" t="str">
        <f t="array" ref="I260">IFERROR(INDEX('Day Range Raw Data'!M:M,Match($A260,'Day Range Raw Data'!$B:$B,0)),"")</f>
        <v/>
      </c>
      <c r="J260" t="str">
        <f t="array" ref="J260">IFERROR(INDEX('Day Range Raw Data'!N:N,Match($A260,'Day Range Raw Data'!$B:$B,0)),"")</f>
        <v/>
      </c>
      <c r="K260" t="str">
        <f t="array" ref="K260">IFERROR(INDEX('Day Range Raw Data'!R:R,Match($A260,'Day Range Raw Data'!$B:$B,0)),"")</f>
        <v/>
      </c>
      <c r="L260" t="str">
        <f t="array" ref="L260">IFERROR(INDEX('Day Range Raw Data'!S:S,Match($A260,'Day Range Raw Data'!$B:$B,0)),"")</f>
        <v/>
      </c>
      <c r="M260" t="str">
        <f t="array" ref="M260">IFERROR(INDEX('Day Range Raw Data'!T:T,Match($A260,'Day Range Raw Data'!$B:$B,0)),"")</f>
        <v/>
      </c>
      <c r="N260" t="str">
        <f t="array" ref="N260">IFERROR(INDEX('Day Range Raw Data'!U:U,Match($A260,'Day Range Raw Data'!$B:$B,0)),"")</f>
        <v/>
      </c>
      <c r="O260" t="str">
        <f t="array" ref="O260">IFERROR(INDEX('Day Range Raw Data'!V:V,Match($A260,'Day Range Raw Data'!$B:$B,0)),"")</f>
        <v/>
      </c>
      <c r="P260" t="str">
        <f t="array" ref="P260">IFERROR(INDEX('Day Range Raw Data'!X:X,Match($A260,'Day Range Raw Data'!$B:$B,0)),"")</f>
        <v/>
      </c>
      <c r="Q260" t="str">
        <f t="shared" si="1"/>
        <v/>
      </c>
      <c r="R260" s="9" t="str">
        <f t="shared" si="2"/>
        <v/>
      </c>
      <c r="S260" s="14" t="str">
        <f t="shared" si="3"/>
        <v/>
      </c>
      <c r="T260" s="15" t="str">
        <f>IFERROR(__xludf.DUMMYFUNCTION("IF($A260="""","""",IFERROR(PERCENTRANK.INC(FILTER(Q:Q,$F:$F&lt;&gt;""""),Q260)*100,""""))"),"")</f>
        <v/>
      </c>
      <c r="U260" s="15" t="str">
        <f>IFERROR(__xludf.DUMMYFUNCTION("IF($A260="""","""",IFERROR(PERCENTRANK.INC(FILTER(R:R,$F:$F&lt;&gt;""""),R260)*100,""""))"),"")</f>
        <v/>
      </c>
      <c r="V260" s="15" t="str">
        <f>IFERROR(__xludf.DUMMYFUNCTION("IF($A260="""","""",IFERROR(PERCENTRANK.INC(FILTER(S:S,$F:$F&lt;&gt;""""),S260)*100,""""))"),"")</f>
        <v/>
      </c>
      <c r="W260" s="15" t="str">
        <f t="shared" si="4"/>
        <v/>
      </c>
    </row>
    <row r="261">
      <c r="B261" t="str">
        <f t="array" ref="B261">IFERROR(INDEX('Player Raw Data'!C:C,Match($A261,'Player Raw Data'!$B:$B,0)),"")</f>
        <v/>
      </c>
      <c r="C261" t="str">
        <f t="array" ref="C261">IFERROR(INDEX('Player Raw Data'!D:D,Match($A261,'Player Raw Data'!$B:$B,0)),"")</f>
        <v/>
      </c>
      <c r="D261" t="str">
        <f t="array" ref="D261">IFERROR(IF(A261=A260, INDEX('Player Raw Data'!E:E,Match($A261,'Player Raw Data'!$B:$B,0)+2),INDEX('Player Raw Data'!E:E,Match($A261,'Player Raw Data'!$B:$B,0))),"")</f>
        <v/>
      </c>
      <c r="E261" t="str">
        <f t="array" ref="E261">IFERROR(INDEX('Day Range Raw Data'!D:D,Match($A261,'Day Range Raw Data'!$B:$B,0)),"")</f>
        <v/>
      </c>
      <c r="F261" t="str">
        <f t="array" ref="F261">IFERROR(INDEX('Day Range Raw Data'!F:F,Match($A261,'Day Range Raw Data'!$B:$B,0)),"")</f>
        <v/>
      </c>
      <c r="G261" t="str">
        <f t="array" ref="G261">IFERROR(INDEX('Day Range Raw Data'!G:G,Match($A261,'Day Range Raw Data'!$B:$B,0)),"")</f>
        <v/>
      </c>
      <c r="H261" t="str">
        <f t="array" ref="H261">IFERROR(INDEX('Day Range Raw Data'!H:H,Match($A261,'Day Range Raw Data'!$B:$B,0)),"")</f>
        <v/>
      </c>
      <c r="I261" t="str">
        <f t="array" ref="I261">IFERROR(INDEX('Day Range Raw Data'!M:M,Match($A261,'Day Range Raw Data'!$B:$B,0)),"")</f>
        <v/>
      </c>
      <c r="J261" t="str">
        <f t="array" ref="J261">IFERROR(INDEX('Day Range Raw Data'!N:N,Match($A261,'Day Range Raw Data'!$B:$B,0)),"")</f>
        <v/>
      </c>
      <c r="K261" t="str">
        <f t="array" ref="K261">IFERROR(INDEX('Day Range Raw Data'!R:R,Match($A261,'Day Range Raw Data'!$B:$B,0)),"")</f>
        <v/>
      </c>
      <c r="L261" t="str">
        <f t="array" ref="L261">IFERROR(INDEX('Day Range Raw Data'!S:S,Match($A261,'Day Range Raw Data'!$B:$B,0)),"")</f>
        <v/>
      </c>
      <c r="M261" t="str">
        <f t="array" ref="M261">IFERROR(INDEX('Day Range Raw Data'!T:T,Match($A261,'Day Range Raw Data'!$B:$B,0)),"")</f>
        <v/>
      </c>
      <c r="N261" t="str">
        <f t="array" ref="N261">IFERROR(INDEX('Day Range Raw Data'!U:U,Match($A261,'Day Range Raw Data'!$B:$B,0)),"")</f>
        <v/>
      </c>
      <c r="O261" t="str">
        <f t="array" ref="O261">IFERROR(INDEX('Day Range Raw Data'!V:V,Match($A261,'Day Range Raw Data'!$B:$B,0)),"")</f>
        <v/>
      </c>
      <c r="P261" t="str">
        <f t="array" ref="P261">IFERROR(INDEX('Day Range Raw Data'!X:X,Match($A261,'Day Range Raw Data'!$B:$B,0)),"")</f>
        <v/>
      </c>
      <c r="Q261" t="str">
        <f t="shared" si="1"/>
        <v/>
      </c>
      <c r="R261" s="9" t="str">
        <f t="shared" si="2"/>
        <v/>
      </c>
      <c r="S261" s="14" t="str">
        <f t="shared" si="3"/>
        <v/>
      </c>
      <c r="T261" s="15" t="str">
        <f>IFERROR(__xludf.DUMMYFUNCTION("IF($A261="""","""",IFERROR(PERCENTRANK.INC(FILTER(Q:Q,$F:$F&lt;&gt;""""),Q261)*100,""""))"),"")</f>
        <v/>
      </c>
      <c r="U261" s="15" t="str">
        <f>IFERROR(__xludf.DUMMYFUNCTION("IF($A261="""","""",IFERROR(PERCENTRANK.INC(FILTER(R:R,$F:$F&lt;&gt;""""),R261)*100,""""))"),"")</f>
        <v/>
      </c>
      <c r="V261" s="15" t="str">
        <f>IFERROR(__xludf.DUMMYFUNCTION("IF($A261="""","""",IFERROR(PERCENTRANK.INC(FILTER(S:S,$F:$F&lt;&gt;""""),S261)*100,""""))"),"")</f>
        <v/>
      </c>
      <c r="W261" s="15" t="str">
        <f t="shared" si="4"/>
        <v/>
      </c>
    </row>
    <row r="262">
      <c r="B262" t="str">
        <f t="array" ref="B262">IFERROR(INDEX('Player Raw Data'!C:C,Match($A262,'Player Raw Data'!$B:$B,0)),"")</f>
        <v/>
      </c>
      <c r="C262" t="str">
        <f t="array" ref="C262">IFERROR(INDEX('Player Raw Data'!D:D,Match($A262,'Player Raw Data'!$B:$B,0)),"")</f>
        <v/>
      </c>
      <c r="D262" t="str">
        <f t="array" ref="D262">IFERROR(IF(A262=A261, INDEX('Player Raw Data'!E:E,Match($A262,'Player Raw Data'!$B:$B,0)+2),INDEX('Player Raw Data'!E:E,Match($A262,'Player Raw Data'!$B:$B,0))),"")</f>
        <v/>
      </c>
      <c r="E262" t="str">
        <f t="array" ref="E262">IFERROR(INDEX('Day Range Raw Data'!D:D,Match($A262,'Day Range Raw Data'!$B:$B,0)),"")</f>
        <v/>
      </c>
      <c r="F262" t="str">
        <f t="array" ref="F262">IFERROR(INDEX('Day Range Raw Data'!F:F,Match($A262,'Day Range Raw Data'!$B:$B,0)),"")</f>
        <v/>
      </c>
      <c r="G262" t="str">
        <f t="array" ref="G262">IFERROR(INDEX('Day Range Raw Data'!G:G,Match($A262,'Day Range Raw Data'!$B:$B,0)),"")</f>
        <v/>
      </c>
      <c r="H262" t="str">
        <f t="array" ref="H262">IFERROR(INDEX('Day Range Raw Data'!H:H,Match($A262,'Day Range Raw Data'!$B:$B,0)),"")</f>
        <v/>
      </c>
      <c r="I262" t="str">
        <f t="array" ref="I262">IFERROR(INDEX('Day Range Raw Data'!M:M,Match($A262,'Day Range Raw Data'!$B:$B,0)),"")</f>
        <v/>
      </c>
      <c r="J262" t="str">
        <f t="array" ref="J262">IFERROR(INDEX('Day Range Raw Data'!N:N,Match($A262,'Day Range Raw Data'!$B:$B,0)),"")</f>
        <v/>
      </c>
      <c r="K262" t="str">
        <f t="array" ref="K262">IFERROR(INDEX('Day Range Raw Data'!R:R,Match($A262,'Day Range Raw Data'!$B:$B,0)),"")</f>
        <v/>
      </c>
      <c r="L262" t="str">
        <f t="array" ref="L262">IFERROR(INDEX('Day Range Raw Data'!S:S,Match($A262,'Day Range Raw Data'!$B:$B,0)),"")</f>
        <v/>
      </c>
      <c r="M262" t="str">
        <f t="array" ref="M262">IFERROR(INDEX('Day Range Raw Data'!T:T,Match($A262,'Day Range Raw Data'!$B:$B,0)),"")</f>
        <v/>
      </c>
      <c r="N262" t="str">
        <f t="array" ref="N262">IFERROR(INDEX('Day Range Raw Data'!U:U,Match($A262,'Day Range Raw Data'!$B:$B,0)),"")</f>
        <v/>
      </c>
      <c r="O262" t="str">
        <f t="array" ref="O262">IFERROR(INDEX('Day Range Raw Data'!V:V,Match($A262,'Day Range Raw Data'!$B:$B,0)),"")</f>
        <v/>
      </c>
      <c r="P262" t="str">
        <f t="array" ref="P262">IFERROR(INDEX('Day Range Raw Data'!X:X,Match($A262,'Day Range Raw Data'!$B:$B,0)),"")</f>
        <v/>
      </c>
      <c r="Q262" t="str">
        <f t="shared" si="1"/>
        <v/>
      </c>
      <c r="R262" s="9" t="str">
        <f t="shared" si="2"/>
        <v/>
      </c>
      <c r="S262" s="14" t="str">
        <f t="shared" si="3"/>
        <v/>
      </c>
      <c r="T262" s="15" t="str">
        <f>IFERROR(__xludf.DUMMYFUNCTION("IF($A262="""","""",IFERROR(PERCENTRANK.INC(FILTER(Q:Q,$F:$F&lt;&gt;""""),Q262)*100,""""))"),"")</f>
        <v/>
      </c>
      <c r="U262" s="15" t="str">
        <f>IFERROR(__xludf.DUMMYFUNCTION("IF($A262="""","""",IFERROR(PERCENTRANK.INC(FILTER(R:R,$F:$F&lt;&gt;""""),R262)*100,""""))"),"")</f>
        <v/>
      </c>
      <c r="V262" s="15" t="str">
        <f>IFERROR(__xludf.DUMMYFUNCTION("IF($A262="""","""",IFERROR(PERCENTRANK.INC(FILTER(S:S,$F:$F&lt;&gt;""""),S262)*100,""""))"),"")</f>
        <v/>
      </c>
      <c r="W262" s="15" t="str">
        <f t="shared" si="4"/>
        <v/>
      </c>
    </row>
    <row r="263">
      <c r="B263" t="str">
        <f t="array" ref="B263">IFERROR(INDEX('Player Raw Data'!C:C,Match($A263,'Player Raw Data'!$B:$B,0)),"")</f>
        <v/>
      </c>
      <c r="C263" t="str">
        <f t="array" ref="C263">IFERROR(INDEX('Player Raw Data'!D:D,Match($A263,'Player Raw Data'!$B:$B,0)),"")</f>
        <v/>
      </c>
      <c r="D263" t="str">
        <f t="array" ref="D263">IFERROR(IF(A263=A262, INDEX('Player Raw Data'!E:E,Match($A263,'Player Raw Data'!$B:$B,0)+2),INDEX('Player Raw Data'!E:E,Match($A263,'Player Raw Data'!$B:$B,0))),"")</f>
        <v/>
      </c>
      <c r="E263" t="str">
        <f t="array" ref="E263">IFERROR(INDEX('Day Range Raw Data'!D:D,Match($A263,'Day Range Raw Data'!$B:$B,0)),"")</f>
        <v/>
      </c>
      <c r="F263" t="str">
        <f t="array" ref="F263">IFERROR(INDEX('Day Range Raw Data'!F:F,Match($A263,'Day Range Raw Data'!$B:$B,0)),"")</f>
        <v/>
      </c>
      <c r="G263" t="str">
        <f t="array" ref="G263">IFERROR(INDEX('Day Range Raw Data'!G:G,Match($A263,'Day Range Raw Data'!$B:$B,0)),"")</f>
        <v/>
      </c>
      <c r="H263" t="str">
        <f t="array" ref="H263">IFERROR(INDEX('Day Range Raw Data'!H:H,Match($A263,'Day Range Raw Data'!$B:$B,0)),"")</f>
        <v/>
      </c>
      <c r="I263" t="str">
        <f t="array" ref="I263">IFERROR(INDEX('Day Range Raw Data'!M:M,Match($A263,'Day Range Raw Data'!$B:$B,0)),"")</f>
        <v/>
      </c>
      <c r="J263" t="str">
        <f t="array" ref="J263">IFERROR(INDEX('Day Range Raw Data'!N:N,Match($A263,'Day Range Raw Data'!$B:$B,0)),"")</f>
        <v/>
      </c>
      <c r="K263" t="str">
        <f t="array" ref="K263">IFERROR(INDEX('Day Range Raw Data'!R:R,Match($A263,'Day Range Raw Data'!$B:$B,0)),"")</f>
        <v/>
      </c>
      <c r="L263" t="str">
        <f t="array" ref="L263">IFERROR(INDEX('Day Range Raw Data'!S:S,Match($A263,'Day Range Raw Data'!$B:$B,0)),"")</f>
        <v/>
      </c>
      <c r="M263" t="str">
        <f t="array" ref="M263">IFERROR(INDEX('Day Range Raw Data'!T:T,Match($A263,'Day Range Raw Data'!$B:$B,0)),"")</f>
        <v/>
      </c>
      <c r="N263" t="str">
        <f t="array" ref="N263">IFERROR(INDEX('Day Range Raw Data'!U:U,Match($A263,'Day Range Raw Data'!$B:$B,0)),"")</f>
        <v/>
      </c>
      <c r="O263" t="str">
        <f t="array" ref="O263">IFERROR(INDEX('Day Range Raw Data'!V:V,Match($A263,'Day Range Raw Data'!$B:$B,0)),"")</f>
        <v/>
      </c>
      <c r="P263" t="str">
        <f t="array" ref="P263">IFERROR(INDEX('Day Range Raw Data'!X:X,Match($A263,'Day Range Raw Data'!$B:$B,0)),"")</f>
        <v/>
      </c>
      <c r="Q263" t="str">
        <f t="shared" si="1"/>
        <v/>
      </c>
      <c r="R263" s="9" t="str">
        <f t="shared" si="2"/>
        <v/>
      </c>
      <c r="S263" s="14" t="str">
        <f t="shared" si="3"/>
        <v/>
      </c>
      <c r="T263" s="15" t="str">
        <f>IFERROR(__xludf.DUMMYFUNCTION("IF($A263="""","""",IFERROR(PERCENTRANK.INC(FILTER(Q:Q,$F:$F&lt;&gt;""""),Q263)*100,""""))"),"")</f>
        <v/>
      </c>
      <c r="U263" s="15" t="str">
        <f>IFERROR(__xludf.DUMMYFUNCTION("IF($A263="""","""",IFERROR(PERCENTRANK.INC(FILTER(R:R,$F:$F&lt;&gt;""""),R263)*100,""""))"),"")</f>
        <v/>
      </c>
      <c r="V263" s="15" t="str">
        <f>IFERROR(__xludf.DUMMYFUNCTION("IF($A263="""","""",IFERROR(PERCENTRANK.INC(FILTER(S:S,$F:$F&lt;&gt;""""),S263)*100,""""))"),"")</f>
        <v/>
      </c>
      <c r="W263" s="15" t="str">
        <f t="shared" si="4"/>
        <v/>
      </c>
    </row>
    <row r="264">
      <c r="B264" t="str">
        <f t="array" ref="B264">IFERROR(INDEX('Player Raw Data'!C:C,Match($A264,'Player Raw Data'!$B:$B,0)),"")</f>
        <v/>
      </c>
      <c r="C264" t="str">
        <f t="array" ref="C264">IFERROR(INDEX('Player Raw Data'!D:D,Match($A264,'Player Raw Data'!$B:$B,0)),"")</f>
        <v/>
      </c>
      <c r="D264" t="str">
        <f t="array" ref="D264">IFERROR(IF(A264=A263, INDEX('Player Raw Data'!E:E,Match($A264,'Player Raw Data'!$B:$B,0)+2),INDEX('Player Raw Data'!E:E,Match($A264,'Player Raw Data'!$B:$B,0))),"")</f>
        <v/>
      </c>
      <c r="E264" t="str">
        <f t="array" ref="E264">IFERROR(INDEX('Day Range Raw Data'!D:D,Match($A264,'Day Range Raw Data'!$B:$B,0)),"")</f>
        <v/>
      </c>
      <c r="F264" t="str">
        <f t="array" ref="F264">IFERROR(INDEX('Day Range Raw Data'!F:F,Match($A264,'Day Range Raw Data'!$B:$B,0)),"")</f>
        <v/>
      </c>
      <c r="G264" t="str">
        <f t="array" ref="G264">IFERROR(INDEX('Day Range Raw Data'!G:G,Match($A264,'Day Range Raw Data'!$B:$B,0)),"")</f>
        <v/>
      </c>
      <c r="H264" t="str">
        <f t="array" ref="H264">IFERROR(INDEX('Day Range Raw Data'!H:H,Match($A264,'Day Range Raw Data'!$B:$B,0)),"")</f>
        <v/>
      </c>
      <c r="I264" t="str">
        <f t="array" ref="I264">IFERROR(INDEX('Day Range Raw Data'!M:M,Match($A264,'Day Range Raw Data'!$B:$B,0)),"")</f>
        <v/>
      </c>
      <c r="J264" t="str">
        <f t="array" ref="J264">IFERROR(INDEX('Day Range Raw Data'!N:N,Match($A264,'Day Range Raw Data'!$B:$B,0)),"")</f>
        <v/>
      </c>
      <c r="K264" t="str">
        <f t="array" ref="K264">IFERROR(INDEX('Day Range Raw Data'!R:R,Match($A264,'Day Range Raw Data'!$B:$B,0)),"")</f>
        <v/>
      </c>
      <c r="L264" t="str">
        <f t="array" ref="L264">IFERROR(INDEX('Day Range Raw Data'!S:S,Match($A264,'Day Range Raw Data'!$B:$B,0)),"")</f>
        <v/>
      </c>
      <c r="M264" t="str">
        <f t="array" ref="M264">IFERROR(INDEX('Day Range Raw Data'!T:T,Match($A264,'Day Range Raw Data'!$B:$B,0)),"")</f>
        <v/>
      </c>
      <c r="N264" t="str">
        <f t="array" ref="N264">IFERROR(INDEX('Day Range Raw Data'!U:U,Match($A264,'Day Range Raw Data'!$B:$B,0)),"")</f>
        <v/>
      </c>
      <c r="O264" t="str">
        <f t="array" ref="O264">IFERROR(INDEX('Day Range Raw Data'!V:V,Match($A264,'Day Range Raw Data'!$B:$B,0)),"")</f>
        <v/>
      </c>
      <c r="P264" t="str">
        <f t="array" ref="P264">IFERROR(INDEX('Day Range Raw Data'!X:X,Match($A264,'Day Range Raw Data'!$B:$B,0)),"")</f>
        <v/>
      </c>
      <c r="Q264" t="str">
        <f t="shared" si="1"/>
        <v/>
      </c>
      <c r="R264" s="9" t="str">
        <f t="shared" si="2"/>
        <v/>
      </c>
      <c r="S264" s="14" t="str">
        <f t="shared" si="3"/>
        <v/>
      </c>
      <c r="T264" s="15" t="str">
        <f>IFERROR(__xludf.DUMMYFUNCTION("IF($A264="""","""",IFERROR(PERCENTRANK.INC(FILTER(Q:Q,$F:$F&lt;&gt;""""),Q264)*100,""""))"),"")</f>
        <v/>
      </c>
      <c r="U264" s="15" t="str">
        <f>IFERROR(__xludf.DUMMYFUNCTION("IF($A264="""","""",IFERROR(PERCENTRANK.INC(FILTER(R:R,$F:$F&lt;&gt;""""),R264)*100,""""))"),"")</f>
        <v/>
      </c>
      <c r="V264" s="15" t="str">
        <f>IFERROR(__xludf.DUMMYFUNCTION("IF($A264="""","""",IFERROR(PERCENTRANK.INC(FILTER(S:S,$F:$F&lt;&gt;""""),S264)*100,""""))"),"")</f>
        <v/>
      </c>
      <c r="W264" s="15" t="str">
        <f t="shared" si="4"/>
        <v/>
      </c>
    </row>
    <row r="265">
      <c r="B265" t="str">
        <f t="array" ref="B265">IFERROR(INDEX('Player Raw Data'!C:C,Match($A265,'Player Raw Data'!$B:$B,0)),"")</f>
        <v/>
      </c>
      <c r="C265" t="str">
        <f t="array" ref="C265">IFERROR(INDEX('Player Raw Data'!D:D,Match($A265,'Player Raw Data'!$B:$B,0)),"")</f>
        <v/>
      </c>
      <c r="D265" t="str">
        <f t="array" ref="D265">IFERROR(IF(A265=A264, INDEX('Player Raw Data'!E:E,Match($A265,'Player Raw Data'!$B:$B,0)+2),INDEX('Player Raw Data'!E:E,Match($A265,'Player Raw Data'!$B:$B,0))),"")</f>
        <v/>
      </c>
      <c r="E265" t="str">
        <f t="array" ref="E265">IFERROR(INDEX('Day Range Raw Data'!D:D,Match($A265,'Day Range Raw Data'!$B:$B,0)),"")</f>
        <v/>
      </c>
      <c r="F265" t="str">
        <f t="array" ref="F265">IFERROR(INDEX('Day Range Raw Data'!F:F,Match($A265,'Day Range Raw Data'!$B:$B,0)),"")</f>
        <v/>
      </c>
      <c r="G265" t="str">
        <f t="array" ref="G265">IFERROR(INDEX('Day Range Raw Data'!G:G,Match($A265,'Day Range Raw Data'!$B:$B,0)),"")</f>
        <v/>
      </c>
      <c r="H265" t="str">
        <f t="array" ref="H265">IFERROR(INDEX('Day Range Raw Data'!H:H,Match($A265,'Day Range Raw Data'!$B:$B,0)),"")</f>
        <v/>
      </c>
      <c r="I265" t="str">
        <f t="array" ref="I265">IFERROR(INDEX('Day Range Raw Data'!M:M,Match($A265,'Day Range Raw Data'!$B:$B,0)),"")</f>
        <v/>
      </c>
      <c r="J265" t="str">
        <f t="array" ref="J265">IFERROR(INDEX('Day Range Raw Data'!N:N,Match($A265,'Day Range Raw Data'!$B:$B,0)),"")</f>
        <v/>
      </c>
      <c r="K265" t="str">
        <f t="array" ref="K265">IFERROR(INDEX('Day Range Raw Data'!R:R,Match($A265,'Day Range Raw Data'!$B:$B,0)),"")</f>
        <v/>
      </c>
      <c r="L265" t="str">
        <f t="array" ref="L265">IFERROR(INDEX('Day Range Raw Data'!S:S,Match($A265,'Day Range Raw Data'!$B:$B,0)),"")</f>
        <v/>
      </c>
      <c r="M265" t="str">
        <f t="array" ref="M265">IFERROR(INDEX('Day Range Raw Data'!T:T,Match($A265,'Day Range Raw Data'!$B:$B,0)),"")</f>
        <v/>
      </c>
      <c r="N265" t="str">
        <f t="array" ref="N265">IFERROR(INDEX('Day Range Raw Data'!U:U,Match($A265,'Day Range Raw Data'!$B:$B,0)),"")</f>
        <v/>
      </c>
      <c r="O265" t="str">
        <f t="array" ref="O265">IFERROR(INDEX('Day Range Raw Data'!V:V,Match($A265,'Day Range Raw Data'!$B:$B,0)),"")</f>
        <v/>
      </c>
      <c r="P265" t="str">
        <f t="array" ref="P265">IFERROR(INDEX('Day Range Raw Data'!X:X,Match($A265,'Day Range Raw Data'!$B:$B,0)),"")</f>
        <v/>
      </c>
      <c r="Q265" t="str">
        <f t="shared" si="1"/>
        <v/>
      </c>
      <c r="R265" s="9" t="str">
        <f t="shared" si="2"/>
        <v/>
      </c>
      <c r="S265" s="14" t="str">
        <f t="shared" si="3"/>
        <v/>
      </c>
      <c r="T265" s="15" t="str">
        <f>IFERROR(__xludf.DUMMYFUNCTION("IF($A265="""","""",IFERROR(PERCENTRANK.INC(FILTER(Q:Q,$F:$F&lt;&gt;""""),Q265)*100,""""))"),"")</f>
        <v/>
      </c>
      <c r="U265" s="15" t="str">
        <f>IFERROR(__xludf.DUMMYFUNCTION("IF($A265="""","""",IFERROR(PERCENTRANK.INC(FILTER(R:R,$F:$F&lt;&gt;""""),R265)*100,""""))"),"")</f>
        <v/>
      </c>
      <c r="V265" s="15" t="str">
        <f>IFERROR(__xludf.DUMMYFUNCTION("IF($A265="""","""",IFERROR(PERCENTRANK.INC(FILTER(S:S,$F:$F&lt;&gt;""""),S265)*100,""""))"),"")</f>
        <v/>
      </c>
      <c r="W265" s="15" t="str">
        <f t="shared" si="4"/>
        <v/>
      </c>
    </row>
    <row r="266">
      <c r="B266" t="str">
        <f t="array" ref="B266">IFERROR(INDEX('Player Raw Data'!C:C,Match($A266,'Player Raw Data'!$B:$B,0)),"")</f>
        <v/>
      </c>
      <c r="C266" t="str">
        <f t="array" ref="C266">IFERROR(INDEX('Player Raw Data'!D:D,Match($A266,'Player Raw Data'!$B:$B,0)),"")</f>
        <v/>
      </c>
      <c r="D266" t="str">
        <f t="array" ref="D266">IFERROR(IF(A266=A265, INDEX('Player Raw Data'!E:E,Match($A266,'Player Raw Data'!$B:$B,0)+2),INDEX('Player Raw Data'!E:E,Match($A266,'Player Raw Data'!$B:$B,0))),"")</f>
        <v/>
      </c>
      <c r="E266" t="str">
        <f t="array" ref="E266">IFERROR(INDEX('Day Range Raw Data'!D:D,Match($A266,'Day Range Raw Data'!$B:$B,0)),"")</f>
        <v/>
      </c>
      <c r="F266" t="str">
        <f t="array" ref="F266">IFERROR(INDEX('Day Range Raw Data'!F:F,Match($A266,'Day Range Raw Data'!$B:$B,0)),"")</f>
        <v/>
      </c>
      <c r="G266" t="str">
        <f t="array" ref="G266">IFERROR(INDEX('Day Range Raw Data'!G:G,Match($A266,'Day Range Raw Data'!$B:$B,0)),"")</f>
        <v/>
      </c>
      <c r="H266" t="str">
        <f t="array" ref="H266">IFERROR(INDEX('Day Range Raw Data'!H:H,Match($A266,'Day Range Raw Data'!$B:$B,0)),"")</f>
        <v/>
      </c>
      <c r="I266" t="str">
        <f t="array" ref="I266">IFERROR(INDEX('Day Range Raw Data'!M:M,Match($A266,'Day Range Raw Data'!$B:$B,0)),"")</f>
        <v/>
      </c>
      <c r="J266" t="str">
        <f t="array" ref="J266">IFERROR(INDEX('Day Range Raw Data'!N:N,Match($A266,'Day Range Raw Data'!$B:$B,0)),"")</f>
        <v/>
      </c>
      <c r="K266" t="str">
        <f t="array" ref="K266">IFERROR(INDEX('Day Range Raw Data'!R:R,Match($A266,'Day Range Raw Data'!$B:$B,0)),"")</f>
        <v/>
      </c>
      <c r="L266" t="str">
        <f t="array" ref="L266">IFERROR(INDEX('Day Range Raw Data'!S:S,Match($A266,'Day Range Raw Data'!$B:$B,0)),"")</f>
        <v/>
      </c>
      <c r="M266" t="str">
        <f t="array" ref="M266">IFERROR(INDEX('Day Range Raw Data'!T:T,Match($A266,'Day Range Raw Data'!$B:$B,0)),"")</f>
        <v/>
      </c>
      <c r="N266" t="str">
        <f t="array" ref="N266">IFERROR(INDEX('Day Range Raw Data'!U:U,Match($A266,'Day Range Raw Data'!$B:$B,0)),"")</f>
        <v/>
      </c>
      <c r="O266" t="str">
        <f t="array" ref="O266">IFERROR(INDEX('Day Range Raw Data'!V:V,Match($A266,'Day Range Raw Data'!$B:$B,0)),"")</f>
        <v/>
      </c>
      <c r="P266" t="str">
        <f t="array" ref="P266">IFERROR(INDEX('Day Range Raw Data'!X:X,Match($A266,'Day Range Raw Data'!$B:$B,0)),"")</f>
        <v/>
      </c>
      <c r="Q266" t="str">
        <f t="shared" si="1"/>
        <v/>
      </c>
      <c r="R266" s="9" t="str">
        <f t="shared" si="2"/>
        <v/>
      </c>
      <c r="S266" s="14" t="str">
        <f t="shared" si="3"/>
        <v/>
      </c>
      <c r="T266" s="15" t="str">
        <f>IFERROR(__xludf.DUMMYFUNCTION("IF($A266="""","""",IFERROR(PERCENTRANK.INC(FILTER(Q:Q,$F:$F&lt;&gt;""""),Q266)*100,""""))"),"")</f>
        <v/>
      </c>
      <c r="U266" s="15" t="str">
        <f>IFERROR(__xludf.DUMMYFUNCTION("IF($A266="""","""",IFERROR(PERCENTRANK.INC(FILTER(R:R,$F:$F&lt;&gt;""""),R266)*100,""""))"),"")</f>
        <v/>
      </c>
      <c r="V266" s="15" t="str">
        <f>IFERROR(__xludf.DUMMYFUNCTION("IF($A266="""","""",IFERROR(PERCENTRANK.INC(FILTER(S:S,$F:$F&lt;&gt;""""),S266)*100,""""))"),"")</f>
        <v/>
      </c>
      <c r="W266" s="15" t="str">
        <f t="shared" si="4"/>
        <v/>
      </c>
    </row>
    <row r="267">
      <c r="B267" t="str">
        <f t="array" ref="B267">IFERROR(INDEX('Player Raw Data'!C:C,Match($A267,'Player Raw Data'!$B:$B,0)),"")</f>
        <v/>
      </c>
      <c r="C267" t="str">
        <f t="array" ref="C267">IFERROR(INDEX('Player Raw Data'!D:D,Match($A267,'Player Raw Data'!$B:$B,0)),"")</f>
        <v/>
      </c>
      <c r="D267" t="str">
        <f t="array" ref="D267">IFERROR(IF(A267=A266, INDEX('Player Raw Data'!E:E,Match($A267,'Player Raw Data'!$B:$B,0)+2),INDEX('Player Raw Data'!E:E,Match($A267,'Player Raw Data'!$B:$B,0))),"")</f>
        <v/>
      </c>
      <c r="E267" t="str">
        <f t="array" ref="E267">IFERROR(INDEX('Day Range Raw Data'!D:D,Match($A267,'Day Range Raw Data'!$B:$B,0)),"")</f>
        <v/>
      </c>
      <c r="F267" t="str">
        <f t="array" ref="F267">IFERROR(INDEX('Day Range Raw Data'!F:F,Match($A267,'Day Range Raw Data'!$B:$B,0)),"")</f>
        <v/>
      </c>
      <c r="G267" t="str">
        <f t="array" ref="G267">IFERROR(INDEX('Day Range Raw Data'!G:G,Match($A267,'Day Range Raw Data'!$B:$B,0)),"")</f>
        <v/>
      </c>
      <c r="H267" t="str">
        <f t="array" ref="H267">IFERROR(INDEX('Day Range Raw Data'!H:H,Match($A267,'Day Range Raw Data'!$B:$B,0)),"")</f>
        <v/>
      </c>
      <c r="I267" t="str">
        <f t="array" ref="I267">IFERROR(INDEX('Day Range Raw Data'!M:M,Match($A267,'Day Range Raw Data'!$B:$B,0)),"")</f>
        <v/>
      </c>
      <c r="J267" t="str">
        <f t="array" ref="J267">IFERROR(INDEX('Day Range Raw Data'!N:N,Match($A267,'Day Range Raw Data'!$B:$B,0)),"")</f>
        <v/>
      </c>
      <c r="K267" t="str">
        <f t="array" ref="K267">IFERROR(INDEX('Day Range Raw Data'!R:R,Match($A267,'Day Range Raw Data'!$B:$B,0)),"")</f>
        <v/>
      </c>
      <c r="L267" t="str">
        <f t="array" ref="L267">IFERROR(INDEX('Day Range Raw Data'!S:S,Match($A267,'Day Range Raw Data'!$B:$B,0)),"")</f>
        <v/>
      </c>
      <c r="M267" t="str">
        <f t="array" ref="M267">IFERROR(INDEX('Day Range Raw Data'!T:T,Match($A267,'Day Range Raw Data'!$B:$B,0)),"")</f>
        <v/>
      </c>
      <c r="N267" t="str">
        <f t="array" ref="N267">IFERROR(INDEX('Day Range Raw Data'!U:U,Match($A267,'Day Range Raw Data'!$B:$B,0)),"")</f>
        <v/>
      </c>
      <c r="O267" t="str">
        <f t="array" ref="O267">IFERROR(INDEX('Day Range Raw Data'!V:V,Match($A267,'Day Range Raw Data'!$B:$B,0)),"")</f>
        <v/>
      </c>
      <c r="P267" t="str">
        <f t="array" ref="P267">IFERROR(INDEX('Day Range Raw Data'!X:X,Match($A267,'Day Range Raw Data'!$B:$B,0)),"")</f>
        <v/>
      </c>
      <c r="Q267" t="str">
        <f t="shared" si="1"/>
        <v/>
      </c>
      <c r="R267" s="9" t="str">
        <f t="shared" si="2"/>
        <v/>
      </c>
      <c r="S267" s="14" t="str">
        <f t="shared" si="3"/>
        <v/>
      </c>
      <c r="T267" s="15" t="str">
        <f>IFERROR(__xludf.DUMMYFUNCTION("IF($A267="""","""",IFERROR(PERCENTRANK.INC(FILTER(Q:Q,$F:$F&lt;&gt;""""),Q267)*100,""""))"),"")</f>
        <v/>
      </c>
      <c r="U267" s="15" t="str">
        <f>IFERROR(__xludf.DUMMYFUNCTION("IF($A267="""","""",IFERROR(PERCENTRANK.INC(FILTER(R:R,$F:$F&lt;&gt;""""),R267)*100,""""))"),"")</f>
        <v/>
      </c>
      <c r="V267" s="15" t="str">
        <f>IFERROR(__xludf.DUMMYFUNCTION("IF($A267="""","""",IFERROR(PERCENTRANK.INC(FILTER(S:S,$F:$F&lt;&gt;""""),S267)*100,""""))"),"")</f>
        <v/>
      </c>
      <c r="W267" s="15" t="str">
        <f t="shared" si="4"/>
        <v/>
      </c>
    </row>
    <row r="268">
      <c r="B268" t="str">
        <f t="array" ref="B268">IFERROR(INDEX('Player Raw Data'!C:C,Match($A268,'Player Raw Data'!$B:$B,0)),"")</f>
        <v/>
      </c>
      <c r="C268" t="str">
        <f t="array" ref="C268">IFERROR(INDEX('Player Raw Data'!D:D,Match($A268,'Player Raw Data'!$B:$B,0)),"")</f>
        <v/>
      </c>
      <c r="D268" t="str">
        <f t="array" ref="D268">IFERROR(IF(A268=A267, INDEX('Player Raw Data'!E:E,Match($A268,'Player Raw Data'!$B:$B,0)+2),INDEX('Player Raw Data'!E:E,Match($A268,'Player Raw Data'!$B:$B,0))),"")</f>
        <v/>
      </c>
      <c r="E268" t="str">
        <f t="array" ref="E268">IFERROR(INDEX('Day Range Raw Data'!D:D,Match($A268,'Day Range Raw Data'!$B:$B,0)),"")</f>
        <v/>
      </c>
      <c r="F268" t="str">
        <f t="array" ref="F268">IFERROR(INDEX('Day Range Raw Data'!F:F,Match($A268,'Day Range Raw Data'!$B:$B,0)),"")</f>
        <v/>
      </c>
      <c r="G268" t="str">
        <f t="array" ref="G268">IFERROR(INDEX('Day Range Raw Data'!G:G,Match($A268,'Day Range Raw Data'!$B:$B,0)),"")</f>
        <v/>
      </c>
      <c r="H268" t="str">
        <f t="array" ref="H268">IFERROR(INDEX('Day Range Raw Data'!H:H,Match($A268,'Day Range Raw Data'!$B:$B,0)),"")</f>
        <v/>
      </c>
      <c r="I268" t="str">
        <f t="array" ref="I268">IFERROR(INDEX('Day Range Raw Data'!M:M,Match($A268,'Day Range Raw Data'!$B:$B,0)),"")</f>
        <v/>
      </c>
      <c r="J268" t="str">
        <f t="array" ref="J268">IFERROR(INDEX('Day Range Raw Data'!N:N,Match($A268,'Day Range Raw Data'!$B:$B,0)),"")</f>
        <v/>
      </c>
      <c r="K268" t="str">
        <f t="array" ref="K268">IFERROR(INDEX('Day Range Raw Data'!R:R,Match($A268,'Day Range Raw Data'!$B:$B,0)),"")</f>
        <v/>
      </c>
      <c r="L268" t="str">
        <f t="array" ref="L268">IFERROR(INDEX('Day Range Raw Data'!S:S,Match($A268,'Day Range Raw Data'!$B:$B,0)),"")</f>
        <v/>
      </c>
      <c r="M268" t="str">
        <f t="array" ref="M268">IFERROR(INDEX('Day Range Raw Data'!T:T,Match($A268,'Day Range Raw Data'!$B:$B,0)),"")</f>
        <v/>
      </c>
      <c r="N268" t="str">
        <f t="array" ref="N268">IFERROR(INDEX('Day Range Raw Data'!U:U,Match($A268,'Day Range Raw Data'!$B:$B,0)),"")</f>
        <v/>
      </c>
      <c r="O268" t="str">
        <f t="array" ref="O268">IFERROR(INDEX('Day Range Raw Data'!V:V,Match($A268,'Day Range Raw Data'!$B:$B,0)),"")</f>
        <v/>
      </c>
      <c r="P268" t="str">
        <f t="array" ref="P268">IFERROR(INDEX('Day Range Raw Data'!X:X,Match($A268,'Day Range Raw Data'!$B:$B,0)),"")</f>
        <v/>
      </c>
      <c r="Q268" t="str">
        <f t="shared" si="1"/>
        <v/>
      </c>
      <c r="R268" s="9" t="str">
        <f t="shared" si="2"/>
        <v/>
      </c>
      <c r="S268" s="14" t="str">
        <f t="shared" si="3"/>
        <v/>
      </c>
      <c r="T268" s="15" t="str">
        <f>IFERROR(__xludf.DUMMYFUNCTION("IF($A268="""","""",IFERROR(PERCENTRANK.INC(FILTER(Q:Q,$F:$F&lt;&gt;""""),Q268)*100,""""))"),"")</f>
        <v/>
      </c>
      <c r="U268" s="15" t="str">
        <f>IFERROR(__xludf.DUMMYFUNCTION("IF($A268="""","""",IFERROR(PERCENTRANK.INC(FILTER(R:R,$F:$F&lt;&gt;""""),R268)*100,""""))"),"")</f>
        <v/>
      </c>
      <c r="V268" s="15" t="str">
        <f>IFERROR(__xludf.DUMMYFUNCTION("IF($A268="""","""",IFERROR(PERCENTRANK.INC(FILTER(S:S,$F:$F&lt;&gt;""""),S268)*100,""""))"),"")</f>
        <v/>
      </c>
      <c r="W268" s="15" t="str">
        <f t="shared" si="4"/>
        <v/>
      </c>
    </row>
    <row r="269">
      <c r="B269" t="str">
        <f t="array" ref="B269">IFERROR(INDEX('Player Raw Data'!C:C,Match($A269,'Player Raw Data'!$B:$B,0)),"")</f>
        <v/>
      </c>
      <c r="C269" t="str">
        <f t="array" ref="C269">IFERROR(INDEX('Player Raw Data'!D:D,Match($A269,'Player Raw Data'!$B:$B,0)),"")</f>
        <v/>
      </c>
      <c r="D269" t="str">
        <f t="array" ref="D269">IFERROR(IF(A269=A268, INDEX('Player Raw Data'!E:E,Match($A269,'Player Raw Data'!$B:$B,0)+2),INDEX('Player Raw Data'!E:E,Match($A269,'Player Raw Data'!$B:$B,0))),"")</f>
        <v/>
      </c>
      <c r="E269" t="str">
        <f t="array" ref="E269">IFERROR(INDEX('Day Range Raw Data'!D:D,Match($A269,'Day Range Raw Data'!$B:$B,0)),"")</f>
        <v/>
      </c>
      <c r="F269" t="str">
        <f t="array" ref="F269">IFERROR(INDEX('Day Range Raw Data'!F:F,Match($A269,'Day Range Raw Data'!$B:$B,0)),"")</f>
        <v/>
      </c>
      <c r="G269" t="str">
        <f t="array" ref="G269">IFERROR(INDEX('Day Range Raw Data'!G:G,Match($A269,'Day Range Raw Data'!$B:$B,0)),"")</f>
        <v/>
      </c>
      <c r="H269" t="str">
        <f t="array" ref="H269">IFERROR(INDEX('Day Range Raw Data'!H:H,Match($A269,'Day Range Raw Data'!$B:$B,0)),"")</f>
        <v/>
      </c>
      <c r="I269" t="str">
        <f t="array" ref="I269">IFERROR(INDEX('Day Range Raw Data'!M:M,Match($A269,'Day Range Raw Data'!$B:$B,0)),"")</f>
        <v/>
      </c>
      <c r="J269" t="str">
        <f t="array" ref="J269">IFERROR(INDEX('Day Range Raw Data'!N:N,Match($A269,'Day Range Raw Data'!$B:$B,0)),"")</f>
        <v/>
      </c>
      <c r="K269" t="str">
        <f t="array" ref="K269">IFERROR(INDEX('Day Range Raw Data'!R:R,Match($A269,'Day Range Raw Data'!$B:$B,0)),"")</f>
        <v/>
      </c>
      <c r="L269" t="str">
        <f t="array" ref="L269">IFERROR(INDEX('Day Range Raw Data'!S:S,Match($A269,'Day Range Raw Data'!$B:$B,0)),"")</f>
        <v/>
      </c>
      <c r="M269" t="str">
        <f t="array" ref="M269">IFERROR(INDEX('Day Range Raw Data'!T:T,Match($A269,'Day Range Raw Data'!$B:$B,0)),"")</f>
        <v/>
      </c>
      <c r="N269" t="str">
        <f t="array" ref="N269">IFERROR(INDEX('Day Range Raw Data'!U:U,Match($A269,'Day Range Raw Data'!$B:$B,0)),"")</f>
        <v/>
      </c>
      <c r="O269" t="str">
        <f t="array" ref="O269">IFERROR(INDEX('Day Range Raw Data'!V:V,Match($A269,'Day Range Raw Data'!$B:$B,0)),"")</f>
        <v/>
      </c>
      <c r="P269" t="str">
        <f t="array" ref="P269">IFERROR(INDEX('Day Range Raw Data'!X:X,Match($A269,'Day Range Raw Data'!$B:$B,0)),"")</f>
        <v/>
      </c>
      <c r="Q269" t="str">
        <f t="shared" si="1"/>
        <v/>
      </c>
      <c r="R269" s="9" t="str">
        <f t="shared" si="2"/>
        <v/>
      </c>
      <c r="S269" s="14" t="str">
        <f t="shared" si="3"/>
        <v/>
      </c>
      <c r="T269" s="15" t="str">
        <f>IFERROR(__xludf.DUMMYFUNCTION("IF($A269="""","""",IFERROR(PERCENTRANK.INC(FILTER(Q:Q,$F:$F&lt;&gt;""""),Q269)*100,""""))"),"")</f>
        <v/>
      </c>
      <c r="U269" s="15" t="str">
        <f>IFERROR(__xludf.DUMMYFUNCTION("IF($A269="""","""",IFERROR(PERCENTRANK.INC(FILTER(R:R,$F:$F&lt;&gt;""""),R269)*100,""""))"),"")</f>
        <v/>
      </c>
      <c r="V269" s="15" t="str">
        <f>IFERROR(__xludf.DUMMYFUNCTION("IF($A269="""","""",IFERROR(PERCENTRANK.INC(FILTER(S:S,$F:$F&lt;&gt;""""),S269)*100,""""))"),"")</f>
        <v/>
      </c>
      <c r="W269" s="15" t="str">
        <f t="shared" si="4"/>
        <v/>
      </c>
    </row>
    <row r="270">
      <c r="B270" t="str">
        <f t="array" ref="B270">IFERROR(INDEX('Player Raw Data'!C:C,Match($A270,'Player Raw Data'!$B:$B,0)),"")</f>
        <v/>
      </c>
      <c r="C270" t="str">
        <f t="array" ref="C270">IFERROR(INDEX('Player Raw Data'!D:D,Match($A270,'Player Raw Data'!$B:$B,0)),"")</f>
        <v/>
      </c>
      <c r="D270" t="str">
        <f t="array" ref="D270">IFERROR(IF(A270=A269, INDEX('Player Raw Data'!E:E,Match($A270,'Player Raw Data'!$B:$B,0)+2),INDEX('Player Raw Data'!E:E,Match($A270,'Player Raw Data'!$B:$B,0))),"")</f>
        <v/>
      </c>
      <c r="E270" t="str">
        <f t="array" ref="E270">IFERROR(INDEX('Day Range Raw Data'!D:D,Match($A270,'Day Range Raw Data'!$B:$B,0)),"")</f>
        <v/>
      </c>
      <c r="F270" t="str">
        <f t="array" ref="F270">IFERROR(INDEX('Day Range Raw Data'!F:F,Match($A270,'Day Range Raw Data'!$B:$B,0)),"")</f>
        <v/>
      </c>
      <c r="G270" t="str">
        <f t="array" ref="G270">IFERROR(INDEX('Day Range Raw Data'!G:G,Match($A270,'Day Range Raw Data'!$B:$B,0)),"")</f>
        <v/>
      </c>
      <c r="H270" t="str">
        <f t="array" ref="H270">IFERROR(INDEX('Day Range Raw Data'!H:H,Match($A270,'Day Range Raw Data'!$B:$B,0)),"")</f>
        <v/>
      </c>
      <c r="I270" t="str">
        <f t="array" ref="I270">IFERROR(INDEX('Day Range Raw Data'!M:M,Match($A270,'Day Range Raw Data'!$B:$B,0)),"")</f>
        <v/>
      </c>
      <c r="J270" t="str">
        <f t="array" ref="J270">IFERROR(INDEX('Day Range Raw Data'!N:N,Match($A270,'Day Range Raw Data'!$B:$B,0)),"")</f>
        <v/>
      </c>
      <c r="K270" t="str">
        <f t="array" ref="K270">IFERROR(INDEX('Day Range Raw Data'!R:R,Match($A270,'Day Range Raw Data'!$B:$B,0)),"")</f>
        <v/>
      </c>
      <c r="L270" t="str">
        <f t="array" ref="L270">IFERROR(INDEX('Day Range Raw Data'!S:S,Match($A270,'Day Range Raw Data'!$B:$B,0)),"")</f>
        <v/>
      </c>
      <c r="M270" t="str">
        <f t="array" ref="M270">IFERROR(INDEX('Day Range Raw Data'!T:T,Match($A270,'Day Range Raw Data'!$B:$B,0)),"")</f>
        <v/>
      </c>
      <c r="N270" t="str">
        <f t="array" ref="N270">IFERROR(INDEX('Day Range Raw Data'!U:U,Match($A270,'Day Range Raw Data'!$B:$B,0)),"")</f>
        <v/>
      </c>
      <c r="O270" t="str">
        <f t="array" ref="O270">IFERROR(INDEX('Day Range Raw Data'!V:V,Match($A270,'Day Range Raw Data'!$B:$B,0)),"")</f>
        <v/>
      </c>
      <c r="P270" t="str">
        <f t="array" ref="P270">IFERROR(INDEX('Day Range Raw Data'!X:X,Match($A270,'Day Range Raw Data'!$B:$B,0)),"")</f>
        <v/>
      </c>
      <c r="Q270" t="str">
        <f t="shared" si="1"/>
        <v/>
      </c>
      <c r="R270" s="9" t="str">
        <f t="shared" si="2"/>
        <v/>
      </c>
      <c r="S270" s="14" t="str">
        <f t="shared" si="3"/>
        <v/>
      </c>
      <c r="T270" s="15" t="str">
        <f>IFERROR(__xludf.DUMMYFUNCTION("IF($A270="""","""",IFERROR(PERCENTRANK.INC(FILTER(Q:Q,$F:$F&lt;&gt;""""),Q270)*100,""""))"),"")</f>
        <v/>
      </c>
      <c r="U270" s="15" t="str">
        <f>IFERROR(__xludf.DUMMYFUNCTION("IF($A270="""","""",IFERROR(PERCENTRANK.INC(FILTER(R:R,$F:$F&lt;&gt;""""),R270)*100,""""))"),"")</f>
        <v/>
      </c>
      <c r="V270" s="15" t="str">
        <f>IFERROR(__xludf.DUMMYFUNCTION("IF($A270="""","""",IFERROR(PERCENTRANK.INC(FILTER(S:S,$F:$F&lt;&gt;""""),S270)*100,""""))"),"")</f>
        <v/>
      </c>
      <c r="W270" s="15" t="str">
        <f t="shared" si="4"/>
        <v/>
      </c>
    </row>
    <row r="271">
      <c r="B271" t="str">
        <f t="array" ref="B271">IFERROR(INDEX('Player Raw Data'!C:C,Match($A271,'Player Raw Data'!$B:$B,0)),"")</f>
        <v/>
      </c>
      <c r="C271" t="str">
        <f t="array" ref="C271">IFERROR(INDEX('Player Raw Data'!D:D,Match($A271,'Player Raw Data'!$B:$B,0)),"")</f>
        <v/>
      </c>
      <c r="D271" t="str">
        <f t="array" ref="D271">IFERROR(IF(A271=A270, INDEX('Player Raw Data'!E:E,Match($A271,'Player Raw Data'!$B:$B,0)+2),INDEX('Player Raw Data'!E:E,Match($A271,'Player Raw Data'!$B:$B,0))),"")</f>
        <v/>
      </c>
      <c r="E271" t="str">
        <f t="array" ref="E271">IFERROR(INDEX('Day Range Raw Data'!D:D,Match($A271,'Day Range Raw Data'!$B:$B,0)),"")</f>
        <v/>
      </c>
      <c r="F271" t="str">
        <f t="array" ref="F271">IFERROR(INDEX('Day Range Raw Data'!F:F,Match($A271,'Day Range Raw Data'!$B:$B,0)),"")</f>
        <v/>
      </c>
      <c r="G271" t="str">
        <f t="array" ref="G271">IFERROR(INDEX('Day Range Raw Data'!G:G,Match($A271,'Day Range Raw Data'!$B:$B,0)),"")</f>
        <v/>
      </c>
      <c r="H271" t="str">
        <f t="array" ref="H271">IFERROR(INDEX('Day Range Raw Data'!H:H,Match($A271,'Day Range Raw Data'!$B:$B,0)),"")</f>
        <v/>
      </c>
      <c r="I271" t="str">
        <f t="array" ref="I271">IFERROR(INDEX('Day Range Raw Data'!M:M,Match($A271,'Day Range Raw Data'!$B:$B,0)),"")</f>
        <v/>
      </c>
      <c r="J271" t="str">
        <f t="array" ref="J271">IFERROR(INDEX('Day Range Raw Data'!N:N,Match($A271,'Day Range Raw Data'!$B:$B,0)),"")</f>
        <v/>
      </c>
      <c r="K271" t="str">
        <f t="array" ref="K271">IFERROR(INDEX('Day Range Raw Data'!R:R,Match($A271,'Day Range Raw Data'!$B:$B,0)),"")</f>
        <v/>
      </c>
      <c r="L271" t="str">
        <f t="array" ref="L271">IFERROR(INDEX('Day Range Raw Data'!S:S,Match($A271,'Day Range Raw Data'!$B:$B,0)),"")</f>
        <v/>
      </c>
      <c r="M271" t="str">
        <f t="array" ref="M271">IFERROR(INDEX('Day Range Raw Data'!T:T,Match($A271,'Day Range Raw Data'!$B:$B,0)),"")</f>
        <v/>
      </c>
      <c r="N271" t="str">
        <f t="array" ref="N271">IFERROR(INDEX('Day Range Raw Data'!U:U,Match($A271,'Day Range Raw Data'!$B:$B,0)),"")</f>
        <v/>
      </c>
      <c r="O271" t="str">
        <f t="array" ref="O271">IFERROR(INDEX('Day Range Raw Data'!V:V,Match($A271,'Day Range Raw Data'!$B:$B,0)),"")</f>
        <v/>
      </c>
      <c r="P271" t="str">
        <f t="array" ref="P271">IFERROR(INDEX('Day Range Raw Data'!X:X,Match($A271,'Day Range Raw Data'!$B:$B,0)),"")</f>
        <v/>
      </c>
      <c r="Q271" t="str">
        <f t="shared" si="1"/>
        <v/>
      </c>
      <c r="R271" s="9" t="str">
        <f t="shared" si="2"/>
        <v/>
      </c>
      <c r="S271" s="14" t="str">
        <f t="shared" si="3"/>
        <v/>
      </c>
      <c r="T271" s="15" t="str">
        <f>IFERROR(__xludf.DUMMYFUNCTION("IF($A271="""","""",IFERROR(PERCENTRANK.INC(FILTER(Q:Q,$F:$F&lt;&gt;""""),Q271)*100,""""))"),"")</f>
        <v/>
      </c>
      <c r="U271" s="15" t="str">
        <f>IFERROR(__xludf.DUMMYFUNCTION("IF($A271="""","""",IFERROR(PERCENTRANK.INC(FILTER(R:R,$F:$F&lt;&gt;""""),R271)*100,""""))"),"")</f>
        <v/>
      </c>
      <c r="V271" s="15" t="str">
        <f>IFERROR(__xludf.DUMMYFUNCTION("IF($A271="""","""",IFERROR(PERCENTRANK.INC(FILTER(S:S,$F:$F&lt;&gt;""""),S271)*100,""""))"),"")</f>
        <v/>
      </c>
      <c r="W271" s="15" t="str">
        <f t="shared" si="4"/>
        <v/>
      </c>
    </row>
    <row r="272">
      <c r="B272" t="str">
        <f t="array" ref="B272">IFERROR(INDEX('Player Raw Data'!C:C,Match($A272,'Player Raw Data'!$B:$B,0)),"")</f>
        <v/>
      </c>
      <c r="C272" t="str">
        <f t="array" ref="C272">IFERROR(INDEX('Player Raw Data'!D:D,Match($A272,'Player Raw Data'!$B:$B,0)),"")</f>
        <v/>
      </c>
      <c r="D272" t="str">
        <f t="array" ref="D272">IFERROR(IF(A272=A271, INDEX('Player Raw Data'!E:E,Match($A272,'Player Raw Data'!$B:$B,0)+2),INDEX('Player Raw Data'!E:E,Match($A272,'Player Raw Data'!$B:$B,0))),"")</f>
        <v/>
      </c>
      <c r="E272" t="str">
        <f t="array" ref="E272">IFERROR(INDEX('Day Range Raw Data'!D:D,Match($A272,'Day Range Raw Data'!$B:$B,0)),"")</f>
        <v/>
      </c>
      <c r="F272" t="str">
        <f t="array" ref="F272">IFERROR(INDEX('Day Range Raw Data'!F:F,Match($A272,'Day Range Raw Data'!$B:$B,0)),"")</f>
        <v/>
      </c>
      <c r="G272" t="str">
        <f t="array" ref="G272">IFERROR(INDEX('Day Range Raw Data'!G:G,Match($A272,'Day Range Raw Data'!$B:$B,0)),"")</f>
        <v/>
      </c>
      <c r="H272" t="str">
        <f t="array" ref="H272">IFERROR(INDEX('Day Range Raw Data'!H:H,Match($A272,'Day Range Raw Data'!$B:$B,0)),"")</f>
        <v/>
      </c>
      <c r="I272" t="str">
        <f t="array" ref="I272">IFERROR(INDEX('Day Range Raw Data'!M:M,Match($A272,'Day Range Raw Data'!$B:$B,0)),"")</f>
        <v/>
      </c>
      <c r="J272" t="str">
        <f t="array" ref="J272">IFERROR(INDEX('Day Range Raw Data'!N:N,Match($A272,'Day Range Raw Data'!$B:$B,0)),"")</f>
        <v/>
      </c>
      <c r="K272" t="str">
        <f t="array" ref="K272">IFERROR(INDEX('Day Range Raw Data'!R:R,Match($A272,'Day Range Raw Data'!$B:$B,0)),"")</f>
        <v/>
      </c>
      <c r="L272" t="str">
        <f t="array" ref="L272">IFERROR(INDEX('Day Range Raw Data'!S:S,Match($A272,'Day Range Raw Data'!$B:$B,0)),"")</f>
        <v/>
      </c>
      <c r="M272" t="str">
        <f t="array" ref="M272">IFERROR(INDEX('Day Range Raw Data'!T:T,Match($A272,'Day Range Raw Data'!$B:$B,0)),"")</f>
        <v/>
      </c>
      <c r="N272" t="str">
        <f t="array" ref="N272">IFERROR(INDEX('Day Range Raw Data'!U:U,Match($A272,'Day Range Raw Data'!$B:$B,0)),"")</f>
        <v/>
      </c>
      <c r="O272" t="str">
        <f t="array" ref="O272">IFERROR(INDEX('Day Range Raw Data'!V:V,Match($A272,'Day Range Raw Data'!$B:$B,0)),"")</f>
        <v/>
      </c>
      <c r="P272" t="str">
        <f t="array" ref="P272">IFERROR(INDEX('Day Range Raw Data'!X:X,Match($A272,'Day Range Raw Data'!$B:$B,0)),"")</f>
        <v/>
      </c>
      <c r="Q272" t="str">
        <f t="shared" si="1"/>
        <v/>
      </c>
      <c r="R272" s="9" t="str">
        <f t="shared" si="2"/>
        <v/>
      </c>
      <c r="S272" s="14" t="str">
        <f t="shared" si="3"/>
        <v/>
      </c>
      <c r="T272" s="15" t="str">
        <f>IFERROR(__xludf.DUMMYFUNCTION("IF($A272="""","""",IFERROR(PERCENTRANK.INC(FILTER(Q:Q,$F:$F&lt;&gt;""""),Q272)*100,""""))"),"")</f>
        <v/>
      </c>
      <c r="U272" s="15" t="str">
        <f>IFERROR(__xludf.DUMMYFUNCTION("IF($A272="""","""",IFERROR(PERCENTRANK.INC(FILTER(R:R,$F:$F&lt;&gt;""""),R272)*100,""""))"),"")</f>
        <v/>
      </c>
      <c r="V272" s="15" t="str">
        <f>IFERROR(__xludf.DUMMYFUNCTION("IF($A272="""","""",IFERROR(PERCENTRANK.INC(FILTER(S:S,$F:$F&lt;&gt;""""),S272)*100,""""))"),"")</f>
        <v/>
      </c>
      <c r="W272" s="15" t="str">
        <f t="shared" si="4"/>
        <v/>
      </c>
    </row>
    <row r="273">
      <c r="B273" t="str">
        <f t="array" ref="B273">IFERROR(INDEX('Player Raw Data'!C:C,Match($A273,'Player Raw Data'!$B:$B,0)),"")</f>
        <v/>
      </c>
      <c r="C273" t="str">
        <f t="array" ref="C273">IFERROR(INDEX('Player Raw Data'!D:D,Match($A273,'Player Raw Data'!$B:$B,0)),"")</f>
        <v/>
      </c>
      <c r="D273" t="str">
        <f t="array" ref="D273">IFERROR(IF(A273=A272, INDEX('Player Raw Data'!E:E,Match($A273,'Player Raw Data'!$B:$B,0)+2),INDEX('Player Raw Data'!E:E,Match($A273,'Player Raw Data'!$B:$B,0))),"")</f>
        <v/>
      </c>
      <c r="E273" t="str">
        <f t="array" ref="E273">IFERROR(INDEX('Day Range Raw Data'!D:D,Match($A273,'Day Range Raw Data'!$B:$B,0)),"")</f>
        <v/>
      </c>
      <c r="F273" t="str">
        <f t="array" ref="F273">IFERROR(INDEX('Day Range Raw Data'!F:F,Match($A273,'Day Range Raw Data'!$B:$B,0)),"")</f>
        <v/>
      </c>
      <c r="G273" t="str">
        <f t="array" ref="G273">IFERROR(INDEX('Day Range Raw Data'!G:G,Match($A273,'Day Range Raw Data'!$B:$B,0)),"")</f>
        <v/>
      </c>
      <c r="H273" t="str">
        <f t="array" ref="H273">IFERROR(INDEX('Day Range Raw Data'!H:H,Match($A273,'Day Range Raw Data'!$B:$B,0)),"")</f>
        <v/>
      </c>
      <c r="I273" t="str">
        <f t="array" ref="I273">IFERROR(INDEX('Day Range Raw Data'!M:M,Match($A273,'Day Range Raw Data'!$B:$B,0)),"")</f>
        <v/>
      </c>
      <c r="J273" t="str">
        <f t="array" ref="J273">IFERROR(INDEX('Day Range Raw Data'!N:N,Match($A273,'Day Range Raw Data'!$B:$B,0)),"")</f>
        <v/>
      </c>
      <c r="K273" t="str">
        <f t="array" ref="K273">IFERROR(INDEX('Day Range Raw Data'!R:R,Match($A273,'Day Range Raw Data'!$B:$B,0)),"")</f>
        <v/>
      </c>
      <c r="L273" t="str">
        <f t="array" ref="L273">IFERROR(INDEX('Day Range Raw Data'!S:S,Match($A273,'Day Range Raw Data'!$B:$B,0)),"")</f>
        <v/>
      </c>
      <c r="M273" t="str">
        <f t="array" ref="M273">IFERROR(INDEX('Day Range Raw Data'!T:T,Match($A273,'Day Range Raw Data'!$B:$B,0)),"")</f>
        <v/>
      </c>
      <c r="N273" t="str">
        <f t="array" ref="N273">IFERROR(INDEX('Day Range Raw Data'!U:U,Match($A273,'Day Range Raw Data'!$B:$B,0)),"")</f>
        <v/>
      </c>
      <c r="O273" t="str">
        <f t="array" ref="O273">IFERROR(INDEX('Day Range Raw Data'!V:V,Match($A273,'Day Range Raw Data'!$B:$B,0)),"")</f>
        <v/>
      </c>
      <c r="P273" t="str">
        <f t="array" ref="P273">IFERROR(INDEX('Day Range Raw Data'!X:X,Match($A273,'Day Range Raw Data'!$B:$B,0)),"")</f>
        <v/>
      </c>
      <c r="Q273" t="str">
        <f t="shared" si="1"/>
        <v/>
      </c>
      <c r="R273" s="9" t="str">
        <f t="shared" si="2"/>
        <v/>
      </c>
      <c r="S273" s="14" t="str">
        <f t="shared" si="3"/>
        <v/>
      </c>
      <c r="T273" s="15" t="str">
        <f>IFERROR(__xludf.DUMMYFUNCTION("IF($A273="""","""",IFERROR(PERCENTRANK.INC(FILTER(Q:Q,$F:$F&lt;&gt;""""),Q273)*100,""""))"),"")</f>
        <v/>
      </c>
      <c r="U273" s="15" t="str">
        <f>IFERROR(__xludf.DUMMYFUNCTION("IF($A273="""","""",IFERROR(PERCENTRANK.INC(FILTER(R:R,$F:$F&lt;&gt;""""),R273)*100,""""))"),"")</f>
        <v/>
      </c>
      <c r="V273" s="15" t="str">
        <f>IFERROR(__xludf.DUMMYFUNCTION("IF($A273="""","""",IFERROR(PERCENTRANK.INC(FILTER(S:S,$F:$F&lt;&gt;""""),S273)*100,""""))"),"")</f>
        <v/>
      </c>
      <c r="W273" s="15" t="str">
        <f t="shared" si="4"/>
        <v/>
      </c>
    </row>
    <row r="274">
      <c r="B274" t="str">
        <f t="array" ref="B274">IFERROR(INDEX('Player Raw Data'!C:C,Match($A274,'Player Raw Data'!$B:$B,0)),"")</f>
        <v/>
      </c>
      <c r="C274" t="str">
        <f t="array" ref="C274">IFERROR(INDEX('Player Raw Data'!D:D,Match($A274,'Player Raw Data'!$B:$B,0)),"")</f>
        <v/>
      </c>
      <c r="D274" t="str">
        <f t="array" ref="D274">IFERROR(IF(A274=A273, INDEX('Player Raw Data'!E:E,Match($A274,'Player Raw Data'!$B:$B,0)+2),INDEX('Player Raw Data'!E:E,Match($A274,'Player Raw Data'!$B:$B,0))),"")</f>
        <v/>
      </c>
      <c r="E274" t="str">
        <f t="array" ref="E274">IFERROR(INDEX('Day Range Raw Data'!D:D,Match($A274,'Day Range Raw Data'!$B:$B,0)),"")</f>
        <v/>
      </c>
      <c r="F274" t="str">
        <f t="array" ref="F274">IFERROR(INDEX('Day Range Raw Data'!F:F,Match($A274,'Day Range Raw Data'!$B:$B,0)),"")</f>
        <v/>
      </c>
      <c r="G274" t="str">
        <f t="array" ref="G274">IFERROR(INDEX('Day Range Raw Data'!G:G,Match($A274,'Day Range Raw Data'!$B:$B,0)),"")</f>
        <v/>
      </c>
      <c r="H274" t="str">
        <f t="array" ref="H274">IFERROR(INDEX('Day Range Raw Data'!H:H,Match($A274,'Day Range Raw Data'!$B:$B,0)),"")</f>
        <v/>
      </c>
      <c r="I274" t="str">
        <f t="array" ref="I274">IFERROR(INDEX('Day Range Raw Data'!M:M,Match($A274,'Day Range Raw Data'!$B:$B,0)),"")</f>
        <v/>
      </c>
      <c r="J274" t="str">
        <f t="array" ref="J274">IFERROR(INDEX('Day Range Raw Data'!N:N,Match($A274,'Day Range Raw Data'!$B:$B,0)),"")</f>
        <v/>
      </c>
      <c r="K274" t="str">
        <f t="array" ref="K274">IFERROR(INDEX('Day Range Raw Data'!R:R,Match($A274,'Day Range Raw Data'!$B:$B,0)),"")</f>
        <v/>
      </c>
      <c r="L274" t="str">
        <f t="array" ref="L274">IFERROR(INDEX('Day Range Raw Data'!S:S,Match($A274,'Day Range Raw Data'!$B:$B,0)),"")</f>
        <v/>
      </c>
      <c r="M274" t="str">
        <f t="array" ref="M274">IFERROR(INDEX('Day Range Raw Data'!T:T,Match($A274,'Day Range Raw Data'!$B:$B,0)),"")</f>
        <v/>
      </c>
      <c r="N274" t="str">
        <f t="array" ref="N274">IFERROR(INDEX('Day Range Raw Data'!U:U,Match($A274,'Day Range Raw Data'!$B:$B,0)),"")</f>
        <v/>
      </c>
      <c r="O274" t="str">
        <f t="array" ref="O274">IFERROR(INDEX('Day Range Raw Data'!V:V,Match($A274,'Day Range Raw Data'!$B:$B,0)),"")</f>
        <v/>
      </c>
      <c r="P274" t="str">
        <f t="array" ref="P274">IFERROR(INDEX('Day Range Raw Data'!X:X,Match($A274,'Day Range Raw Data'!$B:$B,0)),"")</f>
        <v/>
      </c>
      <c r="Q274" t="str">
        <f t="shared" si="1"/>
        <v/>
      </c>
      <c r="R274" s="9" t="str">
        <f t="shared" si="2"/>
        <v/>
      </c>
      <c r="S274" s="14" t="str">
        <f t="shared" si="3"/>
        <v/>
      </c>
      <c r="T274" s="15" t="str">
        <f>IFERROR(__xludf.DUMMYFUNCTION("IF($A274="""","""",IFERROR(PERCENTRANK.INC(FILTER(Q:Q,$F:$F&lt;&gt;""""),Q274)*100,""""))"),"")</f>
        <v/>
      </c>
      <c r="U274" s="15" t="str">
        <f>IFERROR(__xludf.DUMMYFUNCTION("IF($A274="""","""",IFERROR(PERCENTRANK.INC(FILTER(R:R,$F:$F&lt;&gt;""""),R274)*100,""""))"),"")</f>
        <v/>
      </c>
      <c r="V274" s="15" t="str">
        <f>IFERROR(__xludf.DUMMYFUNCTION("IF($A274="""","""",IFERROR(PERCENTRANK.INC(FILTER(S:S,$F:$F&lt;&gt;""""),S274)*100,""""))"),"")</f>
        <v/>
      </c>
      <c r="W274" s="15" t="str">
        <f t="shared" si="4"/>
        <v/>
      </c>
    </row>
    <row r="275">
      <c r="B275" t="str">
        <f t="array" ref="B275">IFERROR(INDEX('Player Raw Data'!C:C,Match($A275,'Player Raw Data'!$B:$B,0)),"")</f>
        <v/>
      </c>
      <c r="C275" t="str">
        <f t="array" ref="C275">IFERROR(INDEX('Player Raw Data'!D:D,Match($A275,'Player Raw Data'!$B:$B,0)),"")</f>
        <v/>
      </c>
      <c r="D275" t="str">
        <f t="array" ref="D275">IFERROR(IF(A275=A274, INDEX('Player Raw Data'!E:E,Match($A275,'Player Raw Data'!$B:$B,0)+2),INDEX('Player Raw Data'!E:E,Match($A275,'Player Raw Data'!$B:$B,0))),"")</f>
        <v/>
      </c>
      <c r="E275" t="str">
        <f t="array" ref="E275">IFERROR(INDEX('Day Range Raw Data'!D:D,Match($A275,'Day Range Raw Data'!$B:$B,0)),"")</f>
        <v/>
      </c>
      <c r="F275" t="str">
        <f t="array" ref="F275">IFERROR(INDEX('Day Range Raw Data'!F:F,Match($A275,'Day Range Raw Data'!$B:$B,0)),"")</f>
        <v/>
      </c>
      <c r="G275" t="str">
        <f t="array" ref="G275">IFERROR(INDEX('Day Range Raw Data'!G:G,Match($A275,'Day Range Raw Data'!$B:$B,0)),"")</f>
        <v/>
      </c>
      <c r="H275" t="str">
        <f t="array" ref="H275">IFERROR(INDEX('Day Range Raw Data'!H:H,Match($A275,'Day Range Raw Data'!$B:$B,0)),"")</f>
        <v/>
      </c>
      <c r="I275" t="str">
        <f t="array" ref="I275">IFERROR(INDEX('Day Range Raw Data'!M:M,Match($A275,'Day Range Raw Data'!$B:$B,0)),"")</f>
        <v/>
      </c>
      <c r="J275" t="str">
        <f t="array" ref="J275">IFERROR(INDEX('Day Range Raw Data'!N:N,Match($A275,'Day Range Raw Data'!$B:$B,0)),"")</f>
        <v/>
      </c>
      <c r="K275" t="str">
        <f t="array" ref="K275">IFERROR(INDEX('Day Range Raw Data'!R:R,Match($A275,'Day Range Raw Data'!$B:$B,0)),"")</f>
        <v/>
      </c>
      <c r="L275" t="str">
        <f t="array" ref="L275">IFERROR(INDEX('Day Range Raw Data'!S:S,Match($A275,'Day Range Raw Data'!$B:$B,0)),"")</f>
        <v/>
      </c>
      <c r="M275" t="str">
        <f t="array" ref="M275">IFERROR(INDEX('Day Range Raw Data'!T:T,Match($A275,'Day Range Raw Data'!$B:$B,0)),"")</f>
        <v/>
      </c>
      <c r="N275" t="str">
        <f t="array" ref="N275">IFERROR(INDEX('Day Range Raw Data'!U:U,Match($A275,'Day Range Raw Data'!$B:$B,0)),"")</f>
        <v/>
      </c>
      <c r="O275" t="str">
        <f t="array" ref="O275">IFERROR(INDEX('Day Range Raw Data'!V:V,Match($A275,'Day Range Raw Data'!$B:$B,0)),"")</f>
        <v/>
      </c>
      <c r="P275" t="str">
        <f t="array" ref="P275">IFERROR(INDEX('Day Range Raw Data'!X:X,Match($A275,'Day Range Raw Data'!$B:$B,0)),"")</f>
        <v/>
      </c>
      <c r="Q275" t="str">
        <f t="shared" si="1"/>
        <v/>
      </c>
      <c r="R275" s="9" t="str">
        <f t="shared" si="2"/>
        <v/>
      </c>
      <c r="S275" s="14" t="str">
        <f t="shared" si="3"/>
        <v/>
      </c>
      <c r="T275" s="15" t="str">
        <f>IFERROR(__xludf.DUMMYFUNCTION("IF($A275="""","""",IFERROR(PERCENTRANK.INC(FILTER(Q:Q,$F:$F&lt;&gt;""""),Q275)*100,""""))"),"")</f>
        <v/>
      </c>
      <c r="U275" s="15" t="str">
        <f>IFERROR(__xludf.DUMMYFUNCTION("IF($A275="""","""",IFERROR(PERCENTRANK.INC(FILTER(R:R,$F:$F&lt;&gt;""""),R275)*100,""""))"),"")</f>
        <v/>
      </c>
      <c r="V275" s="15" t="str">
        <f>IFERROR(__xludf.DUMMYFUNCTION("IF($A275="""","""",IFERROR(PERCENTRANK.INC(FILTER(S:S,$F:$F&lt;&gt;""""),S275)*100,""""))"),"")</f>
        <v/>
      </c>
      <c r="W275" s="15" t="str">
        <f t="shared" si="4"/>
        <v/>
      </c>
    </row>
    <row r="276">
      <c r="B276" t="str">
        <f t="array" ref="B276">IFERROR(INDEX('Player Raw Data'!C:C,Match($A276,'Player Raw Data'!$B:$B,0)),"")</f>
        <v/>
      </c>
      <c r="C276" t="str">
        <f t="array" ref="C276">IFERROR(INDEX('Player Raw Data'!D:D,Match($A276,'Player Raw Data'!$B:$B,0)),"")</f>
        <v/>
      </c>
      <c r="D276" t="str">
        <f t="array" ref="D276">IFERROR(IF(A276=A275, INDEX('Player Raw Data'!E:E,Match($A276,'Player Raw Data'!$B:$B,0)+2),INDEX('Player Raw Data'!E:E,Match($A276,'Player Raw Data'!$B:$B,0))),"")</f>
        <v/>
      </c>
      <c r="E276" t="str">
        <f t="array" ref="E276">IFERROR(INDEX('Day Range Raw Data'!D:D,Match($A276,'Day Range Raw Data'!$B:$B,0)),"")</f>
        <v/>
      </c>
      <c r="F276" t="str">
        <f t="array" ref="F276">IFERROR(INDEX('Day Range Raw Data'!F:F,Match($A276,'Day Range Raw Data'!$B:$B,0)),"")</f>
        <v/>
      </c>
      <c r="G276" t="str">
        <f t="array" ref="G276">IFERROR(INDEX('Day Range Raw Data'!G:G,Match($A276,'Day Range Raw Data'!$B:$B,0)),"")</f>
        <v/>
      </c>
      <c r="H276" t="str">
        <f t="array" ref="H276">IFERROR(INDEX('Day Range Raw Data'!H:H,Match($A276,'Day Range Raw Data'!$B:$B,0)),"")</f>
        <v/>
      </c>
      <c r="I276" t="str">
        <f t="array" ref="I276">IFERROR(INDEX('Day Range Raw Data'!M:M,Match($A276,'Day Range Raw Data'!$B:$B,0)),"")</f>
        <v/>
      </c>
      <c r="J276" t="str">
        <f t="array" ref="J276">IFERROR(INDEX('Day Range Raw Data'!N:N,Match($A276,'Day Range Raw Data'!$B:$B,0)),"")</f>
        <v/>
      </c>
      <c r="K276" t="str">
        <f t="array" ref="K276">IFERROR(INDEX('Day Range Raw Data'!R:R,Match($A276,'Day Range Raw Data'!$B:$B,0)),"")</f>
        <v/>
      </c>
      <c r="L276" t="str">
        <f t="array" ref="L276">IFERROR(INDEX('Day Range Raw Data'!S:S,Match($A276,'Day Range Raw Data'!$B:$B,0)),"")</f>
        <v/>
      </c>
      <c r="M276" t="str">
        <f t="array" ref="M276">IFERROR(INDEX('Day Range Raw Data'!T:T,Match($A276,'Day Range Raw Data'!$B:$B,0)),"")</f>
        <v/>
      </c>
      <c r="N276" t="str">
        <f t="array" ref="N276">IFERROR(INDEX('Day Range Raw Data'!U:U,Match($A276,'Day Range Raw Data'!$B:$B,0)),"")</f>
        <v/>
      </c>
      <c r="O276" t="str">
        <f t="array" ref="O276">IFERROR(INDEX('Day Range Raw Data'!V:V,Match($A276,'Day Range Raw Data'!$B:$B,0)),"")</f>
        <v/>
      </c>
      <c r="P276" t="str">
        <f t="array" ref="P276">IFERROR(INDEX('Day Range Raw Data'!X:X,Match($A276,'Day Range Raw Data'!$B:$B,0)),"")</f>
        <v/>
      </c>
      <c r="Q276" t="str">
        <f t="shared" si="1"/>
        <v/>
      </c>
      <c r="R276" s="9" t="str">
        <f t="shared" si="2"/>
        <v/>
      </c>
      <c r="S276" s="14" t="str">
        <f t="shared" si="3"/>
        <v/>
      </c>
      <c r="T276" s="15" t="str">
        <f>IFERROR(__xludf.DUMMYFUNCTION("IF($A276="""","""",IFERROR(PERCENTRANK.INC(FILTER(Q:Q,$F:$F&lt;&gt;""""),Q276)*100,""""))"),"")</f>
        <v/>
      </c>
      <c r="U276" s="15" t="str">
        <f>IFERROR(__xludf.DUMMYFUNCTION("IF($A276="""","""",IFERROR(PERCENTRANK.INC(FILTER(R:R,$F:$F&lt;&gt;""""),R276)*100,""""))"),"")</f>
        <v/>
      </c>
      <c r="V276" s="15" t="str">
        <f>IFERROR(__xludf.DUMMYFUNCTION("IF($A276="""","""",IFERROR(PERCENTRANK.INC(FILTER(S:S,$F:$F&lt;&gt;""""),S276)*100,""""))"),"")</f>
        <v/>
      </c>
      <c r="W276" s="15" t="str">
        <f t="shared" si="4"/>
        <v/>
      </c>
    </row>
    <row r="277">
      <c r="B277" t="str">
        <f t="array" ref="B277">IFERROR(INDEX('Player Raw Data'!C:C,Match($A277,'Player Raw Data'!$B:$B,0)),"")</f>
        <v/>
      </c>
      <c r="C277" t="str">
        <f t="array" ref="C277">IFERROR(INDEX('Player Raw Data'!D:D,Match($A277,'Player Raw Data'!$B:$B,0)),"")</f>
        <v/>
      </c>
      <c r="D277" t="str">
        <f t="array" ref="D277">IFERROR(IF(A277=A276, INDEX('Player Raw Data'!E:E,Match($A277,'Player Raw Data'!$B:$B,0)+2),INDEX('Player Raw Data'!E:E,Match($A277,'Player Raw Data'!$B:$B,0))),"")</f>
        <v/>
      </c>
      <c r="E277" t="str">
        <f t="array" ref="E277">IFERROR(INDEX('Day Range Raw Data'!D:D,Match($A277,'Day Range Raw Data'!$B:$B,0)),"")</f>
        <v/>
      </c>
      <c r="F277" t="str">
        <f t="array" ref="F277">IFERROR(INDEX('Day Range Raw Data'!F:F,Match($A277,'Day Range Raw Data'!$B:$B,0)),"")</f>
        <v/>
      </c>
      <c r="G277" t="str">
        <f t="array" ref="G277">IFERROR(INDEX('Day Range Raw Data'!G:G,Match($A277,'Day Range Raw Data'!$B:$B,0)),"")</f>
        <v/>
      </c>
      <c r="H277" t="str">
        <f t="array" ref="H277">IFERROR(INDEX('Day Range Raw Data'!H:H,Match($A277,'Day Range Raw Data'!$B:$B,0)),"")</f>
        <v/>
      </c>
      <c r="I277" t="str">
        <f t="array" ref="I277">IFERROR(INDEX('Day Range Raw Data'!M:M,Match($A277,'Day Range Raw Data'!$B:$B,0)),"")</f>
        <v/>
      </c>
      <c r="J277" t="str">
        <f t="array" ref="J277">IFERROR(INDEX('Day Range Raw Data'!N:N,Match($A277,'Day Range Raw Data'!$B:$B,0)),"")</f>
        <v/>
      </c>
      <c r="K277" t="str">
        <f t="array" ref="K277">IFERROR(INDEX('Day Range Raw Data'!R:R,Match($A277,'Day Range Raw Data'!$B:$B,0)),"")</f>
        <v/>
      </c>
      <c r="L277" t="str">
        <f t="array" ref="L277">IFERROR(INDEX('Day Range Raw Data'!S:S,Match($A277,'Day Range Raw Data'!$B:$B,0)),"")</f>
        <v/>
      </c>
      <c r="M277" t="str">
        <f t="array" ref="M277">IFERROR(INDEX('Day Range Raw Data'!T:T,Match($A277,'Day Range Raw Data'!$B:$B,0)),"")</f>
        <v/>
      </c>
      <c r="N277" t="str">
        <f t="array" ref="N277">IFERROR(INDEX('Day Range Raw Data'!U:U,Match($A277,'Day Range Raw Data'!$B:$B,0)),"")</f>
        <v/>
      </c>
      <c r="O277" t="str">
        <f t="array" ref="O277">IFERROR(INDEX('Day Range Raw Data'!V:V,Match($A277,'Day Range Raw Data'!$B:$B,0)),"")</f>
        <v/>
      </c>
      <c r="P277" t="str">
        <f t="array" ref="P277">IFERROR(INDEX('Day Range Raw Data'!X:X,Match($A277,'Day Range Raw Data'!$B:$B,0)),"")</f>
        <v/>
      </c>
      <c r="Q277" t="str">
        <f t="shared" si="1"/>
        <v/>
      </c>
      <c r="R277" s="9" t="str">
        <f t="shared" si="2"/>
        <v/>
      </c>
      <c r="S277" s="14" t="str">
        <f t="shared" si="3"/>
        <v/>
      </c>
      <c r="T277" s="15" t="str">
        <f>IFERROR(__xludf.DUMMYFUNCTION("IF($A277="""","""",IFERROR(PERCENTRANK.INC(FILTER(Q:Q,$F:$F&lt;&gt;""""),Q277)*100,""""))"),"")</f>
        <v/>
      </c>
      <c r="U277" s="15" t="str">
        <f>IFERROR(__xludf.DUMMYFUNCTION("IF($A277="""","""",IFERROR(PERCENTRANK.INC(FILTER(R:R,$F:$F&lt;&gt;""""),R277)*100,""""))"),"")</f>
        <v/>
      </c>
      <c r="V277" s="15" t="str">
        <f>IFERROR(__xludf.DUMMYFUNCTION("IF($A277="""","""",IFERROR(PERCENTRANK.INC(FILTER(S:S,$F:$F&lt;&gt;""""),S277)*100,""""))"),"")</f>
        <v/>
      </c>
      <c r="W277" s="15" t="str">
        <f t="shared" si="4"/>
        <v/>
      </c>
    </row>
    <row r="278">
      <c r="B278" t="str">
        <f t="array" ref="B278">IFERROR(INDEX('Player Raw Data'!C:C,Match($A278,'Player Raw Data'!$B:$B,0)),"")</f>
        <v/>
      </c>
      <c r="C278" t="str">
        <f t="array" ref="C278">IFERROR(INDEX('Player Raw Data'!D:D,Match($A278,'Player Raw Data'!$B:$B,0)),"")</f>
        <v/>
      </c>
      <c r="D278" t="str">
        <f t="array" ref="D278">IFERROR(IF(A278=A277, INDEX('Player Raw Data'!E:E,Match($A278,'Player Raw Data'!$B:$B,0)+2),INDEX('Player Raw Data'!E:E,Match($A278,'Player Raw Data'!$B:$B,0))),"")</f>
        <v/>
      </c>
      <c r="E278" t="str">
        <f t="array" ref="E278">IFERROR(INDEX('Day Range Raw Data'!D:D,Match($A278,'Day Range Raw Data'!$B:$B,0)),"")</f>
        <v/>
      </c>
      <c r="F278" t="str">
        <f t="array" ref="F278">IFERROR(INDEX('Day Range Raw Data'!F:F,Match($A278,'Day Range Raw Data'!$B:$B,0)),"")</f>
        <v/>
      </c>
      <c r="G278" t="str">
        <f t="array" ref="G278">IFERROR(INDEX('Day Range Raw Data'!G:G,Match($A278,'Day Range Raw Data'!$B:$B,0)),"")</f>
        <v/>
      </c>
      <c r="H278" t="str">
        <f t="array" ref="H278">IFERROR(INDEX('Day Range Raw Data'!H:H,Match($A278,'Day Range Raw Data'!$B:$B,0)),"")</f>
        <v/>
      </c>
      <c r="I278" t="str">
        <f t="array" ref="I278">IFERROR(INDEX('Day Range Raw Data'!M:M,Match($A278,'Day Range Raw Data'!$B:$B,0)),"")</f>
        <v/>
      </c>
      <c r="J278" t="str">
        <f t="array" ref="J278">IFERROR(INDEX('Day Range Raw Data'!N:N,Match($A278,'Day Range Raw Data'!$B:$B,0)),"")</f>
        <v/>
      </c>
      <c r="K278" t="str">
        <f t="array" ref="K278">IFERROR(INDEX('Day Range Raw Data'!R:R,Match($A278,'Day Range Raw Data'!$B:$B,0)),"")</f>
        <v/>
      </c>
      <c r="L278" t="str">
        <f t="array" ref="L278">IFERROR(INDEX('Day Range Raw Data'!S:S,Match($A278,'Day Range Raw Data'!$B:$B,0)),"")</f>
        <v/>
      </c>
      <c r="M278" t="str">
        <f t="array" ref="M278">IFERROR(INDEX('Day Range Raw Data'!T:T,Match($A278,'Day Range Raw Data'!$B:$B,0)),"")</f>
        <v/>
      </c>
      <c r="N278" t="str">
        <f t="array" ref="N278">IFERROR(INDEX('Day Range Raw Data'!U:U,Match($A278,'Day Range Raw Data'!$B:$B,0)),"")</f>
        <v/>
      </c>
      <c r="O278" t="str">
        <f t="array" ref="O278">IFERROR(INDEX('Day Range Raw Data'!V:V,Match($A278,'Day Range Raw Data'!$B:$B,0)),"")</f>
        <v/>
      </c>
      <c r="P278" t="str">
        <f t="array" ref="P278">IFERROR(INDEX('Day Range Raw Data'!X:X,Match($A278,'Day Range Raw Data'!$B:$B,0)),"")</f>
        <v/>
      </c>
      <c r="Q278" t="str">
        <f t="shared" si="1"/>
        <v/>
      </c>
      <c r="R278" s="9" t="str">
        <f t="shared" si="2"/>
        <v/>
      </c>
      <c r="S278" s="14" t="str">
        <f t="shared" si="3"/>
        <v/>
      </c>
      <c r="T278" s="15" t="str">
        <f>IFERROR(__xludf.DUMMYFUNCTION("IF($A278="""","""",IFERROR(PERCENTRANK.INC(FILTER(Q:Q,$F:$F&lt;&gt;""""),Q278)*100,""""))"),"")</f>
        <v/>
      </c>
      <c r="U278" s="15" t="str">
        <f>IFERROR(__xludf.DUMMYFUNCTION("IF($A278="""","""",IFERROR(PERCENTRANK.INC(FILTER(R:R,$F:$F&lt;&gt;""""),R278)*100,""""))"),"")</f>
        <v/>
      </c>
      <c r="V278" s="15" t="str">
        <f>IFERROR(__xludf.DUMMYFUNCTION("IF($A278="""","""",IFERROR(PERCENTRANK.INC(FILTER(S:S,$F:$F&lt;&gt;""""),S278)*100,""""))"),"")</f>
        <v/>
      </c>
      <c r="W278" s="15" t="str">
        <f t="shared" si="4"/>
        <v/>
      </c>
    </row>
    <row r="279">
      <c r="B279" t="str">
        <f t="array" ref="B279">IFERROR(INDEX('Player Raw Data'!C:C,Match($A279,'Player Raw Data'!$B:$B,0)),"")</f>
        <v/>
      </c>
      <c r="C279" t="str">
        <f t="array" ref="C279">IFERROR(INDEX('Player Raw Data'!D:D,Match($A279,'Player Raw Data'!$B:$B,0)),"")</f>
        <v/>
      </c>
      <c r="D279" t="str">
        <f t="array" ref="D279">IFERROR(IF(A279=A278, INDEX('Player Raw Data'!E:E,Match($A279,'Player Raw Data'!$B:$B,0)+2),INDEX('Player Raw Data'!E:E,Match($A279,'Player Raw Data'!$B:$B,0))),"")</f>
        <v/>
      </c>
      <c r="E279" t="str">
        <f t="array" ref="E279">IFERROR(INDEX('Day Range Raw Data'!D:D,Match($A279,'Day Range Raw Data'!$B:$B,0)),"")</f>
        <v/>
      </c>
      <c r="F279" t="str">
        <f t="array" ref="F279">IFERROR(INDEX('Day Range Raw Data'!F:F,Match($A279,'Day Range Raw Data'!$B:$B,0)),"")</f>
        <v/>
      </c>
      <c r="G279" t="str">
        <f t="array" ref="G279">IFERROR(INDEX('Day Range Raw Data'!G:G,Match($A279,'Day Range Raw Data'!$B:$B,0)),"")</f>
        <v/>
      </c>
      <c r="H279" t="str">
        <f t="array" ref="H279">IFERROR(INDEX('Day Range Raw Data'!H:H,Match($A279,'Day Range Raw Data'!$B:$B,0)),"")</f>
        <v/>
      </c>
      <c r="I279" t="str">
        <f t="array" ref="I279">IFERROR(INDEX('Day Range Raw Data'!M:M,Match($A279,'Day Range Raw Data'!$B:$B,0)),"")</f>
        <v/>
      </c>
      <c r="J279" t="str">
        <f t="array" ref="J279">IFERROR(INDEX('Day Range Raw Data'!N:N,Match($A279,'Day Range Raw Data'!$B:$B,0)),"")</f>
        <v/>
      </c>
      <c r="K279" t="str">
        <f t="array" ref="K279">IFERROR(INDEX('Day Range Raw Data'!R:R,Match($A279,'Day Range Raw Data'!$B:$B,0)),"")</f>
        <v/>
      </c>
      <c r="L279" t="str">
        <f t="array" ref="L279">IFERROR(INDEX('Day Range Raw Data'!S:S,Match($A279,'Day Range Raw Data'!$B:$B,0)),"")</f>
        <v/>
      </c>
      <c r="M279" t="str">
        <f t="array" ref="M279">IFERROR(INDEX('Day Range Raw Data'!T:T,Match($A279,'Day Range Raw Data'!$B:$B,0)),"")</f>
        <v/>
      </c>
      <c r="N279" t="str">
        <f t="array" ref="N279">IFERROR(INDEX('Day Range Raw Data'!U:U,Match($A279,'Day Range Raw Data'!$B:$B,0)),"")</f>
        <v/>
      </c>
      <c r="O279" t="str">
        <f t="array" ref="O279">IFERROR(INDEX('Day Range Raw Data'!V:V,Match($A279,'Day Range Raw Data'!$B:$B,0)),"")</f>
        <v/>
      </c>
      <c r="P279" t="str">
        <f t="array" ref="P279">IFERROR(INDEX('Day Range Raw Data'!X:X,Match($A279,'Day Range Raw Data'!$B:$B,0)),"")</f>
        <v/>
      </c>
      <c r="Q279" t="str">
        <f t="shared" si="1"/>
        <v/>
      </c>
      <c r="R279" s="9" t="str">
        <f t="shared" si="2"/>
        <v/>
      </c>
      <c r="S279" s="14" t="str">
        <f t="shared" si="3"/>
        <v/>
      </c>
      <c r="T279" s="15" t="str">
        <f>IFERROR(__xludf.DUMMYFUNCTION("IF($A279="""","""",IFERROR(PERCENTRANK.INC(FILTER(Q:Q,$F:$F&lt;&gt;""""),Q279)*100,""""))"),"")</f>
        <v/>
      </c>
      <c r="U279" s="15" t="str">
        <f>IFERROR(__xludf.DUMMYFUNCTION("IF($A279="""","""",IFERROR(PERCENTRANK.INC(FILTER(R:R,$F:$F&lt;&gt;""""),R279)*100,""""))"),"")</f>
        <v/>
      </c>
      <c r="V279" s="15" t="str">
        <f>IFERROR(__xludf.DUMMYFUNCTION("IF($A279="""","""",IFERROR(PERCENTRANK.INC(FILTER(S:S,$F:$F&lt;&gt;""""),S279)*100,""""))"),"")</f>
        <v/>
      </c>
      <c r="W279" s="15" t="str">
        <f t="shared" si="4"/>
        <v/>
      </c>
    </row>
    <row r="280">
      <c r="B280" t="str">
        <f t="array" ref="B280">IFERROR(INDEX('Player Raw Data'!C:C,Match($A280,'Player Raw Data'!$B:$B,0)),"")</f>
        <v/>
      </c>
      <c r="C280" t="str">
        <f t="array" ref="C280">IFERROR(INDEX('Player Raw Data'!D:D,Match($A280,'Player Raw Data'!$B:$B,0)),"")</f>
        <v/>
      </c>
      <c r="D280" t="str">
        <f t="array" ref="D280">IFERROR(IF(A280=A279, INDEX('Player Raw Data'!E:E,Match($A280,'Player Raw Data'!$B:$B,0)+2),INDEX('Player Raw Data'!E:E,Match($A280,'Player Raw Data'!$B:$B,0))),"")</f>
        <v/>
      </c>
      <c r="E280" t="str">
        <f t="array" ref="E280">IFERROR(INDEX('Day Range Raw Data'!D:D,Match($A280,'Day Range Raw Data'!$B:$B,0)),"")</f>
        <v/>
      </c>
      <c r="F280" t="str">
        <f t="array" ref="F280">IFERROR(INDEX('Day Range Raw Data'!F:F,Match($A280,'Day Range Raw Data'!$B:$B,0)),"")</f>
        <v/>
      </c>
      <c r="G280" t="str">
        <f t="array" ref="G280">IFERROR(INDEX('Day Range Raw Data'!G:G,Match($A280,'Day Range Raw Data'!$B:$B,0)),"")</f>
        <v/>
      </c>
      <c r="H280" t="str">
        <f t="array" ref="H280">IFERROR(INDEX('Day Range Raw Data'!H:H,Match($A280,'Day Range Raw Data'!$B:$B,0)),"")</f>
        <v/>
      </c>
      <c r="I280" t="str">
        <f t="array" ref="I280">IFERROR(INDEX('Day Range Raw Data'!M:M,Match($A280,'Day Range Raw Data'!$B:$B,0)),"")</f>
        <v/>
      </c>
      <c r="J280" t="str">
        <f t="array" ref="J280">IFERROR(INDEX('Day Range Raw Data'!N:N,Match($A280,'Day Range Raw Data'!$B:$B,0)),"")</f>
        <v/>
      </c>
      <c r="K280" t="str">
        <f t="array" ref="K280">IFERROR(INDEX('Day Range Raw Data'!R:R,Match($A280,'Day Range Raw Data'!$B:$B,0)),"")</f>
        <v/>
      </c>
      <c r="L280" t="str">
        <f t="array" ref="L280">IFERROR(INDEX('Day Range Raw Data'!S:S,Match($A280,'Day Range Raw Data'!$B:$B,0)),"")</f>
        <v/>
      </c>
      <c r="M280" t="str">
        <f t="array" ref="M280">IFERROR(INDEX('Day Range Raw Data'!T:T,Match($A280,'Day Range Raw Data'!$B:$B,0)),"")</f>
        <v/>
      </c>
      <c r="N280" t="str">
        <f t="array" ref="N280">IFERROR(INDEX('Day Range Raw Data'!U:U,Match($A280,'Day Range Raw Data'!$B:$B,0)),"")</f>
        <v/>
      </c>
      <c r="O280" t="str">
        <f t="array" ref="O280">IFERROR(INDEX('Day Range Raw Data'!V:V,Match($A280,'Day Range Raw Data'!$B:$B,0)),"")</f>
        <v/>
      </c>
      <c r="P280" t="str">
        <f t="array" ref="P280">IFERROR(INDEX('Day Range Raw Data'!X:X,Match($A280,'Day Range Raw Data'!$B:$B,0)),"")</f>
        <v/>
      </c>
      <c r="Q280" t="str">
        <f t="shared" si="1"/>
        <v/>
      </c>
      <c r="R280" s="9" t="str">
        <f t="shared" si="2"/>
        <v/>
      </c>
      <c r="S280" s="14" t="str">
        <f t="shared" si="3"/>
        <v/>
      </c>
      <c r="T280" s="15" t="str">
        <f>IFERROR(__xludf.DUMMYFUNCTION("IF($A280="""","""",IFERROR(PERCENTRANK.INC(FILTER(Q:Q,$F:$F&lt;&gt;""""),Q280)*100,""""))"),"")</f>
        <v/>
      </c>
      <c r="U280" s="15" t="str">
        <f>IFERROR(__xludf.DUMMYFUNCTION("IF($A280="""","""",IFERROR(PERCENTRANK.INC(FILTER(R:R,$F:$F&lt;&gt;""""),R280)*100,""""))"),"")</f>
        <v/>
      </c>
      <c r="V280" s="15" t="str">
        <f>IFERROR(__xludf.DUMMYFUNCTION("IF($A280="""","""",IFERROR(PERCENTRANK.INC(FILTER(S:S,$F:$F&lt;&gt;""""),S280)*100,""""))"),"")</f>
        <v/>
      </c>
      <c r="W280" s="15" t="str">
        <f t="shared" si="4"/>
        <v/>
      </c>
    </row>
    <row r="281">
      <c r="B281" t="str">
        <f t="array" ref="B281">IFERROR(INDEX('Player Raw Data'!C:C,Match($A281,'Player Raw Data'!$B:$B,0)),"")</f>
        <v/>
      </c>
      <c r="C281" t="str">
        <f t="array" ref="C281">IFERROR(INDEX('Player Raw Data'!D:D,Match($A281,'Player Raw Data'!$B:$B,0)),"")</f>
        <v/>
      </c>
      <c r="D281" t="str">
        <f t="array" ref="D281">IFERROR(IF(A281=A280, INDEX('Player Raw Data'!E:E,Match($A281,'Player Raw Data'!$B:$B,0)+2),INDEX('Player Raw Data'!E:E,Match($A281,'Player Raw Data'!$B:$B,0))),"")</f>
        <v/>
      </c>
      <c r="E281" t="str">
        <f t="array" ref="E281">IFERROR(INDEX('Day Range Raw Data'!D:D,Match($A281,'Day Range Raw Data'!$B:$B,0)),"")</f>
        <v/>
      </c>
      <c r="F281" t="str">
        <f t="array" ref="F281">IFERROR(INDEX('Day Range Raw Data'!F:F,Match($A281,'Day Range Raw Data'!$B:$B,0)),"")</f>
        <v/>
      </c>
      <c r="G281" t="str">
        <f t="array" ref="G281">IFERROR(INDEX('Day Range Raw Data'!G:G,Match($A281,'Day Range Raw Data'!$B:$B,0)),"")</f>
        <v/>
      </c>
      <c r="H281" t="str">
        <f t="array" ref="H281">IFERROR(INDEX('Day Range Raw Data'!H:H,Match($A281,'Day Range Raw Data'!$B:$B,0)),"")</f>
        <v/>
      </c>
      <c r="I281" t="str">
        <f t="array" ref="I281">IFERROR(INDEX('Day Range Raw Data'!M:M,Match($A281,'Day Range Raw Data'!$B:$B,0)),"")</f>
        <v/>
      </c>
      <c r="J281" t="str">
        <f t="array" ref="J281">IFERROR(INDEX('Day Range Raw Data'!N:N,Match($A281,'Day Range Raw Data'!$B:$B,0)),"")</f>
        <v/>
      </c>
      <c r="K281" t="str">
        <f t="array" ref="K281">IFERROR(INDEX('Day Range Raw Data'!R:R,Match($A281,'Day Range Raw Data'!$B:$B,0)),"")</f>
        <v/>
      </c>
      <c r="L281" t="str">
        <f t="array" ref="L281">IFERROR(INDEX('Day Range Raw Data'!S:S,Match($A281,'Day Range Raw Data'!$B:$B,0)),"")</f>
        <v/>
      </c>
      <c r="M281" t="str">
        <f t="array" ref="M281">IFERROR(INDEX('Day Range Raw Data'!T:T,Match($A281,'Day Range Raw Data'!$B:$B,0)),"")</f>
        <v/>
      </c>
      <c r="N281" t="str">
        <f t="array" ref="N281">IFERROR(INDEX('Day Range Raw Data'!U:U,Match($A281,'Day Range Raw Data'!$B:$B,0)),"")</f>
        <v/>
      </c>
      <c r="O281" t="str">
        <f t="array" ref="O281">IFERROR(INDEX('Day Range Raw Data'!V:V,Match($A281,'Day Range Raw Data'!$B:$B,0)),"")</f>
        <v/>
      </c>
      <c r="P281" t="str">
        <f t="array" ref="P281">IFERROR(INDEX('Day Range Raw Data'!X:X,Match($A281,'Day Range Raw Data'!$B:$B,0)),"")</f>
        <v/>
      </c>
      <c r="Q281" t="str">
        <f t="shared" si="1"/>
        <v/>
      </c>
      <c r="R281" s="9" t="str">
        <f t="shared" si="2"/>
        <v/>
      </c>
      <c r="S281" s="14" t="str">
        <f t="shared" si="3"/>
        <v/>
      </c>
      <c r="T281" s="15" t="str">
        <f>IFERROR(__xludf.DUMMYFUNCTION("IF($A281="""","""",IFERROR(PERCENTRANK.INC(FILTER(Q:Q,$F:$F&lt;&gt;""""),Q281)*100,""""))"),"")</f>
        <v/>
      </c>
      <c r="U281" s="15" t="str">
        <f>IFERROR(__xludf.DUMMYFUNCTION("IF($A281="""","""",IFERROR(PERCENTRANK.INC(FILTER(R:R,$F:$F&lt;&gt;""""),R281)*100,""""))"),"")</f>
        <v/>
      </c>
      <c r="V281" s="15" t="str">
        <f>IFERROR(__xludf.DUMMYFUNCTION("IF($A281="""","""",IFERROR(PERCENTRANK.INC(FILTER(S:S,$F:$F&lt;&gt;""""),S281)*100,""""))"),"")</f>
        <v/>
      </c>
      <c r="W281" s="15" t="str">
        <f t="shared" si="4"/>
        <v/>
      </c>
    </row>
    <row r="282">
      <c r="B282" t="str">
        <f t="array" ref="B282">IFERROR(INDEX('Player Raw Data'!C:C,Match($A282,'Player Raw Data'!$B:$B,0)),"")</f>
        <v/>
      </c>
      <c r="C282" t="str">
        <f t="array" ref="C282">IFERROR(INDEX('Player Raw Data'!D:D,Match($A282,'Player Raw Data'!$B:$B,0)),"")</f>
        <v/>
      </c>
      <c r="D282" t="str">
        <f t="array" ref="D282">IFERROR(IF(A282=A281, INDEX('Player Raw Data'!E:E,Match($A282,'Player Raw Data'!$B:$B,0)+2),INDEX('Player Raw Data'!E:E,Match($A282,'Player Raw Data'!$B:$B,0))),"")</f>
        <v/>
      </c>
      <c r="E282" t="str">
        <f t="array" ref="E282">IFERROR(INDEX('Day Range Raw Data'!D:D,Match($A282,'Day Range Raw Data'!$B:$B,0)),"")</f>
        <v/>
      </c>
      <c r="F282" t="str">
        <f t="array" ref="F282">IFERROR(INDEX('Day Range Raw Data'!F:F,Match($A282,'Day Range Raw Data'!$B:$B,0)),"")</f>
        <v/>
      </c>
      <c r="G282" t="str">
        <f t="array" ref="G282">IFERROR(INDEX('Day Range Raw Data'!G:G,Match($A282,'Day Range Raw Data'!$B:$B,0)),"")</f>
        <v/>
      </c>
      <c r="H282" t="str">
        <f t="array" ref="H282">IFERROR(INDEX('Day Range Raw Data'!H:H,Match($A282,'Day Range Raw Data'!$B:$B,0)),"")</f>
        <v/>
      </c>
      <c r="I282" t="str">
        <f t="array" ref="I282">IFERROR(INDEX('Day Range Raw Data'!M:M,Match($A282,'Day Range Raw Data'!$B:$B,0)),"")</f>
        <v/>
      </c>
      <c r="J282" t="str">
        <f t="array" ref="J282">IFERROR(INDEX('Day Range Raw Data'!N:N,Match($A282,'Day Range Raw Data'!$B:$B,0)),"")</f>
        <v/>
      </c>
      <c r="K282" t="str">
        <f t="array" ref="K282">IFERROR(INDEX('Day Range Raw Data'!R:R,Match($A282,'Day Range Raw Data'!$B:$B,0)),"")</f>
        <v/>
      </c>
      <c r="L282" t="str">
        <f t="array" ref="L282">IFERROR(INDEX('Day Range Raw Data'!S:S,Match($A282,'Day Range Raw Data'!$B:$B,0)),"")</f>
        <v/>
      </c>
      <c r="M282" t="str">
        <f t="array" ref="M282">IFERROR(INDEX('Day Range Raw Data'!T:T,Match($A282,'Day Range Raw Data'!$B:$B,0)),"")</f>
        <v/>
      </c>
      <c r="N282" t="str">
        <f t="array" ref="N282">IFERROR(INDEX('Day Range Raw Data'!U:U,Match($A282,'Day Range Raw Data'!$B:$B,0)),"")</f>
        <v/>
      </c>
      <c r="O282" t="str">
        <f t="array" ref="O282">IFERROR(INDEX('Day Range Raw Data'!V:V,Match($A282,'Day Range Raw Data'!$B:$B,0)),"")</f>
        <v/>
      </c>
      <c r="P282" t="str">
        <f t="array" ref="P282">IFERROR(INDEX('Day Range Raw Data'!X:X,Match($A282,'Day Range Raw Data'!$B:$B,0)),"")</f>
        <v/>
      </c>
      <c r="Q282" t="str">
        <f t="shared" si="1"/>
        <v/>
      </c>
      <c r="R282" s="9" t="str">
        <f t="shared" si="2"/>
        <v/>
      </c>
      <c r="S282" s="14" t="str">
        <f t="shared" si="3"/>
        <v/>
      </c>
      <c r="T282" s="15" t="str">
        <f>IFERROR(__xludf.DUMMYFUNCTION("IF($A282="""","""",IFERROR(PERCENTRANK.INC(FILTER(Q:Q,$F:$F&lt;&gt;""""),Q282)*100,""""))"),"")</f>
        <v/>
      </c>
      <c r="U282" s="15" t="str">
        <f>IFERROR(__xludf.DUMMYFUNCTION("IF($A282="""","""",IFERROR(PERCENTRANK.INC(FILTER(R:R,$F:$F&lt;&gt;""""),R282)*100,""""))"),"")</f>
        <v/>
      </c>
      <c r="V282" s="15" t="str">
        <f>IFERROR(__xludf.DUMMYFUNCTION("IF($A282="""","""",IFERROR(PERCENTRANK.INC(FILTER(S:S,$F:$F&lt;&gt;""""),S282)*100,""""))"),"")</f>
        <v/>
      </c>
      <c r="W282" s="15" t="str">
        <f t="shared" si="4"/>
        <v/>
      </c>
    </row>
    <row r="283">
      <c r="B283" t="str">
        <f t="array" ref="B283">IFERROR(INDEX('Player Raw Data'!C:C,Match($A283,'Player Raw Data'!$B:$B,0)),"")</f>
        <v/>
      </c>
      <c r="C283" t="str">
        <f t="array" ref="C283">IFERROR(INDEX('Player Raw Data'!D:D,Match($A283,'Player Raw Data'!$B:$B,0)),"")</f>
        <v/>
      </c>
      <c r="D283" t="str">
        <f t="array" ref="D283">IFERROR(IF(A283=A282, INDEX('Player Raw Data'!E:E,Match($A283,'Player Raw Data'!$B:$B,0)+2),INDEX('Player Raw Data'!E:E,Match($A283,'Player Raw Data'!$B:$B,0))),"")</f>
        <v/>
      </c>
      <c r="E283" t="str">
        <f t="array" ref="E283">IFERROR(INDEX('Day Range Raw Data'!D:D,Match($A283,'Day Range Raw Data'!$B:$B,0)),"")</f>
        <v/>
      </c>
      <c r="F283" t="str">
        <f t="array" ref="F283">IFERROR(INDEX('Day Range Raw Data'!F:F,Match($A283,'Day Range Raw Data'!$B:$B,0)),"")</f>
        <v/>
      </c>
      <c r="G283" t="str">
        <f t="array" ref="G283">IFERROR(INDEX('Day Range Raw Data'!G:G,Match($A283,'Day Range Raw Data'!$B:$B,0)),"")</f>
        <v/>
      </c>
      <c r="H283" t="str">
        <f t="array" ref="H283">IFERROR(INDEX('Day Range Raw Data'!H:H,Match($A283,'Day Range Raw Data'!$B:$B,0)),"")</f>
        <v/>
      </c>
      <c r="I283" t="str">
        <f t="array" ref="I283">IFERROR(INDEX('Day Range Raw Data'!M:M,Match($A283,'Day Range Raw Data'!$B:$B,0)),"")</f>
        <v/>
      </c>
      <c r="J283" t="str">
        <f t="array" ref="J283">IFERROR(INDEX('Day Range Raw Data'!N:N,Match($A283,'Day Range Raw Data'!$B:$B,0)),"")</f>
        <v/>
      </c>
      <c r="K283" t="str">
        <f t="array" ref="K283">IFERROR(INDEX('Day Range Raw Data'!R:R,Match($A283,'Day Range Raw Data'!$B:$B,0)),"")</f>
        <v/>
      </c>
      <c r="L283" t="str">
        <f t="array" ref="L283">IFERROR(INDEX('Day Range Raw Data'!S:S,Match($A283,'Day Range Raw Data'!$B:$B,0)),"")</f>
        <v/>
      </c>
      <c r="M283" t="str">
        <f t="array" ref="M283">IFERROR(INDEX('Day Range Raw Data'!T:T,Match($A283,'Day Range Raw Data'!$B:$B,0)),"")</f>
        <v/>
      </c>
      <c r="N283" t="str">
        <f t="array" ref="N283">IFERROR(INDEX('Day Range Raw Data'!U:U,Match($A283,'Day Range Raw Data'!$B:$B,0)),"")</f>
        <v/>
      </c>
      <c r="O283" t="str">
        <f t="array" ref="O283">IFERROR(INDEX('Day Range Raw Data'!V:V,Match($A283,'Day Range Raw Data'!$B:$B,0)),"")</f>
        <v/>
      </c>
      <c r="P283" t="str">
        <f t="array" ref="P283">IFERROR(INDEX('Day Range Raw Data'!X:X,Match($A283,'Day Range Raw Data'!$B:$B,0)),"")</f>
        <v/>
      </c>
      <c r="Q283" t="str">
        <f t="shared" si="1"/>
        <v/>
      </c>
      <c r="R283" s="9" t="str">
        <f t="shared" si="2"/>
        <v/>
      </c>
      <c r="S283" s="14" t="str">
        <f t="shared" si="3"/>
        <v/>
      </c>
      <c r="T283" s="15" t="str">
        <f>IFERROR(__xludf.DUMMYFUNCTION("IF($A283="""","""",IFERROR(PERCENTRANK.INC(FILTER(Q:Q,$F:$F&lt;&gt;""""),Q283)*100,""""))"),"")</f>
        <v/>
      </c>
      <c r="U283" s="15" t="str">
        <f>IFERROR(__xludf.DUMMYFUNCTION("IF($A283="""","""",IFERROR(PERCENTRANK.INC(FILTER(R:R,$F:$F&lt;&gt;""""),R283)*100,""""))"),"")</f>
        <v/>
      </c>
      <c r="V283" s="15" t="str">
        <f>IFERROR(__xludf.DUMMYFUNCTION("IF($A283="""","""",IFERROR(PERCENTRANK.INC(FILTER(S:S,$F:$F&lt;&gt;""""),S283)*100,""""))"),"")</f>
        <v/>
      </c>
      <c r="W283" s="15" t="str">
        <f t="shared" si="4"/>
        <v/>
      </c>
    </row>
    <row r="284">
      <c r="B284" t="str">
        <f t="array" ref="B284">IFERROR(INDEX('Player Raw Data'!C:C,Match($A284,'Player Raw Data'!$B:$B,0)),"")</f>
        <v/>
      </c>
      <c r="C284" t="str">
        <f t="array" ref="C284">IFERROR(INDEX('Player Raw Data'!D:D,Match($A284,'Player Raw Data'!$B:$B,0)),"")</f>
        <v/>
      </c>
      <c r="D284" t="str">
        <f t="array" ref="D284">IFERROR(IF(A284=A283, INDEX('Player Raw Data'!E:E,Match($A284,'Player Raw Data'!$B:$B,0)+2),INDEX('Player Raw Data'!E:E,Match($A284,'Player Raw Data'!$B:$B,0))),"")</f>
        <v/>
      </c>
      <c r="E284" t="str">
        <f t="array" ref="E284">IFERROR(INDEX('Day Range Raw Data'!D:D,Match($A284,'Day Range Raw Data'!$B:$B,0)),"")</f>
        <v/>
      </c>
      <c r="F284" t="str">
        <f t="array" ref="F284">IFERROR(INDEX('Day Range Raw Data'!F:F,Match($A284,'Day Range Raw Data'!$B:$B,0)),"")</f>
        <v/>
      </c>
      <c r="G284" t="str">
        <f t="array" ref="G284">IFERROR(INDEX('Day Range Raw Data'!G:G,Match($A284,'Day Range Raw Data'!$B:$B,0)),"")</f>
        <v/>
      </c>
      <c r="H284" t="str">
        <f t="array" ref="H284">IFERROR(INDEX('Day Range Raw Data'!H:H,Match($A284,'Day Range Raw Data'!$B:$B,0)),"")</f>
        <v/>
      </c>
      <c r="I284" t="str">
        <f t="array" ref="I284">IFERROR(INDEX('Day Range Raw Data'!M:M,Match($A284,'Day Range Raw Data'!$B:$B,0)),"")</f>
        <v/>
      </c>
      <c r="J284" t="str">
        <f t="array" ref="J284">IFERROR(INDEX('Day Range Raw Data'!N:N,Match($A284,'Day Range Raw Data'!$B:$B,0)),"")</f>
        <v/>
      </c>
      <c r="K284" t="str">
        <f t="array" ref="K284">IFERROR(INDEX('Day Range Raw Data'!R:R,Match($A284,'Day Range Raw Data'!$B:$B,0)),"")</f>
        <v/>
      </c>
      <c r="L284" t="str">
        <f t="array" ref="L284">IFERROR(INDEX('Day Range Raw Data'!S:S,Match($A284,'Day Range Raw Data'!$B:$B,0)),"")</f>
        <v/>
      </c>
      <c r="M284" t="str">
        <f t="array" ref="M284">IFERROR(INDEX('Day Range Raw Data'!T:T,Match($A284,'Day Range Raw Data'!$B:$B,0)),"")</f>
        <v/>
      </c>
      <c r="N284" t="str">
        <f t="array" ref="N284">IFERROR(INDEX('Day Range Raw Data'!U:U,Match($A284,'Day Range Raw Data'!$B:$B,0)),"")</f>
        <v/>
      </c>
      <c r="O284" t="str">
        <f t="array" ref="O284">IFERROR(INDEX('Day Range Raw Data'!V:V,Match($A284,'Day Range Raw Data'!$B:$B,0)),"")</f>
        <v/>
      </c>
      <c r="P284" t="str">
        <f t="array" ref="P284">IFERROR(INDEX('Day Range Raw Data'!X:X,Match($A284,'Day Range Raw Data'!$B:$B,0)),"")</f>
        <v/>
      </c>
      <c r="Q284" t="str">
        <f t="shared" si="1"/>
        <v/>
      </c>
      <c r="R284" s="9" t="str">
        <f t="shared" si="2"/>
        <v/>
      </c>
      <c r="S284" s="14" t="str">
        <f t="shared" si="3"/>
        <v/>
      </c>
      <c r="T284" s="15" t="str">
        <f>IFERROR(__xludf.DUMMYFUNCTION("IF($A284="""","""",IFERROR(PERCENTRANK.INC(FILTER(Q:Q,$F:$F&lt;&gt;""""),Q284)*100,""""))"),"")</f>
        <v/>
      </c>
      <c r="U284" s="15" t="str">
        <f>IFERROR(__xludf.DUMMYFUNCTION("IF($A284="""","""",IFERROR(PERCENTRANK.INC(FILTER(R:R,$F:$F&lt;&gt;""""),R284)*100,""""))"),"")</f>
        <v/>
      </c>
      <c r="V284" s="15" t="str">
        <f>IFERROR(__xludf.DUMMYFUNCTION("IF($A284="""","""",IFERROR(PERCENTRANK.INC(FILTER(S:S,$F:$F&lt;&gt;""""),S284)*100,""""))"),"")</f>
        <v/>
      </c>
      <c r="W284" s="15" t="str">
        <f t="shared" si="4"/>
        <v/>
      </c>
    </row>
    <row r="285">
      <c r="B285" t="str">
        <f t="array" ref="B285">IFERROR(INDEX('Player Raw Data'!C:C,Match($A285,'Player Raw Data'!$B:$B,0)),"")</f>
        <v/>
      </c>
      <c r="C285" t="str">
        <f t="array" ref="C285">IFERROR(INDEX('Player Raw Data'!D:D,Match($A285,'Player Raw Data'!$B:$B,0)),"")</f>
        <v/>
      </c>
      <c r="D285" t="str">
        <f t="array" ref="D285">IFERROR(IF(A285=A284, INDEX('Player Raw Data'!E:E,Match($A285,'Player Raw Data'!$B:$B,0)+2),INDEX('Player Raw Data'!E:E,Match($A285,'Player Raw Data'!$B:$B,0))),"")</f>
        <v/>
      </c>
      <c r="E285" t="str">
        <f t="array" ref="E285">IFERROR(INDEX('Day Range Raw Data'!D:D,Match($A285,'Day Range Raw Data'!$B:$B,0)),"")</f>
        <v/>
      </c>
      <c r="F285" t="str">
        <f t="array" ref="F285">IFERROR(INDEX('Day Range Raw Data'!F:F,Match($A285,'Day Range Raw Data'!$B:$B,0)),"")</f>
        <v/>
      </c>
      <c r="G285" t="str">
        <f t="array" ref="G285">IFERROR(INDEX('Day Range Raw Data'!G:G,Match($A285,'Day Range Raw Data'!$B:$B,0)),"")</f>
        <v/>
      </c>
      <c r="H285" t="str">
        <f t="array" ref="H285">IFERROR(INDEX('Day Range Raw Data'!H:H,Match($A285,'Day Range Raw Data'!$B:$B,0)),"")</f>
        <v/>
      </c>
      <c r="I285" t="str">
        <f t="array" ref="I285">IFERROR(INDEX('Day Range Raw Data'!M:M,Match($A285,'Day Range Raw Data'!$B:$B,0)),"")</f>
        <v/>
      </c>
      <c r="J285" t="str">
        <f t="array" ref="J285">IFERROR(INDEX('Day Range Raw Data'!N:N,Match($A285,'Day Range Raw Data'!$B:$B,0)),"")</f>
        <v/>
      </c>
      <c r="K285" t="str">
        <f t="array" ref="K285">IFERROR(INDEX('Day Range Raw Data'!R:R,Match($A285,'Day Range Raw Data'!$B:$B,0)),"")</f>
        <v/>
      </c>
      <c r="L285" t="str">
        <f t="array" ref="L285">IFERROR(INDEX('Day Range Raw Data'!S:S,Match($A285,'Day Range Raw Data'!$B:$B,0)),"")</f>
        <v/>
      </c>
      <c r="M285" t="str">
        <f t="array" ref="M285">IFERROR(INDEX('Day Range Raw Data'!T:T,Match($A285,'Day Range Raw Data'!$B:$B,0)),"")</f>
        <v/>
      </c>
      <c r="N285" t="str">
        <f t="array" ref="N285">IFERROR(INDEX('Day Range Raw Data'!U:U,Match($A285,'Day Range Raw Data'!$B:$B,0)),"")</f>
        <v/>
      </c>
      <c r="O285" t="str">
        <f t="array" ref="O285">IFERROR(INDEX('Day Range Raw Data'!V:V,Match($A285,'Day Range Raw Data'!$B:$B,0)),"")</f>
        <v/>
      </c>
      <c r="P285" t="str">
        <f t="array" ref="P285">IFERROR(INDEX('Day Range Raw Data'!X:X,Match($A285,'Day Range Raw Data'!$B:$B,0)),"")</f>
        <v/>
      </c>
      <c r="Q285" t="str">
        <f t="shared" si="1"/>
        <v/>
      </c>
      <c r="R285" s="9" t="str">
        <f t="shared" si="2"/>
        <v/>
      </c>
      <c r="S285" s="14" t="str">
        <f t="shared" si="3"/>
        <v/>
      </c>
      <c r="T285" s="15" t="str">
        <f>IFERROR(__xludf.DUMMYFUNCTION("IF($A285="""","""",IFERROR(PERCENTRANK.INC(FILTER(Q:Q,$F:$F&lt;&gt;""""),Q285)*100,""""))"),"")</f>
        <v/>
      </c>
      <c r="U285" s="15" t="str">
        <f>IFERROR(__xludf.DUMMYFUNCTION("IF($A285="""","""",IFERROR(PERCENTRANK.INC(FILTER(R:R,$F:$F&lt;&gt;""""),R285)*100,""""))"),"")</f>
        <v/>
      </c>
      <c r="V285" s="15" t="str">
        <f>IFERROR(__xludf.DUMMYFUNCTION("IF($A285="""","""",IFERROR(PERCENTRANK.INC(FILTER(S:S,$F:$F&lt;&gt;""""),S285)*100,""""))"),"")</f>
        <v/>
      </c>
      <c r="W285" s="15" t="str">
        <f t="shared" si="4"/>
        <v/>
      </c>
    </row>
    <row r="286">
      <c r="B286" t="str">
        <f t="array" ref="B286">IFERROR(INDEX('Player Raw Data'!C:C,Match($A286,'Player Raw Data'!$B:$B,0)),"")</f>
        <v/>
      </c>
      <c r="C286" t="str">
        <f t="array" ref="C286">IFERROR(INDEX('Player Raw Data'!D:D,Match($A286,'Player Raw Data'!$B:$B,0)),"")</f>
        <v/>
      </c>
      <c r="D286" t="str">
        <f t="array" ref="D286">IFERROR(IF(A286=A285, INDEX('Player Raw Data'!E:E,Match($A286,'Player Raw Data'!$B:$B,0)+2),INDEX('Player Raw Data'!E:E,Match($A286,'Player Raw Data'!$B:$B,0))),"")</f>
        <v/>
      </c>
      <c r="E286" t="str">
        <f t="array" ref="E286">IFERROR(INDEX('Day Range Raw Data'!D:D,Match($A286,'Day Range Raw Data'!$B:$B,0)),"")</f>
        <v/>
      </c>
      <c r="F286" t="str">
        <f t="array" ref="F286">IFERROR(INDEX('Day Range Raw Data'!F:F,Match($A286,'Day Range Raw Data'!$B:$B,0)),"")</f>
        <v/>
      </c>
      <c r="G286" t="str">
        <f t="array" ref="G286">IFERROR(INDEX('Day Range Raw Data'!G:G,Match($A286,'Day Range Raw Data'!$B:$B,0)),"")</f>
        <v/>
      </c>
      <c r="H286" t="str">
        <f t="array" ref="H286">IFERROR(INDEX('Day Range Raw Data'!H:H,Match($A286,'Day Range Raw Data'!$B:$B,0)),"")</f>
        <v/>
      </c>
      <c r="I286" t="str">
        <f t="array" ref="I286">IFERROR(INDEX('Day Range Raw Data'!M:M,Match($A286,'Day Range Raw Data'!$B:$B,0)),"")</f>
        <v/>
      </c>
      <c r="J286" t="str">
        <f t="array" ref="J286">IFERROR(INDEX('Day Range Raw Data'!N:N,Match($A286,'Day Range Raw Data'!$B:$B,0)),"")</f>
        <v/>
      </c>
      <c r="K286" t="str">
        <f t="array" ref="K286">IFERROR(INDEX('Day Range Raw Data'!R:R,Match($A286,'Day Range Raw Data'!$B:$B,0)),"")</f>
        <v/>
      </c>
      <c r="L286" t="str">
        <f t="array" ref="L286">IFERROR(INDEX('Day Range Raw Data'!S:S,Match($A286,'Day Range Raw Data'!$B:$B,0)),"")</f>
        <v/>
      </c>
      <c r="M286" t="str">
        <f t="array" ref="M286">IFERROR(INDEX('Day Range Raw Data'!T:T,Match($A286,'Day Range Raw Data'!$B:$B,0)),"")</f>
        <v/>
      </c>
      <c r="N286" t="str">
        <f t="array" ref="N286">IFERROR(INDEX('Day Range Raw Data'!U:U,Match($A286,'Day Range Raw Data'!$B:$B,0)),"")</f>
        <v/>
      </c>
      <c r="O286" t="str">
        <f t="array" ref="O286">IFERROR(INDEX('Day Range Raw Data'!V:V,Match($A286,'Day Range Raw Data'!$B:$B,0)),"")</f>
        <v/>
      </c>
      <c r="P286" t="str">
        <f t="array" ref="P286">IFERROR(INDEX('Day Range Raw Data'!X:X,Match($A286,'Day Range Raw Data'!$B:$B,0)),"")</f>
        <v/>
      </c>
      <c r="Q286" t="str">
        <f t="shared" si="1"/>
        <v/>
      </c>
      <c r="R286" s="9" t="str">
        <f t="shared" si="2"/>
        <v/>
      </c>
      <c r="S286" s="14" t="str">
        <f t="shared" si="3"/>
        <v/>
      </c>
      <c r="T286" s="15" t="str">
        <f>IFERROR(__xludf.DUMMYFUNCTION("IF($A286="""","""",IFERROR(PERCENTRANK.INC(FILTER(Q:Q,$F:$F&lt;&gt;""""),Q286)*100,""""))"),"")</f>
        <v/>
      </c>
      <c r="U286" s="15" t="str">
        <f>IFERROR(__xludf.DUMMYFUNCTION("IF($A286="""","""",IFERROR(PERCENTRANK.INC(FILTER(R:R,$F:$F&lt;&gt;""""),R286)*100,""""))"),"")</f>
        <v/>
      </c>
      <c r="V286" s="15" t="str">
        <f>IFERROR(__xludf.DUMMYFUNCTION("IF($A286="""","""",IFERROR(PERCENTRANK.INC(FILTER(S:S,$F:$F&lt;&gt;""""),S286)*100,""""))"),"")</f>
        <v/>
      </c>
      <c r="W286" s="15" t="str">
        <f t="shared" si="4"/>
        <v/>
      </c>
    </row>
    <row r="287">
      <c r="B287" t="str">
        <f t="array" ref="B287">IFERROR(INDEX('Player Raw Data'!C:C,Match($A287,'Player Raw Data'!$B:$B,0)),"")</f>
        <v/>
      </c>
      <c r="C287" t="str">
        <f t="array" ref="C287">IFERROR(INDEX('Player Raw Data'!D:D,Match($A287,'Player Raw Data'!$B:$B,0)),"")</f>
        <v/>
      </c>
      <c r="D287" t="str">
        <f t="array" ref="D287">IFERROR(IF(A287=A286, INDEX('Player Raw Data'!E:E,Match($A287,'Player Raw Data'!$B:$B,0)+2),INDEX('Player Raw Data'!E:E,Match($A287,'Player Raw Data'!$B:$B,0))),"")</f>
        <v/>
      </c>
      <c r="E287" t="str">
        <f t="array" ref="E287">IFERROR(INDEX('Day Range Raw Data'!D:D,Match($A287,'Day Range Raw Data'!$B:$B,0)),"")</f>
        <v/>
      </c>
      <c r="F287" t="str">
        <f t="array" ref="F287">IFERROR(INDEX('Day Range Raw Data'!F:F,Match($A287,'Day Range Raw Data'!$B:$B,0)),"")</f>
        <v/>
      </c>
      <c r="G287" t="str">
        <f t="array" ref="G287">IFERROR(INDEX('Day Range Raw Data'!G:G,Match($A287,'Day Range Raw Data'!$B:$B,0)),"")</f>
        <v/>
      </c>
      <c r="H287" t="str">
        <f t="array" ref="H287">IFERROR(INDEX('Day Range Raw Data'!H:H,Match($A287,'Day Range Raw Data'!$B:$B,0)),"")</f>
        <v/>
      </c>
      <c r="I287" t="str">
        <f t="array" ref="I287">IFERROR(INDEX('Day Range Raw Data'!M:M,Match($A287,'Day Range Raw Data'!$B:$B,0)),"")</f>
        <v/>
      </c>
      <c r="J287" t="str">
        <f t="array" ref="J287">IFERROR(INDEX('Day Range Raw Data'!N:N,Match($A287,'Day Range Raw Data'!$B:$B,0)),"")</f>
        <v/>
      </c>
      <c r="K287" t="str">
        <f t="array" ref="K287">IFERROR(INDEX('Day Range Raw Data'!R:R,Match($A287,'Day Range Raw Data'!$B:$B,0)),"")</f>
        <v/>
      </c>
      <c r="L287" t="str">
        <f t="array" ref="L287">IFERROR(INDEX('Day Range Raw Data'!S:S,Match($A287,'Day Range Raw Data'!$B:$B,0)),"")</f>
        <v/>
      </c>
      <c r="M287" t="str">
        <f t="array" ref="M287">IFERROR(INDEX('Day Range Raw Data'!T:T,Match($A287,'Day Range Raw Data'!$B:$B,0)),"")</f>
        <v/>
      </c>
      <c r="N287" t="str">
        <f t="array" ref="N287">IFERROR(INDEX('Day Range Raw Data'!U:U,Match($A287,'Day Range Raw Data'!$B:$B,0)),"")</f>
        <v/>
      </c>
      <c r="O287" t="str">
        <f t="array" ref="O287">IFERROR(INDEX('Day Range Raw Data'!V:V,Match($A287,'Day Range Raw Data'!$B:$B,0)),"")</f>
        <v/>
      </c>
      <c r="P287" t="str">
        <f t="array" ref="P287">IFERROR(INDEX('Day Range Raw Data'!X:X,Match($A287,'Day Range Raw Data'!$B:$B,0)),"")</f>
        <v/>
      </c>
      <c r="Q287" t="str">
        <f t="shared" si="1"/>
        <v/>
      </c>
      <c r="R287" s="9" t="str">
        <f t="shared" si="2"/>
        <v/>
      </c>
      <c r="S287" s="14" t="str">
        <f t="shared" si="3"/>
        <v/>
      </c>
      <c r="T287" s="15" t="str">
        <f>IFERROR(__xludf.DUMMYFUNCTION("IF($A287="""","""",IFERROR(PERCENTRANK.INC(FILTER(Q:Q,$F:$F&lt;&gt;""""),Q287)*100,""""))"),"")</f>
        <v/>
      </c>
      <c r="U287" s="15" t="str">
        <f>IFERROR(__xludf.DUMMYFUNCTION("IF($A287="""","""",IFERROR(PERCENTRANK.INC(FILTER(R:R,$F:$F&lt;&gt;""""),R287)*100,""""))"),"")</f>
        <v/>
      </c>
      <c r="V287" s="15" t="str">
        <f>IFERROR(__xludf.DUMMYFUNCTION("IF($A287="""","""",IFERROR(PERCENTRANK.INC(FILTER(S:S,$F:$F&lt;&gt;""""),S287)*100,""""))"),"")</f>
        <v/>
      </c>
      <c r="W287" s="15" t="str">
        <f t="shared" si="4"/>
        <v/>
      </c>
    </row>
    <row r="288">
      <c r="B288" t="str">
        <f t="array" ref="B288">IFERROR(INDEX('Player Raw Data'!C:C,Match($A288,'Player Raw Data'!$B:$B,0)),"")</f>
        <v/>
      </c>
      <c r="C288" t="str">
        <f t="array" ref="C288">IFERROR(INDEX('Player Raw Data'!D:D,Match($A288,'Player Raw Data'!$B:$B,0)),"")</f>
        <v/>
      </c>
      <c r="D288" t="str">
        <f t="array" ref="D288">IFERROR(IF(A288=A287, INDEX('Player Raw Data'!E:E,Match($A288,'Player Raw Data'!$B:$B,0)+2),INDEX('Player Raw Data'!E:E,Match($A288,'Player Raw Data'!$B:$B,0))),"")</f>
        <v/>
      </c>
      <c r="E288" t="str">
        <f t="array" ref="E288">IFERROR(INDEX('Day Range Raw Data'!D:D,Match($A288,'Day Range Raw Data'!$B:$B,0)),"")</f>
        <v/>
      </c>
      <c r="F288" t="str">
        <f t="array" ref="F288">IFERROR(INDEX('Day Range Raw Data'!F:F,Match($A288,'Day Range Raw Data'!$B:$B,0)),"")</f>
        <v/>
      </c>
      <c r="G288" t="str">
        <f t="array" ref="G288">IFERROR(INDEX('Day Range Raw Data'!G:G,Match($A288,'Day Range Raw Data'!$B:$B,0)),"")</f>
        <v/>
      </c>
      <c r="H288" t="str">
        <f t="array" ref="H288">IFERROR(INDEX('Day Range Raw Data'!H:H,Match($A288,'Day Range Raw Data'!$B:$B,0)),"")</f>
        <v/>
      </c>
      <c r="I288" t="str">
        <f t="array" ref="I288">IFERROR(INDEX('Day Range Raw Data'!M:M,Match($A288,'Day Range Raw Data'!$B:$B,0)),"")</f>
        <v/>
      </c>
      <c r="J288" t="str">
        <f t="array" ref="J288">IFERROR(INDEX('Day Range Raw Data'!N:N,Match($A288,'Day Range Raw Data'!$B:$B,0)),"")</f>
        <v/>
      </c>
      <c r="K288" t="str">
        <f t="array" ref="K288">IFERROR(INDEX('Day Range Raw Data'!R:R,Match($A288,'Day Range Raw Data'!$B:$B,0)),"")</f>
        <v/>
      </c>
      <c r="L288" t="str">
        <f t="array" ref="L288">IFERROR(INDEX('Day Range Raw Data'!S:S,Match($A288,'Day Range Raw Data'!$B:$B,0)),"")</f>
        <v/>
      </c>
      <c r="M288" t="str">
        <f t="array" ref="M288">IFERROR(INDEX('Day Range Raw Data'!T:T,Match($A288,'Day Range Raw Data'!$B:$B,0)),"")</f>
        <v/>
      </c>
      <c r="N288" t="str">
        <f t="array" ref="N288">IFERROR(INDEX('Day Range Raw Data'!U:U,Match($A288,'Day Range Raw Data'!$B:$B,0)),"")</f>
        <v/>
      </c>
      <c r="O288" t="str">
        <f t="array" ref="O288">IFERROR(INDEX('Day Range Raw Data'!V:V,Match($A288,'Day Range Raw Data'!$B:$B,0)),"")</f>
        <v/>
      </c>
      <c r="P288" t="str">
        <f t="array" ref="P288">IFERROR(INDEX('Day Range Raw Data'!X:X,Match($A288,'Day Range Raw Data'!$B:$B,0)),"")</f>
        <v/>
      </c>
      <c r="Q288" t="str">
        <f t="shared" si="1"/>
        <v/>
      </c>
      <c r="R288" s="9" t="str">
        <f t="shared" si="2"/>
        <v/>
      </c>
      <c r="S288" s="14" t="str">
        <f t="shared" si="3"/>
        <v/>
      </c>
      <c r="T288" s="15" t="str">
        <f>IFERROR(__xludf.DUMMYFUNCTION("IF($A288="""","""",IFERROR(PERCENTRANK.INC(FILTER(Q:Q,$F:$F&lt;&gt;""""),Q288)*100,""""))"),"")</f>
        <v/>
      </c>
      <c r="U288" s="15" t="str">
        <f>IFERROR(__xludf.DUMMYFUNCTION("IF($A288="""","""",IFERROR(PERCENTRANK.INC(FILTER(R:R,$F:$F&lt;&gt;""""),R288)*100,""""))"),"")</f>
        <v/>
      </c>
      <c r="V288" s="15" t="str">
        <f>IFERROR(__xludf.DUMMYFUNCTION("IF($A288="""","""",IFERROR(PERCENTRANK.INC(FILTER(S:S,$F:$F&lt;&gt;""""),S288)*100,""""))"),"")</f>
        <v/>
      </c>
      <c r="W288" s="15" t="str">
        <f t="shared" si="4"/>
        <v/>
      </c>
    </row>
    <row r="289">
      <c r="B289" t="str">
        <f t="array" ref="B289">IFERROR(INDEX('Player Raw Data'!C:C,Match($A289,'Player Raw Data'!$B:$B,0)),"")</f>
        <v/>
      </c>
      <c r="C289" t="str">
        <f t="array" ref="C289">IFERROR(INDEX('Player Raw Data'!D:D,Match($A289,'Player Raw Data'!$B:$B,0)),"")</f>
        <v/>
      </c>
      <c r="D289" t="str">
        <f t="array" ref="D289">IFERROR(IF(A289=A288, INDEX('Player Raw Data'!E:E,Match($A289,'Player Raw Data'!$B:$B,0)+2),INDEX('Player Raw Data'!E:E,Match($A289,'Player Raw Data'!$B:$B,0))),"")</f>
        <v/>
      </c>
      <c r="E289" t="str">
        <f t="array" ref="E289">IFERROR(INDEX('Day Range Raw Data'!D:D,Match($A289,'Day Range Raw Data'!$B:$B,0)),"")</f>
        <v/>
      </c>
      <c r="F289" t="str">
        <f t="array" ref="F289">IFERROR(INDEX('Day Range Raw Data'!F:F,Match($A289,'Day Range Raw Data'!$B:$B,0)),"")</f>
        <v/>
      </c>
      <c r="G289" t="str">
        <f t="array" ref="G289">IFERROR(INDEX('Day Range Raw Data'!G:G,Match($A289,'Day Range Raw Data'!$B:$B,0)),"")</f>
        <v/>
      </c>
      <c r="H289" t="str">
        <f t="array" ref="H289">IFERROR(INDEX('Day Range Raw Data'!H:H,Match($A289,'Day Range Raw Data'!$B:$B,0)),"")</f>
        <v/>
      </c>
      <c r="I289" t="str">
        <f t="array" ref="I289">IFERROR(INDEX('Day Range Raw Data'!M:M,Match($A289,'Day Range Raw Data'!$B:$B,0)),"")</f>
        <v/>
      </c>
      <c r="J289" t="str">
        <f t="array" ref="J289">IFERROR(INDEX('Day Range Raw Data'!N:N,Match($A289,'Day Range Raw Data'!$B:$B,0)),"")</f>
        <v/>
      </c>
      <c r="K289" t="str">
        <f t="array" ref="K289">IFERROR(INDEX('Day Range Raw Data'!R:R,Match($A289,'Day Range Raw Data'!$B:$B,0)),"")</f>
        <v/>
      </c>
      <c r="L289" t="str">
        <f t="array" ref="L289">IFERROR(INDEX('Day Range Raw Data'!S:S,Match($A289,'Day Range Raw Data'!$B:$B,0)),"")</f>
        <v/>
      </c>
      <c r="M289" t="str">
        <f t="array" ref="M289">IFERROR(INDEX('Day Range Raw Data'!T:T,Match($A289,'Day Range Raw Data'!$B:$B,0)),"")</f>
        <v/>
      </c>
      <c r="N289" t="str">
        <f t="array" ref="N289">IFERROR(INDEX('Day Range Raw Data'!U:U,Match($A289,'Day Range Raw Data'!$B:$B,0)),"")</f>
        <v/>
      </c>
      <c r="O289" t="str">
        <f t="array" ref="O289">IFERROR(INDEX('Day Range Raw Data'!V:V,Match($A289,'Day Range Raw Data'!$B:$B,0)),"")</f>
        <v/>
      </c>
      <c r="P289" t="str">
        <f t="array" ref="P289">IFERROR(INDEX('Day Range Raw Data'!X:X,Match($A289,'Day Range Raw Data'!$B:$B,0)),"")</f>
        <v/>
      </c>
      <c r="Q289" t="str">
        <f t="shared" si="1"/>
        <v/>
      </c>
      <c r="R289" s="9" t="str">
        <f t="shared" si="2"/>
        <v/>
      </c>
      <c r="S289" s="14" t="str">
        <f t="shared" si="3"/>
        <v/>
      </c>
      <c r="T289" s="15" t="str">
        <f>IFERROR(__xludf.DUMMYFUNCTION("IF($A289="""","""",IFERROR(PERCENTRANK.INC(FILTER(Q:Q,$F:$F&lt;&gt;""""),Q289)*100,""""))"),"")</f>
        <v/>
      </c>
      <c r="U289" s="15" t="str">
        <f>IFERROR(__xludf.DUMMYFUNCTION("IF($A289="""","""",IFERROR(PERCENTRANK.INC(FILTER(R:R,$F:$F&lt;&gt;""""),R289)*100,""""))"),"")</f>
        <v/>
      </c>
      <c r="V289" s="15" t="str">
        <f>IFERROR(__xludf.DUMMYFUNCTION("IF($A289="""","""",IFERROR(PERCENTRANK.INC(FILTER(S:S,$F:$F&lt;&gt;""""),S289)*100,""""))"),"")</f>
        <v/>
      </c>
      <c r="W289" s="15" t="str">
        <f t="shared" si="4"/>
        <v/>
      </c>
    </row>
    <row r="290">
      <c r="B290" t="str">
        <f t="array" ref="B290">IFERROR(INDEX('Player Raw Data'!C:C,Match($A290,'Player Raw Data'!$B:$B,0)),"")</f>
        <v/>
      </c>
      <c r="C290" t="str">
        <f t="array" ref="C290">IFERROR(INDEX('Player Raw Data'!D:D,Match($A290,'Player Raw Data'!$B:$B,0)),"")</f>
        <v/>
      </c>
      <c r="D290" t="str">
        <f t="array" ref="D290">IFERROR(IF(A290=A289, INDEX('Player Raw Data'!E:E,Match($A290,'Player Raw Data'!$B:$B,0)+2),INDEX('Player Raw Data'!E:E,Match($A290,'Player Raw Data'!$B:$B,0))),"")</f>
        <v/>
      </c>
      <c r="E290" t="str">
        <f t="array" ref="E290">IFERROR(INDEX('Day Range Raw Data'!D:D,Match($A290,'Day Range Raw Data'!$B:$B,0)),"")</f>
        <v/>
      </c>
      <c r="F290" t="str">
        <f t="array" ref="F290">IFERROR(INDEX('Day Range Raw Data'!F:F,Match($A290,'Day Range Raw Data'!$B:$B,0)),"")</f>
        <v/>
      </c>
      <c r="G290" t="str">
        <f t="array" ref="G290">IFERROR(INDEX('Day Range Raw Data'!G:G,Match($A290,'Day Range Raw Data'!$B:$B,0)),"")</f>
        <v/>
      </c>
      <c r="H290" t="str">
        <f t="array" ref="H290">IFERROR(INDEX('Day Range Raw Data'!H:H,Match($A290,'Day Range Raw Data'!$B:$B,0)),"")</f>
        <v/>
      </c>
      <c r="I290" t="str">
        <f t="array" ref="I290">IFERROR(INDEX('Day Range Raw Data'!M:M,Match($A290,'Day Range Raw Data'!$B:$B,0)),"")</f>
        <v/>
      </c>
      <c r="J290" t="str">
        <f t="array" ref="J290">IFERROR(INDEX('Day Range Raw Data'!N:N,Match($A290,'Day Range Raw Data'!$B:$B,0)),"")</f>
        <v/>
      </c>
      <c r="K290" t="str">
        <f t="array" ref="K290">IFERROR(INDEX('Day Range Raw Data'!R:R,Match($A290,'Day Range Raw Data'!$B:$B,0)),"")</f>
        <v/>
      </c>
      <c r="L290" t="str">
        <f t="array" ref="L290">IFERROR(INDEX('Day Range Raw Data'!S:S,Match($A290,'Day Range Raw Data'!$B:$B,0)),"")</f>
        <v/>
      </c>
      <c r="M290" t="str">
        <f t="array" ref="M290">IFERROR(INDEX('Day Range Raw Data'!T:T,Match($A290,'Day Range Raw Data'!$B:$B,0)),"")</f>
        <v/>
      </c>
      <c r="N290" t="str">
        <f t="array" ref="N290">IFERROR(INDEX('Day Range Raw Data'!U:U,Match($A290,'Day Range Raw Data'!$B:$B,0)),"")</f>
        <v/>
      </c>
      <c r="O290" t="str">
        <f t="array" ref="O290">IFERROR(INDEX('Day Range Raw Data'!V:V,Match($A290,'Day Range Raw Data'!$B:$B,0)),"")</f>
        <v/>
      </c>
      <c r="P290" t="str">
        <f t="array" ref="P290">IFERROR(INDEX('Day Range Raw Data'!X:X,Match($A290,'Day Range Raw Data'!$B:$B,0)),"")</f>
        <v/>
      </c>
      <c r="Q290" t="str">
        <f t="shared" si="1"/>
        <v/>
      </c>
      <c r="R290" s="9" t="str">
        <f t="shared" si="2"/>
        <v/>
      </c>
      <c r="S290" s="14" t="str">
        <f t="shared" si="3"/>
        <v/>
      </c>
      <c r="T290" s="15" t="str">
        <f>IFERROR(__xludf.DUMMYFUNCTION("IF($A290="""","""",IFERROR(PERCENTRANK.INC(FILTER(Q:Q,$F:$F&lt;&gt;""""),Q290)*100,""""))"),"")</f>
        <v/>
      </c>
      <c r="U290" s="15" t="str">
        <f>IFERROR(__xludf.DUMMYFUNCTION("IF($A290="""","""",IFERROR(PERCENTRANK.INC(FILTER(R:R,$F:$F&lt;&gt;""""),R290)*100,""""))"),"")</f>
        <v/>
      </c>
      <c r="V290" s="15" t="str">
        <f>IFERROR(__xludf.DUMMYFUNCTION("IF($A290="""","""",IFERROR(PERCENTRANK.INC(FILTER(S:S,$F:$F&lt;&gt;""""),S290)*100,""""))"),"")</f>
        <v/>
      </c>
      <c r="W290" s="15" t="str">
        <f t="shared" si="4"/>
        <v/>
      </c>
    </row>
    <row r="291">
      <c r="B291" t="str">
        <f t="array" ref="B291">IFERROR(INDEX('Player Raw Data'!C:C,Match($A291,'Player Raw Data'!$B:$B,0)),"")</f>
        <v/>
      </c>
      <c r="C291" t="str">
        <f t="array" ref="C291">IFERROR(INDEX('Player Raw Data'!D:D,Match($A291,'Player Raw Data'!$B:$B,0)),"")</f>
        <v/>
      </c>
      <c r="D291" t="str">
        <f t="array" ref="D291">IFERROR(IF(A291=A290, INDEX('Player Raw Data'!E:E,Match($A291,'Player Raw Data'!$B:$B,0)+2),INDEX('Player Raw Data'!E:E,Match($A291,'Player Raw Data'!$B:$B,0))),"")</f>
        <v/>
      </c>
      <c r="E291" t="str">
        <f t="array" ref="E291">IFERROR(INDEX('Day Range Raw Data'!D:D,Match($A291,'Day Range Raw Data'!$B:$B,0)),"")</f>
        <v/>
      </c>
      <c r="F291" t="str">
        <f t="array" ref="F291">IFERROR(INDEX('Day Range Raw Data'!F:F,Match($A291,'Day Range Raw Data'!$B:$B,0)),"")</f>
        <v/>
      </c>
      <c r="G291" t="str">
        <f t="array" ref="G291">IFERROR(INDEX('Day Range Raw Data'!G:G,Match($A291,'Day Range Raw Data'!$B:$B,0)),"")</f>
        <v/>
      </c>
      <c r="H291" t="str">
        <f t="array" ref="H291">IFERROR(INDEX('Day Range Raw Data'!H:H,Match($A291,'Day Range Raw Data'!$B:$B,0)),"")</f>
        <v/>
      </c>
      <c r="I291" t="str">
        <f t="array" ref="I291">IFERROR(INDEX('Day Range Raw Data'!M:M,Match($A291,'Day Range Raw Data'!$B:$B,0)),"")</f>
        <v/>
      </c>
      <c r="J291" t="str">
        <f t="array" ref="J291">IFERROR(INDEX('Day Range Raw Data'!N:N,Match($A291,'Day Range Raw Data'!$B:$B,0)),"")</f>
        <v/>
      </c>
      <c r="K291" t="str">
        <f t="array" ref="K291">IFERROR(INDEX('Day Range Raw Data'!R:R,Match($A291,'Day Range Raw Data'!$B:$B,0)),"")</f>
        <v/>
      </c>
      <c r="L291" t="str">
        <f t="array" ref="L291">IFERROR(INDEX('Day Range Raw Data'!S:S,Match($A291,'Day Range Raw Data'!$B:$B,0)),"")</f>
        <v/>
      </c>
      <c r="M291" t="str">
        <f t="array" ref="M291">IFERROR(INDEX('Day Range Raw Data'!T:T,Match($A291,'Day Range Raw Data'!$B:$B,0)),"")</f>
        <v/>
      </c>
      <c r="N291" t="str">
        <f t="array" ref="N291">IFERROR(INDEX('Day Range Raw Data'!U:U,Match($A291,'Day Range Raw Data'!$B:$B,0)),"")</f>
        <v/>
      </c>
      <c r="O291" t="str">
        <f t="array" ref="O291">IFERROR(INDEX('Day Range Raw Data'!V:V,Match($A291,'Day Range Raw Data'!$B:$B,0)),"")</f>
        <v/>
      </c>
      <c r="P291" t="str">
        <f t="array" ref="P291">IFERROR(INDEX('Day Range Raw Data'!X:X,Match($A291,'Day Range Raw Data'!$B:$B,0)),"")</f>
        <v/>
      </c>
      <c r="Q291" t="str">
        <f t="shared" si="1"/>
        <v/>
      </c>
      <c r="R291" s="9" t="str">
        <f t="shared" si="2"/>
        <v/>
      </c>
      <c r="S291" s="14" t="str">
        <f t="shared" si="3"/>
        <v/>
      </c>
      <c r="T291" s="15" t="str">
        <f>IFERROR(__xludf.DUMMYFUNCTION("IF($A291="""","""",IFERROR(PERCENTRANK.INC(FILTER(Q:Q,$F:$F&lt;&gt;""""),Q291)*100,""""))"),"")</f>
        <v/>
      </c>
      <c r="U291" s="15" t="str">
        <f>IFERROR(__xludf.DUMMYFUNCTION("IF($A291="""","""",IFERROR(PERCENTRANK.INC(FILTER(R:R,$F:$F&lt;&gt;""""),R291)*100,""""))"),"")</f>
        <v/>
      </c>
      <c r="V291" s="15" t="str">
        <f>IFERROR(__xludf.DUMMYFUNCTION("IF($A291="""","""",IFERROR(PERCENTRANK.INC(FILTER(S:S,$F:$F&lt;&gt;""""),S291)*100,""""))"),"")</f>
        <v/>
      </c>
      <c r="W291" s="15" t="str">
        <f t="shared" si="4"/>
        <v/>
      </c>
    </row>
    <row r="292">
      <c r="B292" t="str">
        <f t="array" ref="B292">IFERROR(INDEX('Player Raw Data'!C:C,Match($A292,'Player Raw Data'!$B:$B,0)),"")</f>
        <v/>
      </c>
      <c r="C292" t="str">
        <f t="array" ref="C292">IFERROR(INDEX('Player Raw Data'!D:D,Match($A292,'Player Raw Data'!$B:$B,0)),"")</f>
        <v/>
      </c>
      <c r="D292" t="str">
        <f t="array" ref="D292">IFERROR(IF(A292=A291, INDEX('Player Raw Data'!E:E,Match($A292,'Player Raw Data'!$B:$B,0)+2),INDEX('Player Raw Data'!E:E,Match($A292,'Player Raw Data'!$B:$B,0))),"")</f>
        <v/>
      </c>
      <c r="E292" t="str">
        <f t="array" ref="E292">IFERROR(INDEX('Day Range Raw Data'!D:D,Match($A292,'Day Range Raw Data'!$B:$B,0)),"")</f>
        <v/>
      </c>
      <c r="F292" t="str">
        <f t="array" ref="F292">IFERROR(INDEX('Day Range Raw Data'!F:F,Match($A292,'Day Range Raw Data'!$B:$B,0)),"")</f>
        <v/>
      </c>
      <c r="G292" t="str">
        <f t="array" ref="G292">IFERROR(INDEX('Day Range Raw Data'!G:G,Match($A292,'Day Range Raw Data'!$B:$B,0)),"")</f>
        <v/>
      </c>
      <c r="H292" t="str">
        <f t="array" ref="H292">IFERROR(INDEX('Day Range Raw Data'!H:H,Match($A292,'Day Range Raw Data'!$B:$B,0)),"")</f>
        <v/>
      </c>
      <c r="I292" t="str">
        <f t="array" ref="I292">IFERROR(INDEX('Day Range Raw Data'!M:M,Match($A292,'Day Range Raw Data'!$B:$B,0)),"")</f>
        <v/>
      </c>
      <c r="J292" t="str">
        <f t="array" ref="J292">IFERROR(INDEX('Day Range Raw Data'!N:N,Match($A292,'Day Range Raw Data'!$B:$B,0)),"")</f>
        <v/>
      </c>
      <c r="K292" t="str">
        <f t="array" ref="K292">IFERROR(INDEX('Day Range Raw Data'!R:R,Match($A292,'Day Range Raw Data'!$B:$B,0)),"")</f>
        <v/>
      </c>
      <c r="L292" t="str">
        <f t="array" ref="L292">IFERROR(INDEX('Day Range Raw Data'!S:S,Match($A292,'Day Range Raw Data'!$B:$B,0)),"")</f>
        <v/>
      </c>
      <c r="M292" t="str">
        <f t="array" ref="M292">IFERROR(INDEX('Day Range Raw Data'!T:T,Match($A292,'Day Range Raw Data'!$B:$B,0)),"")</f>
        <v/>
      </c>
      <c r="N292" t="str">
        <f t="array" ref="N292">IFERROR(INDEX('Day Range Raw Data'!U:U,Match($A292,'Day Range Raw Data'!$B:$B,0)),"")</f>
        <v/>
      </c>
      <c r="O292" t="str">
        <f t="array" ref="O292">IFERROR(INDEX('Day Range Raw Data'!V:V,Match($A292,'Day Range Raw Data'!$B:$B,0)),"")</f>
        <v/>
      </c>
      <c r="P292" t="str">
        <f t="array" ref="P292">IFERROR(INDEX('Day Range Raw Data'!X:X,Match($A292,'Day Range Raw Data'!$B:$B,0)),"")</f>
        <v/>
      </c>
      <c r="Q292" t="str">
        <f t="shared" si="1"/>
        <v/>
      </c>
      <c r="R292" s="9" t="str">
        <f t="shared" si="2"/>
        <v/>
      </c>
      <c r="S292" s="14" t="str">
        <f t="shared" si="3"/>
        <v/>
      </c>
      <c r="T292" s="15" t="str">
        <f>IFERROR(__xludf.DUMMYFUNCTION("IF($A292="""","""",IFERROR(PERCENTRANK.INC(FILTER(Q:Q,$F:$F&lt;&gt;""""),Q292)*100,""""))"),"")</f>
        <v/>
      </c>
      <c r="U292" s="15" t="str">
        <f>IFERROR(__xludf.DUMMYFUNCTION("IF($A292="""","""",IFERROR(PERCENTRANK.INC(FILTER(R:R,$F:$F&lt;&gt;""""),R292)*100,""""))"),"")</f>
        <v/>
      </c>
      <c r="V292" s="15" t="str">
        <f>IFERROR(__xludf.DUMMYFUNCTION("IF($A292="""","""",IFERROR(PERCENTRANK.INC(FILTER(S:S,$F:$F&lt;&gt;""""),S292)*100,""""))"),"")</f>
        <v/>
      </c>
      <c r="W292" s="15" t="str">
        <f t="shared" si="4"/>
        <v/>
      </c>
    </row>
    <row r="293">
      <c r="B293" t="str">
        <f t="array" ref="B293">IFERROR(INDEX('Player Raw Data'!C:C,Match($A293,'Player Raw Data'!$B:$B,0)),"")</f>
        <v/>
      </c>
      <c r="C293" t="str">
        <f t="array" ref="C293">IFERROR(INDEX('Player Raw Data'!D:D,Match($A293,'Player Raw Data'!$B:$B,0)),"")</f>
        <v/>
      </c>
      <c r="D293" t="str">
        <f t="array" ref="D293">IFERROR(IF(A293=A292, INDEX('Player Raw Data'!E:E,Match($A293,'Player Raw Data'!$B:$B,0)+2),INDEX('Player Raw Data'!E:E,Match($A293,'Player Raw Data'!$B:$B,0))),"")</f>
        <v/>
      </c>
      <c r="E293" t="str">
        <f t="array" ref="E293">IFERROR(INDEX('Day Range Raw Data'!D:D,Match($A293,'Day Range Raw Data'!$B:$B,0)),"")</f>
        <v/>
      </c>
      <c r="F293" t="str">
        <f t="array" ref="F293">IFERROR(INDEX('Day Range Raw Data'!F:F,Match($A293,'Day Range Raw Data'!$B:$B,0)),"")</f>
        <v/>
      </c>
      <c r="G293" t="str">
        <f t="array" ref="G293">IFERROR(INDEX('Day Range Raw Data'!G:G,Match($A293,'Day Range Raw Data'!$B:$B,0)),"")</f>
        <v/>
      </c>
      <c r="H293" t="str">
        <f t="array" ref="H293">IFERROR(INDEX('Day Range Raw Data'!H:H,Match($A293,'Day Range Raw Data'!$B:$B,0)),"")</f>
        <v/>
      </c>
      <c r="I293" t="str">
        <f t="array" ref="I293">IFERROR(INDEX('Day Range Raw Data'!M:M,Match($A293,'Day Range Raw Data'!$B:$B,0)),"")</f>
        <v/>
      </c>
      <c r="J293" t="str">
        <f t="array" ref="J293">IFERROR(INDEX('Day Range Raw Data'!N:N,Match($A293,'Day Range Raw Data'!$B:$B,0)),"")</f>
        <v/>
      </c>
      <c r="K293" t="str">
        <f t="array" ref="K293">IFERROR(INDEX('Day Range Raw Data'!R:R,Match($A293,'Day Range Raw Data'!$B:$B,0)),"")</f>
        <v/>
      </c>
      <c r="L293" t="str">
        <f t="array" ref="L293">IFERROR(INDEX('Day Range Raw Data'!S:S,Match($A293,'Day Range Raw Data'!$B:$B,0)),"")</f>
        <v/>
      </c>
      <c r="M293" t="str">
        <f t="array" ref="M293">IFERROR(INDEX('Day Range Raw Data'!T:T,Match($A293,'Day Range Raw Data'!$B:$B,0)),"")</f>
        <v/>
      </c>
      <c r="N293" t="str">
        <f t="array" ref="N293">IFERROR(INDEX('Day Range Raw Data'!U:U,Match($A293,'Day Range Raw Data'!$B:$B,0)),"")</f>
        <v/>
      </c>
      <c r="O293" t="str">
        <f t="array" ref="O293">IFERROR(INDEX('Day Range Raw Data'!V:V,Match($A293,'Day Range Raw Data'!$B:$B,0)),"")</f>
        <v/>
      </c>
      <c r="P293" t="str">
        <f t="array" ref="P293">IFERROR(INDEX('Day Range Raw Data'!X:X,Match($A293,'Day Range Raw Data'!$B:$B,0)),"")</f>
        <v/>
      </c>
      <c r="Q293" t="str">
        <f t="shared" si="1"/>
        <v/>
      </c>
      <c r="R293" s="9" t="str">
        <f t="shared" si="2"/>
        <v/>
      </c>
      <c r="S293" s="14" t="str">
        <f t="shared" si="3"/>
        <v/>
      </c>
      <c r="T293" s="15" t="str">
        <f>IFERROR(__xludf.DUMMYFUNCTION("IF($A293="""","""",IFERROR(PERCENTRANK.INC(FILTER(Q:Q,$F:$F&lt;&gt;""""),Q293)*100,""""))"),"")</f>
        <v/>
      </c>
      <c r="U293" s="15" t="str">
        <f>IFERROR(__xludf.DUMMYFUNCTION("IF($A293="""","""",IFERROR(PERCENTRANK.INC(FILTER(R:R,$F:$F&lt;&gt;""""),R293)*100,""""))"),"")</f>
        <v/>
      </c>
      <c r="V293" s="15" t="str">
        <f>IFERROR(__xludf.DUMMYFUNCTION("IF($A293="""","""",IFERROR(PERCENTRANK.INC(FILTER(S:S,$F:$F&lt;&gt;""""),S293)*100,""""))"),"")</f>
        <v/>
      </c>
      <c r="W293" s="15" t="str">
        <f t="shared" si="4"/>
        <v/>
      </c>
    </row>
    <row r="294">
      <c r="B294" t="str">
        <f t="array" ref="B294">IFERROR(INDEX('Player Raw Data'!C:C,Match($A294,'Player Raw Data'!$B:$B,0)),"")</f>
        <v/>
      </c>
      <c r="C294" t="str">
        <f t="array" ref="C294">IFERROR(INDEX('Player Raw Data'!D:D,Match($A294,'Player Raw Data'!$B:$B,0)),"")</f>
        <v/>
      </c>
      <c r="D294" t="str">
        <f t="array" ref="D294">IFERROR(IF(A294=A293, INDEX('Player Raw Data'!E:E,Match($A294,'Player Raw Data'!$B:$B,0)+2),INDEX('Player Raw Data'!E:E,Match($A294,'Player Raw Data'!$B:$B,0))),"")</f>
        <v/>
      </c>
      <c r="E294" t="str">
        <f t="array" ref="E294">IFERROR(INDEX('Day Range Raw Data'!D:D,Match($A294,'Day Range Raw Data'!$B:$B,0)),"")</f>
        <v/>
      </c>
      <c r="F294" t="str">
        <f t="array" ref="F294">IFERROR(INDEX('Day Range Raw Data'!F:F,Match($A294,'Day Range Raw Data'!$B:$B,0)),"")</f>
        <v/>
      </c>
      <c r="G294" t="str">
        <f t="array" ref="G294">IFERROR(INDEX('Day Range Raw Data'!G:G,Match($A294,'Day Range Raw Data'!$B:$B,0)),"")</f>
        <v/>
      </c>
      <c r="H294" t="str">
        <f t="array" ref="H294">IFERROR(INDEX('Day Range Raw Data'!H:H,Match($A294,'Day Range Raw Data'!$B:$B,0)),"")</f>
        <v/>
      </c>
      <c r="I294" t="str">
        <f t="array" ref="I294">IFERROR(INDEX('Day Range Raw Data'!M:M,Match($A294,'Day Range Raw Data'!$B:$B,0)),"")</f>
        <v/>
      </c>
      <c r="J294" t="str">
        <f t="array" ref="J294">IFERROR(INDEX('Day Range Raw Data'!N:N,Match($A294,'Day Range Raw Data'!$B:$B,0)),"")</f>
        <v/>
      </c>
      <c r="K294" t="str">
        <f t="array" ref="K294">IFERROR(INDEX('Day Range Raw Data'!R:R,Match($A294,'Day Range Raw Data'!$B:$B,0)),"")</f>
        <v/>
      </c>
      <c r="L294" t="str">
        <f t="array" ref="L294">IFERROR(INDEX('Day Range Raw Data'!S:S,Match($A294,'Day Range Raw Data'!$B:$B,0)),"")</f>
        <v/>
      </c>
      <c r="M294" t="str">
        <f t="array" ref="M294">IFERROR(INDEX('Day Range Raw Data'!T:T,Match($A294,'Day Range Raw Data'!$B:$B,0)),"")</f>
        <v/>
      </c>
      <c r="N294" t="str">
        <f t="array" ref="N294">IFERROR(INDEX('Day Range Raw Data'!U:U,Match($A294,'Day Range Raw Data'!$B:$B,0)),"")</f>
        <v/>
      </c>
      <c r="O294" t="str">
        <f t="array" ref="O294">IFERROR(INDEX('Day Range Raw Data'!V:V,Match($A294,'Day Range Raw Data'!$B:$B,0)),"")</f>
        <v/>
      </c>
      <c r="P294" t="str">
        <f t="array" ref="P294">IFERROR(INDEX('Day Range Raw Data'!X:X,Match($A294,'Day Range Raw Data'!$B:$B,0)),"")</f>
        <v/>
      </c>
      <c r="Q294" t="str">
        <f t="shared" si="1"/>
        <v/>
      </c>
      <c r="R294" s="9" t="str">
        <f t="shared" si="2"/>
        <v/>
      </c>
      <c r="S294" s="14" t="str">
        <f t="shared" si="3"/>
        <v/>
      </c>
      <c r="T294" s="15" t="str">
        <f>IFERROR(__xludf.DUMMYFUNCTION("IF($A294="""","""",IFERROR(PERCENTRANK.INC(FILTER(Q:Q,$F:$F&lt;&gt;""""),Q294)*100,""""))"),"")</f>
        <v/>
      </c>
      <c r="U294" s="15" t="str">
        <f>IFERROR(__xludf.DUMMYFUNCTION("IF($A294="""","""",IFERROR(PERCENTRANK.INC(FILTER(R:R,$F:$F&lt;&gt;""""),R294)*100,""""))"),"")</f>
        <v/>
      </c>
      <c r="V294" s="15" t="str">
        <f>IFERROR(__xludf.DUMMYFUNCTION("IF($A294="""","""",IFERROR(PERCENTRANK.INC(FILTER(S:S,$F:$F&lt;&gt;""""),S294)*100,""""))"),"")</f>
        <v/>
      </c>
      <c r="W294" s="15" t="str">
        <f t="shared" si="4"/>
        <v/>
      </c>
    </row>
    <row r="295">
      <c r="B295" t="str">
        <f t="array" ref="B295">IFERROR(INDEX('Player Raw Data'!C:C,Match($A295,'Player Raw Data'!$B:$B,0)),"")</f>
        <v/>
      </c>
      <c r="C295" t="str">
        <f t="array" ref="C295">IFERROR(INDEX('Player Raw Data'!D:D,Match($A295,'Player Raw Data'!$B:$B,0)),"")</f>
        <v/>
      </c>
      <c r="D295" t="str">
        <f t="array" ref="D295">IFERROR(IF(A295=A294, INDEX('Player Raw Data'!E:E,Match($A295,'Player Raw Data'!$B:$B,0)+2),INDEX('Player Raw Data'!E:E,Match($A295,'Player Raw Data'!$B:$B,0))),"")</f>
        <v/>
      </c>
      <c r="E295" t="str">
        <f t="array" ref="E295">IFERROR(INDEX('Day Range Raw Data'!D:D,Match($A295,'Day Range Raw Data'!$B:$B,0)),"")</f>
        <v/>
      </c>
      <c r="F295" t="str">
        <f t="array" ref="F295">IFERROR(INDEX('Day Range Raw Data'!F:F,Match($A295,'Day Range Raw Data'!$B:$B,0)),"")</f>
        <v/>
      </c>
      <c r="G295" t="str">
        <f t="array" ref="G295">IFERROR(INDEX('Day Range Raw Data'!G:G,Match($A295,'Day Range Raw Data'!$B:$B,0)),"")</f>
        <v/>
      </c>
      <c r="H295" t="str">
        <f t="array" ref="H295">IFERROR(INDEX('Day Range Raw Data'!H:H,Match($A295,'Day Range Raw Data'!$B:$B,0)),"")</f>
        <v/>
      </c>
      <c r="I295" t="str">
        <f t="array" ref="I295">IFERROR(INDEX('Day Range Raw Data'!M:M,Match($A295,'Day Range Raw Data'!$B:$B,0)),"")</f>
        <v/>
      </c>
      <c r="J295" t="str">
        <f t="array" ref="J295">IFERROR(INDEX('Day Range Raw Data'!N:N,Match($A295,'Day Range Raw Data'!$B:$B,0)),"")</f>
        <v/>
      </c>
      <c r="K295" t="str">
        <f t="array" ref="K295">IFERROR(INDEX('Day Range Raw Data'!R:R,Match($A295,'Day Range Raw Data'!$B:$B,0)),"")</f>
        <v/>
      </c>
      <c r="L295" t="str">
        <f t="array" ref="L295">IFERROR(INDEX('Day Range Raw Data'!S:S,Match($A295,'Day Range Raw Data'!$B:$B,0)),"")</f>
        <v/>
      </c>
      <c r="M295" t="str">
        <f t="array" ref="M295">IFERROR(INDEX('Day Range Raw Data'!T:T,Match($A295,'Day Range Raw Data'!$B:$B,0)),"")</f>
        <v/>
      </c>
      <c r="N295" t="str">
        <f t="array" ref="N295">IFERROR(INDEX('Day Range Raw Data'!U:U,Match($A295,'Day Range Raw Data'!$B:$B,0)),"")</f>
        <v/>
      </c>
      <c r="O295" t="str">
        <f t="array" ref="O295">IFERROR(INDEX('Day Range Raw Data'!V:V,Match($A295,'Day Range Raw Data'!$B:$B,0)),"")</f>
        <v/>
      </c>
      <c r="P295" t="str">
        <f t="array" ref="P295">IFERROR(INDEX('Day Range Raw Data'!X:X,Match($A295,'Day Range Raw Data'!$B:$B,0)),"")</f>
        <v/>
      </c>
      <c r="Q295" t="str">
        <f t="shared" si="1"/>
        <v/>
      </c>
      <c r="R295" s="9" t="str">
        <f t="shared" si="2"/>
        <v/>
      </c>
      <c r="S295" s="14" t="str">
        <f t="shared" si="3"/>
        <v/>
      </c>
      <c r="T295" s="15" t="str">
        <f>IFERROR(__xludf.DUMMYFUNCTION("IF($A295="""","""",IFERROR(PERCENTRANK.INC(FILTER(Q:Q,$F:$F&lt;&gt;""""),Q295)*100,""""))"),"")</f>
        <v/>
      </c>
      <c r="U295" s="15" t="str">
        <f>IFERROR(__xludf.DUMMYFUNCTION("IF($A295="""","""",IFERROR(PERCENTRANK.INC(FILTER(R:R,$F:$F&lt;&gt;""""),R295)*100,""""))"),"")</f>
        <v/>
      </c>
      <c r="V295" s="15" t="str">
        <f>IFERROR(__xludf.DUMMYFUNCTION("IF($A295="""","""",IFERROR(PERCENTRANK.INC(FILTER(S:S,$F:$F&lt;&gt;""""),S295)*100,""""))"),"")</f>
        <v/>
      </c>
      <c r="W295" s="15" t="str">
        <f t="shared" si="4"/>
        <v/>
      </c>
    </row>
    <row r="296">
      <c r="B296" t="str">
        <f t="array" ref="B296">IFERROR(INDEX('Player Raw Data'!C:C,Match($A296,'Player Raw Data'!$B:$B,0)),"")</f>
        <v/>
      </c>
      <c r="C296" t="str">
        <f t="array" ref="C296">IFERROR(INDEX('Player Raw Data'!D:D,Match($A296,'Player Raw Data'!$B:$B,0)),"")</f>
        <v/>
      </c>
      <c r="D296" t="str">
        <f t="array" ref="D296">IFERROR(IF(A296=A295, INDEX('Player Raw Data'!E:E,Match($A296,'Player Raw Data'!$B:$B,0)+2),INDEX('Player Raw Data'!E:E,Match($A296,'Player Raw Data'!$B:$B,0))),"")</f>
        <v/>
      </c>
      <c r="E296" t="str">
        <f t="array" ref="E296">IFERROR(INDEX('Day Range Raw Data'!D:D,Match($A296,'Day Range Raw Data'!$B:$B,0)),"")</f>
        <v/>
      </c>
      <c r="F296" t="str">
        <f t="array" ref="F296">IFERROR(INDEX('Day Range Raw Data'!F:F,Match($A296,'Day Range Raw Data'!$B:$B,0)),"")</f>
        <v/>
      </c>
      <c r="G296" t="str">
        <f t="array" ref="G296">IFERROR(INDEX('Day Range Raw Data'!G:G,Match($A296,'Day Range Raw Data'!$B:$B,0)),"")</f>
        <v/>
      </c>
      <c r="H296" t="str">
        <f t="array" ref="H296">IFERROR(INDEX('Day Range Raw Data'!H:H,Match($A296,'Day Range Raw Data'!$B:$B,0)),"")</f>
        <v/>
      </c>
      <c r="I296" t="str">
        <f t="array" ref="I296">IFERROR(INDEX('Day Range Raw Data'!M:M,Match($A296,'Day Range Raw Data'!$B:$B,0)),"")</f>
        <v/>
      </c>
      <c r="J296" t="str">
        <f t="array" ref="J296">IFERROR(INDEX('Day Range Raw Data'!N:N,Match($A296,'Day Range Raw Data'!$B:$B,0)),"")</f>
        <v/>
      </c>
      <c r="K296" t="str">
        <f t="array" ref="K296">IFERROR(INDEX('Day Range Raw Data'!R:R,Match($A296,'Day Range Raw Data'!$B:$B,0)),"")</f>
        <v/>
      </c>
      <c r="L296" t="str">
        <f t="array" ref="L296">IFERROR(INDEX('Day Range Raw Data'!S:S,Match($A296,'Day Range Raw Data'!$B:$B,0)),"")</f>
        <v/>
      </c>
      <c r="M296" t="str">
        <f t="array" ref="M296">IFERROR(INDEX('Day Range Raw Data'!T:T,Match($A296,'Day Range Raw Data'!$B:$B,0)),"")</f>
        <v/>
      </c>
      <c r="N296" t="str">
        <f t="array" ref="N296">IFERROR(INDEX('Day Range Raw Data'!U:U,Match($A296,'Day Range Raw Data'!$B:$B,0)),"")</f>
        <v/>
      </c>
      <c r="O296" t="str">
        <f t="array" ref="O296">IFERROR(INDEX('Day Range Raw Data'!V:V,Match($A296,'Day Range Raw Data'!$B:$B,0)),"")</f>
        <v/>
      </c>
      <c r="P296" t="str">
        <f t="array" ref="P296">IFERROR(INDEX('Day Range Raw Data'!X:X,Match($A296,'Day Range Raw Data'!$B:$B,0)),"")</f>
        <v/>
      </c>
      <c r="Q296" t="str">
        <f t="shared" si="1"/>
        <v/>
      </c>
      <c r="R296" s="9" t="str">
        <f t="shared" si="2"/>
        <v/>
      </c>
      <c r="S296" s="14" t="str">
        <f t="shared" si="3"/>
        <v/>
      </c>
      <c r="T296" s="15" t="str">
        <f>IFERROR(__xludf.DUMMYFUNCTION("IF($A296="""","""",IFERROR(PERCENTRANK.INC(FILTER(Q:Q,$F:$F&lt;&gt;""""),Q296)*100,""""))"),"")</f>
        <v/>
      </c>
      <c r="U296" s="15" t="str">
        <f>IFERROR(__xludf.DUMMYFUNCTION("IF($A296="""","""",IFERROR(PERCENTRANK.INC(FILTER(R:R,$F:$F&lt;&gt;""""),R296)*100,""""))"),"")</f>
        <v/>
      </c>
      <c r="V296" s="15" t="str">
        <f>IFERROR(__xludf.DUMMYFUNCTION("IF($A296="""","""",IFERROR(PERCENTRANK.INC(FILTER(S:S,$F:$F&lt;&gt;""""),S296)*100,""""))"),"")</f>
        <v/>
      </c>
      <c r="W296" s="15" t="str">
        <f t="shared" si="4"/>
        <v/>
      </c>
    </row>
    <row r="297">
      <c r="B297" t="str">
        <f t="array" ref="B297">IFERROR(INDEX('Player Raw Data'!C:C,Match($A297,'Player Raw Data'!$B:$B,0)),"")</f>
        <v/>
      </c>
      <c r="C297" t="str">
        <f t="array" ref="C297">IFERROR(INDEX('Player Raw Data'!D:D,Match($A297,'Player Raw Data'!$B:$B,0)),"")</f>
        <v/>
      </c>
      <c r="D297" t="str">
        <f t="array" ref="D297">IFERROR(IF(A297=A296, INDEX('Player Raw Data'!E:E,Match($A297,'Player Raw Data'!$B:$B,0)+2),INDEX('Player Raw Data'!E:E,Match($A297,'Player Raw Data'!$B:$B,0))),"")</f>
        <v/>
      </c>
      <c r="E297" t="str">
        <f t="array" ref="E297">IFERROR(INDEX('Day Range Raw Data'!D:D,Match($A297,'Day Range Raw Data'!$B:$B,0)),"")</f>
        <v/>
      </c>
      <c r="F297" t="str">
        <f t="array" ref="F297">IFERROR(INDEX('Day Range Raw Data'!F:F,Match($A297,'Day Range Raw Data'!$B:$B,0)),"")</f>
        <v/>
      </c>
      <c r="G297" t="str">
        <f t="array" ref="G297">IFERROR(INDEX('Day Range Raw Data'!G:G,Match($A297,'Day Range Raw Data'!$B:$B,0)),"")</f>
        <v/>
      </c>
      <c r="H297" t="str">
        <f t="array" ref="H297">IFERROR(INDEX('Day Range Raw Data'!H:H,Match($A297,'Day Range Raw Data'!$B:$B,0)),"")</f>
        <v/>
      </c>
      <c r="I297" t="str">
        <f t="array" ref="I297">IFERROR(INDEX('Day Range Raw Data'!M:M,Match($A297,'Day Range Raw Data'!$B:$B,0)),"")</f>
        <v/>
      </c>
      <c r="J297" t="str">
        <f t="array" ref="J297">IFERROR(INDEX('Day Range Raw Data'!N:N,Match($A297,'Day Range Raw Data'!$B:$B,0)),"")</f>
        <v/>
      </c>
      <c r="K297" t="str">
        <f t="array" ref="K297">IFERROR(INDEX('Day Range Raw Data'!R:R,Match($A297,'Day Range Raw Data'!$B:$B,0)),"")</f>
        <v/>
      </c>
      <c r="L297" t="str">
        <f t="array" ref="L297">IFERROR(INDEX('Day Range Raw Data'!S:S,Match($A297,'Day Range Raw Data'!$B:$B,0)),"")</f>
        <v/>
      </c>
      <c r="M297" t="str">
        <f t="array" ref="M297">IFERROR(INDEX('Day Range Raw Data'!T:T,Match($A297,'Day Range Raw Data'!$B:$B,0)),"")</f>
        <v/>
      </c>
      <c r="N297" t="str">
        <f t="array" ref="N297">IFERROR(INDEX('Day Range Raw Data'!U:U,Match($A297,'Day Range Raw Data'!$B:$B,0)),"")</f>
        <v/>
      </c>
      <c r="O297" t="str">
        <f t="array" ref="O297">IFERROR(INDEX('Day Range Raw Data'!V:V,Match($A297,'Day Range Raw Data'!$B:$B,0)),"")</f>
        <v/>
      </c>
      <c r="P297" t="str">
        <f t="array" ref="P297">IFERROR(INDEX('Day Range Raw Data'!X:X,Match($A297,'Day Range Raw Data'!$B:$B,0)),"")</f>
        <v/>
      </c>
      <c r="Q297" t="str">
        <f t="shared" si="1"/>
        <v/>
      </c>
      <c r="R297" s="9" t="str">
        <f t="shared" si="2"/>
        <v/>
      </c>
      <c r="S297" s="14" t="str">
        <f t="shared" si="3"/>
        <v/>
      </c>
      <c r="T297" s="15" t="str">
        <f>IFERROR(__xludf.DUMMYFUNCTION("IF($A297="""","""",IFERROR(PERCENTRANK.INC(FILTER(Q:Q,$F:$F&lt;&gt;""""),Q297)*100,""""))"),"")</f>
        <v/>
      </c>
      <c r="U297" s="15" t="str">
        <f>IFERROR(__xludf.DUMMYFUNCTION("IF($A297="""","""",IFERROR(PERCENTRANK.INC(FILTER(R:R,$F:$F&lt;&gt;""""),R297)*100,""""))"),"")</f>
        <v/>
      </c>
      <c r="V297" s="15" t="str">
        <f>IFERROR(__xludf.DUMMYFUNCTION("IF($A297="""","""",IFERROR(PERCENTRANK.INC(FILTER(S:S,$F:$F&lt;&gt;""""),S297)*100,""""))"),"")</f>
        <v/>
      </c>
      <c r="W297" s="15" t="str">
        <f t="shared" si="4"/>
        <v/>
      </c>
    </row>
    <row r="298">
      <c r="B298" t="str">
        <f t="array" ref="B298">IFERROR(INDEX('Player Raw Data'!C:C,Match($A298,'Player Raw Data'!$B:$B,0)),"")</f>
        <v/>
      </c>
      <c r="C298" t="str">
        <f t="array" ref="C298">IFERROR(INDEX('Player Raw Data'!D:D,Match($A298,'Player Raw Data'!$B:$B,0)),"")</f>
        <v/>
      </c>
      <c r="D298" t="str">
        <f t="array" ref="D298">IFERROR(IF(A298=A297, INDEX('Player Raw Data'!E:E,Match($A298,'Player Raw Data'!$B:$B,0)+2),INDEX('Player Raw Data'!E:E,Match($A298,'Player Raw Data'!$B:$B,0))),"")</f>
        <v/>
      </c>
      <c r="E298" t="str">
        <f t="array" ref="E298">IFERROR(INDEX('Day Range Raw Data'!D:D,Match($A298,'Day Range Raw Data'!$B:$B,0)),"")</f>
        <v/>
      </c>
      <c r="F298" t="str">
        <f t="array" ref="F298">IFERROR(INDEX('Day Range Raw Data'!F:F,Match($A298,'Day Range Raw Data'!$B:$B,0)),"")</f>
        <v/>
      </c>
      <c r="G298" t="str">
        <f t="array" ref="G298">IFERROR(INDEX('Day Range Raw Data'!G:G,Match($A298,'Day Range Raw Data'!$B:$B,0)),"")</f>
        <v/>
      </c>
      <c r="H298" t="str">
        <f t="array" ref="H298">IFERROR(INDEX('Day Range Raw Data'!H:H,Match($A298,'Day Range Raw Data'!$B:$B,0)),"")</f>
        <v/>
      </c>
      <c r="I298" t="str">
        <f t="array" ref="I298">IFERROR(INDEX('Day Range Raw Data'!M:M,Match($A298,'Day Range Raw Data'!$B:$B,0)),"")</f>
        <v/>
      </c>
      <c r="J298" t="str">
        <f t="array" ref="J298">IFERROR(INDEX('Day Range Raw Data'!N:N,Match($A298,'Day Range Raw Data'!$B:$B,0)),"")</f>
        <v/>
      </c>
      <c r="K298" t="str">
        <f t="array" ref="K298">IFERROR(INDEX('Day Range Raw Data'!R:R,Match($A298,'Day Range Raw Data'!$B:$B,0)),"")</f>
        <v/>
      </c>
      <c r="L298" t="str">
        <f t="array" ref="L298">IFERROR(INDEX('Day Range Raw Data'!S:S,Match($A298,'Day Range Raw Data'!$B:$B,0)),"")</f>
        <v/>
      </c>
      <c r="M298" t="str">
        <f t="array" ref="M298">IFERROR(INDEX('Day Range Raw Data'!T:T,Match($A298,'Day Range Raw Data'!$B:$B,0)),"")</f>
        <v/>
      </c>
      <c r="N298" t="str">
        <f t="array" ref="N298">IFERROR(INDEX('Day Range Raw Data'!U:U,Match($A298,'Day Range Raw Data'!$B:$B,0)),"")</f>
        <v/>
      </c>
      <c r="O298" t="str">
        <f t="array" ref="O298">IFERROR(INDEX('Day Range Raw Data'!V:V,Match($A298,'Day Range Raw Data'!$B:$B,0)),"")</f>
        <v/>
      </c>
      <c r="P298" t="str">
        <f t="array" ref="P298">IFERROR(INDEX('Day Range Raw Data'!X:X,Match($A298,'Day Range Raw Data'!$B:$B,0)),"")</f>
        <v/>
      </c>
      <c r="Q298" t="str">
        <f t="shared" si="1"/>
        <v/>
      </c>
      <c r="R298" s="9" t="str">
        <f t="shared" si="2"/>
        <v/>
      </c>
      <c r="S298" s="14" t="str">
        <f t="shared" si="3"/>
        <v/>
      </c>
      <c r="T298" s="15" t="str">
        <f>IFERROR(__xludf.DUMMYFUNCTION("IF($A298="""","""",IFERROR(PERCENTRANK.INC(FILTER(Q:Q,$F:$F&lt;&gt;""""),Q298)*100,""""))"),"")</f>
        <v/>
      </c>
      <c r="U298" s="15" t="str">
        <f>IFERROR(__xludf.DUMMYFUNCTION("IF($A298="""","""",IFERROR(PERCENTRANK.INC(FILTER(R:R,$F:$F&lt;&gt;""""),R298)*100,""""))"),"")</f>
        <v/>
      </c>
      <c r="V298" s="15" t="str">
        <f>IFERROR(__xludf.DUMMYFUNCTION("IF($A298="""","""",IFERROR(PERCENTRANK.INC(FILTER(S:S,$F:$F&lt;&gt;""""),S298)*100,""""))"),"")</f>
        <v/>
      </c>
      <c r="W298" s="15" t="str">
        <f t="shared" si="4"/>
        <v/>
      </c>
    </row>
    <row r="299">
      <c r="B299" t="str">
        <f t="array" ref="B299">IFERROR(INDEX('Player Raw Data'!C:C,Match($A299,'Player Raw Data'!$B:$B,0)),"")</f>
        <v/>
      </c>
      <c r="C299" t="str">
        <f t="array" ref="C299">IFERROR(INDEX('Player Raw Data'!D:D,Match($A299,'Player Raw Data'!$B:$B,0)),"")</f>
        <v/>
      </c>
      <c r="D299" t="str">
        <f t="array" ref="D299">IFERROR(IF(A299=A298, INDEX('Player Raw Data'!E:E,Match($A299,'Player Raw Data'!$B:$B,0)+2),INDEX('Player Raw Data'!E:E,Match($A299,'Player Raw Data'!$B:$B,0))),"")</f>
        <v/>
      </c>
      <c r="E299" t="str">
        <f t="array" ref="E299">IFERROR(INDEX('Day Range Raw Data'!D:D,Match($A299,'Day Range Raw Data'!$B:$B,0)),"")</f>
        <v/>
      </c>
      <c r="F299" t="str">
        <f t="array" ref="F299">IFERROR(INDEX('Day Range Raw Data'!F:F,Match($A299,'Day Range Raw Data'!$B:$B,0)),"")</f>
        <v/>
      </c>
      <c r="G299" t="str">
        <f t="array" ref="G299">IFERROR(INDEX('Day Range Raw Data'!G:G,Match($A299,'Day Range Raw Data'!$B:$B,0)),"")</f>
        <v/>
      </c>
      <c r="H299" t="str">
        <f t="array" ref="H299">IFERROR(INDEX('Day Range Raw Data'!H:H,Match($A299,'Day Range Raw Data'!$B:$B,0)),"")</f>
        <v/>
      </c>
      <c r="I299" t="str">
        <f t="array" ref="I299">IFERROR(INDEX('Day Range Raw Data'!M:M,Match($A299,'Day Range Raw Data'!$B:$B,0)),"")</f>
        <v/>
      </c>
      <c r="J299" t="str">
        <f t="array" ref="J299">IFERROR(INDEX('Day Range Raw Data'!N:N,Match($A299,'Day Range Raw Data'!$B:$B,0)),"")</f>
        <v/>
      </c>
      <c r="K299" t="str">
        <f t="array" ref="K299">IFERROR(INDEX('Day Range Raw Data'!R:R,Match($A299,'Day Range Raw Data'!$B:$B,0)),"")</f>
        <v/>
      </c>
      <c r="L299" t="str">
        <f t="array" ref="L299">IFERROR(INDEX('Day Range Raw Data'!S:S,Match($A299,'Day Range Raw Data'!$B:$B,0)),"")</f>
        <v/>
      </c>
      <c r="M299" t="str">
        <f t="array" ref="M299">IFERROR(INDEX('Day Range Raw Data'!T:T,Match($A299,'Day Range Raw Data'!$B:$B,0)),"")</f>
        <v/>
      </c>
      <c r="N299" t="str">
        <f t="array" ref="N299">IFERROR(INDEX('Day Range Raw Data'!U:U,Match($A299,'Day Range Raw Data'!$B:$B,0)),"")</f>
        <v/>
      </c>
      <c r="O299" t="str">
        <f t="array" ref="O299">IFERROR(INDEX('Day Range Raw Data'!V:V,Match($A299,'Day Range Raw Data'!$B:$B,0)),"")</f>
        <v/>
      </c>
      <c r="P299" t="str">
        <f t="array" ref="P299">IFERROR(INDEX('Day Range Raw Data'!X:X,Match($A299,'Day Range Raw Data'!$B:$B,0)),"")</f>
        <v/>
      </c>
      <c r="Q299" t="str">
        <f t="shared" si="1"/>
        <v/>
      </c>
      <c r="R299" s="9" t="str">
        <f t="shared" si="2"/>
        <v/>
      </c>
      <c r="S299" s="14" t="str">
        <f t="shared" si="3"/>
        <v/>
      </c>
      <c r="T299" s="15" t="str">
        <f>IFERROR(__xludf.DUMMYFUNCTION("IF($A299="""","""",IFERROR(PERCENTRANK.INC(FILTER(Q:Q,$F:$F&lt;&gt;""""),Q299)*100,""""))"),"")</f>
        <v/>
      </c>
      <c r="U299" s="15" t="str">
        <f>IFERROR(__xludf.DUMMYFUNCTION("IF($A299="""","""",IFERROR(PERCENTRANK.INC(FILTER(R:R,$F:$F&lt;&gt;""""),R299)*100,""""))"),"")</f>
        <v/>
      </c>
      <c r="V299" s="15" t="str">
        <f>IFERROR(__xludf.DUMMYFUNCTION("IF($A299="""","""",IFERROR(PERCENTRANK.INC(FILTER(S:S,$F:$F&lt;&gt;""""),S299)*100,""""))"),"")</f>
        <v/>
      </c>
      <c r="W299" s="15" t="str">
        <f t="shared" si="4"/>
        <v/>
      </c>
    </row>
    <row r="300">
      <c r="B300" t="str">
        <f t="array" ref="B300">IFERROR(INDEX('Player Raw Data'!C:C,Match($A300,'Player Raw Data'!$B:$B,0)),"")</f>
        <v/>
      </c>
      <c r="C300" t="str">
        <f t="array" ref="C300">IFERROR(INDEX('Player Raw Data'!D:D,Match($A300,'Player Raw Data'!$B:$B,0)),"")</f>
        <v/>
      </c>
      <c r="D300" t="str">
        <f t="array" ref="D300">IFERROR(IF(A300=A299, INDEX('Player Raw Data'!E:E,Match($A300,'Player Raw Data'!$B:$B,0)+2),INDEX('Player Raw Data'!E:E,Match($A300,'Player Raw Data'!$B:$B,0))),"")</f>
        <v/>
      </c>
      <c r="E300" t="str">
        <f t="array" ref="E300">IFERROR(INDEX('Day Range Raw Data'!D:D,Match($A300,'Day Range Raw Data'!$B:$B,0)),"")</f>
        <v/>
      </c>
      <c r="F300" t="str">
        <f t="array" ref="F300">IFERROR(INDEX('Day Range Raw Data'!F:F,Match($A300,'Day Range Raw Data'!$B:$B,0)),"")</f>
        <v/>
      </c>
      <c r="G300" t="str">
        <f t="array" ref="G300">IFERROR(INDEX('Day Range Raw Data'!G:G,Match($A300,'Day Range Raw Data'!$B:$B,0)),"")</f>
        <v/>
      </c>
      <c r="H300" t="str">
        <f t="array" ref="H300">IFERROR(INDEX('Day Range Raw Data'!H:H,Match($A300,'Day Range Raw Data'!$B:$B,0)),"")</f>
        <v/>
      </c>
      <c r="I300" t="str">
        <f t="array" ref="I300">IFERROR(INDEX('Day Range Raw Data'!M:M,Match($A300,'Day Range Raw Data'!$B:$B,0)),"")</f>
        <v/>
      </c>
      <c r="J300" t="str">
        <f t="array" ref="J300">IFERROR(INDEX('Day Range Raw Data'!N:N,Match($A300,'Day Range Raw Data'!$B:$B,0)),"")</f>
        <v/>
      </c>
      <c r="K300" t="str">
        <f t="array" ref="K300">IFERROR(INDEX('Day Range Raw Data'!R:R,Match($A300,'Day Range Raw Data'!$B:$B,0)),"")</f>
        <v/>
      </c>
      <c r="L300" t="str">
        <f t="array" ref="L300">IFERROR(INDEX('Day Range Raw Data'!S:S,Match($A300,'Day Range Raw Data'!$B:$B,0)),"")</f>
        <v/>
      </c>
      <c r="M300" t="str">
        <f t="array" ref="M300">IFERROR(INDEX('Day Range Raw Data'!T:T,Match($A300,'Day Range Raw Data'!$B:$B,0)),"")</f>
        <v/>
      </c>
      <c r="N300" t="str">
        <f t="array" ref="N300">IFERROR(INDEX('Day Range Raw Data'!U:U,Match($A300,'Day Range Raw Data'!$B:$B,0)),"")</f>
        <v/>
      </c>
      <c r="O300" t="str">
        <f t="array" ref="O300">IFERROR(INDEX('Day Range Raw Data'!V:V,Match($A300,'Day Range Raw Data'!$B:$B,0)),"")</f>
        <v/>
      </c>
      <c r="P300" t="str">
        <f t="array" ref="P300">IFERROR(INDEX('Day Range Raw Data'!X:X,Match($A300,'Day Range Raw Data'!$B:$B,0)),"")</f>
        <v/>
      </c>
      <c r="Q300" t="str">
        <f t="shared" si="1"/>
        <v/>
      </c>
      <c r="R300" s="9" t="str">
        <f t="shared" si="2"/>
        <v/>
      </c>
      <c r="S300" s="14" t="str">
        <f t="shared" si="3"/>
        <v/>
      </c>
      <c r="T300" s="15" t="str">
        <f>IFERROR(__xludf.DUMMYFUNCTION("IF($A300="""","""",IFERROR(PERCENTRANK.INC(FILTER(Q:Q,$F:$F&lt;&gt;""""),Q300)*100,""""))"),"")</f>
        <v/>
      </c>
      <c r="U300" s="15" t="str">
        <f>IFERROR(__xludf.DUMMYFUNCTION("IF($A300="""","""",IFERROR(PERCENTRANK.INC(FILTER(R:R,$F:$F&lt;&gt;""""),R300)*100,""""))"),"")</f>
        <v/>
      </c>
      <c r="V300" s="15" t="str">
        <f>IFERROR(__xludf.DUMMYFUNCTION("IF($A300="""","""",IFERROR(PERCENTRANK.INC(FILTER(S:S,$F:$F&lt;&gt;""""),S300)*100,""""))"),"")</f>
        <v/>
      </c>
      <c r="W300" s="15" t="str">
        <f t="shared" si="4"/>
        <v/>
      </c>
    </row>
    <row r="301">
      <c r="B301" t="str">
        <f t="array" ref="B301">IFERROR(INDEX('Player Raw Data'!C:C,Match($A301,'Player Raw Data'!$B:$B,0)),"")</f>
        <v/>
      </c>
      <c r="C301" t="str">
        <f t="array" ref="C301">IFERROR(INDEX('Player Raw Data'!D:D,Match($A301,'Player Raw Data'!$B:$B,0)),"")</f>
        <v/>
      </c>
      <c r="D301" t="str">
        <f t="array" ref="D301">IFERROR(IF(A301=A300, INDEX('Player Raw Data'!E:E,Match($A301,'Player Raw Data'!$B:$B,0)+2),INDEX('Player Raw Data'!E:E,Match($A301,'Player Raw Data'!$B:$B,0))),"")</f>
        <v/>
      </c>
      <c r="E301" t="str">
        <f t="array" ref="E301">IFERROR(INDEX('Day Range Raw Data'!D:D,Match($A301,'Day Range Raw Data'!$B:$B,0)),"")</f>
        <v/>
      </c>
      <c r="F301" t="str">
        <f t="array" ref="F301">IFERROR(INDEX('Day Range Raw Data'!F:F,Match($A301,'Day Range Raw Data'!$B:$B,0)),"")</f>
        <v/>
      </c>
      <c r="G301" t="str">
        <f t="array" ref="G301">IFERROR(INDEX('Day Range Raw Data'!G:G,Match($A301,'Day Range Raw Data'!$B:$B,0)),"")</f>
        <v/>
      </c>
      <c r="H301" t="str">
        <f t="array" ref="H301">IFERROR(INDEX('Day Range Raw Data'!H:H,Match($A301,'Day Range Raw Data'!$B:$B,0)),"")</f>
        <v/>
      </c>
      <c r="I301" t="str">
        <f t="array" ref="I301">IFERROR(INDEX('Day Range Raw Data'!M:M,Match($A301,'Day Range Raw Data'!$B:$B,0)),"")</f>
        <v/>
      </c>
      <c r="J301" t="str">
        <f t="array" ref="J301">IFERROR(INDEX('Day Range Raw Data'!N:N,Match($A301,'Day Range Raw Data'!$B:$B,0)),"")</f>
        <v/>
      </c>
      <c r="K301" t="str">
        <f t="array" ref="K301">IFERROR(INDEX('Day Range Raw Data'!R:R,Match($A301,'Day Range Raw Data'!$B:$B,0)),"")</f>
        <v/>
      </c>
      <c r="L301" t="str">
        <f t="array" ref="L301">IFERROR(INDEX('Day Range Raw Data'!S:S,Match($A301,'Day Range Raw Data'!$B:$B,0)),"")</f>
        <v/>
      </c>
      <c r="M301" t="str">
        <f t="array" ref="M301">IFERROR(INDEX('Day Range Raw Data'!T:T,Match($A301,'Day Range Raw Data'!$B:$B,0)),"")</f>
        <v/>
      </c>
      <c r="N301" t="str">
        <f t="array" ref="N301">IFERROR(INDEX('Day Range Raw Data'!U:U,Match($A301,'Day Range Raw Data'!$B:$B,0)),"")</f>
        <v/>
      </c>
      <c r="O301" t="str">
        <f t="array" ref="O301">IFERROR(INDEX('Day Range Raw Data'!V:V,Match($A301,'Day Range Raw Data'!$B:$B,0)),"")</f>
        <v/>
      </c>
      <c r="P301" t="str">
        <f t="array" ref="P301">IFERROR(INDEX('Day Range Raw Data'!X:X,Match($A301,'Day Range Raw Data'!$B:$B,0)),"")</f>
        <v/>
      </c>
      <c r="Q301" t="str">
        <f t="shared" si="1"/>
        <v/>
      </c>
      <c r="R301" s="9" t="str">
        <f t="shared" si="2"/>
        <v/>
      </c>
      <c r="S301" s="14" t="str">
        <f t="shared" si="3"/>
        <v/>
      </c>
      <c r="T301" s="15" t="str">
        <f>IFERROR(__xludf.DUMMYFUNCTION("IF($A301="""","""",IFERROR(PERCENTRANK.INC(FILTER(Q:Q,$F:$F&lt;&gt;""""),Q301)*100,""""))"),"")</f>
        <v/>
      </c>
      <c r="U301" s="15" t="str">
        <f>IFERROR(__xludf.DUMMYFUNCTION("IF($A301="""","""",IFERROR(PERCENTRANK.INC(FILTER(R:R,$F:$F&lt;&gt;""""),R301)*100,""""))"),"")</f>
        <v/>
      </c>
      <c r="V301" s="15" t="str">
        <f>IFERROR(__xludf.DUMMYFUNCTION("IF($A301="""","""",IFERROR(PERCENTRANK.INC(FILTER(S:S,$F:$F&lt;&gt;""""),S301)*100,""""))"),"")</f>
        <v/>
      </c>
      <c r="W301" s="15" t="str">
        <f t="shared" si="4"/>
        <v/>
      </c>
    </row>
    <row r="302">
      <c r="B302" t="str">
        <f t="array" ref="B302">IFERROR(INDEX('Player Raw Data'!C:C,Match($A302,'Player Raw Data'!$B:$B,0)),"")</f>
        <v/>
      </c>
      <c r="C302" t="str">
        <f t="array" ref="C302">IFERROR(INDEX('Player Raw Data'!D:D,Match($A302,'Player Raw Data'!$B:$B,0)),"")</f>
        <v/>
      </c>
      <c r="D302" t="str">
        <f t="array" ref="D302">IFERROR(IF(A302=A301, INDEX('Player Raw Data'!E:E,Match($A302,'Player Raw Data'!$B:$B,0)+2),INDEX('Player Raw Data'!E:E,Match($A302,'Player Raw Data'!$B:$B,0))),"")</f>
        <v/>
      </c>
      <c r="E302" t="str">
        <f t="array" ref="E302">IFERROR(INDEX('Day Range Raw Data'!D:D,Match($A302,'Day Range Raw Data'!$B:$B,0)),"")</f>
        <v/>
      </c>
      <c r="F302" t="str">
        <f t="array" ref="F302">IFERROR(INDEX('Day Range Raw Data'!F:F,Match($A302,'Day Range Raw Data'!$B:$B,0)),"")</f>
        <v/>
      </c>
      <c r="G302" t="str">
        <f t="array" ref="G302">IFERROR(INDEX('Day Range Raw Data'!G:G,Match($A302,'Day Range Raw Data'!$B:$B,0)),"")</f>
        <v/>
      </c>
      <c r="H302" t="str">
        <f t="array" ref="H302">IFERROR(INDEX('Day Range Raw Data'!H:H,Match($A302,'Day Range Raw Data'!$B:$B,0)),"")</f>
        <v/>
      </c>
      <c r="I302" t="str">
        <f t="array" ref="I302">IFERROR(INDEX('Day Range Raw Data'!M:M,Match($A302,'Day Range Raw Data'!$B:$B,0)),"")</f>
        <v/>
      </c>
      <c r="J302" t="str">
        <f t="array" ref="J302">IFERROR(INDEX('Day Range Raw Data'!N:N,Match($A302,'Day Range Raw Data'!$B:$B,0)),"")</f>
        <v/>
      </c>
      <c r="K302" t="str">
        <f t="array" ref="K302">IFERROR(INDEX('Day Range Raw Data'!R:R,Match($A302,'Day Range Raw Data'!$B:$B,0)),"")</f>
        <v/>
      </c>
      <c r="L302" t="str">
        <f t="array" ref="L302">IFERROR(INDEX('Day Range Raw Data'!S:S,Match($A302,'Day Range Raw Data'!$B:$B,0)),"")</f>
        <v/>
      </c>
      <c r="M302" t="str">
        <f t="array" ref="M302">IFERROR(INDEX('Day Range Raw Data'!T:T,Match($A302,'Day Range Raw Data'!$B:$B,0)),"")</f>
        <v/>
      </c>
      <c r="N302" t="str">
        <f t="array" ref="N302">IFERROR(INDEX('Day Range Raw Data'!U:U,Match($A302,'Day Range Raw Data'!$B:$B,0)),"")</f>
        <v/>
      </c>
      <c r="O302" t="str">
        <f t="array" ref="O302">IFERROR(INDEX('Day Range Raw Data'!V:V,Match($A302,'Day Range Raw Data'!$B:$B,0)),"")</f>
        <v/>
      </c>
      <c r="P302" t="str">
        <f t="array" ref="P302">IFERROR(INDEX('Day Range Raw Data'!X:X,Match($A302,'Day Range Raw Data'!$B:$B,0)),"")</f>
        <v/>
      </c>
      <c r="Q302" t="str">
        <f t="shared" si="1"/>
        <v/>
      </c>
      <c r="R302" s="9" t="str">
        <f t="shared" si="2"/>
        <v/>
      </c>
      <c r="S302" s="14" t="str">
        <f t="shared" si="3"/>
        <v/>
      </c>
      <c r="T302" s="15" t="str">
        <f>IFERROR(__xludf.DUMMYFUNCTION("IF($A302="""","""",IFERROR(PERCENTRANK.INC(FILTER(Q:Q,$F:$F&lt;&gt;""""),Q302)*100,""""))"),"")</f>
        <v/>
      </c>
      <c r="U302" s="15" t="str">
        <f>IFERROR(__xludf.DUMMYFUNCTION("IF($A302="""","""",IFERROR(PERCENTRANK.INC(FILTER(R:R,$F:$F&lt;&gt;""""),R302)*100,""""))"),"")</f>
        <v/>
      </c>
      <c r="V302" s="15" t="str">
        <f>IFERROR(__xludf.DUMMYFUNCTION("IF($A302="""","""",IFERROR(PERCENTRANK.INC(FILTER(S:S,$F:$F&lt;&gt;""""),S302)*100,""""))"),"")</f>
        <v/>
      </c>
      <c r="W302" s="15" t="str">
        <f t="shared" si="4"/>
        <v/>
      </c>
    </row>
    <row r="303">
      <c r="B303" t="str">
        <f t="array" ref="B303">IFERROR(INDEX('Player Raw Data'!C:C,Match($A303,'Player Raw Data'!$B:$B,0)),"")</f>
        <v/>
      </c>
      <c r="C303" t="str">
        <f t="array" ref="C303">IFERROR(INDEX('Player Raw Data'!D:D,Match($A303,'Player Raw Data'!$B:$B,0)),"")</f>
        <v/>
      </c>
      <c r="D303" t="str">
        <f t="array" ref="D303">IFERROR(IF(A303=A302, INDEX('Player Raw Data'!E:E,Match($A303,'Player Raw Data'!$B:$B,0)+2),INDEX('Player Raw Data'!E:E,Match($A303,'Player Raw Data'!$B:$B,0))),"")</f>
        <v/>
      </c>
      <c r="E303" t="str">
        <f t="array" ref="E303">IFERROR(INDEX('Day Range Raw Data'!D:D,Match($A303,'Day Range Raw Data'!$B:$B,0)),"")</f>
        <v/>
      </c>
      <c r="F303" t="str">
        <f t="array" ref="F303">IFERROR(INDEX('Day Range Raw Data'!F:F,Match($A303,'Day Range Raw Data'!$B:$B,0)),"")</f>
        <v/>
      </c>
      <c r="G303" t="str">
        <f t="array" ref="G303">IFERROR(INDEX('Day Range Raw Data'!G:G,Match($A303,'Day Range Raw Data'!$B:$B,0)),"")</f>
        <v/>
      </c>
      <c r="H303" t="str">
        <f t="array" ref="H303">IFERROR(INDEX('Day Range Raw Data'!H:H,Match($A303,'Day Range Raw Data'!$B:$B,0)),"")</f>
        <v/>
      </c>
      <c r="I303" t="str">
        <f t="array" ref="I303">IFERROR(INDEX('Day Range Raw Data'!M:M,Match($A303,'Day Range Raw Data'!$B:$B,0)),"")</f>
        <v/>
      </c>
      <c r="J303" t="str">
        <f t="array" ref="J303">IFERROR(INDEX('Day Range Raw Data'!N:N,Match($A303,'Day Range Raw Data'!$B:$B,0)),"")</f>
        <v/>
      </c>
      <c r="K303" t="str">
        <f t="array" ref="K303">IFERROR(INDEX('Day Range Raw Data'!R:R,Match($A303,'Day Range Raw Data'!$B:$B,0)),"")</f>
        <v/>
      </c>
      <c r="L303" t="str">
        <f t="array" ref="L303">IFERROR(INDEX('Day Range Raw Data'!S:S,Match($A303,'Day Range Raw Data'!$B:$B,0)),"")</f>
        <v/>
      </c>
      <c r="M303" t="str">
        <f t="array" ref="M303">IFERROR(INDEX('Day Range Raw Data'!T:T,Match($A303,'Day Range Raw Data'!$B:$B,0)),"")</f>
        <v/>
      </c>
      <c r="N303" t="str">
        <f t="array" ref="N303">IFERROR(INDEX('Day Range Raw Data'!U:U,Match($A303,'Day Range Raw Data'!$B:$B,0)),"")</f>
        <v/>
      </c>
      <c r="O303" t="str">
        <f t="array" ref="O303">IFERROR(INDEX('Day Range Raw Data'!V:V,Match($A303,'Day Range Raw Data'!$B:$B,0)),"")</f>
        <v/>
      </c>
      <c r="P303" t="str">
        <f t="array" ref="P303">IFERROR(INDEX('Day Range Raw Data'!X:X,Match($A303,'Day Range Raw Data'!$B:$B,0)),"")</f>
        <v/>
      </c>
      <c r="Q303" t="str">
        <f t="shared" si="1"/>
        <v/>
      </c>
      <c r="R303" s="9" t="str">
        <f t="shared" si="2"/>
        <v/>
      </c>
      <c r="S303" s="14" t="str">
        <f t="shared" si="3"/>
        <v/>
      </c>
      <c r="T303" s="15" t="str">
        <f>IFERROR(__xludf.DUMMYFUNCTION("IF($A303="""","""",IFERROR(PERCENTRANK.INC(FILTER(Q:Q,$F:$F&lt;&gt;""""),Q303)*100,""""))"),"")</f>
        <v/>
      </c>
      <c r="U303" s="15" t="str">
        <f>IFERROR(__xludf.DUMMYFUNCTION("IF($A303="""","""",IFERROR(PERCENTRANK.INC(FILTER(R:R,$F:$F&lt;&gt;""""),R303)*100,""""))"),"")</f>
        <v/>
      </c>
      <c r="V303" s="15" t="str">
        <f>IFERROR(__xludf.DUMMYFUNCTION("IF($A303="""","""",IFERROR(PERCENTRANK.INC(FILTER(S:S,$F:$F&lt;&gt;""""),S303)*100,""""))"),"")</f>
        <v/>
      </c>
      <c r="W303" s="15" t="str">
        <f t="shared" si="4"/>
        <v/>
      </c>
    </row>
    <row r="304">
      <c r="B304" t="str">
        <f t="array" ref="B304">IFERROR(INDEX('Player Raw Data'!C:C,Match($A304,'Player Raw Data'!$B:$B,0)),"")</f>
        <v/>
      </c>
      <c r="C304" t="str">
        <f t="array" ref="C304">IFERROR(INDEX('Player Raw Data'!D:D,Match($A304,'Player Raw Data'!$B:$B,0)),"")</f>
        <v/>
      </c>
      <c r="D304" t="str">
        <f t="array" ref="D304">IFERROR(IF(A304=A303, INDEX('Player Raw Data'!E:E,Match($A304,'Player Raw Data'!$B:$B,0)+2),INDEX('Player Raw Data'!E:E,Match($A304,'Player Raw Data'!$B:$B,0))),"")</f>
        <v/>
      </c>
      <c r="E304" t="str">
        <f t="array" ref="E304">IFERROR(INDEX('Day Range Raw Data'!D:D,Match($A304,'Day Range Raw Data'!$B:$B,0)),"")</f>
        <v/>
      </c>
      <c r="F304" t="str">
        <f t="array" ref="F304">IFERROR(INDEX('Day Range Raw Data'!F:F,Match($A304,'Day Range Raw Data'!$B:$B,0)),"")</f>
        <v/>
      </c>
      <c r="G304" t="str">
        <f t="array" ref="G304">IFERROR(INDEX('Day Range Raw Data'!G:G,Match($A304,'Day Range Raw Data'!$B:$B,0)),"")</f>
        <v/>
      </c>
      <c r="H304" t="str">
        <f t="array" ref="H304">IFERROR(INDEX('Day Range Raw Data'!H:H,Match($A304,'Day Range Raw Data'!$B:$B,0)),"")</f>
        <v/>
      </c>
      <c r="I304" t="str">
        <f t="array" ref="I304">IFERROR(INDEX('Day Range Raw Data'!M:M,Match($A304,'Day Range Raw Data'!$B:$B,0)),"")</f>
        <v/>
      </c>
      <c r="J304" t="str">
        <f t="array" ref="J304">IFERROR(INDEX('Day Range Raw Data'!N:N,Match($A304,'Day Range Raw Data'!$B:$B,0)),"")</f>
        <v/>
      </c>
      <c r="K304" t="str">
        <f t="array" ref="K304">IFERROR(INDEX('Day Range Raw Data'!R:R,Match($A304,'Day Range Raw Data'!$B:$B,0)),"")</f>
        <v/>
      </c>
      <c r="L304" t="str">
        <f t="array" ref="L304">IFERROR(INDEX('Day Range Raw Data'!S:S,Match($A304,'Day Range Raw Data'!$B:$B,0)),"")</f>
        <v/>
      </c>
      <c r="M304" t="str">
        <f t="array" ref="M304">IFERROR(INDEX('Day Range Raw Data'!T:T,Match($A304,'Day Range Raw Data'!$B:$B,0)),"")</f>
        <v/>
      </c>
      <c r="N304" t="str">
        <f t="array" ref="N304">IFERROR(INDEX('Day Range Raw Data'!U:U,Match($A304,'Day Range Raw Data'!$B:$B,0)),"")</f>
        <v/>
      </c>
      <c r="O304" t="str">
        <f t="array" ref="O304">IFERROR(INDEX('Day Range Raw Data'!V:V,Match($A304,'Day Range Raw Data'!$B:$B,0)),"")</f>
        <v/>
      </c>
      <c r="P304" t="str">
        <f t="array" ref="P304">IFERROR(INDEX('Day Range Raw Data'!X:X,Match($A304,'Day Range Raw Data'!$B:$B,0)),"")</f>
        <v/>
      </c>
      <c r="Q304" t="str">
        <f t="shared" si="1"/>
        <v/>
      </c>
      <c r="R304" s="9" t="str">
        <f t="shared" si="2"/>
        <v/>
      </c>
      <c r="S304" s="14" t="str">
        <f t="shared" si="3"/>
        <v/>
      </c>
      <c r="T304" s="15" t="str">
        <f>IFERROR(__xludf.DUMMYFUNCTION("IF($A304="""","""",IFERROR(PERCENTRANK.INC(FILTER(Q:Q,$F:$F&lt;&gt;""""),Q304)*100,""""))"),"")</f>
        <v/>
      </c>
      <c r="U304" s="15" t="str">
        <f>IFERROR(__xludf.DUMMYFUNCTION("IF($A304="""","""",IFERROR(PERCENTRANK.INC(FILTER(R:R,$F:$F&lt;&gt;""""),R304)*100,""""))"),"")</f>
        <v/>
      </c>
      <c r="V304" s="15" t="str">
        <f>IFERROR(__xludf.DUMMYFUNCTION("IF($A304="""","""",IFERROR(PERCENTRANK.INC(FILTER(S:S,$F:$F&lt;&gt;""""),S304)*100,""""))"),"")</f>
        <v/>
      </c>
      <c r="W304" s="15" t="str">
        <f t="shared" si="4"/>
        <v/>
      </c>
    </row>
    <row r="305">
      <c r="B305" t="str">
        <f t="array" ref="B305">IFERROR(INDEX('Player Raw Data'!C:C,Match($A305,'Player Raw Data'!$B:$B,0)),"")</f>
        <v/>
      </c>
      <c r="C305" t="str">
        <f t="array" ref="C305">IFERROR(INDEX('Player Raw Data'!D:D,Match($A305,'Player Raw Data'!$B:$B,0)),"")</f>
        <v/>
      </c>
      <c r="D305" t="str">
        <f t="array" ref="D305">IFERROR(IF(A305=A304, INDEX('Player Raw Data'!E:E,Match($A305,'Player Raw Data'!$B:$B,0)+2),INDEX('Player Raw Data'!E:E,Match($A305,'Player Raw Data'!$B:$B,0))),"")</f>
        <v/>
      </c>
      <c r="E305" t="str">
        <f t="array" ref="E305">IFERROR(INDEX('Day Range Raw Data'!D:D,Match($A305,'Day Range Raw Data'!$B:$B,0)),"")</f>
        <v/>
      </c>
      <c r="F305" t="str">
        <f t="array" ref="F305">IFERROR(INDEX('Day Range Raw Data'!F:F,Match($A305,'Day Range Raw Data'!$B:$B,0)),"")</f>
        <v/>
      </c>
      <c r="G305" t="str">
        <f t="array" ref="G305">IFERROR(INDEX('Day Range Raw Data'!G:G,Match($A305,'Day Range Raw Data'!$B:$B,0)),"")</f>
        <v/>
      </c>
      <c r="H305" t="str">
        <f t="array" ref="H305">IFERROR(INDEX('Day Range Raw Data'!H:H,Match($A305,'Day Range Raw Data'!$B:$B,0)),"")</f>
        <v/>
      </c>
      <c r="I305" t="str">
        <f t="array" ref="I305">IFERROR(INDEX('Day Range Raw Data'!M:M,Match($A305,'Day Range Raw Data'!$B:$B,0)),"")</f>
        <v/>
      </c>
      <c r="J305" t="str">
        <f t="array" ref="J305">IFERROR(INDEX('Day Range Raw Data'!N:N,Match($A305,'Day Range Raw Data'!$B:$B,0)),"")</f>
        <v/>
      </c>
      <c r="K305" t="str">
        <f t="array" ref="K305">IFERROR(INDEX('Day Range Raw Data'!R:R,Match($A305,'Day Range Raw Data'!$B:$B,0)),"")</f>
        <v/>
      </c>
      <c r="L305" t="str">
        <f t="array" ref="L305">IFERROR(INDEX('Day Range Raw Data'!S:S,Match($A305,'Day Range Raw Data'!$B:$B,0)),"")</f>
        <v/>
      </c>
      <c r="M305" t="str">
        <f t="array" ref="M305">IFERROR(INDEX('Day Range Raw Data'!T:T,Match($A305,'Day Range Raw Data'!$B:$B,0)),"")</f>
        <v/>
      </c>
      <c r="N305" t="str">
        <f t="array" ref="N305">IFERROR(INDEX('Day Range Raw Data'!U:U,Match($A305,'Day Range Raw Data'!$B:$B,0)),"")</f>
        <v/>
      </c>
      <c r="O305" t="str">
        <f t="array" ref="O305">IFERROR(INDEX('Day Range Raw Data'!V:V,Match($A305,'Day Range Raw Data'!$B:$B,0)),"")</f>
        <v/>
      </c>
      <c r="P305" t="str">
        <f t="array" ref="P305">IFERROR(INDEX('Day Range Raw Data'!X:X,Match($A305,'Day Range Raw Data'!$B:$B,0)),"")</f>
        <v/>
      </c>
      <c r="Q305" t="str">
        <f t="shared" si="1"/>
        <v/>
      </c>
      <c r="R305" s="9" t="str">
        <f t="shared" si="2"/>
        <v/>
      </c>
      <c r="S305" s="14" t="str">
        <f t="shared" si="3"/>
        <v/>
      </c>
      <c r="T305" s="15" t="str">
        <f>IFERROR(__xludf.DUMMYFUNCTION("IF($A305="""","""",IFERROR(PERCENTRANK.INC(FILTER(Q:Q,$F:$F&lt;&gt;""""),Q305)*100,""""))"),"")</f>
        <v/>
      </c>
      <c r="U305" s="15" t="str">
        <f>IFERROR(__xludf.DUMMYFUNCTION("IF($A305="""","""",IFERROR(PERCENTRANK.INC(FILTER(R:R,$F:$F&lt;&gt;""""),R305)*100,""""))"),"")</f>
        <v/>
      </c>
      <c r="V305" s="15" t="str">
        <f>IFERROR(__xludf.DUMMYFUNCTION("IF($A305="""","""",IFERROR(PERCENTRANK.INC(FILTER(S:S,$F:$F&lt;&gt;""""),S305)*100,""""))"),"")</f>
        <v/>
      </c>
      <c r="W305" s="15" t="str">
        <f t="shared" si="4"/>
        <v/>
      </c>
    </row>
    <row r="306">
      <c r="B306" t="str">
        <f t="array" ref="B306">IFERROR(INDEX('Player Raw Data'!C:C,Match($A306,'Player Raw Data'!$B:$B,0)),"")</f>
        <v/>
      </c>
      <c r="C306" t="str">
        <f t="array" ref="C306">IFERROR(INDEX('Player Raw Data'!D:D,Match($A306,'Player Raw Data'!$B:$B,0)),"")</f>
        <v/>
      </c>
      <c r="D306" t="str">
        <f t="array" ref="D306">IFERROR(IF(A306=A305, INDEX('Player Raw Data'!E:E,Match($A306,'Player Raw Data'!$B:$B,0)+2),INDEX('Player Raw Data'!E:E,Match($A306,'Player Raw Data'!$B:$B,0))),"")</f>
        <v/>
      </c>
      <c r="E306" t="str">
        <f t="array" ref="E306">IFERROR(INDEX('Day Range Raw Data'!D:D,Match($A306,'Day Range Raw Data'!$B:$B,0)),"")</f>
        <v/>
      </c>
      <c r="F306" t="str">
        <f t="array" ref="F306">IFERROR(INDEX('Day Range Raw Data'!F:F,Match($A306,'Day Range Raw Data'!$B:$B,0)),"")</f>
        <v/>
      </c>
      <c r="G306" t="str">
        <f t="array" ref="G306">IFERROR(INDEX('Day Range Raw Data'!G:G,Match($A306,'Day Range Raw Data'!$B:$B,0)),"")</f>
        <v/>
      </c>
      <c r="H306" t="str">
        <f t="array" ref="H306">IFERROR(INDEX('Day Range Raw Data'!H:H,Match($A306,'Day Range Raw Data'!$B:$B,0)),"")</f>
        <v/>
      </c>
      <c r="I306" t="str">
        <f t="array" ref="I306">IFERROR(INDEX('Day Range Raw Data'!M:M,Match($A306,'Day Range Raw Data'!$B:$B,0)),"")</f>
        <v/>
      </c>
      <c r="J306" t="str">
        <f t="array" ref="J306">IFERROR(INDEX('Day Range Raw Data'!N:N,Match($A306,'Day Range Raw Data'!$B:$B,0)),"")</f>
        <v/>
      </c>
      <c r="K306" t="str">
        <f t="array" ref="K306">IFERROR(INDEX('Day Range Raw Data'!R:R,Match($A306,'Day Range Raw Data'!$B:$B,0)),"")</f>
        <v/>
      </c>
      <c r="L306" t="str">
        <f t="array" ref="L306">IFERROR(INDEX('Day Range Raw Data'!S:S,Match($A306,'Day Range Raw Data'!$B:$B,0)),"")</f>
        <v/>
      </c>
      <c r="M306" t="str">
        <f t="array" ref="M306">IFERROR(INDEX('Day Range Raw Data'!T:T,Match($A306,'Day Range Raw Data'!$B:$B,0)),"")</f>
        <v/>
      </c>
      <c r="N306" t="str">
        <f t="array" ref="N306">IFERROR(INDEX('Day Range Raw Data'!U:U,Match($A306,'Day Range Raw Data'!$B:$B,0)),"")</f>
        <v/>
      </c>
      <c r="O306" t="str">
        <f t="array" ref="O306">IFERROR(INDEX('Day Range Raw Data'!V:V,Match($A306,'Day Range Raw Data'!$B:$B,0)),"")</f>
        <v/>
      </c>
      <c r="P306" t="str">
        <f t="array" ref="P306">IFERROR(INDEX('Day Range Raw Data'!X:X,Match($A306,'Day Range Raw Data'!$B:$B,0)),"")</f>
        <v/>
      </c>
      <c r="Q306" t="str">
        <f t="shared" si="1"/>
        <v/>
      </c>
      <c r="R306" s="9" t="str">
        <f t="shared" si="2"/>
        <v/>
      </c>
      <c r="S306" s="14" t="str">
        <f t="shared" si="3"/>
        <v/>
      </c>
      <c r="T306" s="15" t="str">
        <f>IFERROR(__xludf.DUMMYFUNCTION("IF($A306="""","""",IFERROR(PERCENTRANK.INC(FILTER(Q:Q,$F:$F&lt;&gt;""""),Q306)*100,""""))"),"")</f>
        <v/>
      </c>
      <c r="U306" s="15" t="str">
        <f>IFERROR(__xludf.DUMMYFUNCTION("IF($A306="""","""",IFERROR(PERCENTRANK.INC(FILTER(R:R,$F:$F&lt;&gt;""""),R306)*100,""""))"),"")</f>
        <v/>
      </c>
      <c r="V306" s="15" t="str">
        <f>IFERROR(__xludf.DUMMYFUNCTION("IF($A306="""","""",IFERROR(PERCENTRANK.INC(FILTER(S:S,$F:$F&lt;&gt;""""),S306)*100,""""))"),"")</f>
        <v/>
      </c>
      <c r="W306" s="15" t="str">
        <f t="shared" si="4"/>
        <v/>
      </c>
    </row>
    <row r="307">
      <c r="B307" t="str">
        <f t="array" ref="B307">IFERROR(INDEX('Player Raw Data'!C:C,Match($A307,'Player Raw Data'!$B:$B,0)),"")</f>
        <v/>
      </c>
      <c r="C307" t="str">
        <f t="array" ref="C307">IFERROR(INDEX('Player Raw Data'!D:D,Match($A307,'Player Raw Data'!$B:$B,0)),"")</f>
        <v/>
      </c>
      <c r="D307" t="str">
        <f t="array" ref="D307">IFERROR(IF(A307=A306, INDEX('Player Raw Data'!E:E,Match($A307,'Player Raw Data'!$B:$B,0)+2),INDEX('Player Raw Data'!E:E,Match($A307,'Player Raw Data'!$B:$B,0))),"")</f>
        <v/>
      </c>
      <c r="E307" t="str">
        <f t="array" ref="E307">IFERROR(INDEX('Day Range Raw Data'!D:D,Match($A307,'Day Range Raw Data'!$B:$B,0)),"")</f>
        <v/>
      </c>
      <c r="F307" t="str">
        <f t="array" ref="F307">IFERROR(INDEX('Day Range Raw Data'!F:F,Match($A307,'Day Range Raw Data'!$B:$B,0)),"")</f>
        <v/>
      </c>
      <c r="G307" t="str">
        <f t="array" ref="G307">IFERROR(INDEX('Day Range Raw Data'!G:G,Match($A307,'Day Range Raw Data'!$B:$B,0)),"")</f>
        <v/>
      </c>
      <c r="H307" t="str">
        <f t="array" ref="H307">IFERROR(INDEX('Day Range Raw Data'!H:H,Match($A307,'Day Range Raw Data'!$B:$B,0)),"")</f>
        <v/>
      </c>
      <c r="I307" t="str">
        <f t="array" ref="I307">IFERROR(INDEX('Day Range Raw Data'!M:M,Match($A307,'Day Range Raw Data'!$B:$B,0)),"")</f>
        <v/>
      </c>
      <c r="J307" t="str">
        <f t="array" ref="J307">IFERROR(INDEX('Day Range Raw Data'!N:N,Match($A307,'Day Range Raw Data'!$B:$B,0)),"")</f>
        <v/>
      </c>
      <c r="K307" t="str">
        <f t="array" ref="K307">IFERROR(INDEX('Day Range Raw Data'!R:R,Match($A307,'Day Range Raw Data'!$B:$B,0)),"")</f>
        <v/>
      </c>
      <c r="L307" t="str">
        <f t="array" ref="L307">IFERROR(INDEX('Day Range Raw Data'!S:S,Match($A307,'Day Range Raw Data'!$B:$B,0)),"")</f>
        <v/>
      </c>
      <c r="M307" t="str">
        <f t="array" ref="M307">IFERROR(INDEX('Day Range Raw Data'!T:T,Match($A307,'Day Range Raw Data'!$B:$B,0)),"")</f>
        <v/>
      </c>
      <c r="N307" t="str">
        <f t="array" ref="N307">IFERROR(INDEX('Day Range Raw Data'!U:U,Match($A307,'Day Range Raw Data'!$B:$B,0)),"")</f>
        <v/>
      </c>
      <c r="O307" t="str">
        <f t="array" ref="O307">IFERROR(INDEX('Day Range Raw Data'!V:V,Match($A307,'Day Range Raw Data'!$B:$B,0)),"")</f>
        <v/>
      </c>
      <c r="P307" t="str">
        <f t="array" ref="P307">IFERROR(INDEX('Day Range Raw Data'!X:X,Match($A307,'Day Range Raw Data'!$B:$B,0)),"")</f>
        <v/>
      </c>
      <c r="Q307" t="str">
        <f t="shared" si="1"/>
        <v/>
      </c>
      <c r="R307" s="9" t="str">
        <f t="shared" si="2"/>
        <v/>
      </c>
      <c r="S307" s="14" t="str">
        <f t="shared" si="3"/>
        <v/>
      </c>
      <c r="T307" s="15" t="str">
        <f>IFERROR(__xludf.DUMMYFUNCTION("IF($A307="""","""",IFERROR(PERCENTRANK.INC(FILTER(Q:Q,$F:$F&lt;&gt;""""),Q307)*100,""""))"),"")</f>
        <v/>
      </c>
      <c r="U307" s="15" t="str">
        <f>IFERROR(__xludf.DUMMYFUNCTION("IF($A307="""","""",IFERROR(PERCENTRANK.INC(FILTER(R:R,$F:$F&lt;&gt;""""),R307)*100,""""))"),"")</f>
        <v/>
      </c>
      <c r="V307" s="15" t="str">
        <f>IFERROR(__xludf.DUMMYFUNCTION("IF($A307="""","""",IFERROR(PERCENTRANK.INC(FILTER(S:S,$F:$F&lt;&gt;""""),S307)*100,""""))"),"")</f>
        <v/>
      </c>
      <c r="W307" s="15" t="str">
        <f t="shared" si="4"/>
        <v/>
      </c>
    </row>
    <row r="308">
      <c r="B308" t="str">
        <f t="array" ref="B308">IFERROR(INDEX('Player Raw Data'!C:C,Match($A308,'Player Raw Data'!$B:$B,0)),"")</f>
        <v/>
      </c>
      <c r="C308" t="str">
        <f t="array" ref="C308">IFERROR(INDEX('Player Raw Data'!D:D,Match($A308,'Player Raw Data'!$B:$B,0)),"")</f>
        <v/>
      </c>
      <c r="D308" t="str">
        <f t="array" ref="D308">IFERROR(IF(A308=A307, INDEX('Player Raw Data'!E:E,Match($A308,'Player Raw Data'!$B:$B,0)+2),INDEX('Player Raw Data'!E:E,Match($A308,'Player Raw Data'!$B:$B,0))),"")</f>
        <v/>
      </c>
      <c r="E308" t="str">
        <f t="array" ref="E308">IFERROR(INDEX('Day Range Raw Data'!D:D,Match($A308,'Day Range Raw Data'!$B:$B,0)),"")</f>
        <v/>
      </c>
      <c r="F308" t="str">
        <f t="array" ref="F308">IFERROR(INDEX('Day Range Raw Data'!F:F,Match($A308,'Day Range Raw Data'!$B:$B,0)),"")</f>
        <v/>
      </c>
      <c r="G308" t="str">
        <f t="array" ref="G308">IFERROR(INDEX('Day Range Raw Data'!G:G,Match($A308,'Day Range Raw Data'!$B:$B,0)),"")</f>
        <v/>
      </c>
      <c r="H308" t="str">
        <f t="array" ref="H308">IFERROR(INDEX('Day Range Raw Data'!H:H,Match($A308,'Day Range Raw Data'!$B:$B,0)),"")</f>
        <v/>
      </c>
      <c r="I308" t="str">
        <f t="array" ref="I308">IFERROR(INDEX('Day Range Raw Data'!M:M,Match($A308,'Day Range Raw Data'!$B:$B,0)),"")</f>
        <v/>
      </c>
      <c r="J308" t="str">
        <f t="array" ref="J308">IFERROR(INDEX('Day Range Raw Data'!N:N,Match($A308,'Day Range Raw Data'!$B:$B,0)),"")</f>
        <v/>
      </c>
      <c r="K308" t="str">
        <f t="array" ref="K308">IFERROR(INDEX('Day Range Raw Data'!R:R,Match($A308,'Day Range Raw Data'!$B:$B,0)),"")</f>
        <v/>
      </c>
      <c r="L308" t="str">
        <f t="array" ref="L308">IFERROR(INDEX('Day Range Raw Data'!S:S,Match($A308,'Day Range Raw Data'!$B:$B,0)),"")</f>
        <v/>
      </c>
      <c r="M308" t="str">
        <f t="array" ref="M308">IFERROR(INDEX('Day Range Raw Data'!T:T,Match($A308,'Day Range Raw Data'!$B:$B,0)),"")</f>
        <v/>
      </c>
      <c r="N308" t="str">
        <f t="array" ref="N308">IFERROR(INDEX('Day Range Raw Data'!U:U,Match($A308,'Day Range Raw Data'!$B:$B,0)),"")</f>
        <v/>
      </c>
      <c r="O308" t="str">
        <f t="array" ref="O308">IFERROR(INDEX('Day Range Raw Data'!V:V,Match($A308,'Day Range Raw Data'!$B:$B,0)),"")</f>
        <v/>
      </c>
      <c r="P308" t="str">
        <f t="array" ref="P308">IFERROR(INDEX('Day Range Raw Data'!X:X,Match($A308,'Day Range Raw Data'!$B:$B,0)),"")</f>
        <v/>
      </c>
      <c r="Q308" t="str">
        <f t="shared" si="1"/>
        <v/>
      </c>
      <c r="R308" s="9" t="str">
        <f t="shared" si="2"/>
        <v/>
      </c>
      <c r="S308" s="14" t="str">
        <f t="shared" si="3"/>
        <v/>
      </c>
      <c r="T308" s="15" t="str">
        <f>IFERROR(__xludf.DUMMYFUNCTION("IF($A308="""","""",IFERROR(PERCENTRANK.INC(FILTER(Q:Q,$F:$F&lt;&gt;""""),Q308)*100,""""))"),"")</f>
        <v/>
      </c>
      <c r="U308" s="15" t="str">
        <f>IFERROR(__xludf.DUMMYFUNCTION("IF($A308="""","""",IFERROR(PERCENTRANK.INC(FILTER(R:R,$F:$F&lt;&gt;""""),R308)*100,""""))"),"")</f>
        <v/>
      </c>
      <c r="V308" s="15" t="str">
        <f>IFERROR(__xludf.DUMMYFUNCTION("IF($A308="""","""",IFERROR(PERCENTRANK.INC(FILTER(S:S,$F:$F&lt;&gt;""""),S308)*100,""""))"),"")</f>
        <v/>
      </c>
      <c r="W308" s="15" t="str">
        <f t="shared" si="4"/>
        <v/>
      </c>
    </row>
    <row r="309">
      <c r="B309" t="str">
        <f t="array" ref="B309">IFERROR(INDEX('Player Raw Data'!C:C,Match($A309,'Player Raw Data'!$B:$B,0)),"")</f>
        <v/>
      </c>
      <c r="C309" t="str">
        <f t="array" ref="C309">IFERROR(INDEX('Player Raw Data'!D:D,Match($A309,'Player Raw Data'!$B:$B,0)),"")</f>
        <v/>
      </c>
      <c r="D309" t="str">
        <f t="array" ref="D309">IFERROR(IF(A309=A308, INDEX('Player Raw Data'!E:E,Match($A309,'Player Raw Data'!$B:$B,0)+2),INDEX('Player Raw Data'!E:E,Match($A309,'Player Raw Data'!$B:$B,0))),"")</f>
        <v/>
      </c>
      <c r="E309" t="str">
        <f t="array" ref="E309">IFERROR(INDEX('Day Range Raw Data'!D:D,Match($A309,'Day Range Raw Data'!$B:$B,0)),"")</f>
        <v/>
      </c>
      <c r="F309" t="str">
        <f t="array" ref="F309">IFERROR(INDEX('Day Range Raw Data'!F:F,Match($A309,'Day Range Raw Data'!$B:$B,0)),"")</f>
        <v/>
      </c>
      <c r="G309" t="str">
        <f t="array" ref="G309">IFERROR(INDEX('Day Range Raw Data'!G:G,Match($A309,'Day Range Raw Data'!$B:$B,0)),"")</f>
        <v/>
      </c>
      <c r="H309" t="str">
        <f t="array" ref="H309">IFERROR(INDEX('Day Range Raw Data'!H:H,Match($A309,'Day Range Raw Data'!$B:$B,0)),"")</f>
        <v/>
      </c>
      <c r="I309" t="str">
        <f t="array" ref="I309">IFERROR(INDEX('Day Range Raw Data'!M:M,Match($A309,'Day Range Raw Data'!$B:$B,0)),"")</f>
        <v/>
      </c>
      <c r="J309" t="str">
        <f t="array" ref="J309">IFERROR(INDEX('Day Range Raw Data'!N:N,Match($A309,'Day Range Raw Data'!$B:$B,0)),"")</f>
        <v/>
      </c>
      <c r="K309" t="str">
        <f t="array" ref="K309">IFERROR(INDEX('Day Range Raw Data'!R:R,Match($A309,'Day Range Raw Data'!$B:$B,0)),"")</f>
        <v/>
      </c>
      <c r="L309" t="str">
        <f t="array" ref="L309">IFERROR(INDEX('Day Range Raw Data'!S:S,Match($A309,'Day Range Raw Data'!$B:$B,0)),"")</f>
        <v/>
      </c>
      <c r="M309" t="str">
        <f t="array" ref="M309">IFERROR(INDEX('Day Range Raw Data'!T:T,Match($A309,'Day Range Raw Data'!$B:$B,0)),"")</f>
        <v/>
      </c>
      <c r="N309" t="str">
        <f t="array" ref="N309">IFERROR(INDEX('Day Range Raw Data'!U:U,Match($A309,'Day Range Raw Data'!$B:$B,0)),"")</f>
        <v/>
      </c>
      <c r="O309" t="str">
        <f t="array" ref="O309">IFERROR(INDEX('Day Range Raw Data'!V:V,Match($A309,'Day Range Raw Data'!$B:$B,0)),"")</f>
        <v/>
      </c>
      <c r="P309" t="str">
        <f t="array" ref="P309">IFERROR(INDEX('Day Range Raw Data'!X:X,Match($A309,'Day Range Raw Data'!$B:$B,0)),"")</f>
        <v/>
      </c>
      <c r="Q309" t="str">
        <f t="shared" si="1"/>
        <v/>
      </c>
      <c r="R309" s="9" t="str">
        <f t="shared" si="2"/>
        <v/>
      </c>
      <c r="S309" s="14" t="str">
        <f t="shared" si="3"/>
        <v/>
      </c>
      <c r="T309" s="15" t="str">
        <f>IFERROR(__xludf.DUMMYFUNCTION("IF($A309="""","""",IFERROR(PERCENTRANK.INC(FILTER(Q:Q,$F:$F&lt;&gt;""""),Q309)*100,""""))"),"")</f>
        <v/>
      </c>
      <c r="U309" s="15" t="str">
        <f>IFERROR(__xludf.DUMMYFUNCTION("IF($A309="""","""",IFERROR(PERCENTRANK.INC(FILTER(R:R,$F:$F&lt;&gt;""""),R309)*100,""""))"),"")</f>
        <v/>
      </c>
      <c r="V309" s="15" t="str">
        <f>IFERROR(__xludf.DUMMYFUNCTION("IF($A309="""","""",IFERROR(PERCENTRANK.INC(FILTER(S:S,$F:$F&lt;&gt;""""),S309)*100,""""))"),"")</f>
        <v/>
      </c>
      <c r="W309" s="15" t="str">
        <f t="shared" si="4"/>
        <v/>
      </c>
    </row>
    <row r="310">
      <c r="B310" t="str">
        <f t="array" ref="B310">IFERROR(INDEX('Player Raw Data'!C:C,Match($A310,'Player Raw Data'!$B:$B,0)),"")</f>
        <v/>
      </c>
      <c r="C310" t="str">
        <f t="array" ref="C310">IFERROR(INDEX('Player Raw Data'!D:D,Match($A310,'Player Raw Data'!$B:$B,0)),"")</f>
        <v/>
      </c>
      <c r="D310" t="str">
        <f t="array" ref="D310">IFERROR(IF(A310=A309, INDEX('Player Raw Data'!E:E,Match($A310,'Player Raw Data'!$B:$B,0)+2),INDEX('Player Raw Data'!E:E,Match($A310,'Player Raw Data'!$B:$B,0))),"")</f>
        <v/>
      </c>
      <c r="E310" t="str">
        <f t="array" ref="E310">IFERROR(INDEX('Day Range Raw Data'!D:D,Match($A310,'Day Range Raw Data'!$B:$B,0)),"")</f>
        <v/>
      </c>
      <c r="F310" t="str">
        <f t="array" ref="F310">IFERROR(INDEX('Day Range Raw Data'!F:F,Match($A310,'Day Range Raw Data'!$B:$B,0)),"")</f>
        <v/>
      </c>
      <c r="G310" t="str">
        <f t="array" ref="G310">IFERROR(INDEX('Day Range Raw Data'!G:G,Match($A310,'Day Range Raw Data'!$B:$B,0)),"")</f>
        <v/>
      </c>
      <c r="H310" t="str">
        <f t="array" ref="H310">IFERROR(INDEX('Day Range Raw Data'!H:H,Match($A310,'Day Range Raw Data'!$B:$B,0)),"")</f>
        <v/>
      </c>
      <c r="I310" t="str">
        <f t="array" ref="I310">IFERROR(INDEX('Day Range Raw Data'!M:M,Match($A310,'Day Range Raw Data'!$B:$B,0)),"")</f>
        <v/>
      </c>
      <c r="J310" t="str">
        <f t="array" ref="J310">IFERROR(INDEX('Day Range Raw Data'!N:N,Match($A310,'Day Range Raw Data'!$B:$B,0)),"")</f>
        <v/>
      </c>
      <c r="K310" t="str">
        <f t="array" ref="K310">IFERROR(INDEX('Day Range Raw Data'!R:R,Match($A310,'Day Range Raw Data'!$B:$B,0)),"")</f>
        <v/>
      </c>
      <c r="L310" t="str">
        <f t="array" ref="L310">IFERROR(INDEX('Day Range Raw Data'!S:S,Match($A310,'Day Range Raw Data'!$B:$B,0)),"")</f>
        <v/>
      </c>
      <c r="M310" t="str">
        <f t="array" ref="M310">IFERROR(INDEX('Day Range Raw Data'!T:T,Match($A310,'Day Range Raw Data'!$B:$B,0)),"")</f>
        <v/>
      </c>
      <c r="N310" t="str">
        <f t="array" ref="N310">IFERROR(INDEX('Day Range Raw Data'!U:U,Match($A310,'Day Range Raw Data'!$B:$B,0)),"")</f>
        <v/>
      </c>
      <c r="O310" t="str">
        <f t="array" ref="O310">IFERROR(INDEX('Day Range Raw Data'!V:V,Match($A310,'Day Range Raw Data'!$B:$B,0)),"")</f>
        <v/>
      </c>
      <c r="P310" t="str">
        <f t="array" ref="P310">IFERROR(INDEX('Day Range Raw Data'!X:X,Match($A310,'Day Range Raw Data'!$B:$B,0)),"")</f>
        <v/>
      </c>
      <c r="Q310" t="str">
        <f t="shared" si="1"/>
        <v/>
      </c>
      <c r="R310" s="9" t="str">
        <f t="shared" si="2"/>
        <v/>
      </c>
      <c r="S310" s="14" t="str">
        <f t="shared" si="3"/>
        <v/>
      </c>
      <c r="T310" s="15" t="str">
        <f>IFERROR(__xludf.DUMMYFUNCTION("IF($A310="""","""",IFERROR(PERCENTRANK.INC(FILTER(Q:Q,$F:$F&lt;&gt;""""),Q310)*100,""""))"),"")</f>
        <v/>
      </c>
      <c r="U310" s="15" t="str">
        <f>IFERROR(__xludf.DUMMYFUNCTION("IF($A310="""","""",IFERROR(PERCENTRANK.INC(FILTER(R:R,$F:$F&lt;&gt;""""),R310)*100,""""))"),"")</f>
        <v/>
      </c>
      <c r="V310" s="15" t="str">
        <f>IFERROR(__xludf.DUMMYFUNCTION("IF($A310="""","""",IFERROR(PERCENTRANK.INC(FILTER(S:S,$F:$F&lt;&gt;""""),S310)*100,""""))"),"")</f>
        <v/>
      </c>
      <c r="W310" s="15" t="str">
        <f t="shared" si="4"/>
        <v/>
      </c>
    </row>
    <row r="311">
      <c r="B311" t="str">
        <f t="array" ref="B311">IFERROR(INDEX('Player Raw Data'!C:C,Match($A311,'Player Raw Data'!$B:$B,0)),"")</f>
        <v/>
      </c>
      <c r="C311" t="str">
        <f t="array" ref="C311">IFERROR(INDEX('Player Raw Data'!D:D,Match($A311,'Player Raw Data'!$B:$B,0)),"")</f>
        <v/>
      </c>
      <c r="D311" t="str">
        <f t="array" ref="D311">IFERROR(IF(A311=A310, INDEX('Player Raw Data'!E:E,Match($A311,'Player Raw Data'!$B:$B,0)+2),INDEX('Player Raw Data'!E:E,Match($A311,'Player Raw Data'!$B:$B,0))),"")</f>
        <v/>
      </c>
      <c r="E311" t="str">
        <f t="array" ref="E311">IFERROR(INDEX('Day Range Raw Data'!D:D,Match($A311,'Day Range Raw Data'!$B:$B,0)),"")</f>
        <v/>
      </c>
      <c r="F311" t="str">
        <f t="array" ref="F311">IFERROR(INDEX('Day Range Raw Data'!F:F,Match($A311,'Day Range Raw Data'!$B:$B,0)),"")</f>
        <v/>
      </c>
      <c r="G311" t="str">
        <f t="array" ref="G311">IFERROR(INDEX('Day Range Raw Data'!G:G,Match($A311,'Day Range Raw Data'!$B:$B,0)),"")</f>
        <v/>
      </c>
      <c r="H311" t="str">
        <f t="array" ref="H311">IFERROR(INDEX('Day Range Raw Data'!H:H,Match($A311,'Day Range Raw Data'!$B:$B,0)),"")</f>
        <v/>
      </c>
      <c r="I311" t="str">
        <f t="array" ref="I311">IFERROR(INDEX('Day Range Raw Data'!M:M,Match($A311,'Day Range Raw Data'!$B:$B,0)),"")</f>
        <v/>
      </c>
      <c r="J311" t="str">
        <f t="array" ref="J311">IFERROR(INDEX('Day Range Raw Data'!N:N,Match($A311,'Day Range Raw Data'!$B:$B,0)),"")</f>
        <v/>
      </c>
      <c r="K311" t="str">
        <f t="array" ref="K311">IFERROR(INDEX('Day Range Raw Data'!R:R,Match($A311,'Day Range Raw Data'!$B:$B,0)),"")</f>
        <v/>
      </c>
      <c r="L311" t="str">
        <f t="array" ref="L311">IFERROR(INDEX('Day Range Raw Data'!S:S,Match($A311,'Day Range Raw Data'!$B:$B,0)),"")</f>
        <v/>
      </c>
      <c r="M311" t="str">
        <f t="array" ref="M311">IFERROR(INDEX('Day Range Raw Data'!T:T,Match($A311,'Day Range Raw Data'!$B:$B,0)),"")</f>
        <v/>
      </c>
      <c r="N311" t="str">
        <f t="array" ref="N311">IFERROR(INDEX('Day Range Raw Data'!U:U,Match($A311,'Day Range Raw Data'!$B:$B,0)),"")</f>
        <v/>
      </c>
      <c r="O311" t="str">
        <f t="array" ref="O311">IFERROR(INDEX('Day Range Raw Data'!V:V,Match($A311,'Day Range Raw Data'!$B:$B,0)),"")</f>
        <v/>
      </c>
      <c r="P311" t="str">
        <f t="array" ref="P311">IFERROR(INDEX('Day Range Raw Data'!X:X,Match($A311,'Day Range Raw Data'!$B:$B,0)),"")</f>
        <v/>
      </c>
      <c r="Q311" t="str">
        <f t="shared" si="1"/>
        <v/>
      </c>
      <c r="R311" s="9" t="str">
        <f t="shared" si="2"/>
        <v/>
      </c>
      <c r="S311" s="14" t="str">
        <f t="shared" si="3"/>
        <v/>
      </c>
      <c r="T311" s="15" t="str">
        <f>IFERROR(__xludf.DUMMYFUNCTION("IF($A311="""","""",IFERROR(PERCENTRANK.INC(FILTER(Q:Q,$F:$F&lt;&gt;""""),Q311)*100,""""))"),"")</f>
        <v/>
      </c>
      <c r="U311" s="15" t="str">
        <f>IFERROR(__xludf.DUMMYFUNCTION("IF($A311="""","""",IFERROR(PERCENTRANK.INC(FILTER(R:R,$F:$F&lt;&gt;""""),R311)*100,""""))"),"")</f>
        <v/>
      </c>
      <c r="V311" s="15" t="str">
        <f>IFERROR(__xludf.DUMMYFUNCTION("IF($A311="""","""",IFERROR(PERCENTRANK.INC(FILTER(S:S,$F:$F&lt;&gt;""""),S311)*100,""""))"),"")</f>
        <v/>
      </c>
      <c r="W311" s="15" t="str">
        <f t="shared" si="4"/>
        <v/>
      </c>
    </row>
    <row r="312">
      <c r="B312" t="str">
        <f t="array" ref="B312">IFERROR(INDEX('Player Raw Data'!C:C,Match($A312,'Player Raw Data'!$B:$B,0)),"")</f>
        <v/>
      </c>
      <c r="C312" t="str">
        <f t="array" ref="C312">IFERROR(INDEX('Player Raw Data'!D:D,Match($A312,'Player Raw Data'!$B:$B,0)),"")</f>
        <v/>
      </c>
      <c r="D312" t="str">
        <f t="array" ref="D312">IFERROR(IF(A312=A311, INDEX('Player Raw Data'!E:E,Match($A312,'Player Raw Data'!$B:$B,0)+2),INDEX('Player Raw Data'!E:E,Match($A312,'Player Raw Data'!$B:$B,0))),"")</f>
        <v/>
      </c>
      <c r="E312" t="str">
        <f t="array" ref="E312">IFERROR(INDEX('Day Range Raw Data'!D:D,Match($A312,'Day Range Raw Data'!$B:$B,0)),"")</f>
        <v/>
      </c>
      <c r="F312" t="str">
        <f t="array" ref="F312">IFERROR(INDEX('Day Range Raw Data'!F:F,Match($A312,'Day Range Raw Data'!$B:$B,0)),"")</f>
        <v/>
      </c>
      <c r="G312" t="str">
        <f t="array" ref="G312">IFERROR(INDEX('Day Range Raw Data'!G:G,Match($A312,'Day Range Raw Data'!$B:$B,0)),"")</f>
        <v/>
      </c>
      <c r="H312" t="str">
        <f t="array" ref="H312">IFERROR(INDEX('Day Range Raw Data'!H:H,Match($A312,'Day Range Raw Data'!$B:$B,0)),"")</f>
        <v/>
      </c>
      <c r="I312" t="str">
        <f t="array" ref="I312">IFERROR(INDEX('Day Range Raw Data'!M:M,Match($A312,'Day Range Raw Data'!$B:$B,0)),"")</f>
        <v/>
      </c>
      <c r="J312" t="str">
        <f t="array" ref="J312">IFERROR(INDEX('Day Range Raw Data'!N:N,Match($A312,'Day Range Raw Data'!$B:$B,0)),"")</f>
        <v/>
      </c>
      <c r="K312" t="str">
        <f t="array" ref="K312">IFERROR(INDEX('Day Range Raw Data'!R:R,Match($A312,'Day Range Raw Data'!$B:$B,0)),"")</f>
        <v/>
      </c>
      <c r="L312" t="str">
        <f t="array" ref="L312">IFERROR(INDEX('Day Range Raw Data'!S:S,Match($A312,'Day Range Raw Data'!$B:$B,0)),"")</f>
        <v/>
      </c>
      <c r="M312" t="str">
        <f t="array" ref="M312">IFERROR(INDEX('Day Range Raw Data'!T:T,Match($A312,'Day Range Raw Data'!$B:$B,0)),"")</f>
        <v/>
      </c>
      <c r="N312" t="str">
        <f t="array" ref="N312">IFERROR(INDEX('Day Range Raw Data'!U:U,Match($A312,'Day Range Raw Data'!$B:$B,0)),"")</f>
        <v/>
      </c>
      <c r="O312" t="str">
        <f t="array" ref="O312">IFERROR(INDEX('Day Range Raw Data'!V:V,Match($A312,'Day Range Raw Data'!$B:$B,0)),"")</f>
        <v/>
      </c>
      <c r="P312" t="str">
        <f t="array" ref="P312">IFERROR(INDEX('Day Range Raw Data'!X:X,Match($A312,'Day Range Raw Data'!$B:$B,0)),"")</f>
        <v/>
      </c>
      <c r="Q312" t="str">
        <f t="shared" si="1"/>
        <v/>
      </c>
      <c r="R312" s="9" t="str">
        <f t="shared" si="2"/>
        <v/>
      </c>
      <c r="S312" s="14" t="str">
        <f t="shared" si="3"/>
        <v/>
      </c>
      <c r="T312" s="15" t="str">
        <f>IFERROR(__xludf.DUMMYFUNCTION("IF($A312="""","""",IFERROR(PERCENTRANK.INC(FILTER(Q:Q,$F:$F&lt;&gt;""""),Q312)*100,""""))"),"")</f>
        <v/>
      </c>
      <c r="U312" s="15" t="str">
        <f>IFERROR(__xludf.DUMMYFUNCTION("IF($A312="""","""",IFERROR(PERCENTRANK.INC(FILTER(R:R,$F:$F&lt;&gt;""""),R312)*100,""""))"),"")</f>
        <v/>
      </c>
      <c r="V312" s="15" t="str">
        <f>IFERROR(__xludf.DUMMYFUNCTION("IF($A312="""","""",IFERROR(PERCENTRANK.INC(FILTER(S:S,$F:$F&lt;&gt;""""),S312)*100,""""))"),"")</f>
        <v/>
      </c>
      <c r="W312" s="15" t="str">
        <f t="shared" si="4"/>
        <v/>
      </c>
    </row>
    <row r="313">
      <c r="B313" t="str">
        <f t="array" ref="B313">IFERROR(INDEX('Player Raw Data'!C:C,Match($A313,'Player Raw Data'!$B:$B,0)),"")</f>
        <v/>
      </c>
      <c r="C313" t="str">
        <f t="array" ref="C313">IFERROR(INDEX('Player Raw Data'!D:D,Match($A313,'Player Raw Data'!$B:$B,0)),"")</f>
        <v/>
      </c>
      <c r="D313" t="str">
        <f t="array" ref="D313">IFERROR(IF(A313=A312, INDEX('Player Raw Data'!E:E,Match($A313,'Player Raw Data'!$B:$B,0)+2),INDEX('Player Raw Data'!E:E,Match($A313,'Player Raw Data'!$B:$B,0))),"")</f>
        <v/>
      </c>
      <c r="E313" t="str">
        <f t="array" ref="E313">IFERROR(INDEX('Day Range Raw Data'!D:D,Match($A313,'Day Range Raw Data'!$B:$B,0)),"")</f>
        <v/>
      </c>
      <c r="F313" t="str">
        <f t="array" ref="F313">IFERROR(INDEX('Day Range Raw Data'!F:F,Match($A313,'Day Range Raw Data'!$B:$B,0)),"")</f>
        <v/>
      </c>
      <c r="G313" t="str">
        <f t="array" ref="G313">IFERROR(INDEX('Day Range Raw Data'!G:G,Match($A313,'Day Range Raw Data'!$B:$B,0)),"")</f>
        <v/>
      </c>
      <c r="H313" t="str">
        <f t="array" ref="H313">IFERROR(INDEX('Day Range Raw Data'!H:H,Match($A313,'Day Range Raw Data'!$B:$B,0)),"")</f>
        <v/>
      </c>
      <c r="I313" t="str">
        <f t="array" ref="I313">IFERROR(INDEX('Day Range Raw Data'!M:M,Match($A313,'Day Range Raw Data'!$B:$B,0)),"")</f>
        <v/>
      </c>
      <c r="J313" t="str">
        <f t="array" ref="J313">IFERROR(INDEX('Day Range Raw Data'!N:N,Match($A313,'Day Range Raw Data'!$B:$B,0)),"")</f>
        <v/>
      </c>
      <c r="K313" t="str">
        <f t="array" ref="K313">IFERROR(INDEX('Day Range Raw Data'!R:R,Match($A313,'Day Range Raw Data'!$B:$B,0)),"")</f>
        <v/>
      </c>
      <c r="L313" t="str">
        <f t="array" ref="L313">IFERROR(INDEX('Day Range Raw Data'!S:S,Match($A313,'Day Range Raw Data'!$B:$B,0)),"")</f>
        <v/>
      </c>
      <c r="M313" t="str">
        <f t="array" ref="M313">IFERROR(INDEX('Day Range Raw Data'!T:T,Match($A313,'Day Range Raw Data'!$B:$B,0)),"")</f>
        <v/>
      </c>
      <c r="N313" t="str">
        <f t="array" ref="N313">IFERROR(INDEX('Day Range Raw Data'!U:U,Match($A313,'Day Range Raw Data'!$B:$B,0)),"")</f>
        <v/>
      </c>
      <c r="O313" t="str">
        <f t="array" ref="O313">IFERROR(INDEX('Day Range Raw Data'!V:V,Match($A313,'Day Range Raw Data'!$B:$B,0)),"")</f>
        <v/>
      </c>
      <c r="P313" t="str">
        <f t="array" ref="P313">IFERROR(INDEX('Day Range Raw Data'!X:X,Match($A313,'Day Range Raw Data'!$B:$B,0)),"")</f>
        <v/>
      </c>
      <c r="Q313" t="str">
        <f t="shared" si="1"/>
        <v/>
      </c>
      <c r="R313" s="9" t="str">
        <f t="shared" si="2"/>
        <v/>
      </c>
      <c r="S313" s="14" t="str">
        <f t="shared" si="3"/>
        <v/>
      </c>
      <c r="T313" s="15" t="str">
        <f>IFERROR(__xludf.DUMMYFUNCTION("IF($A313="""","""",IFERROR(PERCENTRANK.INC(FILTER(Q:Q,$F:$F&lt;&gt;""""),Q313)*100,""""))"),"")</f>
        <v/>
      </c>
      <c r="U313" s="15" t="str">
        <f>IFERROR(__xludf.DUMMYFUNCTION("IF($A313="""","""",IFERROR(PERCENTRANK.INC(FILTER(R:R,$F:$F&lt;&gt;""""),R313)*100,""""))"),"")</f>
        <v/>
      </c>
      <c r="V313" s="15" t="str">
        <f>IFERROR(__xludf.DUMMYFUNCTION("IF($A313="""","""",IFERROR(PERCENTRANK.INC(FILTER(S:S,$F:$F&lt;&gt;""""),S313)*100,""""))"),"")</f>
        <v/>
      </c>
      <c r="W313" s="15" t="str">
        <f t="shared" si="4"/>
        <v/>
      </c>
    </row>
    <row r="314">
      <c r="B314" t="str">
        <f t="array" ref="B314">IFERROR(INDEX('Player Raw Data'!C:C,Match($A314,'Player Raw Data'!$B:$B,0)),"")</f>
        <v/>
      </c>
      <c r="C314" t="str">
        <f t="array" ref="C314">IFERROR(INDEX('Player Raw Data'!D:D,Match($A314,'Player Raw Data'!$B:$B,0)),"")</f>
        <v/>
      </c>
      <c r="D314" t="str">
        <f t="array" ref="D314">IFERROR(IF(A314=A313, INDEX('Player Raw Data'!E:E,Match($A314,'Player Raw Data'!$B:$B,0)+2),INDEX('Player Raw Data'!E:E,Match($A314,'Player Raw Data'!$B:$B,0))),"")</f>
        <v/>
      </c>
      <c r="E314" t="str">
        <f t="array" ref="E314">IFERROR(INDEX('Day Range Raw Data'!D:D,Match($A314,'Day Range Raw Data'!$B:$B,0)),"")</f>
        <v/>
      </c>
      <c r="F314" t="str">
        <f t="array" ref="F314">IFERROR(INDEX('Day Range Raw Data'!F:F,Match($A314,'Day Range Raw Data'!$B:$B,0)),"")</f>
        <v/>
      </c>
      <c r="G314" t="str">
        <f t="array" ref="G314">IFERROR(INDEX('Day Range Raw Data'!G:G,Match($A314,'Day Range Raw Data'!$B:$B,0)),"")</f>
        <v/>
      </c>
      <c r="H314" t="str">
        <f t="array" ref="H314">IFERROR(INDEX('Day Range Raw Data'!H:H,Match($A314,'Day Range Raw Data'!$B:$B,0)),"")</f>
        <v/>
      </c>
      <c r="I314" t="str">
        <f t="array" ref="I314">IFERROR(INDEX('Day Range Raw Data'!M:M,Match($A314,'Day Range Raw Data'!$B:$B,0)),"")</f>
        <v/>
      </c>
      <c r="J314" t="str">
        <f t="array" ref="J314">IFERROR(INDEX('Day Range Raw Data'!N:N,Match($A314,'Day Range Raw Data'!$B:$B,0)),"")</f>
        <v/>
      </c>
      <c r="K314" t="str">
        <f t="array" ref="K314">IFERROR(INDEX('Day Range Raw Data'!R:R,Match($A314,'Day Range Raw Data'!$B:$B,0)),"")</f>
        <v/>
      </c>
      <c r="L314" t="str">
        <f t="array" ref="L314">IFERROR(INDEX('Day Range Raw Data'!S:S,Match($A314,'Day Range Raw Data'!$B:$B,0)),"")</f>
        <v/>
      </c>
      <c r="M314" t="str">
        <f t="array" ref="M314">IFERROR(INDEX('Day Range Raw Data'!T:T,Match($A314,'Day Range Raw Data'!$B:$B,0)),"")</f>
        <v/>
      </c>
      <c r="N314" t="str">
        <f t="array" ref="N314">IFERROR(INDEX('Day Range Raw Data'!U:U,Match($A314,'Day Range Raw Data'!$B:$B,0)),"")</f>
        <v/>
      </c>
      <c r="O314" t="str">
        <f t="array" ref="O314">IFERROR(INDEX('Day Range Raw Data'!V:V,Match($A314,'Day Range Raw Data'!$B:$B,0)),"")</f>
        <v/>
      </c>
      <c r="P314" t="str">
        <f t="array" ref="P314">IFERROR(INDEX('Day Range Raw Data'!X:X,Match($A314,'Day Range Raw Data'!$B:$B,0)),"")</f>
        <v/>
      </c>
      <c r="Q314" t="str">
        <f t="shared" si="1"/>
        <v/>
      </c>
      <c r="R314" s="9" t="str">
        <f t="shared" si="2"/>
        <v/>
      </c>
      <c r="S314" s="14" t="str">
        <f t="shared" si="3"/>
        <v/>
      </c>
      <c r="T314" s="15" t="str">
        <f>IFERROR(__xludf.DUMMYFUNCTION("IF($A314="""","""",IFERROR(PERCENTRANK.INC(FILTER(Q:Q,$F:$F&lt;&gt;""""),Q314)*100,""""))"),"")</f>
        <v/>
      </c>
      <c r="U314" s="15" t="str">
        <f>IFERROR(__xludf.DUMMYFUNCTION("IF($A314="""","""",IFERROR(PERCENTRANK.INC(FILTER(R:R,$F:$F&lt;&gt;""""),R314)*100,""""))"),"")</f>
        <v/>
      </c>
      <c r="V314" s="15" t="str">
        <f>IFERROR(__xludf.DUMMYFUNCTION("IF($A314="""","""",IFERROR(PERCENTRANK.INC(FILTER(S:S,$F:$F&lt;&gt;""""),S314)*100,""""))"),"")</f>
        <v/>
      </c>
      <c r="W314" s="15" t="str">
        <f t="shared" si="4"/>
        <v/>
      </c>
    </row>
    <row r="315">
      <c r="B315" t="str">
        <f t="array" ref="B315">IFERROR(INDEX('Player Raw Data'!C:C,Match($A315,'Player Raw Data'!$B:$B,0)),"")</f>
        <v/>
      </c>
      <c r="C315" t="str">
        <f t="array" ref="C315">IFERROR(INDEX('Player Raw Data'!D:D,Match($A315,'Player Raw Data'!$B:$B,0)),"")</f>
        <v/>
      </c>
      <c r="D315" t="str">
        <f t="array" ref="D315">IFERROR(IF(A315=A314, INDEX('Player Raw Data'!E:E,Match($A315,'Player Raw Data'!$B:$B,0)+2),INDEX('Player Raw Data'!E:E,Match($A315,'Player Raw Data'!$B:$B,0))),"")</f>
        <v/>
      </c>
      <c r="E315" t="str">
        <f t="array" ref="E315">IFERROR(INDEX('Day Range Raw Data'!D:D,Match($A315,'Day Range Raw Data'!$B:$B,0)),"")</f>
        <v/>
      </c>
      <c r="F315" t="str">
        <f t="array" ref="F315">IFERROR(INDEX('Day Range Raw Data'!F:F,Match($A315,'Day Range Raw Data'!$B:$B,0)),"")</f>
        <v/>
      </c>
      <c r="G315" t="str">
        <f t="array" ref="G315">IFERROR(INDEX('Day Range Raw Data'!G:G,Match($A315,'Day Range Raw Data'!$B:$B,0)),"")</f>
        <v/>
      </c>
      <c r="H315" t="str">
        <f t="array" ref="H315">IFERROR(INDEX('Day Range Raw Data'!H:H,Match($A315,'Day Range Raw Data'!$B:$B,0)),"")</f>
        <v/>
      </c>
      <c r="I315" t="str">
        <f t="array" ref="I315">IFERROR(INDEX('Day Range Raw Data'!M:M,Match($A315,'Day Range Raw Data'!$B:$B,0)),"")</f>
        <v/>
      </c>
      <c r="J315" t="str">
        <f t="array" ref="J315">IFERROR(INDEX('Day Range Raw Data'!N:N,Match($A315,'Day Range Raw Data'!$B:$B,0)),"")</f>
        <v/>
      </c>
      <c r="K315" t="str">
        <f t="array" ref="K315">IFERROR(INDEX('Day Range Raw Data'!R:R,Match($A315,'Day Range Raw Data'!$B:$B,0)),"")</f>
        <v/>
      </c>
      <c r="L315" t="str">
        <f t="array" ref="L315">IFERROR(INDEX('Day Range Raw Data'!S:S,Match($A315,'Day Range Raw Data'!$B:$B,0)),"")</f>
        <v/>
      </c>
      <c r="M315" t="str">
        <f t="array" ref="M315">IFERROR(INDEX('Day Range Raw Data'!T:T,Match($A315,'Day Range Raw Data'!$B:$B,0)),"")</f>
        <v/>
      </c>
      <c r="N315" t="str">
        <f t="array" ref="N315">IFERROR(INDEX('Day Range Raw Data'!U:U,Match($A315,'Day Range Raw Data'!$B:$B,0)),"")</f>
        <v/>
      </c>
      <c r="O315" t="str">
        <f t="array" ref="O315">IFERROR(INDEX('Day Range Raw Data'!V:V,Match($A315,'Day Range Raw Data'!$B:$B,0)),"")</f>
        <v/>
      </c>
      <c r="P315" t="str">
        <f t="array" ref="P315">IFERROR(INDEX('Day Range Raw Data'!X:X,Match($A315,'Day Range Raw Data'!$B:$B,0)),"")</f>
        <v/>
      </c>
      <c r="Q315" t="str">
        <f t="shared" si="1"/>
        <v/>
      </c>
      <c r="R315" s="9" t="str">
        <f t="shared" si="2"/>
        <v/>
      </c>
      <c r="S315" s="14" t="str">
        <f t="shared" si="3"/>
        <v/>
      </c>
      <c r="T315" s="15" t="str">
        <f>IFERROR(__xludf.DUMMYFUNCTION("IF($A315="""","""",IFERROR(PERCENTRANK.INC(FILTER(Q:Q,$F:$F&lt;&gt;""""),Q315)*100,""""))"),"")</f>
        <v/>
      </c>
      <c r="U315" s="15" t="str">
        <f>IFERROR(__xludf.DUMMYFUNCTION("IF($A315="""","""",IFERROR(PERCENTRANK.INC(FILTER(R:R,$F:$F&lt;&gt;""""),R315)*100,""""))"),"")</f>
        <v/>
      </c>
      <c r="V315" s="15" t="str">
        <f>IFERROR(__xludf.DUMMYFUNCTION("IF($A315="""","""",IFERROR(PERCENTRANK.INC(FILTER(S:S,$F:$F&lt;&gt;""""),S315)*100,""""))"),"")</f>
        <v/>
      </c>
      <c r="W315" s="15" t="str">
        <f t="shared" si="4"/>
        <v/>
      </c>
    </row>
    <row r="316">
      <c r="B316" t="str">
        <f t="array" ref="B316">IFERROR(INDEX('Player Raw Data'!C:C,Match($A316,'Player Raw Data'!$B:$B,0)),"")</f>
        <v/>
      </c>
      <c r="C316" t="str">
        <f t="array" ref="C316">IFERROR(INDEX('Player Raw Data'!D:D,Match($A316,'Player Raw Data'!$B:$B,0)),"")</f>
        <v/>
      </c>
      <c r="D316" t="str">
        <f t="array" ref="D316">IFERROR(IF(A316=A315, INDEX('Player Raw Data'!E:E,Match($A316,'Player Raw Data'!$B:$B,0)+2),INDEX('Player Raw Data'!E:E,Match($A316,'Player Raw Data'!$B:$B,0))),"")</f>
        <v/>
      </c>
      <c r="E316" t="str">
        <f t="array" ref="E316">IFERROR(INDEX('Day Range Raw Data'!D:D,Match($A316,'Day Range Raw Data'!$B:$B,0)),"")</f>
        <v/>
      </c>
      <c r="F316" t="str">
        <f t="array" ref="F316">IFERROR(INDEX('Day Range Raw Data'!F:F,Match($A316,'Day Range Raw Data'!$B:$B,0)),"")</f>
        <v/>
      </c>
      <c r="G316" t="str">
        <f t="array" ref="G316">IFERROR(INDEX('Day Range Raw Data'!G:G,Match($A316,'Day Range Raw Data'!$B:$B,0)),"")</f>
        <v/>
      </c>
      <c r="H316" t="str">
        <f t="array" ref="H316">IFERROR(INDEX('Day Range Raw Data'!H:H,Match($A316,'Day Range Raw Data'!$B:$B,0)),"")</f>
        <v/>
      </c>
      <c r="I316" t="str">
        <f t="array" ref="I316">IFERROR(INDEX('Day Range Raw Data'!M:M,Match($A316,'Day Range Raw Data'!$B:$B,0)),"")</f>
        <v/>
      </c>
      <c r="J316" t="str">
        <f t="array" ref="J316">IFERROR(INDEX('Day Range Raw Data'!N:N,Match($A316,'Day Range Raw Data'!$B:$B,0)),"")</f>
        <v/>
      </c>
      <c r="K316" t="str">
        <f t="array" ref="K316">IFERROR(INDEX('Day Range Raw Data'!R:R,Match($A316,'Day Range Raw Data'!$B:$B,0)),"")</f>
        <v/>
      </c>
      <c r="L316" t="str">
        <f t="array" ref="L316">IFERROR(INDEX('Day Range Raw Data'!S:S,Match($A316,'Day Range Raw Data'!$B:$B,0)),"")</f>
        <v/>
      </c>
      <c r="M316" t="str">
        <f t="array" ref="M316">IFERROR(INDEX('Day Range Raw Data'!T:T,Match($A316,'Day Range Raw Data'!$B:$B,0)),"")</f>
        <v/>
      </c>
      <c r="N316" t="str">
        <f t="array" ref="N316">IFERROR(INDEX('Day Range Raw Data'!U:U,Match($A316,'Day Range Raw Data'!$B:$B,0)),"")</f>
        <v/>
      </c>
      <c r="O316" t="str">
        <f t="array" ref="O316">IFERROR(INDEX('Day Range Raw Data'!V:V,Match($A316,'Day Range Raw Data'!$B:$B,0)),"")</f>
        <v/>
      </c>
      <c r="P316" t="str">
        <f t="array" ref="P316">IFERROR(INDEX('Day Range Raw Data'!X:X,Match($A316,'Day Range Raw Data'!$B:$B,0)),"")</f>
        <v/>
      </c>
      <c r="Q316" t="str">
        <f t="shared" si="1"/>
        <v/>
      </c>
      <c r="R316" s="9" t="str">
        <f t="shared" si="2"/>
        <v/>
      </c>
      <c r="S316" s="14" t="str">
        <f t="shared" si="3"/>
        <v/>
      </c>
      <c r="T316" s="15" t="str">
        <f>IFERROR(__xludf.DUMMYFUNCTION("IF($A316="""","""",IFERROR(PERCENTRANK.INC(FILTER(Q:Q,$F:$F&lt;&gt;""""),Q316)*100,""""))"),"")</f>
        <v/>
      </c>
      <c r="U316" s="15" t="str">
        <f>IFERROR(__xludf.DUMMYFUNCTION("IF($A316="""","""",IFERROR(PERCENTRANK.INC(FILTER(R:R,$F:$F&lt;&gt;""""),R316)*100,""""))"),"")</f>
        <v/>
      </c>
      <c r="V316" s="15" t="str">
        <f>IFERROR(__xludf.DUMMYFUNCTION("IF($A316="""","""",IFERROR(PERCENTRANK.INC(FILTER(S:S,$F:$F&lt;&gt;""""),S316)*100,""""))"),"")</f>
        <v/>
      </c>
      <c r="W316" s="15" t="str">
        <f t="shared" si="4"/>
        <v/>
      </c>
    </row>
    <row r="317">
      <c r="B317" t="str">
        <f t="array" ref="B317">IFERROR(INDEX('Player Raw Data'!C:C,Match($A317,'Player Raw Data'!$B:$B,0)),"")</f>
        <v/>
      </c>
      <c r="C317" t="str">
        <f t="array" ref="C317">IFERROR(INDEX('Player Raw Data'!D:D,Match($A317,'Player Raw Data'!$B:$B,0)),"")</f>
        <v/>
      </c>
      <c r="D317" t="str">
        <f t="array" ref="D317">IFERROR(IF(A317=A316, INDEX('Player Raw Data'!E:E,Match($A317,'Player Raw Data'!$B:$B,0)+2),INDEX('Player Raw Data'!E:E,Match($A317,'Player Raw Data'!$B:$B,0))),"")</f>
        <v/>
      </c>
      <c r="E317" t="str">
        <f t="array" ref="E317">IFERROR(INDEX('Day Range Raw Data'!D:D,Match($A317,'Day Range Raw Data'!$B:$B,0)),"")</f>
        <v/>
      </c>
      <c r="F317" t="str">
        <f t="array" ref="F317">IFERROR(INDEX('Day Range Raw Data'!F:F,Match($A317,'Day Range Raw Data'!$B:$B,0)),"")</f>
        <v/>
      </c>
      <c r="G317" t="str">
        <f t="array" ref="G317">IFERROR(INDEX('Day Range Raw Data'!G:G,Match($A317,'Day Range Raw Data'!$B:$B,0)),"")</f>
        <v/>
      </c>
      <c r="H317" t="str">
        <f t="array" ref="H317">IFERROR(INDEX('Day Range Raw Data'!H:H,Match($A317,'Day Range Raw Data'!$B:$B,0)),"")</f>
        <v/>
      </c>
      <c r="I317" t="str">
        <f t="array" ref="I317">IFERROR(INDEX('Day Range Raw Data'!M:M,Match($A317,'Day Range Raw Data'!$B:$B,0)),"")</f>
        <v/>
      </c>
      <c r="J317" t="str">
        <f t="array" ref="J317">IFERROR(INDEX('Day Range Raw Data'!N:N,Match($A317,'Day Range Raw Data'!$B:$B,0)),"")</f>
        <v/>
      </c>
      <c r="K317" t="str">
        <f t="array" ref="K317">IFERROR(INDEX('Day Range Raw Data'!R:R,Match($A317,'Day Range Raw Data'!$B:$B,0)),"")</f>
        <v/>
      </c>
      <c r="L317" t="str">
        <f t="array" ref="L317">IFERROR(INDEX('Day Range Raw Data'!S:S,Match($A317,'Day Range Raw Data'!$B:$B,0)),"")</f>
        <v/>
      </c>
      <c r="M317" t="str">
        <f t="array" ref="M317">IFERROR(INDEX('Day Range Raw Data'!T:T,Match($A317,'Day Range Raw Data'!$B:$B,0)),"")</f>
        <v/>
      </c>
      <c r="N317" t="str">
        <f t="array" ref="N317">IFERROR(INDEX('Day Range Raw Data'!U:U,Match($A317,'Day Range Raw Data'!$B:$B,0)),"")</f>
        <v/>
      </c>
      <c r="O317" t="str">
        <f t="array" ref="O317">IFERROR(INDEX('Day Range Raw Data'!V:V,Match($A317,'Day Range Raw Data'!$B:$B,0)),"")</f>
        <v/>
      </c>
      <c r="P317" t="str">
        <f t="array" ref="P317">IFERROR(INDEX('Day Range Raw Data'!X:X,Match($A317,'Day Range Raw Data'!$B:$B,0)),"")</f>
        <v/>
      </c>
      <c r="Q317" t="str">
        <f t="shared" si="1"/>
        <v/>
      </c>
      <c r="R317" s="9" t="str">
        <f t="shared" si="2"/>
        <v/>
      </c>
      <c r="S317" s="14" t="str">
        <f t="shared" si="3"/>
        <v/>
      </c>
      <c r="T317" s="15" t="str">
        <f>IFERROR(__xludf.DUMMYFUNCTION("IF($A317="""","""",IFERROR(PERCENTRANK.INC(FILTER(Q:Q,$F:$F&lt;&gt;""""),Q317)*100,""""))"),"")</f>
        <v/>
      </c>
      <c r="U317" s="15" t="str">
        <f>IFERROR(__xludf.DUMMYFUNCTION("IF($A317="""","""",IFERROR(PERCENTRANK.INC(FILTER(R:R,$F:$F&lt;&gt;""""),R317)*100,""""))"),"")</f>
        <v/>
      </c>
      <c r="V317" s="15" t="str">
        <f>IFERROR(__xludf.DUMMYFUNCTION("IF($A317="""","""",IFERROR(PERCENTRANK.INC(FILTER(S:S,$F:$F&lt;&gt;""""),S317)*100,""""))"),"")</f>
        <v/>
      </c>
      <c r="W317" s="15" t="str">
        <f t="shared" si="4"/>
        <v/>
      </c>
    </row>
    <row r="318">
      <c r="B318" t="str">
        <f t="array" ref="B318">IFERROR(INDEX('Player Raw Data'!C:C,Match($A318,'Player Raw Data'!$B:$B,0)),"")</f>
        <v/>
      </c>
      <c r="C318" t="str">
        <f t="array" ref="C318">IFERROR(INDEX('Player Raw Data'!D:D,Match($A318,'Player Raw Data'!$B:$B,0)),"")</f>
        <v/>
      </c>
      <c r="D318" t="str">
        <f t="array" ref="D318">IFERROR(IF(A318=A317, INDEX('Player Raw Data'!E:E,Match($A318,'Player Raw Data'!$B:$B,0)+2),INDEX('Player Raw Data'!E:E,Match($A318,'Player Raw Data'!$B:$B,0))),"")</f>
        <v/>
      </c>
      <c r="E318" t="str">
        <f t="array" ref="E318">IFERROR(INDEX('Day Range Raw Data'!D:D,Match($A318,'Day Range Raw Data'!$B:$B,0)),"")</f>
        <v/>
      </c>
      <c r="F318" t="str">
        <f t="array" ref="F318">IFERROR(INDEX('Day Range Raw Data'!F:F,Match($A318,'Day Range Raw Data'!$B:$B,0)),"")</f>
        <v/>
      </c>
      <c r="G318" t="str">
        <f t="array" ref="G318">IFERROR(INDEX('Day Range Raw Data'!G:G,Match($A318,'Day Range Raw Data'!$B:$B,0)),"")</f>
        <v/>
      </c>
      <c r="H318" t="str">
        <f t="array" ref="H318">IFERROR(INDEX('Day Range Raw Data'!H:H,Match($A318,'Day Range Raw Data'!$B:$B,0)),"")</f>
        <v/>
      </c>
      <c r="I318" t="str">
        <f t="array" ref="I318">IFERROR(INDEX('Day Range Raw Data'!M:M,Match($A318,'Day Range Raw Data'!$B:$B,0)),"")</f>
        <v/>
      </c>
      <c r="J318" t="str">
        <f t="array" ref="J318">IFERROR(INDEX('Day Range Raw Data'!N:N,Match($A318,'Day Range Raw Data'!$B:$B,0)),"")</f>
        <v/>
      </c>
      <c r="K318" t="str">
        <f t="array" ref="K318">IFERROR(INDEX('Day Range Raw Data'!R:R,Match($A318,'Day Range Raw Data'!$B:$B,0)),"")</f>
        <v/>
      </c>
      <c r="L318" t="str">
        <f t="array" ref="L318">IFERROR(INDEX('Day Range Raw Data'!S:S,Match($A318,'Day Range Raw Data'!$B:$B,0)),"")</f>
        <v/>
      </c>
      <c r="M318" t="str">
        <f t="array" ref="M318">IFERROR(INDEX('Day Range Raw Data'!T:T,Match($A318,'Day Range Raw Data'!$B:$B,0)),"")</f>
        <v/>
      </c>
      <c r="N318" t="str">
        <f t="array" ref="N318">IFERROR(INDEX('Day Range Raw Data'!U:U,Match($A318,'Day Range Raw Data'!$B:$B,0)),"")</f>
        <v/>
      </c>
      <c r="O318" t="str">
        <f t="array" ref="O318">IFERROR(INDEX('Day Range Raw Data'!V:V,Match($A318,'Day Range Raw Data'!$B:$B,0)),"")</f>
        <v/>
      </c>
      <c r="P318" t="str">
        <f t="array" ref="P318">IFERROR(INDEX('Day Range Raw Data'!X:X,Match($A318,'Day Range Raw Data'!$B:$B,0)),"")</f>
        <v/>
      </c>
      <c r="Q318" t="str">
        <f t="shared" si="1"/>
        <v/>
      </c>
      <c r="R318" s="9" t="str">
        <f t="shared" si="2"/>
        <v/>
      </c>
      <c r="S318" s="14" t="str">
        <f t="shared" si="3"/>
        <v/>
      </c>
      <c r="T318" s="15" t="str">
        <f>IFERROR(__xludf.DUMMYFUNCTION("IF($A318="""","""",IFERROR(PERCENTRANK.INC(FILTER(Q:Q,$F:$F&lt;&gt;""""),Q318)*100,""""))"),"")</f>
        <v/>
      </c>
      <c r="U318" s="15" t="str">
        <f>IFERROR(__xludf.DUMMYFUNCTION("IF($A318="""","""",IFERROR(PERCENTRANK.INC(FILTER(R:R,$F:$F&lt;&gt;""""),R318)*100,""""))"),"")</f>
        <v/>
      </c>
      <c r="V318" s="15" t="str">
        <f>IFERROR(__xludf.DUMMYFUNCTION("IF($A318="""","""",IFERROR(PERCENTRANK.INC(FILTER(S:S,$F:$F&lt;&gt;""""),S318)*100,""""))"),"")</f>
        <v/>
      </c>
      <c r="W318" s="15" t="str">
        <f t="shared" si="4"/>
        <v/>
      </c>
    </row>
    <row r="319">
      <c r="B319" t="str">
        <f t="array" ref="B319">IFERROR(INDEX('Player Raw Data'!C:C,Match($A319,'Player Raw Data'!$B:$B,0)),"")</f>
        <v/>
      </c>
      <c r="C319" t="str">
        <f t="array" ref="C319">IFERROR(INDEX('Player Raw Data'!D:D,Match($A319,'Player Raw Data'!$B:$B,0)),"")</f>
        <v/>
      </c>
      <c r="D319" t="str">
        <f t="array" ref="D319">IFERROR(IF(A319=A318, INDEX('Player Raw Data'!E:E,Match($A319,'Player Raw Data'!$B:$B,0)+2),INDEX('Player Raw Data'!E:E,Match($A319,'Player Raw Data'!$B:$B,0))),"")</f>
        <v/>
      </c>
      <c r="E319" t="str">
        <f t="array" ref="E319">IFERROR(INDEX('Day Range Raw Data'!D:D,Match($A319,'Day Range Raw Data'!$B:$B,0)),"")</f>
        <v/>
      </c>
      <c r="F319" t="str">
        <f t="array" ref="F319">IFERROR(INDEX('Day Range Raw Data'!F:F,Match($A319,'Day Range Raw Data'!$B:$B,0)),"")</f>
        <v/>
      </c>
      <c r="G319" t="str">
        <f t="array" ref="G319">IFERROR(INDEX('Day Range Raw Data'!G:G,Match($A319,'Day Range Raw Data'!$B:$B,0)),"")</f>
        <v/>
      </c>
      <c r="H319" t="str">
        <f t="array" ref="H319">IFERROR(INDEX('Day Range Raw Data'!H:H,Match($A319,'Day Range Raw Data'!$B:$B,0)),"")</f>
        <v/>
      </c>
      <c r="I319" t="str">
        <f t="array" ref="I319">IFERROR(INDEX('Day Range Raw Data'!M:M,Match($A319,'Day Range Raw Data'!$B:$B,0)),"")</f>
        <v/>
      </c>
      <c r="J319" t="str">
        <f t="array" ref="J319">IFERROR(INDEX('Day Range Raw Data'!N:N,Match($A319,'Day Range Raw Data'!$B:$B,0)),"")</f>
        <v/>
      </c>
      <c r="K319" t="str">
        <f t="array" ref="K319">IFERROR(INDEX('Day Range Raw Data'!R:R,Match($A319,'Day Range Raw Data'!$B:$B,0)),"")</f>
        <v/>
      </c>
      <c r="L319" t="str">
        <f t="array" ref="L319">IFERROR(INDEX('Day Range Raw Data'!S:S,Match($A319,'Day Range Raw Data'!$B:$B,0)),"")</f>
        <v/>
      </c>
      <c r="M319" t="str">
        <f t="array" ref="M319">IFERROR(INDEX('Day Range Raw Data'!T:T,Match($A319,'Day Range Raw Data'!$B:$B,0)),"")</f>
        <v/>
      </c>
      <c r="N319" t="str">
        <f t="array" ref="N319">IFERROR(INDEX('Day Range Raw Data'!U:U,Match($A319,'Day Range Raw Data'!$B:$B,0)),"")</f>
        <v/>
      </c>
      <c r="O319" t="str">
        <f t="array" ref="O319">IFERROR(INDEX('Day Range Raw Data'!V:V,Match($A319,'Day Range Raw Data'!$B:$B,0)),"")</f>
        <v/>
      </c>
      <c r="P319" t="str">
        <f t="array" ref="P319">IFERROR(INDEX('Day Range Raw Data'!X:X,Match($A319,'Day Range Raw Data'!$B:$B,0)),"")</f>
        <v/>
      </c>
      <c r="Q319" t="str">
        <f t="shared" si="1"/>
        <v/>
      </c>
      <c r="R319" s="9" t="str">
        <f t="shared" si="2"/>
        <v/>
      </c>
      <c r="S319" s="14" t="str">
        <f t="shared" si="3"/>
        <v/>
      </c>
      <c r="T319" s="15" t="str">
        <f>IFERROR(__xludf.DUMMYFUNCTION("IF($A319="""","""",IFERROR(PERCENTRANK.INC(FILTER(Q:Q,$F:$F&lt;&gt;""""),Q319)*100,""""))"),"")</f>
        <v/>
      </c>
      <c r="U319" s="15" t="str">
        <f>IFERROR(__xludf.DUMMYFUNCTION("IF($A319="""","""",IFERROR(PERCENTRANK.INC(FILTER(R:R,$F:$F&lt;&gt;""""),R319)*100,""""))"),"")</f>
        <v/>
      </c>
      <c r="V319" s="15" t="str">
        <f>IFERROR(__xludf.DUMMYFUNCTION("IF($A319="""","""",IFERROR(PERCENTRANK.INC(FILTER(S:S,$F:$F&lt;&gt;""""),S319)*100,""""))"),"")</f>
        <v/>
      </c>
      <c r="W319" s="15" t="str">
        <f t="shared" si="4"/>
        <v/>
      </c>
    </row>
    <row r="320">
      <c r="B320" t="str">
        <f t="array" ref="B320">IFERROR(INDEX('Player Raw Data'!C:C,Match($A320,'Player Raw Data'!$B:$B,0)),"")</f>
        <v/>
      </c>
      <c r="C320" t="str">
        <f t="array" ref="C320">IFERROR(INDEX('Player Raw Data'!D:D,Match($A320,'Player Raw Data'!$B:$B,0)),"")</f>
        <v/>
      </c>
      <c r="D320" t="str">
        <f t="array" ref="D320">IFERROR(IF(A320=A319, INDEX('Player Raw Data'!E:E,Match($A320,'Player Raw Data'!$B:$B,0)+2),INDEX('Player Raw Data'!E:E,Match($A320,'Player Raw Data'!$B:$B,0))),"")</f>
        <v/>
      </c>
      <c r="E320" t="str">
        <f t="array" ref="E320">IFERROR(INDEX('Day Range Raw Data'!D:D,Match($A320,'Day Range Raw Data'!$B:$B,0)),"")</f>
        <v/>
      </c>
      <c r="F320" t="str">
        <f t="array" ref="F320">IFERROR(INDEX('Day Range Raw Data'!F:F,Match($A320,'Day Range Raw Data'!$B:$B,0)),"")</f>
        <v/>
      </c>
      <c r="G320" t="str">
        <f t="array" ref="G320">IFERROR(INDEX('Day Range Raw Data'!G:G,Match($A320,'Day Range Raw Data'!$B:$B,0)),"")</f>
        <v/>
      </c>
      <c r="H320" t="str">
        <f t="array" ref="H320">IFERROR(INDEX('Day Range Raw Data'!H:H,Match($A320,'Day Range Raw Data'!$B:$B,0)),"")</f>
        <v/>
      </c>
      <c r="I320" t="str">
        <f t="array" ref="I320">IFERROR(INDEX('Day Range Raw Data'!M:M,Match($A320,'Day Range Raw Data'!$B:$B,0)),"")</f>
        <v/>
      </c>
      <c r="J320" t="str">
        <f t="array" ref="J320">IFERROR(INDEX('Day Range Raw Data'!N:N,Match($A320,'Day Range Raw Data'!$B:$B,0)),"")</f>
        <v/>
      </c>
      <c r="K320" t="str">
        <f t="array" ref="K320">IFERROR(INDEX('Day Range Raw Data'!R:R,Match($A320,'Day Range Raw Data'!$B:$B,0)),"")</f>
        <v/>
      </c>
      <c r="L320" t="str">
        <f t="array" ref="L320">IFERROR(INDEX('Day Range Raw Data'!S:S,Match($A320,'Day Range Raw Data'!$B:$B,0)),"")</f>
        <v/>
      </c>
      <c r="M320" t="str">
        <f t="array" ref="M320">IFERROR(INDEX('Day Range Raw Data'!T:T,Match($A320,'Day Range Raw Data'!$B:$B,0)),"")</f>
        <v/>
      </c>
      <c r="N320" t="str">
        <f t="array" ref="N320">IFERROR(INDEX('Day Range Raw Data'!U:U,Match($A320,'Day Range Raw Data'!$B:$B,0)),"")</f>
        <v/>
      </c>
      <c r="O320" t="str">
        <f t="array" ref="O320">IFERROR(INDEX('Day Range Raw Data'!V:V,Match($A320,'Day Range Raw Data'!$B:$B,0)),"")</f>
        <v/>
      </c>
      <c r="P320" t="str">
        <f t="array" ref="P320">IFERROR(INDEX('Day Range Raw Data'!X:X,Match($A320,'Day Range Raw Data'!$B:$B,0)),"")</f>
        <v/>
      </c>
      <c r="Q320" t="str">
        <f t="shared" si="1"/>
        <v/>
      </c>
      <c r="R320" s="9" t="str">
        <f t="shared" si="2"/>
        <v/>
      </c>
      <c r="S320" s="14" t="str">
        <f t="shared" si="3"/>
        <v/>
      </c>
      <c r="T320" s="15" t="str">
        <f>IFERROR(__xludf.DUMMYFUNCTION("IF($A320="""","""",IFERROR(PERCENTRANK.INC(FILTER(Q:Q,$F:$F&lt;&gt;""""),Q320)*100,""""))"),"")</f>
        <v/>
      </c>
      <c r="U320" s="15" t="str">
        <f>IFERROR(__xludf.DUMMYFUNCTION("IF($A320="""","""",IFERROR(PERCENTRANK.INC(FILTER(R:R,$F:$F&lt;&gt;""""),R320)*100,""""))"),"")</f>
        <v/>
      </c>
      <c r="V320" s="15" t="str">
        <f>IFERROR(__xludf.DUMMYFUNCTION("IF($A320="""","""",IFERROR(PERCENTRANK.INC(FILTER(S:S,$F:$F&lt;&gt;""""),S320)*100,""""))"),"")</f>
        <v/>
      </c>
      <c r="W320" s="15" t="str">
        <f t="shared" si="4"/>
        <v/>
      </c>
    </row>
    <row r="321">
      <c r="B321" t="str">
        <f t="array" ref="B321">IFERROR(INDEX('Player Raw Data'!C:C,Match($A321,'Player Raw Data'!$B:$B,0)),"")</f>
        <v/>
      </c>
      <c r="C321" t="str">
        <f t="array" ref="C321">IFERROR(INDEX('Player Raw Data'!D:D,Match($A321,'Player Raw Data'!$B:$B,0)),"")</f>
        <v/>
      </c>
      <c r="D321" t="str">
        <f t="array" ref="D321">IFERROR(IF(A321=A320, INDEX('Player Raw Data'!E:E,Match($A321,'Player Raw Data'!$B:$B,0)+2),INDEX('Player Raw Data'!E:E,Match($A321,'Player Raw Data'!$B:$B,0))),"")</f>
        <v/>
      </c>
      <c r="E321" t="str">
        <f t="array" ref="E321">IFERROR(INDEX('Day Range Raw Data'!D:D,Match($A321,'Day Range Raw Data'!$B:$B,0)),"")</f>
        <v/>
      </c>
      <c r="F321" t="str">
        <f t="array" ref="F321">IFERROR(INDEX('Day Range Raw Data'!F:F,Match($A321,'Day Range Raw Data'!$B:$B,0)),"")</f>
        <v/>
      </c>
      <c r="G321" t="str">
        <f t="array" ref="G321">IFERROR(INDEX('Day Range Raw Data'!G:G,Match($A321,'Day Range Raw Data'!$B:$B,0)),"")</f>
        <v/>
      </c>
      <c r="H321" t="str">
        <f t="array" ref="H321">IFERROR(INDEX('Day Range Raw Data'!H:H,Match($A321,'Day Range Raw Data'!$B:$B,0)),"")</f>
        <v/>
      </c>
      <c r="I321" t="str">
        <f t="array" ref="I321">IFERROR(INDEX('Day Range Raw Data'!M:M,Match($A321,'Day Range Raw Data'!$B:$B,0)),"")</f>
        <v/>
      </c>
      <c r="J321" t="str">
        <f t="array" ref="J321">IFERROR(INDEX('Day Range Raw Data'!N:N,Match($A321,'Day Range Raw Data'!$B:$B,0)),"")</f>
        <v/>
      </c>
      <c r="K321" t="str">
        <f t="array" ref="K321">IFERROR(INDEX('Day Range Raw Data'!R:R,Match($A321,'Day Range Raw Data'!$B:$B,0)),"")</f>
        <v/>
      </c>
      <c r="L321" t="str">
        <f t="array" ref="L321">IFERROR(INDEX('Day Range Raw Data'!S:S,Match($A321,'Day Range Raw Data'!$B:$B,0)),"")</f>
        <v/>
      </c>
      <c r="M321" t="str">
        <f t="array" ref="M321">IFERROR(INDEX('Day Range Raw Data'!T:T,Match($A321,'Day Range Raw Data'!$B:$B,0)),"")</f>
        <v/>
      </c>
      <c r="N321" t="str">
        <f t="array" ref="N321">IFERROR(INDEX('Day Range Raw Data'!U:U,Match($A321,'Day Range Raw Data'!$B:$B,0)),"")</f>
        <v/>
      </c>
      <c r="O321" t="str">
        <f t="array" ref="O321">IFERROR(INDEX('Day Range Raw Data'!V:V,Match($A321,'Day Range Raw Data'!$B:$B,0)),"")</f>
        <v/>
      </c>
      <c r="P321" t="str">
        <f t="array" ref="P321">IFERROR(INDEX('Day Range Raw Data'!X:X,Match($A321,'Day Range Raw Data'!$B:$B,0)),"")</f>
        <v/>
      </c>
      <c r="Q321" t="str">
        <f t="shared" si="1"/>
        <v/>
      </c>
      <c r="R321" s="9" t="str">
        <f t="shared" si="2"/>
        <v/>
      </c>
      <c r="S321" s="14" t="str">
        <f t="shared" si="3"/>
        <v/>
      </c>
      <c r="T321" s="15" t="str">
        <f>IFERROR(__xludf.DUMMYFUNCTION("IF($A321="""","""",IFERROR(PERCENTRANK.INC(FILTER(Q:Q,$F:$F&lt;&gt;""""),Q321)*100,""""))"),"")</f>
        <v/>
      </c>
      <c r="U321" s="15" t="str">
        <f>IFERROR(__xludf.DUMMYFUNCTION("IF($A321="""","""",IFERROR(PERCENTRANK.INC(FILTER(R:R,$F:$F&lt;&gt;""""),R321)*100,""""))"),"")</f>
        <v/>
      </c>
      <c r="V321" s="15" t="str">
        <f>IFERROR(__xludf.DUMMYFUNCTION("IF($A321="""","""",IFERROR(PERCENTRANK.INC(FILTER(S:S,$F:$F&lt;&gt;""""),S321)*100,""""))"),"")</f>
        <v/>
      </c>
      <c r="W321" s="15" t="str">
        <f t="shared" si="4"/>
        <v/>
      </c>
    </row>
    <row r="322">
      <c r="B322" t="str">
        <f t="array" ref="B322">IFERROR(INDEX('Player Raw Data'!C:C,Match($A322,'Player Raw Data'!$B:$B,0)),"")</f>
        <v/>
      </c>
      <c r="C322" t="str">
        <f t="array" ref="C322">IFERROR(INDEX('Player Raw Data'!D:D,Match($A322,'Player Raw Data'!$B:$B,0)),"")</f>
        <v/>
      </c>
      <c r="D322" t="str">
        <f t="array" ref="D322">IFERROR(IF(A322=A321, INDEX('Player Raw Data'!E:E,Match($A322,'Player Raw Data'!$B:$B,0)+2),INDEX('Player Raw Data'!E:E,Match($A322,'Player Raw Data'!$B:$B,0))),"")</f>
        <v/>
      </c>
      <c r="E322" t="str">
        <f t="array" ref="E322">IFERROR(INDEX('Day Range Raw Data'!D:D,Match($A322,'Day Range Raw Data'!$B:$B,0)),"")</f>
        <v/>
      </c>
      <c r="F322" t="str">
        <f t="array" ref="F322">IFERROR(INDEX('Day Range Raw Data'!F:F,Match($A322,'Day Range Raw Data'!$B:$B,0)),"")</f>
        <v/>
      </c>
      <c r="G322" t="str">
        <f t="array" ref="G322">IFERROR(INDEX('Day Range Raw Data'!G:G,Match($A322,'Day Range Raw Data'!$B:$B,0)),"")</f>
        <v/>
      </c>
      <c r="H322" t="str">
        <f t="array" ref="H322">IFERROR(INDEX('Day Range Raw Data'!H:H,Match($A322,'Day Range Raw Data'!$B:$B,0)),"")</f>
        <v/>
      </c>
      <c r="I322" t="str">
        <f t="array" ref="I322">IFERROR(INDEX('Day Range Raw Data'!M:M,Match($A322,'Day Range Raw Data'!$B:$B,0)),"")</f>
        <v/>
      </c>
      <c r="J322" t="str">
        <f t="array" ref="J322">IFERROR(INDEX('Day Range Raw Data'!N:N,Match($A322,'Day Range Raw Data'!$B:$B,0)),"")</f>
        <v/>
      </c>
      <c r="K322" t="str">
        <f t="array" ref="K322">IFERROR(INDEX('Day Range Raw Data'!R:R,Match($A322,'Day Range Raw Data'!$B:$B,0)),"")</f>
        <v/>
      </c>
      <c r="L322" t="str">
        <f t="array" ref="L322">IFERROR(INDEX('Day Range Raw Data'!S:S,Match($A322,'Day Range Raw Data'!$B:$B,0)),"")</f>
        <v/>
      </c>
      <c r="M322" t="str">
        <f t="array" ref="M322">IFERROR(INDEX('Day Range Raw Data'!T:T,Match($A322,'Day Range Raw Data'!$B:$B,0)),"")</f>
        <v/>
      </c>
      <c r="N322" t="str">
        <f t="array" ref="N322">IFERROR(INDEX('Day Range Raw Data'!U:U,Match($A322,'Day Range Raw Data'!$B:$B,0)),"")</f>
        <v/>
      </c>
      <c r="O322" t="str">
        <f t="array" ref="O322">IFERROR(INDEX('Day Range Raw Data'!V:V,Match($A322,'Day Range Raw Data'!$B:$B,0)),"")</f>
        <v/>
      </c>
      <c r="P322" t="str">
        <f t="array" ref="P322">IFERROR(INDEX('Day Range Raw Data'!X:X,Match($A322,'Day Range Raw Data'!$B:$B,0)),"")</f>
        <v/>
      </c>
      <c r="Q322" t="str">
        <f t="shared" si="1"/>
        <v/>
      </c>
      <c r="R322" s="9" t="str">
        <f t="shared" si="2"/>
        <v/>
      </c>
      <c r="S322" s="14" t="str">
        <f t="shared" si="3"/>
        <v/>
      </c>
      <c r="T322" s="15" t="str">
        <f>IFERROR(__xludf.DUMMYFUNCTION("IF($A322="""","""",IFERROR(PERCENTRANK.INC(FILTER(Q:Q,$F:$F&lt;&gt;""""),Q322)*100,""""))"),"")</f>
        <v/>
      </c>
      <c r="U322" s="15" t="str">
        <f>IFERROR(__xludf.DUMMYFUNCTION("IF($A322="""","""",IFERROR(PERCENTRANK.INC(FILTER(R:R,$F:$F&lt;&gt;""""),R322)*100,""""))"),"")</f>
        <v/>
      </c>
      <c r="V322" s="15" t="str">
        <f>IFERROR(__xludf.DUMMYFUNCTION("IF($A322="""","""",IFERROR(PERCENTRANK.INC(FILTER(S:S,$F:$F&lt;&gt;""""),S322)*100,""""))"),"")</f>
        <v/>
      </c>
      <c r="W322" s="15" t="str">
        <f t="shared" si="4"/>
        <v/>
      </c>
    </row>
    <row r="323">
      <c r="B323" t="str">
        <f t="array" ref="B323">IFERROR(INDEX('Player Raw Data'!C:C,Match($A323,'Player Raw Data'!$B:$B,0)),"")</f>
        <v/>
      </c>
      <c r="C323" t="str">
        <f t="array" ref="C323">IFERROR(INDEX('Player Raw Data'!D:D,Match($A323,'Player Raw Data'!$B:$B,0)),"")</f>
        <v/>
      </c>
      <c r="D323" t="str">
        <f t="array" ref="D323">IFERROR(IF(A323=A322, INDEX('Player Raw Data'!E:E,Match($A323,'Player Raw Data'!$B:$B,0)+2),INDEX('Player Raw Data'!E:E,Match($A323,'Player Raw Data'!$B:$B,0))),"")</f>
        <v/>
      </c>
      <c r="E323" t="str">
        <f t="array" ref="E323">IFERROR(INDEX('Day Range Raw Data'!D:D,Match($A323,'Day Range Raw Data'!$B:$B,0)),"")</f>
        <v/>
      </c>
      <c r="F323" t="str">
        <f t="array" ref="F323">IFERROR(INDEX('Day Range Raw Data'!F:F,Match($A323,'Day Range Raw Data'!$B:$B,0)),"")</f>
        <v/>
      </c>
      <c r="G323" t="str">
        <f t="array" ref="G323">IFERROR(INDEX('Day Range Raw Data'!G:G,Match($A323,'Day Range Raw Data'!$B:$B,0)),"")</f>
        <v/>
      </c>
      <c r="H323" t="str">
        <f t="array" ref="H323">IFERROR(INDEX('Day Range Raw Data'!H:H,Match($A323,'Day Range Raw Data'!$B:$B,0)),"")</f>
        <v/>
      </c>
      <c r="I323" t="str">
        <f t="array" ref="I323">IFERROR(INDEX('Day Range Raw Data'!M:M,Match($A323,'Day Range Raw Data'!$B:$B,0)),"")</f>
        <v/>
      </c>
      <c r="J323" t="str">
        <f t="array" ref="J323">IFERROR(INDEX('Day Range Raw Data'!N:N,Match($A323,'Day Range Raw Data'!$B:$B,0)),"")</f>
        <v/>
      </c>
      <c r="K323" t="str">
        <f t="array" ref="K323">IFERROR(INDEX('Day Range Raw Data'!R:R,Match($A323,'Day Range Raw Data'!$B:$B,0)),"")</f>
        <v/>
      </c>
      <c r="L323" t="str">
        <f t="array" ref="L323">IFERROR(INDEX('Day Range Raw Data'!S:S,Match($A323,'Day Range Raw Data'!$B:$B,0)),"")</f>
        <v/>
      </c>
      <c r="M323" t="str">
        <f t="array" ref="M323">IFERROR(INDEX('Day Range Raw Data'!T:T,Match($A323,'Day Range Raw Data'!$B:$B,0)),"")</f>
        <v/>
      </c>
      <c r="N323" t="str">
        <f t="array" ref="N323">IFERROR(INDEX('Day Range Raw Data'!U:U,Match($A323,'Day Range Raw Data'!$B:$B,0)),"")</f>
        <v/>
      </c>
      <c r="O323" t="str">
        <f t="array" ref="O323">IFERROR(INDEX('Day Range Raw Data'!V:V,Match($A323,'Day Range Raw Data'!$B:$B,0)),"")</f>
        <v/>
      </c>
      <c r="P323" t="str">
        <f t="array" ref="P323">IFERROR(INDEX('Day Range Raw Data'!X:X,Match($A323,'Day Range Raw Data'!$B:$B,0)),"")</f>
        <v/>
      </c>
      <c r="Q323" t="str">
        <f t="shared" si="1"/>
        <v/>
      </c>
      <c r="R323" s="9" t="str">
        <f t="shared" si="2"/>
        <v/>
      </c>
      <c r="S323" s="14" t="str">
        <f t="shared" si="3"/>
        <v/>
      </c>
      <c r="T323" s="15" t="str">
        <f>IFERROR(__xludf.DUMMYFUNCTION("IF($A323="""","""",IFERROR(PERCENTRANK.INC(FILTER(Q:Q,$F:$F&lt;&gt;""""),Q323)*100,""""))"),"")</f>
        <v/>
      </c>
      <c r="U323" s="15" t="str">
        <f>IFERROR(__xludf.DUMMYFUNCTION("IF($A323="""","""",IFERROR(PERCENTRANK.INC(FILTER(R:R,$F:$F&lt;&gt;""""),R323)*100,""""))"),"")</f>
        <v/>
      </c>
      <c r="V323" s="15" t="str">
        <f>IFERROR(__xludf.DUMMYFUNCTION("IF($A323="""","""",IFERROR(PERCENTRANK.INC(FILTER(S:S,$F:$F&lt;&gt;""""),S323)*100,""""))"),"")</f>
        <v/>
      </c>
      <c r="W323" s="15" t="str">
        <f t="shared" si="4"/>
        <v/>
      </c>
    </row>
    <row r="324">
      <c r="B324" t="str">
        <f t="array" ref="B324">IFERROR(INDEX('Player Raw Data'!C:C,Match($A324,'Player Raw Data'!$B:$B,0)),"")</f>
        <v/>
      </c>
      <c r="C324" t="str">
        <f t="array" ref="C324">IFERROR(INDEX('Player Raw Data'!D:D,Match($A324,'Player Raw Data'!$B:$B,0)),"")</f>
        <v/>
      </c>
      <c r="D324" t="str">
        <f t="array" ref="D324">IFERROR(IF(A324=A323, INDEX('Player Raw Data'!E:E,Match($A324,'Player Raw Data'!$B:$B,0)+2),INDEX('Player Raw Data'!E:E,Match($A324,'Player Raw Data'!$B:$B,0))),"")</f>
        <v/>
      </c>
      <c r="E324" t="str">
        <f t="array" ref="E324">IFERROR(INDEX('Day Range Raw Data'!D:D,Match($A324,'Day Range Raw Data'!$B:$B,0)),"")</f>
        <v/>
      </c>
      <c r="F324" t="str">
        <f t="array" ref="F324">IFERROR(INDEX('Day Range Raw Data'!F:F,Match($A324,'Day Range Raw Data'!$B:$B,0)),"")</f>
        <v/>
      </c>
      <c r="G324" t="str">
        <f t="array" ref="G324">IFERROR(INDEX('Day Range Raw Data'!G:G,Match($A324,'Day Range Raw Data'!$B:$B,0)),"")</f>
        <v/>
      </c>
      <c r="H324" t="str">
        <f t="array" ref="H324">IFERROR(INDEX('Day Range Raw Data'!H:H,Match($A324,'Day Range Raw Data'!$B:$B,0)),"")</f>
        <v/>
      </c>
      <c r="I324" t="str">
        <f t="array" ref="I324">IFERROR(INDEX('Day Range Raw Data'!M:M,Match($A324,'Day Range Raw Data'!$B:$B,0)),"")</f>
        <v/>
      </c>
      <c r="J324" t="str">
        <f t="array" ref="J324">IFERROR(INDEX('Day Range Raw Data'!N:N,Match($A324,'Day Range Raw Data'!$B:$B,0)),"")</f>
        <v/>
      </c>
      <c r="K324" t="str">
        <f t="array" ref="K324">IFERROR(INDEX('Day Range Raw Data'!R:R,Match($A324,'Day Range Raw Data'!$B:$B,0)),"")</f>
        <v/>
      </c>
      <c r="L324" t="str">
        <f t="array" ref="L324">IFERROR(INDEX('Day Range Raw Data'!S:S,Match($A324,'Day Range Raw Data'!$B:$B,0)),"")</f>
        <v/>
      </c>
      <c r="M324" t="str">
        <f t="array" ref="M324">IFERROR(INDEX('Day Range Raw Data'!T:T,Match($A324,'Day Range Raw Data'!$B:$B,0)),"")</f>
        <v/>
      </c>
      <c r="N324" t="str">
        <f t="array" ref="N324">IFERROR(INDEX('Day Range Raw Data'!U:U,Match($A324,'Day Range Raw Data'!$B:$B,0)),"")</f>
        <v/>
      </c>
      <c r="O324" t="str">
        <f t="array" ref="O324">IFERROR(INDEX('Day Range Raw Data'!V:V,Match($A324,'Day Range Raw Data'!$B:$B,0)),"")</f>
        <v/>
      </c>
      <c r="P324" t="str">
        <f t="array" ref="P324">IFERROR(INDEX('Day Range Raw Data'!X:X,Match($A324,'Day Range Raw Data'!$B:$B,0)),"")</f>
        <v/>
      </c>
      <c r="Q324" t="str">
        <f t="shared" si="1"/>
        <v/>
      </c>
      <c r="R324" s="9" t="str">
        <f t="shared" si="2"/>
        <v/>
      </c>
      <c r="S324" s="14" t="str">
        <f t="shared" si="3"/>
        <v/>
      </c>
      <c r="T324" s="15" t="str">
        <f>IFERROR(__xludf.DUMMYFUNCTION("IF($A324="""","""",IFERROR(PERCENTRANK.INC(FILTER(Q:Q,$F:$F&lt;&gt;""""),Q324)*100,""""))"),"")</f>
        <v/>
      </c>
      <c r="U324" s="15" t="str">
        <f>IFERROR(__xludf.DUMMYFUNCTION("IF($A324="""","""",IFERROR(PERCENTRANK.INC(FILTER(R:R,$F:$F&lt;&gt;""""),R324)*100,""""))"),"")</f>
        <v/>
      </c>
      <c r="V324" s="15" t="str">
        <f>IFERROR(__xludf.DUMMYFUNCTION("IF($A324="""","""",IFERROR(PERCENTRANK.INC(FILTER(S:S,$F:$F&lt;&gt;""""),S324)*100,""""))"),"")</f>
        <v/>
      </c>
      <c r="W324" s="15" t="str">
        <f t="shared" si="4"/>
        <v/>
      </c>
    </row>
    <row r="325">
      <c r="B325" t="str">
        <f t="array" ref="B325">IFERROR(INDEX('Player Raw Data'!C:C,Match($A325,'Player Raw Data'!$B:$B,0)),"")</f>
        <v/>
      </c>
      <c r="C325" t="str">
        <f t="array" ref="C325">IFERROR(INDEX('Player Raw Data'!D:D,Match($A325,'Player Raw Data'!$B:$B,0)),"")</f>
        <v/>
      </c>
      <c r="D325" t="str">
        <f t="array" ref="D325">IFERROR(IF(A325=A324, INDEX('Player Raw Data'!E:E,Match($A325,'Player Raw Data'!$B:$B,0)+2),INDEX('Player Raw Data'!E:E,Match($A325,'Player Raw Data'!$B:$B,0))),"")</f>
        <v/>
      </c>
      <c r="E325" t="str">
        <f t="array" ref="E325">IFERROR(INDEX('Day Range Raw Data'!D:D,Match($A325,'Day Range Raw Data'!$B:$B,0)),"")</f>
        <v/>
      </c>
      <c r="F325" t="str">
        <f t="array" ref="F325">IFERROR(INDEX('Day Range Raw Data'!F:F,Match($A325,'Day Range Raw Data'!$B:$B,0)),"")</f>
        <v/>
      </c>
      <c r="G325" t="str">
        <f t="array" ref="G325">IFERROR(INDEX('Day Range Raw Data'!G:G,Match($A325,'Day Range Raw Data'!$B:$B,0)),"")</f>
        <v/>
      </c>
      <c r="H325" t="str">
        <f t="array" ref="H325">IFERROR(INDEX('Day Range Raw Data'!H:H,Match($A325,'Day Range Raw Data'!$B:$B,0)),"")</f>
        <v/>
      </c>
      <c r="I325" t="str">
        <f t="array" ref="I325">IFERROR(INDEX('Day Range Raw Data'!M:M,Match($A325,'Day Range Raw Data'!$B:$B,0)),"")</f>
        <v/>
      </c>
      <c r="J325" t="str">
        <f t="array" ref="J325">IFERROR(INDEX('Day Range Raw Data'!N:N,Match($A325,'Day Range Raw Data'!$B:$B,0)),"")</f>
        <v/>
      </c>
      <c r="K325" t="str">
        <f t="array" ref="K325">IFERROR(INDEX('Day Range Raw Data'!R:R,Match($A325,'Day Range Raw Data'!$B:$B,0)),"")</f>
        <v/>
      </c>
      <c r="L325" t="str">
        <f t="array" ref="L325">IFERROR(INDEX('Day Range Raw Data'!S:S,Match($A325,'Day Range Raw Data'!$B:$B,0)),"")</f>
        <v/>
      </c>
      <c r="M325" t="str">
        <f t="array" ref="M325">IFERROR(INDEX('Day Range Raw Data'!T:T,Match($A325,'Day Range Raw Data'!$B:$B,0)),"")</f>
        <v/>
      </c>
      <c r="N325" t="str">
        <f t="array" ref="N325">IFERROR(INDEX('Day Range Raw Data'!U:U,Match($A325,'Day Range Raw Data'!$B:$B,0)),"")</f>
        <v/>
      </c>
      <c r="O325" t="str">
        <f t="array" ref="O325">IFERROR(INDEX('Day Range Raw Data'!V:V,Match($A325,'Day Range Raw Data'!$B:$B,0)),"")</f>
        <v/>
      </c>
      <c r="P325" t="str">
        <f t="array" ref="P325">IFERROR(INDEX('Day Range Raw Data'!X:X,Match($A325,'Day Range Raw Data'!$B:$B,0)),"")</f>
        <v/>
      </c>
      <c r="Q325" t="str">
        <f t="shared" si="1"/>
        <v/>
      </c>
      <c r="R325" s="9" t="str">
        <f t="shared" si="2"/>
        <v/>
      </c>
      <c r="S325" s="14" t="str">
        <f t="shared" si="3"/>
        <v/>
      </c>
      <c r="T325" s="15" t="str">
        <f>IFERROR(__xludf.DUMMYFUNCTION("IF($A325="""","""",IFERROR(PERCENTRANK.INC(FILTER(Q:Q,$F:$F&lt;&gt;""""),Q325)*100,""""))"),"")</f>
        <v/>
      </c>
      <c r="U325" s="15" t="str">
        <f>IFERROR(__xludf.DUMMYFUNCTION("IF($A325="""","""",IFERROR(PERCENTRANK.INC(FILTER(R:R,$F:$F&lt;&gt;""""),R325)*100,""""))"),"")</f>
        <v/>
      </c>
      <c r="V325" s="15" t="str">
        <f>IFERROR(__xludf.DUMMYFUNCTION("IF($A325="""","""",IFERROR(PERCENTRANK.INC(FILTER(S:S,$F:$F&lt;&gt;""""),S325)*100,""""))"),"")</f>
        <v/>
      </c>
      <c r="W325" s="15" t="str">
        <f t="shared" si="4"/>
        <v/>
      </c>
    </row>
    <row r="326">
      <c r="B326" t="str">
        <f t="array" ref="B326">IFERROR(INDEX('Player Raw Data'!C:C,Match($A326,'Player Raw Data'!$B:$B,0)),"")</f>
        <v/>
      </c>
      <c r="C326" t="str">
        <f t="array" ref="C326">IFERROR(INDEX('Player Raw Data'!D:D,Match($A326,'Player Raw Data'!$B:$B,0)),"")</f>
        <v/>
      </c>
      <c r="D326" t="str">
        <f t="array" ref="D326">IFERROR(IF(A326=A325, INDEX('Player Raw Data'!E:E,Match($A326,'Player Raw Data'!$B:$B,0)+2),INDEX('Player Raw Data'!E:E,Match($A326,'Player Raw Data'!$B:$B,0))),"")</f>
        <v/>
      </c>
      <c r="E326" t="str">
        <f t="array" ref="E326">IFERROR(INDEX('Day Range Raw Data'!D:D,Match($A326,'Day Range Raw Data'!$B:$B,0)),"")</f>
        <v/>
      </c>
      <c r="F326" t="str">
        <f t="array" ref="F326">IFERROR(INDEX('Day Range Raw Data'!F:F,Match($A326,'Day Range Raw Data'!$B:$B,0)),"")</f>
        <v/>
      </c>
      <c r="G326" t="str">
        <f t="array" ref="G326">IFERROR(INDEX('Day Range Raw Data'!G:G,Match($A326,'Day Range Raw Data'!$B:$B,0)),"")</f>
        <v/>
      </c>
      <c r="H326" t="str">
        <f t="array" ref="H326">IFERROR(INDEX('Day Range Raw Data'!H:H,Match($A326,'Day Range Raw Data'!$B:$B,0)),"")</f>
        <v/>
      </c>
      <c r="I326" t="str">
        <f t="array" ref="I326">IFERROR(INDEX('Day Range Raw Data'!M:M,Match($A326,'Day Range Raw Data'!$B:$B,0)),"")</f>
        <v/>
      </c>
      <c r="J326" t="str">
        <f t="array" ref="J326">IFERROR(INDEX('Day Range Raw Data'!N:N,Match($A326,'Day Range Raw Data'!$B:$B,0)),"")</f>
        <v/>
      </c>
      <c r="K326" t="str">
        <f t="array" ref="K326">IFERROR(INDEX('Day Range Raw Data'!R:R,Match($A326,'Day Range Raw Data'!$B:$B,0)),"")</f>
        <v/>
      </c>
      <c r="L326" t="str">
        <f t="array" ref="L326">IFERROR(INDEX('Day Range Raw Data'!S:S,Match($A326,'Day Range Raw Data'!$B:$B,0)),"")</f>
        <v/>
      </c>
      <c r="M326" t="str">
        <f t="array" ref="M326">IFERROR(INDEX('Day Range Raw Data'!T:T,Match($A326,'Day Range Raw Data'!$B:$B,0)),"")</f>
        <v/>
      </c>
      <c r="N326" t="str">
        <f t="array" ref="N326">IFERROR(INDEX('Day Range Raw Data'!U:U,Match($A326,'Day Range Raw Data'!$B:$B,0)),"")</f>
        <v/>
      </c>
      <c r="O326" t="str">
        <f t="array" ref="O326">IFERROR(INDEX('Day Range Raw Data'!V:V,Match($A326,'Day Range Raw Data'!$B:$B,0)),"")</f>
        <v/>
      </c>
      <c r="P326" t="str">
        <f t="array" ref="P326">IFERROR(INDEX('Day Range Raw Data'!X:X,Match($A326,'Day Range Raw Data'!$B:$B,0)),"")</f>
        <v/>
      </c>
      <c r="Q326" t="str">
        <f t="shared" si="1"/>
        <v/>
      </c>
      <c r="R326" s="9" t="str">
        <f t="shared" si="2"/>
        <v/>
      </c>
      <c r="S326" s="14" t="str">
        <f t="shared" si="3"/>
        <v/>
      </c>
      <c r="T326" s="15" t="str">
        <f>IFERROR(__xludf.DUMMYFUNCTION("IF($A326="""","""",IFERROR(PERCENTRANK.INC(FILTER(Q:Q,$F:$F&lt;&gt;""""),Q326)*100,""""))"),"")</f>
        <v/>
      </c>
      <c r="U326" s="15" t="str">
        <f>IFERROR(__xludf.DUMMYFUNCTION("IF($A326="""","""",IFERROR(PERCENTRANK.INC(FILTER(R:R,$F:$F&lt;&gt;""""),R326)*100,""""))"),"")</f>
        <v/>
      </c>
      <c r="V326" s="15" t="str">
        <f>IFERROR(__xludf.DUMMYFUNCTION("IF($A326="""","""",IFERROR(PERCENTRANK.INC(FILTER(S:S,$F:$F&lt;&gt;""""),S326)*100,""""))"),"")</f>
        <v/>
      </c>
      <c r="W326" s="15" t="str">
        <f t="shared" si="4"/>
        <v/>
      </c>
    </row>
    <row r="327">
      <c r="B327" t="str">
        <f t="array" ref="B327">IFERROR(INDEX('Player Raw Data'!C:C,Match($A327,'Player Raw Data'!$B:$B,0)),"")</f>
        <v/>
      </c>
      <c r="C327" t="str">
        <f t="array" ref="C327">IFERROR(INDEX('Player Raw Data'!D:D,Match($A327,'Player Raw Data'!$B:$B,0)),"")</f>
        <v/>
      </c>
      <c r="D327" t="str">
        <f t="array" ref="D327">IFERROR(IF(A327=A326, INDEX('Player Raw Data'!E:E,Match($A327,'Player Raw Data'!$B:$B,0)+2),INDEX('Player Raw Data'!E:E,Match($A327,'Player Raw Data'!$B:$B,0))),"")</f>
        <v/>
      </c>
      <c r="E327" t="str">
        <f t="array" ref="E327">IFERROR(INDEX('Day Range Raw Data'!D:D,Match($A327,'Day Range Raw Data'!$B:$B,0)),"")</f>
        <v/>
      </c>
      <c r="F327" t="str">
        <f t="array" ref="F327">IFERROR(INDEX('Day Range Raw Data'!F:F,Match($A327,'Day Range Raw Data'!$B:$B,0)),"")</f>
        <v/>
      </c>
      <c r="G327" t="str">
        <f t="array" ref="G327">IFERROR(INDEX('Day Range Raw Data'!G:G,Match($A327,'Day Range Raw Data'!$B:$B,0)),"")</f>
        <v/>
      </c>
      <c r="H327" t="str">
        <f t="array" ref="H327">IFERROR(INDEX('Day Range Raw Data'!H:H,Match($A327,'Day Range Raw Data'!$B:$B,0)),"")</f>
        <v/>
      </c>
      <c r="I327" t="str">
        <f t="array" ref="I327">IFERROR(INDEX('Day Range Raw Data'!M:M,Match($A327,'Day Range Raw Data'!$B:$B,0)),"")</f>
        <v/>
      </c>
      <c r="J327" t="str">
        <f t="array" ref="J327">IFERROR(INDEX('Day Range Raw Data'!N:N,Match($A327,'Day Range Raw Data'!$B:$B,0)),"")</f>
        <v/>
      </c>
      <c r="K327" t="str">
        <f t="array" ref="K327">IFERROR(INDEX('Day Range Raw Data'!R:R,Match($A327,'Day Range Raw Data'!$B:$B,0)),"")</f>
        <v/>
      </c>
      <c r="L327" t="str">
        <f t="array" ref="L327">IFERROR(INDEX('Day Range Raw Data'!S:S,Match($A327,'Day Range Raw Data'!$B:$B,0)),"")</f>
        <v/>
      </c>
      <c r="M327" t="str">
        <f t="array" ref="M327">IFERROR(INDEX('Day Range Raw Data'!T:T,Match($A327,'Day Range Raw Data'!$B:$B,0)),"")</f>
        <v/>
      </c>
      <c r="N327" t="str">
        <f t="array" ref="N327">IFERROR(INDEX('Day Range Raw Data'!U:U,Match($A327,'Day Range Raw Data'!$B:$B,0)),"")</f>
        <v/>
      </c>
      <c r="O327" t="str">
        <f t="array" ref="O327">IFERROR(INDEX('Day Range Raw Data'!V:V,Match($A327,'Day Range Raw Data'!$B:$B,0)),"")</f>
        <v/>
      </c>
      <c r="P327" t="str">
        <f t="array" ref="P327">IFERROR(INDEX('Day Range Raw Data'!X:X,Match($A327,'Day Range Raw Data'!$B:$B,0)),"")</f>
        <v/>
      </c>
      <c r="Q327" t="str">
        <f t="shared" si="1"/>
        <v/>
      </c>
      <c r="R327" s="9" t="str">
        <f t="shared" si="2"/>
        <v/>
      </c>
      <c r="S327" s="14" t="str">
        <f t="shared" si="3"/>
        <v/>
      </c>
      <c r="T327" s="15" t="str">
        <f>IFERROR(__xludf.DUMMYFUNCTION("IF($A327="""","""",IFERROR(PERCENTRANK.INC(FILTER(Q:Q,$F:$F&lt;&gt;""""),Q327)*100,""""))"),"")</f>
        <v/>
      </c>
      <c r="U327" s="15" t="str">
        <f>IFERROR(__xludf.DUMMYFUNCTION("IF($A327="""","""",IFERROR(PERCENTRANK.INC(FILTER(R:R,$F:$F&lt;&gt;""""),R327)*100,""""))"),"")</f>
        <v/>
      </c>
      <c r="V327" s="15" t="str">
        <f>IFERROR(__xludf.DUMMYFUNCTION("IF($A327="""","""",IFERROR(PERCENTRANK.INC(FILTER(S:S,$F:$F&lt;&gt;""""),S327)*100,""""))"),"")</f>
        <v/>
      </c>
      <c r="W327" s="15" t="str">
        <f t="shared" si="4"/>
        <v/>
      </c>
    </row>
    <row r="328">
      <c r="B328" t="str">
        <f t="array" ref="B328">IFERROR(INDEX('Player Raw Data'!C:C,Match($A328,'Player Raw Data'!$B:$B,0)),"")</f>
        <v/>
      </c>
      <c r="C328" t="str">
        <f t="array" ref="C328">IFERROR(INDEX('Player Raw Data'!D:D,Match($A328,'Player Raw Data'!$B:$B,0)),"")</f>
        <v/>
      </c>
      <c r="D328" t="str">
        <f t="array" ref="D328">IFERROR(IF(A328=A327, INDEX('Player Raw Data'!E:E,Match($A328,'Player Raw Data'!$B:$B,0)+2),INDEX('Player Raw Data'!E:E,Match($A328,'Player Raw Data'!$B:$B,0))),"")</f>
        <v/>
      </c>
      <c r="E328" t="str">
        <f t="array" ref="E328">IFERROR(INDEX('Day Range Raw Data'!D:D,Match($A328,'Day Range Raw Data'!$B:$B,0)),"")</f>
        <v/>
      </c>
      <c r="F328" t="str">
        <f t="array" ref="F328">IFERROR(INDEX('Day Range Raw Data'!F:F,Match($A328,'Day Range Raw Data'!$B:$B,0)),"")</f>
        <v/>
      </c>
      <c r="G328" t="str">
        <f t="array" ref="G328">IFERROR(INDEX('Day Range Raw Data'!G:G,Match($A328,'Day Range Raw Data'!$B:$B,0)),"")</f>
        <v/>
      </c>
      <c r="H328" t="str">
        <f t="array" ref="H328">IFERROR(INDEX('Day Range Raw Data'!H:H,Match($A328,'Day Range Raw Data'!$B:$B,0)),"")</f>
        <v/>
      </c>
      <c r="I328" t="str">
        <f t="array" ref="I328">IFERROR(INDEX('Day Range Raw Data'!M:M,Match($A328,'Day Range Raw Data'!$B:$B,0)),"")</f>
        <v/>
      </c>
      <c r="J328" t="str">
        <f t="array" ref="J328">IFERROR(INDEX('Day Range Raw Data'!N:N,Match($A328,'Day Range Raw Data'!$B:$B,0)),"")</f>
        <v/>
      </c>
      <c r="K328" t="str">
        <f t="array" ref="K328">IFERROR(INDEX('Day Range Raw Data'!R:R,Match($A328,'Day Range Raw Data'!$B:$B,0)),"")</f>
        <v/>
      </c>
      <c r="L328" t="str">
        <f t="array" ref="L328">IFERROR(INDEX('Day Range Raw Data'!S:S,Match($A328,'Day Range Raw Data'!$B:$B,0)),"")</f>
        <v/>
      </c>
      <c r="M328" t="str">
        <f t="array" ref="M328">IFERROR(INDEX('Day Range Raw Data'!T:T,Match($A328,'Day Range Raw Data'!$B:$B,0)),"")</f>
        <v/>
      </c>
      <c r="N328" t="str">
        <f t="array" ref="N328">IFERROR(INDEX('Day Range Raw Data'!U:U,Match($A328,'Day Range Raw Data'!$B:$B,0)),"")</f>
        <v/>
      </c>
      <c r="O328" t="str">
        <f t="array" ref="O328">IFERROR(INDEX('Day Range Raw Data'!V:V,Match($A328,'Day Range Raw Data'!$B:$B,0)),"")</f>
        <v/>
      </c>
      <c r="P328" t="str">
        <f t="array" ref="P328">IFERROR(INDEX('Day Range Raw Data'!X:X,Match($A328,'Day Range Raw Data'!$B:$B,0)),"")</f>
        <v/>
      </c>
      <c r="Q328" t="str">
        <f t="shared" si="1"/>
        <v/>
      </c>
      <c r="R328" s="9" t="str">
        <f t="shared" si="2"/>
        <v/>
      </c>
      <c r="S328" s="14" t="str">
        <f t="shared" si="3"/>
        <v/>
      </c>
      <c r="T328" s="15" t="str">
        <f>IFERROR(__xludf.DUMMYFUNCTION("IF($A328="""","""",IFERROR(PERCENTRANK.INC(FILTER(Q:Q,$F:$F&lt;&gt;""""),Q328)*100,""""))"),"")</f>
        <v/>
      </c>
      <c r="U328" s="15" t="str">
        <f>IFERROR(__xludf.DUMMYFUNCTION("IF($A328="""","""",IFERROR(PERCENTRANK.INC(FILTER(R:R,$F:$F&lt;&gt;""""),R328)*100,""""))"),"")</f>
        <v/>
      </c>
      <c r="V328" s="15" t="str">
        <f>IFERROR(__xludf.DUMMYFUNCTION("IF($A328="""","""",IFERROR(PERCENTRANK.INC(FILTER(S:S,$F:$F&lt;&gt;""""),S328)*100,""""))"),"")</f>
        <v/>
      </c>
      <c r="W328" s="15" t="str">
        <f t="shared" si="4"/>
        <v/>
      </c>
    </row>
    <row r="329">
      <c r="B329" t="str">
        <f t="array" ref="B329">IFERROR(INDEX('Player Raw Data'!C:C,Match($A329,'Player Raw Data'!$B:$B,0)),"")</f>
        <v/>
      </c>
      <c r="C329" t="str">
        <f t="array" ref="C329">IFERROR(INDEX('Player Raw Data'!D:D,Match($A329,'Player Raw Data'!$B:$B,0)),"")</f>
        <v/>
      </c>
      <c r="D329" t="str">
        <f t="array" ref="D329">IFERROR(IF(A329=A328, INDEX('Player Raw Data'!E:E,Match($A329,'Player Raw Data'!$B:$B,0)+2),INDEX('Player Raw Data'!E:E,Match($A329,'Player Raw Data'!$B:$B,0))),"")</f>
        <v/>
      </c>
      <c r="E329" t="str">
        <f t="array" ref="E329">IFERROR(INDEX('Day Range Raw Data'!D:D,Match($A329,'Day Range Raw Data'!$B:$B,0)),"")</f>
        <v/>
      </c>
      <c r="F329" t="str">
        <f t="array" ref="F329">IFERROR(INDEX('Day Range Raw Data'!F:F,Match($A329,'Day Range Raw Data'!$B:$B,0)),"")</f>
        <v/>
      </c>
      <c r="G329" t="str">
        <f t="array" ref="G329">IFERROR(INDEX('Day Range Raw Data'!G:G,Match($A329,'Day Range Raw Data'!$B:$B,0)),"")</f>
        <v/>
      </c>
      <c r="H329" t="str">
        <f t="array" ref="H329">IFERROR(INDEX('Day Range Raw Data'!H:H,Match($A329,'Day Range Raw Data'!$B:$B,0)),"")</f>
        <v/>
      </c>
      <c r="I329" t="str">
        <f t="array" ref="I329">IFERROR(INDEX('Day Range Raw Data'!M:M,Match($A329,'Day Range Raw Data'!$B:$B,0)),"")</f>
        <v/>
      </c>
      <c r="J329" t="str">
        <f t="array" ref="J329">IFERROR(INDEX('Day Range Raw Data'!N:N,Match($A329,'Day Range Raw Data'!$B:$B,0)),"")</f>
        <v/>
      </c>
      <c r="K329" t="str">
        <f t="array" ref="K329">IFERROR(INDEX('Day Range Raw Data'!R:R,Match($A329,'Day Range Raw Data'!$B:$B,0)),"")</f>
        <v/>
      </c>
      <c r="L329" t="str">
        <f t="array" ref="L329">IFERROR(INDEX('Day Range Raw Data'!S:S,Match($A329,'Day Range Raw Data'!$B:$B,0)),"")</f>
        <v/>
      </c>
      <c r="M329" t="str">
        <f t="array" ref="M329">IFERROR(INDEX('Day Range Raw Data'!T:T,Match($A329,'Day Range Raw Data'!$B:$B,0)),"")</f>
        <v/>
      </c>
      <c r="N329" t="str">
        <f t="array" ref="N329">IFERROR(INDEX('Day Range Raw Data'!U:U,Match($A329,'Day Range Raw Data'!$B:$B,0)),"")</f>
        <v/>
      </c>
      <c r="O329" t="str">
        <f t="array" ref="O329">IFERROR(INDEX('Day Range Raw Data'!V:V,Match($A329,'Day Range Raw Data'!$B:$B,0)),"")</f>
        <v/>
      </c>
      <c r="P329" t="str">
        <f t="array" ref="P329">IFERROR(INDEX('Day Range Raw Data'!X:X,Match($A329,'Day Range Raw Data'!$B:$B,0)),"")</f>
        <v/>
      </c>
      <c r="Q329" t="str">
        <f t="shared" si="1"/>
        <v/>
      </c>
      <c r="R329" s="9" t="str">
        <f t="shared" si="2"/>
        <v/>
      </c>
      <c r="S329" s="14" t="str">
        <f t="shared" si="3"/>
        <v/>
      </c>
      <c r="T329" s="15" t="str">
        <f>IFERROR(__xludf.DUMMYFUNCTION("IF($A329="""","""",IFERROR(PERCENTRANK.INC(FILTER(Q:Q,$F:$F&lt;&gt;""""),Q329)*100,""""))"),"")</f>
        <v/>
      </c>
      <c r="U329" s="15" t="str">
        <f>IFERROR(__xludf.DUMMYFUNCTION("IF($A329="""","""",IFERROR(PERCENTRANK.INC(FILTER(R:R,$F:$F&lt;&gt;""""),R329)*100,""""))"),"")</f>
        <v/>
      </c>
      <c r="V329" s="15" t="str">
        <f>IFERROR(__xludf.DUMMYFUNCTION("IF($A329="""","""",IFERROR(PERCENTRANK.INC(FILTER(S:S,$F:$F&lt;&gt;""""),S329)*100,""""))"),"")</f>
        <v/>
      </c>
      <c r="W329" s="15" t="str">
        <f t="shared" si="4"/>
        <v/>
      </c>
    </row>
    <row r="330">
      <c r="B330" t="str">
        <f t="array" ref="B330">IFERROR(INDEX('Player Raw Data'!C:C,Match($A330,'Player Raw Data'!$B:$B,0)),"")</f>
        <v/>
      </c>
      <c r="C330" t="str">
        <f t="array" ref="C330">IFERROR(INDEX('Player Raw Data'!D:D,Match($A330,'Player Raw Data'!$B:$B,0)),"")</f>
        <v/>
      </c>
      <c r="D330" t="str">
        <f t="array" ref="D330">IFERROR(IF(A330=A329, INDEX('Player Raw Data'!E:E,Match($A330,'Player Raw Data'!$B:$B,0)+2),INDEX('Player Raw Data'!E:E,Match($A330,'Player Raw Data'!$B:$B,0))),"")</f>
        <v/>
      </c>
      <c r="E330" t="str">
        <f t="array" ref="E330">IFERROR(INDEX('Day Range Raw Data'!D:D,Match($A330,'Day Range Raw Data'!$B:$B,0)),"")</f>
        <v/>
      </c>
      <c r="F330" t="str">
        <f t="array" ref="F330">IFERROR(INDEX('Day Range Raw Data'!F:F,Match($A330,'Day Range Raw Data'!$B:$B,0)),"")</f>
        <v/>
      </c>
      <c r="G330" t="str">
        <f t="array" ref="G330">IFERROR(INDEX('Day Range Raw Data'!G:G,Match($A330,'Day Range Raw Data'!$B:$B,0)),"")</f>
        <v/>
      </c>
      <c r="H330" t="str">
        <f t="array" ref="H330">IFERROR(INDEX('Day Range Raw Data'!H:H,Match($A330,'Day Range Raw Data'!$B:$B,0)),"")</f>
        <v/>
      </c>
      <c r="I330" t="str">
        <f t="array" ref="I330">IFERROR(INDEX('Day Range Raw Data'!M:M,Match($A330,'Day Range Raw Data'!$B:$B,0)),"")</f>
        <v/>
      </c>
      <c r="J330" t="str">
        <f t="array" ref="J330">IFERROR(INDEX('Day Range Raw Data'!N:N,Match($A330,'Day Range Raw Data'!$B:$B,0)),"")</f>
        <v/>
      </c>
      <c r="K330" t="str">
        <f t="array" ref="K330">IFERROR(INDEX('Day Range Raw Data'!R:R,Match($A330,'Day Range Raw Data'!$B:$B,0)),"")</f>
        <v/>
      </c>
      <c r="L330" t="str">
        <f t="array" ref="L330">IFERROR(INDEX('Day Range Raw Data'!S:S,Match($A330,'Day Range Raw Data'!$B:$B,0)),"")</f>
        <v/>
      </c>
      <c r="M330" t="str">
        <f t="array" ref="M330">IFERROR(INDEX('Day Range Raw Data'!T:T,Match($A330,'Day Range Raw Data'!$B:$B,0)),"")</f>
        <v/>
      </c>
      <c r="N330" t="str">
        <f t="array" ref="N330">IFERROR(INDEX('Day Range Raw Data'!U:U,Match($A330,'Day Range Raw Data'!$B:$B,0)),"")</f>
        <v/>
      </c>
      <c r="O330" t="str">
        <f t="array" ref="O330">IFERROR(INDEX('Day Range Raw Data'!V:V,Match($A330,'Day Range Raw Data'!$B:$B,0)),"")</f>
        <v/>
      </c>
      <c r="P330" t="str">
        <f t="array" ref="P330">IFERROR(INDEX('Day Range Raw Data'!X:X,Match($A330,'Day Range Raw Data'!$B:$B,0)),"")</f>
        <v/>
      </c>
      <c r="Q330" t="str">
        <f t="shared" si="1"/>
        <v/>
      </c>
      <c r="R330" s="9" t="str">
        <f t="shared" si="2"/>
        <v/>
      </c>
      <c r="S330" s="14" t="str">
        <f t="shared" si="3"/>
        <v/>
      </c>
      <c r="T330" s="15" t="str">
        <f>IFERROR(__xludf.DUMMYFUNCTION("IF($A330="""","""",IFERROR(PERCENTRANK.INC(FILTER(Q:Q,$F:$F&lt;&gt;""""),Q330)*100,""""))"),"")</f>
        <v/>
      </c>
      <c r="U330" s="15" t="str">
        <f>IFERROR(__xludf.DUMMYFUNCTION("IF($A330="""","""",IFERROR(PERCENTRANK.INC(FILTER(R:R,$F:$F&lt;&gt;""""),R330)*100,""""))"),"")</f>
        <v/>
      </c>
      <c r="V330" s="15" t="str">
        <f>IFERROR(__xludf.DUMMYFUNCTION("IF($A330="""","""",IFERROR(PERCENTRANK.INC(FILTER(S:S,$F:$F&lt;&gt;""""),S330)*100,""""))"),"")</f>
        <v/>
      </c>
      <c r="W330" s="15" t="str">
        <f t="shared" si="4"/>
        <v/>
      </c>
    </row>
    <row r="331">
      <c r="B331" t="str">
        <f t="array" ref="B331">IFERROR(INDEX('Player Raw Data'!C:C,Match($A331,'Player Raw Data'!$B:$B,0)),"")</f>
        <v/>
      </c>
      <c r="C331" t="str">
        <f t="array" ref="C331">IFERROR(INDEX('Player Raw Data'!D:D,Match($A331,'Player Raw Data'!$B:$B,0)),"")</f>
        <v/>
      </c>
      <c r="D331" t="str">
        <f t="array" ref="D331">IFERROR(IF(A331=A330, INDEX('Player Raw Data'!E:E,Match($A331,'Player Raw Data'!$B:$B,0)+2),INDEX('Player Raw Data'!E:E,Match($A331,'Player Raw Data'!$B:$B,0))),"")</f>
        <v/>
      </c>
      <c r="E331" t="str">
        <f t="array" ref="E331">IFERROR(INDEX('Day Range Raw Data'!D:D,Match($A331,'Day Range Raw Data'!$B:$B,0)),"")</f>
        <v/>
      </c>
      <c r="F331" t="str">
        <f t="array" ref="F331">IFERROR(INDEX('Day Range Raw Data'!F:F,Match($A331,'Day Range Raw Data'!$B:$B,0)),"")</f>
        <v/>
      </c>
      <c r="G331" t="str">
        <f t="array" ref="G331">IFERROR(INDEX('Day Range Raw Data'!G:G,Match($A331,'Day Range Raw Data'!$B:$B,0)),"")</f>
        <v/>
      </c>
      <c r="H331" t="str">
        <f t="array" ref="H331">IFERROR(INDEX('Day Range Raw Data'!H:H,Match($A331,'Day Range Raw Data'!$B:$B,0)),"")</f>
        <v/>
      </c>
      <c r="I331" t="str">
        <f t="array" ref="I331">IFERROR(INDEX('Day Range Raw Data'!M:M,Match($A331,'Day Range Raw Data'!$B:$B,0)),"")</f>
        <v/>
      </c>
      <c r="J331" t="str">
        <f t="array" ref="J331">IFERROR(INDEX('Day Range Raw Data'!N:N,Match($A331,'Day Range Raw Data'!$B:$B,0)),"")</f>
        <v/>
      </c>
      <c r="K331" t="str">
        <f t="array" ref="K331">IFERROR(INDEX('Day Range Raw Data'!R:R,Match($A331,'Day Range Raw Data'!$B:$B,0)),"")</f>
        <v/>
      </c>
      <c r="L331" t="str">
        <f t="array" ref="L331">IFERROR(INDEX('Day Range Raw Data'!S:S,Match($A331,'Day Range Raw Data'!$B:$B,0)),"")</f>
        <v/>
      </c>
      <c r="M331" t="str">
        <f t="array" ref="M331">IFERROR(INDEX('Day Range Raw Data'!T:T,Match($A331,'Day Range Raw Data'!$B:$B,0)),"")</f>
        <v/>
      </c>
      <c r="N331" t="str">
        <f t="array" ref="N331">IFERROR(INDEX('Day Range Raw Data'!U:U,Match($A331,'Day Range Raw Data'!$B:$B,0)),"")</f>
        <v/>
      </c>
      <c r="O331" t="str">
        <f t="array" ref="O331">IFERROR(INDEX('Day Range Raw Data'!V:V,Match($A331,'Day Range Raw Data'!$B:$B,0)),"")</f>
        <v/>
      </c>
      <c r="P331" t="str">
        <f t="array" ref="P331">IFERROR(INDEX('Day Range Raw Data'!X:X,Match($A331,'Day Range Raw Data'!$B:$B,0)),"")</f>
        <v/>
      </c>
      <c r="Q331" t="str">
        <f t="shared" si="1"/>
        <v/>
      </c>
      <c r="R331" s="9" t="str">
        <f t="shared" si="2"/>
        <v/>
      </c>
      <c r="S331" s="14" t="str">
        <f t="shared" si="3"/>
        <v/>
      </c>
      <c r="T331" s="15" t="str">
        <f>IFERROR(__xludf.DUMMYFUNCTION("IF($A331="""","""",IFERROR(PERCENTRANK.INC(FILTER(Q:Q,$F:$F&lt;&gt;""""),Q331)*100,""""))"),"")</f>
        <v/>
      </c>
      <c r="U331" s="15" t="str">
        <f>IFERROR(__xludf.DUMMYFUNCTION("IF($A331="""","""",IFERROR(PERCENTRANK.INC(FILTER(R:R,$F:$F&lt;&gt;""""),R331)*100,""""))"),"")</f>
        <v/>
      </c>
      <c r="V331" s="15" t="str">
        <f>IFERROR(__xludf.DUMMYFUNCTION("IF($A331="""","""",IFERROR(PERCENTRANK.INC(FILTER(S:S,$F:$F&lt;&gt;""""),S331)*100,""""))"),"")</f>
        <v/>
      </c>
      <c r="W331" s="15" t="str">
        <f t="shared" si="4"/>
        <v/>
      </c>
    </row>
    <row r="332">
      <c r="B332" t="str">
        <f t="array" ref="B332">IFERROR(INDEX('Player Raw Data'!C:C,Match($A332,'Player Raw Data'!$B:$B,0)),"")</f>
        <v/>
      </c>
      <c r="C332" t="str">
        <f t="array" ref="C332">IFERROR(INDEX('Player Raw Data'!D:D,Match($A332,'Player Raw Data'!$B:$B,0)),"")</f>
        <v/>
      </c>
      <c r="D332" t="str">
        <f t="array" ref="D332">IFERROR(IF(A332=A331, INDEX('Player Raw Data'!E:E,Match($A332,'Player Raw Data'!$B:$B,0)+2),INDEX('Player Raw Data'!E:E,Match($A332,'Player Raw Data'!$B:$B,0))),"")</f>
        <v/>
      </c>
      <c r="E332" t="str">
        <f t="array" ref="E332">IFERROR(INDEX('Day Range Raw Data'!D:D,Match($A332,'Day Range Raw Data'!$B:$B,0)),"")</f>
        <v/>
      </c>
      <c r="F332" t="str">
        <f t="array" ref="F332">IFERROR(INDEX('Day Range Raw Data'!F:F,Match($A332,'Day Range Raw Data'!$B:$B,0)),"")</f>
        <v/>
      </c>
      <c r="G332" t="str">
        <f t="array" ref="G332">IFERROR(INDEX('Day Range Raw Data'!G:G,Match($A332,'Day Range Raw Data'!$B:$B,0)),"")</f>
        <v/>
      </c>
      <c r="H332" t="str">
        <f t="array" ref="H332">IFERROR(INDEX('Day Range Raw Data'!H:H,Match($A332,'Day Range Raw Data'!$B:$B,0)),"")</f>
        <v/>
      </c>
      <c r="I332" t="str">
        <f t="array" ref="I332">IFERROR(INDEX('Day Range Raw Data'!M:M,Match($A332,'Day Range Raw Data'!$B:$B,0)),"")</f>
        <v/>
      </c>
      <c r="J332" t="str">
        <f t="array" ref="J332">IFERROR(INDEX('Day Range Raw Data'!N:N,Match($A332,'Day Range Raw Data'!$B:$B,0)),"")</f>
        <v/>
      </c>
      <c r="K332" t="str">
        <f t="array" ref="K332">IFERROR(INDEX('Day Range Raw Data'!R:R,Match($A332,'Day Range Raw Data'!$B:$B,0)),"")</f>
        <v/>
      </c>
      <c r="L332" t="str">
        <f t="array" ref="L332">IFERROR(INDEX('Day Range Raw Data'!S:S,Match($A332,'Day Range Raw Data'!$B:$B,0)),"")</f>
        <v/>
      </c>
      <c r="M332" t="str">
        <f t="array" ref="M332">IFERROR(INDEX('Day Range Raw Data'!T:T,Match($A332,'Day Range Raw Data'!$B:$B,0)),"")</f>
        <v/>
      </c>
      <c r="N332" t="str">
        <f t="array" ref="N332">IFERROR(INDEX('Day Range Raw Data'!U:U,Match($A332,'Day Range Raw Data'!$B:$B,0)),"")</f>
        <v/>
      </c>
      <c r="O332" t="str">
        <f t="array" ref="O332">IFERROR(INDEX('Day Range Raw Data'!V:V,Match($A332,'Day Range Raw Data'!$B:$B,0)),"")</f>
        <v/>
      </c>
      <c r="P332" t="str">
        <f t="array" ref="P332">IFERROR(INDEX('Day Range Raw Data'!X:X,Match($A332,'Day Range Raw Data'!$B:$B,0)),"")</f>
        <v/>
      </c>
      <c r="Q332" t="str">
        <f t="shared" si="1"/>
        <v/>
      </c>
      <c r="R332" s="9" t="str">
        <f t="shared" si="2"/>
        <v/>
      </c>
      <c r="S332" s="14" t="str">
        <f t="shared" si="3"/>
        <v/>
      </c>
      <c r="T332" s="15" t="str">
        <f>IFERROR(__xludf.DUMMYFUNCTION("IF($A332="""","""",IFERROR(PERCENTRANK.INC(FILTER(Q:Q,$F:$F&lt;&gt;""""),Q332)*100,""""))"),"")</f>
        <v/>
      </c>
      <c r="U332" s="15" t="str">
        <f>IFERROR(__xludf.DUMMYFUNCTION("IF($A332="""","""",IFERROR(PERCENTRANK.INC(FILTER(R:R,$F:$F&lt;&gt;""""),R332)*100,""""))"),"")</f>
        <v/>
      </c>
      <c r="V332" s="15" t="str">
        <f>IFERROR(__xludf.DUMMYFUNCTION("IF($A332="""","""",IFERROR(PERCENTRANK.INC(FILTER(S:S,$F:$F&lt;&gt;""""),S332)*100,""""))"),"")</f>
        <v/>
      </c>
      <c r="W332" s="15" t="str">
        <f t="shared" si="4"/>
        <v/>
      </c>
    </row>
    <row r="333">
      <c r="B333" t="str">
        <f t="array" ref="B333">IFERROR(INDEX('Player Raw Data'!C:C,Match($A333,'Player Raw Data'!$B:$B,0)),"")</f>
        <v/>
      </c>
      <c r="C333" t="str">
        <f t="array" ref="C333">IFERROR(INDEX('Player Raw Data'!D:D,Match($A333,'Player Raw Data'!$B:$B,0)),"")</f>
        <v/>
      </c>
      <c r="D333" t="str">
        <f t="array" ref="D333">IFERROR(IF(A333=A332, INDEX('Player Raw Data'!E:E,Match($A333,'Player Raw Data'!$B:$B,0)+2),INDEX('Player Raw Data'!E:E,Match($A333,'Player Raw Data'!$B:$B,0))),"")</f>
        <v/>
      </c>
      <c r="E333" t="str">
        <f t="array" ref="E333">IFERROR(INDEX('Day Range Raw Data'!D:D,Match($A333,'Day Range Raw Data'!$B:$B,0)),"")</f>
        <v/>
      </c>
      <c r="F333" t="str">
        <f t="array" ref="F333">IFERROR(INDEX('Day Range Raw Data'!F:F,Match($A333,'Day Range Raw Data'!$B:$B,0)),"")</f>
        <v/>
      </c>
      <c r="G333" t="str">
        <f t="array" ref="G333">IFERROR(INDEX('Day Range Raw Data'!G:G,Match($A333,'Day Range Raw Data'!$B:$B,0)),"")</f>
        <v/>
      </c>
      <c r="H333" t="str">
        <f t="array" ref="H333">IFERROR(INDEX('Day Range Raw Data'!H:H,Match($A333,'Day Range Raw Data'!$B:$B,0)),"")</f>
        <v/>
      </c>
      <c r="I333" t="str">
        <f t="array" ref="I333">IFERROR(INDEX('Day Range Raw Data'!M:M,Match($A333,'Day Range Raw Data'!$B:$B,0)),"")</f>
        <v/>
      </c>
      <c r="J333" t="str">
        <f t="array" ref="J333">IFERROR(INDEX('Day Range Raw Data'!N:N,Match($A333,'Day Range Raw Data'!$B:$B,0)),"")</f>
        <v/>
      </c>
      <c r="K333" t="str">
        <f t="array" ref="K333">IFERROR(INDEX('Day Range Raw Data'!R:R,Match($A333,'Day Range Raw Data'!$B:$B,0)),"")</f>
        <v/>
      </c>
      <c r="L333" t="str">
        <f t="array" ref="L333">IFERROR(INDEX('Day Range Raw Data'!S:S,Match($A333,'Day Range Raw Data'!$B:$B,0)),"")</f>
        <v/>
      </c>
      <c r="M333" t="str">
        <f t="array" ref="M333">IFERROR(INDEX('Day Range Raw Data'!T:T,Match($A333,'Day Range Raw Data'!$B:$B,0)),"")</f>
        <v/>
      </c>
      <c r="N333" t="str">
        <f t="array" ref="N333">IFERROR(INDEX('Day Range Raw Data'!U:U,Match($A333,'Day Range Raw Data'!$B:$B,0)),"")</f>
        <v/>
      </c>
      <c r="O333" t="str">
        <f t="array" ref="O333">IFERROR(INDEX('Day Range Raw Data'!V:V,Match($A333,'Day Range Raw Data'!$B:$B,0)),"")</f>
        <v/>
      </c>
      <c r="P333" t="str">
        <f t="array" ref="P333">IFERROR(INDEX('Day Range Raw Data'!X:X,Match($A333,'Day Range Raw Data'!$B:$B,0)),"")</f>
        <v/>
      </c>
      <c r="Q333" t="str">
        <f t="shared" si="1"/>
        <v/>
      </c>
      <c r="R333" s="9" t="str">
        <f t="shared" si="2"/>
        <v/>
      </c>
      <c r="S333" s="14" t="str">
        <f t="shared" si="3"/>
        <v/>
      </c>
      <c r="T333" s="15" t="str">
        <f>IFERROR(__xludf.DUMMYFUNCTION("IF($A333="""","""",IFERROR(PERCENTRANK.INC(FILTER(Q:Q,$F:$F&lt;&gt;""""),Q333)*100,""""))"),"")</f>
        <v/>
      </c>
      <c r="U333" s="15" t="str">
        <f>IFERROR(__xludf.DUMMYFUNCTION("IF($A333="""","""",IFERROR(PERCENTRANK.INC(FILTER(R:R,$F:$F&lt;&gt;""""),R333)*100,""""))"),"")</f>
        <v/>
      </c>
      <c r="V333" s="15" t="str">
        <f>IFERROR(__xludf.DUMMYFUNCTION("IF($A333="""","""",IFERROR(PERCENTRANK.INC(FILTER(S:S,$F:$F&lt;&gt;""""),S333)*100,""""))"),"")</f>
        <v/>
      </c>
      <c r="W333" s="15" t="str">
        <f t="shared" si="4"/>
        <v/>
      </c>
    </row>
    <row r="334">
      <c r="B334" t="str">
        <f t="array" ref="B334">IFERROR(INDEX('Player Raw Data'!C:C,Match($A334,'Player Raw Data'!$B:$B,0)),"")</f>
        <v/>
      </c>
      <c r="C334" t="str">
        <f t="array" ref="C334">IFERROR(INDEX('Player Raw Data'!D:D,Match($A334,'Player Raw Data'!$B:$B,0)),"")</f>
        <v/>
      </c>
      <c r="D334" t="str">
        <f t="array" ref="D334">IFERROR(IF(A334=A333, INDEX('Player Raw Data'!E:E,Match($A334,'Player Raw Data'!$B:$B,0)+2),INDEX('Player Raw Data'!E:E,Match($A334,'Player Raw Data'!$B:$B,0))),"")</f>
        <v/>
      </c>
      <c r="E334" t="str">
        <f t="array" ref="E334">IFERROR(INDEX('Day Range Raw Data'!D:D,Match($A334,'Day Range Raw Data'!$B:$B,0)),"")</f>
        <v/>
      </c>
      <c r="F334" t="str">
        <f t="array" ref="F334">IFERROR(INDEX('Day Range Raw Data'!F:F,Match($A334,'Day Range Raw Data'!$B:$B,0)),"")</f>
        <v/>
      </c>
      <c r="G334" t="str">
        <f t="array" ref="G334">IFERROR(INDEX('Day Range Raw Data'!G:G,Match($A334,'Day Range Raw Data'!$B:$B,0)),"")</f>
        <v/>
      </c>
      <c r="H334" t="str">
        <f t="array" ref="H334">IFERROR(INDEX('Day Range Raw Data'!H:H,Match($A334,'Day Range Raw Data'!$B:$B,0)),"")</f>
        <v/>
      </c>
      <c r="I334" t="str">
        <f t="array" ref="I334">IFERROR(INDEX('Day Range Raw Data'!M:M,Match($A334,'Day Range Raw Data'!$B:$B,0)),"")</f>
        <v/>
      </c>
      <c r="J334" t="str">
        <f t="array" ref="J334">IFERROR(INDEX('Day Range Raw Data'!N:N,Match($A334,'Day Range Raw Data'!$B:$B,0)),"")</f>
        <v/>
      </c>
      <c r="K334" t="str">
        <f t="array" ref="K334">IFERROR(INDEX('Day Range Raw Data'!R:R,Match($A334,'Day Range Raw Data'!$B:$B,0)),"")</f>
        <v/>
      </c>
      <c r="L334" t="str">
        <f t="array" ref="L334">IFERROR(INDEX('Day Range Raw Data'!S:S,Match($A334,'Day Range Raw Data'!$B:$B,0)),"")</f>
        <v/>
      </c>
      <c r="M334" t="str">
        <f t="array" ref="M334">IFERROR(INDEX('Day Range Raw Data'!T:T,Match($A334,'Day Range Raw Data'!$B:$B,0)),"")</f>
        <v/>
      </c>
      <c r="N334" t="str">
        <f t="array" ref="N334">IFERROR(INDEX('Day Range Raw Data'!U:U,Match($A334,'Day Range Raw Data'!$B:$B,0)),"")</f>
        <v/>
      </c>
      <c r="O334" t="str">
        <f t="array" ref="O334">IFERROR(INDEX('Day Range Raw Data'!V:V,Match($A334,'Day Range Raw Data'!$B:$B,0)),"")</f>
        <v/>
      </c>
      <c r="P334" t="str">
        <f t="array" ref="P334">IFERROR(INDEX('Day Range Raw Data'!X:X,Match($A334,'Day Range Raw Data'!$B:$B,0)),"")</f>
        <v/>
      </c>
      <c r="Q334" t="str">
        <f t="shared" si="1"/>
        <v/>
      </c>
      <c r="R334" s="9" t="str">
        <f t="shared" si="2"/>
        <v/>
      </c>
      <c r="S334" s="14" t="str">
        <f t="shared" si="3"/>
        <v/>
      </c>
      <c r="T334" s="15" t="str">
        <f>IFERROR(__xludf.DUMMYFUNCTION("IF($A334="""","""",IFERROR(PERCENTRANK.INC(FILTER(Q:Q,$F:$F&lt;&gt;""""),Q334)*100,""""))"),"")</f>
        <v/>
      </c>
      <c r="U334" s="15" t="str">
        <f>IFERROR(__xludf.DUMMYFUNCTION("IF($A334="""","""",IFERROR(PERCENTRANK.INC(FILTER(R:R,$F:$F&lt;&gt;""""),R334)*100,""""))"),"")</f>
        <v/>
      </c>
      <c r="V334" s="15" t="str">
        <f>IFERROR(__xludf.DUMMYFUNCTION("IF($A334="""","""",IFERROR(PERCENTRANK.INC(FILTER(S:S,$F:$F&lt;&gt;""""),S334)*100,""""))"),"")</f>
        <v/>
      </c>
      <c r="W334" s="15" t="str">
        <f t="shared" si="4"/>
        <v/>
      </c>
    </row>
    <row r="335">
      <c r="B335" t="str">
        <f t="array" ref="B335">IFERROR(INDEX('Player Raw Data'!C:C,Match($A335,'Player Raw Data'!$B:$B,0)),"")</f>
        <v/>
      </c>
      <c r="C335" t="str">
        <f t="array" ref="C335">IFERROR(INDEX('Player Raw Data'!D:D,Match($A335,'Player Raw Data'!$B:$B,0)),"")</f>
        <v/>
      </c>
      <c r="D335" t="str">
        <f t="array" ref="D335">IFERROR(IF(A335=A334, INDEX('Player Raw Data'!E:E,Match($A335,'Player Raw Data'!$B:$B,0)+2),INDEX('Player Raw Data'!E:E,Match($A335,'Player Raw Data'!$B:$B,0))),"")</f>
        <v/>
      </c>
      <c r="E335" t="str">
        <f t="array" ref="E335">IFERROR(INDEX('Day Range Raw Data'!D:D,Match($A335,'Day Range Raw Data'!$B:$B,0)),"")</f>
        <v/>
      </c>
      <c r="F335" t="str">
        <f t="array" ref="F335">IFERROR(INDEX('Day Range Raw Data'!F:F,Match($A335,'Day Range Raw Data'!$B:$B,0)),"")</f>
        <v/>
      </c>
      <c r="G335" t="str">
        <f t="array" ref="G335">IFERROR(INDEX('Day Range Raw Data'!G:G,Match($A335,'Day Range Raw Data'!$B:$B,0)),"")</f>
        <v/>
      </c>
      <c r="H335" t="str">
        <f t="array" ref="H335">IFERROR(INDEX('Day Range Raw Data'!H:H,Match($A335,'Day Range Raw Data'!$B:$B,0)),"")</f>
        <v/>
      </c>
      <c r="I335" t="str">
        <f t="array" ref="I335">IFERROR(INDEX('Day Range Raw Data'!M:M,Match($A335,'Day Range Raw Data'!$B:$B,0)),"")</f>
        <v/>
      </c>
      <c r="J335" t="str">
        <f t="array" ref="J335">IFERROR(INDEX('Day Range Raw Data'!N:N,Match($A335,'Day Range Raw Data'!$B:$B,0)),"")</f>
        <v/>
      </c>
      <c r="K335" t="str">
        <f t="array" ref="K335">IFERROR(INDEX('Day Range Raw Data'!R:R,Match($A335,'Day Range Raw Data'!$B:$B,0)),"")</f>
        <v/>
      </c>
      <c r="L335" t="str">
        <f t="array" ref="L335">IFERROR(INDEX('Day Range Raw Data'!S:S,Match($A335,'Day Range Raw Data'!$B:$B,0)),"")</f>
        <v/>
      </c>
      <c r="M335" t="str">
        <f t="array" ref="M335">IFERROR(INDEX('Day Range Raw Data'!T:T,Match($A335,'Day Range Raw Data'!$B:$B,0)),"")</f>
        <v/>
      </c>
      <c r="N335" t="str">
        <f t="array" ref="N335">IFERROR(INDEX('Day Range Raw Data'!U:U,Match($A335,'Day Range Raw Data'!$B:$B,0)),"")</f>
        <v/>
      </c>
      <c r="O335" t="str">
        <f t="array" ref="O335">IFERROR(INDEX('Day Range Raw Data'!V:V,Match($A335,'Day Range Raw Data'!$B:$B,0)),"")</f>
        <v/>
      </c>
      <c r="P335" t="str">
        <f t="array" ref="P335">IFERROR(INDEX('Day Range Raw Data'!X:X,Match($A335,'Day Range Raw Data'!$B:$B,0)),"")</f>
        <v/>
      </c>
      <c r="Q335" t="str">
        <f t="shared" si="1"/>
        <v/>
      </c>
      <c r="R335" s="9" t="str">
        <f t="shared" si="2"/>
        <v/>
      </c>
      <c r="S335" s="14" t="str">
        <f t="shared" si="3"/>
        <v/>
      </c>
      <c r="T335" s="15" t="str">
        <f>IFERROR(__xludf.DUMMYFUNCTION("IF($A335="""","""",IFERROR(PERCENTRANK.INC(FILTER(Q:Q,$F:$F&lt;&gt;""""),Q335)*100,""""))"),"")</f>
        <v/>
      </c>
      <c r="U335" s="15" t="str">
        <f>IFERROR(__xludf.DUMMYFUNCTION("IF($A335="""","""",IFERROR(PERCENTRANK.INC(FILTER(R:R,$F:$F&lt;&gt;""""),R335)*100,""""))"),"")</f>
        <v/>
      </c>
      <c r="V335" s="15" t="str">
        <f>IFERROR(__xludf.DUMMYFUNCTION("IF($A335="""","""",IFERROR(PERCENTRANK.INC(FILTER(S:S,$F:$F&lt;&gt;""""),S335)*100,""""))"),"")</f>
        <v/>
      </c>
      <c r="W335" s="15" t="str">
        <f t="shared" si="4"/>
        <v/>
      </c>
    </row>
    <row r="336">
      <c r="B336" t="str">
        <f t="array" ref="B336">IFERROR(INDEX('Player Raw Data'!C:C,Match($A336,'Player Raw Data'!$B:$B,0)),"")</f>
        <v/>
      </c>
      <c r="C336" t="str">
        <f t="array" ref="C336">IFERROR(INDEX('Player Raw Data'!D:D,Match($A336,'Player Raw Data'!$B:$B,0)),"")</f>
        <v/>
      </c>
      <c r="D336" t="str">
        <f t="array" ref="D336">IFERROR(IF(A336=A335, INDEX('Player Raw Data'!E:E,Match($A336,'Player Raw Data'!$B:$B,0)+2),INDEX('Player Raw Data'!E:E,Match($A336,'Player Raw Data'!$B:$B,0))),"")</f>
        <v/>
      </c>
      <c r="E336" t="str">
        <f t="array" ref="E336">IFERROR(INDEX('Day Range Raw Data'!D:D,Match($A336,'Day Range Raw Data'!$B:$B,0)),"")</f>
        <v/>
      </c>
      <c r="F336" t="str">
        <f t="array" ref="F336">IFERROR(INDEX('Day Range Raw Data'!F:F,Match($A336,'Day Range Raw Data'!$B:$B,0)),"")</f>
        <v/>
      </c>
      <c r="G336" t="str">
        <f t="array" ref="G336">IFERROR(INDEX('Day Range Raw Data'!G:G,Match($A336,'Day Range Raw Data'!$B:$B,0)),"")</f>
        <v/>
      </c>
      <c r="H336" t="str">
        <f t="array" ref="H336">IFERROR(INDEX('Day Range Raw Data'!H:H,Match($A336,'Day Range Raw Data'!$B:$B,0)),"")</f>
        <v/>
      </c>
      <c r="I336" t="str">
        <f t="array" ref="I336">IFERROR(INDEX('Day Range Raw Data'!M:M,Match($A336,'Day Range Raw Data'!$B:$B,0)),"")</f>
        <v/>
      </c>
      <c r="J336" t="str">
        <f t="array" ref="J336">IFERROR(INDEX('Day Range Raw Data'!N:N,Match($A336,'Day Range Raw Data'!$B:$B,0)),"")</f>
        <v/>
      </c>
      <c r="K336" t="str">
        <f t="array" ref="K336">IFERROR(INDEX('Day Range Raw Data'!R:R,Match($A336,'Day Range Raw Data'!$B:$B,0)),"")</f>
        <v/>
      </c>
      <c r="L336" t="str">
        <f t="array" ref="L336">IFERROR(INDEX('Day Range Raw Data'!S:S,Match($A336,'Day Range Raw Data'!$B:$B,0)),"")</f>
        <v/>
      </c>
      <c r="M336" t="str">
        <f t="array" ref="M336">IFERROR(INDEX('Day Range Raw Data'!T:T,Match($A336,'Day Range Raw Data'!$B:$B,0)),"")</f>
        <v/>
      </c>
      <c r="N336" t="str">
        <f t="array" ref="N336">IFERROR(INDEX('Day Range Raw Data'!U:U,Match($A336,'Day Range Raw Data'!$B:$B,0)),"")</f>
        <v/>
      </c>
      <c r="O336" t="str">
        <f t="array" ref="O336">IFERROR(INDEX('Day Range Raw Data'!V:V,Match($A336,'Day Range Raw Data'!$B:$B,0)),"")</f>
        <v/>
      </c>
      <c r="P336" t="str">
        <f t="array" ref="P336">IFERROR(INDEX('Day Range Raw Data'!X:X,Match($A336,'Day Range Raw Data'!$B:$B,0)),"")</f>
        <v/>
      </c>
      <c r="Q336" t="str">
        <f t="shared" si="1"/>
        <v/>
      </c>
      <c r="R336" s="9" t="str">
        <f t="shared" si="2"/>
        <v/>
      </c>
      <c r="S336" s="14" t="str">
        <f t="shared" si="3"/>
        <v/>
      </c>
      <c r="T336" s="15" t="str">
        <f>IFERROR(__xludf.DUMMYFUNCTION("IF($A336="""","""",IFERROR(PERCENTRANK.INC(FILTER(Q:Q,$F:$F&lt;&gt;""""),Q336)*100,""""))"),"")</f>
        <v/>
      </c>
      <c r="U336" s="15" t="str">
        <f>IFERROR(__xludf.DUMMYFUNCTION("IF($A336="""","""",IFERROR(PERCENTRANK.INC(FILTER(R:R,$F:$F&lt;&gt;""""),R336)*100,""""))"),"")</f>
        <v/>
      </c>
      <c r="V336" s="15" t="str">
        <f>IFERROR(__xludf.DUMMYFUNCTION("IF($A336="""","""",IFERROR(PERCENTRANK.INC(FILTER(S:S,$F:$F&lt;&gt;""""),S336)*100,""""))"),"")</f>
        <v/>
      </c>
      <c r="W336" s="15" t="str">
        <f t="shared" si="4"/>
        <v/>
      </c>
    </row>
    <row r="337">
      <c r="B337" t="str">
        <f t="array" ref="B337">IFERROR(INDEX('Player Raw Data'!C:C,Match($A337,'Player Raw Data'!$B:$B,0)),"")</f>
        <v/>
      </c>
      <c r="C337" t="str">
        <f t="array" ref="C337">IFERROR(INDEX('Player Raw Data'!D:D,Match($A337,'Player Raw Data'!$B:$B,0)),"")</f>
        <v/>
      </c>
      <c r="D337" t="str">
        <f t="array" ref="D337">IFERROR(IF(A337=A336, INDEX('Player Raw Data'!E:E,Match($A337,'Player Raw Data'!$B:$B,0)+2),INDEX('Player Raw Data'!E:E,Match($A337,'Player Raw Data'!$B:$B,0))),"")</f>
        <v/>
      </c>
      <c r="E337" t="str">
        <f t="array" ref="E337">IFERROR(INDEX('Day Range Raw Data'!D:D,Match($A337,'Day Range Raw Data'!$B:$B,0)),"")</f>
        <v/>
      </c>
      <c r="F337" t="str">
        <f t="array" ref="F337">IFERROR(INDEX('Day Range Raw Data'!F:F,Match($A337,'Day Range Raw Data'!$B:$B,0)),"")</f>
        <v/>
      </c>
      <c r="G337" t="str">
        <f t="array" ref="G337">IFERROR(INDEX('Day Range Raw Data'!G:G,Match($A337,'Day Range Raw Data'!$B:$B,0)),"")</f>
        <v/>
      </c>
      <c r="H337" t="str">
        <f t="array" ref="H337">IFERROR(INDEX('Day Range Raw Data'!H:H,Match($A337,'Day Range Raw Data'!$B:$B,0)),"")</f>
        <v/>
      </c>
      <c r="I337" t="str">
        <f t="array" ref="I337">IFERROR(INDEX('Day Range Raw Data'!M:M,Match($A337,'Day Range Raw Data'!$B:$B,0)),"")</f>
        <v/>
      </c>
      <c r="J337" t="str">
        <f t="array" ref="J337">IFERROR(INDEX('Day Range Raw Data'!N:N,Match($A337,'Day Range Raw Data'!$B:$B,0)),"")</f>
        <v/>
      </c>
      <c r="K337" t="str">
        <f t="array" ref="K337">IFERROR(INDEX('Day Range Raw Data'!R:R,Match($A337,'Day Range Raw Data'!$B:$B,0)),"")</f>
        <v/>
      </c>
      <c r="L337" t="str">
        <f t="array" ref="L337">IFERROR(INDEX('Day Range Raw Data'!S:S,Match($A337,'Day Range Raw Data'!$B:$B,0)),"")</f>
        <v/>
      </c>
      <c r="M337" t="str">
        <f t="array" ref="M337">IFERROR(INDEX('Day Range Raw Data'!T:T,Match($A337,'Day Range Raw Data'!$B:$B,0)),"")</f>
        <v/>
      </c>
      <c r="N337" t="str">
        <f t="array" ref="N337">IFERROR(INDEX('Day Range Raw Data'!U:U,Match($A337,'Day Range Raw Data'!$B:$B,0)),"")</f>
        <v/>
      </c>
      <c r="O337" t="str">
        <f t="array" ref="O337">IFERROR(INDEX('Day Range Raw Data'!V:V,Match($A337,'Day Range Raw Data'!$B:$B,0)),"")</f>
        <v/>
      </c>
      <c r="P337" t="str">
        <f t="array" ref="P337">IFERROR(INDEX('Day Range Raw Data'!X:X,Match($A337,'Day Range Raw Data'!$B:$B,0)),"")</f>
        <v/>
      </c>
      <c r="Q337" t="str">
        <f t="shared" si="1"/>
        <v/>
      </c>
      <c r="R337" s="9" t="str">
        <f t="shared" si="2"/>
        <v/>
      </c>
      <c r="S337" s="14" t="str">
        <f t="shared" si="3"/>
        <v/>
      </c>
      <c r="T337" s="15" t="str">
        <f>IFERROR(__xludf.DUMMYFUNCTION("IF($A337="""","""",IFERROR(PERCENTRANK.INC(FILTER(Q:Q,$F:$F&lt;&gt;""""),Q337)*100,""""))"),"")</f>
        <v/>
      </c>
      <c r="U337" s="15" t="str">
        <f>IFERROR(__xludf.DUMMYFUNCTION("IF($A337="""","""",IFERROR(PERCENTRANK.INC(FILTER(R:R,$F:$F&lt;&gt;""""),R337)*100,""""))"),"")</f>
        <v/>
      </c>
      <c r="V337" s="15" t="str">
        <f>IFERROR(__xludf.DUMMYFUNCTION("IF($A337="""","""",IFERROR(PERCENTRANK.INC(FILTER(S:S,$F:$F&lt;&gt;""""),S337)*100,""""))"),"")</f>
        <v/>
      </c>
      <c r="W337" s="15" t="str">
        <f t="shared" si="4"/>
        <v/>
      </c>
    </row>
    <row r="338">
      <c r="B338" t="str">
        <f t="array" ref="B338">IFERROR(INDEX('Player Raw Data'!C:C,Match($A338,'Player Raw Data'!$B:$B,0)),"")</f>
        <v/>
      </c>
      <c r="C338" t="str">
        <f t="array" ref="C338">IFERROR(INDEX('Player Raw Data'!D:D,Match($A338,'Player Raw Data'!$B:$B,0)),"")</f>
        <v/>
      </c>
      <c r="D338" t="str">
        <f t="array" ref="D338">IFERROR(IF(A338=A337, INDEX('Player Raw Data'!E:E,Match($A338,'Player Raw Data'!$B:$B,0)+2),INDEX('Player Raw Data'!E:E,Match($A338,'Player Raw Data'!$B:$B,0))),"")</f>
        <v/>
      </c>
      <c r="E338" t="str">
        <f t="array" ref="E338">IFERROR(INDEX('Day Range Raw Data'!D:D,Match($A338,'Day Range Raw Data'!$B:$B,0)),"")</f>
        <v/>
      </c>
      <c r="F338" t="str">
        <f t="array" ref="F338">IFERROR(INDEX('Day Range Raw Data'!F:F,Match($A338,'Day Range Raw Data'!$B:$B,0)),"")</f>
        <v/>
      </c>
      <c r="G338" t="str">
        <f t="array" ref="G338">IFERROR(INDEX('Day Range Raw Data'!G:G,Match($A338,'Day Range Raw Data'!$B:$B,0)),"")</f>
        <v/>
      </c>
      <c r="H338" t="str">
        <f t="array" ref="H338">IFERROR(INDEX('Day Range Raw Data'!H:H,Match($A338,'Day Range Raw Data'!$B:$B,0)),"")</f>
        <v/>
      </c>
      <c r="I338" t="str">
        <f t="array" ref="I338">IFERROR(INDEX('Day Range Raw Data'!M:M,Match($A338,'Day Range Raw Data'!$B:$B,0)),"")</f>
        <v/>
      </c>
      <c r="J338" t="str">
        <f t="array" ref="J338">IFERROR(INDEX('Day Range Raw Data'!N:N,Match($A338,'Day Range Raw Data'!$B:$B,0)),"")</f>
        <v/>
      </c>
      <c r="K338" t="str">
        <f t="array" ref="K338">IFERROR(INDEX('Day Range Raw Data'!R:R,Match($A338,'Day Range Raw Data'!$B:$B,0)),"")</f>
        <v/>
      </c>
      <c r="L338" t="str">
        <f t="array" ref="L338">IFERROR(INDEX('Day Range Raw Data'!S:S,Match($A338,'Day Range Raw Data'!$B:$B,0)),"")</f>
        <v/>
      </c>
      <c r="M338" t="str">
        <f t="array" ref="M338">IFERROR(INDEX('Day Range Raw Data'!T:T,Match($A338,'Day Range Raw Data'!$B:$B,0)),"")</f>
        <v/>
      </c>
      <c r="N338" t="str">
        <f t="array" ref="N338">IFERROR(INDEX('Day Range Raw Data'!U:U,Match($A338,'Day Range Raw Data'!$B:$B,0)),"")</f>
        <v/>
      </c>
      <c r="O338" t="str">
        <f t="array" ref="O338">IFERROR(INDEX('Day Range Raw Data'!V:V,Match($A338,'Day Range Raw Data'!$B:$B,0)),"")</f>
        <v/>
      </c>
      <c r="P338" t="str">
        <f t="array" ref="P338">IFERROR(INDEX('Day Range Raw Data'!X:X,Match($A338,'Day Range Raw Data'!$B:$B,0)),"")</f>
        <v/>
      </c>
      <c r="Q338" t="str">
        <f t="shared" si="1"/>
        <v/>
      </c>
      <c r="R338" s="9" t="str">
        <f t="shared" si="2"/>
        <v/>
      </c>
      <c r="S338" s="14" t="str">
        <f t="shared" si="3"/>
        <v/>
      </c>
      <c r="T338" s="15" t="str">
        <f>IFERROR(__xludf.DUMMYFUNCTION("IF($A338="""","""",IFERROR(PERCENTRANK.INC(FILTER(Q:Q,$F:$F&lt;&gt;""""),Q338)*100,""""))"),"")</f>
        <v/>
      </c>
      <c r="U338" s="15" t="str">
        <f>IFERROR(__xludf.DUMMYFUNCTION("IF($A338="""","""",IFERROR(PERCENTRANK.INC(FILTER(R:R,$F:$F&lt;&gt;""""),R338)*100,""""))"),"")</f>
        <v/>
      </c>
      <c r="V338" s="15" t="str">
        <f>IFERROR(__xludf.DUMMYFUNCTION("IF($A338="""","""",IFERROR(PERCENTRANK.INC(FILTER(S:S,$F:$F&lt;&gt;""""),S338)*100,""""))"),"")</f>
        <v/>
      </c>
      <c r="W338" s="15" t="str">
        <f t="shared" si="4"/>
        <v/>
      </c>
    </row>
    <row r="339">
      <c r="B339" t="str">
        <f t="array" ref="B339">IFERROR(INDEX('Player Raw Data'!C:C,Match($A339,'Player Raw Data'!$B:$B,0)),"")</f>
        <v/>
      </c>
      <c r="C339" t="str">
        <f t="array" ref="C339">IFERROR(INDEX('Player Raw Data'!D:D,Match($A339,'Player Raw Data'!$B:$B,0)),"")</f>
        <v/>
      </c>
      <c r="D339" t="str">
        <f t="array" ref="D339">IFERROR(IF(A339=A338, INDEX('Player Raw Data'!E:E,Match($A339,'Player Raw Data'!$B:$B,0)+2),INDEX('Player Raw Data'!E:E,Match($A339,'Player Raw Data'!$B:$B,0))),"")</f>
        <v/>
      </c>
      <c r="E339" t="str">
        <f t="array" ref="E339">IFERROR(INDEX('Day Range Raw Data'!D:D,Match($A339,'Day Range Raw Data'!$B:$B,0)),"")</f>
        <v/>
      </c>
      <c r="F339" t="str">
        <f t="array" ref="F339">IFERROR(INDEX('Day Range Raw Data'!F:F,Match($A339,'Day Range Raw Data'!$B:$B,0)),"")</f>
        <v/>
      </c>
      <c r="G339" t="str">
        <f t="array" ref="G339">IFERROR(INDEX('Day Range Raw Data'!G:G,Match($A339,'Day Range Raw Data'!$B:$B,0)),"")</f>
        <v/>
      </c>
      <c r="H339" t="str">
        <f t="array" ref="H339">IFERROR(INDEX('Day Range Raw Data'!H:H,Match($A339,'Day Range Raw Data'!$B:$B,0)),"")</f>
        <v/>
      </c>
      <c r="I339" t="str">
        <f t="array" ref="I339">IFERROR(INDEX('Day Range Raw Data'!M:M,Match($A339,'Day Range Raw Data'!$B:$B,0)),"")</f>
        <v/>
      </c>
      <c r="J339" t="str">
        <f t="array" ref="J339">IFERROR(INDEX('Day Range Raw Data'!N:N,Match($A339,'Day Range Raw Data'!$B:$B,0)),"")</f>
        <v/>
      </c>
      <c r="K339" t="str">
        <f t="array" ref="K339">IFERROR(INDEX('Day Range Raw Data'!R:R,Match($A339,'Day Range Raw Data'!$B:$B,0)),"")</f>
        <v/>
      </c>
      <c r="L339" t="str">
        <f t="array" ref="L339">IFERROR(INDEX('Day Range Raw Data'!S:S,Match($A339,'Day Range Raw Data'!$B:$B,0)),"")</f>
        <v/>
      </c>
      <c r="M339" t="str">
        <f t="array" ref="M339">IFERROR(INDEX('Day Range Raw Data'!T:T,Match($A339,'Day Range Raw Data'!$B:$B,0)),"")</f>
        <v/>
      </c>
      <c r="N339" t="str">
        <f t="array" ref="N339">IFERROR(INDEX('Day Range Raw Data'!U:U,Match($A339,'Day Range Raw Data'!$B:$B,0)),"")</f>
        <v/>
      </c>
      <c r="O339" t="str">
        <f t="array" ref="O339">IFERROR(INDEX('Day Range Raw Data'!V:V,Match($A339,'Day Range Raw Data'!$B:$B,0)),"")</f>
        <v/>
      </c>
      <c r="P339" t="str">
        <f t="array" ref="P339">IFERROR(INDEX('Day Range Raw Data'!X:X,Match($A339,'Day Range Raw Data'!$B:$B,0)),"")</f>
        <v/>
      </c>
      <c r="Q339" t="str">
        <f t="shared" si="1"/>
        <v/>
      </c>
      <c r="R339" s="9" t="str">
        <f t="shared" si="2"/>
        <v/>
      </c>
      <c r="S339" s="14" t="str">
        <f t="shared" si="3"/>
        <v/>
      </c>
      <c r="T339" s="15" t="str">
        <f>IFERROR(__xludf.DUMMYFUNCTION("IF($A339="""","""",IFERROR(PERCENTRANK.INC(FILTER(Q:Q,$F:$F&lt;&gt;""""),Q339)*100,""""))"),"")</f>
        <v/>
      </c>
      <c r="U339" s="15" t="str">
        <f>IFERROR(__xludf.DUMMYFUNCTION("IF($A339="""","""",IFERROR(PERCENTRANK.INC(FILTER(R:R,$F:$F&lt;&gt;""""),R339)*100,""""))"),"")</f>
        <v/>
      </c>
      <c r="V339" s="15" t="str">
        <f>IFERROR(__xludf.DUMMYFUNCTION("IF($A339="""","""",IFERROR(PERCENTRANK.INC(FILTER(S:S,$F:$F&lt;&gt;""""),S339)*100,""""))"),"")</f>
        <v/>
      </c>
      <c r="W339" s="15" t="str">
        <f t="shared" si="4"/>
        <v/>
      </c>
    </row>
    <row r="340">
      <c r="B340" t="str">
        <f t="array" ref="B340">IFERROR(INDEX('Player Raw Data'!C:C,Match($A340,'Player Raw Data'!$B:$B,0)),"")</f>
        <v/>
      </c>
      <c r="C340" t="str">
        <f t="array" ref="C340">IFERROR(INDEX('Player Raw Data'!D:D,Match($A340,'Player Raw Data'!$B:$B,0)),"")</f>
        <v/>
      </c>
      <c r="D340" t="str">
        <f t="array" ref="D340">IFERROR(IF(A340=A339, INDEX('Player Raw Data'!E:E,Match($A340,'Player Raw Data'!$B:$B,0)+2),INDEX('Player Raw Data'!E:E,Match($A340,'Player Raw Data'!$B:$B,0))),"")</f>
        <v/>
      </c>
      <c r="E340" t="str">
        <f t="array" ref="E340">IFERROR(INDEX('Day Range Raw Data'!D:D,Match($A340,'Day Range Raw Data'!$B:$B,0)),"")</f>
        <v/>
      </c>
      <c r="F340" t="str">
        <f t="array" ref="F340">IFERROR(INDEX('Day Range Raw Data'!F:F,Match($A340,'Day Range Raw Data'!$B:$B,0)),"")</f>
        <v/>
      </c>
      <c r="G340" t="str">
        <f t="array" ref="G340">IFERROR(INDEX('Day Range Raw Data'!G:G,Match($A340,'Day Range Raw Data'!$B:$B,0)),"")</f>
        <v/>
      </c>
      <c r="H340" t="str">
        <f t="array" ref="H340">IFERROR(INDEX('Day Range Raw Data'!H:H,Match($A340,'Day Range Raw Data'!$B:$B,0)),"")</f>
        <v/>
      </c>
      <c r="I340" t="str">
        <f t="array" ref="I340">IFERROR(INDEX('Day Range Raw Data'!M:M,Match($A340,'Day Range Raw Data'!$B:$B,0)),"")</f>
        <v/>
      </c>
      <c r="J340" t="str">
        <f t="array" ref="J340">IFERROR(INDEX('Day Range Raw Data'!N:N,Match($A340,'Day Range Raw Data'!$B:$B,0)),"")</f>
        <v/>
      </c>
      <c r="K340" t="str">
        <f t="array" ref="K340">IFERROR(INDEX('Day Range Raw Data'!R:R,Match($A340,'Day Range Raw Data'!$B:$B,0)),"")</f>
        <v/>
      </c>
      <c r="L340" t="str">
        <f t="array" ref="L340">IFERROR(INDEX('Day Range Raw Data'!S:S,Match($A340,'Day Range Raw Data'!$B:$B,0)),"")</f>
        <v/>
      </c>
      <c r="M340" t="str">
        <f t="array" ref="M340">IFERROR(INDEX('Day Range Raw Data'!T:T,Match($A340,'Day Range Raw Data'!$B:$B,0)),"")</f>
        <v/>
      </c>
      <c r="N340" t="str">
        <f t="array" ref="N340">IFERROR(INDEX('Day Range Raw Data'!U:U,Match($A340,'Day Range Raw Data'!$B:$B,0)),"")</f>
        <v/>
      </c>
      <c r="O340" t="str">
        <f t="array" ref="O340">IFERROR(INDEX('Day Range Raw Data'!V:V,Match($A340,'Day Range Raw Data'!$B:$B,0)),"")</f>
        <v/>
      </c>
      <c r="P340" t="str">
        <f t="array" ref="P340">IFERROR(INDEX('Day Range Raw Data'!X:X,Match($A340,'Day Range Raw Data'!$B:$B,0)),"")</f>
        <v/>
      </c>
      <c r="Q340" t="str">
        <f t="shared" si="1"/>
        <v/>
      </c>
      <c r="R340" s="9" t="str">
        <f t="shared" si="2"/>
        <v/>
      </c>
      <c r="S340" s="14" t="str">
        <f t="shared" si="3"/>
        <v/>
      </c>
      <c r="T340" s="15" t="str">
        <f>IFERROR(__xludf.DUMMYFUNCTION("IF($A340="""","""",IFERROR(PERCENTRANK.INC(FILTER(Q:Q,$F:$F&lt;&gt;""""),Q340)*100,""""))"),"")</f>
        <v/>
      </c>
      <c r="U340" s="15" t="str">
        <f>IFERROR(__xludf.DUMMYFUNCTION("IF($A340="""","""",IFERROR(PERCENTRANK.INC(FILTER(R:R,$F:$F&lt;&gt;""""),R340)*100,""""))"),"")</f>
        <v/>
      </c>
      <c r="V340" s="15" t="str">
        <f>IFERROR(__xludf.DUMMYFUNCTION("IF($A340="""","""",IFERROR(PERCENTRANK.INC(FILTER(S:S,$F:$F&lt;&gt;""""),S340)*100,""""))"),"")</f>
        <v/>
      </c>
      <c r="W340" s="15" t="str">
        <f t="shared" si="4"/>
        <v/>
      </c>
    </row>
    <row r="341">
      <c r="B341" t="str">
        <f t="array" ref="B341">IFERROR(INDEX('Player Raw Data'!C:C,Match($A341,'Player Raw Data'!$B:$B,0)),"")</f>
        <v/>
      </c>
      <c r="C341" t="str">
        <f t="array" ref="C341">IFERROR(INDEX('Player Raw Data'!D:D,Match($A341,'Player Raw Data'!$B:$B,0)),"")</f>
        <v/>
      </c>
      <c r="D341" t="str">
        <f t="array" ref="D341">IFERROR(IF(A341=A340, INDEX('Player Raw Data'!E:E,Match($A341,'Player Raw Data'!$B:$B,0)+2),INDEX('Player Raw Data'!E:E,Match($A341,'Player Raw Data'!$B:$B,0))),"")</f>
        <v/>
      </c>
      <c r="E341" t="str">
        <f t="array" ref="E341">IFERROR(INDEX('Day Range Raw Data'!D:D,Match($A341,'Day Range Raw Data'!$B:$B,0)),"")</f>
        <v/>
      </c>
      <c r="F341" t="str">
        <f t="array" ref="F341">IFERROR(INDEX('Day Range Raw Data'!F:F,Match($A341,'Day Range Raw Data'!$B:$B,0)),"")</f>
        <v/>
      </c>
      <c r="G341" t="str">
        <f t="array" ref="G341">IFERROR(INDEX('Day Range Raw Data'!G:G,Match($A341,'Day Range Raw Data'!$B:$B,0)),"")</f>
        <v/>
      </c>
      <c r="H341" t="str">
        <f t="array" ref="H341">IFERROR(INDEX('Day Range Raw Data'!H:H,Match($A341,'Day Range Raw Data'!$B:$B,0)),"")</f>
        <v/>
      </c>
      <c r="I341" t="str">
        <f t="array" ref="I341">IFERROR(INDEX('Day Range Raw Data'!M:M,Match($A341,'Day Range Raw Data'!$B:$B,0)),"")</f>
        <v/>
      </c>
      <c r="J341" t="str">
        <f t="array" ref="J341">IFERROR(INDEX('Day Range Raw Data'!N:N,Match($A341,'Day Range Raw Data'!$B:$B,0)),"")</f>
        <v/>
      </c>
      <c r="K341" t="str">
        <f t="array" ref="K341">IFERROR(INDEX('Day Range Raw Data'!R:R,Match($A341,'Day Range Raw Data'!$B:$B,0)),"")</f>
        <v/>
      </c>
      <c r="L341" t="str">
        <f t="array" ref="L341">IFERROR(INDEX('Day Range Raw Data'!S:S,Match($A341,'Day Range Raw Data'!$B:$B,0)),"")</f>
        <v/>
      </c>
      <c r="M341" t="str">
        <f t="array" ref="M341">IFERROR(INDEX('Day Range Raw Data'!T:T,Match($A341,'Day Range Raw Data'!$B:$B,0)),"")</f>
        <v/>
      </c>
      <c r="N341" t="str">
        <f t="array" ref="N341">IFERROR(INDEX('Day Range Raw Data'!U:U,Match($A341,'Day Range Raw Data'!$B:$B,0)),"")</f>
        <v/>
      </c>
      <c r="O341" t="str">
        <f t="array" ref="O341">IFERROR(INDEX('Day Range Raw Data'!V:V,Match($A341,'Day Range Raw Data'!$B:$B,0)),"")</f>
        <v/>
      </c>
      <c r="P341" t="str">
        <f t="array" ref="P341">IFERROR(INDEX('Day Range Raw Data'!X:X,Match($A341,'Day Range Raw Data'!$B:$B,0)),"")</f>
        <v/>
      </c>
      <c r="Q341" t="str">
        <f t="shared" si="1"/>
        <v/>
      </c>
      <c r="R341" s="9" t="str">
        <f t="shared" si="2"/>
        <v/>
      </c>
      <c r="S341" s="14" t="str">
        <f t="shared" si="3"/>
        <v/>
      </c>
      <c r="T341" s="15" t="str">
        <f>IFERROR(__xludf.DUMMYFUNCTION("IF($A341="""","""",IFERROR(PERCENTRANK.INC(FILTER(Q:Q,$F:$F&lt;&gt;""""),Q341)*100,""""))"),"")</f>
        <v/>
      </c>
      <c r="U341" s="15" t="str">
        <f>IFERROR(__xludf.DUMMYFUNCTION("IF($A341="""","""",IFERROR(PERCENTRANK.INC(FILTER(R:R,$F:$F&lt;&gt;""""),R341)*100,""""))"),"")</f>
        <v/>
      </c>
      <c r="V341" s="15" t="str">
        <f>IFERROR(__xludf.DUMMYFUNCTION("IF($A341="""","""",IFERROR(PERCENTRANK.INC(FILTER(S:S,$F:$F&lt;&gt;""""),S341)*100,""""))"),"")</f>
        <v/>
      </c>
      <c r="W341" s="15" t="str">
        <f t="shared" si="4"/>
        <v/>
      </c>
    </row>
    <row r="342">
      <c r="B342" t="str">
        <f t="array" ref="B342">IFERROR(INDEX('Player Raw Data'!C:C,Match($A342,'Player Raw Data'!$B:$B,0)),"")</f>
        <v/>
      </c>
      <c r="C342" t="str">
        <f t="array" ref="C342">IFERROR(INDEX('Player Raw Data'!D:D,Match($A342,'Player Raw Data'!$B:$B,0)),"")</f>
        <v/>
      </c>
      <c r="D342" t="str">
        <f t="array" ref="D342">IFERROR(IF(A342=A341, INDEX('Player Raw Data'!E:E,Match($A342,'Player Raw Data'!$B:$B,0)+2),INDEX('Player Raw Data'!E:E,Match($A342,'Player Raw Data'!$B:$B,0))),"")</f>
        <v/>
      </c>
      <c r="E342" t="str">
        <f t="array" ref="E342">IFERROR(INDEX('Day Range Raw Data'!D:D,Match($A342,'Day Range Raw Data'!$B:$B,0)),"")</f>
        <v/>
      </c>
      <c r="F342" t="str">
        <f t="array" ref="F342">IFERROR(INDEX('Day Range Raw Data'!F:F,Match($A342,'Day Range Raw Data'!$B:$B,0)),"")</f>
        <v/>
      </c>
      <c r="G342" t="str">
        <f t="array" ref="G342">IFERROR(INDEX('Day Range Raw Data'!G:G,Match($A342,'Day Range Raw Data'!$B:$B,0)),"")</f>
        <v/>
      </c>
      <c r="H342" t="str">
        <f t="array" ref="H342">IFERROR(INDEX('Day Range Raw Data'!H:H,Match($A342,'Day Range Raw Data'!$B:$B,0)),"")</f>
        <v/>
      </c>
      <c r="I342" t="str">
        <f t="array" ref="I342">IFERROR(INDEX('Day Range Raw Data'!M:M,Match($A342,'Day Range Raw Data'!$B:$B,0)),"")</f>
        <v/>
      </c>
      <c r="J342" t="str">
        <f t="array" ref="J342">IFERROR(INDEX('Day Range Raw Data'!N:N,Match($A342,'Day Range Raw Data'!$B:$B,0)),"")</f>
        <v/>
      </c>
      <c r="K342" t="str">
        <f t="array" ref="K342">IFERROR(INDEX('Day Range Raw Data'!R:R,Match($A342,'Day Range Raw Data'!$B:$B,0)),"")</f>
        <v/>
      </c>
      <c r="L342" t="str">
        <f t="array" ref="L342">IFERROR(INDEX('Day Range Raw Data'!S:S,Match($A342,'Day Range Raw Data'!$B:$B,0)),"")</f>
        <v/>
      </c>
      <c r="M342" t="str">
        <f t="array" ref="M342">IFERROR(INDEX('Day Range Raw Data'!T:T,Match($A342,'Day Range Raw Data'!$B:$B,0)),"")</f>
        <v/>
      </c>
      <c r="N342" t="str">
        <f t="array" ref="N342">IFERROR(INDEX('Day Range Raw Data'!U:U,Match($A342,'Day Range Raw Data'!$B:$B,0)),"")</f>
        <v/>
      </c>
      <c r="O342" t="str">
        <f t="array" ref="O342">IFERROR(INDEX('Day Range Raw Data'!V:V,Match($A342,'Day Range Raw Data'!$B:$B,0)),"")</f>
        <v/>
      </c>
      <c r="P342" t="str">
        <f t="array" ref="P342">IFERROR(INDEX('Day Range Raw Data'!X:X,Match($A342,'Day Range Raw Data'!$B:$B,0)),"")</f>
        <v/>
      </c>
      <c r="Q342" t="str">
        <f t="shared" si="1"/>
        <v/>
      </c>
      <c r="R342" s="9" t="str">
        <f t="shared" si="2"/>
        <v/>
      </c>
      <c r="S342" s="14" t="str">
        <f t="shared" si="3"/>
        <v/>
      </c>
      <c r="T342" s="15" t="str">
        <f>IFERROR(__xludf.DUMMYFUNCTION("IF($A342="""","""",IFERROR(PERCENTRANK.INC(FILTER(Q:Q,$F:$F&lt;&gt;""""),Q342)*100,""""))"),"")</f>
        <v/>
      </c>
      <c r="U342" s="15" t="str">
        <f>IFERROR(__xludf.DUMMYFUNCTION("IF($A342="""","""",IFERROR(PERCENTRANK.INC(FILTER(R:R,$F:$F&lt;&gt;""""),R342)*100,""""))"),"")</f>
        <v/>
      </c>
      <c r="V342" s="15" t="str">
        <f>IFERROR(__xludf.DUMMYFUNCTION("IF($A342="""","""",IFERROR(PERCENTRANK.INC(FILTER(S:S,$F:$F&lt;&gt;""""),S342)*100,""""))"),"")</f>
        <v/>
      </c>
      <c r="W342" s="15" t="str">
        <f t="shared" si="4"/>
        <v/>
      </c>
    </row>
    <row r="343">
      <c r="B343" t="str">
        <f t="array" ref="B343">IFERROR(INDEX('Player Raw Data'!C:C,Match($A343,'Player Raw Data'!$B:$B,0)),"")</f>
        <v/>
      </c>
      <c r="C343" t="str">
        <f t="array" ref="C343">IFERROR(INDEX('Player Raw Data'!D:D,Match($A343,'Player Raw Data'!$B:$B,0)),"")</f>
        <v/>
      </c>
      <c r="D343" t="str">
        <f t="array" ref="D343">IFERROR(IF(A343=A342, INDEX('Player Raw Data'!E:E,Match($A343,'Player Raw Data'!$B:$B,0)+2),INDEX('Player Raw Data'!E:E,Match($A343,'Player Raw Data'!$B:$B,0))),"")</f>
        <v/>
      </c>
      <c r="E343" t="str">
        <f t="array" ref="E343">IFERROR(INDEX('Day Range Raw Data'!D:D,Match($A343,'Day Range Raw Data'!$B:$B,0)),"")</f>
        <v/>
      </c>
      <c r="F343" t="str">
        <f t="array" ref="F343">IFERROR(INDEX('Day Range Raw Data'!F:F,Match($A343,'Day Range Raw Data'!$B:$B,0)),"")</f>
        <v/>
      </c>
      <c r="G343" t="str">
        <f t="array" ref="G343">IFERROR(INDEX('Day Range Raw Data'!G:G,Match($A343,'Day Range Raw Data'!$B:$B,0)),"")</f>
        <v/>
      </c>
      <c r="H343" t="str">
        <f t="array" ref="H343">IFERROR(INDEX('Day Range Raw Data'!H:H,Match($A343,'Day Range Raw Data'!$B:$B,0)),"")</f>
        <v/>
      </c>
      <c r="I343" t="str">
        <f t="array" ref="I343">IFERROR(INDEX('Day Range Raw Data'!M:M,Match($A343,'Day Range Raw Data'!$B:$B,0)),"")</f>
        <v/>
      </c>
      <c r="J343" t="str">
        <f t="array" ref="J343">IFERROR(INDEX('Day Range Raw Data'!N:N,Match($A343,'Day Range Raw Data'!$B:$B,0)),"")</f>
        <v/>
      </c>
      <c r="K343" t="str">
        <f t="array" ref="K343">IFERROR(INDEX('Day Range Raw Data'!R:R,Match($A343,'Day Range Raw Data'!$B:$B,0)),"")</f>
        <v/>
      </c>
      <c r="L343" t="str">
        <f t="array" ref="L343">IFERROR(INDEX('Day Range Raw Data'!S:S,Match($A343,'Day Range Raw Data'!$B:$B,0)),"")</f>
        <v/>
      </c>
      <c r="M343" t="str">
        <f t="array" ref="M343">IFERROR(INDEX('Day Range Raw Data'!T:T,Match($A343,'Day Range Raw Data'!$B:$B,0)),"")</f>
        <v/>
      </c>
      <c r="N343" t="str">
        <f t="array" ref="N343">IFERROR(INDEX('Day Range Raw Data'!U:U,Match($A343,'Day Range Raw Data'!$B:$B,0)),"")</f>
        <v/>
      </c>
      <c r="O343" t="str">
        <f t="array" ref="O343">IFERROR(INDEX('Day Range Raw Data'!V:V,Match($A343,'Day Range Raw Data'!$B:$B,0)),"")</f>
        <v/>
      </c>
      <c r="P343" t="str">
        <f t="array" ref="P343">IFERROR(INDEX('Day Range Raw Data'!X:X,Match($A343,'Day Range Raw Data'!$B:$B,0)),"")</f>
        <v/>
      </c>
      <c r="Q343" t="str">
        <f t="shared" si="1"/>
        <v/>
      </c>
      <c r="R343" s="9" t="str">
        <f t="shared" si="2"/>
        <v/>
      </c>
      <c r="S343" s="14" t="str">
        <f t="shared" si="3"/>
        <v/>
      </c>
      <c r="T343" s="15" t="str">
        <f>IFERROR(__xludf.DUMMYFUNCTION("IF($A343="""","""",IFERROR(PERCENTRANK.INC(FILTER(Q:Q,$F:$F&lt;&gt;""""),Q343)*100,""""))"),"")</f>
        <v/>
      </c>
      <c r="U343" s="15" t="str">
        <f>IFERROR(__xludf.DUMMYFUNCTION("IF($A343="""","""",IFERROR(PERCENTRANK.INC(FILTER(R:R,$F:$F&lt;&gt;""""),R343)*100,""""))"),"")</f>
        <v/>
      </c>
      <c r="V343" s="15" t="str">
        <f>IFERROR(__xludf.DUMMYFUNCTION("IF($A343="""","""",IFERROR(PERCENTRANK.INC(FILTER(S:S,$F:$F&lt;&gt;""""),S343)*100,""""))"),"")</f>
        <v/>
      </c>
      <c r="W343" s="15" t="str">
        <f t="shared" si="4"/>
        <v/>
      </c>
    </row>
    <row r="344">
      <c r="B344" t="str">
        <f t="array" ref="B344">IFERROR(INDEX('Player Raw Data'!C:C,Match($A344,'Player Raw Data'!$B:$B,0)),"")</f>
        <v/>
      </c>
      <c r="C344" t="str">
        <f t="array" ref="C344">IFERROR(INDEX('Player Raw Data'!D:D,Match($A344,'Player Raw Data'!$B:$B,0)),"")</f>
        <v/>
      </c>
      <c r="D344" t="str">
        <f t="array" ref="D344">IFERROR(IF(A344=A343, INDEX('Player Raw Data'!E:E,Match($A344,'Player Raw Data'!$B:$B,0)+2),INDEX('Player Raw Data'!E:E,Match($A344,'Player Raw Data'!$B:$B,0))),"")</f>
        <v/>
      </c>
      <c r="E344" t="str">
        <f t="array" ref="E344">IFERROR(INDEX('Day Range Raw Data'!D:D,Match($A344,'Day Range Raw Data'!$B:$B,0)),"")</f>
        <v/>
      </c>
      <c r="F344" t="str">
        <f t="array" ref="F344">IFERROR(INDEX('Day Range Raw Data'!F:F,Match($A344,'Day Range Raw Data'!$B:$B,0)),"")</f>
        <v/>
      </c>
      <c r="G344" t="str">
        <f t="array" ref="G344">IFERROR(INDEX('Day Range Raw Data'!G:G,Match($A344,'Day Range Raw Data'!$B:$B,0)),"")</f>
        <v/>
      </c>
      <c r="H344" t="str">
        <f t="array" ref="H344">IFERROR(INDEX('Day Range Raw Data'!H:H,Match($A344,'Day Range Raw Data'!$B:$B,0)),"")</f>
        <v/>
      </c>
      <c r="I344" t="str">
        <f t="array" ref="I344">IFERROR(INDEX('Day Range Raw Data'!M:M,Match($A344,'Day Range Raw Data'!$B:$B,0)),"")</f>
        <v/>
      </c>
      <c r="J344" t="str">
        <f t="array" ref="J344">IFERROR(INDEX('Day Range Raw Data'!N:N,Match($A344,'Day Range Raw Data'!$B:$B,0)),"")</f>
        <v/>
      </c>
      <c r="K344" t="str">
        <f t="array" ref="K344">IFERROR(INDEX('Day Range Raw Data'!R:R,Match($A344,'Day Range Raw Data'!$B:$B,0)),"")</f>
        <v/>
      </c>
      <c r="L344" t="str">
        <f t="array" ref="L344">IFERROR(INDEX('Day Range Raw Data'!S:S,Match($A344,'Day Range Raw Data'!$B:$B,0)),"")</f>
        <v/>
      </c>
      <c r="M344" t="str">
        <f t="array" ref="M344">IFERROR(INDEX('Day Range Raw Data'!T:T,Match($A344,'Day Range Raw Data'!$B:$B,0)),"")</f>
        <v/>
      </c>
      <c r="N344" t="str">
        <f t="array" ref="N344">IFERROR(INDEX('Day Range Raw Data'!U:U,Match($A344,'Day Range Raw Data'!$B:$B,0)),"")</f>
        <v/>
      </c>
      <c r="O344" t="str">
        <f t="array" ref="O344">IFERROR(INDEX('Day Range Raw Data'!V:V,Match($A344,'Day Range Raw Data'!$B:$B,0)),"")</f>
        <v/>
      </c>
      <c r="P344" t="str">
        <f t="array" ref="P344">IFERROR(INDEX('Day Range Raw Data'!X:X,Match($A344,'Day Range Raw Data'!$B:$B,0)),"")</f>
        <v/>
      </c>
      <c r="Q344" t="str">
        <f t="shared" si="1"/>
        <v/>
      </c>
      <c r="R344" s="9" t="str">
        <f t="shared" si="2"/>
        <v/>
      </c>
      <c r="S344" s="14" t="str">
        <f t="shared" si="3"/>
        <v/>
      </c>
      <c r="T344" s="15" t="str">
        <f>IFERROR(__xludf.DUMMYFUNCTION("IF($A344="""","""",IFERROR(PERCENTRANK.INC(FILTER(Q:Q,$F:$F&lt;&gt;""""),Q344)*100,""""))"),"")</f>
        <v/>
      </c>
      <c r="U344" s="15" t="str">
        <f>IFERROR(__xludf.DUMMYFUNCTION("IF($A344="""","""",IFERROR(PERCENTRANK.INC(FILTER(R:R,$F:$F&lt;&gt;""""),R344)*100,""""))"),"")</f>
        <v/>
      </c>
      <c r="V344" s="15" t="str">
        <f>IFERROR(__xludf.DUMMYFUNCTION("IF($A344="""","""",IFERROR(PERCENTRANK.INC(FILTER(S:S,$F:$F&lt;&gt;""""),S344)*100,""""))"),"")</f>
        <v/>
      </c>
      <c r="W344" s="15" t="str">
        <f t="shared" si="4"/>
        <v/>
      </c>
    </row>
    <row r="345">
      <c r="B345" t="str">
        <f t="array" ref="B345">IFERROR(INDEX('Player Raw Data'!C:C,Match($A345,'Player Raw Data'!$B:$B,0)),"")</f>
        <v/>
      </c>
      <c r="C345" t="str">
        <f t="array" ref="C345">IFERROR(INDEX('Player Raw Data'!D:D,Match($A345,'Player Raw Data'!$B:$B,0)),"")</f>
        <v/>
      </c>
      <c r="D345" t="str">
        <f t="array" ref="D345">IFERROR(IF(A345=A344, INDEX('Player Raw Data'!E:E,Match($A345,'Player Raw Data'!$B:$B,0)+2),INDEX('Player Raw Data'!E:E,Match($A345,'Player Raw Data'!$B:$B,0))),"")</f>
        <v/>
      </c>
      <c r="E345" t="str">
        <f t="array" ref="E345">IFERROR(INDEX('Day Range Raw Data'!D:D,Match($A345,'Day Range Raw Data'!$B:$B,0)),"")</f>
        <v/>
      </c>
      <c r="F345" t="str">
        <f t="array" ref="F345">IFERROR(INDEX('Day Range Raw Data'!F:F,Match($A345,'Day Range Raw Data'!$B:$B,0)),"")</f>
        <v/>
      </c>
      <c r="G345" t="str">
        <f t="array" ref="G345">IFERROR(INDEX('Day Range Raw Data'!G:G,Match($A345,'Day Range Raw Data'!$B:$B,0)),"")</f>
        <v/>
      </c>
      <c r="H345" t="str">
        <f t="array" ref="H345">IFERROR(INDEX('Day Range Raw Data'!H:H,Match($A345,'Day Range Raw Data'!$B:$B,0)),"")</f>
        <v/>
      </c>
      <c r="I345" t="str">
        <f t="array" ref="I345">IFERROR(INDEX('Day Range Raw Data'!M:M,Match($A345,'Day Range Raw Data'!$B:$B,0)),"")</f>
        <v/>
      </c>
      <c r="J345" t="str">
        <f t="array" ref="J345">IFERROR(INDEX('Day Range Raw Data'!N:N,Match($A345,'Day Range Raw Data'!$B:$B,0)),"")</f>
        <v/>
      </c>
      <c r="K345" t="str">
        <f t="array" ref="K345">IFERROR(INDEX('Day Range Raw Data'!R:R,Match($A345,'Day Range Raw Data'!$B:$B,0)),"")</f>
        <v/>
      </c>
      <c r="L345" t="str">
        <f t="array" ref="L345">IFERROR(INDEX('Day Range Raw Data'!S:S,Match($A345,'Day Range Raw Data'!$B:$B,0)),"")</f>
        <v/>
      </c>
      <c r="M345" t="str">
        <f t="array" ref="M345">IFERROR(INDEX('Day Range Raw Data'!T:T,Match($A345,'Day Range Raw Data'!$B:$B,0)),"")</f>
        <v/>
      </c>
      <c r="N345" t="str">
        <f t="array" ref="N345">IFERROR(INDEX('Day Range Raw Data'!U:U,Match($A345,'Day Range Raw Data'!$B:$B,0)),"")</f>
        <v/>
      </c>
      <c r="O345" t="str">
        <f t="array" ref="O345">IFERROR(INDEX('Day Range Raw Data'!V:V,Match($A345,'Day Range Raw Data'!$B:$B,0)),"")</f>
        <v/>
      </c>
      <c r="P345" t="str">
        <f t="array" ref="P345">IFERROR(INDEX('Day Range Raw Data'!X:X,Match($A345,'Day Range Raw Data'!$B:$B,0)),"")</f>
        <v/>
      </c>
      <c r="Q345" t="str">
        <f t="shared" si="1"/>
        <v/>
      </c>
      <c r="R345" s="9" t="str">
        <f t="shared" si="2"/>
        <v/>
      </c>
      <c r="S345" s="14" t="str">
        <f t="shared" si="3"/>
        <v/>
      </c>
      <c r="T345" s="15" t="str">
        <f>IFERROR(__xludf.DUMMYFUNCTION("IF($A345="""","""",IFERROR(PERCENTRANK.INC(FILTER(Q:Q,$F:$F&lt;&gt;""""),Q345)*100,""""))"),"")</f>
        <v/>
      </c>
      <c r="U345" s="15" t="str">
        <f>IFERROR(__xludf.DUMMYFUNCTION("IF($A345="""","""",IFERROR(PERCENTRANK.INC(FILTER(R:R,$F:$F&lt;&gt;""""),R345)*100,""""))"),"")</f>
        <v/>
      </c>
      <c r="V345" s="15" t="str">
        <f>IFERROR(__xludf.DUMMYFUNCTION("IF($A345="""","""",IFERROR(PERCENTRANK.INC(FILTER(S:S,$F:$F&lt;&gt;""""),S345)*100,""""))"),"")</f>
        <v/>
      </c>
      <c r="W345" s="15" t="str">
        <f t="shared" si="4"/>
        <v/>
      </c>
    </row>
    <row r="346">
      <c r="B346" t="str">
        <f t="array" ref="B346">IFERROR(INDEX('Player Raw Data'!C:C,Match($A346,'Player Raw Data'!$B:$B,0)),"")</f>
        <v/>
      </c>
      <c r="C346" t="str">
        <f t="array" ref="C346">IFERROR(INDEX('Player Raw Data'!D:D,Match($A346,'Player Raw Data'!$B:$B,0)),"")</f>
        <v/>
      </c>
      <c r="D346" t="str">
        <f t="array" ref="D346">IFERROR(IF(A346=A345, INDEX('Player Raw Data'!E:E,Match($A346,'Player Raw Data'!$B:$B,0)+2),INDEX('Player Raw Data'!E:E,Match($A346,'Player Raw Data'!$B:$B,0))),"")</f>
        <v/>
      </c>
      <c r="E346" t="str">
        <f t="array" ref="E346">IFERROR(INDEX('Day Range Raw Data'!D:D,Match($A346,'Day Range Raw Data'!$B:$B,0)),"")</f>
        <v/>
      </c>
      <c r="F346" t="str">
        <f t="array" ref="F346">IFERROR(INDEX('Day Range Raw Data'!F:F,Match($A346,'Day Range Raw Data'!$B:$B,0)),"")</f>
        <v/>
      </c>
      <c r="G346" t="str">
        <f t="array" ref="G346">IFERROR(INDEX('Day Range Raw Data'!G:G,Match($A346,'Day Range Raw Data'!$B:$B,0)),"")</f>
        <v/>
      </c>
      <c r="H346" t="str">
        <f t="array" ref="H346">IFERROR(INDEX('Day Range Raw Data'!H:H,Match($A346,'Day Range Raw Data'!$B:$B,0)),"")</f>
        <v/>
      </c>
      <c r="I346" t="str">
        <f t="array" ref="I346">IFERROR(INDEX('Day Range Raw Data'!M:M,Match($A346,'Day Range Raw Data'!$B:$B,0)),"")</f>
        <v/>
      </c>
      <c r="J346" t="str">
        <f t="array" ref="J346">IFERROR(INDEX('Day Range Raw Data'!N:N,Match($A346,'Day Range Raw Data'!$B:$B,0)),"")</f>
        <v/>
      </c>
      <c r="K346" t="str">
        <f t="array" ref="K346">IFERROR(INDEX('Day Range Raw Data'!R:R,Match($A346,'Day Range Raw Data'!$B:$B,0)),"")</f>
        <v/>
      </c>
      <c r="L346" t="str">
        <f t="array" ref="L346">IFERROR(INDEX('Day Range Raw Data'!S:S,Match($A346,'Day Range Raw Data'!$B:$B,0)),"")</f>
        <v/>
      </c>
      <c r="M346" t="str">
        <f t="array" ref="M346">IFERROR(INDEX('Day Range Raw Data'!T:T,Match($A346,'Day Range Raw Data'!$B:$B,0)),"")</f>
        <v/>
      </c>
      <c r="N346" t="str">
        <f t="array" ref="N346">IFERROR(INDEX('Day Range Raw Data'!U:U,Match($A346,'Day Range Raw Data'!$B:$B,0)),"")</f>
        <v/>
      </c>
      <c r="O346" t="str">
        <f t="array" ref="O346">IFERROR(INDEX('Day Range Raw Data'!V:V,Match($A346,'Day Range Raw Data'!$B:$B,0)),"")</f>
        <v/>
      </c>
      <c r="P346" t="str">
        <f t="array" ref="P346">IFERROR(INDEX('Day Range Raw Data'!X:X,Match($A346,'Day Range Raw Data'!$B:$B,0)),"")</f>
        <v/>
      </c>
      <c r="Q346" t="str">
        <f t="shared" si="1"/>
        <v/>
      </c>
      <c r="R346" s="9" t="str">
        <f t="shared" si="2"/>
        <v/>
      </c>
      <c r="S346" s="14" t="str">
        <f t="shared" si="3"/>
        <v/>
      </c>
      <c r="T346" s="15" t="str">
        <f>IFERROR(__xludf.DUMMYFUNCTION("IF($A346="""","""",IFERROR(PERCENTRANK.INC(FILTER(Q:Q,$F:$F&lt;&gt;""""),Q346)*100,""""))"),"")</f>
        <v/>
      </c>
      <c r="U346" s="15" t="str">
        <f>IFERROR(__xludf.DUMMYFUNCTION("IF($A346="""","""",IFERROR(PERCENTRANK.INC(FILTER(R:R,$F:$F&lt;&gt;""""),R346)*100,""""))"),"")</f>
        <v/>
      </c>
      <c r="V346" s="15" t="str">
        <f>IFERROR(__xludf.DUMMYFUNCTION("IF($A346="""","""",IFERROR(PERCENTRANK.INC(FILTER(S:S,$F:$F&lt;&gt;""""),S346)*100,""""))"),"")</f>
        <v/>
      </c>
      <c r="W346" s="15" t="str">
        <f t="shared" si="4"/>
        <v/>
      </c>
    </row>
    <row r="347">
      <c r="B347" t="str">
        <f t="array" ref="B347">IFERROR(INDEX('Player Raw Data'!C:C,Match($A347,'Player Raw Data'!$B:$B,0)),"")</f>
        <v/>
      </c>
      <c r="C347" t="str">
        <f t="array" ref="C347">IFERROR(INDEX('Player Raw Data'!D:D,Match($A347,'Player Raw Data'!$B:$B,0)),"")</f>
        <v/>
      </c>
      <c r="D347" t="str">
        <f t="array" ref="D347">IFERROR(IF(A347=A346, INDEX('Player Raw Data'!E:E,Match($A347,'Player Raw Data'!$B:$B,0)+2),INDEX('Player Raw Data'!E:E,Match($A347,'Player Raw Data'!$B:$B,0))),"")</f>
        <v/>
      </c>
      <c r="E347" t="str">
        <f t="array" ref="E347">IFERROR(INDEX('Day Range Raw Data'!D:D,Match($A347,'Day Range Raw Data'!$B:$B,0)),"")</f>
        <v/>
      </c>
      <c r="F347" t="str">
        <f t="array" ref="F347">IFERROR(INDEX('Day Range Raw Data'!F:F,Match($A347,'Day Range Raw Data'!$B:$B,0)),"")</f>
        <v/>
      </c>
      <c r="G347" t="str">
        <f t="array" ref="G347">IFERROR(INDEX('Day Range Raw Data'!G:G,Match($A347,'Day Range Raw Data'!$B:$B,0)),"")</f>
        <v/>
      </c>
      <c r="H347" t="str">
        <f t="array" ref="H347">IFERROR(INDEX('Day Range Raw Data'!H:H,Match($A347,'Day Range Raw Data'!$B:$B,0)),"")</f>
        <v/>
      </c>
      <c r="I347" t="str">
        <f t="array" ref="I347">IFERROR(INDEX('Day Range Raw Data'!M:M,Match($A347,'Day Range Raw Data'!$B:$B,0)),"")</f>
        <v/>
      </c>
      <c r="J347" t="str">
        <f t="array" ref="J347">IFERROR(INDEX('Day Range Raw Data'!N:N,Match($A347,'Day Range Raw Data'!$B:$B,0)),"")</f>
        <v/>
      </c>
      <c r="K347" t="str">
        <f t="array" ref="K347">IFERROR(INDEX('Day Range Raw Data'!R:R,Match($A347,'Day Range Raw Data'!$B:$B,0)),"")</f>
        <v/>
      </c>
      <c r="L347" t="str">
        <f t="array" ref="L347">IFERROR(INDEX('Day Range Raw Data'!S:S,Match($A347,'Day Range Raw Data'!$B:$B,0)),"")</f>
        <v/>
      </c>
      <c r="M347" t="str">
        <f t="array" ref="M347">IFERROR(INDEX('Day Range Raw Data'!T:T,Match($A347,'Day Range Raw Data'!$B:$B,0)),"")</f>
        <v/>
      </c>
      <c r="N347" t="str">
        <f t="array" ref="N347">IFERROR(INDEX('Day Range Raw Data'!U:U,Match($A347,'Day Range Raw Data'!$B:$B,0)),"")</f>
        <v/>
      </c>
      <c r="O347" t="str">
        <f t="array" ref="O347">IFERROR(INDEX('Day Range Raw Data'!V:V,Match($A347,'Day Range Raw Data'!$B:$B,0)),"")</f>
        <v/>
      </c>
      <c r="P347" t="str">
        <f t="array" ref="P347">IFERROR(INDEX('Day Range Raw Data'!X:X,Match($A347,'Day Range Raw Data'!$B:$B,0)),"")</f>
        <v/>
      </c>
      <c r="Q347" t="str">
        <f t="shared" si="1"/>
        <v/>
      </c>
      <c r="R347" s="9" t="str">
        <f t="shared" si="2"/>
        <v/>
      </c>
      <c r="S347" s="14" t="str">
        <f t="shared" si="3"/>
        <v/>
      </c>
      <c r="T347" s="15" t="str">
        <f>IFERROR(__xludf.DUMMYFUNCTION("IF($A347="""","""",IFERROR(PERCENTRANK.INC(FILTER(Q:Q,$F:$F&lt;&gt;""""),Q347)*100,""""))"),"")</f>
        <v/>
      </c>
      <c r="U347" s="15" t="str">
        <f>IFERROR(__xludf.DUMMYFUNCTION("IF($A347="""","""",IFERROR(PERCENTRANK.INC(FILTER(R:R,$F:$F&lt;&gt;""""),R347)*100,""""))"),"")</f>
        <v/>
      </c>
      <c r="V347" s="15" t="str">
        <f>IFERROR(__xludf.DUMMYFUNCTION("IF($A347="""","""",IFERROR(PERCENTRANK.INC(FILTER(S:S,$F:$F&lt;&gt;""""),S347)*100,""""))"),"")</f>
        <v/>
      </c>
      <c r="W347" s="15" t="str">
        <f t="shared" si="4"/>
        <v/>
      </c>
    </row>
    <row r="348">
      <c r="B348" t="str">
        <f t="array" ref="B348">IFERROR(INDEX('Player Raw Data'!C:C,Match($A348,'Player Raw Data'!$B:$B,0)),"")</f>
        <v/>
      </c>
      <c r="C348" t="str">
        <f t="array" ref="C348">IFERROR(INDEX('Player Raw Data'!D:D,Match($A348,'Player Raw Data'!$B:$B,0)),"")</f>
        <v/>
      </c>
      <c r="D348" t="str">
        <f t="array" ref="D348">IFERROR(IF(A348=A347, INDEX('Player Raw Data'!E:E,Match($A348,'Player Raw Data'!$B:$B,0)+2),INDEX('Player Raw Data'!E:E,Match($A348,'Player Raw Data'!$B:$B,0))),"")</f>
        <v/>
      </c>
      <c r="E348" t="str">
        <f t="array" ref="E348">IFERROR(INDEX('Day Range Raw Data'!D:D,Match($A348,'Day Range Raw Data'!$B:$B,0)),"")</f>
        <v/>
      </c>
      <c r="F348" t="str">
        <f t="array" ref="F348">IFERROR(INDEX('Day Range Raw Data'!F:F,Match($A348,'Day Range Raw Data'!$B:$B,0)),"")</f>
        <v/>
      </c>
      <c r="G348" t="str">
        <f t="array" ref="G348">IFERROR(INDEX('Day Range Raw Data'!G:G,Match($A348,'Day Range Raw Data'!$B:$B,0)),"")</f>
        <v/>
      </c>
      <c r="H348" t="str">
        <f t="array" ref="H348">IFERROR(INDEX('Day Range Raw Data'!H:H,Match($A348,'Day Range Raw Data'!$B:$B,0)),"")</f>
        <v/>
      </c>
      <c r="I348" t="str">
        <f t="array" ref="I348">IFERROR(INDEX('Day Range Raw Data'!M:M,Match($A348,'Day Range Raw Data'!$B:$B,0)),"")</f>
        <v/>
      </c>
      <c r="J348" t="str">
        <f t="array" ref="J348">IFERROR(INDEX('Day Range Raw Data'!N:N,Match($A348,'Day Range Raw Data'!$B:$B,0)),"")</f>
        <v/>
      </c>
      <c r="K348" t="str">
        <f t="array" ref="K348">IFERROR(INDEX('Day Range Raw Data'!R:R,Match($A348,'Day Range Raw Data'!$B:$B,0)),"")</f>
        <v/>
      </c>
      <c r="L348" t="str">
        <f t="array" ref="L348">IFERROR(INDEX('Day Range Raw Data'!S:S,Match($A348,'Day Range Raw Data'!$B:$B,0)),"")</f>
        <v/>
      </c>
      <c r="M348" t="str">
        <f t="array" ref="M348">IFERROR(INDEX('Day Range Raw Data'!T:T,Match($A348,'Day Range Raw Data'!$B:$B,0)),"")</f>
        <v/>
      </c>
      <c r="N348" t="str">
        <f t="array" ref="N348">IFERROR(INDEX('Day Range Raw Data'!U:U,Match($A348,'Day Range Raw Data'!$B:$B,0)),"")</f>
        <v/>
      </c>
      <c r="O348" t="str">
        <f t="array" ref="O348">IFERROR(INDEX('Day Range Raw Data'!V:V,Match($A348,'Day Range Raw Data'!$B:$B,0)),"")</f>
        <v/>
      </c>
      <c r="P348" t="str">
        <f t="array" ref="P348">IFERROR(INDEX('Day Range Raw Data'!X:X,Match($A348,'Day Range Raw Data'!$B:$B,0)),"")</f>
        <v/>
      </c>
      <c r="Q348" t="str">
        <f t="shared" si="1"/>
        <v/>
      </c>
      <c r="R348" s="9" t="str">
        <f t="shared" si="2"/>
        <v/>
      </c>
      <c r="S348" s="14" t="str">
        <f t="shared" si="3"/>
        <v/>
      </c>
      <c r="T348" s="15" t="str">
        <f>IFERROR(__xludf.DUMMYFUNCTION("IF($A348="""","""",IFERROR(PERCENTRANK.INC(FILTER(Q:Q,$F:$F&lt;&gt;""""),Q348)*100,""""))"),"")</f>
        <v/>
      </c>
      <c r="U348" s="15" t="str">
        <f>IFERROR(__xludf.DUMMYFUNCTION("IF($A348="""","""",IFERROR(PERCENTRANK.INC(FILTER(R:R,$F:$F&lt;&gt;""""),R348)*100,""""))"),"")</f>
        <v/>
      </c>
      <c r="V348" s="15" t="str">
        <f>IFERROR(__xludf.DUMMYFUNCTION("IF($A348="""","""",IFERROR(PERCENTRANK.INC(FILTER(S:S,$F:$F&lt;&gt;""""),S348)*100,""""))"),"")</f>
        <v/>
      </c>
      <c r="W348" s="15" t="str">
        <f t="shared" si="4"/>
        <v/>
      </c>
    </row>
    <row r="349">
      <c r="B349" t="str">
        <f t="array" ref="B349">IFERROR(INDEX('Player Raw Data'!C:C,Match($A349,'Player Raw Data'!$B:$B,0)),"")</f>
        <v/>
      </c>
      <c r="C349" t="str">
        <f t="array" ref="C349">IFERROR(INDEX('Player Raw Data'!D:D,Match($A349,'Player Raw Data'!$B:$B,0)),"")</f>
        <v/>
      </c>
      <c r="D349" t="str">
        <f t="array" ref="D349">IFERROR(IF(A349=A348, INDEX('Player Raw Data'!E:E,Match($A349,'Player Raw Data'!$B:$B,0)+2),INDEX('Player Raw Data'!E:E,Match($A349,'Player Raw Data'!$B:$B,0))),"")</f>
        <v/>
      </c>
      <c r="E349" t="str">
        <f t="array" ref="E349">IFERROR(INDEX('Day Range Raw Data'!D:D,Match($A349,'Day Range Raw Data'!$B:$B,0)),"")</f>
        <v/>
      </c>
      <c r="F349" t="str">
        <f t="array" ref="F349">IFERROR(INDEX('Day Range Raw Data'!F:F,Match($A349,'Day Range Raw Data'!$B:$B,0)),"")</f>
        <v/>
      </c>
      <c r="G349" t="str">
        <f t="array" ref="G349">IFERROR(INDEX('Day Range Raw Data'!G:G,Match($A349,'Day Range Raw Data'!$B:$B,0)),"")</f>
        <v/>
      </c>
      <c r="H349" t="str">
        <f t="array" ref="H349">IFERROR(INDEX('Day Range Raw Data'!H:H,Match($A349,'Day Range Raw Data'!$B:$B,0)),"")</f>
        <v/>
      </c>
      <c r="I349" t="str">
        <f t="array" ref="I349">IFERROR(INDEX('Day Range Raw Data'!M:M,Match($A349,'Day Range Raw Data'!$B:$B,0)),"")</f>
        <v/>
      </c>
      <c r="J349" t="str">
        <f t="array" ref="J349">IFERROR(INDEX('Day Range Raw Data'!N:N,Match($A349,'Day Range Raw Data'!$B:$B,0)),"")</f>
        <v/>
      </c>
      <c r="K349" t="str">
        <f t="array" ref="K349">IFERROR(INDEX('Day Range Raw Data'!R:R,Match($A349,'Day Range Raw Data'!$B:$B,0)),"")</f>
        <v/>
      </c>
      <c r="L349" t="str">
        <f t="array" ref="L349">IFERROR(INDEX('Day Range Raw Data'!S:S,Match($A349,'Day Range Raw Data'!$B:$B,0)),"")</f>
        <v/>
      </c>
      <c r="M349" t="str">
        <f t="array" ref="M349">IFERROR(INDEX('Day Range Raw Data'!T:T,Match($A349,'Day Range Raw Data'!$B:$B,0)),"")</f>
        <v/>
      </c>
      <c r="N349" t="str">
        <f t="array" ref="N349">IFERROR(INDEX('Day Range Raw Data'!U:U,Match($A349,'Day Range Raw Data'!$B:$B,0)),"")</f>
        <v/>
      </c>
      <c r="O349" t="str">
        <f t="array" ref="O349">IFERROR(INDEX('Day Range Raw Data'!V:V,Match($A349,'Day Range Raw Data'!$B:$B,0)),"")</f>
        <v/>
      </c>
      <c r="P349" t="str">
        <f t="array" ref="P349">IFERROR(INDEX('Day Range Raw Data'!X:X,Match($A349,'Day Range Raw Data'!$B:$B,0)),"")</f>
        <v/>
      </c>
      <c r="Q349" t="str">
        <f t="shared" si="1"/>
        <v/>
      </c>
      <c r="R349" s="9" t="str">
        <f t="shared" si="2"/>
        <v/>
      </c>
      <c r="S349" s="14" t="str">
        <f t="shared" si="3"/>
        <v/>
      </c>
      <c r="T349" s="15" t="str">
        <f>IFERROR(__xludf.DUMMYFUNCTION("IF($A349="""","""",IFERROR(PERCENTRANK.INC(FILTER(Q:Q,$F:$F&lt;&gt;""""),Q349)*100,""""))"),"")</f>
        <v/>
      </c>
      <c r="U349" s="15" t="str">
        <f>IFERROR(__xludf.DUMMYFUNCTION("IF($A349="""","""",IFERROR(PERCENTRANK.INC(FILTER(R:R,$F:$F&lt;&gt;""""),R349)*100,""""))"),"")</f>
        <v/>
      </c>
      <c r="V349" s="15" t="str">
        <f>IFERROR(__xludf.DUMMYFUNCTION("IF($A349="""","""",IFERROR(PERCENTRANK.INC(FILTER(S:S,$F:$F&lt;&gt;""""),S349)*100,""""))"),"")</f>
        <v/>
      </c>
      <c r="W349" s="15" t="str">
        <f t="shared" si="4"/>
        <v/>
      </c>
    </row>
    <row r="350">
      <c r="B350" t="str">
        <f t="array" ref="B350">IFERROR(INDEX('Player Raw Data'!C:C,Match($A350,'Player Raw Data'!$B:$B,0)),"")</f>
        <v/>
      </c>
      <c r="C350" t="str">
        <f t="array" ref="C350">IFERROR(INDEX('Player Raw Data'!D:D,Match($A350,'Player Raw Data'!$B:$B,0)),"")</f>
        <v/>
      </c>
      <c r="D350" t="str">
        <f t="array" ref="D350">IFERROR(IF(A350=A349, INDEX('Player Raw Data'!E:E,Match($A350,'Player Raw Data'!$B:$B,0)+2),INDEX('Player Raw Data'!E:E,Match($A350,'Player Raw Data'!$B:$B,0))),"")</f>
        <v/>
      </c>
      <c r="E350" t="str">
        <f t="array" ref="E350">IFERROR(INDEX('Day Range Raw Data'!D:D,Match($A350,'Day Range Raw Data'!$B:$B,0)),"")</f>
        <v/>
      </c>
      <c r="F350" t="str">
        <f t="array" ref="F350">IFERROR(INDEX('Day Range Raw Data'!F:F,Match($A350,'Day Range Raw Data'!$B:$B,0)),"")</f>
        <v/>
      </c>
      <c r="G350" t="str">
        <f t="array" ref="G350">IFERROR(INDEX('Day Range Raw Data'!G:G,Match($A350,'Day Range Raw Data'!$B:$B,0)),"")</f>
        <v/>
      </c>
      <c r="H350" t="str">
        <f t="array" ref="H350">IFERROR(INDEX('Day Range Raw Data'!H:H,Match($A350,'Day Range Raw Data'!$B:$B,0)),"")</f>
        <v/>
      </c>
      <c r="I350" t="str">
        <f t="array" ref="I350">IFERROR(INDEX('Day Range Raw Data'!M:M,Match($A350,'Day Range Raw Data'!$B:$B,0)),"")</f>
        <v/>
      </c>
      <c r="J350" t="str">
        <f t="array" ref="J350">IFERROR(INDEX('Day Range Raw Data'!N:N,Match($A350,'Day Range Raw Data'!$B:$B,0)),"")</f>
        <v/>
      </c>
      <c r="K350" t="str">
        <f t="array" ref="K350">IFERROR(INDEX('Day Range Raw Data'!R:R,Match($A350,'Day Range Raw Data'!$B:$B,0)),"")</f>
        <v/>
      </c>
      <c r="L350" t="str">
        <f t="array" ref="L350">IFERROR(INDEX('Day Range Raw Data'!S:S,Match($A350,'Day Range Raw Data'!$B:$B,0)),"")</f>
        <v/>
      </c>
      <c r="M350" t="str">
        <f t="array" ref="M350">IFERROR(INDEX('Day Range Raw Data'!T:T,Match($A350,'Day Range Raw Data'!$B:$B,0)),"")</f>
        <v/>
      </c>
      <c r="N350" t="str">
        <f t="array" ref="N350">IFERROR(INDEX('Day Range Raw Data'!U:U,Match($A350,'Day Range Raw Data'!$B:$B,0)),"")</f>
        <v/>
      </c>
      <c r="O350" t="str">
        <f t="array" ref="O350">IFERROR(INDEX('Day Range Raw Data'!V:V,Match($A350,'Day Range Raw Data'!$B:$B,0)),"")</f>
        <v/>
      </c>
      <c r="P350" t="str">
        <f t="array" ref="P350">IFERROR(INDEX('Day Range Raw Data'!X:X,Match($A350,'Day Range Raw Data'!$B:$B,0)),"")</f>
        <v/>
      </c>
      <c r="Q350" t="str">
        <f t="shared" si="1"/>
        <v/>
      </c>
      <c r="R350" s="9" t="str">
        <f t="shared" si="2"/>
        <v/>
      </c>
      <c r="S350" s="14" t="str">
        <f t="shared" si="3"/>
        <v/>
      </c>
      <c r="T350" s="15" t="str">
        <f>IFERROR(__xludf.DUMMYFUNCTION("IF($A350="""","""",IFERROR(PERCENTRANK.INC(FILTER(Q:Q,$F:$F&lt;&gt;""""),Q350)*100,""""))"),"")</f>
        <v/>
      </c>
      <c r="U350" s="15" t="str">
        <f>IFERROR(__xludf.DUMMYFUNCTION("IF($A350="""","""",IFERROR(PERCENTRANK.INC(FILTER(R:R,$F:$F&lt;&gt;""""),R350)*100,""""))"),"")</f>
        <v/>
      </c>
      <c r="V350" s="15" t="str">
        <f>IFERROR(__xludf.DUMMYFUNCTION("IF($A350="""","""",IFERROR(PERCENTRANK.INC(FILTER(S:S,$F:$F&lt;&gt;""""),S350)*100,""""))"),"")</f>
        <v/>
      </c>
      <c r="W350" s="15" t="str">
        <f t="shared" si="4"/>
        <v/>
      </c>
    </row>
    <row r="351">
      <c r="B351" t="str">
        <f t="array" ref="B351">IFERROR(INDEX('Player Raw Data'!C:C,Match($A351,'Player Raw Data'!$B:$B,0)),"")</f>
        <v/>
      </c>
      <c r="C351" t="str">
        <f t="array" ref="C351">IFERROR(INDEX('Player Raw Data'!D:D,Match($A351,'Player Raw Data'!$B:$B,0)),"")</f>
        <v/>
      </c>
      <c r="D351" t="str">
        <f t="array" ref="D351">IFERROR(IF(A351=A350, INDEX('Player Raw Data'!E:E,Match($A351,'Player Raw Data'!$B:$B,0)+2),INDEX('Player Raw Data'!E:E,Match($A351,'Player Raw Data'!$B:$B,0))),"")</f>
        <v/>
      </c>
      <c r="E351" t="str">
        <f t="array" ref="E351">IFERROR(INDEX('Day Range Raw Data'!D:D,Match($A351,'Day Range Raw Data'!$B:$B,0)),"")</f>
        <v/>
      </c>
      <c r="F351" t="str">
        <f t="array" ref="F351">IFERROR(INDEX('Day Range Raw Data'!F:F,Match($A351,'Day Range Raw Data'!$B:$B,0)),"")</f>
        <v/>
      </c>
      <c r="G351" t="str">
        <f t="array" ref="G351">IFERROR(INDEX('Day Range Raw Data'!G:G,Match($A351,'Day Range Raw Data'!$B:$B,0)),"")</f>
        <v/>
      </c>
      <c r="H351" t="str">
        <f t="array" ref="H351">IFERROR(INDEX('Day Range Raw Data'!H:H,Match($A351,'Day Range Raw Data'!$B:$B,0)),"")</f>
        <v/>
      </c>
      <c r="I351" t="str">
        <f t="array" ref="I351">IFERROR(INDEX('Day Range Raw Data'!M:M,Match($A351,'Day Range Raw Data'!$B:$B,0)),"")</f>
        <v/>
      </c>
      <c r="J351" t="str">
        <f t="array" ref="J351">IFERROR(INDEX('Day Range Raw Data'!N:N,Match($A351,'Day Range Raw Data'!$B:$B,0)),"")</f>
        <v/>
      </c>
      <c r="K351" t="str">
        <f t="array" ref="K351">IFERROR(INDEX('Day Range Raw Data'!R:R,Match($A351,'Day Range Raw Data'!$B:$B,0)),"")</f>
        <v/>
      </c>
      <c r="L351" t="str">
        <f t="array" ref="L351">IFERROR(INDEX('Day Range Raw Data'!S:S,Match($A351,'Day Range Raw Data'!$B:$B,0)),"")</f>
        <v/>
      </c>
      <c r="M351" t="str">
        <f t="array" ref="M351">IFERROR(INDEX('Day Range Raw Data'!T:T,Match($A351,'Day Range Raw Data'!$B:$B,0)),"")</f>
        <v/>
      </c>
      <c r="N351" t="str">
        <f t="array" ref="N351">IFERROR(INDEX('Day Range Raw Data'!U:U,Match($A351,'Day Range Raw Data'!$B:$B,0)),"")</f>
        <v/>
      </c>
      <c r="O351" t="str">
        <f t="array" ref="O351">IFERROR(INDEX('Day Range Raw Data'!V:V,Match($A351,'Day Range Raw Data'!$B:$B,0)),"")</f>
        <v/>
      </c>
      <c r="P351" t="str">
        <f t="array" ref="P351">IFERROR(INDEX('Day Range Raw Data'!X:X,Match($A351,'Day Range Raw Data'!$B:$B,0)),"")</f>
        <v/>
      </c>
      <c r="Q351" t="str">
        <f t="shared" si="1"/>
        <v/>
      </c>
      <c r="R351" s="9" t="str">
        <f t="shared" si="2"/>
        <v/>
      </c>
      <c r="S351" s="14" t="str">
        <f t="shared" si="3"/>
        <v/>
      </c>
      <c r="T351" s="15" t="str">
        <f>IFERROR(__xludf.DUMMYFUNCTION("IF($A351="""","""",IFERROR(PERCENTRANK.INC(FILTER(Q:Q,$F:$F&lt;&gt;""""),Q351)*100,""""))"),"")</f>
        <v/>
      </c>
      <c r="U351" s="15" t="str">
        <f>IFERROR(__xludf.DUMMYFUNCTION("IF($A351="""","""",IFERROR(PERCENTRANK.INC(FILTER(R:R,$F:$F&lt;&gt;""""),R351)*100,""""))"),"")</f>
        <v/>
      </c>
      <c r="V351" s="15" t="str">
        <f>IFERROR(__xludf.DUMMYFUNCTION("IF($A351="""","""",IFERROR(PERCENTRANK.INC(FILTER(S:S,$F:$F&lt;&gt;""""),S351)*100,""""))"),"")</f>
        <v/>
      </c>
      <c r="W351" s="15" t="str">
        <f t="shared" si="4"/>
        <v/>
      </c>
    </row>
    <row r="352">
      <c r="B352" t="str">
        <f t="array" ref="B352">IFERROR(INDEX('Player Raw Data'!C:C,Match($A352,'Player Raw Data'!$B:$B,0)),"")</f>
        <v/>
      </c>
      <c r="C352" t="str">
        <f t="array" ref="C352">IFERROR(INDEX('Player Raw Data'!D:D,Match($A352,'Player Raw Data'!$B:$B,0)),"")</f>
        <v/>
      </c>
      <c r="D352" t="str">
        <f t="array" ref="D352">IFERROR(IF(A352=A351, INDEX('Player Raw Data'!E:E,Match($A352,'Player Raw Data'!$B:$B,0)+2),INDEX('Player Raw Data'!E:E,Match($A352,'Player Raw Data'!$B:$B,0))),"")</f>
        <v/>
      </c>
      <c r="E352" t="str">
        <f t="array" ref="E352">IFERROR(INDEX('Day Range Raw Data'!D:D,Match($A352,'Day Range Raw Data'!$B:$B,0)),"")</f>
        <v/>
      </c>
      <c r="F352" t="str">
        <f t="array" ref="F352">IFERROR(INDEX('Day Range Raw Data'!F:F,Match($A352,'Day Range Raw Data'!$B:$B,0)),"")</f>
        <v/>
      </c>
      <c r="G352" t="str">
        <f t="array" ref="G352">IFERROR(INDEX('Day Range Raw Data'!G:G,Match($A352,'Day Range Raw Data'!$B:$B,0)),"")</f>
        <v/>
      </c>
      <c r="H352" t="str">
        <f t="array" ref="H352">IFERROR(INDEX('Day Range Raw Data'!H:H,Match($A352,'Day Range Raw Data'!$B:$B,0)),"")</f>
        <v/>
      </c>
      <c r="I352" t="str">
        <f t="array" ref="I352">IFERROR(INDEX('Day Range Raw Data'!M:M,Match($A352,'Day Range Raw Data'!$B:$B,0)),"")</f>
        <v/>
      </c>
      <c r="J352" t="str">
        <f t="array" ref="J352">IFERROR(INDEX('Day Range Raw Data'!N:N,Match($A352,'Day Range Raw Data'!$B:$B,0)),"")</f>
        <v/>
      </c>
      <c r="K352" t="str">
        <f t="array" ref="K352">IFERROR(INDEX('Day Range Raw Data'!R:R,Match($A352,'Day Range Raw Data'!$B:$B,0)),"")</f>
        <v/>
      </c>
      <c r="L352" t="str">
        <f t="array" ref="L352">IFERROR(INDEX('Day Range Raw Data'!S:S,Match($A352,'Day Range Raw Data'!$B:$B,0)),"")</f>
        <v/>
      </c>
      <c r="M352" t="str">
        <f t="array" ref="M352">IFERROR(INDEX('Day Range Raw Data'!T:T,Match($A352,'Day Range Raw Data'!$B:$B,0)),"")</f>
        <v/>
      </c>
      <c r="N352" t="str">
        <f t="array" ref="N352">IFERROR(INDEX('Day Range Raw Data'!U:U,Match($A352,'Day Range Raw Data'!$B:$B,0)),"")</f>
        <v/>
      </c>
      <c r="O352" t="str">
        <f t="array" ref="O352">IFERROR(INDEX('Day Range Raw Data'!V:V,Match($A352,'Day Range Raw Data'!$B:$B,0)),"")</f>
        <v/>
      </c>
      <c r="P352" t="str">
        <f t="array" ref="P352">IFERROR(INDEX('Day Range Raw Data'!X:X,Match($A352,'Day Range Raw Data'!$B:$B,0)),"")</f>
        <v/>
      </c>
      <c r="Q352" t="str">
        <f t="shared" si="1"/>
        <v/>
      </c>
      <c r="R352" s="9" t="str">
        <f t="shared" si="2"/>
        <v/>
      </c>
      <c r="S352" s="14" t="str">
        <f t="shared" si="3"/>
        <v/>
      </c>
      <c r="T352" s="15" t="str">
        <f>IFERROR(__xludf.DUMMYFUNCTION("IF($A352="""","""",IFERROR(PERCENTRANK.INC(FILTER(Q:Q,$F:$F&lt;&gt;""""),Q352)*100,""""))"),"")</f>
        <v/>
      </c>
      <c r="U352" s="15" t="str">
        <f>IFERROR(__xludf.DUMMYFUNCTION("IF($A352="""","""",IFERROR(PERCENTRANK.INC(FILTER(R:R,$F:$F&lt;&gt;""""),R352)*100,""""))"),"")</f>
        <v/>
      </c>
      <c r="V352" s="15" t="str">
        <f>IFERROR(__xludf.DUMMYFUNCTION("IF($A352="""","""",IFERROR(PERCENTRANK.INC(FILTER(S:S,$F:$F&lt;&gt;""""),S352)*100,""""))"),"")</f>
        <v/>
      </c>
      <c r="W352" s="15" t="str">
        <f t="shared" si="4"/>
        <v/>
      </c>
    </row>
    <row r="353">
      <c r="B353" t="str">
        <f t="array" ref="B353">IFERROR(INDEX('Player Raw Data'!C:C,Match($A353,'Player Raw Data'!$B:$B,0)),"")</f>
        <v/>
      </c>
      <c r="C353" t="str">
        <f t="array" ref="C353">IFERROR(INDEX('Player Raw Data'!D:D,Match($A353,'Player Raw Data'!$B:$B,0)),"")</f>
        <v/>
      </c>
      <c r="D353" t="str">
        <f t="array" ref="D353">IFERROR(IF(A353=A352, INDEX('Player Raw Data'!E:E,Match($A353,'Player Raw Data'!$B:$B,0)+2),INDEX('Player Raw Data'!E:E,Match($A353,'Player Raw Data'!$B:$B,0))),"")</f>
        <v/>
      </c>
      <c r="E353" t="str">
        <f t="array" ref="E353">IFERROR(INDEX('Day Range Raw Data'!D:D,Match($A353,'Day Range Raw Data'!$B:$B,0)),"")</f>
        <v/>
      </c>
      <c r="F353" t="str">
        <f t="array" ref="F353">IFERROR(INDEX('Day Range Raw Data'!F:F,Match($A353,'Day Range Raw Data'!$B:$B,0)),"")</f>
        <v/>
      </c>
      <c r="G353" t="str">
        <f t="array" ref="G353">IFERROR(INDEX('Day Range Raw Data'!G:G,Match($A353,'Day Range Raw Data'!$B:$B,0)),"")</f>
        <v/>
      </c>
      <c r="H353" t="str">
        <f t="array" ref="H353">IFERROR(INDEX('Day Range Raw Data'!H:H,Match($A353,'Day Range Raw Data'!$B:$B,0)),"")</f>
        <v/>
      </c>
      <c r="I353" t="str">
        <f t="array" ref="I353">IFERROR(INDEX('Day Range Raw Data'!M:M,Match($A353,'Day Range Raw Data'!$B:$B,0)),"")</f>
        <v/>
      </c>
      <c r="J353" t="str">
        <f t="array" ref="J353">IFERROR(INDEX('Day Range Raw Data'!N:N,Match($A353,'Day Range Raw Data'!$B:$B,0)),"")</f>
        <v/>
      </c>
      <c r="K353" t="str">
        <f t="array" ref="K353">IFERROR(INDEX('Day Range Raw Data'!R:R,Match($A353,'Day Range Raw Data'!$B:$B,0)),"")</f>
        <v/>
      </c>
      <c r="L353" t="str">
        <f t="array" ref="L353">IFERROR(INDEX('Day Range Raw Data'!S:S,Match($A353,'Day Range Raw Data'!$B:$B,0)),"")</f>
        <v/>
      </c>
      <c r="M353" t="str">
        <f t="array" ref="M353">IFERROR(INDEX('Day Range Raw Data'!T:T,Match($A353,'Day Range Raw Data'!$B:$B,0)),"")</f>
        <v/>
      </c>
      <c r="N353" t="str">
        <f t="array" ref="N353">IFERROR(INDEX('Day Range Raw Data'!U:U,Match($A353,'Day Range Raw Data'!$B:$B,0)),"")</f>
        <v/>
      </c>
      <c r="O353" t="str">
        <f t="array" ref="O353">IFERROR(INDEX('Day Range Raw Data'!V:V,Match($A353,'Day Range Raw Data'!$B:$B,0)),"")</f>
        <v/>
      </c>
      <c r="P353" t="str">
        <f t="array" ref="P353">IFERROR(INDEX('Day Range Raw Data'!X:X,Match($A353,'Day Range Raw Data'!$B:$B,0)),"")</f>
        <v/>
      </c>
      <c r="Q353" t="str">
        <f t="shared" si="1"/>
        <v/>
      </c>
      <c r="R353" s="9" t="str">
        <f t="shared" si="2"/>
        <v/>
      </c>
      <c r="S353" s="14" t="str">
        <f t="shared" si="3"/>
        <v/>
      </c>
      <c r="T353" s="15" t="str">
        <f>IFERROR(__xludf.DUMMYFUNCTION("IF($A353="""","""",IFERROR(PERCENTRANK.INC(FILTER(Q:Q,$F:$F&lt;&gt;""""),Q353)*100,""""))"),"")</f>
        <v/>
      </c>
      <c r="U353" s="15" t="str">
        <f>IFERROR(__xludf.DUMMYFUNCTION("IF($A353="""","""",IFERROR(PERCENTRANK.INC(FILTER(R:R,$F:$F&lt;&gt;""""),R353)*100,""""))"),"")</f>
        <v/>
      </c>
      <c r="V353" s="15" t="str">
        <f>IFERROR(__xludf.DUMMYFUNCTION("IF($A353="""","""",IFERROR(PERCENTRANK.INC(FILTER(S:S,$F:$F&lt;&gt;""""),S353)*100,""""))"),"")</f>
        <v/>
      </c>
      <c r="W353" s="15" t="str">
        <f t="shared" si="4"/>
        <v/>
      </c>
    </row>
    <row r="354">
      <c r="B354" t="str">
        <f t="array" ref="B354">IFERROR(INDEX('Player Raw Data'!C:C,Match($A354,'Player Raw Data'!$B:$B,0)),"")</f>
        <v/>
      </c>
      <c r="C354" t="str">
        <f t="array" ref="C354">IFERROR(INDEX('Player Raw Data'!D:D,Match($A354,'Player Raw Data'!$B:$B,0)),"")</f>
        <v/>
      </c>
      <c r="D354" t="str">
        <f t="array" ref="D354">IFERROR(IF(A354=A353, INDEX('Player Raw Data'!E:E,Match($A354,'Player Raw Data'!$B:$B,0)+2),INDEX('Player Raw Data'!E:E,Match($A354,'Player Raw Data'!$B:$B,0))),"")</f>
        <v/>
      </c>
      <c r="E354" t="str">
        <f t="array" ref="E354">IFERROR(INDEX('Day Range Raw Data'!D:D,Match($A354,'Day Range Raw Data'!$B:$B,0)),"")</f>
        <v/>
      </c>
      <c r="F354" t="str">
        <f t="array" ref="F354">IFERROR(INDEX('Day Range Raw Data'!F:F,Match($A354,'Day Range Raw Data'!$B:$B,0)),"")</f>
        <v/>
      </c>
      <c r="G354" t="str">
        <f t="array" ref="G354">IFERROR(INDEX('Day Range Raw Data'!G:G,Match($A354,'Day Range Raw Data'!$B:$B,0)),"")</f>
        <v/>
      </c>
      <c r="H354" t="str">
        <f t="array" ref="H354">IFERROR(INDEX('Day Range Raw Data'!H:H,Match($A354,'Day Range Raw Data'!$B:$B,0)),"")</f>
        <v/>
      </c>
      <c r="I354" t="str">
        <f t="array" ref="I354">IFERROR(INDEX('Day Range Raw Data'!M:M,Match($A354,'Day Range Raw Data'!$B:$B,0)),"")</f>
        <v/>
      </c>
      <c r="J354" t="str">
        <f t="array" ref="J354">IFERROR(INDEX('Day Range Raw Data'!N:N,Match($A354,'Day Range Raw Data'!$B:$B,0)),"")</f>
        <v/>
      </c>
      <c r="K354" t="str">
        <f t="array" ref="K354">IFERROR(INDEX('Day Range Raw Data'!R:R,Match($A354,'Day Range Raw Data'!$B:$B,0)),"")</f>
        <v/>
      </c>
      <c r="L354" t="str">
        <f t="array" ref="L354">IFERROR(INDEX('Day Range Raw Data'!S:S,Match($A354,'Day Range Raw Data'!$B:$B,0)),"")</f>
        <v/>
      </c>
      <c r="M354" t="str">
        <f t="array" ref="M354">IFERROR(INDEX('Day Range Raw Data'!T:T,Match($A354,'Day Range Raw Data'!$B:$B,0)),"")</f>
        <v/>
      </c>
      <c r="N354" t="str">
        <f t="array" ref="N354">IFERROR(INDEX('Day Range Raw Data'!U:U,Match($A354,'Day Range Raw Data'!$B:$B,0)),"")</f>
        <v/>
      </c>
      <c r="O354" t="str">
        <f t="array" ref="O354">IFERROR(INDEX('Day Range Raw Data'!V:V,Match($A354,'Day Range Raw Data'!$B:$B,0)),"")</f>
        <v/>
      </c>
      <c r="P354" t="str">
        <f t="array" ref="P354">IFERROR(INDEX('Day Range Raw Data'!X:X,Match($A354,'Day Range Raw Data'!$B:$B,0)),"")</f>
        <v/>
      </c>
      <c r="Q354" t="str">
        <f t="shared" si="1"/>
        <v/>
      </c>
      <c r="R354" s="9" t="str">
        <f t="shared" si="2"/>
        <v/>
      </c>
      <c r="S354" s="14" t="str">
        <f t="shared" si="3"/>
        <v/>
      </c>
      <c r="T354" s="15" t="str">
        <f>IFERROR(__xludf.DUMMYFUNCTION("IF($A354="""","""",IFERROR(PERCENTRANK.INC(FILTER(Q:Q,$F:$F&lt;&gt;""""),Q354)*100,""""))"),"")</f>
        <v/>
      </c>
      <c r="U354" s="15" t="str">
        <f>IFERROR(__xludf.DUMMYFUNCTION("IF($A354="""","""",IFERROR(PERCENTRANK.INC(FILTER(R:R,$F:$F&lt;&gt;""""),R354)*100,""""))"),"")</f>
        <v/>
      </c>
      <c r="V354" s="15" t="str">
        <f>IFERROR(__xludf.DUMMYFUNCTION("IF($A354="""","""",IFERROR(PERCENTRANK.INC(FILTER(S:S,$F:$F&lt;&gt;""""),S354)*100,""""))"),"")</f>
        <v/>
      </c>
      <c r="W354" s="15" t="str">
        <f t="shared" si="4"/>
        <v/>
      </c>
    </row>
    <row r="355">
      <c r="B355" t="str">
        <f t="array" ref="B355">IFERROR(INDEX('Player Raw Data'!C:C,Match($A355,'Player Raw Data'!$B:$B,0)),"")</f>
        <v/>
      </c>
      <c r="C355" t="str">
        <f t="array" ref="C355">IFERROR(INDEX('Player Raw Data'!D:D,Match($A355,'Player Raw Data'!$B:$B,0)),"")</f>
        <v/>
      </c>
      <c r="D355" t="str">
        <f t="array" ref="D355">IFERROR(IF(A355=A354, INDEX('Player Raw Data'!E:E,Match($A355,'Player Raw Data'!$B:$B,0)+2),INDEX('Player Raw Data'!E:E,Match($A355,'Player Raw Data'!$B:$B,0))),"")</f>
        <v/>
      </c>
      <c r="E355" t="str">
        <f t="array" ref="E355">IFERROR(INDEX('Day Range Raw Data'!D:D,Match($A355,'Day Range Raw Data'!$B:$B,0)),"")</f>
        <v/>
      </c>
      <c r="F355" t="str">
        <f t="array" ref="F355">IFERROR(INDEX('Day Range Raw Data'!F:F,Match($A355,'Day Range Raw Data'!$B:$B,0)),"")</f>
        <v/>
      </c>
      <c r="G355" t="str">
        <f t="array" ref="G355">IFERROR(INDEX('Day Range Raw Data'!G:G,Match($A355,'Day Range Raw Data'!$B:$B,0)),"")</f>
        <v/>
      </c>
      <c r="H355" t="str">
        <f t="array" ref="H355">IFERROR(INDEX('Day Range Raw Data'!H:H,Match($A355,'Day Range Raw Data'!$B:$B,0)),"")</f>
        <v/>
      </c>
      <c r="I355" t="str">
        <f t="array" ref="I355">IFERROR(INDEX('Day Range Raw Data'!M:M,Match($A355,'Day Range Raw Data'!$B:$B,0)),"")</f>
        <v/>
      </c>
      <c r="J355" t="str">
        <f t="array" ref="J355">IFERROR(INDEX('Day Range Raw Data'!N:N,Match($A355,'Day Range Raw Data'!$B:$B,0)),"")</f>
        <v/>
      </c>
      <c r="K355" t="str">
        <f t="array" ref="K355">IFERROR(INDEX('Day Range Raw Data'!R:R,Match($A355,'Day Range Raw Data'!$B:$B,0)),"")</f>
        <v/>
      </c>
      <c r="L355" t="str">
        <f t="array" ref="L355">IFERROR(INDEX('Day Range Raw Data'!S:S,Match($A355,'Day Range Raw Data'!$B:$B,0)),"")</f>
        <v/>
      </c>
      <c r="M355" t="str">
        <f t="array" ref="M355">IFERROR(INDEX('Day Range Raw Data'!T:T,Match($A355,'Day Range Raw Data'!$B:$B,0)),"")</f>
        <v/>
      </c>
      <c r="N355" t="str">
        <f t="array" ref="N355">IFERROR(INDEX('Day Range Raw Data'!U:U,Match($A355,'Day Range Raw Data'!$B:$B,0)),"")</f>
        <v/>
      </c>
      <c r="O355" t="str">
        <f t="array" ref="O355">IFERROR(INDEX('Day Range Raw Data'!V:V,Match($A355,'Day Range Raw Data'!$B:$B,0)),"")</f>
        <v/>
      </c>
      <c r="P355" t="str">
        <f t="array" ref="P355">IFERROR(INDEX('Day Range Raw Data'!X:X,Match($A355,'Day Range Raw Data'!$B:$B,0)),"")</f>
        <v/>
      </c>
      <c r="Q355" t="str">
        <f t="shared" si="1"/>
        <v/>
      </c>
      <c r="R355" s="9" t="str">
        <f t="shared" si="2"/>
        <v/>
      </c>
      <c r="S355" s="14" t="str">
        <f t="shared" si="3"/>
        <v/>
      </c>
      <c r="T355" s="15" t="str">
        <f>IFERROR(__xludf.DUMMYFUNCTION("IF($A355="""","""",IFERROR(PERCENTRANK.INC(FILTER(Q:Q,$F:$F&lt;&gt;""""),Q355)*100,""""))"),"")</f>
        <v/>
      </c>
      <c r="U355" s="15" t="str">
        <f>IFERROR(__xludf.DUMMYFUNCTION("IF($A355="""","""",IFERROR(PERCENTRANK.INC(FILTER(R:R,$F:$F&lt;&gt;""""),R355)*100,""""))"),"")</f>
        <v/>
      </c>
      <c r="V355" s="15" t="str">
        <f>IFERROR(__xludf.DUMMYFUNCTION("IF($A355="""","""",IFERROR(PERCENTRANK.INC(FILTER(S:S,$F:$F&lt;&gt;""""),S355)*100,""""))"),"")</f>
        <v/>
      </c>
      <c r="W355" s="15" t="str">
        <f t="shared" si="4"/>
        <v/>
      </c>
    </row>
    <row r="356">
      <c r="B356" t="str">
        <f t="array" ref="B356">IFERROR(INDEX('Player Raw Data'!C:C,Match($A356,'Player Raw Data'!$B:$B,0)),"")</f>
        <v/>
      </c>
      <c r="C356" t="str">
        <f t="array" ref="C356">IFERROR(INDEX('Player Raw Data'!D:D,Match($A356,'Player Raw Data'!$B:$B,0)),"")</f>
        <v/>
      </c>
      <c r="D356" t="str">
        <f t="array" ref="D356">IFERROR(IF(A356=A355, INDEX('Player Raw Data'!E:E,Match($A356,'Player Raw Data'!$B:$B,0)+2),INDEX('Player Raw Data'!E:E,Match($A356,'Player Raw Data'!$B:$B,0))),"")</f>
        <v/>
      </c>
      <c r="E356" t="str">
        <f t="array" ref="E356">IFERROR(INDEX('Day Range Raw Data'!D:D,Match($A356,'Day Range Raw Data'!$B:$B,0)),"")</f>
        <v/>
      </c>
      <c r="F356" t="str">
        <f t="array" ref="F356">IFERROR(INDEX('Day Range Raw Data'!F:F,Match($A356,'Day Range Raw Data'!$B:$B,0)),"")</f>
        <v/>
      </c>
      <c r="G356" t="str">
        <f t="array" ref="G356">IFERROR(INDEX('Day Range Raw Data'!G:G,Match($A356,'Day Range Raw Data'!$B:$B,0)),"")</f>
        <v/>
      </c>
      <c r="H356" t="str">
        <f t="array" ref="H356">IFERROR(INDEX('Day Range Raw Data'!H:H,Match($A356,'Day Range Raw Data'!$B:$B,0)),"")</f>
        <v/>
      </c>
      <c r="I356" t="str">
        <f t="array" ref="I356">IFERROR(INDEX('Day Range Raw Data'!M:M,Match($A356,'Day Range Raw Data'!$B:$B,0)),"")</f>
        <v/>
      </c>
      <c r="J356" t="str">
        <f t="array" ref="J356">IFERROR(INDEX('Day Range Raw Data'!N:N,Match($A356,'Day Range Raw Data'!$B:$B,0)),"")</f>
        <v/>
      </c>
      <c r="K356" t="str">
        <f t="array" ref="K356">IFERROR(INDEX('Day Range Raw Data'!R:R,Match($A356,'Day Range Raw Data'!$B:$B,0)),"")</f>
        <v/>
      </c>
      <c r="L356" t="str">
        <f t="array" ref="L356">IFERROR(INDEX('Day Range Raw Data'!S:S,Match($A356,'Day Range Raw Data'!$B:$B,0)),"")</f>
        <v/>
      </c>
      <c r="M356" t="str">
        <f t="array" ref="M356">IFERROR(INDEX('Day Range Raw Data'!T:T,Match($A356,'Day Range Raw Data'!$B:$B,0)),"")</f>
        <v/>
      </c>
      <c r="N356" t="str">
        <f t="array" ref="N356">IFERROR(INDEX('Day Range Raw Data'!U:U,Match($A356,'Day Range Raw Data'!$B:$B,0)),"")</f>
        <v/>
      </c>
      <c r="O356" t="str">
        <f t="array" ref="O356">IFERROR(INDEX('Day Range Raw Data'!V:V,Match($A356,'Day Range Raw Data'!$B:$B,0)),"")</f>
        <v/>
      </c>
      <c r="P356" t="str">
        <f t="array" ref="P356">IFERROR(INDEX('Day Range Raw Data'!X:X,Match($A356,'Day Range Raw Data'!$B:$B,0)),"")</f>
        <v/>
      </c>
      <c r="Q356" t="str">
        <f t="shared" si="1"/>
        <v/>
      </c>
      <c r="R356" s="9" t="str">
        <f t="shared" si="2"/>
        <v/>
      </c>
      <c r="S356" s="14" t="str">
        <f t="shared" si="3"/>
        <v/>
      </c>
      <c r="T356" s="15" t="str">
        <f>IFERROR(__xludf.DUMMYFUNCTION("IF($A356="""","""",IFERROR(PERCENTRANK.INC(FILTER(Q:Q,$F:$F&lt;&gt;""""),Q356)*100,""""))"),"")</f>
        <v/>
      </c>
      <c r="U356" s="15" t="str">
        <f>IFERROR(__xludf.DUMMYFUNCTION("IF($A356="""","""",IFERROR(PERCENTRANK.INC(FILTER(R:R,$F:$F&lt;&gt;""""),R356)*100,""""))"),"")</f>
        <v/>
      </c>
      <c r="V356" s="15" t="str">
        <f>IFERROR(__xludf.DUMMYFUNCTION("IF($A356="""","""",IFERROR(PERCENTRANK.INC(FILTER(S:S,$F:$F&lt;&gt;""""),S356)*100,""""))"),"")</f>
        <v/>
      </c>
      <c r="W356" s="15" t="str">
        <f t="shared" si="4"/>
        <v/>
      </c>
    </row>
    <row r="357">
      <c r="B357" t="str">
        <f t="array" ref="B357">IFERROR(INDEX('Player Raw Data'!C:C,Match($A357,'Player Raw Data'!$B:$B,0)),"")</f>
        <v/>
      </c>
      <c r="C357" t="str">
        <f t="array" ref="C357">IFERROR(INDEX('Player Raw Data'!D:D,Match($A357,'Player Raw Data'!$B:$B,0)),"")</f>
        <v/>
      </c>
      <c r="D357" t="str">
        <f t="array" ref="D357">IFERROR(IF(A357=A356, INDEX('Player Raw Data'!E:E,Match($A357,'Player Raw Data'!$B:$B,0)+2),INDEX('Player Raw Data'!E:E,Match($A357,'Player Raw Data'!$B:$B,0))),"")</f>
        <v/>
      </c>
      <c r="E357" t="str">
        <f t="array" ref="E357">IFERROR(INDEX('Day Range Raw Data'!D:D,Match($A357,'Day Range Raw Data'!$B:$B,0)),"")</f>
        <v/>
      </c>
      <c r="F357" t="str">
        <f t="array" ref="F357">IFERROR(INDEX('Day Range Raw Data'!F:F,Match($A357,'Day Range Raw Data'!$B:$B,0)),"")</f>
        <v/>
      </c>
      <c r="G357" t="str">
        <f t="array" ref="G357">IFERROR(INDEX('Day Range Raw Data'!G:G,Match($A357,'Day Range Raw Data'!$B:$B,0)),"")</f>
        <v/>
      </c>
      <c r="H357" t="str">
        <f t="array" ref="H357">IFERROR(INDEX('Day Range Raw Data'!H:H,Match($A357,'Day Range Raw Data'!$B:$B,0)),"")</f>
        <v/>
      </c>
      <c r="I357" t="str">
        <f t="array" ref="I357">IFERROR(INDEX('Day Range Raw Data'!M:M,Match($A357,'Day Range Raw Data'!$B:$B,0)),"")</f>
        <v/>
      </c>
      <c r="J357" t="str">
        <f t="array" ref="J357">IFERROR(INDEX('Day Range Raw Data'!N:N,Match($A357,'Day Range Raw Data'!$B:$B,0)),"")</f>
        <v/>
      </c>
      <c r="K357" t="str">
        <f t="array" ref="K357">IFERROR(INDEX('Day Range Raw Data'!R:R,Match($A357,'Day Range Raw Data'!$B:$B,0)),"")</f>
        <v/>
      </c>
      <c r="L357" t="str">
        <f t="array" ref="L357">IFERROR(INDEX('Day Range Raw Data'!S:S,Match($A357,'Day Range Raw Data'!$B:$B,0)),"")</f>
        <v/>
      </c>
      <c r="M357" t="str">
        <f t="array" ref="M357">IFERROR(INDEX('Day Range Raw Data'!T:T,Match($A357,'Day Range Raw Data'!$B:$B,0)),"")</f>
        <v/>
      </c>
      <c r="N357" t="str">
        <f t="array" ref="N357">IFERROR(INDEX('Day Range Raw Data'!U:U,Match($A357,'Day Range Raw Data'!$B:$B,0)),"")</f>
        <v/>
      </c>
      <c r="O357" t="str">
        <f t="array" ref="O357">IFERROR(INDEX('Day Range Raw Data'!V:V,Match($A357,'Day Range Raw Data'!$B:$B,0)),"")</f>
        <v/>
      </c>
      <c r="P357" t="str">
        <f t="array" ref="P357">IFERROR(INDEX('Day Range Raw Data'!X:X,Match($A357,'Day Range Raw Data'!$B:$B,0)),"")</f>
        <v/>
      </c>
      <c r="Q357" t="str">
        <f t="shared" si="1"/>
        <v/>
      </c>
      <c r="R357" s="9" t="str">
        <f t="shared" si="2"/>
        <v/>
      </c>
      <c r="S357" s="14" t="str">
        <f t="shared" si="3"/>
        <v/>
      </c>
      <c r="T357" s="15" t="str">
        <f>IFERROR(__xludf.DUMMYFUNCTION("IF($A357="""","""",IFERROR(PERCENTRANK.INC(FILTER(Q:Q,$F:$F&lt;&gt;""""),Q357)*100,""""))"),"")</f>
        <v/>
      </c>
      <c r="U357" s="15" t="str">
        <f>IFERROR(__xludf.DUMMYFUNCTION("IF($A357="""","""",IFERROR(PERCENTRANK.INC(FILTER(R:R,$F:$F&lt;&gt;""""),R357)*100,""""))"),"")</f>
        <v/>
      </c>
      <c r="V357" s="15" t="str">
        <f>IFERROR(__xludf.DUMMYFUNCTION("IF($A357="""","""",IFERROR(PERCENTRANK.INC(FILTER(S:S,$F:$F&lt;&gt;""""),S357)*100,""""))"),"")</f>
        <v/>
      </c>
      <c r="W357" s="15" t="str">
        <f t="shared" si="4"/>
        <v/>
      </c>
    </row>
    <row r="358">
      <c r="B358" t="str">
        <f t="array" ref="B358">IFERROR(INDEX('Player Raw Data'!C:C,Match($A358,'Player Raw Data'!$B:$B,0)),"")</f>
        <v/>
      </c>
      <c r="C358" t="str">
        <f t="array" ref="C358">IFERROR(INDEX('Player Raw Data'!D:D,Match($A358,'Player Raw Data'!$B:$B,0)),"")</f>
        <v/>
      </c>
      <c r="D358" t="str">
        <f t="array" ref="D358">IFERROR(IF(A358=A357, INDEX('Player Raw Data'!E:E,Match($A358,'Player Raw Data'!$B:$B,0)+2),INDEX('Player Raw Data'!E:E,Match($A358,'Player Raw Data'!$B:$B,0))),"")</f>
        <v/>
      </c>
      <c r="E358" t="str">
        <f t="array" ref="E358">IFERROR(INDEX('Day Range Raw Data'!D:D,Match($A358,'Day Range Raw Data'!$B:$B,0)),"")</f>
        <v/>
      </c>
      <c r="F358" t="str">
        <f t="array" ref="F358">IFERROR(INDEX('Day Range Raw Data'!F:F,Match($A358,'Day Range Raw Data'!$B:$B,0)),"")</f>
        <v/>
      </c>
      <c r="G358" t="str">
        <f t="array" ref="G358">IFERROR(INDEX('Day Range Raw Data'!G:G,Match($A358,'Day Range Raw Data'!$B:$B,0)),"")</f>
        <v/>
      </c>
      <c r="H358" t="str">
        <f t="array" ref="H358">IFERROR(INDEX('Day Range Raw Data'!H:H,Match($A358,'Day Range Raw Data'!$B:$B,0)),"")</f>
        <v/>
      </c>
      <c r="I358" t="str">
        <f t="array" ref="I358">IFERROR(INDEX('Day Range Raw Data'!M:M,Match($A358,'Day Range Raw Data'!$B:$B,0)),"")</f>
        <v/>
      </c>
      <c r="J358" t="str">
        <f t="array" ref="J358">IFERROR(INDEX('Day Range Raw Data'!N:N,Match($A358,'Day Range Raw Data'!$B:$B,0)),"")</f>
        <v/>
      </c>
      <c r="K358" t="str">
        <f t="array" ref="K358">IFERROR(INDEX('Day Range Raw Data'!R:R,Match($A358,'Day Range Raw Data'!$B:$B,0)),"")</f>
        <v/>
      </c>
      <c r="L358" t="str">
        <f t="array" ref="L358">IFERROR(INDEX('Day Range Raw Data'!S:S,Match($A358,'Day Range Raw Data'!$B:$B,0)),"")</f>
        <v/>
      </c>
      <c r="M358" t="str">
        <f t="array" ref="M358">IFERROR(INDEX('Day Range Raw Data'!T:T,Match($A358,'Day Range Raw Data'!$B:$B,0)),"")</f>
        <v/>
      </c>
      <c r="N358" t="str">
        <f t="array" ref="N358">IFERROR(INDEX('Day Range Raw Data'!U:U,Match($A358,'Day Range Raw Data'!$B:$B,0)),"")</f>
        <v/>
      </c>
      <c r="O358" t="str">
        <f t="array" ref="O358">IFERROR(INDEX('Day Range Raw Data'!V:V,Match($A358,'Day Range Raw Data'!$B:$B,0)),"")</f>
        <v/>
      </c>
      <c r="P358" t="str">
        <f t="array" ref="P358">IFERROR(INDEX('Day Range Raw Data'!X:X,Match($A358,'Day Range Raw Data'!$B:$B,0)),"")</f>
        <v/>
      </c>
      <c r="Q358" t="str">
        <f t="shared" si="1"/>
        <v/>
      </c>
      <c r="R358" s="9" t="str">
        <f t="shared" si="2"/>
        <v/>
      </c>
      <c r="S358" s="14" t="str">
        <f t="shared" si="3"/>
        <v/>
      </c>
      <c r="T358" s="15" t="str">
        <f>IFERROR(__xludf.DUMMYFUNCTION("IF($A358="""","""",IFERROR(PERCENTRANK.INC(FILTER(Q:Q,$F:$F&lt;&gt;""""),Q358)*100,""""))"),"")</f>
        <v/>
      </c>
      <c r="U358" s="15" t="str">
        <f>IFERROR(__xludf.DUMMYFUNCTION("IF($A358="""","""",IFERROR(PERCENTRANK.INC(FILTER(R:R,$F:$F&lt;&gt;""""),R358)*100,""""))"),"")</f>
        <v/>
      </c>
      <c r="V358" s="15" t="str">
        <f>IFERROR(__xludf.DUMMYFUNCTION("IF($A358="""","""",IFERROR(PERCENTRANK.INC(FILTER(S:S,$F:$F&lt;&gt;""""),S358)*100,""""))"),"")</f>
        <v/>
      </c>
      <c r="W358" s="15" t="str">
        <f t="shared" si="4"/>
        <v/>
      </c>
    </row>
    <row r="359">
      <c r="B359" t="str">
        <f t="array" ref="B359">IFERROR(INDEX('Player Raw Data'!C:C,Match($A359,'Player Raw Data'!$B:$B,0)),"")</f>
        <v/>
      </c>
      <c r="C359" t="str">
        <f t="array" ref="C359">IFERROR(INDEX('Player Raw Data'!D:D,Match($A359,'Player Raw Data'!$B:$B,0)),"")</f>
        <v/>
      </c>
      <c r="D359" t="str">
        <f t="array" ref="D359">IFERROR(IF(A359=A358, INDEX('Player Raw Data'!E:E,Match($A359,'Player Raw Data'!$B:$B,0)+2),INDEX('Player Raw Data'!E:E,Match($A359,'Player Raw Data'!$B:$B,0))),"")</f>
        <v/>
      </c>
      <c r="E359" t="str">
        <f t="array" ref="E359">IFERROR(INDEX('Day Range Raw Data'!D:D,Match($A359,'Day Range Raw Data'!$B:$B,0)),"")</f>
        <v/>
      </c>
      <c r="F359" t="str">
        <f t="array" ref="F359">IFERROR(INDEX('Day Range Raw Data'!F:F,Match($A359,'Day Range Raw Data'!$B:$B,0)),"")</f>
        <v/>
      </c>
      <c r="G359" t="str">
        <f t="array" ref="G359">IFERROR(INDEX('Day Range Raw Data'!G:G,Match($A359,'Day Range Raw Data'!$B:$B,0)),"")</f>
        <v/>
      </c>
      <c r="H359" t="str">
        <f t="array" ref="H359">IFERROR(INDEX('Day Range Raw Data'!H:H,Match($A359,'Day Range Raw Data'!$B:$B,0)),"")</f>
        <v/>
      </c>
      <c r="I359" t="str">
        <f t="array" ref="I359">IFERROR(INDEX('Day Range Raw Data'!M:M,Match($A359,'Day Range Raw Data'!$B:$B,0)),"")</f>
        <v/>
      </c>
      <c r="J359" t="str">
        <f t="array" ref="J359">IFERROR(INDEX('Day Range Raw Data'!N:N,Match($A359,'Day Range Raw Data'!$B:$B,0)),"")</f>
        <v/>
      </c>
      <c r="K359" t="str">
        <f t="array" ref="K359">IFERROR(INDEX('Day Range Raw Data'!R:R,Match($A359,'Day Range Raw Data'!$B:$B,0)),"")</f>
        <v/>
      </c>
      <c r="L359" t="str">
        <f t="array" ref="L359">IFERROR(INDEX('Day Range Raw Data'!S:S,Match($A359,'Day Range Raw Data'!$B:$B,0)),"")</f>
        <v/>
      </c>
      <c r="M359" t="str">
        <f t="array" ref="M359">IFERROR(INDEX('Day Range Raw Data'!T:T,Match($A359,'Day Range Raw Data'!$B:$B,0)),"")</f>
        <v/>
      </c>
      <c r="N359" t="str">
        <f t="array" ref="N359">IFERROR(INDEX('Day Range Raw Data'!U:U,Match($A359,'Day Range Raw Data'!$B:$B,0)),"")</f>
        <v/>
      </c>
      <c r="O359" t="str">
        <f t="array" ref="O359">IFERROR(INDEX('Day Range Raw Data'!V:V,Match($A359,'Day Range Raw Data'!$B:$B,0)),"")</f>
        <v/>
      </c>
      <c r="P359" t="str">
        <f t="array" ref="P359">IFERROR(INDEX('Day Range Raw Data'!X:X,Match($A359,'Day Range Raw Data'!$B:$B,0)),"")</f>
        <v/>
      </c>
      <c r="Q359" t="str">
        <f t="shared" si="1"/>
        <v/>
      </c>
      <c r="R359" s="9" t="str">
        <f t="shared" si="2"/>
        <v/>
      </c>
      <c r="S359" s="14" t="str">
        <f t="shared" si="3"/>
        <v/>
      </c>
      <c r="T359" s="15" t="str">
        <f>IFERROR(__xludf.DUMMYFUNCTION("IF($A359="""","""",IFERROR(PERCENTRANK.INC(FILTER(Q:Q,$F:$F&lt;&gt;""""),Q359)*100,""""))"),"")</f>
        <v/>
      </c>
      <c r="U359" s="15" t="str">
        <f>IFERROR(__xludf.DUMMYFUNCTION("IF($A359="""","""",IFERROR(PERCENTRANK.INC(FILTER(R:R,$F:$F&lt;&gt;""""),R359)*100,""""))"),"")</f>
        <v/>
      </c>
      <c r="V359" s="15" t="str">
        <f>IFERROR(__xludf.DUMMYFUNCTION("IF($A359="""","""",IFERROR(PERCENTRANK.INC(FILTER(S:S,$F:$F&lt;&gt;""""),S359)*100,""""))"),"")</f>
        <v/>
      </c>
      <c r="W359" s="15" t="str">
        <f t="shared" si="4"/>
        <v/>
      </c>
    </row>
    <row r="360">
      <c r="B360" t="str">
        <f t="array" ref="B360">IFERROR(INDEX('Player Raw Data'!C:C,Match($A360,'Player Raw Data'!$B:$B,0)),"")</f>
        <v/>
      </c>
      <c r="C360" t="str">
        <f t="array" ref="C360">IFERROR(INDEX('Player Raw Data'!D:D,Match($A360,'Player Raw Data'!$B:$B,0)),"")</f>
        <v/>
      </c>
      <c r="D360" t="str">
        <f t="array" ref="D360">IFERROR(IF(A360=A359, INDEX('Player Raw Data'!E:E,Match($A360,'Player Raw Data'!$B:$B,0)+2),INDEX('Player Raw Data'!E:E,Match($A360,'Player Raw Data'!$B:$B,0))),"")</f>
        <v/>
      </c>
      <c r="E360" t="str">
        <f t="array" ref="E360">IFERROR(INDEX('Day Range Raw Data'!D:D,Match($A360,'Day Range Raw Data'!$B:$B,0)),"")</f>
        <v/>
      </c>
      <c r="F360" t="str">
        <f t="array" ref="F360">IFERROR(INDEX('Day Range Raw Data'!F:F,Match($A360,'Day Range Raw Data'!$B:$B,0)),"")</f>
        <v/>
      </c>
      <c r="G360" t="str">
        <f t="array" ref="G360">IFERROR(INDEX('Day Range Raw Data'!G:G,Match($A360,'Day Range Raw Data'!$B:$B,0)),"")</f>
        <v/>
      </c>
      <c r="H360" t="str">
        <f t="array" ref="H360">IFERROR(INDEX('Day Range Raw Data'!H:H,Match($A360,'Day Range Raw Data'!$B:$B,0)),"")</f>
        <v/>
      </c>
      <c r="I360" t="str">
        <f t="array" ref="I360">IFERROR(INDEX('Day Range Raw Data'!M:M,Match($A360,'Day Range Raw Data'!$B:$B,0)),"")</f>
        <v/>
      </c>
      <c r="J360" t="str">
        <f t="array" ref="J360">IFERROR(INDEX('Day Range Raw Data'!N:N,Match($A360,'Day Range Raw Data'!$B:$B,0)),"")</f>
        <v/>
      </c>
      <c r="K360" t="str">
        <f t="array" ref="K360">IFERROR(INDEX('Day Range Raw Data'!R:R,Match($A360,'Day Range Raw Data'!$B:$B,0)),"")</f>
        <v/>
      </c>
      <c r="L360" t="str">
        <f t="array" ref="L360">IFERROR(INDEX('Day Range Raw Data'!S:S,Match($A360,'Day Range Raw Data'!$B:$B,0)),"")</f>
        <v/>
      </c>
      <c r="M360" t="str">
        <f t="array" ref="M360">IFERROR(INDEX('Day Range Raw Data'!T:T,Match($A360,'Day Range Raw Data'!$B:$B,0)),"")</f>
        <v/>
      </c>
      <c r="N360" t="str">
        <f t="array" ref="N360">IFERROR(INDEX('Day Range Raw Data'!U:U,Match($A360,'Day Range Raw Data'!$B:$B,0)),"")</f>
        <v/>
      </c>
      <c r="O360" t="str">
        <f t="array" ref="O360">IFERROR(INDEX('Day Range Raw Data'!V:V,Match($A360,'Day Range Raw Data'!$B:$B,0)),"")</f>
        <v/>
      </c>
      <c r="P360" t="str">
        <f t="array" ref="P360">IFERROR(INDEX('Day Range Raw Data'!X:X,Match($A360,'Day Range Raw Data'!$B:$B,0)),"")</f>
        <v/>
      </c>
      <c r="Q360" t="str">
        <f t="shared" si="1"/>
        <v/>
      </c>
      <c r="R360" s="9" t="str">
        <f t="shared" si="2"/>
        <v/>
      </c>
      <c r="S360" s="14" t="str">
        <f t="shared" si="3"/>
        <v/>
      </c>
      <c r="T360" s="15" t="str">
        <f>IFERROR(__xludf.DUMMYFUNCTION("IF($A360="""","""",IFERROR(PERCENTRANK.INC(FILTER(Q:Q,$F:$F&lt;&gt;""""),Q360)*100,""""))"),"")</f>
        <v/>
      </c>
      <c r="U360" s="15" t="str">
        <f>IFERROR(__xludf.DUMMYFUNCTION("IF($A360="""","""",IFERROR(PERCENTRANK.INC(FILTER(R:R,$F:$F&lt;&gt;""""),R360)*100,""""))"),"")</f>
        <v/>
      </c>
      <c r="V360" s="15" t="str">
        <f>IFERROR(__xludf.DUMMYFUNCTION("IF($A360="""","""",IFERROR(PERCENTRANK.INC(FILTER(S:S,$F:$F&lt;&gt;""""),S360)*100,""""))"),"")</f>
        <v/>
      </c>
      <c r="W360" s="15" t="str">
        <f t="shared" si="4"/>
        <v/>
      </c>
    </row>
    <row r="361">
      <c r="B361" t="str">
        <f t="array" ref="B361">IFERROR(INDEX('Player Raw Data'!C:C,Match($A361,'Player Raw Data'!$B:$B,0)),"")</f>
        <v/>
      </c>
      <c r="C361" t="str">
        <f t="array" ref="C361">IFERROR(INDEX('Player Raw Data'!D:D,Match($A361,'Player Raw Data'!$B:$B,0)),"")</f>
        <v/>
      </c>
      <c r="D361" t="str">
        <f t="array" ref="D361">IFERROR(IF(A361=A360, INDEX('Player Raw Data'!E:E,Match($A361,'Player Raw Data'!$B:$B,0)+2),INDEX('Player Raw Data'!E:E,Match($A361,'Player Raw Data'!$B:$B,0))),"")</f>
        <v/>
      </c>
      <c r="E361" t="str">
        <f t="array" ref="E361">IFERROR(INDEX('Day Range Raw Data'!D:D,Match($A361,'Day Range Raw Data'!$B:$B,0)),"")</f>
        <v/>
      </c>
      <c r="F361" t="str">
        <f t="array" ref="F361">IFERROR(INDEX('Day Range Raw Data'!F:F,Match($A361,'Day Range Raw Data'!$B:$B,0)),"")</f>
        <v/>
      </c>
      <c r="G361" t="str">
        <f t="array" ref="G361">IFERROR(INDEX('Day Range Raw Data'!G:G,Match($A361,'Day Range Raw Data'!$B:$B,0)),"")</f>
        <v/>
      </c>
      <c r="H361" t="str">
        <f t="array" ref="H361">IFERROR(INDEX('Day Range Raw Data'!H:H,Match($A361,'Day Range Raw Data'!$B:$B,0)),"")</f>
        <v/>
      </c>
      <c r="I361" t="str">
        <f t="array" ref="I361">IFERROR(INDEX('Day Range Raw Data'!M:M,Match($A361,'Day Range Raw Data'!$B:$B,0)),"")</f>
        <v/>
      </c>
      <c r="J361" t="str">
        <f t="array" ref="J361">IFERROR(INDEX('Day Range Raw Data'!N:N,Match($A361,'Day Range Raw Data'!$B:$B,0)),"")</f>
        <v/>
      </c>
      <c r="K361" t="str">
        <f t="array" ref="K361">IFERROR(INDEX('Day Range Raw Data'!R:R,Match($A361,'Day Range Raw Data'!$B:$B,0)),"")</f>
        <v/>
      </c>
      <c r="L361" t="str">
        <f t="array" ref="L361">IFERROR(INDEX('Day Range Raw Data'!S:S,Match($A361,'Day Range Raw Data'!$B:$B,0)),"")</f>
        <v/>
      </c>
      <c r="M361" t="str">
        <f t="array" ref="M361">IFERROR(INDEX('Day Range Raw Data'!T:T,Match($A361,'Day Range Raw Data'!$B:$B,0)),"")</f>
        <v/>
      </c>
      <c r="N361" t="str">
        <f t="array" ref="N361">IFERROR(INDEX('Day Range Raw Data'!U:U,Match($A361,'Day Range Raw Data'!$B:$B,0)),"")</f>
        <v/>
      </c>
      <c r="O361" t="str">
        <f t="array" ref="O361">IFERROR(INDEX('Day Range Raw Data'!V:V,Match($A361,'Day Range Raw Data'!$B:$B,0)),"")</f>
        <v/>
      </c>
      <c r="P361" t="str">
        <f t="array" ref="P361">IFERROR(INDEX('Day Range Raw Data'!X:X,Match($A361,'Day Range Raw Data'!$B:$B,0)),"")</f>
        <v/>
      </c>
      <c r="Q361" t="str">
        <f t="shared" si="1"/>
        <v/>
      </c>
      <c r="R361" s="9" t="str">
        <f t="shared" si="2"/>
        <v/>
      </c>
      <c r="S361" s="14" t="str">
        <f t="shared" si="3"/>
        <v/>
      </c>
      <c r="T361" s="15" t="str">
        <f>IFERROR(__xludf.DUMMYFUNCTION("IF($A361="""","""",IFERROR(PERCENTRANK.INC(FILTER(Q:Q,$F:$F&lt;&gt;""""),Q361)*100,""""))"),"")</f>
        <v/>
      </c>
      <c r="U361" s="15" t="str">
        <f>IFERROR(__xludf.DUMMYFUNCTION("IF($A361="""","""",IFERROR(PERCENTRANK.INC(FILTER(R:R,$F:$F&lt;&gt;""""),R361)*100,""""))"),"")</f>
        <v/>
      </c>
      <c r="V361" s="15" t="str">
        <f>IFERROR(__xludf.DUMMYFUNCTION("IF($A361="""","""",IFERROR(PERCENTRANK.INC(FILTER(S:S,$F:$F&lt;&gt;""""),S361)*100,""""))"),"")</f>
        <v/>
      </c>
      <c r="W361" s="15" t="str">
        <f t="shared" si="4"/>
        <v/>
      </c>
    </row>
    <row r="362">
      <c r="B362" t="str">
        <f t="array" ref="B362">IFERROR(INDEX('Player Raw Data'!C:C,Match($A362,'Player Raw Data'!$B:$B,0)),"")</f>
        <v/>
      </c>
      <c r="C362" t="str">
        <f t="array" ref="C362">IFERROR(INDEX('Player Raw Data'!D:D,Match($A362,'Player Raw Data'!$B:$B,0)),"")</f>
        <v/>
      </c>
      <c r="D362" t="str">
        <f t="array" ref="D362">IFERROR(IF(A362=A361, INDEX('Player Raw Data'!E:E,Match($A362,'Player Raw Data'!$B:$B,0)+2),INDEX('Player Raw Data'!E:E,Match($A362,'Player Raw Data'!$B:$B,0))),"")</f>
        <v/>
      </c>
      <c r="E362" t="str">
        <f t="array" ref="E362">IFERROR(INDEX('Day Range Raw Data'!D:D,Match($A362,'Day Range Raw Data'!$B:$B,0)),"")</f>
        <v/>
      </c>
      <c r="F362" t="str">
        <f t="array" ref="F362">IFERROR(INDEX('Day Range Raw Data'!F:F,Match($A362,'Day Range Raw Data'!$B:$B,0)),"")</f>
        <v/>
      </c>
      <c r="G362" t="str">
        <f t="array" ref="G362">IFERROR(INDEX('Day Range Raw Data'!G:G,Match($A362,'Day Range Raw Data'!$B:$B,0)),"")</f>
        <v/>
      </c>
      <c r="H362" t="str">
        <f t="array" ref="H362">IFERROR(INDEX('Day Range Raw Data'!H:H,Match($A362,'Day Range Raw Data'!$B:$B,0)),"")</f>
        <v/>
      </c>
      <c r="I362" t="str">
        <f t="array" ref="I362">IFERROR(INDEX('Day Range Raw Data'!M:M,Match($A362,'Day Range Raw Data'!$B:$B,0)),"")</f>
        <v/>
      </c>
      <c r="J362" t="str">
        <f t="array" ref="J362">IFERROR(INDEX('Day Range Raw Data'!N:N,Match($A362,'Day Range Raw Data'!$B:$B,0)),"")</f>
        <v/>
      </c>
      <c r="K362" t="str">
        <f t="array" ref="K362">IFERROR(INDEX('Day Range Raw Data'!R:R,Match($A362,'Day Range Raw Data'!$B:$B,0)),"")</f>
        <v/>
      </c>
      <c r="L362" t="str">
        <f t="array" ref="L362">IFERROR(INDEX('Day Range Raw Data'!S:S,Match($A362,'Day Range Raw Data'!$B:$B,0)),"")</f>
        <v/>
      </c>
      <c r="M362" t="str">
        <f t="array" ref="M362">IFERROR(INDEX('Day Range Raw Data'!T:T,Match($A362,'Day Range Raw Data'!$B:$B,0)),"")</f>
        <v/>
      </c>
      <c r="N362" t="str">
        <f t="array" ref="N362">IFERROR(INDEX('Day Range Raw Data'!U:U,Match($A362,'Day Range Raw Data'!$B:$B,0)),"")</f>
        <v/>
      </c>
      <c r="O362" t="str">
        <f t="array" ref="O362">IFERROR(INDEX('Day Range Raw Data'!V:V,Match($A362,'Day Range Raw Data'!$B:$B,0)),"")</f>
        <v/>
      </c>
      <c r="P362" t="str">
        <f t="array" ref="P362">IFERROR(INDEX('Day Range Raw Data'!X:X,Match($A362,'Day Range Raw Data'!$B:$B,0)),"")</f>
        <v/>
      </c>
      <c r="Q362" t="str">
        <f t="shared" si="1"/>
        <v/>
      </c>
      <c r="R362" s="9" t="str">
        <f t="shared" si="2"/>
        <v/>
      </c>
      <c r="S362" s="14" t="str">
        <f t="shared" si="3"/>
        <v/>
      </c>
      <c r="T362" s="15" t="str">
        <f>IFERROR(__xludf.DUMMYFUNCTION("IF($A362="""","""",IFERROR(PERCENTRANK.INC(FILTER(Q:Q,$F:$F&lt;&gt;""""),Q362)*100,""""))"),"")</f>
        <v/>
      </c>
      <c r="U362" s="15" t="str">
        <f>IFERROR(__xludf.DUMMYFUNCTION("IF($A362="""","""",IFERROR(PERCENTRANK.INC(FILTER(R:R,$F:$F&lt;&gt;""""),R362)*100,""""))"),"")</f>
        <v/>
      </c>
      <c r="V362" s="15" t="str">
        <f>IFERROR(__xludf.DUMMYFUNCTION("IF($A362="""","""",IFERROR(PERCENTRANK.INC(FILTER(S:S,$F:$F&lt;&gt;""""),S362)*100,""""))"),"")</f>
        <v/>
      </c>
      <c r="W362" s="15" t="str">
        <f t="shared" si="4"/>
        <v/>
      </c>
    </row>
    <row r="363">
      <c r="B363" t="str">
        <f t="array" ref="B363">IFERROR(INDEX('Player Raw Data'!C:C,Match($A363,'Player Raw Data'!$B:$B,0)),"")</f>
        <v/>
      </c>
      <c r="C363" t="str">
        <f t="array" ref="C363">IFERROR(INDEX('Player Raw Data'!D:D,Match($A363,'Player Raw Data'!$B:$B,0)),"")</f>
        <v/>
      </c>
      <c r="D363" t="str">
        <f t="array" ref="D363">IFERROR(IF(A363=A362, INDEX('Player Raw Data'!E:E,Match($A363,'Player Raw Data'!$B:$B,0)+2),INDEX('Player Raw Data'!E:E,Match($A363,'Player Raw Data'!$B:$B,0))),"")</f>
        <v/>
      </c>
      <c r="E363" t="str">
        <f t="array" ref="E363">IFERROR(INDEX('Day Range Raw Data'!D:D,Match($A363,'Day Range Raw Data'!$B:$B,0)),"")</f>
        <v/>
      </c>
      <c r="F363" t="str">
        <f t="array" ref="F363">IFERROR(INDEX('Day Range Raw Data'!F:F,Match($A363,'Day Range Raw Data'!$B:$B,0)),"")</f>
        <v/>
      </c>
      <c r="G363" t="str">
        <f t="array" ref="G363">IFERROR(INDEX('Day Range Raw Data'!G:G,Match($A363,'Day Range Raw Data'!$B:$B,0)),"")</f>
        <v/>
      </c>
      <c r="H363" t="str">
        <f t="array" ref="H363">IFERROR(INDEX('Day Range Raw Data'!H:H,Match($A363,'Day Range Raw Data'!$B:$B,0)),"")</f>
        <v/>
      </c>
      <c r="I363" t="str">
        <f t="array" ref="I363">IFERROR(INDEX('Day Range Raw Data'!M:M,Match($A363,'Day Range Raw Data'!$B:$B,0)),"")</f>
        <v/>
      </c>
      <c r="J363" t="str">
        <f t="array" ref="J363">IFERROR(INDEX('Day Range Raw Data'!N:N,Match($A363,'Day Range Raw Data'!$B:$B,0)),"")</f>
        <v/>
      </c>
      <c r="K363" t="str">
        <f t="array" ref="K363">IFERROR(INDEX('Day Range Raw Data'!R:R,Match($A363,'Day Range Raw Data'!$B:$B,0)),"")</f>
        <v/>
      </c>
      <c r="L363" t="str">
        <f t="array" ref="L363">IFERROR(INDEX('Day Range Raw Data'!S:S,Match($A363,'Day Range Raw Data'!$B:$B,0)),"")</f>
        <v/>
      </c>
      <c r="M363" t="str">
        <f t="array" ref="M363">IFERROR(INDEX('Day Range Raw Data'!T:T,Match($A363,'Day Range Raw Data'!$B:$B,0)),"")</f>
        <v/>
      </c>
      <c r="N363" t="str">
        <f t="array" ref="N363">IFERROR(INDEX('Day Range Raw Data'!U:U,Match($A363,'Day Range Raw Data'!$B:$B,0)),"")</f>
        <v/>
      </c>
      <c r="O363" t="str">
        <f t="array" ref="O363">IFERROR(INDEX('Day Range Raw Data'!V:V,Match($A363,'Day Range Raw Data'!$B:$B,0)),"")</f>
        <v/>
      </c>
      <c r="P363" t="str">
        <f t="array" ref="P363">IFERROR(INDEX('Day Range Raw Data'!X:X,Match($A363,'Day Range Raw Data'!$B:$B,0)),"")</f>
        <v/>
      </c>
      <c r="Q363" t="str">
        <f t="shared" si="1"/>
        <v/>
      </c>
      <c r="R363" s="9" t="str">
        <f t="shared" si="2"/>
        <v/>
      </c>
      <c r="S363" s="14" t="str">
        <f t="shared" si="3"/>
        <v/>
      </c>
      <c r="T363" s="15" t="str">
        <f>IFERROR(__xludf.DUMMYFUNCTION("IF($A363="""","""",IFERROR(PERCENTRANK.INC(FILTER(Q:Q,$F:$F&lt;&gt;""""),Q363)*100,""""))"),"")</f>
        <v/>
      </c>
      <c r="U363" s="15" t="str">
        <f>IFERROR(__xludf.DUMMYFUNCTION("IF($A363="""","""",IFERROR(PERCENTRANK.INC(FILTER(R:R,$F:$F&lt;&gt;""""),R363)*100,""""))"),"")</f>
        <v/>
      </c>
      <c r="V363" s="15" t="str">
        <f>IFERROR(__xludf.DUMMYFUNCTION("IF($A363="""","""",IFERROR(PERCENTRANK.INC(FILTER(S:S,$F:$F&lt;&gt;""""),S363)*100,""""))"),"")</f>
        <v/>
      </c>
      <c r="W363" s="15" t="str">
        <f t="shared" si="4"/>
        <v/>
      </c>
    </row>
    <row r="364">
      <c r="B364" t="str">
        <f t="array" ref="B364">IFERROR(INDEX('Player Raw Data'!C:C,Match($A364,'Player Raw Data'!$B:$B,0)),"")</f>
        <v/>
      </c>
      <c r="C364" t="str">
        <f t="array" ref="C364">IFERROR(INDEX('Player Raw Data'!D:D,Match($A364,'Player Raw Data'!$B:$B,0)),"")</f>
        <v/>
      </c>
      <c r="D364" t="str">
        <f t="array" ref="D364">IFERROR(IF(A364=A363, INDEX('Player Raw Data'!E:E,Match($A364,'Player Raw Data'!$B:$B,0)+2),INDEX('Player Raw Data'!E:E,Match($A364,'Player Raw Data'!$B:$B,0))),"")</f>
        <v/>
      </c>
      <c r="E364" t="str">
        <f t="array" ref="E364">IFERROR(INDEX('Day Range Raw Data'!D:D,Match($A364,'Day Range Raw Data'!$B:$B,0)),"")</f>
        <v/>
      </c>
      <c r="F364" t="str">
        <f t="array" ref="F364">IFERROR(INDEX('Day Range Raw Data'!F:F,Match($A364,'Day Range Raw Data'!$B:$B,0)),"")</f>
        <v/>
      </c>
      <c r="G364" t="str">
        <f t="array" ref="G364">IFERROR(INDEX('Day Range Raw Data'!G:G,Match($A364,'Day Range Raw Data'!$B:$B,0)),"")</f>
        <v/>
      </c>
      <c r="H364" t="str">
        <f t="array" ref="H364">IFERROR(INDEX('Day Range Raw Data'!H:H,Match($A364,'Day Range Raw Data'!$B:$B,0)),"")</f>
        <v/>
      </c>
      <c r="I364" t="str">
        <f t="array" ref="I364">IFERROR(INDEX('Day Range Raw Data'!M:M,Match($A364,'Day Range Raw Data'!$B:$B,0)),"")</f>
        <v/>
      </c>
      <c r="J364" t="str">
        <f t="array" ref="J364">IFERROR(INDEX('Day Range Raw Data'!N:N,Match($A364,'Day Range Raw Data'!$B:$B,0)),"")</f>
        <v/>
      </c>
      <c r="K364" t="str">
        <f t="array" ref="K364">IFERROR(INDEX('Day Range Raw Data'!R:R,Match($A364,'Day Range Raw Data'!$B:$B,0)),"")</f>
        <v/>
      </c>
      <c r="L364" t="str">
        <f t="array" ref="L364">IFERROR(INDEX('Day Range Raw Data'!S:S,Match($A364,'Day Range Raw Data'!$B:$B,0)),"")</f>
        <v/>
      </c>
      <c r="M364" t="str">
        <f t="array" ref="M364">IFERROR(INDEX('Day Range Raw Data'!T:T,Match($A364,'Day Range Raw Data'!$B:$B,0)),"")</f>
        <v/>
      </c>
      <c r="N364" t="str">
        <f t="array" ref="N364">IFERROR(INDEX('Day Range Raw Data'!U:U,Match($A364,'Day Range Raw Data'!$B:$B,0)),"")</f>
        <v/>
      </c>
      <c r="O364" t="str">
        <f t="array" ref="O364">IFERROR(INDEX('Day Range Raw Data'!V:V,Match($A364,'Day Range Raw Data'!$B:$B,0)),"")</f>
        <v/>
      </c>
      <c r="P364" t="str">
        <f t="array" ref="P364">IFERROR(INDEX('Day Range Raw Data'!X:X,Match($A364,'Day Range Raw Data'!$B:$B,0)),"")</f>
        <v/>
      </c>
      <c r="Q364" t="str">
        <f t="shared" si="1"/>
        <v/>
      </c>
      <c r="R364" s="9" t="str">
        <f t="shared" si="2"/>
        <v/>
      </c>
      <c r="S364" s="14" t="str">
        <f t="shared" si="3"/>
        <v/>
      </c>
      <c r="T364" s="15" t="str">
        <f>IFERROR(__xludf.DUMMYFUNCTION("IF($A364="""","""",IFERROR(PERCENTRANK.INC(FILTER(Q:Q,$F:$F&lt;&gt;""""),Q364)*100,""""))"),"")</f>
        <v/>
      </c>
      <c r="U364" s="15" t="str">
        <f>IFERROR(__xludf.DUMMYFUNCTION("IF($A364="""","""",IFERROR(PERCENTRANK.INC(FILTER(R:R,$F:$F&lt;&gt;""""),R364)*100,""""))"),"")</f>
        <v/>
      </c>
      <c r="V364" s="15" t="str">
        <f>IFERROR(__xludf.DUMMYFUNCTION("IF($A364="""","""",IFERROR(PERCENTRANK.INC(FILTER(S:S,$F:$F&lt;&gt;""""),S364)*100,""""))"),"")</f>
        <v/>
      </c>
      <c r="W364" s="15" t="str">
        <f t="shared" si="4"/>
        <v/>
      </c>
    </row>
    <row r="365">
      <c r="B365" t="str">
        <f t="array" ref="B365">IFERROR(INDEX('Player Raw Data'!C:C,Match($A365,'Player Raw Data'!$B:$B,0)),"")</f>
        <v/>
      </c>
      <c r="C365" t="str">
        <f t="array" ref="C365">IFERROR(INDEX('Player Raw Data'!D:D,Match($A365,'Player Raw Data'!$B:$B,0)),"")</f>
        <v/>
      </c>
      <c r="D365" t="str">
        <f t="array" ref="D365">IFERROR(IF(A365=A364, INDEX('Player Raw Data'!E:E,Match($A365,'Player Raw Data'!$B:$B,0)+2),INDEX('Player Raw Data'!E:E,Match($A365,'Player Raw Data'!$B:$B,0))),"")</f>
        <v/>
      </c>
      <c r="E365" t="str">
        <f t="array" ref="E365">IFERROR(INDEX('Day Range Raw Data'!D:D,Match($A365,'Day Range Raw Data'!$B:$B,0)),"")</f>
        <v/>
      </c>
      <c r="F365" t="str">
        <f t="array" ref="F365">IFERROR(INDEX('Day Range Raw Data'!F:F,Match($A365,'Day Range Raw Data'!$B:$B,0)),"")</f>
        <v/>
      </c>
      <c r="G365" t="str">
        <f t="array" ref="G365">IFERROR(INDEX('Day Range Raw Data'!G:G,Match($A365,'Day Range Raw Data'!$B:$B,0)),"")</f>
        <v/>
      </c>
      <c r="H365" t="str">
        <f t="array" ref="H365">IFERROR(INDEX('Day Range Raw Data'!H:H,Match($A365,'Day Range Raw Data'!$B:$B,0)),"")</f>
        <v/>
      </c>
      <c r="I365" t="str">
        <f t="array" ref="I365">IFERROR(INDEX('Day Range Raw Data'!M:M,Match($A365,'Day Range Raw Data'!$B:$B,0)),"")</f>
        <v/>
      </c>
      <c r="J365" t="str">
        <f t="array" ref="J365">IFERROR(INDEX('Day Range Raw Data'!N:N,Match($A365,'Day Range Raw Data'!$B:$B,0)),"")</f>
        <v/>
      </c>
      <c r="K365" t="str">
        <f t="array" ref="K365">IFERROR(INDEX('Day Range Raw Data'!R:R,Match($A365,'Day Range Raw Data'!$B:$B,0)),"")</f>
        <v/>
      </c>
      <c r="L365" t="str">
        <f t="array" ref="L365">IFERROR(INDEX('Day Range Raw Data'!S:S,Match($A365,'Day Range Raw Data'!$B:$B,0)),"")</f>
        <v/>
      </c>
      <c r="M365" t="str">
        <f t="array" ref="M365">IFERROR(INDEX('Day Range Raw Data'!T:T,Match($A365,'Day Range Raw Data'!$B:$B,0)),"")</f>
        <v/>
      </c>
      <c r="N365" t="str">
        <f t="array" ref="N365">IFERROR(INDEX('Day Range Raw Data'!U:U,Match($A365,'Day Range Raw Data'!$B:$B,0)),"")</f>
        <v/>
      </c>
      <c r="O365" t="str">
        <f t="array" ref="O365">IFERROR(INDEX('Day Range Raw Data'!V:V,Match($A365,'Day Range Raw Data'!$B:$B,0)),"")</f>
        <v/>
      </c>
      <c r="P365" t="str">
        <f t="array" ref="P365">IFERROR(INDEX('Day Range Raw Data'!X:X,Match($A365,'Day Range Raw Data'!$B:$B,0)),"")</f>
        <v/>
      </c>
      <c r="Q365" t="str">
        <f t="shared" si="1"/>
        <v/>
      </c>
      <c r="R365" s="9" t="str">
        <f t="shared" si="2"/>
        <v/>
      </c>
      <c r="S365" s="14" t="str">
        <f t="shared" si="3"/>
        <v/>
      </c>
      <c r="T365" s="15" t="str">
        <f>IFERROR(__xludf.DUMMYFUNCTION("IF($A365="""","""",IFERROR(PERCENTRANK.INC(FILTER(Q:Q,$F:$F&lt;&gt;""""),Q365)*100,""""))"),"")</f>
        <v/>
      </c>
      <c r="U365" s="15" t="str">
        <f>IFERROR(__xludf.DUMMYFUNCTION("IF($A365="""","""",IFERROR(PERCENTRANK.INC(FILTER(R:R,$F:$F&lt;&gt;""""),R365)*100,""""))"),"")</f>
        <v/>
      </c>
      <c r="V365" s="15" t="str">
        <f>IFERROR(__xludf.DUMMYFUNCTION("IF($A365="""","""",IFERROR(PERCENTRANK.INC(FILTER(S:S,$F:$F&lt;&gt;""""),S365)*100,""""))"),"")</f>
        <v/>
      </c>
      <c r="W365" s="15" t="str">
        <f t="shared" si="4"/>
        <v/>
      </c>
    </row>
    <row r="366">
      <c r="B366" t="str">
        <f t="array" ref="B366">IFERROR(INDEX('Player Raw Data'!C:C,Match($A366,'Player Raw Data'!$B:$B,0)),"")</f>
        <v/>
      </c>
      <c r="C366" t="str">
        <f t="array" ref="C366">IFERROR(INDEX('Player Raw Data'!D:D,Match($A366,'Player Raw Data'!$B:$B,0)),"")</f>
        <v/>
      </c>
      <c r="D366" t="str">
        <f t="array" ref="D366">IFERROR(IF(A366=A365, INDEX('Player Raw Data'!E:E,Match($A366,'Player Raw Data'!$B:$B,0)+2),INDEX('Player Raw Data'!E:E,Match($A366,'Player Raw Data'!$B:$B,0))),"")</f>
        <v/>
      </c>
      <c r="E366" t="str">
        <f t="array" ref="E366">IFERROR(INDEX('Day Range Raw Data'!D:D,Match($A366,'Day Range Raw Data'!$B:$B,0)),"")</f>
        <v/>
      </c>
      <c r="F366" t="str">
        <f t="array" ref="F366">IFERROR(INDEX('Day Range Raw Data'!F:F,Match($A366,'Day Range Raw Data'!$B:$B,0)),"")</f>
        <v/>
      </c>
      <c r="G366" t="str">
        <f t="array" ref="G366">IFERROR(INDEX('Day Range Raw Data'!G:G,Match($A366,'Day Range Raw Data'!$B:$B,0)),"")</f>
        <v/>
      </c>
      <c r="H366" t="str">
        <f t="array" ref="H366">IFERROR(INDEX('Day Range Raw Data'!H:H,Match($A366,'Day Range Raw Data'!$B:$B,0)),"")</f>
        <v/>
      </c>
      <c r="I366" t="str">
        <f t="array" ref="I366">IFERROR(INDEX('Day Range Raw Data'!M:M,Match($A366,'Day Range Raw Data'!$B:$B,0)),"")</f>
        <v/>
      </c>
      <c r="J366" t="str">
        <f t="array" ref="J366">IFERROR(INDEX('Day Range Raw Data'!N:N,Match($A366,'Day Range Raw Data'!$B:$B,0)),"")</f>
        <v/>
      </c>
      <c r="K366" t="str">
        <f t="array" ref="K366">IFERROR(INDEX('Day Range Raw Data'!R:R,Match($A366,'Day Range Raw Data'!$B:$B,0)),"")</f>
        <v/>
      </c>
      <c r="L366" t="str">
        <f t="array" ref="L366">IFERROR(INDEX('Day Range Raw Data'!S:S,Match($A366,'Day Range Raw Data'!$B:$B,0)),"")</f>
        <v/>
      </c>
      <c r="M366" t="str">
        <f t="array" ref="M366">IFERROR(INDEX('Day Range Raw Data'!T:T,Match($A366,'Day Range Raw Data'!$B:$B,0)),"")</f>
        <v/>
      </c>
      <c r="N366" t="str">
        <f t="array" ref="N366">IFERROR(INDEX('Day Range Raw Data'!U:U,Match($A366,'Day Range Raw Data'!$B:$B,0)),"")</f>
        <v/>
      </c>
      <c r="O366" t="str">
        <f t="array" ref="O366">IFERROR(INDEX('Day Range Raw Data'!V:V,Match($A366,'Day Range Raw Data'!$B:$B,0)),"")</f>
        <v/>
      </c>
      <c r="P366" t="str">
        <f t="array" ref="P366">IFERROR(INDEX('Day Range Raw Data'!X:X,Match($A366,'Day Range Raw Data'!$B:$B,0)),"")</f>
        <v/>
      </c>
      <c r="Q366" t="str">
        <f t="shared" si="1"/>
        <v/>
      </c>
      <c r="R366" s="9" t="str">
        <f t="shared" si="2"/>
        <v/>
      </c>
      <c r="S366" s="14" t="str">
        <f t="shared" si="3"/>
        <v/>
      </c>
      <c r="T366" s="15" t="str">
        <f>IFERROR(__xludf.DUMMYFUNCTION("IF($A366="""","""",IFERROR(PERCENTRANK.INC(FILTER(Q:Q,$F:$F&lt;&gt;""""),Q366)*100,""""))"),"")</f>
        <v/>
      </c>
      <c r="U366" s="15" t="str">
        <f>IFERROR(__xludf.DUMMYFUNCTION("IF($A366="""","""",IFERROR(PERCENTRANK.INC(FILTER(R:R,$F:$F&lt;&gt;""""),R366)*100,""""))"),"")</f>
        <v/>
      </c>
      <c r="V366" s="15" t="str">
        <f>IFERROR(__xludf.DUMMYFUNCTION("IF($A366="""","""",IFERROR(PERCENTRANK.INC(FILTER(S:S,$F:$F&lt;&gt;""""),S366)*100,""""))"),"")</f>
        <v/>
      </c>
      <c r="W366" s="15" t="str">
        <f t="shared" si="4"/>
        <v/>
      </c>
    </row>
    <row r="367">
      <c r="B367" t="str">
        <f t="array" ref="B367">IFERROR(INDEX('Player Raw Data'!C:C,Match($A367,'Player Raw Data'!$B:$B,0)),"")</f>
        <v/>
      </c>
      <c r="C367" t="str">
        <f t="array" ref="C367">IFERROR(INDEX('Player Raw Data'!D:D,Match($A367,'Player Raw Data'!$B:$B,0)),"")</f>
        <v/>
      </c>
      <c r="D367" t="str">
        <f t="array" ref="D367">IFERROR(IF(A367=A366, INDEX('Player Raw Data'!E:E,Match($A367,'Player Raw Data'!$B:$B,0)+2),INDEX('Player Raw Data'!E:E,Match($A367,'Player Raw Data'!$B:$B,0))),"")</f>
        <v/>
      </c>
      <c r="E367" t="str">
        <f t="array" ref="E367">IFERROR(INDEX('Day Range Raw Data'!D:D,Match($A367,'Day Range Raw Data'!$B:$B,0)),"")</f>
        <v/>
      </c>
      <c r="F367" t="str">
        <f t="array" ref="F367">IFERROR(INDEX('Day Range Raw Data'!F:F,Match($A367,'Day Range Raw Data'!$B:$B,0)),"")</f>
        <v/>
      </c>
      <c r="G367" t="str">
        <f t="array" ref="G367">IFERROR(INDEX('Day Range Raw Data'!G:G,Match($A367,'Day Range Raw Data'!$B:$B,0)),"")</f>
        <v/>
      </c>
      <c r="H367" t="str">
        <f t="array" ref="H367">IFERROR(INDEX('Day Range Raw Data'!H:H,Match($A367,'Day Range Raw Data'!$B:$B,0)),"")</f>
        <v/>
      </c>
      <c r="I367" t="str">
        <f t="array" ref="I367">IFERROR(INDEX('Day Range Raw Data'!M:M,Match($A367,'Day Range Raw Data'!$B:$B,0)),"")</f>
        <v/>
      </c>
      <c r="J367" t="str">
        <f t="array" ref="J367">IFERROR(INDEX('Day Range Raw Data'!N:N,Match($A367,'Day Range Raw Data'!$B:$B,0)),"")</f>
        <v/>
      </c>
      <c r="K367" t="str">
        <f t="array" ref="K367">IFERROR(INDEX('Day Range Raw Data'!R:R,Match($A367,'Day Range Raw Data'!$B:$B,0)),"")</f>
        <v/>
      </c>
      <c r="L367" t="str">
        <f t="array" ref="L367">IFERROR(INDEX('Day Range Raw Data'!S:S,Match($A367,'Day Range Raw Data'!$B:$B,0)),"")</f>
        <v/>
      </c>
      <c r="M367" t="str">
        <f t="array" ref="M367">IFERROR(INDEX('Day Range Raw Data'!T:T,Match($A367,'Day Range Raw Data'!$B:$B,0)),"")</f>
        <v/>
      </c>
      <c r="N367" t="str">
        <f t="array" ref="N367">IFERROR(INDEX('Day Range Raw Data'!U:U,Match($A367,'Day Range Raw Data'!$B:$B,0)),"")</f>
        <v/>
      </c>
      <c r="O367" t="str">
        <f t="array" ref="O367">IFERROR(INDEX('Day Range Raw Data'!V:V,Match($A367,'Day Range Raw Data'!$B:$B,0)),"")</f>
        <v/>
      </c>
      <c r="P367" t="str">
        <f t="array" ref="P367">IFERROR(INDEX('Day Range Raw Data'!X:X,Match($A367,'Day Range Raw Data'!$B:$B,0)),"")</f>
        <v/>
      </c>
      <c r="Q367" t="str">
        <f t="shared" si="1"/>
        <v/>
      </c>
      <c r="R367" s="9" t="str">
        <f t="shared" si="2"/>
        <v/>
      </c>
      <c r="S367" s="14" t="str">
        <f t="shared" si="3"/>
        <v/>
      </c>
      <c r="T367" s="15" t="str">
        <f>IFERROR(__xludf.DUMMYFUNCTION("IF($A367="""","""",IFERROR(PERCENTRANK.INC(FILTER(Q:Q,$F:$F&lt;&gt;""""),Q367)*100,""""))"),"")</f>
        <v/>
      </c>
      <c r="U367" s="15" t="str">
        <f>IFERROR(__xludf.DUMMYFUNCTION("IF($A367="""","""",IFERROR(PERCENTRANK.INC(FILTER(R:R,$F:$F&lt;&gt;""""),R367)*100,""""))"),"")</f>
        <v/>
      </c>
      <c r="V367" s="15" t="str">
        <f>IFERROR(__xludf.DUMMYFUNCTION("IF($A367="""","""",IFERROR(PERCENTRANK.INC(FILTER(S:S,$F:$F&lt;&gt;""""),S367)*100,""""))"),"")</f>
        <v/>
      </c>
      <c r="W367" s="15" t="str">
        <f t="shared" si="4"/>
        <v/>
      </c>
    </row>
    <row r="368">
      <c r="B368" t="str">
        <f t="array" ref="B368">IFERROR(INDEX('Player Raw Data'!C:C,Match($A368,'Player Raw Data'!$B:$B,0)),"")</f>
        <v/>
      </c>
      <c r="C368" t="str">
        <f t="array" ref="C368">IFERROR(INDEX('Player Raw Data'!D:D,Match($A368,'Player Raw Data'!$B:$B,0)),"")</f>
        <v/>
      </c>
      <c r="D368" t="str">
        <f t="array" ref="D368">IFERROR(IF(A368=A367, INDEX('Player Raw Data'!E:E,Match($A368,'Player Raw Data'!$B:$B,0)+2),INDEX('Player Raw Data'!E:E,Match($A368,'Player Raw Data'!$B:$B,0))),"")</f>
        <v/>
      </c>
      <c r="E368" t="str">
        <f t="array" ref="E368">IFERROR(INDEX('Day Range Raw Data'!D:D,Match($A368,'Day Range Raw Data'!$B:$B,0)),"")</f>
        <v/>
      </c>
      <c r="F368" t="str">
        <f t="array" ref="F368">IFERROR(INDEX('Day Range Raw Data'!F:F,Match($A368,'Day Range Raw Data'!$B:$B,0)),"")</f>
        <v/>
      </c>
      <c r="G368" t="str">
        <f t="array" ref="G368">IFERROR(INDEX('Day Range Raw Data'!G:G,Match($A368,'Day Range Raw Data'!$B:$B,0)),"")</f>
        <v/>
      </c>
      <c r="H368" t="str">
        <f t="array" ref="H368">IFERROR(INDEX('Day Range Raw Data'!H:H,Match($A368,'Day Range Raw Data'!$B:$B,0)),"")</f>
        <v/>
      </c>
      <c r="I368" t="str">
        <f t="array" ref="I368">IFERROR(INDEX('Day Range Raw Data'!M:M,Match($A368,'Day Range Raw Data'!$B:$B,0)),"")</f>
        <v/>
      </c>
      <c r="J368" t="str">
        <f t="array" ref="J368">IFERROR(INDEX('Day Range Raw Data'!N:N,Match($A368,'Day Range Raw Data'!$B:$B,0)),"")</f>
        <v/>
      </c>
      <c r="K368" t="str">
        <f t="array" ref="K368">IFERROR(INDEX('Day Range Raw Data'!R:R,Match($A368,'Day Range Raw Data'!$B:$B,0)),"")</f>
        <v/>
      </c>
      <c r="L368" t="str">
        <f t="array" ref="L368">IFERROR(INDEX('Day Range Raw Data'!S:S,Match($A368,'Day Range Raw Data'!$B:$B,0)),"")</f>
        <v/>
      </c>
      <c r="M368" t="str">
        <f t="array" ref="M368">IFERROR(INDEX('Day Range Raw Data'!T:T,Match($A368,'Day Range Raw Data'!$B:$B,0)),"")</f>
        <v/>
      </c>
      <c r="N368" t="str">
        <f t="array" ref="N368">IFERROR(INDEX('Day Range Raw Data'!U:U,Match($A368,'Day Range Raw Data'!$B:$B,0)),"")</f>
        <v/>
      </c>
      <c r="O368" t="str">
        <f t="array" ref="O368">IFERROR(INDEX('Day Range Raw Data'!V:V,Match($A368,'Day Range Raw Data'!$B:$B,0)),"")</f>
        <v/>
      </c>
      <c r="P368" t="str">
        <f t="array" ref="P368">IFERROR(INDEX('Day Range Raw Data'!X:X,Match($A368,'Day Range Raw Data'!$B:$B,0)),"")</f>
        <v/>
      </c>
      <c r="Q368" t="str">
        <f t="shared" si="1"/>
        <v/>
      </c>
      <c r="R368" s="9" t="str">
        <f t="shared" si="2"/>
        <v/>
      </c>
      <c r="S368" s="14" t="str">
        <f t="shared" si="3"/>
        <v/>
      </c>
      <c r="T368" s="15" t="str">
        <f>IFERROR(__xludf.DUMMYFUNCTION("IF($A368="""","""",IFERROR(PERCENTRANK.INC(FILTER(Q:Q,$F:$F&lt;&gt;""""),Q368)*100,""""))"),"")</f>
        <v/>
      </c>
      <c r="U368" s="15" t="str">
        <f>IFERROR(__xludf.DUMMYFUNCTION("IF($A368="""","""",IFERROR(PERCENTRANK.INC(FILTER(R:R,$F:$F&lt;&gt;""""),R368)*100,""""))"),"")</f>
        <v/>
      </c>
      <c r="V368" s="15" t="str">
        <f>IFERROR(__xludf.DUMMYFUNCTION("IF($A368="""","""",IFERROR(PERCENTRANK.INC(FILTER(S:S,$F:$F&lt;&gt;""""),S368)*100,""""))"),"")</f>
        <v/>
      </c>
      <c r="W368" s="15" t="str">
        <f t="shared" si="4"/>
        <v/>
      </c>
    </row>
    <row r="369">
      <c r="B369" t="str">
        <f t="array" ref="B369">IFERROR(INDEX('Player Raw Data'!C:C,Match($A369,'Player Raw Data'!$B:$B,0)),"")</f>
        <v/>
      </c>
      <c r="C369" t="str">
        <f t="array" ref="C369">IFERROR(INDEX('Player Raw Data'!D:D,Match($A369,'Player Raw Data'!$B:$B,0)),"")</f>
        <v/>
      </c>
      <c r="D369" t="str">
        <f t="array" ref="D369">IFERROR(IF(A369=A368, INDEX('Player Raw Data'!E:E,Match($A369,'Player Raw Data'!$B:$B,0)+2),INDEX('Player Raw Data'!E:E,Match($A369,'Player Raw Data'!$B:$B,0))),"")</f>
        <v/>
      </c>
      <c r="E369" t="str">
        <f t="array" ref="E369">IFERROR(INDEX('Day Range Raw Data'!D:D,Match($A369,'Day Range Raw Data'!$B:$B,0)),"")</f>
        <v/>
      </c>
      <c r="F369" t="str">
        <f t="array" ref="F369">IFERROR(INDEX('Day Range Raw Data'!F:F,Match($A369,'Day Range Raw Data'!$B:$B,0)),"")</f>
        <v/>
      </c>
      <c r="G369" t="str">
        <f t="array" ref="G369">IFERROR(INDEX('Day Range Raw Data'!G:G,Match($A369,'Day Range Raw Data'!$B:$B,0)),"")</f>
        <v/>
      </c>
      <c r="H369" t="str">
        <f t="array" ref="H369">IFERROR(INDEX('Day Range Raw Data'!H:H,Match($A369,'Day Range Raw Data'!$B:$B,0)),"")</f>
        <v/>
      </c>
      <c r="I369" t="str">
        <f t="array" ref="I369">IFERROR(INDEX('Day Range Raw Data'!M:M,Match($A369,'Day Range Raw Data'!$B:$B,0)),"")</f>
        <v/>
      </c>
      <c r="J369" t="str">
        <f t="array" ref="J369">IFERROR(INDEX('Day Range Raw Data'!N:N,Match($A369,'Day Range Raw Data'!$B:$B,0)),"")</f>
        <v/>
      </c>
      <c r="K369" t="str">
        <f t="array" ref="K369">IFERROR(INDEX('Day Range Raw Data'!R:R,Match($A369,'Day Range Raw Data'!$B:$B,0)),"")</f>
        <v/>
      </c>
      <c r="L369" t="str">
        <f t="array" ref="L369">IFERROR(INDEX('Day Range Raw Data'!S:S,Match($A369,'Day Range Raw Data'!$B:$B,0)),"")</f>
        <v/>
      </c>
      <c r="M369" t="str">
        <f t="array" ref="M369">IFERROR(INDEX('Day Range Raw Data'!T:T,Match($A369,'Day Range Raw Data'!$B:$B,0)),"")</f>
        <v/>
      </c>
      <c r="N369" t="str">
        <f t="array" ref="N369">IFERROR(INDEX('Day Range Raw Data'!U:U,Match($A369,'Day Range Raw Data'!$B:$B,0)),"")</f>
        <v/>
      </c>
      <c r="O369" t="str">
        <f t="array" ref="O369">IFERROR(INDEX('Day Range Raw Data'!V:V,Match($A369,'Day Range Raw Data'!$B:$B,0)),"")</f>
        <v/>
      </c>
      <c r="P369" t="str">
        <f t="array" ref="P369">IFERROR(INDEX('Day Range Raw Data'!X:X,Match($A369,'Day Range Raw Data'!$B:$B,0)),"")</f>
        <v/>
      </c>
      <c r="Q369" t="str">
        <f t="shared" si="1"/>
        <v/>
      </c>
      <c r="R369" s="9" t="str">
        <f t="shared" si="2"/>
        <v/>
      </c>
      <c r="S369" s="14" t="str">
        <f t="shared" si="3"/>
        <v/>
      </c>
      <c r="T369" s="15" t="str">
        <f>IFERROR(__xludf.DUMMYFUNCTION("IF($A369="""","""",IFERROR(PERCENTRANK.INC(FILTER(Q:Q,$F:$F&lt;&gt;""""),Q369)*100,""""))"),"")</f>
        <v/>
      </c>
      <c r="U369" s="15" t="str">
        <f>IFERROR(__xludf.DUMMYFUNCTION("IF($A369="""","""",IFERROR(PERCENTRANK.INC(FILTER(R:R,$F:$F&lt;&gt;""""),R369)*100,""""))"),"")</f>
        <v/>
      </c>
      <c r="V369" s="15" t="str">
        <f>IFERROR(__xludf.DUMMYFUNCTION("IF($A369="""","""",IFERROR(PERCENTRANK.INC(FILTER(S:S,$F:$F&lt;&gt;""""),S369)*100,""""))"),"")</f>
        <v/>
      </c>
      <c r="W369" s="15" t="str">
        <f t="shared" si="4"/>
        <v/>
      </c>
    </row>
    <row r="370">
      <c r="B370" t="str">
        <f t="array" ref="B370">IFERROR(INDEX('Player Raw Data'!C:C,Match($A370,'Player Raw Data'!$B:$B,0)),"")</f>
        <v/>
      </c>
      <c r="C370" t="str">
        <f t="array" ref="C370">IFERROR(INDEX('Player Raw Data'!D:D,Match($A370,'Player Raw Data'!$B:$B,0)),"")</f>
        <v/>
      </c>
      <c r="D370" t="str">
        <f t="array" ref="D370">IFERROR(IF(A370=A369, INDEX('Player Raw Data'!E:E,Match($A370,'Player Raw Data'!$B:$B,0)+2),INDEX('Player Raw Data'!E:E,Match($A370,'Player Raw Data'!$B:$B,0))),"")</f>
        <v/>
      </c>
      <c r="E370" t="str">
        <f t="array" ref="E370">IFERROR(INDEX('Day Range Raw Data'!D:D,Match($A370,'Day Range Raw Data'!$B:$B,0)),"")</f>
        <v/>
      </c>
      <c r="F370" t="str">
        <f t="array" ref="F370">IFERROR(INDEX('Day Range Raw Data'!F:F,Match($A370,'Day Range Raw Data'!$B:$B,0)),"")</f>
        <v/>
      </c>
      <c r="G370" t="str">
        <f t="array" ref="G370">IFERROR(INDEX('Day Range Raw Data'!G:G,Match($A370,'Day Range Raw Data'!$B:$B,0)),"")</f>
        <v/>
      </c>
      <c r="H370" t="str">
        <f t="array" ref="H370">IFERROR(INDEX('Day Range Raw Data'!H:H,Match($A370,'Day Range Raw Data'!$B:$B,0)),"")</f>
        <v/>
      </c>
      <c r="I370" t="str">
        <f t="array" ref="I370">IFERROR(INDEX('Day Range Raw Data'!M:M,Match($A370,'Day Range Raw Data'!$B:$B,0)),"")</f>
        <v/>
      </c>
      <c r="J370" t="str">
        <f t="array" ref="J370">IFERROR(INDEX('Day Range Raw Data'!N:N,Match($A370,'Day Range Raw Data'!$B:$B,0)),"")</f>
        <v/>
      </c>
      <c r="K370" t="str">
        <f t="array" ref="K370">IFERROR(INDEX('Day Range Raw Data'!R:R,Match($A370,'Day Range Raw Data'!$B:$B,0)),"")</f>
        <v/>
      </c>
      <c r="L370" t="str">
        <f t="array" ref="L370">IFERROR(INDEX('Day Range Raw Data'!S:S,Match($A370,'Day Range Raw Data'!$B:$B,0)),"")</f>
        <v/>
      </c>
      <c r="M370" t="str">
        <f t="array" ref="M370">IFERROR(INDEX('Day Range Raw Data'!T:T,Match($A370,'Day Range Raw Data'!$B:$B,0)),"")</f>
        <v/>
      </c>
      <c r="N370" t="str">
        <f t="array" ref="N370">IFERROR(INDEX('Day Range Raw Data'!U:U,Match($A370,'Day Range Raw Data'!$B:$B,0)),"")</f>
        <v/>
      </c>
      <c r="O370" t="str">
        <f t="array" ref="O370">IFERROR(INDEX('Day Range Raw Data'!V:V,Match($A370,'Day Range Raw Data'!$B:$B,0)),"")</f>
        <v/>
      </c>
      <c r="P370" t="str">
        <f t="array" ref="P370">IFERROR(INDEX('Day Range Raw Data'!X:X,Match($A370,'Day Range Raw Data'!$B:$B,0)),"")</f>
        <v/>
      </c>
      <c r="Q370" t="str">
        <f t="shared" si="1"/>
        <v/>
      </c>
      <c r="R370" s="9" t="str">
        <f t="shared" si="2"/>
        <v/>
      </c>
      <c r="S370" s="14" t="str">
        <f t="shared" si="3"/>
        <v/>
      </c>
      <c r="T370" s="15" t="str">
        <f>IFERROR(__xludf.DUMMYFUNCTION("IF($A370="""","""",IFERROR(PERCENTRANK.INC(FILTER(Q:Q,$F:$F&lt;&gt;""""),Q370)*100,""""))"),"")</f>
        <v/>
      </c>
      <c r="U370" s="15" t="str">
        <f>IFERROR(__xludf.DUMMYFUNCTION("IF($A370="""","""",IFERROR(PERCENTRANK.INC(FILTER(R:R,$F:$F&lt;&gt;""""),R370)*100,""""))"),"")</f>
        <v/>
      </c>
      <c r="V370" s="15" t="str">
        <f>IFERROR(__xludf.DUMMYFUNCTION("IF($A370="""","""",IFERROR(PERCENTRANK.INC(FILTER(S:S,$F:$F&lt;&gt;""""),S370)*100,""""))"),"")</f>
        <v/>
      </c>
      <c r="W370" s="15" t="str">
        <f t="shared" si="4"/>
        <v/>
      </c>
    </row>
    <row r="371">
      <c r="B371" t="str">
        <f t="array" ref="B371">IFERROR(INDEX('Player Raw Data'!C:C,Match($A371,'Player Raw Data'!$B:$B,0)),"")</f>
        <v/>
      </c>
      <c r="C371" t="str">
        <f t="array" ref="C371">IFERROR(INDEX('Player Raw Data'!D:D,Match($A371,'Player Raw Data'!$B:$B,0)),"")</f>
        <v/>
      </c>
      <c r="D371" t="str">
        <f t="array" ref="D371">IFERROR(IF(A371=A370, INDEX('Player Raw Data'!E:E,Match($A371,'Player Raw Data'!$B:$B,0)+2),INDEX('Player Raw Data'!E:E,Match($A371,'Player Raw Data'!$B:$B,0))),"")</f>
        <v/>
      </c>
      <c r="E371" t="str">
        <f t="array" ref="E371">IFERROR(INDEX('Day Range Raw Data'!D:D,Match($A371,'Day Range Raw Data'!$B:$B,0)),"")</f>
        <v/>
      </c>
      <c r="F371" t="str">
        <f t="array" ref="F371">IFERROR(INDEX('Day Range Raw Data'!F:F,Match($A371,'Day Range Raw Data'!$B:$B,0)),"")</f>
        <v/>
      </c>
      <c r="G371" t="str">
        <f t="array" ref="G371">IFERROR(INDEX('Day Range Raw Data'!G:G,Match($A371,'Day Range Raw Data'!$B:$B,0)),"")</f>
        <v/>
      </c>
      <c r="H371" t="str">
        <f t="array" ref="H371">IFERROR(INDEX('Day Range Raw Data'!H:H,Match($A371,'Day Range Raw Data'!$B:$B,0)),"")</f>
        <v/>
      </c>
      <c r="I371" t="str">
        <f t="array" ref="I371">IFERROR(INDEX('Day Range Raw Data'!M:M,Match($A371,'Day Range Raw Data'!$B:$B,0)),"")</f>
        <v/>
      </c>
      <c r="J371" t="str">
        <f t="array" ref="J371">IFERROR(INDEX('Day Range Raw Data'!N:N,Match($A371,'Day Range Raw Data'!$B:$B,0)),"")</f>
        <v/>
      </c>
      <c r="K371" t="str">
        <f t="array" ref="K371">IFERROR(INDEX('Day Range Raw Data'!R:R,Match($A371,'Day Range Raw Data'!$B:$B,0)),"")</f>
        <v/>
      </c>
      <c r="L371" t="str">
        <f t="array" ref="L371">IFERROR(INDEX('Day Range Raw Data'!S:S,Match($A371,'Day Range Raw Data'!$B:$B,0)),"")</f>
        <v/>
      </c>
      <c r="M371" t="str">
        <f t="array" ref="M371">IFERROR(INDEX('Day Range Raw Data'!T:T,Match($A371,'Day Range Raw Data'!$B:$B,0)),"")</f>
        <v/>
      </c>
      <c r="N371" t="str">
        <f t="array" ref="N371">IFERROR(INDEX('Day Range Raw Data'!U:U,Match($A371,'Day Range Raw Data'!$B:$B,0)),"")</f>
        <v/>
      </c>
      <c r="O371" t="str">
        <f t="array" ref="O371">IFERROR(INDEX('Day Range Raw Data'!V:V,Match($A371,'Day Range Raw Data'!$B:$B,0)),"")</f>
        <v/>
      </c>
      <c r="P371" t="str">
        <f t="array" ref="P371">IFERROR(INDEX('Day Range Raw Data'!X:X,Match($A371,'Day Range Raw Data'!$B:$B,0)),"")</f>
        <v/>
      </c>
      <c r="Q371" t="str">
        <f t="shared" si="1"/>
        <v/>
      </c>
      <c r="R371" s="9" t="str">
        <f t="shared" si="2"/>
        <v/>
      </c>
      <c r="S371" s="14" t="str">
        <f t="shared" si="3"/>
        <v/>
      </c>
      <c r="T371" s="15" t="str">
        <f>IFERROR(__xludf.DUMMYFUNCTION("IF($A371="""","""",IFERROR(PERCENTRANK.INC(FILTER(Q:Q,$F:$F&lt;&gt;""""),Q371)*100,""""))"),"")</f>
        <v/>
      </c>
      <c r="U371" s="15" t="str">
        <f>IFERROR(__xludf.DUMMYFUNCTION("IF($A371="""","""",IFERROR(PERCENTRANK.INC(FILTER(R:R,$F:$F&lt;&gt;""""),R371)*100,""""))"),"")</f>
        <v/>
      </c>
      <c r="V371" s="15" t="str">
        <f>IFERROR(__xludf.DUMMYFUNCTION("IF($A371="""","""",IFERROR(PERCENTRANK.INC(FILTER(S:S,$F:$F&lt;&gt;""""),S371)*100,""""))"),"")</f>
        <v/>
      </c>
      <c r="W371" s="15" t="str">
        <f t="shared" si="4"/>
        <v/>
      </c>
    </row>
    <row r="372">
      <c r="B372" t="str">
        <f t="array" ref="B372">IFERROR(INDEX('Player Raw Data'!C:C,Match($A372,'Player Raw Data'!$B:$B,0)),"")</f>
        <v/>
      </c>
      <c r="C372" t="str">
        <f t="array" ref="C372">IFERROR(INDEX('Player Raw Data'!D:D,Match($A372,'Player Raw Data'!$B:$B,0)),"")</f>
        <v/>
      </c>
      <c r="D372" t="str">
        <f t="array" ref="D372">IFERROR(IF(A372=A371, INDEX('Player Raw Data'!E:E,Match($A372,'Player Raw Data'!$B:$B,0)+2),INDEX('Player Raw Data'!E:E,Match($A372,'Player Raw Data'!$B:$B,0))),"")</f>
        <v/>
      </c>
      <c r="E372" t="str">
        <f t="array" ref="E372">IFERROR(INDEX('Day Range Raw Data'!D:D,Match($A372,'Day Range Raw Data'!$B:$B,0)),"")</f>
        <v/>
      </c>
      <c r="F372" t="str">
        <f t="array" ref="F372">IFERROR(INDEX('Day Range Raw Data'!F:F,Match($A372,'Day Range Raw Data'!$B:$B,0)),"")</f>
        <v/>
      </c>
      <c r="G372" t="str">
        <f t="array" ref="G372">IFERROR(INDEX('Day Range Raw Data'!G:G,Match($A372,'Day Range Raw Data'!$B:$B,0)),"")</f>
        <v/>
      </c>
      <c r="H372" t="str">
        <f t="array" ref="H372">IFERROR(INDEX('Day Range Raw Data'!H:H,Match($A372,'Day Range Raw Data'!$B:$B,0)),"")</f>
        <v/>
      </c>
      <c r="I372" t="str">
        <f t="array" ref="I372">IFERROR(INDEX('Day Range Raw Data'!M:M,Match($A372,'Day Range Raw Data'!$B:$B,0)),"")</f>
        <v/>
      </c>
      <c r="J372" t="str">
        <f t="array" ref="J372">IFERROR(INDEX('Day Range Raw Data'!N:N,Match($A372,'Day Range Raw Data'!$B:$B,0)),"")</f>
        <v/>
      </c>
      <c r="K372" t="str">
        <f t="array" ref="K372">IFERROR(INDEX('Day Range Raw Data'!R:R,Match($A372,'Day Range Raw Data'!$B:$B,0)),"")</f>
        <v/>
      </c>
      <c r="L372" t="str">
        <f t="array" ref="L372">IFERROR(INDEX('Day Range Raw Data'!S:S,Match($A372,'Day Range Raw Data'!$B:$B,0)),"")</f>
        <v/>
      </c>
      <c r="M372" t="str">
        <f t="array" ref="M372">IFERROR(INDEX('Day Range Raw Data'!T:T,Match($A372,'Day Range Raw Data'!$B:$B,0)),"")</f>
        <v/>
      </c>
      <c r="N372" t="str">
        <f t="array" ref="N372">IFERROR(INDEX('Day Range Raw Data'!U:U,Match($A372,'Day Range Raw Data'!$B:$B,0)),"")</f>
        <v/>
      </c>
      <c r="O372" t="str">
        <f t="array" ref="O372">IFERROR(INDEX('Day Range Raw Data'!V:V,Match($A372,'Day Range Raw Data'!$B:$B,0)),"")</f>
        <v/>
      </c>
      <c r="P372" t="str">
        <f t="array" ref="P372">IFERROR(INDEX('Day Range Raw Data'!X:X,Match($A372,'Day Range Raw Data'!$B:$B,0)),"")</f>
        <v/>
      </c>
      <c r="Q372" t="str">
        <f t="shared" si="1"/>
        <v/>
      </c>
      <c r="R372" s="9" t="str">
        <f t="shared" si="2"/>
        <v/>
      </c>
      <c r="S372" s="14" t="str">
        <f t="shared" si="3"/>
        <v/>
      </c>
      <c r="T372" s="15" t="str">
        <f>IFERROR(__xludf.DUMMYFUNCTION("IF($A372="""","""",IFERROR(PERCENTRANK.INC(FILTER(Q:Q,$F:$F&lt;&gt;""""),Q372)*100,""""))"),"")</f>
        <v/>
      </c>
      <c r="U372" s="15" t="str">
        <f>IFERROR(__xludf.DUMMYFUNCTION("IF($A372="""","""",IFERROR(PERCENTRANK.INC(FILTER(R:R,$F:$F&lt;&gt;""""),R372)*100,""""))"),"")</f>
        <v/>
      </c>
      <c r="V372" s="15" t="str">
        <f>IFERROR(__xludf.DUMMYFUNCTION("IF($A372="""","""",IFERROR(PERCENTRANK.INC(FILTER(S:S,$F:$F&lt;&gt;""""),S372)*100,""""))"),"")</f>
        <v/>
      </c>
      <c r="W372" s="15" t="str">
        <f t="shared" si="4"/>
        <v/>
      </c>
    </row>
    <row r="373">
      <c r="B373" t="str">
        <f t="array" ref="B373">IFERROR(INDEX('Player Raw Data'!C:C,Match($A373,'Player Raw Data'!$B:$B,0)),"")</f>
        <v/>
      </c>
      <c r="C373" t="str">
        <f t="array" ref="C373">IFERROR(INDEX('Player Raw Data'!D:D,Match($A373,'Player Raw Data'!$B:$B,0)),"")</f>
        <v/>
      </c>
      <c r="D373" t="str">
        <f t="array" ref="D373">IFERROR(IF(A373=A372, INDEX('Player Raw Data'!E:E,Match($A373,'Player Raw Data'!$B:$B,0)+2),INDEX('Player Raw Data'!E:E,Match($A373,'Player Raw Data'!$B:$B,0))),"")</f>
        <v/>
      </c>
      <c r="E373" t="str">
        <f t="array" ref="E373">IFERROR(INDEX('Day Range Raw Data'!D:D,Match($A373,'Day Range Raw Data'!$B:$B,0)),"")</f>
        <v/>
      </c>
      <c r="F373" t="str">
        <f t="array" ref="F373">IFERROR(INDEX('Day Range Raw Data'!F:F,Match($A373,'Day Range Raw Data'!$B:$B,0)),"")</f>
        <v/>
      </c>
      <c r="G373" t="str">
        <f t="array" ref="G373">IFERROR(INDEX('Day Range Raw Data'!G:G,Match($A373,'Day Range Raw Data'!$B:$B,0)),"")</f>
        <v/>
      </c>
      <c r="H373" t="str">
        <f t="array" ref="H373">IFERROR(INDEX('Day Range Raw Data'!H:H,Match($A373,'Day Range Raw Data'!$B:$B,0)),"")</f>
        <v/>
      </c>
      <c r="I373" t="str">
        <f t="array" ref="I373">IFERROR(INDEX('Day Range Raw Data'!M:M,Match($A373,'Day Range Raw Data'!$B:$B,0)),"")</f>
        <v/>
      </c>
      <c r="J373" t="str">
        <f t="array" ref="J373">IFERROR(INDEX('Day Range Raw Data'!N:N,Match($A373,'Day Range Raw Data'!$B:$B,0)),"")</f>
        <v/>
      </c>
      <c r="K373" t="str">
        <f t="array" ref="K373">IFERROR(INDEX('Day Range Raw Data'!R:R,Match($A373,'Day Range Raw Data'!$B:$B,0)),"")</f>
        <v/>
      </c>
      <c r="L373" t="str">
        <f t="array" ref="L373">IFERROR(INDEX('Day Range Raw Data'!S:S,Match($A373,'Day Range Raw Data'!$B:$B,0)),"")</f>
        <v/>
      </c>
      <c r="M373" t="str">
        <f t="array" ref="M373">IFERROR(INDEX('Day Range Raw Data'!T:T,Match($A373,'Day Range Raw Data'!$B:$B,0)),"")</f>
        <v/>
      </c>
      <c r="N373" t="str">
        <f t="array" ref="N373">IFERROR(INDEX('Day Range Raw Data'!U:U,Match($A373,'Day Range Raw Data'!$B:$B,0)),"")</f>
        <v/>
      </c>
      <c r="O373" t="str">
        <f t="array" ref="O373">IFERROR(INDEX('Day Range Raw Data'!V:V,Match($A373,'Day Range Raw Data'!$B:$B,0)),"")</f>
        <v/>
      </c>
      <c r="P373" t="str">
        <f t="array" ref="P373">IFERROR(INDEX('Day Range Raw Data'!X:X,Match($A373,'Day Range Raw Data'!$B:$B,0)),"")</f>
        <v/>
      </c>
      <c r="Q373" t="str">
        <f t="shared" si="1"/>
        <v/>
      </c>
      <c r="R373" s="9" t="str">
        <f t="shared" si="2"/>
        <v/>
      </c>
      <c r="S373" s="14" t="str">
        <f t="shared" si="3"/>
        <v/>
      </c>
      <c r="T373" s="15" t="str">
        <f>IFERROR(__xludf.DUMMYFUNCTION("IF($A373="""","""",IFERROR(PERCENTRANK.INC(FILTER(Q:Q,$F:$F&lt;&gt;""""),Q373)*100,""""))"),"")</f>
        <v/>
      </c>
      <c r="U373" s="15" t="str">
        <f>IFERROR(__xludf.DUMMYFUNCTION("IF($A373="""","""",IFERROR(PERCENTRANK.INC(FILTER(R:R,$F:$F&lt;&gt;""""),R373)*100,""""))"),"")</f>
        <v/>
      </c>
      <c r="V373" s="15" t="str">
        <f>IFERROR(__xludf.DUMMYFUNCTION("IF($A373="""","""",IFERROR(PERCENTRANK.INC(FILTER(S:S,$F:$F&lt;&gt;""""),S373)*100,""""))"),"")</f>
        <v/>
      </c>
      <c r="W373" s="15" t="str">
        <f t="shared" si="4"/>
        <v/>
      </c>
    </row>
    <row r="374">
      <c r="B374" t="str">
        <f t="array" ref="B374">IFERROR(INDEX('Player Raw Data'!C:C,Match($A374,'Player Raw Data'!$B:$B,0)),"")</f>
        <v/>
      </c>
      <c r="C374" t="str">
        <f t="array" ref="C374">IFERROR(INDEX('Player Raw Data'!D:D,Match($A374,'Player Raw Data'!$B:$B,0)),"")</f>
        <v/>
      </c>
      <c r="D374" t="str">
        <f t="array" ref="D374">IFERROR(IF(A374=A373, INDEX('Player Raw Data'!E:E,Match($A374,'Player Raw Data'!$B:$B,0)+2),INDEX('Player Raw Data'!E:E,Match($A374,'Player Raw Data'!$B:$B,0))),"")</f>
        <v/>
      </c>
      <c r="E374" t="str">
        <f t="array" ref="E374">IFERROR(INDEX('Day Range Raw Data'!D:D,Match($A374,'Day Range Raw Data'!$B:$B,0)),"")</f>
        <v/>
      </c>
      <c r="F374" t="str">
        <f t="array" ref="F374">IFERROR(INDEX('Day Range Raw Data'!F:F,Match($A374,'Day Range Raw Data'!$B:$B,0)),"")</f>
        <v/>
      </c>
      <c r="G374" t="str">
        <f t="array" ref="G374">IFERROR(INDEX('Day Range Raw Data'!G:G,Match($A374,'Day Range Raw Data'!$B:$B,0)),"")</f>
        <v/>
      </c>
      <c r="H374" t="str">
        <f t="array" ref="H374">IFERROR(INDEX('Day Range Raw Data'!H:H,Match($A374,'Day Range Raw Data'!$B:$B,0)),"")</f>
        <v/>
      </c>
      <c r="I374" t="str">
        <f t="array" ref="I374">IFERROR(INDEX('Day Range Raw Data'!M:M,Match($A374,'Day Range Raw Data'!$B:$B,0)),"")</f>
        <v/>
      </c>
      <c r="J374" t="str">
        <f t="array" ref="J374">IFERROR(INDEX('Day Range Raw Data'!N:N,Match($A374,'Day Range Raw Data'!$B:$B,0)),"")</f>
        <v/>
      </c>
      <c r="K374" t="str">
        <f t="array" ref="K374">IFERROR(INDEX('Day Range Raw Data'!R:R,Match($A374,'Day Range Raw Data'!$B:$B,0)),"")</f>
        <v/>
      </c>
      <c r="L374" t="str">
        <f t="array" ref="L374">IFERROR(INDEX('Day Range Raw Data'!S:S,Match($A374,'Day Range Raw Data'!$B:$B,0)),"")</f>
        <v/>
      </c>
      <c r="M374" t="str">
        <f t="array" ref="M374">IFERROR(INDEX('Day Range Raw Data'!T:T,Match($A374,'Day Range Raw Data'!$B:$B,0)),"")</f>
        <v/>
      </c>
      <c r="N374" t="str">
        <f t="array" ref="N374">IFERROR(INDEX('Day Range Raw Data'!U:U,Match($A374,'Day Range Raw Data'!$B:$B,0)),"")</f>
        <v/>
      </c>
      <c r="O374" t="str">
        <f t="array" ref="O374">IFERROR(INDEX('Day Range Raw Data'!V:V,Match($A374,'Day Range Raw Data'!$B:$B,0)),"")</f>
        <v/>
      </c>
      <c r="P374" t="str">
        <f t="array" ref="P374">IFERROR(INDEX('Day Range Raw Data'!X:X,Match($A374,'Day Range Raw Data'!$B:$B,0)),"")</f>
        <v/>
      </c>
      <c r="Q374" t="str">
        <f t="shared" si="1"/>
        <v/>
      </c>
      <c r="R374" s="9" t="str">
        <f t="shared" si="2"/>
        <v/>
      </c>
      <c r="S374" s="14" t="str">
        <f t="shared" si="3"/>
        <v/>
      </c>
      <c r="T374" s="15" t="str">
        <f>IFERROR(__xludf.DUMMYFUNCTION("IF($A374="""","""",IFERROR(PERCENTRANK.INC(FILTER(Q:Q,$F:$F&lt;&gt;""""),Q374)*100,""""))"),"")</f>
        <v/>
      </c>
      <c r="U374" s="15" t="str">
        <f>IFERROR(__xludf.DUMMYFUNCTION("IF($A374="""","""",IFERROR(PERCENTRANK.INC(FILTER(R:R,$F:$F&lt;&gt;""""),R374)*100,""""))"),"")</f>
        <v/>
      </c>
      <c r="V374" s="15" t="str">
        <f>IFERROR(__xludf.DUMMYFUNCTION("IF($A374="""","""",IFERROR(PERCENTRANK.INC(FILTER(S:S,$F:$F&lt;&gt;""""),S374)*100,""""))"),"")</f>
        <v/>
      </c>
      <c r="W374" s="15" t="str">
        <f t="shared" si="4"/>
        <v/>
      </c>
    </row>
    <row r="375">
      <c r="B375" t="str">
        <f t="array" ref="B375">IFERROR(INDEX('Player Raw Data'!C:C,Match($A375,'Player Raw Data'!$B:$B,0)),"")</f>
        <v/>
      </c>
      <c r="C375" t="str">
        <f t="array" ref="C375">IFERROR(INDEX('Player Raw Data'!D:D,Match($A375,'Player Raw Data'!$B:$B,0)),"")</f>
        <v/>
      </c>
      <c r="D375" t="str">
        <f t="array" ref="D375">IFERROR(IF(A375=A374, INDEX('Player Raw Data'!E:E,Match($A375,'Player Raw Data'!$B:$B,0)+2),INDEX('Player Raw Data'!E:E,Match($A375,'Player Raw Data'!$B:$B,0))),"")</f>
        <v/>
      </c>
      <c r="E375" t="str">
        <f t="array" ref="E375">IFERROR(INDEX('Day Range Raw Data'!D:D,Match($A375,'Day Range Raw Data'!$B:$B,0)),"")</f>
        <v/>
      </c>
      <c r="F375" t="str">
        <f t="array" ref="F375">IFERROR(INDEX('Day Range Raw Data'!F:F,Match($A375,'Day Range Raw Data'!$B:$B,0)),"")</f>
        <v/>
      </c>
      <c r="G375" t="str">
        <f t="array" ref="G375">IFERROR(INDEX('Day Range Raw Data'!G:G,Match($A375,'Day Range Raw Data'!$B:$B,0)),"")</f>
        <v/>
      </c>
      <c r="H375" t="str">
        <f t="array" ref="H375">IFERROR(INDEX('Day Range Raw Data'!H:H,Match($A375,'Day Range Raw Data'!$B:$B,0)),"")</f>
        <v/>
      </c>
      <c r="I375" t="str">
        <f t="array" ref="I375">IFERROR(INDEX('Day Range Raw Data'!M:M,Match($A375,'Day Range Raw Data'!$B:$B,0)),"")</f>
        <v/>
      </c>
      <c r="J375" t="str">
        <f t="array" ref="J375">IFERROR(INDEX('Day Range Raw Data'!N:N,Match($A375,'Day Range Raw Data'!$B:$B,0)),"")</f>
        <v/>
      </c>
      <c r="K375" t="str">
        <f t="array" ref="K375">IFERROR(INDEX('Day Range Raw Data'!R:R,Match($A375,'Day Range Raw Data'!$B:$B,0)),"")</f>
        <v/>
      </c>
      <c r="L375" t="str">
        <f t="array" ref="L375">IFERROR(INDEX('Day Range Raw Data'!S:S,Match($A375,'Day Range Raw Data'!$B:$B,0)),"")</f>
        <v/>
      </c>
      <c r="M375" t="str">
        <f t="array" ref="M375">IFERROR(INDEX('Day Range Raw Data'!T:T,Match($A375,'Day Range Raw Data'!$B:$B,0)),"")</f>
        <v/>
      </c>
      <c r="N375" t="str">
        <f t="array" ref="N375">IFERROR(INDEX('Day Range Raw Data'!U:U,Match($A375,'Day Range Raw Data'!$B:$B,0)),"")</f>
        <v/>
      </c>
      <c r="O375" t="str">
        <f t="array" ref="O375">IFERROR(INDEX('Day Range Raw Data'!V:V,Match($A375,'Day Range Raw Data'!$B:$B,0)),"")</f>
        <v/>
      </c>
      <c r="P375" t="str">
        <f t="array" ref="P375">IFERROR(INDEX('Day Range Raw Data'!X:X,Match($A375,'Day Range Raw Data'!$B:$B,0)),"")</f>
        <v/>
      </c>
      <c r="Q375" t="str">
        <f t="shared" si="1"/>
        <v/>
      </c>
      <c r="R375" s="9" t="str">
        <f t="shared" si="2"/>
        <v/>
      </c>
      <c r="S375" s="14" t="str">
        <f t="shared" si="3"/>
        <v/>
      </c>
      <c r="T375" s="15" t="str">
        <f>IFERROR(__xludf.DUMMYFUNCTION("IF($A375="""","""",IFERROR(PERCENTRANK.INC(FILTER(Q:Q,$F:$F&lt;&gt;""""),Q375)*100,""""))"),"")</f>
        <v/>
      </c>
      <c r="U375" s="15" t="str">
        <f>IFERROR(__xludf.DUMMYFUNCTION("IF($A375="""","""",IFERROR(PERCENTRANK.INC(FILTER(R:R,$F:$F&lt;&gt;""""),R375)*100,""""))"),"")</f>
        <v/>
      </c>
      <c r="V375" s="15" t="str">
        <f>IFERROR(__xludf.DUMMYFUNCTION("IF($A375="""","""",IFERROR(PERCENTRANK.INC(FILTER(S:S,$F:$F&lt;&gt;""""),S375)*100,""""))"),"")</f>
        <v/>
      </c>
      <c r="W375" s="15" t="str">
        <f t="shared" si="4"/>
        <v/>
      </c>
    </row>
    <row r="376">
      <c r="B376" t="str">
        <f t="array" ref="B376">IFERROR(INDEX('Player Raw Data'!C:C,Match($A376,'Player Raw Data'!$B:$B,0)),"")</f>
        <v/>
      </c>
      <c r="C376" t="str">
        <f t="array" ref="C376">IFERROR(INDEX('Player Raw Data'!D:D,Match($A376,'Player Raw Data'!$B:$B,0)),"")</f>
        <v/>
      </c>
      <c r="D376" t="str">
        <f t="array" ref="D376">IFERROR(IF(A376=A375, INDEX('Player Raw Data'!E:E,Match($A376,'Player Raw Data'!$B:$B,0)+2),INDEX('Player Raw Data'!E:E,Match($A376,'Player Raw Data'!$B:$B,0))),"")</f>
        <v/>
      </c>
      <c r="E376" t="str">
        <f t="array" ref="E376">IFERROR(INDEX('Day Range Raw Data'!D:D,Match($A376,'Day Range Raw Data'!$B:$B,0)),"")</f>
        <v/>
      </c>
      <c r="F376" t="str">
        <f t="array" ref="F376">IFERROR(INDEX('Day Range Raw Data'!F:F,Match($A376,'Day Range Raw Data'!$B:$B,0)),"")</f>
        <v/>
      </c>
      <c r="G376" t="str">
        <f t="array" ref="G376">IFERROR(INDEX('Day Range Raw Data'!G:G,Match($A376,'Day Range Raw Data'!$B:$B,0)),"")</f>
        <v/>
      </c>
      <c r="H376" t="str">
        <f t="array" ref="H376">IFERROR(INDEX('Day Range Raw Data'!H:H,Match($A376,'Day Range Raw Data'!$B:$B,0)),"")</f>
        <v/>
      </c>
      <c r="I376" t="str">
        <f t="array" ref="I376">IFERROR(INDEX('Day Range Raw Data'!M:M,Match($A376,'Day Range Raw Data'!$B:$B,0)),"")</f>
        <v/>
      </c>
      <c r="J376" t="str">
        <f t="array" ref="J376">IFERROR(INDEX('Day Range Raw Data'!N:N,Match($A376,'Day Range Raw Data'!$B:$B,0)),"")</f>
        <v/>
      </c>
      <c r="K376" t="str">
        <f t="array" ref="K376">IFERROR(INDEX('Day Range Raw Data'!R:R,Match($A376,'Day Range Raw Data'!$B:$B,0)),"")</f>
        <v/>
      </c>
      <c r="L376" t="str">
        <f t="array" ref="L376">IFERROR(INDEX('Day Range Raw Data'!S:S,Match($A376,'Day Range Raw Data'!$B:$B,0)),"")</f>
        <v/>
      </c>
      <c r="M376" t="str">
        <f t="array" ref="M376">IFERROR(INDEX('Day Range Raw Data'!T:T,Match($A376,'Day Range Raw Data'!$B:$B,0)),"")</f>
        <v/>
      </c>
      <c r="N376" t="str">
        <f t="array" ref="N376">IFERROR(INDEX('Day Range Raw Data'!U:U,Match($A376,'Day Range Raw Data'!$B:$B,0)),"")</f>
        <v/>
      </c>
      <c r="O376" t="str">
        <f t="array" ref="O376">IFERROR(INDEX('Day Range Raw Data'!V:V,Match($A376,'Day Range Raw Data'!$B:$B,0)),"")</f>
        <v/>
      </c>
      <c r="P376" t="str">
        <f t="array" ref="P376">IFERROR(INDEX('Day Range Raw Data'!X:X,Match($A376,'Day Range Raw Data'!$B:$B,0)),"")</f>
        <v/>
      </c>
      <c r="Q376" t="str">
        <f t="shared" si="1"/>
        <v/>
      </c>
      <c r="R376" s="9" t="str">
        <f t="shared" si="2"/>
        <v/>
      </c>
      <c r="S376" s="14" t="str">
        <f t="shared" si="3"/>
        <v/>
      </c>
      <c r="T376" s="15" t="str">
        <f>IFERROR(__xludf.DUMMYFUNCTION("IF($A376="""","""",IFERROR(PERCENTRANK.INC(FILTER(Q:Q,$F:$F&lt;&gt;""""),Q376)*100,""""))"),"")</f>
        <v/>
      </c>
      <c r="U376" s="15" t="str">
        <f>IFERROR(__xludf.DUMMYFUNCTION("IF($A376="""","""",IFERROR(PERCENTRANK.INC(FILTER(R:R,$F:$F&lt;&gt;""""),R376)*100,""""))"),"")</f>
        <v/>
      </c>
      <c r="V376" s="15" t="str">
        <f>IFERROR(__xludf.DUMMYFUNCTION("IF($A376="""","""",IFERROR(PERCENTRANK.INC(FILTER(S:S,$F:$F&lt;&gt;""""),S376)*100,""""))"),"")</f>
        <v/>
      </c>
      <c r="W376" s="15" t="str">
        <f t="shared" si="4"/>
        <v/>
      </c>
    </row>
    <row r="377">
      <c r="B377" t="str">
        <f t="array" ref="B377">IFERROR(INDEX('Player Raw Data'!C:C,Match($A377,'Player Raw Data'!$B:$B,0)),"")</f>
        <v/>
      </c>
      <c r="C377" t="str">
        <f t="array" ref="C377">IFERROR(INDEX('Player Raw Data'!D:D,Match($A377,'Player Raw Data'!$B:$B,0)),"")</f>
        <v/>
      </c>
      <c r="D377" t="str">
        <f t="array" ref="D377">IFERROR(IF(A377=A376, INDEX('Player Raw Data'!E:E,Match($A377,'Player Raw Data'!$B:$B,0)+2),INDEX('Player Raw Data'!E:E,Match($A377,'Player Raw Data'!$B:$B,0))),"")</f>
        <v/>
      </c>
      <c r="E377" t="str">
        <f t="array" ref="E377">IFERROR(INDEX('Day Range Raw Data'!D:D,Match($A377,'Day Range Raw Data'!$B:$B,0)),"")</f>
        <v/>
      </c>
      <c r="F377" t="str">
        <f t="array" ref="F377">IFERROR(INDEX('Day Range Raw Data'!F:F,Match($A377,'Day Range Raw Data'!$B:$B,0)),"")</f>
        <v/>
      </c>
      <c r="G377" t="str">
        <f t="array" ref="G377">IFERROR(INDEX('Day Range Raw Data'!G:G,Match($A377,'Day Range Raw Data'!$B:$B,0)),"")</f>
        <v/>
      </c>
      <c r="H377" t="str">
        <f t="array" ref="H377">IFERROR(INDEX('Day Range Raw Data'!H:H,Match($A377,'Day Range Raw Data'!$B:$B,0)),"")</f>
        <v/>
      </c>
      <c r="I377" t="str">
        <f t="array" ref="I377">IFERROR(INDEX('Day Range Raw Data'!M:M,Match($A377,'Day Range Raw Data'!$B:$B,0)),"")</f>
        <v/>
      </c>
      <c r="J377" t="str">
        <f t="array" ref="J377">IFERROR(INDEX('Day Range Raw Data'!N:N,Match($A377,'Day Range Raw Data'!$B:$B,0)),"")</f>
        <v/>
      </c>
      <c r="K377" t="str">
        <f t="array" ref="K377">IFERROR(INDEX('Day Range Raw Data'!R:R,Match($A377,'Day Range Raw Data'!$B:$B,0)),"")</f>
        <v/>
      </c>
      <c r="L377" t="str">
        <f t="array" ref="L377">IFERROR(INDEX('Day Range Raw Data'!S:S,Match($A377,'Day Range Raw Data'!$B:$B,0)),"")</f>
        <v/>
      </c>
      <c r="M377" t="str">
        <f t="array" ref="M377">IFERROR(INDEX('Day Range Raw Data'!T:T,Match($A377,'Day Range Raw Data'!$B:$B,0)),"")</f>
        <v/>
      </c>
      <c r="N377" t="str">
        <f t="array" ref="N377">IFERROR(INDEX('Day Range Raw Data'!U:U,Match($A377,'Day Range Raw Data'!$B:$B,0)),"")</f>
        <v/>
      </c>
      <c r="O377" t="str">
        <f t="array" ref="O377">IFERROR(INDEX('Day Range Raw Data'!V:V,Match($A377,'Day Range Raw Data'!$B:$B,0)),"")</f>
        <v/>
      </c>
      <c r="P377" t="str">
        <f t="array" ref="P377">IFERROR(INDEX('Day Range Raw Data'!X:X,Match($A377,'Day Range Raw Data'!$B:$B,0)),"")</f>
        <v/>
      </c>
      <c r="Q377" t="str">
        <f t="shared" si="1"/>
        <v/>
      </c>
      <c r="R377" s="9" t="str">
        <f t="shared" si="2"/>
        <v/>
      </c>
      <c r="S377" s="14" t="str">
        <f t="shared" si="3"/>
        <v/>
      </c>
      <c r="T377" s="15" t="str">
        <f>IFERROR(__xludf.DUMMYFUNCTION("IF($A377="""","""",IFERROR(PERCENTRANK.INC(FILTER(Q:Q,$F:$F&lt;&gt;""""),Q377)*100,""""))"),"")</f>
        <v/>
      </c>
      <c r="U377" s="15" t="str">
        <f>IFERROR(__xludf.DUMMYFUNCTION("IF($A377="""","""",IFERROR(PERCENTRANK.INC(FILTER(R:R,$F:$F&lt;&gt;""""),R377)*100,""""))"),"")</f>
        <v/>
      </c>
      <c r="V377" s="15" t="str">
        <f>IFERROR(__xludf.DUMMYFUNCTION("IF($A377="""","""",IFERROR(PERCENTRANK.INC(FILTER(S:S,$F:$F&lt;&gt;""""),S377)*100,""""))"),"")</f>
        <v/>
      </c>
      <c r="W377" s="15" t="str">
        <f t="shared" si="4"/>
        <v/>
      </c>
    </row>
    <row r="378">
      <c r="B378" t="str">
        <f t="array" ref="B378">IFERROR(INDEX('Player Raw Data'!C:C,Match($A378,'Player Raw Data'!$B:$B,0)),"")</f>
        <v/>
      </c>
      <c r="C378" t="str">
        <f t="array" ref="C378">IFERROR(INDEX('Player Raw Data'!D:D,Match($A378,'Player Raw Data'!$B:$B,0)),"")</f>
        <v/>
      </c>
      <c r="D378" t="str">
        <f t="array" ref="D378">IFERROR(IF(A378=A377, INDEX('Player Raw Data'!E:E,Match($A378,'Player Raw Data'!$B:$B,0)+2),INDEX('Player Raw Data'!E:E,Match($A378,'Player Raw Data'!$B:$B,0))),"")</f>
        <v/>
      </c>
      <c r="E378" t="str">
        <f t="array" ref="E378">IFERROR(INDEX('Day Range Raw Data'!D:D,Match($A378,'Day Range Raw Data'!$B:$B,0)),"")</f>
        <v/>
      </c>
      <c r="F378" t="str">
        <f t="array" ref="F378">IFERROR(INDEX('Day Range Raw Data'!F:F,Match($A378,'Day Range Raw Data'!$B:$B,0)),"")</f>
        <v/>
      </c>
      <c r="G378" t="str">
        <f t="array" ref="G378">IFERROR(INDEX('Day Range Raw Data'!G:G,Match($A378,'Day Range Raw Data'!$B:$B,0)),"")</f>
        <v/>
      </c>
      <c r="H378" t="str">
        <f t="array" ref="H378">IFERROR(INDEX('Day Range Raw Data'!H:H,Match($A378,'Day Range Raw Data'!$B:$B,0)),"")</f>
        <v/>
      </c>
      <c r="I378" t="str">
        <f t="array" ref="I378">IFERROR(INDEX('Day Range Raw Data'!M:M,Match($A378,'Day Range Raw Data'!$B:$B,0)),"")</f>
        <v/>
      </c>
      <c r="J378" t="str">
        <f t="array" ref="J378">IFERROR(INDEX('Day Range Raw Data'!N:N,Match($A378,'Day Range Raw Data'!$B:$B,0)),"")</f>
        <v/>
      </c>
      <c r="K378" t="str">
        <f t="array" ref="K378">IFERROR(INDEX('Day Range Raw Data'!R:R,Match($A378,'Day Range Raw Data'!$B:$B,0)),"")</f>
        <v/>
      </c>
      <c r="L378" t="str">
        <f t="array" ref="L378">IFERROR(INDEX('Day Range Raw Data'!S:S,Match($A378,'Day Range Raw Data'!$B:$B,0)),"")</f>
        <v/>
      </c>
      <c r="M378" t="str">
        <f t="array" ref="M378">IFERROR(INDEX('Day Range Raw Data'!T:T,Match($A378,'Day Range Raw Data'!$B:$B,0)),"")</f>
        <v/>
      </c>
      <c r="N378" t="str">
        <f t="array" ref="N378">IFERROR(INDEX('Day Range Raw Data'!U:U,Match($A378,'Day Range Raw Data'!$B:$B,0)),"")</f>
        <v/>
      </c>
      <c r="O378" t="str">
        <f t="array" ref="O378">IFERROR(INDEX('Day Range Raw Data'!V:V,Match($A378,'Day Range Raw Data'!$B:$B,0)),"")</f>
        <v/>
      </c>
      <c r="P378" t="str">
        <f t="array" ref="P378">IFERROR(INDEX('Day Range Raw Data'!X:X,Match($A378,'Day Range Raw Data'!$B:$B,0)),"")</f>
        <v/>
      </c>
      <c r="Q378" t="str">
        <f t="shared" si="1"/>
        <v/>
      </c>
      <c r="R378" s="9" t="str">
        <f t="shared" si="2"/>
        <v/>
      </c>
      <c r="S378" s="14" t="str">
        <f t="shared" si="3"/>
        <v/>
      </c>
      <c r="T378" s="15" t="str">
        <f>IFERROR(__xludf.DUMMYFUNCTION("IF($A378="""","""",IFERROR(PERCENTRANK.INC(FILTER(Q:Q,$F:$F&lt;&gt;""""),Q378)*100,""""))"),"")</f>
        <v/>
      </c>
      <c r="U378" s="15" t="str">
        <f>IFERROR(__xludf.DUMMYFUNCTION("IF($A378="""","""",IFERROR(PERCENTRANK.INC(FILTER(R:R,$F:$F&lt;&gt;""""),R378)*100,""""))"),"")</f>
        <v/>
      </c>
      <c r="V378" s="15" t="str">
        <f>IFERROR(__xludf.DUMMYFUNCTION("IF($A378="""","""",IFERROR(PERCENTRANK.INC(FILTER(S:S,$F:$F&lt;&gt;""""),S378)*100,""""))"),"")</f>
        <v/>
      </c>
      <c r="W378" s="15" t="str">
        <f t="shared" si="4"/>
        <v/>
      </c>
    </row>
    <row r="379">
      <c r="B379" t="str">
        <f t="array" ref="B379">IFERROR(INDEX('Player Raw Data'!C:C,Match($A379,'Player Raw Data'!$B:$B,0)),"")</f>
        <v/>
      </c>
      <c r="C379" t="str">
        <f t="array" ref="C379">IFERROR(INDEX('Player Raw Data'!D:D,Match($A379,'Player Raw Data'!$B:$B,0)),"")</f>
        <v/>
      </c>
      <c r="D379" t="str">
        <f t="array" ref="D379">IFERROR(IF(A379=A378, INDEX('Player Raw Data'!E:E,Match($A379,'Player Raw Data'!$B:$B,0)+2),INDEX('Player Raw Data'!E:E,Match($A379,'Player Raw Data'!$B:$B,0))),"")</f>
        <v/>
      </c>
      <c r="E379" t="str">
        <f t="array" ref="E379">IFERROR(INDEX('Day Range Raw Data'!D:D,Match($A379,'Day Range Raw Data'!$B:$B,0)),"")</f>
        <v/>
      </c>
      <c r="F379" t="str">
        <f t="array" ref="F379">IFERROR(INDEX('Day Range Raw Data'!F:F,Match($A379,'Day Range Raw Data'!$B:$B,0)),"")</f>
        <v/>
      </c>
      <c r="G379" t="str">
        <f t="array" ref="G379">IFERROR(INDEX('Day Range Raw Data'!G:G,Match($A379,'Day Range Raw Data'!$B:$B,0)),"")</f>
        <v/>
      </c>
      <c r="H379" t="str">
        <f t="array" ref="H379">IFERROR(INDEX('Day Range Raw Data'!H:H,Match($A379,'Day Range Raw Data'!$B:$B,0)),"")</f>
        <v/>
      </c>
      <c r="I379" t="str">
        <f t="array" ref="I379">IFERROR(INDEX('Day Range Raw Data'!M:M,Match($A379,'Day Range Raw Data'!$B:$B,0)),"")</f>
        <v/>
      </c>
      <c r="J379" t="str">
        <f t="array" ref="J379">IFERROR(INDEX('Day Range Raw Data'!N:N,Match($A379,'Day Range Raw Data'!$B:$B,0)),"")</f>
        <v/>
      </c>
      <c r="K379" t="str">
        <f t="array" ref="K379">IFERROR(INDEX('Day Range Raw Data'!R:R,Match($A379,'Day Range Raw Data'!$B:$B,0)),"")</f>
        <v/>
      </c>
      <c r="L379" t="str">
        <f t="array" ref="L379">IFERROR(INDEX('Day Range Raw Data'!S:S,Match($A379,'Day Range Raw Data'!$B:$B,0)),"")</f>
        <v/>
      </c>
      <c r="M379" t="str">
        <f t="array" ref="M379">IFERROR(INDEX('Day Range Raw Data'!T:T,Match($A379,'Day Range Raw Data'!$B:$B,0)),"")</f>
        <v/>
      </c>
      <c r="N379" t="str">
        <f t="array" ref="N379">IFERROR(INDEX('Day Range Raw Data'!U:U,Match($A379,'Day Range Raw Data'!$B:$B,0)),"")</f>
        <v/>
      </c>
      <c r="O379" t="str">
        <f t="array" ref="O379">IFERROR(INDEX('Day Range Raw Data'!V:V,Match($A379,'Day Range Raw Data'!$B:$B,0)),"")</f>
        <v/>
      </c>
      <c r="P379" t="str">
        <f t="array" ref="P379">IFERROR(INDEX('Day Range Raw Data'!X:X,Match($A379,'Day Range Raw Data'!$B:$B,0)),"")</f>
        <v/>
      </c>
      <c r="Q379" t="str">
        <f t="shared" si="1"/>
        <v/>
      </c>
      <c r="R379" s="9" t="str">
        <f t="shared" si="2"/>
        <v/>
      </c>
      <c r="S379" s="14" t="str">
        <f t="shared" si="3"/>
        <v/>
      </c>
      <c r="T379" s="15" t="str">
        <f>IFERROR(__xludf.DUMMYFUNCTION("IF($A379="""","""",IFERROR(PERCENTRANK.INC(FILTER(Q:Q,$F:$F&lt;&gt;""""),Q379)*100,""""))"),"")</f>
        <v/>
      </c>
      <c r="U379" s="15" t="str">
        <f>IFERROR(__xludf.DUMMYFUNCTION("IF($A379="""","""",IFERROR(PERCENTRANK.INC(FILTER(R:R,$F:$F&lt;&gt;""""),R379)*100,""""))"),"")</f>
        <v/>
      </c>
      <c r="V379" s="15" t="str">
        <f>IFERROR(__xludf.DUMMYFUNCTION("IF($A379="""","""",IFERROR(PERCENTRANK.INC(FILTER(S:S,$F:$F&lt;&gt;""""),S379)*100,""""))"),"")</f>
        <v/>
      </c>
      <c r="W379" s="15" t="str">
        <f t="shared" si="4"/>
        <v/>
      </c>
    </row>
    <row r="380">
      <c r="B380" t="str">
        <f t="array" ref="B380">IFERROR(INDEX('Player Raw Data'!C:C,Match($A380,'Player Raw Data'!$B:$B,0)),"")</f>
        <v/>
      </c>
      <c r="C380" t="str">
        <f t="array" ref="C380">IFERROR(INDEX('Player Raw Data'!D:D,Match($A380,'Player Raw Data'!$B:$B,0)),"")</f>
        <v/>
      </c>
      <c r="D380" t="str">
        <f t="array" ref="D380">IFERROR(IF(A380=A379, INDEX('Player Raw Data'!E:E,Match($A380,'Player Raw Data'!$B:$B,0)+2),INDEX('Player Raw Data'!E:E,Match($A380,'Player Raw Data'!$B:$B,0))),"")</f>
        <v/>
      </c>
      <c r="E380" t="str">
        <f t="array" ref="E380">IFERROR(INDEX('Day Range Raw Data'!D:D,Match($A380,'Day Range Raw Data'!$B:$B,0)),"")</f>
        <v/>
      </c>
      <c r="F380" t="str">
        <f t="array" ref="F380">IFERROR(INDEX('Day Range Raw Data'!F:F,Match($A380,'Day Range Raw Data'!$B:$B,0)),"")</f>
        <v/>
      </c>
      <c r="G380" t="str">
        <f t="array" ref="G380">IFERROR(INDEX('Day Range Raw Data'!G:G,Match($A380,'Day Range Raw Data'!$B:$B,0)),"")</f>
        <v/>
      </c>
      <c r="H380" t="str">
        <f t="array" ref="H380">IFERROR(INDEX('Day Range Raw Data'!H:H,Match($A380,'Day Range Raw Data'!$B:$B,0)),"")</f>
        <v/>
      </c>
      <c r="I380" t="str">
        <f t="array" ref="I380">IFERROR(INDEX('Day Range Raw Data'!M:M,Match($A380,'Day Range Raw Data'!$B:$B,0)),"")</f>
        <v/>
      </c>
      <c r="J380" t="str">
        <f t="array" ref="J380">IFERROR(INDEX('Day Range Raw Data'!N:N,Match($A380,'Day Range Raw Data'!$B:$B,0)),"")</f>
        <v/>
      </c>
      <c r="K380" t="str">
        <f t="array" ref="K380">IFERROR(INDEX('Day Range Raw Data'!R:R,Match($A380,'Day Range Raw Data'!$B:$B,0)),"")</f>
        <v/>
      </c>
      <c r="L380" t="str">
        <f t="array" ref="L380">IFERROR(INDEX('Day Range Raw Data'!S:S,Match($A380,'Day Range Raw Data'!$B:$B,0)),"")</f>
        <v/>
      </c>
      <c r="M380" t="str">
        <f t="array" ref="M380">IFERROR(INDEX('Day Range Raw Data'!T:T,Match($A380,'Day Range Raw Data'!$B:$B,0)),"")</f>
        <v/>
      </c>
      <c r="N380" t="str">
        <f t="array" ref="N380">IFERROR(INDEX('Day Range Raw Data'!U:U,Match($A380,'Day Range Raw Data'!$B:$B,0)),"")</f>
        <v/>
      </c>
      <c r="O380" t="str">
        <f t="array" ref="O380">IFERROR(INDEX('Day Range Raw Data'!V:V,Match($A380,'Day Range Raw Data'!$B:$B,0)),"")</f>
        <v/>
      </c>
      <c r="P380" t="str">
        <f t="array" ref="P380">IFERROR(INDEX('Day Range Raw Data'!X:X,Match($A380,'Day Range Raw Data'!$B:$B,0)),"")</f>
        <v/>
      </c>
      <c r="Q380" t="str">
        <f t="shared" si="1"/>
        <v/>
      </c>
      <c r="R380" s="9" t="str">
        <f t="shared" si="2"/>
        <v/>
      </c>
      <c r="S380" s="14" t="str">
        <f t="shared" si="3"/>
        <v/>
      </c>
      <c r="T380" s="15" t="str">
        <f>IFERROR(__xludf.DUMMYFUNCTION("IF($A380="""","""",IFERROR(PERCENTRANK.INC(FILTER(Q:Q,$F:$F&lt;&gt;""""),Q380)*100,""""))"),"")</f>
        <v/>
      </c>
      <c r="U380" s="15" t="str">
        <f>IFERROR(__xludf.DUMMYFUNCTION("IF($A380="""","""",IFERROR(PERCENTRANK.INC(FILTER(R:R,$F:$F&lt;&gt;""""),R380)*100,""""))"),"")</f>
        <v/>
      </c>
      <c r="V380" s="15" t="str">
        <f>IFERROR(__xludf.DUMMYFUNCTION("IF($A380="""","""",IFERROR(PERCENTRANK.INC(FILTER(S:S,$F:$F&lt;&gt;""""),S380)*100,""""))"),"")</f>
        <v/>
      </c>
      <c r="W380" s="15" t="str">
        <f t="shared" si="4"/>
        <v/>
      </c>
    </row>
    <row r="381">
      <c r="B381" t="str">
        <f t="array" ref="B381">IFERROR(INDEX('Player Raw Data'!C:C,Match($A381,'Player Raw Data'!$B:$B,0)),"")</f>
        <v/>
      </c>
      <c r="C381" t="str">
        <f t="array" ref="C381">IFERROR(INDEX('Player Raw Data'!D:D,Match($A381,'Player Raw Data'!$B:$B,0)),"")</f>
        <v/>
      </c>
      <c r="D381" t="str">
        <f t="array" ref="D381">IFERROR(IF(A381=A380, INDEX('Player Raw Data'!E:E,Match($A381,'Player Raw Data'!$B:$B,0)+2),INDEX('Player Raw Data'!E:E,Match($A381,'Player Raw Data'!$B:$B,0))),"")</f>
        <v/>
      </c>
      <c r="E381" t="str">
        <f t="array" ref="E381">IFERROR(INDEX('Day Range Raw Data'!D:D,Match($A381,'Day Range Raw Data'!$B:$B,0)),"")</f>
        <v/>
      </c>
      <c r="F381" t="str">
        <f t="array" ref="F381">IFERROR(INDEX('Day Range Raw Data'!F:F,Match($A381,'Day Range Raw Data'!$B:$B,0)),"")</f>
        <v/>
      </c>
      <c r="G381" t="str">
        <f t="array" ref="G381">IFERROR(INDEX('Day Range Raw Data'!G:G,Match($A381,'Day Range Raw Data'!$B:$B,0)),"")</f>
        <v/>
      </c>
      <c r="H381" t="str">
        <f t="array" ref="H381">IFERROR(INDEX('Day Range Raw Data'!H:H,Match($A381,'Day Range Raw Data'!$B:$B,0)),"")</f>
        <v/>
      </c>
      <c r="I381" t="str">
        <f t="array" ref="I381">IFERROR(INDEX('Day Range Raw Data'!M:M,Match($A381,'Day Range Raw Data'!$B:$B,0)),"")</f>
        <v/>
      </c>
      <c r="J381" t="str">
        <f t="array" ref="J381">IFERROR(INDEX('Day Range Raw Data'!N:N,Match($A381,'Day Range Raw Data'!$B:$B,0)),"")</f>
        <v/>
      </c>
      <c r="K381" t="str">
        <f t="array" ref="K381">IFERROR(INDEX('Day Range Raw Data'!R:R,Match($A381,'Day Range Raw Data'!$B:$B,0)),"")</f>
        <v/>
      </c>
      <c r="L381" t="str">
        <f t="array" ref="L381">IFERROR(INDEX('Day Range Raw Data'!S:S,Match($A381,'Day Range Raw Data'!$B:$B,0)),"")</f>
        <v/>
      </c>
      <c r="M381" t="str">
        <f t="array" ref="M381">IFERROR(INDEX('Day Range Raw Data'!T:T,Match($A381,'Day Range Raw Data'!$B:$B,0)),"")</f>
        <v/>
      </c>
      <c r="N381" t="str">
        <f t="array" ref="N381">IFERROR(INDEX('Day Range Raw Data'!U:U,Match($A381,'Day Range Raw Data'!$B:$B,0)),"")</f>
        <v/>
      </c>
      <c r="O381" t="str">
        <f t="array" ref="O381">IFERROR(INDEX('Day Range Raw Data'!V:V,Match($A381,'Day Range Raw Data'!$B:$B,0)),"")</f>
        <v/>
      </c>
      <c r="P381" t="str">
        <f t="array" ref="P381">IFERROR(INDEX('Day Range Raw Data'!X:X,Match($A381,'Day Range Raw Data'!$B:$B,0)),"")</f>
        <v/>
      </c>
      <c r="Q381" t="str">
        <f t="shared" si="1"/>
        <v/>
      </c>
      <c r="R381" s="9" t="str">
        <f t="shared" si="2"/>
        <v/>
      </c>
      <c r="S381" s="14" t="str">
        <f t="shared" si="3"/>
        <v/>
      </c>
      <c r="T381" s="15" t="str">
        <f>IFERROR(__xludf.DUMMYFUNCTION("IF($A381="""","""",IFERROR(PERCENTRANK.INC(FILTER(Q:Q,$F:$F&lt;&gt;""""),Q381)*100,""""))"),"")</f>
        <v/>
      </c>
      <c r="U381" s="15" t="str">
        <f>IFERROR(__xludf.DUMMYFUNCTION("IF($A381="""","""",IFERROR(PERCENTRANK.INC(FILTER(R:R,$F:$F&lt;&gt;""""),R381)*100,""""))"),"")</f>
        <v/>
      </c>
      <c r="V381" s="15" t="str">
        <f>IFERROR(__xludf.DUMMYFUNCTION("IF($A381="""","""",IFERROR(PERCENTRANK.INC(FILTER(S:S,$F:$F&lt;&gt;""""),S381)*100,""""))"),"")</f>
        <v/>
      </c>
      <c r="W381" s="15" t="str">
        <f t="shared" si="4"/>
        <v/>
      </c>
    </row>
    <row r="382">
      <c r="B382" t="str">
        <f t="array" ref="B382">IFERROR(INDEX('Player Raw Data'!C:C,Match($A382,'Player Raw Data'!$B:$B,0)),"")</f>
        <v/>
      </c>
      <c r="C382" t="str">
        <f t="array" ref="C382">IFERROR(INDEX('Player Raw Data'!D:D,Match($A382,'Player Raw Data'!$B:$B,0)),"")</f>
        <v/>
      </c>
      <c r="D382" t="str">
        <f t="array" ref="D382">IFERROR(IF(A382=A381, INDEX('Player Raw Data'!E:E,Match($A382,'Player Raw Data'!$B:$B,0)+2),INDEX('Player Raw Data'!E:E,Match($A382,'Player Raw Data'!$B:$B,0))),"")</f>
        <v/>
      </c>
      <c r="E382" t="str">
        <f t="array" ref="E382">IFERROR(INDEX('Day Range Raw Data'!D:D,Match($A382,'Day Range Raw Data'!$B:$B,0)),"")</f>
        <v/>
      </c>
      <c r="F382" t="str">
        <f t="array" ref="F382">IFERROR(INDEX('Day Range Raw Data'!F:F,Match($A382,'Day Range Raw Data'!$B:$B,0)),"")</f>
        <v/>
      </c>
      <c r="G382" t="str">
        <f t="array" ref="G382">IFERROR(INDEX('Day Range Raw Data'!G:G,Match($A382,'Day Range Raw Data'!$B:$B,0)),"")</f>
        <v/>
      </c>
      <c r="H382" t="str">
        <f t="array" ref="H382">IFERROR(INDEX('Day Range Raw Data'!H:H,Match($A382,'Day Range Raw Data'!$B:$B,0)),"")</f>
        <v/>
      </c>
      <c r="I382" t="str">
        <f t="array" ref="I382">IFERROR(INDEX('Day Range Raw Data'!M:M,Match($A382,'Day Range Raw Data'!$B:$B,0)),"")</f>
        <v/>
      </c>
      <c r="J382" t="str">
        <f t="array" ref="J382">IFERROR(INDEX('Day Range Raw Data'!N:N,Match($A382,'Day Range Raw Data'!$B:$B,0)),"")</f>
        <v/>
      </c>
      <c r="K382" t="str">
        <f t="array" ref="K382">IFERROR(INDEX('Day Range Raw Data'!R:R,Match($A382,'Day Range Raw Data'!$B:$B,0)),"")</f>
        <v/>
      </c>
      <c r="L382" t="str">
        <f t="array" ref="L382">IFERROR(INDEX('Day Range Raw Data'!S:S,Match($A382,'Day Range Raw Data'!$B:$B,0)),"")</f>
        <v/>
      </c>
      <c r="M382" t="str">
        <f t="array" ref="M382">IFERROR(INDEX('Day Range Raw Data'!T:T,Match($A382,'Day Range Raw Data'!$B:$B,0)),"")</f>
        <v/>
      </c>
      <c r="N382" t="str">
        <f t="array" ref="N382">IFERROR(INDEX('Day Range Raw Data'!U:U,Match($A382,'Day Range Raw Data'!$B:$B,0)),"")</f>
        <v/>
      </c>
      <c r="O382" t="str">
        <f t="array" ref="O382">IFERROR(INDEX('Day Range Raw Data'!V:V,Match($A382,'Day Range Raw Data'!$B:$B,0)),"")</f>
        <v/>
      </c>
      <c r="P382" t="str">
        <f t="array" ref="P382">IFERROR(INDEX('Day Range Raw Data'!X:X,Match($A382,'Day Range Raw Data'!$B:$B,0)),"")</f>
        <v/>
      </c>
      <c r="Q382" t="str">
        <f t="shared" si="1"/>
        <v/>
      </c>
      <c r="R382" s="9" t="str">
        <f t="shared" si="2"/>
        <v/>
      </c>
      <c r="S382" s="14" t="str">
        <f t="shared" si="3"/>
        <v/>
      </c>
      <c r="T382" s="15" t="str">
        <f>IFERROR(__xludf.DUMMYFUNCTION("IF($A382="""","""",IFERROR(PERCENTRANK.INC(FILTER(Q:Q,$F:$F&lt;&gt;""""),Q382)*100,""""))"),"")</f>
        <v/>
      </c>
      <c r="U382" s="15" t="str">
        <f>IFERROR(__xludf.DUMMYFUNCTION("IF($A382="""","""",IFERROR(PERCENTRANK.INC(FILTER(R:R,$F:$F&lt;&gt;""""),R382)*100,""""))"),"")</f>
        <v/>
      </c>
      <c r="V382" s="15" t="str">
        <f>IFERROR(__xludf.DUMMYFUNCTION("IF($A382="""","""",IFERROR(PERCENTRANK.INC(FILTER(S:S,$F:$F&lt;&gt;""""),S382)*100,""""))"),"")</f>
        <v/>
      </c>
      <c r="W382" s="15" t="str">
        <f t="shared" si="4"/>
        <v/>
      </c>
    </row>
    <row r="383">
      <c r="B383" t="str">
        <f t="array" ref="B383">IFERROR(INDEX('Player Raw Data'!C:C,Match($A383,'Player Raw Data'!$B:$B,0)),"")</f>
        <v/>
      </c>
      <c r="C383" t="str">
        <f t="array" ref="C383">IFERROR(INDEX('Player Raw Data'!D:D,Match($A383,'Player Raw Data'!$B:$B,0)),"")</f>
        <v/>
      </c>
      <c r="D383" t="str">
        <f t="array" ref="D383">IFERROR(IF(A383=A382, INDEX('Player Raw Data'!E:E,Match($A383,'Player Raw Data'!$B:$B,0)+2),INDEX('Player Raw Data'!E:E,Match($A383,'Player Raw Data'!$B:$B,0))),"")</f>
        <v/>
      </c>
      <c r="E383" t="str">
        <f t="array" ref="E383">IFERROR(INDEX('Day Range Raw Data'!D:D,Match($A383,'Day Range Raw Data'!$B:$B,0)),"")</f>
        <v/>
      </c>
      <c r="F383" t="str">
        <f t="array" ref="F383">IFERROR(INDEX('Day Range Raw Data'!F:F,Match($A383,'Day Range Raw Data'!$B:$B,0)),"")</f>
        <v/>
      </c>
      <c r="G383" t="str">
        <f t="array" ref="G383">IFERROR(INDEX('Day Range Raw Data'!G:G,Match($A383,'Day Range Raw Data'!$B:$B,0)),"")</f>
        <v/>
      </c>
      <c r="H383" t="str">
        <f t="array" ref="H383">IFERROR(INDEX('Day Range Raw Data'!H:H,Match($A383,'Day Range Raw Data'!$B:$B,0)),"")</f>
        <v/>
      </c>
      <c r="I383" t="str">
        <f t="array" ref="I383">IFERROR(INDEX('Day Range Raw Data'!M:M,Match($A383,'Day Range Raw Data'!$B:$B,0)),"")</f>
        <v/>
      </c>
      <c r="J383" t="str">
        <f t="array" ref="J383">IFERROR(INDEX('Day Range Raw Data'!N:N,Match($A383,'Day Range Raw Data'!$B:$B,0)),"")</f>
        <v/>
      </c>
      <c r="K383" t="str">
        <f t="array" ref="K383">IFERROR(INDEX('Day Range Raw Data'!R:R,Match($A383,'Day Range Raw Data'!$B:$B,0)),"")</f>
        <v/>
      </c>
      <c r="L383" t="str">
        <f t="array" ref="L383">IFERROR(INDEX('Day Range Raw Data'!S:S,Match($A383,'Day Range Raw Data'!$B:$B,0)),"")</f>
        <v/>
      </c>
      <c r="M383" t="str">
        <f t="array" ref="M383">IFERROR(INDEX('Day Range Raw Data'!T:T,Match($A383,'Day Range Raw Data'!$B:$B,0)),"")</f>
        <v/>
      </c>
      <c r="N383" t="str">
        <f t="array" ref="N383">IFERROR(INDEX('Day Range Raw Data'!U:U,Match($A383,'Day Range Raw Data'!$B:$B,0)),"")</f>
        <v/>
      </c>
      <c r="O383" t="str">
        <f t="array" ref="O383">IFERROR(INDEX('Day Range Raw Data'!V:V,Match($A383,'Day Range Raw Data'!$B:$B,0)),"")</f>
        <v/>
      </c>
      <c r="P383" t="str">
        <f t="array" ref="P383">IFERROR(INDEX('Day Range Raw Data'!X:X,Match($A383,'Day Range Raw Data'!$B:$B,0)),"")</f>
        <v/>
      </c>
      <c r="Q383" t="str">
        <f t="shared" si="1"/>
        <v/>
      </c>
      <c r="R383" s="9" t="str">
        <f t="shared" si="2"/>
        <v/>
      </c>
      <c r="S383" s="14" t="str">
        <f t="shared" si="3"/>
        <v/>
      </c>
      <c r="T383" s="15" t="str">
        <f>IFERROR(__xludf.DUMMYFUNCTION("IF($A383="""","""",IFERROR(PERCENTRANK.INC(FILTER(Q:Q,$F:$F&lt;&gt;""""),Q383)*100,""""))"),"")</f>
        <v/>
      </c>
      <c r="U383" s="15" t="str">
        <f>IFERROR(__xludf.DUMMYFUNCTION("IF($A383="""","""",IFERROR(PERCENTRANK.INC(FILTER(R:R,$F:$F&lt;&gt;""""),R383)*100,""""))"),"")</f>
        <v/>
      </c>
      <c r="V383" s="15" t="str">
        <f>IFERROR(__xludf.DUMMYFUNCTION("IF($A383="""","""",IFERROR(PERCENTRANK.INC(FILTER(S:S,$F:$F&lt;&gt;""""),S383)*100,""""))"),"")</f>
        <v/>
      </c>
      <c r="W383" s="15" t="str">
        <f t="shared" si="4"/>
        <v/>
      </c>
    </row>
    <row r="384">
      <c r="B384" t="str">
        <f t="array" ref="B384">IFERROR(INDEX('Player Raw Data'!C:C,Match($A384,'Player Raw Data'!$B:$B,0)),"")</f>
        <v/>
      </c>
      <c r="C384" t="str">
        <f t="array" ref="C384">IFERROR(INDEX('Player Raw Data'!D:D,Match($A384,'Player Raw Data'!$B:$B,0)),"")</f>
        <v/>
      </c>
      <c r="D384" t="str">
        <f t="array" ref="D384">IFERROR(IF(A384=A383, INDEX('Player Raw Data'!E:E,Match($A384,'Player Raw Data'!$B:$B,0)+2),INDEX('Player Raw Data'!E:E,Match($A384,'Player Raw Data'!$B:$B,0))),"")</f>
        <v/>
      </c>
      <c r="E384" t="str">
        <f t="array" ref="E384">IFERROR(INDEX('Day Range Raw Data'!D:D,Match($A384,'Day Range Raw Data'!$B:$B,0)),"")</f>
        <v/>
      </c>
      <c r="F384" t="str">
        <f t="array" ref="F384">IFERROR(INDEX('Day Range Raw Data'!F:F,Match($A384,'Day Range Raw Data'!$B:$B,0)),"")</f>
        <v/>
      </c>
      <c r="G384" t="str">
        <f t="array" ref="G384">IFERROR(INDEX('Day Range Raw Data'!G:G,Match($A384,'Day Range Raw Data'!$B:$B,0)),"")</f>
        <v/>
      </c>
      <c r="H384" t="str">
        <f t="array" ref="H384">IFERROR(INDEX('Day Range Raw Data'!H:H,Match($A384,'Day Range Raw Data'!$B:$B,0)),"")</f>
        <v/>
      </c>
      <c r="I384" t="str">
        <f t="array" ref="I384">IFERROR(INDEX('Day Range Raw Data'!M:M,Match($A384,'Day Range Raw Data'!$B:$B,0)),"")</f>
        <v/>
      </c>
      <c r="J384" t="str">
        <f t="array" ref="J384">IFERROR(INDEX('Day Range Raw Data'!N:N,Match($A384,'Day Range Raw Data'!$B:$B,0)),"")</f>
        <v/>
      </c>
      <c r="K384" t="str">
        <f t="array" ref="K384">IFERROR(INDEX('Day Range Raw Data'!R:R,Match($A384,'Day Range Raw Data'!$B:$B,0)),"")</f>
        <v/>
      </c>
      <c r="L384" t="str">
        <f t="array" ref="L384">IFERROR(INDEX('Day Range Raw Data'!S:S,Match($A384,'Day Range Raw Data'!$B:$B,0)),"")</f>
        <v/>
      </c>
      <c r="M384" t="str">
        <f t="array" ref="M384">IFERROR(INDEX('Day Range Raw Data'!T:T,Match($A384,'Day Range Raw Data'!$B:$B,0)),"")</f>
        <v/>
      </c>
      <c r="N384" t="str">
        <f t="array" ref="N384">IFERROR(INDEX('Day Range Raw Data'!U:U,Match($A384,'Day Range Raw Data'!$B:$B,0)),"")</f>
        <v/>
      </c>
      <c r="O384" t="str">
        <f t="array" ref="O384">IFERROR(INDEX('Day Range Raw Data'!V:V,Match($A384,'Day Range Raw Data'!$B:$B,0)),"")</f>
        <v/>
      </c>
      <c r="P384" t="str">
        <f t="array" ref="P384">IFERROR(INDEX('Day Range Raw Data'!X:X,Match($A384,'Day Range Raw Data'!$B:$B,0)),"")</f>
        <v/>
      </c>
      <c r="Q384" t="str">
        <f t="shared" si="1"/>
        <v/>
      </c>
      <c r="R384" s="9" t="str">
        <f t="shared" si="2"/>
        <v/>
      </c>
      <c r="S384" s="14" t="str">
        <f t="shared" si="3"/>
        <v/>
      </c>
      <c r="T384" s="15" t="str">
        <f>IFERROR(__xludf.DUMMYFUNCTION("IF($A384="""","""",IFERROR(PERCENTRANK.INC(FILTER(Q:Q,$F:$F&lt;&gt;""""),Q384)*100,""""))"),"")</f>
        <v/>
      </c>
      <c r="U384" s="15" t="str">
        <f>IFERROR(__xludf.DUMMYFUNCTION("IF($A384="""","""",IFERROR(PERCENTRANK.INC(FILTER(R:R,$F:$F&lt;&gt;""""),R384)*100,""""))"),"")</f>
        <v/>
      </c>
      <c r="V384" s="15" t="str">
        <f>IFERROR(__xludf.DUMMYFUNCTION("IF($A384="""","""",IFERROR(PERCENTRANK.INC(FILTER(S:S,$F:$F&lt;&gt;""""),S384)*100,""""))"),"")</f>
        <v/>
      </c>
      <c r="W384" s="15" t="str">
        <f t="shared" si="4"/>
        <v/>
      </c>
    </row>
    <row r="385">
      <c r="B385" t="str">
        <f t="array" ref="B385">IFERROR(INDEX('Player Raw Data'!C:C,Match($A385,'Player Raw Data'!$B:$B,0)),"")</f>
        <v/>
      </c>
      <c r="C385" t="str">
        <f t="array" ref="C385">IFERROR(INDEX('Player Raw Data'!D:D,Match($A385,'Player Raw Data'!$B:$B,0)),"")</f>
        <v/>
      </c>
      <c r="D385" t="str">
        <f t="array" ref="D385">IFERROR(IF(A385=A384, INDEX('Player Raw Data'!E:E,Match($A385,'Player Raw Data'!$B:$B,0)+2),INDEX('Player Raw Data'!E:E,Match($A385,'Player Raw Data'!$B:$B,0))),"")</f>
        <v/>
      </c>
      <c r="E385" t="str">
        <f t="array" ref="E385">IFERROR(INDEX('Day Range Raw Data'!D:D,Match($A385,'Day Range Raw Data'!$B:$B,0)),"")</f>
        <v/>
      </c>
      <c r="F385" t="str">
        <f t="array" ref="F385">IFERROR(INDEX('Day Range Raw Data'!F:F,Match($A385,'Day Range Raw Data'!$B:$B,0)),"")</f>
        <v/>
      </c>
      <c r="G385" t="str">
        <f t="array" ref="G385">IFERROR(INDEX('Day Range Raw Data'!G:G,Match($A385,'Day Range Raw Data'!$B:$B,0)),"")</f>
        <v/>
      </c>
      <c r="H385" t="str">
        <f t="array" ref="H385">IFERROR(INDEX('Day Range Raw Data'!H:H,Match($A385,'Day Range Raw Data'!$B:$B,0)),"")</f>
        <v/>
      </c>
      <c r="I385" t="str">
        <f t="array" ref="I385">IFERROR(INDEX('Day Range Raw Data'!M:M,Match($A385,'Day Range Raw Data'!$B:$B,0)),"")</f>
        <v/>
      </c>
      <c r="J385" t="str">
        <f t="array" ref="J385">IFERROR(INDEX('Day Range Raw Data'!N:N,Match($A385,'Day Range Raw Data'!$B:$B,0)),"")</f>
        <v/>
      </c>
      <c r="K385" t="str">
        <f t="array" ref="K385">IFERROR(INDEX('Day Range Raw Data'!R:R,Match($A385,'Day Range Raw Data'!$B:$B,0)),"")</f>
        <v/>
      </c>
      <c r="L385" t="str">
        <f t="array" ref="L385">IFERROR(INDEX('Day Range Raw Data'!S:S,Match($A385,'Day Range Raw Data'!$B:$B,0)),"")</f>
        <v/>
      </c>
      <c r="M385" t="str">
        <f t="array" ref="M385">IFERROR(INDEX('Day Range Raw Data'!T:T,Match($A385,'Day Range Raw Data'!$B:$B,0)),"")</f>
        <v/>
      </c>
      <c r="N385" t="str">
        <f t="array" ref="N385">IFERROR(INDEX('Day Range Raw Data'!U:U,Match($A385,'Day Range Raw Data'!$B:$B,0)),"")</f>
        <v/>
      </c>
      <c r="O385" t="str">
        <f t="array" ref="O385">IFERROR(INDEX('Day Range Raw Data'!V:V,Match($A385,'Day Range Raw Data'!$B:$B,0)),"")</f>
        <v/>
      </c>
      <c r="P385" t="str">
        <f t="array" ref="P385">IFERROR(INDEX('Day Range Raw Data'!X:X,Match($A385,'Day Range Raw Data'!$B:$B,0)),"")</f>
        <v/>
      </c>
      <c r="Q385" t="str">
        <f t="shared" si="1"/>
        <v/>
      </c>
      <c r="R385" s="9" t="str">
        <f t="shared" si="2"/>
        <v/>
      </c>
      <c r="S385" s="14" t="str">
        <f t="shared" si="3"/>
        <v/>
      </c>
      <c r="T385" s="15" t="str">
        <f>IFERROR(__xludf.DUMMYFUNCTION("IF($A385="""","""",IFERROR(PERCENTRANK.INC(FILTER(Q:Q,$F:$F&lt;&gt;""""),Q385)*100,""""))"),"")</f>
        <v/>
      </c>
      <c r="U385" s="15" t="str">
        <f>IFERROR(__xludf.DUMMYFUNCTION("IF($A385="""","""",IFERROR(PERCENTRANK.INC(FILTER(R:R,$F:$F&lt;&gt;""""),R385)*100,""""))"),"")</f>
        <v/>
      </c>
      <c r="V385" s="15" t="str">
        <f>IFERROR(__xludf.DUMMYFUNCTION("IF($A385="""","""",IFERROR(PERCENTRANK.INC(FILTER(S:S,$F:$F&lt;&gt;""""),S385)*100,""""))"),"")</f>
        <v/>
      </c>
      <c r="W385" s="15" t="str">
        <f t="shared" si="4"/>
        <v/>
      </c>
    </row>
    <row r="386">
      <c r="B386" t="str">
        <f t="array" ref="B386">IFERROR(INDEX('Player Raw Data'!C:C,Match($A386,'Player Raw Data'!$B:$B,0)),"")</f>
        <v/>
      </c>
      <c r="C386" t="str">
        <f t="array" ref="C386">IFERROR(INDEX('Player Raw Data'!D:D,Match($A386,'Player Raw Data'!$B:$B,0)),"")</f>
        <v/>
      </c>
      <c r="D386" t="str">
        <f t="array" ref="D386">IFERROR(IF(A386=A385, INDEX('Player Raw Data'!E:E,Match($A386,'Player Raw Data'!$B:$B,0)+2),INDEX('Player Raw Data'!E:E,Match($A386,'Player Raw Data'!$B:$B,0))),"")</f>
        <v/>
      </c>
      <c r="E386" t="str">
        <f t="array" ref="E386">IFERROR(INDEX('Day Range Raw Data'!D:D,Match($A386,'Day Range Raw Data'!$B:$B,0)),"")</f>
        <v/>
      </c>
      <c r="F386" t="str">
        <f t="array" ref="F386">IFERROR(INDEX('Day Range Raw Data'!F:F,Match($A386,'Day Range Raw Data'!$B:$B,0)),"")</f>
        <v/>
      </c>
      <c r="G386" t="str">
        <f t="array" ref="G386">IFERROR(INDEX('Day Range Raw Data'!G:G,Match($A386,'Day Range Raw Data'!$B:$B,0)),"")</f>
        <v/>
      </c>
      <c r="H386" t="str">
        <f t="array" ref="H386">IFERROR(INDEX('Day Range Raw Data'!H:H,Match($A386,'Day Range Raw Data'!$B:$B,0)),"")</f>
        <v/>
      </c>
      <c r="I386" t="str">
        <f t="array" ref="I386">IFERROR(INDEX('Day Range Raw Data'!M:M,Match($A386,'Day Range Raw Data'!$B:$B,0)),"")</f>
        <v/>
      </c>
      <c r="J386" t="str">
        <f t="array" ref="J386">IFERROR(INDEX('Day Range Raw Data'!N:N,Match($A386,'Day Range Raw Data'!$B:$B,0)),"")</f>
        <v/>
      </c>
      <c r="K386" t="str">
        <f t="array" ref="K386">IFERROR(INDEX('Day Range Raw Data'!R:R,Match($A386,'Day Range Raw Data'!$B:$B,0)),"")</f>
        <v/>
      </c>
      <c r="L386" t="str">
        <f t="array" ref="L386">IFERROR(INDEX('Day Range Raw Data'!S:S,Match($A386,'Day Range Raw Data'!$B:$B,0)),"")</f>
        <v/>
      </c>
      <c r="M386" t="str">
        <f t="array" ref="M386">IFERROR(INDEX('Day Range Raw Data'!T:T,Match($A386,'Day Range Raw Data'!$B:$B,0)),"")</f>
        <v/>
      </c>
      <c r="N386" t="str">
        <f t="array" ref="N386">IFERROR(INDEX('Day Range Raw Data'!U:U,Match($A386,'Day Range Raw Data'!$B:$B,0)),"")</f>
        <v/>
      </c>
      <c r="O386" t="str">
        <f t="array" ref="O386">IFERROR(INDEX('Day Range Raw Data'!V:V,Match($A386,'Day Range Raw Data'!$B:$B,0)),"")</f>
        <v/>
      </c>
      <c r="P386" t="str">
        <f t="array" ref="P386">IFERROR(INDEX('Day Range Raw Data'!X:X,Match($A386,'Day Range Raw Data'!$B:$B,0)),"")</f>
        <v/>
      </c>
      <c r="Q386" t="str">
        <f t="shared" si="1"/>
        <v/>
      </c>
      <c r="R386" s="9" t="str">
        <f t="shared" si="2"/>
        <v/>
      </c>
      <c r="S386" s="14" t="str">
        <f t="shared" si="3"/>
        <v/>
      </c>
      <c r="T386" s="15" t="str">
        <f>IFERROR(__xludf.DUMMYFUNCTION("IF($A386="""","""",IFERROR(PERCENTRANK.INC(FILTER(Q:Q,$F:$F&lt;&gt;""""),Q386)*100,""""))"),"")</f>
        <v/>
      </c>
      <c r="U386" s="15" t="str">
        <f>IFERROR(__xludf.DUMMYFUNCTION("IF($A386="""","""",IFERROR(PERCENTRANK.INC(FILTER(R:R,$F:$F&lt;&gt;""""),R386)*100,""""))"),"")</f>
        <v/>
      </c>
      <c r="V386" s="15" t="str">
        <f>IFERROR(__xludf.DUMMYFUNCTION("IF($A386="""","""",IFERROR(PERCENTRANK.INC(FILTER(S:S,$F:$F&lt;&gt;""""),S386)*100,""""))"),"")</f>
        <v/>
      </c>
      <c r="W386" s="15" t="str">
        <f t="shared" si="4"/>
        <v/>
      </c>
    </row>
    <row r="387">
      <c r="B387" t="str">
        <f t="array" ref="B387">IFERROR(INDEX('Player Raw Data'!C:C,Match($A387,'Player Raw Data'!$B:$B,0)),"")</f>
        <v/>
      </c>
      <c r="C387" t="str">
        <f t="array" ref="C387">IFERROR(INDEX('Player Raw Data'!D:D,Match($A387,'Player Raw Data'!$B:$B,0)),"")</f>
        <v/>
      </c>
      <c r="D387" t="str">
        <f t="array" ref="D387">IFERROR(IF(A387=A386, INDEX('Player Raw Data'!E:E,Match($A387,'Player Raw Data'!$B:$B,0)+2),INDEX('Player Raw Data'!E:E,Match($A387,'Player Raw Data'!$B:$B,0))),"")</f>
        <v/>
      </c>
      <c r="E387" t="str">
        <f t="array" ref="E387">IFERROR(INDEX('Day Range Raw Data'!D:D,Match($A387,'Day Range Raw Data'!$B:$B,0)),"")</f>
        <v/>
      </c>
      <c r="F387" t="str">
        <f t="array" ref="F387">IFERROR(INDEX('Day Range Raw Data'!F:F,Match($A387,'Day Range Raw Data'!$B:$B,0)),"")</f>
        <v/>
      </c>
      <c r="G387" t="str">
        <f t="array" ref="G387">IFERROR(INDEX('Day Range Raw Data'!G:G,Match($A387,'Day Range Raw Data'!$B:$B,0)),"")</f>
        <v/>
      </c>
      <c r="H387" t="str">
        <f t="array" ref="H387">IFERROR(INDEX('Day Range Raw Data'!H:H,Match($A387,'Day Range Raw Data'!$B:$B,0)),"")</f>
        <v/>
      </c>
      <c r="I387" t="str">
        <f t="array" ref="I387">IFERROR(INDEX('Day Range Raw Data'!M:M,Match($A387,'Day Range Raw Data'!$B:$B,0)),"")</f>
        <v/>
      </c>
      <c r="J387" t="str">
        <f t="array" ref="J387">IFERROR(INDEX('Day Range Raw Data'!N:N,Match($A387,'Day Range Raw Data'!$B:$B,0)),"")</f>
        <v/>
      </c>
      <c r="K387" t="str">
        <f t="array" ref="K387">IFERROR(INDEX('Day Range Raw Data'!R:R,Match($A387,'Day Range Raw Data'!$B:$B,0)),"")</f>
        <v/>
      </c>
      <c r="L387" t="str">
        <f t="array" ref="L387">IFERROR(INDEX('Day Range Raw Data'!S:S,Match($A387,'Day Range Raw Data'!$B:$B,0)),"")</f>
        <v/>
      </c>
      <c r="M387" t="str">
        <f t="array" ref="M387">IFERROR(INDEX('Day Range Raw Data'!T:T,Match($A387,'Day Range Raw Data'!$B:$B,0)),"")</f>
        <v/>
      </c>
      <c r="N387" t="str">
        <f t="array" ref="N387">IFERROR(INDEX('Day Range Raw Data'!U:U,Match($A387,'Day Range Raw Data'!$B:$B,0)),"")</f>
        <v/>
      </c>
      <c r="O387" t="str">
        <f t="array" ref="O387">IFERROR(INDEX('Day Range Raw Data'!V:V,Match($A387,'Day Range Raw Data'!$B:$B,0)),"")</f>
        <v/>
      </c>
      <c r="P387" t="str">
        <f t="array" ref="P387">IFERROR(INDEX('Day Range Raw Data'!X:X,Match($A387,'Day Range Raw Data'!$B:$B,0)),"")</f>
        <v/>
      </c>
      <c r="Q387" t="str">
        <f t="shared" si="1"/>
        <v/>
      </c>
      <c r="R387" s="9" t="str">
        <f t="shared" si="2"/>
        <v/>
      </c>
      <c r="S387" s="14" t="str">
        <f t="shared" si="3"/>
        <v/>
      </c>
      <c r="T387" s="15" t="str">
        <f>IFERROR(__xludf.DUMMYFUNCTION("IF($A387="""","""",IFERROR(PERCENTRANK.INC(FILTER(Q:Q,$F:$F&lt;&gt;""""),Q387)*100,""""))"),"")</f>
        <v/>
      </c>
      <c r="U387" s="15" t="str">
        <f>IFERROR(__xludf.DUMMYFUNCTION("IF($A387="""","""",IFERROR(PERCENTRANK.INC(FILTER(R:R,$F:$F&lt;&gt;""""),R387)*100,""""))"),"")</f>
        <v/>
      </c>
      <c r="V387" s="15" t="str">
        <f>IFERROR(__xludf.DUMMYFUNCTION("IF($A387="""","""",IFERROR(PERCENTRANK.INC(FILTER(S:S,$F:$F&lt;&gt;""""),S387)*100,""""))"),"")</f>
        <v/>
      </c>
      <c r="W387" s="15" t="str">
        <f t="shared" si="4"/>
        <v/>
      </c>
    </row>
    <row r="388">
      <c r="B388" t="str">
        <f t="array" ref="B388">IFERROR(INDEX('Player Raw Data'!C:C,Match($A388,'Player Raw Data'!$B:$B,0)),"")</f>
        <v/>
      </c>
      <c r="C388" t="str">
        <f t="array" ref="C388">IFERROR(INDEX('Player Raw Data'!D:D,Match($A388,'Player Raw Data'!$B:$B,0)),"")</f>
        <v/>
      </c>
      <c r="D388" t="str">
        <f t="array" ref="D388">IFERROR(IF(A388=A387, INDEX('Player Raw Data'!E:E,Match($A388,'Player Raw Data'!$B:$B,0)+2),INDEX('Player Raw Data'!E:E,Match($A388,'Player Raw Data'!$B:$B,0))),"")</f>
        <v/>
      </c>
      <c r="E388" t="str">
        <f t="array" ref="E388">IFERROR(INDEX('Day Range Raw Data'!D:D,Match($A388,'Day Range Raw Data'!$B:$B,0)),"")</f>
        <v/>
      </c>
      <c r="F388" t="str">
        <f t="array" ref="F388">IFERROR(INDEX('Day Range Raw Data'!F:F,Match($A388,'Day Range Raw Data'!$B:$B,0)),"")</f>
        <v/>
      </c>
      <c r="G388" t="str">
        <f t="array" ref="G388">IFERROR(INDEX('Day Range Raw Data'!G:G,Match($A388,'Day Range Raw Data'!$B:$B,0)),"")</f>
        <v/>
      </c>
      <c r="H388" t="str">
        <f t="array" ref="H388">IFERROR(INDEX('Day Range Raw Data'!H:H,Match($A388,'Day Range Raw Data'!$B:$B,0)),"")</f>
        <v/>
      </c>
      <c r="I388" t="str">
        <f t="array" ref="I388">IFERROR(INDEX('Day Range Raw Data'!M:M,Match($A388,'Day Range Raw Data'!$B:$B,0)),"")</f>
        <v/>
      </c>
      <c r="J388" t="str">
        <f t="array" ref="J388">IFERROR(INDEX('Day Range Raw Data'!N:N,Match($A388,'Day Range Raw Data'!$B:$B,0)),"")</f>
        <v/>
      </c>
      <c r="K388" t="str">
        <f t="array" ref="K388">IFERROR(INDEX('Day Range Raw Data'!R:R,Match($A388,'Day Range Raw Data'!$B:$B,0)),"")</f>
        <v/>
      </c>
      <c r="L388" t="str">
        <f t="array" ref="L388">IFERROR(INDEX('Day Range Raw Data'!S:S,Match($A388,'Day Range Raw Data'!$B:$B,0)),"")</f>
        <v/>
      </c>
      <c r="M388" t="str">
        <f t="array" ref="M388">IFERROR(INDEX('Day Range Raw Data'!T:T,Match($A388,'Day Range Raw Data'!$B:$B,0)),"")</f>
        <v/>
      </c>
      <c r="N388" t="str">
        <f t="array" ref="N388">IFERROR(INDEX('Day Range Raw Data'!U:U,Match($A388,'Day Range Raw Data'!$B:$B,0)),"")</f>
        <v/>
      </c>
      <c r="O388" t="str">
        <f t="array" ref="O388">IFERROR(INDEX('Day Range Raw Data'!V:V,Match($A388,'Day Range Raw Data'!$B:$B,0)),"")</f>
        <v/>
      </c>
      <c r="P388" t="str">
        <f t="array" ref="P388">IFERROR(INDEX('Day Range Raw Data'!X:X,Match($A388,'Day Range Raw Data'!$B:$B,0)),"")</f>
        <v/>
      </c>
      <c r="Q388" t="str">
        <f t="shared" si="1"/>
        <v/>
      </c>
      <c r="R388" s="9" t="str">
        <f t="shared" si="2"/>
        <v/>
      </c>
      <c r="S388" s="14" t="str">
        <f t="shared" si="3"/>
        <v/>
      </c>
      <c r="T388" s="15" t="str">
        <f>IFERROR(__xludf.DUMMYFUNCTION("IF($A388="""","""",IFERROR(PERCENTRANK.INC(FILTER(Q:Q,$F:$F&lt;&gt;""""),Q388)*100,""""))"),"")</f>
        <v/>
      </c>
      <c r="U388" s="15" t="str">
        <f>IFERROR(__xludf.DUMMYFUNCTION("IF($A388="""","""",IFERROR(PERCENTRANK.INC(FILTER(R:R,$F:$F&lt;&gt;""""),R388)*100,""""))"),"")</f>
        <v/>
      </c>
      <c r="V388" s="15" t="str">
        <f>IFERROR(__xludf.DUMMYFUNCTION("IF($A388="""","""",IFERROR(PERCENTRANK.INC(FILTER(S:S,$F:$F&lt;&gt;""""),S388)*100,""""))"),"")</f>
        <v/>
      </c>
      <c r="W388" s="15" t="str">
        <f t="shared" si="4"/>
        <v/>
      </c>
    </row>
    <row r="389">
      <c r="B389" t="str">
        <f t="array" ref="B389">IFERROR(INDEX('Player Raw Data'!C:C,Match($A389,'Player Raw Data'!$B:$B,0)),"")</f>
        <v/>
      </c>
      <c r="C389" t="str">
        <f t="array" ref="C389">IFERROR(INDEX('Player Raw Data'!D:D,Match($A389,'Player Raw Data'!$B:$B,0)),"")</f>
        <v/>
      </c>
      <c r="D389" t="str">
        <f t="array" ref="D389">IFERROR(IF(A389=A388, INDEX('Player Raw Data'!E:E,Match($A389,'Player Raw Data'!$B:$B,0)+2),INDEX('Player Raw Data'!E:E,Match($A389,'Player Raw Data'!$B:$B,0))),"")</f>
        <v/>
      </c>
      <c r="E389" t="str">
        <f t="array" ref="E389">IFERROR(INDEX('Day Range Raw Data'!D:D,Match($A389,'Day Range Raw Data'!$B:$B,0)),"")</f>
        <v/>
      </c>
      <c r="F389" t="str">
        <f t="array" ref="F389">IFERROR(INDEX('Day Range Raw Data'!F:F,Match($A389,'Day Range Raw Data'!$B:$B,0)),"")</f>
        <v/>
      </c>
      <c r="G389" t="str">
        <f t="array" ref="G389">IFERROR(INDEX('Day Range Raw Data'!G:G,Match($A389,'Day Range Raw Data'!$B:$B,0)),"")</f>
        <v/>
      </c>
      <c r="H389" t="str">
        <f t="array" ref="H389">IFERROR(INDEX('Day Range Raw Data'!H:H,Match($A389,'Day Range Raw Data'!$B:$B,0)),"")</f>
        <v/>
      </c>
      <c r="I389" t="str">
        <f t="array" ref="I389">IFERROR(INDEX('Day Range Raw Data'!M:M,Match($A389,'Day Range Raw Data'!$B:$B,0)),"")</f>
        <v/>
      </c>
      <c r="J389" t="str">
        <f t="array" ref="J389">IFERROR(INDEX('Day Range Raw Data'!N:N,Match($A389,'Day Range Raw Data'!$B:$B,0)),"")</f>
        <v/>
      </c>
      <c r="K389" t="str">
        <f t="array" ref="K389">IFERROR(INDEX('Day Range Raw Data'!R:R,Match($A389,'Day Range Raw Data'!$B:$B,0)),"")</f>
        <v/>
      </c>
      <c r="L389" t="str">
        <f t="array" ref="L389">IFERROR(INDEX('Day Range Raw Data'!S:S,Match($A389,'Day Range Raw Data'!$B:$B,0)),"")</f>
        <v/>
      </c>
      <c r="M389" t="str">
        <f t="array" ref="M389">IFERROR(INDEX('Day Range Raw Data'!T:T,Match($A389,'Day Range Raw Data'!$B:$B,0)),"")</f>
        <v/>
      </c>
      <c r="N389" t="str">
        <f t="array" ref="N389">IFERROR(INDEX('Day Range Raw Data'!U:U,Match($A389,'Day Range Raw Data'!$B:$B,0)),"")</f>
        <v/>
      </c>
      <c r="O389" t="str">
        <f t="array" ref="O389">IFERROR(INDEX('Day Range Raw Data'!V:V,Match($A389,'Day Range Raw Data'!$B:$B,0)),"")</f>
        <v/>
      </c>
      <c r="P389" t="str">
        <f t="array" ref="P389">IFERROR(INDEX('Day Range Raw Data'!X:X,Match($A389,'Day Range Raw Data'!$B:$B,0)),"")</f>
        <v/>
      </c>
      <c r="Q389" t="str">
        <f t="shared" si="1"/>
        <v/>
      </c>
      <c r="R389" s="9" t="str">
        <f t="shared" si="2"/>
        <v/>
      </c>
      <c r="S389" s="14" t="str">
        <f t="shared" si="3"/>
        <v/>
      </c>
      <c r="T389" s="15" t="str">
        <f>IFERROR(__xludf.DUMMYFUNCTION("IF($A389="""","""",IFERROR(PERCENTRANK.INC(FILTER(Q:Q,$F:$F&lt;&gt;""""),Q389)*100,""""))"),"")</f>
        <v/>
      </c>
      <c r="U389" s="15" t="str">
        <f>IFERROR(__xludf.DUMMYFUNCTION("IF($A389="""","""",IFERROR(PERCENTRANK.INC(FILTER(R:R,$F:$F&lt;&gt;""""),R389)*100,""""))"),"")</f>
        <v/>
      </c>
      <c r="V389" s="15" t="str">
        <f>IFERROR(__xludf.DUMMYFUNCTION("IF($A389="""","""",IFERROR(PERCENTRANK.INC(FILTER(S:S,$F:$F&lt;&gt;""""),S389)*100,""""))"),"")</f>
        <v/>
      </c>
      <c r="W389" s="15" t="str">
        <f t="shared" si="4"/>
        <v/>
      </c>
    </row>
    <row r="390">
      <c r="B390" t="str">
        <f t="array" ref="B390">IFERROR(INDEX('Player Raw Data'!C:C,Match($A390,'Player Raw Data'!$B:$B,0)),"")</f>
        <v/>
      </c>
      <c r="C390" t="str">
        <f t="array" ref="C390">IFERROR(INDEX('Player Raw Data'!D:D,Match($A390,'Player Raw Data'!$B:$B,0)),"")</f>
        <v/>
      </c>
      <c r="D390" t="str">
        <f t="array" ref="D390">IFERROR(IF(A390=A389, INDEX('Player Raw Data'!E:E,Match($A390,'Player Raw Data'!$B:$B,0)+2),INDEX('Player Raw Data'!E:E,Match($A390,'Player Raw Data'!$B:$B,0))),"")</f>
        <v/>
      </c>
      <c r="E390" t="str">
        <f t="array" ref="E390">IFERROR(INDEX('Day Range Raw Data'!D:D,Match($A390,'Day Range Raw Data'!$B:$B,0)),"")</f>
        <v/>
      </c>
      <c r="F390" t="str">
        <f t="array" ref="F390">IFERROR(INDEX('Day Range Raw Data'!F:F,Match($A390,'Day Range Raw Data'!$B:$B,0)),"")</f>
        <v/>
      </c>
      <c r="G390" t="str">
        <f t="array" ref="G390">IFERROR(INDEX('Day Range Raw Data'!G:G,Match($A390,'Day Range Raw Data'!$B:$B,0)),"")</f>
        <v/>
      </c>
      <c r="H390" t="str">
        <f t="array" ref="H390">IFERROR(INDEX('Day Range Raw Data'!H:H,Match($A390,'Day Range Raw Data'!$B:$B,0)),"")</f>
        <v/>
      </c>
      <c r="I390" t="str">
        <f t="array" ref="I390">IFERROR(INDEX('Day Range Raw Data'!M:M,Match($A390,'Day Range Raw Data'!$B:$B,0)),"")</f>
        <v/>
      </c>
      <c r="J390" t="str">
        <f t="array" ref="J390">IFERROR(INDEX('Day Range Raw Data'!N:N,Match($A390,'Day Range Raw Data'!$B:$B,0)),"")</f>
        <v/>
      </c>
      <c r="K390" t="str">
        <f t="array" ref="K390">IFERROR(INDEX('Day Range Raw Data'!R:R,Match($A390,'Day Range Raw Data'!$B:$B,0)),"")</f>
        <v/>
      </c>
      <c r="L390" t="str">
        <f t="array" ref="L390">IFERROR(INDEX('Day Range Raw Data'!S:S,Match($A390,'Day Range Raw Data'!$B:$B,0)),"")</f>
        <v/>
      </c>
      <c r="M390" t="str">
        <f t="array" ref="M390">IFERROR(INDEX('Day Range Raw Data'!T:T,Match($A390,'Day Range Raw Data'!$B:$B,0)),"")</f>
        <v/>
      </c>
      <c r="N390" t="str">
        <f t="array" ref="N390">IFERROR(INDEX('Day Range Raw Data'!U:U,Match($A390,'Day Range Raw Data'!$B:$B,0)),"")</f>
        <v/>
      </c>
      <c r="O390" t="str">
        <f t="array" ref="O390">IFERROR(INDEX('Day Range Raw Data'!V:V,Match($A390,'Day Range Raw Data'!$B:$B,0)),"")</f>
        <v/>
      </c>
      <c r="P390" t="str">
        <f t="array" ref="P390">IFERROR(INDEX('Day Range Raw Data'!X:X,Match($A390,'Day Range Raw Data'!$B:$B,0)),"")</f>
        <v/>
      </c>
      <c r="Q390" t="str">
        <f t="shared" si="1"/>
        <v/>
      </c>
      <c r="R390" s="9" t="str">
        <f t="shared" si="2"/>
        <v/>
      </c>
      <c r="S390" s="14" t="str">
        <f t="shared" si="3"/>
        <v/>
      </c>
      <c r="T390" s="15" t="str">
        <f>IFERROR(__xludf.DUMMYFUNCTION("IF($A390="""","""",IFERROR(PERCENTRANK.INC(FILTER(Q:Q,$F:$F&lt;&gt;""""),Q390)*100,""""))"),"")</f>
        <v/>
      </c>
      <c r="U390" s="15" t="str">
        <f>IFERROR(__xludf.DUMMYFUNCTION("IF($A390="""","""",IFERROR(PERCENTRANK.INC(FILTER(R:R,$F:$F&lt;&gt;""""),R390)*100,""""))"),"")</f>
        <v/>
      </c>
      <c r="V390" s="15" t="str">
        <f>IFERROR(__xludf.DUMMYFUNCTION("IF($A390="""","""",IFERROR(PERCENTRANK.INC(FILTER(S:S,$F:$F&lt;&gt;""""),S390)*100,""""))"),"")</f>
        <v/>
      </c>
      <c r="W390" s="15" t="str">
        <f t="shared" si="4"/>
        <v/>
      </c>
    </row>
    <row r="391">
      <c r="B391" t="str">
        <f t="array" ref="B391">IFERROR(INDEX('Player Raw Data'!C:C,Match($A391,'Player Raw Data'!$B:$B,0)),"")</f>
        <v/>
      </c>
      <c r="C391" t="str">
        <f t="array" ref="C391">IFERROR(INDEX('Player Raw Data'!D:D,Match($A391,'Player Raw Data'!$B:$B,0)),"")</f>
        <v/>
      </c>
      <c r="D391" t="str">
        <f t="array" ref="D391">IFERROR(IF(A391=A390, INDEX('Player Raw Data'!E:E,Match($A391,'Player Raw Data'!$B:$B,0)+2),INDEX('Player Raw Data'!E:E,Match($A391,'Player Raw Data'!$B:$B,0))),"")</f>
        <v/>
      </c>
      <c r="E391" t="str">
        <f t="array" ref="E391">IFERROR(INDEX('Day Range Raw Data'!D:D,Match($A391,'Day Range Raw Data'!$B:$B,0)),"")</f>
        <v/>
      </c>
      <c r="F391" t="str">
        <f t="array" ref="F391">IFERROR(INDEX('Day Range Raw Data'!F:F,Match($A391,'Day Range Raw Data'!$B:$B,0)),"")</f>
        <v/>
      </c>
      <c r="G391" t="str">
        <f t="array" ref="G391">IFERROR(INDEX('Day Range Raw Data'!G:G,Match($A391,'Day Range Raw Data'!$B:$B,0)),"")</f>
        <v/>
      </c>
      <c r="H391" t="str">
        <f t="array" ref="H391">IFERROR(INDEX('Day Range Raw Data'!H:H,Match($A391,'Day Range Raw Data'!$B:$B,0)),"")</f>
        <v/>
      </c>
      <c r="I391" t="str">
        <f t="array" ref="I391">IFERROR(INDEX('Day Range Raw Data'!M:M,Match($A391,'Day Range Raw Data'!$B:$B,0)),"")</f>
        <v/>
      </c>
      <c r="J391" t="str">
        <f t="array" ref="J391">IFERROR(INDEX('Day Range Raw Data'!N:N,Match($A391,'Day Range Raw Data'!$B:$B,0)),"")</f>
        <v/>
      </c>
      <c r="K391" t="str">
        <f t="array" ref="K391">IFERROR(INDEX('Day Range Raw Data'!R:R,Match($A391,'Day Range Raw Data'!$B:$B,0)),"")</f>
        <v/>
      </c>
      <c r="L391" t="str">
        <f t="array" ref="L391">IFERROR(INDEX('Day Range Raw Data'!S:S,Match($A391,'Day Range Raw Data'!$B:$B,0)),"")</f>
        <v/>
      </c>
      <c r="M391" t="str">
        <f t="array" ref="M391">IFERROR(INDEX('Day Range Raw Data'!T:T,Match($A391,'Day Range Raw Data'!$B:$B,0)),"")</f>
        <v/>
      </c>
      <c r="N391" t="str">
        <f t="array" ref="N391">IFERROR(INDEX('Day Range Raw Data'!U:U,Match($A391,'Day Range Raw Data'!$B:$B,0)),"")</f>
        <v/>
      </c>
      <c r="O391" t="str">
        <f t="array" ref="O391">IFERROR(INDEX('Day Range Raw Data'!V:V,Match($A391,'Day Range Raw Data'!$B:$B,0)),"")</f>
        <v/>
      </c>
      <c r="P391" t="str">
        <f t="array" ref="P391">IFERROR(INDEX('Day Range Raw Data'!X:X,Match($A391,'Day Range Raw Data'!$B:$B,0)),"")</f>
        <v/>
      </c>
      <c r="Q391" t="str">
        <f t="shared" si="1"/>
        <v/>
      </c>
      <c r="R391" s="9" t="str">
        <f t="shared" si="2"/>
        <v/>
      </c>
      <c r="S391" s="14" t="str">
        <f t="shared" si="3"/>
        <v/>
      </c>
      <c r="T391" s="15" t="str">
        <f>IFERROR(__xludf.DUMMYFUNCTION("IF($A391="""","""",IFERROR(PERCENTRANK.INC(FILTER(Q:Q,$F:$F&lt;&gt;""""),Q391)*100,""""))"),"")</f>
        <v/>
      </c>
      <c r="U391" s="15" t="str">
        <f>IFERROR(__xludf.DUMMYFUNCTION("IF($A391="""","""",IFERROR(PERCENTRANK.INC(FILTER(R:R,$F:$F&lt;&gt;""""),R391)*100,""""))"),"")</f>
        <v/>
      </c>
      <c r="V391" s="15" t="str">
        <f>IFERROR(__xludf.DUMMYFUNCTION("IF($A391="""","""",IFERROR(PERCENTRANK.INC(FILTER(S:S,$F:$F&lt;&gt;""""),S391)*100,""""))"),"")</f>
        <v/>
      </c>
      <c r="W391" s="15" t="str">
        <f t="shared" si="4"/>
        <v/>
      </c>
    </row>
    <row r="392">
      <c r="B392" t="str">
        <f t="array" ref="B392">IFERROR(INDEX('Player Raw Data'!C:C,Match($A392,'Player Raw Data'!$B:$B,0)),"")</f>
        <v/>
      </c>
      <c r="C392" t="str">
        <f t="array" ref="C392">IFERROR(INDEX('Player Raw Data'!D:D,Match($A392,'Player Raw Data'!$B:$B,0)),"")</f>
        <v/>
      </c>
      <c r="D392" t="str">
        <f t="array" ref="D392">IFERROR(IF(A392=A391, INDEX('Player Raw Data'!E:E,Match($A392,'Player Raw Data'!$B:$B,0)+2),INDEX('Player Raw Data'!E:E,Match($A392,'Player Raw Data'!$B:$B,0))),"")</f>
        <v/>
      </c>
      <c r="E392" t="str">
        <f t="array" ref="E392">IFERROR(INDEX('Day Range Raw Data'!D:D,Match($A392,'Day Range Raw Data'!$B:$B,0)),"")</f>
        <v/>
      </c>
      <c r="F392" t="str">
        <f t="array" ref="F392">IFERROR(INDEX('Day Range Raw Data'!F:F,Match($A392,'Day Range Raw Data'!$B:$B,0)),"")</f>
        <v/>
      </c>
      <c r="G392" t="str">
        <f t="array" ref="G392">IFERROR(INDEX('Day Range Raw Data'!G:G,Match($A392,'Day Range Raw Data'!$B:$B,0)),"")</f>
        <v/>
      </c>
      <c r="H392" t="str">
        <f t="array" ref="H392">IFERROR(INDEX('Day Range Raw Data'!H:H,Match($A392,'Day Range Raw Data'!$B:$B,0)),"")</f>
        <v/>
      </c>
      <c r="I392" t="str">
        <f t="array" ref="I392">IFERROR(INDEX('Day Range Raw Data'!M:M,Match($A392,'Day Range Raw Data'!$B:$B,0)),"")</f>
        <v/>
      </c>
      <c r="J392" t="str">
        <f t="array" ref="J392">IFERROR(INDEX('Day Range Raw Data'!N:N,Match($A392,'Day Range Raw Data'!$B:$B,0)),"")</f>
        <v/>
      </c>
      <c r="K392" t="str">
        <f t="array" ref="K392">IFERROR(INDEX('Day Range Raw Data'!R:R,Match($A392,'Day Range Raw Data'!$B:$B,0)),"")</f>
        <v/>
      </c>
      <c r="L392" t="str">
        <f t="array" ref="L392">IFERROR(INDEX('Day Range Raw Data'!S:S,Match($A392,'Day Range Raw Data'!$B:$B,0)),"")</f>
        <v/>
      </c>
      <c r="M392" t="str">
        <f t="array" ref="M392">IFERROR(INDEX('Day Range Raw Data'!T:T,Match($A392,'Day Range Raw Data'!$B:$B,0)),"")</f>
        <v/>
      </c>
      <c r="N392" t="str">
        <f t="array" ref="N392">IFERROR(INDEX('Day Range Raw Data'!U:U,Match($A392,'Day Range Raw Data'!$B:$B,0)),"")</f>
        <v/>
      </c>
      <c r="O392" t="str">
        <f t="array" ref="O392">IFERROR(INDEX('Day Range Raw Data'!V:V,Match($A392,'Day Range Raw Data'!$B:$B,0)),"")</f>
        <v/>
      </c>
      <c r="P392" t="str">
        <f t="array" ref="P392">IFERROR(INDEX('Day Range Raw Data'!X:X,Match($A392,'Day Range Raw Data'!$B:$B,0)),"")</f>
        <v/>
      </c>
      <c r="Q392" t="str">
        <f t="shared" si="1"/>
        <v/>
      </c>
      <c r="R392" s="9" t="str">
        <f t="shared" si="2"/>
        <v/>
      </c>
      <c r="S392" s="14" t="str">
        <f t="shared" si="3"/>
        <v/>
      </c>
      <c r="T392" s="15" t="str">
        <f>IFERROR(__xludf.DUMMYFUNCTION("IF($A392="""","""",IFERROR(PERCENTRANK.INC(FILTER(Q:Q,$F:$F&lt;&gt;""""),Q392)*100,""""))"),"")</f>
        <v/>
      </c>
      <c r="U392" s="15" t="str">
        <f>IFERROR(__xludf.DUMMYFUNCTION("IF($A392="""","""",IFERROR(PERCENTRANK.INC(FILTER(R:R,$F:$F&lt;&gt;""""),R392)*100,""""))"),"")</f>
        <v/>
      </c>
      <c r="V392" s="15" t="str">
        <f>IFERROR(__xludf.DUMMYFUNCTION("IF($A392="""","""",IFERROR(PERCENTRANK.INC(FILTER(S:S,$F:$F&lt;&gt;""""),S392)*100,""""))"),"")</f>
        <v/>
      </c>
      <c r="W392" s="15" t="str">
        <f t="shared" si="4"/>
        <v/>
      </c>
    </row>
    <row r="393">
      <c r="B393" t="str">
        <f t="array" ref="B393">IFERROR(INDEX('Player Raw Data'!C:C,Match($A393,'Player Raw Data'!$B:$B,0)),"")</f>
        <v/>
      </c>
      <c r="C393" t="str">
        <f t="array" ref="C393">IFERROR(INDEX('Player Raw Data'!D:D,Match($A393,'Player Raw Data'!$B:$B,0)),"")</f>
        <v/>
      </c>
      <c r="D393" t="str">
        <f t="array" ref="D393">IFERROR(IF(A393=A392, INDEX('Player Raw Data'!E:E,Match($A393,'Player Raw Data'!$B:$B,0)+2),INDEX('Player Raw Data'!E:E,Match($A393,'Player Raw Data'!$B:$B,0))),"")</f>
        <v/>
      </c>
      <c r="E393" t="str">
        <f t="array" ref="E393">IFERROR(INDEX('Day Range Raw Data'!D:D,Match($A393,'Day Range Raw Data'!$B:$B,0)),"")</f>
        <v/>
      </c>
      <c r="F393" t="str">
        <f t="array" ref="F393">IFERROR(INDEX('Day Range Raw Data'!F:F,Match($A393,'Day Range Raw Data'!$B:$B,0)),"")</f>
        <v/>
      </c>
      <c r="G393" t="str">
        <f t="array" ref="G393">IFERROR(INDEX('Day Range Raw Data'!G:G,Match($A393,'Day Range Raw Data'!$B:$B,0)),"")</f>
        <v/>
      </c>
      <c r="H393" t="str">
        <f t="array" ref="H393">IFERROR(INDEX('Day Range Raw Data'!H:H,Match($A393,'Day Range Raw Data'!$B:$B,0)),"")</f>
        <v/>
      </c>
      <c r="I393" t="str">
        <f t="array" ref="I393">IFERROR(INDEX('Day Range Raw Data'!M:M,Match($A393,'Day Range Raw Data'!$B:$B,0)),"")</f>
        <v/>
      </c>
      <c r="J393" t="str">
        <f t="array" ref="J393">IFERROR(INDEX('Day Range Raw Data'!N:N,Match($A393,'Day Range Raw Data'!$B:$B,0)),"")</f>
        <v/>
      </c>
      <c r="K393" t="str">
        <f t="array" ref="K393">IFERROR(INDEX('Day Range Raw Data'!R:R,Match($A393,'Day Range Raw Data'!$B:$B,0)),"")</f>
        <v/>
      </c>
      <c r="L393" t="str">
        <f t="array" ref="L393">IFERROR(INDEX('Day Range Raw Data'!S:S,Match($A393,'Day Range Raw Data'!$B:$B,0)),"")</f>
        <v/>
      </c>
      <c r="M393" t="str">
        <f t="array" ref="M393">IFERROR(INDEX('Day Range Raw Data'!T:T,Match($A393,'Day Range Raw Data'!$B:$B,0)),"")</f>
        <v/>
      </c>
      <c r="N393" t="str">
        <f t="array" ref="N393">IFERROR(INDEX('Day Range Raw Data'!U:U,Match($A393,'Day Range Raw Data'!$B:$B,0)),"")</f>
        <v/>
      </c>
      <c r="O393" t="str">
        <f t="array" ref="O393">IFERROR(INDEX('Day Range Raw Data'!V:V,Match($A393,'Day Range Raw Data'!$B:$B,0)),"")</f>
        <v/>
      </c>
      <c r="P393" t="str">
        <f t="array" ref="P393">IFERROR(INDEX('Day Range Raw Data'!X:X,Match($A393,'Day Range Raw Data'!$B:$B,0)),"")</f>
        <v/>
      </c>
      <c r="Q393" t="str">
        <f t="shared" si="1"/>
        <v/>
      </c>
      <c r="R393" s="9" t="str">
        <f t="shared" si="2"/>
        <v/>
      </c>
      <c r="S393" s="14" t="str">
        <f t="shared" si="3"/>
        <v/>
      </c>
      <c r="T393" s="15" t="str">
        <f>IFERROR(__xludf.DUMMYFUNCTION("IF($A393="""","""",IFERROR(PERCENTRANK.INC(FILTER(Q:Q,$F:$F&lt;&gt;""""),Q393)*100,""""))"),"")</f>
        <v/>
      </c>
      <c r="U393" s="15" t="str">
        <f>IFERROR(__xludf.DUMMYFUNCTION("IF($A393="""","""",IFERROR(PERCENTRANK.INC(FILTER(R:R,$F:$F&lt;&gt;""""),R393)*100,""""))"),"")</f>
        <v/>
      </c>
      <c r="V393" s="15" t="str">
        <f>IFERROR(__xludf.DUMMYFUNCTION("IF($A393="""","""",IFERROR(PERCENTRANK.INC(FILTER(S:S,$F:$F&lt;&gt;""""),S393)*100,""""))"),"")</f>
        <v/>
      </c>
      <c r="W393" s="15" t="str">
        <f t="shared" si="4"/>
        <v/>
      </c>
    </row>
    <row r="394">
      <c r="B394" t="str">
        <f t="array" ref="B394">IFERROR(INDEX('Player Raw Data'!C:C,Match($A394,'Player Raw Data'!$B:$B,0)),"")</f>
        <v/>
      </c>
      <c r="C394" t="str">
        <f t="array" ref="C394">IFERROR(INDEX('Player Raw Data'!D:D,Match($A394,'Player Raw Data'!$B:$B,0)),"")</f>
        <v/>
      </c>
      <c r="D394" t="str">
        <f t="array" ref="D394">IFERROR(IF(A394=A393, INDEX('Player Raw Data'!E:E,Match($A394,'Player Raw Data'!$B:$B,0)+2),INDEX('Player Raw Data'!E:E,Match($A394,'Player Raw Data'!$B:$B,0))),"")</f>
        <v/>
      </c>
      <c r="E394" t="str">
        <f t="array" ref="E394">IFERROR(INDEX('Day Range Raw Data'!D:D,Match($A394,'Day Range Raw Data'!$B:$B,0)),"")</f>
        <v/>
      </c>
      <c r="F394" t="str">
        <f t="array" ref="F394">IFERROR(INDEX('Day Range Raw Data'!F:F,Match($A394,'Day Range Raw Data'!$B:$B,0)),"")</f>
        <v/>
      </c>
      <c r="G394" t="str">
        <f t="array" ref="G394">IFERROR(INDEX('Day Range Raw Data'!G:G,Match($A394,'Day Range Raw Data'!$B:$B,0)),"")</f>
        <v/>
      </c>
      <c r="H394" t="str">
        <f t="array" ref="H394">IFERROR(INDEX('Day Range Raw Data'!H:H,Match($A394,'Day Range Raw Data'!$B:$B,0)),"")</f>
        <v/>
      </c>
      <c r="I394" t="str">
        <f t="array" ref="I394">IFERROR(INDEX('Day Range Raw Data'!M:M,Match($A394,'Day Range Raw Data'!$B:$B,0)),"")</f>
        <v/>
      </c>
      <c r="J394" t="str">
        <f t="array" ref="J394">IFERROR(INDEX('Day Range Raw Data'!N:N,Match($A394,'Day Range Raw Data'!$B:$B,0)),"")</f>
        <v/>
      </c>
      <c r="K394" t="str">
        <f t="array" ref="K394">IFERROR(INDEX('Day Range Raw Data'!R:R,Match($A394,'Day Range Raw Data'!$B:$B,0)),"")</f>
        <v/>
      </c>
      <c r="L394" t="str">
        <f t="array" ref="L394">IFERROR(INDEX('Day Range Raw Data'!S:S,Match($A394,'Day Range Raw Data'!$B:$B,0)),"")</f>
        <v/>
      </c>
      <c r="M394" t="str">
        <f t="array" ref="M394">IFERROR(INDEX('Day Range Raw Data'!T:T,Match($A394,'Day Range Raw Data'!$B:$B,0)),"")</f>
        <v/>
      </c>
      <c r="N394" t="str">
        <f t="array" ref="N394">IFERROR(INDEX('Day Range Raw Data'!U:U,Match($A394,'Day Range Raw Data'!$B:$B,0)),"")</f>
        <v/>
      </c>
      <c r="O394" t="str">
        <f t="array" ref="O394">IFERROR(INDEX('Day Range Raw Data'!V:V,Match($A394,'Day Range Raw Data'!$B:$B,0)),"")</f>
        <v/>
      </c>
      <c r="P394" t="str">
        <f t="array" ref="P394">IFERROR(INDEX('Day Range Raw Data'!X:X,Match($A394,'Day Range Raw Data'!$B:$B,0)),"")</f>
        <v/>
      </c>
      <c r="Q394" t="str">
        <f t="shared" si="1"/>
        <v/>
      </c>
      <c r="R394" s="9" t="str">
        <f t="shared" si="2"/>
        <v/>
      </c>
      <c r="S394" s="14" t="str">
        <f t="shared" si="3"/>
        <v/>
      </c>
      <c r="T394" s="15" t="str">
        <f>IFERROR(__xludf.DUMMYFUNCTION("IF($A394="""","""",IFERROR(PERCENTRANK.INC(FILTER(Q:Q,$F:$F&lt;&gt;""""),Q394)*100,""""))"),"")</f>
        <v/>
      </c>
      <c r="U394" s="15" t="str">
        <f>IFERROR(__xludf.DUMMYFUNCTION("IF($A394="""","""",IFERROR(PERCENTRANK.INC(FILTER(R:R,$F:$F&lt;&gt;""""),R394)*100,""""))"),"")</f>
        <v/>
      </c>
      <c r="V394" s="15" t="str">
        <f>IFERROR(__xludf.DUMMYFUNCTION("IF($A394="""","""",IFERROR(PERCENTRANK.INC(FILTER(S:S,$F:$F&lt;&gt;""""),S394)*100,""""))"),"")</f>
        <v/>
      </c>
      <c r="W394" s="15" t="str">
        <f t="shared" si="4"/>
        <v/>
      </c>
    </row>
    <row r="395">
      <c r="B395" t="str">
        <f t="array" ref="B395">IFERROR(INDEX('Player Raw Data'!C:C,Match($A395,'Player Raw Data'!$B:$B,0)),"")</f>
        <v/>
      </c>
      <c r="C395" t="str">
        <f t="array" ref="C395">IFERROR(INDEX('Player Raw Data'!D:D,Match($A395,'Player Raw Data'!$B:$B,0)),"")</f>
        <v/>
      </c>
      <c r="D395" t="str">
        <f t="array" ref="D395">IFERROR(IF(A395=A394, INDEX('Player Raw Data'!E:E,Match($A395,'Player Raw Data'!$B:$B,0)+2),INDEX('Player Raw Data'!E:E,Match($A395,'Player Raw Data'!$B:$B,0))),"")</f>
        <v/>
      </c>
      <c r="E395" t="str">
        <f t="array" ref="E395">IFERROR(INDEX('Day Range Raw Data'!D:D,Match($A395,'Day Range Raw Data'!$B:$B,0)),"")</f>
        <v/>
      </c>
      <c r="F395" t="str">
        <f t="array" ref="F395">IFERROR(INDEX('Day Range Raw Data'!F:F,Match($A395,'Day Range Raw Data'!$B:$B,0)),"")</f>
        <v/>
      </c>
      <c r="G395" t="str">
        <f t="array" ref="G395">IFERROR(INDEX('Day Range Raw Data'!G:G,Match($A395,'Day Range Raw Data'!$B:$B,0)),"")</f>
        <v/>
      </c>
      <c r="H395" t="str">
        <f t="array" ref="H395">IFERROR(INDEX('Day Range Raw Data'!H:H,Match($A395,'Day Range Raw Data'!$B:$B,0)),"")</f>
        <v/>
      </c>
      <c r="I395" t="str">
        <f t="array" ref="I395">IFERROR(INDEX('Day Range Raw Data'!M:M,Match($A395,'Day Range Raw Data'!$B:$B,0)),"")</f>
        <v/>
      </c>
      <c r="J395" t="str">
        <f t="array" ref="J395">IFERROR(INDEX('Day Range Raw Data'!N:N,Match($A395,'Day Range Raw Data'!$B:$B,0)),"")</f>
        <v/>
      </c>
      <c r="K395" t="str">
        <f t="array" ref="K395">IFERROR(INDEX('Day Range Raw Data'!R:R,Match($A395,'Day Range Raw Data'!$B:$B,0)),"")</f>
        <v/>
      </c>
      <c r="L395" t="str">
        <f t="array" ref="L395">IFERROR(INDEX('Day Range Raw Data'!S:S,Match($A395,'Day Range Raw Data'!$B:$B,0)),"")</f>
        <v/>
      </c>
      <c r="M395" t="str">
        <f t="array" ref="M395">IFERROR(INDEX('Day Range Raw Data'!T:T,Match($A395,'Day Range Raw Data'!$B:$B,0)),"")</f>
        <v/>
      </c>
      <c r="N395" t="str">
        <f t="array" ref="N395">IFERROR(INDEX('Day Range Raw Data'!U:U,Match($A395,'Day Range Raw Data'!$B:$B,0)),"")</f>
        <v/>
      </c>
      <c r="O395" t="str">
        <f t="array" ref="O395">IFERROR(INDEX('Day Range Raw Data'!V:V,Match($A395,'Day Range Raw Data'!$B:$B,0)),"")</f>
        <v/>
      </c>
      <c r="P395" t="str">
        <f t="array" ref="P395">IFERROR(INDEX('Day Range Raw Data'!X:X,Match($A395,'Day Range Raw Data'!$B:$B,0)),"")</f>
        <v/>
      </c>
      <c r="Q395" t="str">
        <f t="shared" si="1"/>
        <v/>
      </c>
      <c r="R395" s="9" t="str">
        <f t="shared" si="2"/>
        <v/>
      </c>
      <c r="S395" s="14" t="str">
        <f t="shared" si="3"/>
        <v/>
      </c>
      <c r="T395" s="15" t="str">
        <f>IFERROR(__xludf.DUMMYFUNCTION("IF($A395="""","""",IFERROR(PERCENTRANK.INC(FILTER(Q:Q,$F:$F&lt;&gt;""""),Q395)*100,""""))"),"")</f>
        <v/>
      </c>
      <c r="U395" s="15" t="str">
        <f>IFERROR(__xludf.DUMMYFUNCTION("IF($A395="""","""",IFERROR(PERCENTRANK.INC(FILTER(R:R,$F:$F&lt;&gt;""""),R395)*100,""""))"),"")</f>
        <v/>
      </c>
      <c r="V395" s="15" t="str">
        <f>IFERROR(__xludf.DUMMYFUNCTION("IF($A395="""","""",IFERROR(PERCENTRANK.INC(FILTER(S:S,$F:$F&lt;&gt;""""),S395)*100,""""))"),"")</f>
        <v/>
      </c>
      <c r="W395" s="15" t="str">
        <f t="shared" si="4"/>
        <v/>
      </c>
    </row>
    <row r="396">
      <c r="B396" t="str">
        <f t="array" ref="B396">IFERROR(INDEX('Player Raw Data'!C:C,Match($A396,'Player Raw Data'!$B:$B,0)),"")</f>
        <v/>
      </c>
      <c r="C396" t="str">
        <f t="array" ref="C396">IFERROR(INDEX('Player Raw Data'!D:D,Match($A396,'Player Raw Data'!$B:$B,0)),"")</f>
        <v/>
      </c>
      <c r="D396" t="str">
        <f t="array" ref="D396">IFERROR(IF(A396=A395, INDEX('Player Raw Data'!E:E,Match($A396,'Player Raw Data'!$B:$B,0)+2),INDEX('Player Raw Data'!E:E,Match($A396,'Player Raw Data'!$B:$B,0))),"")</f>
        <v/>
      </c>
      <c r="E396" t="str">
        <f t="array" ref="E396">IFERROR(INDEX('Day Range Raw Data'!D:D,Match($A396,'Day Range Raw Data'!$B:$B,0)),"")</f>
        <v/>
      </c>
      <c r="F396" t="str">
        <f t="array" ref="F396">IFERROR(INDEX('Day Range Raw Data'!F:F,Match($A396,'Day Range Raw Data'!$B:$B,0)),"")</f>
        <v/>
      </c>
      <c r="G396" t="str">
        <f t="array" ref="G396">IFERROR(INDEX('Day Range Raw Data'!G:G,Match($A396,'Day Range Raw Data'!$B:$B,0)),"")</f>
        <v/>
      </c>
      <c r="H396" t="str">
        <f t="array" ref="H396">IFERROR(INDEX('Day Range Raw Data'!H:H,Match($A396,'Day Range Raw Data'!$B:$B,0)),"")</f>
        <v/>
      </c>
      <c r="I396" t="str">
        <f t="array" ref="I396">IFERROR(INDEX('Day Range Raw Data'!M:M,Match($A396,'Day Range Raw Data'!$B:$B,0)),"")</f>
        <v/>
      </c>
      <c r="J396" t="str">
        <f t="array" ref="J396">IFERROR(INDEX('Day Range Raw Data'!N:N,Match($A396,'Day Range Raw Data'!$B:$B,0)),"")</f>
        <v/>
      </c>
      <c r="K396" t="str">
        <f t="array" ref="K396">IFERROR(INDEX('Day Range Raw Data'!R:R,Match($A396,'Day Range Raw Data'!$B:$B,0)),"")</f>
        <v/>
      </c>
      <c r="L396" t="str">
        <f t="array" ref="L396">IFERROR(INDEX('Day Range Raw Data'!S:S,Match($A396,'Day Range Raw Data'!$B:$B,0)),"")</f>
        <v/>
      </c>
      <c r="M396" t="str">
        <f t="array" ref="M396">IFERROR(INDEX('Day Range Raw Data'!T:T,Match($A396,'Day Range Raw Data'!$B:$B,0)),"")</f>
        <v/>
      </c>
      <c r="N396" t="str">
        <f t="array" ref="N396">IFERROR(INDEX('Day Range Raw Data'!U:U,Match($A396,'Day Range Raw Data'!$B:$B,0)),"")</f>
        <v/>
      </c>
      <c r="O396" t="str">
        <f t="array" ref="O396">IFERROR(INDEX('Day Range Raw Data'!V:V,Match($A396,'Day Range Raw Data'!$B:$B,0)),"")</f>
        <v/>
      </c>
      <c r="P396" t="str">
        <f t="array" ref="P396">IFERROR(INDEX('Day Range Raw Data'!X:X,Match($A396,'Day Range Raw Data'!$B:$B,0)),"")</f>
        <v/>
      </c>
      <c r="Q396" t="str">
        <f t="shared" si="1"/>
        <v/>
      </c>
      <c r="R396" s="9" t="str">
        <f t="shared" si="2"/>
        <v/>
      </c>
      <c r="S396" s="14" t="str">
        <f t="shared" si="3"/>
        <v/>
      </c>
      <c r="T396" s="15" t="str">
        <f>IFERROR(__xludf.DUMMYFUNCTION("IF($A396="""","""",IFERROR(PERCENTRANK.INC(FILTER(Q:Q,$F:$F&lt;&gt;""""),Q396)*100,""""))"),"")</f>
        <v/>
      </c>
      <c r="U396" s="15" t="str">
        <f>IFERROR(__xludf.DUMMYFUNCTION("IF($A396="""","""",IFERROR(PERCENTRANK.INC(FILTER(R:R,$F:$F&lt;&gt;""""),R396)*100,""""))"),"")</f>
        <v/>
      </c>
      <c r="V396" s="15" t="str">
        <f>IFERROR(__xludf.DUMMYFUNCTION("IF($A396="""","""",IFERROR(PERCENTRANK.INC(FILTER(S:S,$F:$F&lt;&gt;""""),S396)*100,""""))"),"")</f>
        <v/>
      </c>
      <c r="W396" s="15" t="str">
        <f t="shared" si="4"/>
        <v/>
      </c>
    </row>
    <row r="397">
      <c r="B397" t="str">
        <f t="array" ref="B397">IFERROR(INDEX('Player Raw Data'!C:C,Match($A397,'Player Raw Data'!$B:$B,0)),"")</f>
        <v/>
      </c>
      <c r="C397" t="str">
        <f t="array" ref="C397">IFERROR(INDEX('Player Raw Data'!D:D,Match($A397,'Player Raw Data'!$B:$B,0)),"")</f>
        <v/>
      </c>
      <c r="D397" t="str">
        <f t="array" ref="D397">IFERROR(IF(A397=A396, INDEX('Player Raw Data'!E:E,Match($A397,'Player Raw Data'!$B:$B,0)+2),INDEX('Player Raw Data'!E:E,Match($A397,'Player Raw Data'!$B:$B,0))),"")</f>
        <v/>
      </c>
      <c r="E397" t="str">
        <f t="array" ref="E397">IFERROR(INDEX('Day Range Raw Data'!D:D,Match($A397,'Day Range Raw Data'!$B:$B,0)),"")</f>
        <v/>
      </c>
      <c r="F397" t="str">
        <f t="array" ref="F397">IFERROR(INDEX('Day Range Raw Data'!F:F,Match($A397,'Day Range Raw Data'!$B:$B,0)),"")</f>
        <v/>
      </c>
      <c r="G397" t="str">
        <f t="array" ref="G397">IFERROR(INDEX('Day Range Raw Data'!G:G,Match($A397,'Day Range Raw Data'!$B:$B,0)),"")</f>
        <v/>
      </c>
      <c r="H397" t="str">
        <f t="array" ref="H397">IFERROR(INDEX('Day Range Raw Data'!H:H,Match($A397,'Day Range Raw Data'!$B:$B,0)),"")</f>
        <v/>
      </c>
      <c r="I397" t="str">
        <f t="array" ref="I397">IFERROR(INDEX('Day Range Raw Data'!M:M,Match($A397,'Day Range Raw Data'!$B:$B,0)),"")</f>
        <v/>
      </c>
      <c r="J397" t="str">
        <f t="array" ref="J397">IFERROR(INDEX('Day Range Raw Data'!N:N,Match($A397,'Day Range Raw Data'!$B:$B,0)),"")</f>
        <v/>
      </c>
      <c r="K397" t="str">
        <f t="array" ref="K397">IFERROR(INDEX('Day Range Raw Data'!R:R,Match($A397,'Day Range Raw Data'!$B:$B,0)),"")</f>
        <v/>
      </c>
      <c r="L397" t="str">
        <f t="array" ref="L397">IFERROR(INDEX('Day Range Raw Data'!S:S,Match($A397,'Day Range Raw Data'!$B:$B,0)),"")</f>
        <v/>
      </c>
      <c r="M397" t="str">
        <f t="array" ref="M397">IFERROR(INDEX('Day Range Raw Data'!T:T,Match($A397,'Day Range Raw Data'!$B:$B,0)),"")</f>
        <v/>
      </c>
      <c r="N397" t="str">
        <f t="array" ref="N397">IFERROR(INDEX('Day Range Raw Data'!U:U,Match($A397,'Day Range Raw Data'!$B:$B,0)),"")</f>
        <v/>
      </c>
      <c r="O397" t="str">
        <f t="array" ref="O397">IFERROR(INDEX('Day Range Raw Data'!V:V,Match($A397,'Day Range Raw Data'!$B:$B,0)),"")</f>
        <v/>
      </c>
      <c r="P397" t="str">
        <f t="array" ref="P397">IFERROR(INDEX('Day Range Raw Data'!X:X,Match($A397,'Day Range Raw Data'!$B:$B,0)),"")</f>
        <v/>
      </c>
      <c r="Q397" t="str">
        <f t="shared" si="1"/>
        <v/>
      </c>
      <c r="R397" s="9" t="str">
        <f t="shared" si="2"/>
        <v/>
      </c>
      <c r="S397" s="14" t="str">
        <f t="shared" si="3"/>
        <v/>
      </c>
      <c r="T397" s="15" t="str">
        <f>IFERROR(__xludf.DUMMYFUNCTION("IF($A397="""","""",IFERROR(PERCENTRANK.INC(FILTER(Q:Q,$F:$F&lt;&gt;""""),Q397)*100,""""))"),"")</f>
        <v/>
      </c>
      <c r="U397" s="15" t="str">
        <f>IFERROR(__xludf.DUMMYFUNCTION("IF($A397="""","""",IFERROR(PERCENTRANK.INC(FILTER(R:R,$F:$F&lt;&gt;""""),R397)*100,""""))"),"")</f>
        <v/>
      </c>
      <c r="V397" s="15" t="str">
        <f>IFERROR(__xludf.DUMMYFUNCTION("IF($A397="""","""",IFERROR(PERCENTRANK.INC(FILTER(S:S,$F:$F&lt;&gt;""""),S397)*100,""""))"),"")</f>
        <v/>
      </c>
      <c r="W397" s="15" t="str">
        <f t="shared" si="4"/>
        <v/>
      </c>
    </row>
    <row r="398">
      <c r="B398" t="str">
        <f t="array" ref="B398">IFERROR(INDEX('Player Raw Data'!C:C,Match($A398,'Player Raw Data'!$B:$B,0)),"")</f>
        <v/>
      </c>
      <c r="C398" t="str">
        <f t="array" ref="C398">IFERROR(INDEX('Player Raw Data'!D:D,Match($A398,'Player Raw Data'!$B:$B,0)),"")</f>
        <v/>
      </c>
      <c r="D398" t="str">
        <f t="array" ref="D398">IFERROR(IF(A398=A397, INDEX('Player Raw Data'!E:E,Match($A398,'Player Raw Data'!$B:$B,0)+2),INDEX('Player Raw Data'!E:E,Match($A398,'Player Raw Data'!$B:$B,0))),"")</f>
        <v/>
      </c>
      <c r="E398" t="str">
        <f t="array" ref="E398">IFERROR(INDEX('Day Range Raw Data'!D:D,Match($A398,'Day Range Raw Data'!$B:$B,0)),"")</f>
        <v/>
      </c>
      <c r="F398" t="str">
        <f t="array" ref="F398">IFERROR(INDEX('Day Range Raw Data'!F:F,Match($A398,'Day Range Raw Data'!$B:$B,0)),"")</f>
        <v/>
      </c>
      <c r="G398" t="str">
        <f t="array" ref="G398">IFERROR(INDEX('Day Range Raw Data'!G:G,Match($A398,'Day Range Raw Data'!$B:$B,0)),"")</f>
        <v/>
      </c>
      <c r="H398" t="str">
        <f t="array" ref="H398">IFERROR(INDEX('Day Range Raw Data'!H:H,Match($A398,'Day Range Raw Data'!$B:$B,0)),"")</f>
        <v/>
      </c>
      <c r="I398" t="str">
        <f t="array" ref="I398">IFERROR(INDEX('Day Range Raw Data'!M:M,Match($A398,'Day Range Raw Data'!$B:$B,0)),"")</f>
        <v/>
      </c>
      <c r="J398" t="str">
        <f t="array" ref="J398">IFERROR(INDEX('Day Range Raw Data'!N:N,Match($A398,'Day Range Raw Data'!$B:$B,0)),"")</f>
        <v/>
      </c>
      <c r="K398" t="str">
        <f t="array" ref="K398">IFERROR(INDEX('Day Range Raw Data'!R:R,Match($A398,'Day Range Raw Data'!$B:$B,0)),"")</f>
        <v/>
      </c>
      <c r="L398" t="str">
        <f t="array" ref="L398">IFERROR(INDEX('Day Range Raw Data'!S:S,Match($A398,'Day Range Raw Data'!$B:$B,0)),"")</f>
        <v/>
      </c>
      <c r="M398" t="str">
        <f t="array" ref="M398">IFERROR(INDEX('Day Range Raw Data'!T:T,Match($A398,'Day Range Raw Data'!$B:$B,0)),"")</f>
        <v/>
      </c>
      <c r="N398" t="str">
        <f t="array" ref="N398">IFERROR(INDEX('Day Range Raw Data'!U:U,Match($A398,'Day Range Raw Data'!$B:$B,0)),"")</f>
        <v/>
      </c>
      <c r="O398" t="str">
        <f t="array" ref="O398">IFERROR(INDEX('Day Range Raw Data'!V:V,Match($A398,'Day Range Raw Data'!$B:$B,0)),"")</f>
        <v/>
      </c>
      <c r="P398" t="str">
        <f t="array" ref="P398">IFERROR(INDEX('Day Range Raw Data'!X:X,Match($A398,'Day Range Raw Data'!$B:$B,0)),"")</f>
        <v/>
      </c>
      <c r="Q398" t="str">
        <f t="shared" si="1"/>
        <v/>
      </c>
      <c r="R398" s="9" t="str">
        <f t="shared" si="2"/>
        <v/>
      </c>
      <c r="S398" s="14" t="str">
        <f t="shared" si="3"/>
        <v/>
      </c>
      <c r="T398" s="15" t="str">
        <f>IFERROR(__xludf.DUMMYFUNCTION("IF($A398="""","""",IFERROR(PERCENTRANK.INC(FILTER(Q:Q,$F:$F&lt;&gt;""""),Q398)*100,""""))"),"")</f>
        <v/>
      </c>
      <c r="U398" s="15" t="str">
        <f>IFERROR(__xludf.DUMMYFUNCTION("IF($A398="""","""",IFERROR(PERCENTRANK.INC(FILTER(R:R,$F:$F&lt;&gt;""""),R398)*100,""""))"),"")</f>
        <v/>
      </c>
      <c r="V398" s="15" t="str">
        <f>IFERROR(__xludf.DUMMYFUNCTION("IF($A398="""","""",IFERROR(PERCENTRANK.INC(FILTER(S:S,$F:$F&lt;&gt;""""),S398)*100,""""))"),"")</f>
        <v/>
      </c>
      <c r="W398" s="15" t="str">
        <f t="shared" si="4"/>
        <v/>
      </c>
    </row>
    <row r="399">
      <c r="B399" t="str">
        <f t="array" ref="B399">IFERROR(INDEX('Player Raw Data'!C:C,Match($A399,'Player Raw Data'!$B:$B,0)),"")</f>
        <v/>
      </c>
      <c r="C399" t="str">
        <f t="array" ref="C399">IFERROR(INDEX('Player Raw Data'!D:D,Match($A399,'Player Raw Data'!$B:$B,0)),"")</f>
        <v/>
      </c>
      <c r="D399" t="str">
        <f t="array" ref="D399">IFERROR(IF(A399=A398, INDEX('Player Raw Data'!E:E,Match($A399,'Player Raw Data'!$B:$B,0)+2),INDEX('Player Raw Data'!E:E,Match($A399,'Player Raw Data'!$B:$B,0))),"")</f>
        <v/>
      </c>
      <c r="E399" t="str">
        <f t="array" ref="E399">IFERROR(INDEX('Day Range Raw Data'!D:D,Match($A399,'Day Range Raw Data'!$B:$B,0)),"")</f>
        <v/>
      </c>
      <c r="F399" t="str">
        <f t="array" ref="F399">IFERROR(INDEX('Day Range Raw Data'!F:F,Match($A399,'Day Range Raw Data'!$B:$B,0)),"")</f>
        <v/>
      </c>
      <c r="G399" t="str">
        <f t="array" ref="G399">IFERROR(INDEX('Day Range Raw Data'!G:G,Match($A399,'Day Range Raw Data'!$B:$B,0)),"")</f>
        <v/>
      </c>
      <c r="H399" t="str">
        <f t="array" ref="H399">IFERROR(INDEX('Day Range Raw Data'!H:H,Match($A399,'Day Range Raw Data'!$B:$B,0)),"")</f>
        <v/>
      </c>
      <c r="I399" t="str">
        <f t="array" ref="I399">IFERROR(INDEX('Day Range Raw Data'!M:M,Match($A399,'Day Range Raw Data'!$B:$B,0)),"")</f>
        <v/>
      </c>
      <c r="J399" t="str">
        <f t="array" ref="J399">IFERROR(INDEX('Day Range Raw Data'!N:N,Match($A399,'Day Range Raw Data'!$B:$B,0)),"")</f>
        <v/>
      </c>
      <c r="K399" t="str">
        <f t="array" ref="K399">IFERROR(INDEX('Day Range Raw Data'!R:R,Match($A399,'Day Range Raw Data'!$B:$B,0)),"")</f>
        <v/>
      </c>
      <c r="L399" t="str">
        <f t="array" ref="L399">IFERROR(INDEX('Day Range Raw Data'!S:S,Match($A399,'Day Range Raw Data'!$B:$B,0)),"")</f>
        <v/>
      </c>
      <c r="M399" t="str">
        <f t="array" ref="M399">IFERROR(INDEX('Day Range Raw Data'!T:T,Match($A399,'Day Range Raw Data'!$B:$B,0)),"")</f>
        <v/>
      </c>
      <c r="N399" t="str">
        <f t="array" ref="N399">IFERROR(INDEX('Day Range Raw Data'!U:U,Match($A399,'Day Range Raw Data'!$B:$B,0)),"")</f>
        <v/>
      </c>
      <c r="O399" t="str">
        <f t="array" ref="O399">IFERROR(INDEX('Day Range Raw Data'!V:V,Match($A399,'Day Range Raw Data'!$B:$B,0)),"")</f>
        <v/>
      </c>
      <c r="P399" t="str">
        <f t="array" ref="P399">IFERROR(INDEX('Day Range Raw Data'!X:X,Match($A399,'Day Range Raw Data'!$B:$B,0)),"")</f>
        <v/>
      </c>
      <c r="Q399" t="str">
        <f t="shared" si="1"/>
        <v/>
      </c>
      <c r="R399" s="9" t="str">
        <f t="shared" si="2"/>
        <v/>
      </c>
      <c r="S399" s="14" t="str">
        <f t="shared" si="3"/>
        <v/>
      </c>
      <c r="T399" s="15" t="str">
        <f>IFERROR(__xludf.DUMMYFUNCTION("IF($A399="""","""",IFERROR(PERCENTRANK.INC(FILTER(Q:Q,$F:$F&lt;&gt;""""),Q399)*100,""""))"),"")</f>
        <v/>
      </c>
      <c r="U399" s="15" t="str">
        <f>IFERROR(__xludf.DUMMYFUNCTION("IF($A399="""","""",IFERROR(PERCENTRANK.INC(FILTER(R:R,$F:$F&lt;&gt;""""),R399)*100,""""))"),"")</f>
        <v/>
      </c>
      <c r="V399" s="15" t="str">
        <f>IFERROR(__xludf.DUMMYFUNCTION("IF($A399="""","""",IFERROR(PERCENTRANK.INC(FILTER(S:S,$F:$F&lt;&gt;""""),S399)*100,""""))"),"")</f>
        <v/>
      </c>
      <c r="W399" s="15" t="str">
        <f t="shared" si="4"/>
        <v/>
      </c>
    </row>
    <row r="400">
      <c r="B400" t="str">
        <f t="array" ref="B400">IFERROR(INDEX('Player Raw Data'!C:C,Match($A400,'Player Raw Data'!$B:$B,0)),"")</f>
        <v/>
      </c>
      <c r="C400" t="str">
        <f t="array" ref="C400">IFERROR(INDEX('Player Raw Data'!D:D,Match($A400,'Player Raw Data'!$B:$B,0)),"")</f>
        <v/>
      </c>
      <c r="D400" t="str">
        <f t="array" ref="D400">IFERROR(IF(A400=A399, INDEX('Player Raw Data'!E:E,Match($A400,'Player Raw Data'!$B:$B,0)+2),INDEX('Player Raw Data'!E:E,Match($A400,'Player Raw Data'!$B:$B,0))),"")</f>
        <v/>
      </c>
      <c r="E400" t="str">
        <f t="array" ref="E400">IFERROR(INDEX('Day Range Raw Data'!D:D,Match($A400,'Day Range Raw Data'!$B:$B,0)),"")</f>
        <v/>
      </c>
      <c r="F400" t="str">
        <f t="array" ref="F400">IFERROR(INDEX('Day Range Raw Data'!F:F,Match($A400,'Day Range Raw Data'!$B:$B,0)),"")</f>
        <v/>
      </c>
      <c r="G400" t="str">
        <f t="array" ref="G400">IFERROR(INDEX('Day Range Raw Data'!G:G,Match($A400,'Day Range Raw Data'!$B:$B,0)),"")</f>
        <v/>
      </c>
      <c r="H400" t="str">
        <f t="array" ref="H400">IFERROR(INDEX('Day Range Raw Data'!H:H,Match($A400,'Day Range Raw Data'!$B:$B,0)),"")</f>
        <v/>
      </c>
      <c r="I400" t="str">
        <f t="array" ref="I400">IFERROR(INDEX('Day Range Raw Data'!M:M,Match($A400,'Day Range Raw Data'!$B:$B,0)),"")</f>
        <v/>
      </c>
      <c r="J400" t="str">
        <f t="array" ref="J400">IFERROR(INDEX('Day Range Raw Data'!N:N,Match($A400,'Day Range Raw Data'!$B:$B,0)),"")</f>
        <v/>
      </c>
      <c r="K400" t="str">
        <f t="array" ref="K400">IFERROR(INDEX('Day Range Raw Data'!R:R,Match($A400,'Day Range Raw Data'!$B:$B,0)),"")</f>
        <v/>
      </c>
      <c r="L400" t="str">
        <f t="array" ref="L400">IFERROR(INDEX('Day Range Raw Data'!S:S,Match($A400,'Day Range Raw Data'!$B:$B,0)),"")</f>
        <v/>
      </c>
      <c r="M400" t="str">
        <f t="array" ref="M400">IFERROR(INDEX('Day Range Raw Data'!T:T,Match($A400,'Day Range Raw Data'!$B:$B,0)),"")</f>
        <v/>
      </c>
      <c r="N400" t="str">
        <f t="array" ref="N400">IFERROR(INDEX('Day Range Raw Data'!U:U,Match($A400,'Day Range Raw Data'!$B:$B,0)),"")</f>
        <v/>
      </c>
      <c r="O400" t="str">
        <f t="array" ref="O400">IFERROR(INDEX('Day Range Raw Data'!V:V,Match($A400,'Day Range Raw Data'!$B:$B,0)),"")</f>
        <v/>
      </c>
      <c r="P400" t="str">
        <f t="array" ref="P400">IFERROR(INDEX('Day Range Raw Data'!X:X,Match($A400,'Day Range Raw Data'!$B:$B,0)),"")</f>
        <v/>
      </c>
      <c r="Q400" t="str">
        <f t="shared" si="1"/>
        <v/>
      </c>
      <c r="R400" s="9" t="str">
        <f t="shared" si="2"/>
        <v/>
      </c>
      <c r="S400" s="14" t="str">
        <f t="shared" si="3"/>
        <v/>
      </c>
      <c r="T400" s="15" t="str">
        <f>IFERROR(__xludf.DUMMYFUNCTION("IF($A400="""","""",IFERROR(PERCENTRANK.INC(FILTER(Q:Q,$F:$F&lt;&gt;""""),Q400)*100,""""))"),"")</f>
        <v/>
      </c>
      <c r="U400" s="15" t="str">
        <f>IFERROR(__xludf.DUMMYFUNCTION("IF($A400="""","""",IFERROR(PERCENTRANK.INC(FILTER(R:R,$F:$F&lt;&gt;""""),R400)*100,""""))"),"")</f>
        <v/>
      </c>
      <c r="V400" s="15" t="str">
        <f>IFERROR(__xludf.DUMMYFUNCTION("IF($A400="""","""",IFERROR(PERCENTRANK.INC(FILTER(S:S,$F:$F&lt;&gt;""""),S400)*100,""""))"),"")</f>
        <v/>
      </c>
      <c r="W400" s="15" t="str">
        <f t="shared" si="4"/>
        <v/>
      </c>
    </row>
    <row r="401">
      <c r="B401" t="str">
        <f t="array" ref="B401">IFERROR(INDEX('Player Raw Data'!C:C,Match($A401,'Player Raw Data'!$B:$B,0)),"")</f>
        <v/>
      </c>
      <c r="C401" t="str">
        <f t="array" ref="C401">IFERROR(INDEX('Player Raw Data'!D:D,Match($A401,'Player Raw Data'!$B:$B,0)),"")</f>
        <v/>
      </c>
      <c r="D401" t="str">
        <f t="array" ref="D401">IFERROR(IF(A401=A400, INDEX('Player Raw Data'!E:E,Match($A401,'Player Raw Data'!$B:$B,0)+2),INDEX('Player Raw Data'!E:E,Match($A401,'Player Raw Data'!$B:$B,0))),"")</f>
        <v/>
      </c>
      <c r="E401" t="str">
        <f t="array" ref="E401">IFERROR(INDEX('Day Range Raw Data'!D:D,Match($A401,'Day Range Raw Data'!$B:$B,0)),"")</f>
        <v/>
      </c>
      <c r="F401" t="str">
        <f t="array" ref="F401">IFERROR(INDEX('Day Range Raw Data'!F:F,Match($A401,'Day Range Raw Data'!$B:$B,0)),"")</f>
        <v/>
      </c>
      <c r="G401" t="str">
        <f t="array" ref="G401">IFERROR(INDEX('Day Range Raw Data'!G:G,Match($A401,'Day Range Raw Data'!$B:$B,0)),"")</f>
        <v/>
      </c>
      <c r="H401" t="str">
        <f t="array" ref="H401">IFERROR(INDEX('Day Range Raw Data'!H:H,Match($A401,'Day Range Raw Data'!$B:$B,0)),"")</f>
        <v/>
      </c>
      <c r="I401" t="str">
        <f t="array" ref="I401">IFERROR(INDEX('Day Range Raw Data'!M:M,Match($A401,'Day Range Raw Data'!$B:$B,0)),"")</f>
        <v/>
      </c>
      <c r="J401" t="str">
        <f t="array" ref="J401">IFERROR(INDEX('Day Range Raw Data'!N:N,Match($A401,'Day Range Raw Data'!$B:$B,0)),"")</f>
        <v/>
      </c>
      <c r="K401" t="str">
        <f t="array" ref="K401">IFERROR(INDEX('Day Range Raw Data'!R:R,Match($A401,'Day Range Raw Data'!$B:$B,0)),"")</f>
        <v/>
      </c>
      <c r="L401" t="str">
        <f t="array" ref="L401">IFERROR(INDEX('Day Range Raw Data'!S:S,Match($A401,'Day Range Raw Data'!$B:$B,0)),"")</f>
        <v/>
      </c>
      <c r="M401" t="str">
        <f t="array" ref="M401">IFERROR(INDEX('Day Range Raw Data'!T:T,Match($A401,'Day Range Raw Data'!$B:$B,0)),"")</f>
        <v/>
      </c>
      <c r="N401" t="str">
        <f t="array" ref="N401">IFERROR(INDEX('Day Range Raw Data'!U:U,Match($A401,'Day Range Raw Data'!$B:$B,0)),"")</f>
        <v/>
      </c>
      <c r="O401" t="str">
        <f t="array" ref="O401">IFERROR(INDEX('Day Range Raw Data'!V:V,Match($A401,'Day Range Raw Data'!$B:$B,0)),"")</f>
        <v/>
      </c>
      <c r="P401" t="str">
        <f t="array" ref="P401">IFERROR(INDEX('Day Range Raw Data'!X:X,Match($A401,'Day Range Raw Data'!$B:$B,0)),"")</f>
        <v/>
      </c>
      <c r="Q401" t="str">
        <f t="shared" si="1"/>
        <v/>
      </c>
      <c r="R401" s="9" t="str">
        <f t="shared" si="2"/>
        <v/>
      </c>
      <c r="S401" s="14" t="str">
        <f t="shared" si="3"/>
        <v/>
      </c>
      <c r="T401" s="15" t="str">
        <f>IFERROR(__xludf.DUMMYFUNCTION("IF($A401="""","""",IFERROR(PERCENTRANK.INC(FILTER(Q:Q,$F:$F&lt;&gt;""""),Q401)*100,""""))"),"")</f>
        <v/>
      </c>
      <c r="U401" s="15" t="str">
        <f>IFERROR(__xludf.DUMMYFUNCTION("IF($A401="""","""",IFERROR(PERCENTRANK.INC(FILTER(R:R,$F:$F&lt;&gt;""""),R401)*100,""""))"),"")</f>
        <v/>
      </c>
      <c r="V401" s="15" t="str">
        <f>IFERROR(__xludf.DUMMYFUNCTION("IF($A401="""","""",IFERROR(PERCENTRANK.INC(FILTER(S:S,$F:$F&lt;&gt;""""),S401)*100,""""))"),"")</f>
        <v/>
      </c>
      <c r="W401" s="15" t="str">
        <f t="shared" si="4"/>
        <v/>
      </c>
    </row>
    <row r="402">
      <c r="B402" t="str">
        <f t="array" ref="B402">IFERROR(INDEX('Player Raw Data'!C:C,Match($A402,'Player Raw Data'!$B:$B,0)),"")</f>
        <v/>
      </c>
      <c r="C402" t="str">
        <f t="array" ref="C402">IFERROR(INDEX('Player Raw Data'!D:D,Match($A402,'Player Raw Data'!$B:$B,0)),"")</f>
        <v/>
      </c>
      <c r="D402" t="str">
        <f t="array" ref="D402">IFERROR(IF(A402=A401, INDEX('Player Raw Data'!E:E,Match($A402,'Player Raw Data'!$B:$B,0)+2),INDEX('Player Raw Data'!E:E,Match($A402,'Player Raw Data'!$B:$B,0))),"")</f>
        <v/>
      </c>
      <c r="E402" t="str">
        <f t="array" ref="E402">IFERROR(INDEX('Day Range Raw Data'!D:D,Match($A402,'Day Range Raw Data'!$B:$B,0)),"")</f>
        <v/>
      </c>
      <c r="F402" t="str">
        <f t="array" ref="F402">IFERROR(INDEX('Day Range Raw Data'!F:F,Match($A402,'Day Range Raw Data'!$B:$B,0)),"")</f>
        <v/>
      </c>
      <c r="G402" t="str">
        <f t="array" ref="G402">IFERROR(INDEX('Day Range Raw Data'!G:G,Match($A402,'Day Range Raw Data'!$B:$B,0)),"")</f>
        <v/>
      </c>
      <c r="H402" t="str">
        <f t="array" ref="H402">IFERROR(INDEX('Day Range Raw Data'!H:H,Match($A402,'Day Range Raw Data'!$B:$B,0)),"")</f>
        <v/>
      </c>
      <c r="I402" t="str">
        <f t="array" ref="I402">IFERROR(INDEX('Day Range Raw Data'!M:M,Match($A402,'Day Range Raw Data'!$B:$B,0)),"")</f>
        <v/>
      </c>
      <c r="J402" t="str">
        <f t="array" ref="J402">IFERROR(INDEX('Day Range Raw Data'!N:N,Match($A402,'Day Range Raw Data'!$B:$B,0)),"")</f>
        <v/>
      </c>
      <c r="K402" t="str">
        <f t="array" ref="K402">IFERROR(INDEX('Day Range Raw Data'!R:R,Match($A402,'Day Range Raw Data'!$B:$B,0)),"")</f>
        <v/>
      </c>
      <c r="L402" t="str">
        <f t="array" ref="L402">IFERROR(INDEX('Day Range Raw Data'!S:S,Match($A402,'Day Range Raw Data'!$B:$B,0)),"")</f>
        <v/>
      </c>
      <c r="M402" t="str">
        <f t="array" ref="M402">IFERROR(INDEX('Day Range Raw Data'!T:T,Match($A402,'Day Range Raw Data'!$B:$B,0)),"")</f>
        <v/>
      </c>
      <c r="N402" t="str">
        <f t="array" ref="N402">IFERROR(INDEX('Day Range Raw Data'!U:U,Match($A402,'Day Range Raw Data'!$B:$B,0)),"")</f>
        <v/>
      </c>
      <c r="O402" t="str">
        <f t="array" ref="O402">IFERROR(INDEX('Day Range Raw Data'!V:V,Match($A402,'Day Range Raw Data'!$B:$B,0)),"")</f>
        <v/>
      </c>
      <c r="P402" t="str">
        <f t="array" ref="P402">IFERROR(INDEX('Day Range Raw Data'!X:X,Match($A402,'Day Range Raw Data'!$B:$B,0)),"")</f>
        <v/>
      </c>
      <c r="Q402" t="str">
        <f t="shared" si="1"/>
        <v/>
      </c>
      <c r="R402" s="9" t="str">
        <f t="shared" si="2"/>
        <v/>
      </c>
      <c r="S402" s="14" t="str">
        <f t="shared" si="3"/>
        <v/>
      </c>
      <c r="T402" s="15" t="str">
        <f>IFERROR(__xludf.DUMMYFUNCTION("IF($A402="""","""",IFERROR(PERCENTRANK.INC(FILTER(Q:Q,$F:$F&lt;&gt;""""),Q402)*100,""""))"),"")</f>
        <v/>
      </c>
      <c r="U402" s="15" t="str">
        <f>IFERROR(__xludf.DUMMYFUNCTION("IF($A402="""","""",IFERROR(PERCENTRANK.INC(FILTER(R:R,$F:$F&lt;&gt;""""),R402)*100,""""))"),"")</f>
        <v/>
      </c>
      <c r="V402" s="15" t="str">
        <f>IFERROR(__xludf.DUMMYFUNCTION("IF($A402="""","""",IFERROR(PERCENTRANK.INC(FILTER(S:S,$F:$F&lt;&gt;""""),S402)*100,""""))"),"")</f>
        <v/>
      </c>
      <c r="W402" s="15" t="str">
        <f t="shared" si="4"/>
        <v/>
      </c>
    </row>
    <row r="403">
      <c r="B403" t="str">
        <f t="array" ref="B403">IFERROR(INDEX('Player Raw Data'!C:C,Match($A403,'Player Raw Data'!$B:$B,0)),"")</f>
        <v/>
      </c>
      <c r="C403" t="str">
        <f t="array" ref="C403">IFERROR(INDEX('Player Raw Data'!D:D,Match($A403,'Player Raw Data'!$B:$B,0)),"")</f>
        <v/>
      </c>
      <c r="D403" t="str">
        <f t="array" ref="D403">IFERROR(IF(A403=A402, INDEX('Player Raw Data'!E:E,Match($A403,'Player Raw Data'!$B:$B,0)+2),INDEX('Player Raw Data'!E:E,Match($A403,'Player Raw Data'!$B:$B,0))),"")</f>
        <v/>
      </c>
      <c r="E403" t="str">
        <f t="array" ref="E403">IFERROR(INDEX('Day Range Raw Data'!D:D,Match($A403,'Day Range Raw Data'!$B:$B,0)),"")</f>
        <v/>
      </c>
      <c r="F403" t="str">
        <f t="array" ref="F403">IFERROR(INDEX('Day Range Raw Data'!F:F,Match($A403,'Day Range Raw Data'!$B:$B,0)),"")</f>
        <v/>
      </c>
      <c r="G403" t="str">
        <f t="array" ref="G403">IFERROR(INDEX('Day Range Raw Data'!G:G,Match($A403,'Day Range Raw Data'!$B:$B,0)),"")</f>
        <v/>
      </c>
      <c r="H403" t="str">
        <f t="array" ref="H403">IFERROR(INDEX('Day Range Raw Data'!H:H,Match($A403,'Day Range Raw Data'!$B:$B,0)),"")</f>
        <v/>
      </c>
      <c r="I403" t="str">
        <f t="array" ref="I403">IFERROR(INDEX('Day Range Raw Data'!M:M,Match($A403,'Day Range Raw Data'!$B:$B,0)),"")</f>
        <v/>
      </c>
      <c r="J403" t="str">
        <f t="array" ref="J403">IFERROR(INDEX('Day Range Raw Data'!N:N,Match($A403,'Day Range Raw Data'!$B:$B,0)),"")</f>
        <v/>
      </c>
      <c r="K403" t="str">
        <f t="array" ref="K403">IFERROR(INDEX('Day Range Raw Data'!R:R,Match($A403,'Day Range Raw Data'!$B:$B,0)),"")</f>
        <v/>
      </c>
      <c r="L403" t="str">
        <f t="array" ref="L403">IFERROR(INDEX('Day Range Raw Data'!S:S,Match($A403,'Day Range Raw Data'!$B:$B,0)),"")</f>
        <v/>
      </c>
      <c r="M403" t="str">
        <f t="array" ref="M403">IFERROR(INDEX('Day Range Raw Data'!T:T,Match($A403,'Day Range Raw Data'!$B:$B,0)),"")</f>
        <v/>
      </c>
      <c r="N403" t="str">
        <f t="array" ref="N403">IFERROR(INDEX('Day Range Raw Data'!U:U,Match($A403,'Day Range Raw Data'!$B:$B,0)),"")</f>
        <v/>
      </c>
      <c r="O403" t="str">
        <f t="array" ref="O403">IFERROR(INDEX('Day Range Raw Data'!V:V,Match($A403,'Day Range Raw Data'!$B:$B,0)),"")</f>
        <v/>
      </c>
      <c r="P403" t="str">
        <f t="array" ref="P403">IFERROR(INDEX('Day Range Raw Data'!X:X,Match($A403,'Day Range Raw Data'!$B:$B,0)),"")</f>
        <v/>
      </c>
      <c r="Q403" t="str">
        <f t="shared" si="1"/>
        <v/>
      </c>
      <c r="R403" s="9" t="str">
        <f t="shared" si="2"/>
        <v/>
      </c>
      <c r="S403" s="14" t="str">
        <f t="shared" si="3"/>
        <v/>
      </c>
      <c r="T403" s="15" t="str">
        <f>IFERROR(__xludf.DUMMYFUNCTION("IF($A403="""","""",IFERROR(PERCENTRANK.INC(FILTER(Q:Q,$F:$F&lt;&gt;""""),Q403)*100,""""))"),"")</f>
        <v/>
      </c>
      <c r="U403" s="15" t="str">
        <f>IFERROR(__xludf.DUMMYFUNCTION("IF($A403="""","""",IFERROR(PERCENTRANK.INC(FILTER(R:R,$F:$F&lt;&gt;""""),R403)*100,""""))"),"")</f>
        <v/>
      </c>
      <c r="V403" s="15" t="str">
        <f>IFERROR(__xludf.DUMMYFUNCTION("IF($A403="""","""",IFERROR(PERCENTRANK.INC(FILTER(S:S,$F:$F&lt;&gt;""""),S403)*100,""""))"),"")</f>
        <v/>
      </c>
      <c r="W403" s="15" t="str">
        <f t="shared" si="4"/>
        <v/>
      </c>
    </row>
    <row r="404">
      <c r="B404" t="str">
        <f t="array" ref="B404">IFERROR(INDEX('Player Raw Data'!C:C,Match($A404,'Player Raw Data'!$B:$B,0)),"")</f>
        <v/>
      </c>
      <c r="C404" t="str">
        <f t="array" ref="C404">IFERROR(INDEX('Player Raw Data'!D:D,Match($A404,'Player Raw Data'!$B:$B,0)),"")</f>
        <v/>
      </c>
      <c r="D404" t="str">
        <f t="array" ref="D404">IFERROR(IF(A404=A403, INDEX('Player Raw Data'!E:E,Match($A404,'Player Raw Data'!$B:$B,0)+2),INDEX('Player Raw Data'!E:E,Match($A404,'Player Raw Data'!$B:$B,0))),"")</f>
        <v/>
      </c>
      <c r="E404" t="str">
        <f t="array" ref="E404">IFERROR(INDEX('Day Range Raw Data'!D:D,Match($A404,'Day Range Raw Data'!$B:$B,0)),"")</f>
        <v/>
      </c>
      <c r="F404" t="str">
        <f t="array" ref="F404">IFERROR(INDEX('Day Range Raw Data'!F:F,Match($A404,'Day Range Raw Data'!$B:$B,0)),"")</f>
        <v/>
      </c>
      <c r="G404" t="str">
        <f t="array" ref="G404">IFERROR(INDEX('Day Range Raw Data'!G:G,Match($A404,'Day Range Raw Data'!$B:$B,0)),"")</f>
        <v/>
      </c>
      <c r="H404" t="str">
        <f t="array" ref="H404">IFERROR(INDEX('Day Range Raw Data'!H:H,Match($A404,'Day Range Raw Data'!$B:$B,0)),"")</f>
        <v/>
      </c>
      <c r="I404" t="str">
        <f t="array" ref="I404">IFERROR(INDEX('Day Range Raw Data'!M:M,Match($A404,'Day Range Raw Data'!$B:$B,0)),"")</f>
        <v/>
      </c>
      <c r="J404" t="str">
        <f t="array" ref="J404">IFERROR(INDEX('Day Range Raw Data'!N:N,Match($A404,'Day Range Raw Data'!$B:$B,0)),"")</f>
        <v/>
      </c>
      <c r="K404" t="str">
        <f t="array" ref="K404">IFERROR(INDEX('Day Range Raw Data'!R:R,Match($A404,'Day Range Raw Data'!$B:$B,0)),"")</f>
        <v/>
      </c>
      <c r="L404" t="str">
        <f t="array" ref="L404">IFERROR(INDEX('Day Range Raw Data'!S:S,Match($A404,'Day Range Raw Data'!$B:$B,0)),"")</f>
        <v/>
      </c>
      <c r="M404" t="str">
        <f t="array" ref="M404">IFERROR(INDEX('Day Range Raw Data'!T:T,Match($A404,'Day Range Raw Data'!$B:$B,0)),"")</f>
        <v/>
      </c>
      <c r="N404" t="str">
        <f t="array" ref="N404">IFERROR(INDEX('Day Range Raw Data'!U:U,Match($A404,'Day Range Raw Data'!$B:$B,0)),"")</f>
        <v/>
      </c>
      <c r="O404" t="str">
        <f t="array" ref="O404">IFERROR(INDEX('Day Range Raw Data'!V:V,Match($A404,'Day Range Raw Data'!$B:$B,0)),"")</f>
        <v/>
      </c>
      <c r="P404" t="str">
        <f t="array" ref="P404">IFERROR(INDEX('Day Range Raw Data'!X:X,Match($A404,'Day Range Raw Data'!$B:$B,0)),"")</f>
        <v/>
      </c>
      <c r="Q404" t="str">
        <f t="shared" si="1"/>
        <v/>
      </c>
      <c r="R404" s="9" t="str">
        <f t="shared" si="2"/>
        <v/>
      </c>
      <c r="S404" s="14" t="str">
        <f t="shared" si="3"/>
        <v/>
      </c>
      <c r="T404" s="15" t="str">
        <f>IFERROR(__xludf.DUMMYFUNCTION("IF($A404="""","""",IFERROR(PERCENTRANK.INC(FILTER(Q:Q,$F:$F&lt;&gt;""""),Q404)*100,""""))"),"")</f>
        <v/>
      </c>
      <c r="U404" s="15" t="str">
        <f>IFERROR(__xludf.DUMMYFUNCTION("IF($A404="""","""",IFERROR(PERCENTRANK.INC(FILTER(R:R,$F:$F&lt;&gt;""""),R404)*100,""""))"),"")</f>
        <v/>
      </c>
      <c r="V404" s="15" t="str">
        <f>IFERROR(__xludf.DUMMYFUNCTION("IF($A404="""","""",IFERROR(PERCENTRANK.INC(FILTER(S:S,$F:$F&lt;&gt;""""),S404)*100,""""))"),"")</f>
        <v/>
      </c>
      <c r="W404" s="15" t="str">
        <f t="shared" si="4"/>
        <v/>
      </c>
    </row>
    <row r="405">
      <c r="B405" t="str">
        <f t="array" ref="B405">IFERROR(INDEX('Player Raw Data'!C:C,Match($A405,'Player Raw Data'!$B:$B,0)),"")</f>
        <v/>
      </c>
      <c r="C405" t="str">
        <f t="array" ref="C405">IFERROR(INDEX('Player Raw Data'!D:D,Match($A405,'Player Raw Data'!$B:$B,0)),"")</f>
        <v/>
      </c>
      <c r="D405" t="str">
        <f t="array" ref="D405">IFERROR(IF(A405=A404, INDEX('Player Raw Data'!E:E,Match($A405,'Player Raw Data'!$B:$B,0)+2),INDEX('Player Raw Data'!E:E,Match($A405,'Player Raw Data'!$B:$B,0))),"")</f>
        <v/>
      </c>
      <c r="E405" t="str">
        <f t="array" ref="E405">IFERROR(INDEX('Day Range Raw Data'!D:D,Match($A405,'Day Range Raw Data'!$B:$B,0)),"")</f>
        <v/>
      </c>
      <c r="F405" t="str">
        <f t="array" ref="F405">IFERROR(INDEX('Day Range Raw Data'!F:F,Match($A405,'Day Range Raw Data'!$B:$B,0)),"")</f>
        <v/>
      </c>
      <c r="G405" t="str">
        <f t="array" ref="G405">IFERROR(INDEX('Day Range Raw Data'!G:G,Match($A405,'Day Range Raw Data'!$B:$B,0)),"")</f>
        <v/>
      </c>
      <c r="H405" t="str">
        <f t="array" ref="H405">IFERROR(INDEX('Day Range Raw Data'!H:H,Match($A405,'Day Range Raw Data'!$B:$B,0)),"")</f>
        <v/>
      </c>
      <c r="I405" t="str">
        <f t="array" ref="I405">IFERROR(INDEX('Day Range Raw Data'!M:M,Match($A405,'Day Range Raw Data'!$B:$B,0)),"")</f>
        <v/>
      </c>
      <c r="J405" t="str">
        <f t="array" ref="J405">IFERROR(INDEX('Day Range Raw Data'!N:N,Match($A405,'Day Range Raw Data'!$B:$B,0)),"")</f>
        <v/>
      </c>
      <c r="K405" t="str">
        <f t="array" ref="K405">IFERROR(INDEX('Day Range Raw Data'!R:R,Match($A405,'Day Range Raw Data'!$B:$B,0)),"")</f>
        <v/>
      </c>
      <c r="L405" t="str">
        <f t="array" ref="L405">IFERROR(INDEX('Day Range Raw Data'!S:S,Match($A405,'Day Range Raw Data'!$B:$B,0)),"")</f>
        <v/>
      </c>
      <c r="M405" t="str">
        <f t="array" ref="M405">IFERROR(INDEX('Day Range Raw Data'!T:T,Match($A405,'Day Range Raw Data'!$B:$B,0)),"")</f>
        <v/>
      </c>
      <c r="N405" t="str">
        <f t="array" ref="N405">IFERROR(INDEX('Day Range Raw Data'!U:U,Match($A405,'Day Range Raw Data'!$B:$B,0)),"")</f>
        <v/>
      </c>
      <c r="O405" t="str">
        <f t="array" ref="O405">IFERROR(INDEX('Day Range Raw Data'!V:V,Match($A405,'Day Range Raw Data'!$B:$B,0)),"")</f>
        <v/>
      </c>
      <c r="P405" t="str">
        <f t="array" ref="P405">IFERROR(INDEX('Day Range Raw Data'!X:X,Match($A405,'Day Range Raw Data'!$B:$B,0)),"")</f>
        <v/>
      </c>
      <c r="Q405" t="str">
        <f t="shared" si="1"/>
        <v/>
      </c>
      <c r="R405" s="9" t="str">
        <f t="shared" si="2"/>
        <v/>
      </c>
      <c r="S405" s="14" t="str">
        <f t="shared" si="3"/>
        <v/>
      </c>
      <c r="T405" s="15" t="str">
        <f>IFERROR(__xludf.DUMMYFUNCTION("IF($A405="""","""",IFERROR(PERCENTRANK.INC(FILTER(Q:Q,$F:$F&lt;&gt;""""),Q405)*100,""""))"),"")</f>
        <v/>
      </c>
      <c r="U405" s="15" t="str">
        <f>IFERROR(__xludf.DUMMYFUNCTION("IF($A405="""","""",IFERROR(PERCENTRANK.INC(FILTER(R:R,$F:$F&lt;&gt;""""),R405)*100,""""))"),"")</f>
        <v/>
      </c>
      <c r="V405" s="15" t="str">
        <f>IFERROR(__xludf.DUMMYFUNCTION("IF($A405="""","""",IFERROR(PERCENTRANK.INC(FILTER(S:S,$F:$F&lt;&gt;""""),S405)*100,""""))"),"")</f>
        <v/>
      </c>
      <c r="W405" s="15" t="str">
        <f t="shared" si="4"/>
        <v/>
      </c>
    </row>
    <row r="406">
      <c r="B406" t="str">
        <f t="array" ref="B406">IFERROR(INDEX('Player Raw Data'!C:C,Match($A406,'Player Raw Data'!$B:$B,0)),"")</f>
        <v/>
      </c>
      <c r="C406" t="str">
        <f t="array" ref="C406">IFERROR(INDEX('Player Raw Data'!D:D,Match($A406,'Player Raw Data'!$B:$B,0)),"")</f>
        <v/>
      </c>
      <c r="D406" t="str">
        <f t="array" ref="D406">IFERROR(IF(A406=A405, INDEX('Player Raw Data'!E:E,Match($A406,'Player Raw Data'!$B:$B,0)+2),INDEX('Player Raw Data'!E:E,Match($A406,'Player Raw Data'!$B:$B,0))),"")</f>
        <v/>
      </c>
      <c r="E406" t="str">
        <f t="array" ref="E406">IFERROR(INDEX('Day Range Raw Data'!D:D,Match($A406,'Day Range Raw Data'!$B:$B,0)),"")</f>
        <v/>
      </c>
      <c r="F406" t="str">
        <f t="array" ref="F406">IFERROR(INDEX('Day Range Raw Data'!F:F,Match($A406,'Day Range Raw Data'!$B:$B,0)),"")</f>
        <v/>
      </c>
      <c r="G406" t="str">
        <f t="array" ref="G406">IFERROR(INDEX('Day Range Raw Data'!G:G,Match($A406,'Day Range Raw Data'!$B:$B,0)),"")</f>
        <v/>
      </c>
      <c r="H406" t="str">
        <f t="array" ref="H406">IFERROR(INDEX('Day Range Raw Data'!H:H,Match($A406,'Day Range Raw Data'!$B:$B,0)),"")</f>
        <v/>
      </c>
      <c r="I406" t="str">
        <f t="array" ref="I406">IFERROR(INDEX('Day Range Raw Data'!M:M,Match($A406,'Day Range Raw Data'!$B:$B,0)),"")</f>
        <v/>
      </c>
      <c r="J406" t="str">
        <f t="array" ref="J406">IFERROR(INDEX('Day Range Raw Data'!N:N,Match($A406,'Day Range Raw Data'!$B:$B,0)),"")</f>
        <v/>
      </c>
      <c r="K406" t="str">
        <f t="array" ref="K406">IFERROR(INDEX('Day Range Raw Data'!R:R,Match($A406,'Day Range Raw Data'!$B:$B,0)),"")</f>
        <v/>
      </c>
      <c r="L406" t="str">
        <f t="array" ref="L406">IFERROR(INDEX('Day Range Raw Data'!S:S,Match($A406,'Day Range Raw Data'!$B:$B,0)),"")</f>
        <v/>
      </c>
      <c r="M406" t="str">
        <f t="array" ref="M406">IFERROR(INDEX('Day Range Raw Data'!T:T,Match($A406,'Day Range Raw Data'!$B:$B,0)),"")</f>
        <v/>
      </c>
      <c r="N406" t="str">
        <f t="array" ref="N406">IFERROR(INDEX('Day Range Raw Data'!U:U,Match($A406,'Day Range Raw Data'!$B:$B,0)),"")</f>
        <v/>
      </c>
      <c r="O406" t="str">
        <f t="array" ref="O406">IFERROR(INDEX('Day Range Raw Data'!V:V,Match($A406,'Day Range Raw Data'!$B:$B,0)),"")</f>
        <v/>
      </c>
      <c r="P406" t="str">
        <f t="array" ref="P406">IFERROR(INDEX('Day Range Raw Data'!X:X,Match($A406,'Day Range Raw Data'!$B:$B,0)),"")</f>
        <v/>
      </c>
      <c r="Q406" t="str">
        <f t="shared" si="1"/>
        <v/>
      </c>
      <c r="R406" s="9" t="str">
        <f t="shared" si="2"/>
        <v/>
      </c>
      <c r="S406" s="14" t="str">
        <f t="shared" si="3"/>
        <v/>
      </c>
      <c r="T406" s="15" t="str">
        <f>IFERROR(__xludf.DUMMYFUNCTION("IF($A406="""","""",IFERROR(PERCENTRANK.INC(FILTER(Q:Q,$F:$F&lt;&gt;""""),Q406)*100,""""))"),"")</f>
        <v/>
      </c>
      <c r="U406" s="15" t="str">
        <f>IFERROR(__xludf.DUMMYFUNCTION("IF($A406="""","""",IFERROR(PERCENTRANK.INC(FILTER(R:R,$F:$F&lt;&gt;""""),R406)*100,""""))"),"")</f>
        <v/>
      </c>
      <c r="V406" s="15" t="str">
        <f>IFERROR(__xludf.DUMMYFUNCTION("IF($A406="""","""",IFERROR(PERCENTRANK.INC(FILTER(S:S,$F:$F&lt;&gt;""""),S406)*100,""""))"),"")</f>
        <v/>
      </c>
      <c r="W406" s="15" t="str">
        <f t="shared" si="4"/>
        <v/>
      </c>
    </row>
    <row r="407">
      <c r="B407" t="str">
        <f t="array" ref="B407">IFERROR(INDEX('Player Raw Data'!C:C,Match($A407,'Player Raw Data'!$B:$B,0)),"")</f>
        <v/>
      </c>
      <c r="C407" t="str">
        <f t="array" ref="C407">IFERROR(INDEX('Player Raw Data'!D:D,Match($A407,'Player Raw Data'!$B:$B,0)),"")</f>
        <v/>
      </c>
      <c r="D407" t="str">
        <f t="array" ref="D407">IFERROR(IF(A407=A406, INDEX('Player Raw Data'!E:E,Match($A407,'Player Raw Data'!$B:$B,0)+2),INDEX('Player Raw Data'!E:E,Match($A407,'Player Raw Data'!$B:$B,0))),"")</f>
        <v/>
      </c>
      <c r="E407" t="str">
        <f t="array" ref="E407">IFERROR(INDEX('Day Range Raw Data'!D:D,Match($A407,'Day Range Raw Data'!$B:$B,0)),"")</f>
        <v/>
      </c>
      <c r="F407" t="str">
        <f t="array" ref="F407">IFERROR(INDEX('Day Range Raw Data'!F:F,Match($A407,'Day Range Raw Data'!$B:$B,0)),"")</f>
        <v/>
      </c>
      <c r="G407" t="str">
        <f t="array" ref="G407">IFERROR(INDEX('Day Range Raw Data'!G:G,Match($A407,'Day Range Raw Data'!$B:$B,0)),"")</f>
        <v/>
      </c>
      <c r="H407" t="str">
        <f t="array" ref="H407">IFERROR(INDEX('Day Range Raw Data'!H:H,Match($A407,'Day Range Raw Data'!$B:$B,0)),"")</f>
        <v/>
      </c>
      <c r="I407" t="str">
        <f t="array" ref="I407">IFERROR(INDEX('Day Range Raw Data'!M:M,Match($A407,'Day Range Raw Data'!$B:$B,0)),"")</f>
        <v/>
      </c>
      <c r="J407" t="str">
        <f t="array" ref="J407">IFERROR(INDEX('Day Range Raw Data'!N:N,Match($A407,'Day Range Raw Data'!$B:$B,0)),"")</f>
        <v/>
      </c>
      <c r="K407" t="str">
        <f t="array" ref="K407">IFERROR(INDEX('Day Range Raw Data'!R:R,Match($A407,'Day Range Raw Data'!$B:$B,0)),"")</f>
        <v/>
      </c>
      <c r="L407" t="str">
        <f t="array" ref="L407">IFERROR(INDEX('Day Range Raw Data'!S:S,Match($A407,'Day Range Raw Data'!$B:$B,0)),"")</f>
        <v/>
      </c>
      <c r="M407" t="str">
        <f t="array" ref="M407">IFERROR(INDEX('Day Range Raw Data'!T:T,Match($A407,'Day Range Raw Data'!$B:$B,0)),"")</f>
        <v/>
      </c>
      <c r="N407" t="str">
        <f t="array" ref="N407">IFERROR(INDEX('Day Range Raw Data'!U:U,Match($A407,'Day Range Raw Data'!$B:$B,0)),"")</f>
        <v/>
      </c>
      <c r="O407" t="str">
        <f t="array" ref="O407">IFERROR(INDEX('Day Range Raw Data'!V:V,Match($A407,'Day Range Raw Data'!$B:$B,0)),"")</f>
        <v/>
      </c>
      <c r="P407" t="str">
        <f t="array" ref="P407">IFERROR(INDEX('Day Range Raw Data'!X:X,Match($A407,'Day Range Raw Data'!$B:$B,0)),"")</f>
        <v/>
      </c>
      <c r="Q407" t="str">
        <f t="shared" si="1"/>
        <v/>
      </c>
      <c r="R407" s="9" t="str">
        <f t="shared" si="2"/>
        <v/>
      </c>
      <c r="S407" s="14" t="str">
        <f t="shared" si="3"/>
        <v/>
      </c>
      <c r="T407" s="15" t="str">
        <f>IFERROR(__xludf.DUMMYFUNCTION("IF($A407="""","""",IFERROR(PERCENTRANK.INC(FILTER(Q:Q,$F:$F&lt;&gt;""""),Q407)*100,""""))"),"")</f>
        <v/>
      </c>
      <c r="U407" s="15" t="str">
        <f>IFERROR(__xludf.DUMMYFUNCTION("IF($A407="""","""",IFERROR(PERCENTRANK.INC(FILTER(R:R,$F:$F&lt;&gt;""""),R407)*100,""""))"),"")</f>
        <v/>
      </c>
      <c r="V407" s="15" t="str">
        <f>IFERROR(__xludf.DUMMYFUNCTION("IF($A407="""","""",IFERROR(PERCENTRANK.INC(FILTER(S:S,$F:$F&lt;&gt;""""),S407)*100,""""))"),"")</f>
        <v/>
      </c>
      <c r="W407" s="15" t="str">
        <f t="shared" si="4"/>
        <v/>
      </c>
    </row>
    <row r="408">
      <c r="B408" t="str">
        <f t="array" ref="B408">IFERROR(INDEX('Player Raw Data'!C:C,Match($A408,'Player Raw Data'!$B:$B,0)),"")</f>
        <v/>
      </c>
      <c r="C408" t="str">
        <f t="array" ref="C408">IFERROR(INDEX('Player Raw Data'!D:D,Match($A408,'Player Raw Data'!$B:$B,0)),"")</f>
        <v/>
      </c>
      <c r="D408" t="str">
        <f t="array" ref="D408">IFERROR(IF(A408=A407, INDEX('Player Raw Data'!E:E,Match($A408,'Player Raw Data'!$B:$B,0)+2),INDEX('Player Raw Data'!E:E,Match($A408,'Player Raw Data'!$B:$B,0))),"")</f>
        <v/>
      </c>
      <c r="E408" t="str">
        <f t="array" ref="E408">IFERROR(INDEX('Day Range Raw Data'!D:D,Match($A408,'Day Range Raw Data'!$B:$B,0)),"")</f>
        <v/>
      </c>
      <c r="F408" t="str">
        <f t="array" ref="F408">IFERROR(INDEX('Day Range Raw Data'!F:F,Match($A408,'Day Range Raw Data'!$B:$B,0)),"")</f>
        <v/>
      </c>
      <c r="G408" t="str">
        <f t="array" ref="G408">IFERROR(INDEX('Day Range Raw Data'!G:G,Match($A408,'Day Range Raw Data'!$B:$B,0)),"")</f>
        <v/>
      </c>
      <c r="H408" t="str">
        <f t="array" ref="H408">IFERROR(INDEX('Day Range Raw Data'!H:H,Match($A408,'Day Range Raw Data'!$B:$B,0)),"")</f>
        <v/>
      </c>
      <c r="I408" t="str">
        <f t="array" ref="I408">IFERROR(INDEX('Day Range Raw Data'!M:M,Match($A408,'Day Range Raw Data'!$B:$B,0)),"")</f>
        <v/>
      </c>
      <c r="J408" t="str">
        <f t="array" ref="J408">IFERROR(INDEX('Day Range Raw Data'!N:N,Match($A408,'Day Range Raw Data'!$B:$B,0)),"")</f>
        <v/>
      </c>
      <c r="K408" t="str">
        <f t="array" ref="K408">IFERROR(INDEX('Day Range Raw Data'!R:R,Match($A408,'Day Range Raw Data'!$B:$B,0)),"")</f>
        <v/>
      </c>
      <c r="L408" t="str">
        <f t="array" ref="L408">IFERROR(INDEX('Day Range Raw Data'!S:S,Match($A408,'Day Range Raw Data'!$B:$B,0)),"")</f>
        <v/>
      </c>
      <c r="M408" t="str">
        <f t="array" ref="M408">IFERROR(INDEX('Day Range Raw Data'!T:T,Match($A408,'Day Range Raw Data'!$B:$B,0)),"")</f>
        <v/>
      </c>
      <c r="N408" t="str">
        <f t="array" ref="N408">IFERROR(INDEX('Day Range Raw Data'!U:U,Match($A408,'Day Range Raw Data'!$B:$B,0)),"")</f>
        <v/>
      </c>
      <c r="O408" t="str">
        <f t="array" ref="O408">IFERROR(INDEX('Day Range Raw Data'!V:V,Match($A408,'Day Range Raw Data'!$B:$B,0)),"")</f>
        <v/>
      </c>
      <c r="P408" t="str">
        <f t="array" ref="P408">IFERROR(INDEX('Day Range Raw Data'!X:X,Match($A408,'Day Range Raw Data'!$B:$B,0)),"")</f>
        <v/>
      </c>
      <c r="Q408" t="str">
        <f t="shared" si="1"/>
        <v/>
      </c>
      <c r="R408" s="9" t="str">
        <f t="shared" si="2"/>
        <v/>
      </c>
      <c r="S408" s="14" t="str">
        <f t="shared" si="3"/>
        <v/>
      </c>
      <c r="T408" s="15" t="str">
        <f>IFERROR(__xludf.DUMMYFUNCTION("IF($A408="""","""",IFERROR(PERCENTRANK.INC(FILTER(Q:Q,$F:$F&lt;&gt;""""),Q408)*100,""""))"),"")</f>
        <v/>
      </c>
      <c r="U408" s="15" t="str">
        <f>IFERROR(__xludf.DUMMYFUNCTION("IF($A408="""","""",IFERROR(PERCENTRANK.INC(FILTER(R:R,$F:$F&lt;&gt;""""),R408)*100,""""))"),"")</f>
        <v/>
      </c>
      <c r="V408" s="15" t="str">
        <f>IFERROR(__xludf.DUMMYFUNCTION("IF($A408="""","""",IFERROR(PERCENTRANK.INC(FILTER(S:S,$F:$F&lt;&gt;""""),S408)*100,""""))"),"")</f>
        <v/>
      </c>
      <c r="W408" s="15" t="str">
        <f t="shared" si="4"/>
        <v/>
      </c>
    </row>
    <row r="409">
      <c r="B409" t="str">
        <f t="array" ref="B409">IFERROR(INDEX('Player Raw Data'!C:C,Match($A409,'Player Raw Data'!$B:$B,0)),"")</f>
        <v/>
      </c>
      <c r="C409" t="str">
        <f t="array" ref="C409">IFERROR(INDEX('Player Raw Data'!D:D,Match($A409,'Player Raw Data'!$B:$B,0)),"")</f>
        <v/>
      </c>
      <c r="D409" t="str">
        <f t="array" ref="D409">IFERROR(IF(A409=A408, INDEX('Player Raw Data'!E:E,Match($A409,'Player Raw Data'!$B:$B,0)+2),INDEX('Player Raw Data'!E:E,Match($A409,'Player Raw Data'!$B:$B,0))),"")</f>
        <v/>
      </c>
      <c r="E409" t="str">
        <f t="array" ref="E409">IFERROR(INDEX('Day Range Raw Data'!D:D,Match($A409,'Day Range Raw Data'!$B:$B,0)),"")</f>
        <v/>
      </c>
      <c r="F409" t="str">
        <f t="array" ref="F409">IFERROR(INDEX('Day Range Raw Data'!F:F,Match($A409,'Day Range Raw Data'!$B:$B,0)),"")</f>
        <v/>
      </c>
      <c r="G409" t="str">
        <f t="array" ref="G409">IFERROR(INDEX('Day Range Raw Data'!G:G,Match($A409,'Day Range Raw Data'!$B:$B,0)),"")</f>
        <v/>
      </c>
      <c r="H409" t="str">
        <f t="array" ref="H409">IFERROR(INDEX('Day Range Raw Data'!H:H,Match($A409,'Day Range Raw Data'!$B:$B,0)),"")</f>
        <v/>
      </c>
      <c r="I409" t="str">
        <f t="array" ref="I409">IFERROR(INDEX('Day Range Raw Data'!M:M,Match($A409,'Day Range Raw Data'!$B:$B,0)),"")</f>
        <v/>
      </c>
      <c r="J409" t="str">
        <f t="array" ref="J409">IFERROR(INDEX('Day Range Raw Data'!N:N,Match($A409,'Day Range Raw Data'!$B:$B,0)),"")</f>
        <v/>
      </c>
      <c r="K409" t="str">
        <f t="array" ref="K409">IFERROR(INDEX('Day Range Raw Data'!R:R,Match($A409,'Day Range Raw Data'!$B:$B,0)),"")</f>
        <v/>
      </c>
      <c r="L409" t="str">
        <f t="array" ref="L409">IFERROR(INDEX('Day Range Raw Data'!S:S,Match($A409,'Day Range Raw Data'!$B:$B,0)),"")</f>
        <v/>
      </c>
      <c r="M409" t="str">
        <f t="array" ref="M409">IFERROR(INDEX('Day Range Raw Data'!T:T,Match($A409,'Day Range Raw Data'!$B:$B,0)),"")</f>
        <v/>
      </c>
      <c r="N409" t="str">
        <f t="array" ref="N409">IFERROR(INDEX('Day Range Raw Data'!U:U,Match($A409,'Day Range Raw Data'!$B:$B,0)),"")</f>
        <v/>
      </c>
      <c r="O409" t="str">
        <f t="array" ref="O409">IFERROR(INDEX('Day Range Raw Data'!V:V,Match($A409,'Day Range Raw Data'!$B:$B,0)),"")</f>
        <v/>
      </c>
      <c r="P409" t="str">
        <f t="array" ref="P409">IFERROR(INDEX('Day Range Raw Data'!X:X,Match($A409,'Day Range Raw Data'!$B:$B,0)),"")</f>
        <v/>
      </c>
      <c r="Q409" t="str">
        <f t="shared" si="1"/>
        <v/>
      </c>
      <c r="R409" s="9" t="str">
        <f t="shared" si="2"/>
        <v/>
      </c>
      <c r="S409" s="14" t="str">
        <f t="shared" si="3"/>
        <v/>
      </c>
      <c r="T409" s="15" t="str">
        <f>IFERROR(__xludf.DUMMYFUNCTION("IF($A409="""","""",IFERROR(PERCENTRANK.INC(FILTER(Q:Q,$F:$F&lt;&gt;""""),Q409)*100,""""))"),"")</f>
        <v/>
      </c>
      <c r="U409" s="15" t="str">
        <f>IFERROR(__xludf.DUMMYFUNCTION("IF($A409="""","""",IFERROR(PERCENTRANK.INC(FILTER(R:R,$F:$F&lt;&gt;""""),R409)*100,""""))"),"")</f>
        <v/>
      </c>
      <c r="V409" s="15" t="str">
        <f>IFERROR(__xludf.DUMMYFUNCTION("IF($A409="""","""",IFERROR(PERCENTRANK.INC(FILTER(S:S,$F:$F&lt;&gt;""""),S409)*100,""""))"),"")</f>
        <v/>
      </c>
      <c r="W409" s="15" t="str">
        <f t="shared" si="4"/>
        <v/>
      </c>
    </row>
    <row r="410">
      <c r="B410" t="str">
        <f t="array" ref="B410">IFERROR(INDEX('Player Raw Data'!C:C,Match($A410,'Player Raw Data'!$B:$B,0)),"")</f>
        <v/>
      </c>
      <c r="C410" t="str">
        <f t="array" ref="C410">IFERROR(INDEX('Player Raw Data'!D:D,Match($A410,'Player Raw Data'!$B:$B,0)),"")</f>
        <v/>
      </c>
      <c r="D410" t="str">
        <f t="array" ref="D410">IFERROR(IF(A410=A409, INDEX('Player Raw Data'!E:E,Match($A410,'Player Raw Data'!$B:$B,0)+2),INDEX('Player Raw Data'!E:E,Match($A410,'Player Raw Data'!$B:$B,0))),"")</f>
        <v/>
      </c>
      <c r="E410" t="str">
        <f t="array" ref="E410">IFERROR(INDEX('Day Range Raw Data'!D:D,Match($A410,'Day Range Raw Data'!$B:$B,0)),"")</f>
        <v/>
      </c>
      <c r="F410" t="str">
        <f t="array" ref="F410">IFERROR(INDEX('Day Range Raw Data'!F:F,Match($A410,'Day Range Raw Data'!$B:$B,0)),"")</f>
        <v/>
      </c>
      <c r="G410" t="str">
        <f t="array" ref="G410">IFERROR(INDEX('Day Range Raw Data'!G:G,Match($A410,'Day Range Raw Data'!$B:$B,0)),"")</f>
        <v/>
      </c>
      <c r="H410" t="str">
        <f t="array" ref="H410">IFERROR(INDEX('Day Range Raw Data'!H:H,Match($A410,'Day Range Raw Data'!$B:$B,0)),"")</f>
        <v/>
      </c>
      <c r="I410" t="str">
        <f t="array" ref="I410">IFERROR(INDEX('Day Range Raw Data'!M:M,Match($A410,'Day Range Raw Data'!$B:$B,0)),"")</f>
        <v/>
      </c>
      <c r="J410" t="str">
        <f t="array" ref="J410">IFERROR(INDEX('Day Range Raw Data'!N:N,Match($A410,'Day Range Raw Data'!$B:$B,0)),"")</f>
        <v/>
      </c>
      <c r="K410" t="str">
        <f t="array" ref="K410">IFERROR(INDEX('Day Range Raw Data'!R:R,Match($A410,'Day Range Raw Data'!$B:$B,0)),"")</f>
        <v/>
      </c>
      <c r="L410" t="str">
        <f t="array" ref="L410">IFERROR(INDEX('Day Range Raw Data'!S:S,Match($A410,'Day Range Raw Data'!$B:$B,0)),"")</f>
        <v/>
      </c>
      <c r="M410" t="str">
        <f t="array" ref="M410">IFERROR(INDEX('Day Range Raw Data'!T:T,Match($A410,'Day Range Raw Data'!$B:$B,0)),"")</f>
        <v/>
      </c>
      <c r="N410" t="str">
        <f t="array" ref="N410">IFERROR(INDEX('Day Range Raw Data'!U:U,Match($A410,'Day Range Raw Data'!$B:$B,0)),"")</f>
        <v/>
      </c>
      <c r="O410" t="str">
        <f t="array" ref="O410">IFERROR(INDEX('Day Range Raw Data'!V:V,Match($A410,'Day Range Raw Data'!$B:$B,0)),"")</f>
        <v/>
      </c>
      <c r="P410" t="str">
        <f t="array" ref="P410">IFERROR(INDEX('Day Range Raw Data'!X:X,Match($A410,'Day Range Raw Data'!$B:$B,0)),"")</f>
        <v/>
      </c>
      <c r="Q410" t="str">
        <f t="shared" si="1"/>
        <v/>
      </c>
      <c r="R410" s="9" t="str">
        <f t="shared" si="2"/>
        <v/>
      </c>
      <c r="S410" s="14" t="str">
        <f t="shared" si="3"/>
        <v/>
      </c>
      <c r="T410" s="15" t="str">
        <f>IFERROR(__xludf.DUMMYFUNCTION("IF($A410="""","""",IFERROR(PERCENTRANK.INC(FILTER(Q:Q,$F:$F&lt;&gt;""""),Q410)*100,""""))"),"")</f>
        <v/>
      </c>
      <c r="U410" s="15" t="str">
        <f>IFERROR(__xludf.DUMMYFUNCTION("IF($A410="""","""",IFERROR(PERCENTRANK.INC(FILTER(R:R,$F:$F&lt;&gt;""""),R410)*100,""""))"),"")</f>
        <v/>
      </c>
      <c r="V410" s="15" t="str">
        <f>IFERROR(__xludf.DUMMYFUNCTION("IF($A410="""","""",IFERROR(PERCENTRANK.INC(FILTER(S:S,$F:$F&lt;&gt;""""),S410)*100,""""))"),"")</f>
        <v/>
      </c>
      <c r="W410" s="15" t="str">
        <f t="shared" si="4"/>
        <v/>
      </c>
    </row>
    <row r="411">
      <c r="B411" t="str">
        <f t="array" ref="B411">IFERROR(INDEX('Player Raw Data'!C:C,Match($A411,'Player Raw Data'!$B:$B,0)),"")</f>
        <v/>
      </c>
      <c r="C411" t="str">
        <f t="array" ref="C411">IFERROR(INDEX('Player Raw Data'!D:D,Match($A411,'Player Raw Data'!$B:$B,0)),"")</f>
        <v/>
      </c>
      <c r="D411" t="str">
        <f t="array" ref="D411">IFERROR(IF(A411=A410, INDEX('Player Raw Data'!E:E,Match($A411,'Player Raw Data'!$B:$B,0)+2),INDEX('Player Raw Data'!E:E,Match($A411,'Player Raw Data'!$B:$B,0))),"")</f>
        <v/>
      </c>
      <c r="E411" t="str">
        <f t="array" ref="E411">IFERROR(INDEX('Day Range Raw Data'!D:D,Match($A411,'Day Range Raw Data'!$B:$B,0)),"")</f>
        <v/>
      </c>
      <c r="F411" t="str">
        <f t="array" ref="F411">IFERROR(INDEX('Day Range Raw Data'!F:F,Match($A411,'Day Range Raw Data'!$B:$B,0)),"")</f>
        <v/>
      </c>
      <c r="G411" t="str">
        <f t="array" ref="G411">IFERROR(INDEX('Day Range Raw Data'!G:G,Match($A411,'Day Range Raw Data'!$B:$B,0)),"")</f>
        <v/>
      </c>
      <c r="H411" t="str">
        <f t="array" ref="H411">IFERROR(INDEX('Day Range Raw Data'!H:H,Match($A411,'Day Range Raw Data'!$B:$B,0)),"")</f>
        <v/>
      </c>
      <c r="I411" t="str">
        <f t="array" ref="I411">IFERROR(INDEX('Day Range Raw Data'!M:M,Match($A411,'Day Range Raw Data'!$B:$B,0)),"")</f>
        <v/>
      </c>
      <c r="J411" t="str">
        <f t="array" ref="J411">IFERROR(INDEX('Day Range Raw Data'!N:N,Match($A411,'Day Range Raw Data'!$B:$B,0)),"")</f>
        <v/>
      </c>
      <c r="K411" t="str">
        <f t="array" ref="K411">IFERROR(INDEX('Day Range Raw Data'!R:R,Match($A411,'Day Range Raw Data'!$B:$B,0)),"")</f>
        <v/>
      </c>
      <c r="L411" t="str">
        <f t="array" ref="L411">IFERROR(INDEX('Day Range Raw Data'!S:S,Match($A411,'Day Range Raw Data'!$B:$B,0)),"")</f>
        <v/>
      </c>
      <c r="M411" t="str">
        <f t="array" ref="M411">IFERROR(INDEX('Day Range Raw Data'!T:T,Match($A411,'Day Range Raw Data'!$B:$B,0)),"")</f>
        <v/>
      </c>
      <c r="N411" t="str">
        <f t="array" ref="N411">IFERROR(INDEX('Day Range Raw Data'!U:U,Match($A411,'Day Range Raw Data'!$B:$B,0)),"")</f>
        <v/>
      </c>
      <c r="O411" t="str">
        <f t="array" ref="O411">IFERROR(INDEX('Day Range Raw Data'!V:V,Match($A411,'Day Range Raw Data'!$B:$B,0)),"")</f>
        <v/>
      </c>
      <c r="P411" t="str">
        <f t="array" ref="P411">IFERROR(INDEX('Day Range Raw Data'!X:X,Match($A411,'Day Range Raw Data'!$B:$B,0)),"")</f>
        <v/>
      </c>
      <c r="Q411" t="str">
        <f t="shared" si="1"/>
        <v/>
      </c>
      <c r="R411" s="9" t="str">
        <f t="shared" si="2"/>
        <v/>
      </c>
      <c r="S411" s="14" t="str">
        <f t="shared" si="3"/>
        <v/>
      </c>
      <c r="T411" s="15" t="str">
        <f>IFERROR(__xludf.DUMMYFUNCTION("IF($A411="""","""",IFERROR(PERCENTRANK.INC(FILTER(Q:Q,$F:$F&lt;&gt;""""),Q411)*100,""""))"),"")</f>
        <v/>
      </c>
      <c r="U411" s="15" t="str">
        <f>IFERROR(__xludf.DUMMYFUNCTION("IF($A411="""","""",IFERROR(PERCENTRANK.INC(FILTER(R:R,$F:$F&lt;&gt;""""),R411)*100,""""))"),"")</f>
        <v/>
      </c>
      <c r="V411" s="15" t="str">
        <f>IFERROR(__xludf.DUMMYFUNCTION("IF($A411="""","""",IFERROR(PERCENTRANK.INC(FILTER(S:S,$F:$F&lt;&gt;""""),S411)*100,""""))"),"")</f>
        <v/>
      </c>
      <c r="W411" s="15" t="str">
        <f t="shared" si="4"/>
        <v/>
      </c>
    </row>
    <row r="412">
      <c r="B412" t="str">
        <f t="array" ref="B412">IFERROR(INDEX('Player Raw Data'!C:C,Match($A412,'Player Raw Data'!$B:$B,0)),"")</f>
        <v/>
      </c>
      <c r="C412" t="str">
        <f t="array" ref="C412">IFERROR(INDEX('Player Raw Data'!D:D,Match($A412,'Player Raw Data'!$B:$B,0)),"")</f>
        <v/>
      </c>
      <c r="D412" t="str">
        <f t="array" ref="D412">IFERROR(IF(A412=A411, INDEX('Player Raw Data'!E:E,Match($A412,'Player Raw Data'!$B:$B,0)+2),INDEX('Player Raw Data'!E:E,Match($A412,'Player Raw Data'!$B:$B,0))),"")</f>
        <v/>
      </c>
      <c r="E412" t="str">
        <f t="array" ref="E412">IFERROR(INDEX('Day Range Raw Data'!D:D,Match($A412,'Day Range Raw Data'!$B:$B,0)),"")</f>
        <v/>
      </c>
      <c r="F412" t="str">
        <f t="array" ref="F412">IFERROR(INDEX('Day Range Raw Data'!F:F,Match($A412,'Day Range Raw Data'!$B:$B,0)),"")</f>
        <v/>
      </c>
      <c r="G412" t="str">
        <f t="array" ref="G412">IFERROR(INDEX('Day Range Raw Data'!G:G,Match($A412,'Day Range Raw Data'!$B:$B,0)),"")</f>
        <v/>
      </c>
      <c r="H412" t="str">
        <f t="array" ref="H412">IFERROR(INDEX('Day Range Raw Data'!H:H,Match($A412,'Day Range Raw Data'!$B:$B,0)),"")</f>
        <v/>
      </c>
      <c r="I412" t="str">
        <f t="array" ref="I412">IFERROR(INDEX('Day Range Raw Data'!M:M,Match($A412,'Day Range Raw Data'!$B:$B,0)),"")</f>
        <v/>
      </c>
      <c r="J412" t="str">
        <f t="array" ref="J412">IFERROR(INDEX('Day Range Raw Data'!N:N,Match($A412,'Day Range Raw Data'!$B:$B,0)),"")</f>
        <v/>
      </c>
      <c r="K412" t="str">
        <f t="array" ref="K412">IFERROR(INDEX('Day Range Raw Data'!R:R,Match($A412,'Day Range Raw Data'!$B:$B,0)),"")</f>
        <v/>
      </c>
      <c r="L412" t="str">
        <f t="array" ref="L412">IFERROR(INDEX('Day Range Raw Data'!S:S,Match($A412,'Day Range Raw Data'!$B:$B,0)),"")</f>
        <v/>
      </c>
      <c r="M412" t="str">
        <f t="array" ref="M412">IFERROR(INDEX('Day Range Raw Data'!T:T,Match($A412,'Day Range Raw Data'!$B:$B,0)),"")</f>
        <v/>
      </c>
      <c r="N412" t="str">
        <f t="array" ref="N412">IFERROR(INDEX('Day Range Raw Data'!U:U,Match($A412,'Day Range Raw Data'!$B:$B,0)),"")</f>
        <v/>
      </c>
      <c r="O412" t="str">
        <f t="array" ref="O412">IFERROR(INDEX('Day Range Raw Data'!V:V,Match($A412,'Day Range Raw Data'!$B:$B,0)),"")</f>
        <v/>
      </c>
      <c r="P412" t="str">
        <f t="array" ref="P412">IFERROR(INDEX('Day Range Raw Data'!X:X,Match($A412,'Day Range Raw Data'!$B:$B,0)),"")</f>
        <v/>
      </c>
      <c r="Q412" t="str">
        <f t="shared" si="1"/>
        <v/>
      </c>
      <c r="R412" s="9" t="str">
        <f t="shared" si="2"/>
        <v/>
      </c>
      <c r="S412" s="14" t="str">
        <f t="shared" si="3"/>
        <v/>
      </c>
      <c r="T412" s="15" t="str">
        <f>IFERROR(__xludf.DUMMYFUNCTION("IF($A412="""","""",IFERROR(PERCENTRANK.INC(FILTER(Q:Q,$F:$F&lt;&gt;""""),Q412)*100,""""))"),"")</f>
        <v/>
      </c>
      <c r="U412" s="15" t="str">
        <f>IFERROR(__xludf.DUMMYFUNCTION("IF($A412="""","""",IFERROR(PERCENTRANK.INC(FILTER(R:R,$F:$F&lt;&gt;""""),R412)*100,""""))"),"")</f>
        <v/>
      </c>
      <c r="V412" s="15" t="str">
        <f>IFERROR(__xludf.DUMMYFUNCTION("IF($A412="""","""",IFERROR(PERCENTRANK.INC(FILTER(S:S,$F:$F&lt;&gt;""""),S412)*100,""""))"),"")</f>
        <v/>
      </c>
      <c r="W412" s="15" t="str">
        <f t="shared" si="4"/>
        <v/>
      </c>
    </row>
    <row r="413">
      <c r="B413" t="str">
        <f t="array" ref="B413">IFERROR(INDEX('Player Raw Data'!C:C,Match($A413,'Player Raw Data'!$B:$B,0)),"")</f>
        <v/>
      </c>
      <c r="C413" t="str">
        <f t="array" ref="C413">IFERROR(INDEX('Player Raw Data'!D:D,Match($A413,'Player Raw Data'!$B:$B,0)),"")</f>
        <v/>
      </c>
      <c r="D413" t="str">
        <f t="array" ref="D413">IFERROR(IF(A413=A412, INDEX('Player Raw Data'!E:E,Match($A413,'Player Raw Data'!$B:$B,0)+2),INDEX('Player Raw Data'!E:E,Match($A413,'Player Raw Data'!$B:$B,0))),"")</f>
        <v/>
      </c>
      <c r="E413" t="str">
        <f t="array" ref="E413">IFERROR(INDEX('Day Range Raw Data'!D:D,Match($A413,'Day Range Raw Data'!$B:$B,0)),"")</f>
        <v/>
      </c>
      <c r="F413" t="str">
        <f t="array" ref="F413">IFERROR(INDEX('Day Range Raw Data'!F:F,Match($A413,'Day Range Raw Data'!$B:$B,0)),"")</f>
        <v/>
      </c>
      <c r="G413" t="str">
        <f t="array" ref="G413">IFERROR(INDEX('Day Range Raw Data'!G:G,Match($A413,'Day Range Raw Data'!$B:$B,0)),"")</f>
        <v/>
      </c>
      <c r="H413" t="str">
        <f t="array" ref="H413">IFERROR(INDEX('Day Range Raw Data'!H:H,Match($A413,'Day Range Raw Data'!$B:$B,0)),"")</f>
        <v/>
      </c>
      <c r="I413" t="str">
        <f t="array" ref="I413">IFERROR(INDEX('Day Range Raw Data'!M:M,Match($A413,'Day Range Raw Data'!$B:$B,0)),"")</f>
        <v/>
      </c>
      <c r="J413" t="str">
        <f t="array" ref="J413">IFERROR(INDEX('Day Range Raw Data'!N:N,Match($A413,'Day Range Raw Data'!$B:$B,0)),"")</f>
        <v/>
      </c>
      <c r="K413" t="str">
        <f t="array" ref="K413">IFERROR(INDEX('Day Range Raw Data'!R:R,Match($A413,'Day Range Raw Data'!$B:$B,0)),"")</f>
        <v/>
      </c>
      <c r="L413" t="str">
        <f t="array" ref="L413">IFERROR(INDEX('Day Range Raw Data'!S:S,Match($A413,'Day Range Raw Data'!$B:$B,0)),"")</f>
        <v/>
      </c>
      <c r="M413" t="str">
        <f t="array" ref="M413">IFERROR(INDEX('Day Range Raw Data'!T:T,Match($A413,'Day Range Raw Data'!$B:$B,0)),"")</f>
        <v/>
      </c>
      <c r="N413" t="str">
        <f t="array" ref="N413">IFERROR(INDEX('Day Range Raw Data'!U:U,Match($A413,'Day Range Raw Data'!$B:$B,0)),"")</f>
        <v/>
      </c>
      <c r="O413" t="str">
        <f t="array" ref="O413">IFERROR(INDEX('Day Range Raw Data'!V:V,Match($A413,'Day Range Raw Data'!$B:$B,0)),"")</f>
        <v/>
      </c>
      <c r="P413" t="str">
        <f t="array" ref="P413">IFERROR(INDEX('Day Range Raw Data'!X:X,Match($A413,'Day Range Raw Data'!$B:$B,0)),"")</f>
        <v/>
      </c>
      <c r="Q413" t="str">
        <f t="shared" si="1"/>
        <v/>
      </c>
      <c r="R413" s="9" t="str">
        <f t="shared" si="2"/>
        <v/>
      </c>
      <c r="S413" s="14" t="str">
        <f t="shared" si="3"/>
        <v/>
      </c>
      <c r="T413" s="15" t="str">
        <f>IFERROR(__xludf.DUMMYFUNCTION("IF($A413="""","""",IFERROR(PERCENTRANK.INC(FILTER(Q:Q,$F:$F&lt;&gt;""""),Q413)*100,""""))"),"")</f>
        <v/>
      </c>
      <c r="U413" s="15" t="str">
        <f>IFERROR(__xludf.DUMMYFUNCTION("IF($A413="""","""",IFERROR(PERCENTRANK.INC(FILTER(R:R,$F:$F&lt;&gt;""""),R413)*100,""""))"),"")</f>
        <v/>
      </c>
      <c r="V413" s="15" t="str">
        <f>IFERROR(__xludf.DUMMYFUNCTION("IF($A413="""","""",IFERROR(PERCENTRANK.INC(FILTER(S:S,$F:$F&lt;&gt;""""),S413)*100,""""))"),"")</f>
        <v/>
      </c>
      <c r="W413" s="15" t="str">
        <f t="shared" si="4"/>
        <v/>
      </c>
    </row>
    <row r="414">
      <c r="B414" t="str">
        <f t="array" ref="B414">IFERROR(INDEX('Player Raw Data'!C:C,Match($A414,'Player Raw Data'!$B:$B,0)),"")</f>
        <v/>
      </c>
      <c r="C414" t="str">
        <f t="array" ref="C414">IFERROR(INDEX('Player Raw Data'!D:D,Match($A414,'Player Raw Data'!$B:$B,0)),"")</f>
        <v/>
      </c>
      <c r="D414" t="str">
        <f t="array" ref="D414">IFERROR(IF(A414=A413, INDEX('Player Raw Data'!E:E,Match($A414,'Player Raw Data'!$B:$B,0)+2),INDEX('Player Raw Data'!E:E,Match($A414,'Player Raw Data'!$B:$B,0))),"")</f>
        <v/>
      </c>
      <c r="E414" t="str">
        <f t="array" ref="E414">IFERROR(INDEX('Day Range Raw Data'!D:D,Match($A414,'Day Range Raw Data'!$B:$B,0)),"")</f>
        <v/>
      </c>
      <c r="F414" t="str">
        <f t="array" ref="F414">IFERROR(INDEX('Day Range Raw Data'!F:F,Match($A414,'Day Range Raw Data'!$B:$B,0)),"")</f>
        <v/>
      </c>
      <c r="G414" t="str">
        <f t="array" ref="G414">IFERROR(INDEX('Day Range Raw Data'!G:G,Match($A414,'Day Range Raw Data'!$B:$B,0)),"")</f>
        <v/>
      </c>
      <c r="H414" t="str">
        <f t="array" ref="H414">IFERROR(INDEX('Day Range Raw Data'!H:H,Match($A414,'Day Range Raw Data'!$B:$B,0)),"")</f>
        <v/>
      </c>
      <c r="I414" t="str">
        <f t="array" ref="I414">IFERROR(INDEX('Day Range Raw Data'!M:M,Match($A414,'Day Range Raw Data'!$B:$B,0)),"")</f>
        <v/>
      </c>
      <c r="J414" t="str">
        <f t="array" ref="J414">IFERROR(INDEX('Day Range Raw Data'!N:N,Match($A414,'Day Range Raw Data'!$B:$B,0)),"")</f>
        <v/>
      </c>
      <c r="K414" t="str">
        <f t="array" ref="K414">IFERROR(INDEX('Day Range Raw Data'!R:R,Match($A414,'Day Range Raw Data'!$B:$B,0)),"")</f>
        <v/>
      </c>
      <c r="L414" t="str">
        <f t="array" ref="L414">IFERROR(INDEX('Day Range Raw Data'!S:S,Match($A414,'Day Range Raw Data'!$B:$B,0)),"")</f>
        <v/>
      </c>
      <c r="M414" t="str">
        <f t="array" ref="M414">IFERROR(INDEX('Day Range Raw Data'!T:T,Match($A414,'Day Range Raw Data'!$B:$B,0)),"")</f>
        <v/>
      </c>
      <c r="N414" t="str">
        <f t="array" ref="N414">IFERROR(INDEX('Day Range Raw Data'!U:U,Match($A414,'Day Range Raw Data'!$B:$B,0)),"")</f>
        <v/>
      </c>
      <c r="O414" t="str">
        <f t="array" ref="O414">IFERROR(INDEX('Day Range Raw Data'!V:V,Match($A414,'Day Range Raw Data'!$B:$B,0)),"")</f>
        <v/>
      </c>
      <c r="P414" t="str">
        <f t="array" ref="P414">IFERROR(INDEX('Day Range Raw Data'!X:X,Match($A414,'Day Range Raw Data'!$B:$B,0)),"")</f>
        <v/>
      </c>
      <c r="Q414" t="str">
        <f t="shared" si="1"/>
        <v/>
      </c>
      <c r="R414" s="9" t="str">
        <f t="shared" si="2"/>
        <v/>
      </c>
      <c r="S414" s="14" t="str">
        <f t="shared" si="3"/>
        <v/>
      </c>
      <c r="T414" s="15" t="str">
        <f>IFERROR(__xludf.DUMMYFUNCTION("IF($A414="""","""",IFERROR(PERCENTRANK.INC(FILTER(Q:Q,$F:$F&lt;&gt;""""),Q414)*100,""""))"),"")</f>
        <v/>
      </c>
      <c r="U414" s="15" t="str">
        <f>IFERROR(__xludf.DUMMYFUNCTION("IF($A414="""","""",IFERROR(PERCENTRANK.INC(FILTER(R:R,$F:$F&lt;&gt;""""),R414)*100,""""))"),"")</f>
        <v/>
      </c>
      <c r="V414" s="15" t="str">
        <f>IFERROR(__xludf.DUMMYFUNCTION("IF($A414="""","""",IFERROR(PERCENTRANK.INC(FILTER(S:S,$F:$F&lt;&gt;""""),S414)*100,""""))"),"")</f>
        <v/>
      </c>
      <c r="W414" s="15" t="str">
        <f t="shared" si="4"/>
        <v/>
      </c>
    </row>
    <row r="415">
      <c r="B415" t="str">
        <f t="array" ref="B415">IFERROR(INDEX('Player Raw Data'!C:C,Match($A415,'Player Raw Data'!$B:$B,0)),"")</f>
        <v/>
      </c>
      <c r="C415" t="str">
        <f t="array" ref="C415">IFERROR(INDEX('Player Raw Data'!D:D,Match($A415,'Player Raw Data'!$B:$B,0)),"")</f>
        <v/>
      </c>
      <c r="D415" t="str">
        <f t="array" ref="D415">IFERROR(IF(A415=A414, INDEX('Player Raw Data'!E:E,Match($A415,'Player Raw Data'!$B:$B,0)+2),INDEX('Player Raw Data'!E:E,Match($A415,'Player Raw Data'!$B:$B,0))),"")</f>
        <v/>
      </c>
      <c r="E415" t="str">
        <f t="array" ref="E415">IFERROR(INDEX('Day Range Raw Data'!D:D,Match($A415,'Day Range Raw Data'!$B:$B,0)),"")</f>
        <v/>
      </c>
      <c r="F415" t="str">
        <f t="array" ref="F415">IFERROR(INDEX('Day Range Raw Data'!F:F,Match($A415,'Day Range Raw Data'!$B:$B,0)),"")</f>
        <v/>
      </c>
      <c r="G415" t="str">
        <f t="array" ref="G415">IFERROR(INDEX('Day Range Raw Data'!G:G,Match($A415,'Day Range Raw Data'!$B:$B,0)),"")</f>
        <v/>
      </c>
      <c r="H415" t="str">
        <f t="array" ref="H415">IFERROR(INDEX('Day Range Raw Data'!H:H,Match($A415,'Day Range Raw Data'!$B:$B,0)),"")</f>
        <v/>
      </c>
      <c r="I415" t="str">
        <f t="array" ref="I415">IFERROR(INDEX('Day Range Raw Data'!M:M,Match($A415,'Day Range Raw Data'!$B:$B,0)),"")</f>
        <v/>
      </c>
      <c r="J415" t="str">
        <f t="array" ref="J415">IFERROR(INDEX('Day Range Raw Data'!N:N,Match($A415,'Day Range Raw Data'!$B:$B,0)),"")</f>
        <v/>
      </c>
      <c r="K415" t="str">
        <f t="array" ref="K415">IFERROR(INDEX('Day Range Raw Data'!R:R,Match($A415,'Day Range Raw Data'!$B:$B,0)),"")</f>
        <v/>
      </c>
      <c r="L415" t="str">
        <f t="array" ref="L415">IFERROR(INDEX('Day Range Raw Data'!S:S,Match($A415,'Day Range Raw Data'!$B:$B,0)),"")</f>
        <v/>
      </c>
      <c r="M415" t="str">
        <f t="array" ref="M415">IFERROR(INDEX('Day Range Raw Data'!T:T,Match($A415,'Day Range Raw Data'!$B:$B,0)),"")</f>
        <v/>
      </c>
      <c r="N415" t="str">
        <f t="array" ref="N415">IFERROR(INDEX('Day Range Raw Data'!U:U,Match($A415,'Day Range Raw Data'!$B:$B,0)),"")</f>
        <v/>
      </c>
      <c r="O415" t="str">
        <f t="array" ref="O415">IFERROR(INDEX('Day Range Raw Data'!V:V,Match($A415,'Day Range Raw Data'!$B:$B,0)),"")</f>
        <v/>
      </c>
      <c r="P415" t="str">
        <f t="array" ref="P415">IFERROR(INDEX('Day Range Raw Data'!X:X,Match($A415,'Day Range Raw Data'!$B:$B,0)),"")</f>
        <v/>
      </c>
      <c r="Q415" t="str">
        <f t="shared" si="1"/>
        <v/>
      </c>
      <c r="R415" s="9" t="str">
        <f t="shared" si="2"/>
        <v/>
      </c>
      <c r="S415" s="14" t="str">
        <f t="shared" si="3"/>
        <v/>
      </c>
      <c r="T415" s="15" t="str">
        <f>IFERROR(__xludf.DUMMYFUNCTION("IF($A415="""","""",IFERROR(PERCENTRANK.INC(FILTER(Q:Q,$F:$F&lt;&gt;""""),Q415)*100,""""))"),"")</f>
        <v/>
      </c>
      <c r="U415" s="15" t="str">
        <f>IFERROR(__xludf.DUMMYFUNCTION("IF($A415="""","""",IFERROR(PERCENTRANK.INC(FILTER(R:R,$F:$F&lt;&gt;""""),R415)*100,""""))"),"")</f>
        <v/>
      </c>
      <c r="V415" s="15" t="str">
        <f>IFERROR(__xludf.DUMMYFUNCTION("IF($A415="""","""",IFERROR(PERCENTRANK.INC(FILTER(S:S,$F:$F&lt;&gt;""""),S415)*100,""""))"),"")</f>
        <v/>
      </c>
      <c r="W415" s="15" t="str">
        <f t="shared" si="4"/>
        <v/>
      </c>
    </row>
    <row r="416">
      <c r="B416" t="str">
        <f t="array" ref="B416">IFERROR(INDEX('Player Raw Data'!C:C,Match($A416,'Player Raw Data'!$B:$B,0)),"")</f>
        <v/>
      </c>
      <c r="C416" t="str">
        <f t="array" ref="C416">IFERROR(INDEX('Player Raw Data'!D:D,Match($A416,'Player Raw Data'!$B:$B,0)),"")</f>
        <v/>
      </c>
      <c r="D416" t="str">
        <f t="array" ref="D416">IFERROR(IF(A416=A415, INDEX('Player Raw Data'!E:E,Match($A416,'Player Raw Data'!$B:$B,0)+2),INDEX('Player Raw Data'!E:E,Match($A416,'Player Raw Data'!$B:$B,0))),"")</f>
        <v/>
      </c>
      <c r="E416" t="str">
        <f t="array" ref="E416">IFERROR(INDEX('Day Range Raw Data'!D:D,Match($A416,'Day Range Raw Data'!$B:$B,0)),"")</f>
        <v/>
      </c>
      <c r="F416" t="str">
        <f t="array" ref="F416">IFERROR(INDEX('Day Range Raw Data'!F:F,Match($A416,'Day Range Raw Data'!$B:$B,0)),"")</f>
        <v/>
      </c>
      <c r="G416" t="str">
        <f t="array" ref="G416">IFERROR(INDEX('Day Range Raw Data'!G:G,Match($A416,'Day Range Raw Data'!$B:$B,0)),"")</f>
        <v/>
      </c>
      <c r="H416" t="str">
        <f t="array" ref="H416">IFERROR(INDEX('Day Range Raw Data'!H:H,Match($A416,'Day Range Raw Data'!$B:$B,0)),"")</f>
        <v/>
      </c>
      <c r="I416" t="str">
        <f t="array" ref="I416">IFERROR(INDEX('Day Range Raw Data'!M:M,Match($A416,'Day Range Raw Data'!$B:$B,0)),"")</f>
        <v/>
      </c>
      <c r="J416" t="str">
        <f t="array" ref="J416">IFERROR(INDEX('Day Range Raw Data'!N:N,Match($A416,'Day Range Raw Data'!$B:$B,0)),"")</f>
        <v/>
      </c>
      <c r="K416" t="str">
        <f t="array" ref="K416">IFERROR(INDEX('Day Range Raw Data'!R:R,Match($A416,'Day Range Raw Data'!$B:$B,0)),"")</f>
        <v/>
      </c>
      <c r="L416" t="str">
        <f t="array" ref="L416">IFERROR(INDEX('Day Range Raw Data'!S:S,Match($A416,'Day Range Raw Data'!$B:$B,0)),"")</f>
        <v/>
      </c>
      <c r="M416" t="str">
        <f t="array" ref="M416">IFERROR(INDEX('Day Range Raw Data'!T:T,Match($A416,'Day Range Raw Data'!$B:$B,0)),"")</f>
        <v/>
      </c>
      <c r="N416" t="str">
        <f t="array" ref="N416">IFERROR(INDEX('Day Range Raw Data'!U:U,Match($A416,'Day Range Raw Data'!$B:$B,0)),"")</f>
        <v/>
      </c>
      <c r="O416" t="str">
        <f t="array" ref="O416">IFERROR(INDEX('Day Range Raw Data'!V:V,Match($A416,'Day Range Raw Data'!$B:$B,0)),"")</f>
        <v/>
      </c>
      <c r="P416" t="str">
        <f t="array" ref="P416">IFERROR(INDEX('Day Range Raw Data'!X:X,Match($A416,'Day Range Raw Data'!$B:$B,0)),"")</f>
        <v/>
      </c>
      <c r="Q416" t="str">
        <f t="shared" si="1"/>
        <v/>
      </c>
      <c r="R416" s="9" t="str">
        <f t="shared" si="2"/>
        <v/>
      </c>
      <c r="S416" s="14" t="str">
        <f t="shared" si="3"/>
        <v/>
      </c>
      <c r="T416" s="15" t="str">
        <f>IFERROR(__xludf.DUMMYFUNCTION("IF($A416="""","""",IFERROR(PERCENTRANK.INC(FILTER(Q:Q,$F:$F&lt;&gt;""""),Q416)*100,""""))"),"")</f>
        <v/>
      </c>
      <c r="U416" s="15" t="str">
        <f>IFERROR(__xludf.DUMMYFUNCTION("IF($A416="""","""",IFERROR(PERCENTRANK.INC(FILTER(R:R,$F:$F&lt;&gt;""""),R416)*100,""""))"),"")</f>
        <v/>
      </c>
      <c r="V416" s="15" t="str">
        <f>IFERROR(__xludf.DUMMYFUNCTION("IF($A416="""","""",IFERROR(PERCENTRANK.INC(FILTER(S:S,$F:$F&lt;&gt;""""),S416)*100,""""))"),"")</f>
        <v/>
      </c>
      <c r="W416" s="15" t="str">
        <f t="shared" si="4"/>
        <v/>
      </c>
    </row>
    <row r="417">
      <c r="B417" t="str">
        <f t="array" ref="B417">IFERROR(INDEX('Player Raw Data'!C:C,Match($A417,'Player Raw Data'!$B:$B,0)),"")</f>
        <v/>
      </c>
      <c r="C417" t="str">
        <f t="array" ref="C417">IFERROR(INDEX('Player Raw Data'!D:D,Match($A417,'Player Raw Data'!$B:$B,0)),"")</f>
        <v/>
      </c>
      <c r="D417" t="str">
        <f t="array" ref="D417">IFERROR(IF(A417=A416, INDEX('Player Raw Data'!E:E,Match($A417,'Player Raw Data'!$B:$B,0)+2),INDEX('Player Raw Data'!E:E,Match($A417,'Player Raw Data'!$B:$B,0))),"")</f>
        <v/>
      </c>
      <c r="E417" t="str">
        <f t="array" ref="E417">IFERROR(INDEX('Day Range Raw Data'!D:D,Match($A417,'Day Range Raw Data'!$B:$B,0)),"")</f>
        <v/>
      </c>
      <c r="F417" t="str">
        <f t="array" ref="F417">IFERROR(INDEX('Day Range Raw Data'!F:F,Match($A417,'Day Range Raw Data'!$B:$B,0)),"")</f>
        <v/>
      </c>
      <c r="G417" t="str">
        <f t="array" ref="G417">IFERROR(INDEX('Day Range Raw Data'!G:G,Match($A417,'Day Range Raw Data'!$B:$B,0)),"")</f>
        <v/>
      </c>
      <c r="H417" t="str">
        <f t="array" ref="H417">IFERROR(INDEX('Day Range Raw Data'!H:H,Match($A417,'Day Range Raw Data'!$B:$B,0)),"")</f>
        <v/>
      </c>
      <c r="I417" t="str">
        <f t="array" ref="I417">IFERROR(INDEX('Day Range Raw Data'!M:M,Match($A417,'Day Range Raw Data'!$B:$B,0)),"")</f>
        <v/>
      </c>
      <c r="J417" t="str">
        <f t="array" ref="J417">IFERROR(INDEX('Day Range Raw Data'!N:N,Match($A417,'Day Range Raw Data'!$B:$B,0)),"")</f>
        <v/>
      </c>
      <c r="K417" t="str">
        <f t="array" ref="K417">IFERROR(INDEX('Day Range Raw Data'!R:R,Match($A417,'Day Range Raw Data'!$B:$B,0)),"")</f>
        <v/>
      </c>
      <c r="L417" t="str">
        <f t="array" ref="L417">IFERROR(INDEX('Day Range Raw Data'!S:S,Match($A417,'Day Range Raw Data'!$B:$B,0)),"")</f>
        <v/>
      </c>
      <c r="M417" t="str">
        <f t="array" ref="M417">IFERROR(INDEX('Day Range Raw Data'!T:T,Match($A417,'Day Range Raw Data'!$B:$B,0)),"")</f>
        <v/>
      </c>
      <c r="N417" t="str">
        <f t="array" ref="N417">IFERROR(INDEX('Day Range Raw Data'!U:U,Match($A417,'Day Range Raw Data'!$B:$B,0)),"")</f>
        <v/>
      </c>
      <c r="O417" t="str">
        <f t="array" ref="O417">IFERROR(INDEX('Day Range Raw Data'!V:V,Match($A417,'Day Range Raw Data'!$B:$B,0)),"")</f>
        <v/>
      </c>
      <c r="P417" t="str">
        <f t="array" ref="P417">IFERROR(INDEX('Day Range Raw Data'!X:X,Match($A417,'Day Range Raw Data'!$B:$B,0)),"")</f>
        <v/>
      </c>
      <c r="Q417" t="str">
        <f t="shared" si="1"/>
        <v/>
      </c>
      <c r="R417" s="9" t="str">
        <f t="shared" si="2"/>
        <v/>
      </c>
      <c r="S417" s="14" t="str">
        <f t="shared" si="3"/>
        <v/>
      </c>
      <c r="T417" s="15" t="str">
        <f>IFERROR(__xludf.DUMMYFUNCTION("IF($A417="""","""",IFERROR(PERCENTRANK.INC(FILTER(Q:Q,$F:$F&lt;&gt;""""),Q417)*100,""""))"),"")</f>
        <v/>
      </c>
      <c r="U417" s="15" t="str">
        <f>IFERROR(__xludf.DUMMYFUNCTION("IF($A417="""","""",IFERROR(PERCENTRANK.INC(FILTER(R:R,$F:$F&lt;&gt;""""),R417)*100,""""))"),"")</f>
        <v/>
      </c>
      <c r="V417" s="15" t="str">
        <f>IFERROR(__xludf.DUMMYFUNCTION("IF($A417="""","""",IFERROR(PERCENTRANK.INC(FILTER(S:S,$F:$F&lt;&gt;""""),S417)*100,""""))"),"")</f>
        <v/>
      </c>
      <c r="W417" s="15" t="str">
        <f t="shared" si="4"/>
        <v/>
      </c>
    </row>
    <row r="418">
      <c r="B418" t="str">
        <f t="array" ref="B418">IFERROR(INDEX('Player Raw Data'!C:C,Match($A418,'Player Raw Data'!$B:$B,0)),"")</f>
        <v/>
      </c>
      <c r="C418" t="str">
        <f t="array" ref="C418">IFERROR(INDEX('Player Raw Data'!D:D,Match($A418,'Player Raw Data'!$B:$B,0)),"")</f>
        <v/>
      </c>
      <c r="D418" t="str">
        <f t="array" ref="D418">IFERROR(IF(A418=A417, INDEX('Player Raw Data'!E:E,Match($A418,'Player Raw Data'!$B:$B,0)+2),INDEX('Player Raw Data'!E:E,Match($A418,'Player Raw Data'!$B:$B,0))),"")</f>
        <v/>
      </c>
      <c r="E418" t="str">
        <f t="array" ref="E418">IFERROR(INDEX('Day Range Raw Data'!D:D,Match($A418,'Day Range Raw Data'!$B:$B,0)),"")</f>
        <v/>
      </c>
      <c r="F418" t="str">
        <f t="array" ref="F418">IFERROR(INDEX('Day Range Raw Data'!F:F,Match($A418,'Day Range Raw Data'!$B:$B,0)),"")</f>
        <v/>
      </c>
      <c r="G418" t="str">
        <f t="array" ref="G418">IFERROR(INDEX('Day Range Raw Data'!G:G,Match($A418,'Day Range Raw Data'!$B:$B,0)),"")</f>
        <v/>
      </c>
      <c r="H418" t="str">
        <f t="array" ref="H418">IFERROR(INDEX('Day Range Raw Data'!H:H,Match($A418,'Day Range Raw Data'!$B:$B,0)),"")</f>
        <v/>
      </c>
      <c r="I418" t="str">
        <f t="array" ref="I418">IFERROR(INDEX('Day Range Raw Data'!M:M,Match($A418,'Day Range Raw Data'!$B:$B,0)),"")</f>
        <v/>
      </c>
      <c r="J418" t="str">
        <f t="array" ref="J418">IFERROR(INDEX('Day Range Raw Data'!N:N,Match($A418,'Day Range Raw Data'!$B:$B,0)),"")</f>
        <v/>
      </c>
      <c r="K418" t="str">
        <f t="array" ref="K418">IFERROR(INDEX('Day Range Raw Data'!R:R,Match($A418,'Day Range Raw Data'!$B:$B,0)),"")</f>
        <v/>
      </c>
      <c r="L418" t="str">
        <f t="array" ref="L418">IFERROR(INDEX('Day Range Raw Data'!S:S,Match($A418,'Day Range Raw Data'!$B:$B,0)),"")</f>
        <v/>
      </c>
      <c r="M418" t="str">
        <f t="array" ref="M418">IFERROR(INDEX('Day Range Raw Data'!T:T,Match($A418,'Day Range Raw Data'!$B:$B,0)),"")</f>
        <v/>
      </c>
      <c r="N418" t="str">
        <f t="array" ref="N418">IFERROR(INDEX('Day Range Raw Data'!U:U,Match($A418,'Day Range Raw Data'!$B:$B,0)),"")</f>
        <v/>
      </c>
      <c r="O418" t="str">
        <f t="array" ref="O418">IFERROR(INDEX('Day Range Raw Data'!V:V,Match($A418,'Day Range Raw Data'!$B:$B,0)),"")</f>
        <v/>
      </c>
      <c r="P418" t="str">
        <f t="array" ref="P418">IFERROR(INDEX('Day Range Raw Data'!X:X,Match($A418,'Day Range Raw Data'!$B:$B,0)),"")</f>
        <v/>
      </c>
      <c r="Q418" t="str">
        <f t="shared" si="1"/>
        <v/>
      </c>
      <c r="R418" s="9" t="str">
        <f t="shared" si="2"/>
        <v/>
      </c>
      <c r="S418" s="14" t="str">
        <f t="shared" si="3"/>
        <v/>
      </c>
      <c r="T418" s="15" t="str">
        <f>IFERROR(__xludf.DUMMYFUNCTION("IF($A418="""","""",IFERROR(PERCENTRANK.INC(FILTER(Q:Q,$F:$F&lt;&gt;""""),Q418)*100,""""))"),"")</f>
        <v/>
      </c>
      <c r="U418" s="15" t="str">
        <f>IFERROR(__xludf.DUMMYFUNCTION("IF($A418="""","""",IFERROR(PERCENTRANK.INC(FILTER(R:R,$F:$F&lt;&gt;""""),R418)*100,""""))"),"")</f>
        <v/>
      </c>
      <c r="V418" s="15" t="str">
        <f>IFERROR(__xludf.DUMMYFUNCTION("IF($A418="""","""",IFERROR(PERCENTRANK.INC(FILTER(S:S,$F:$F&lt;&gt;""""),S418)*100,""""))"),"")</f>
        <v/>
      </c>
      <c r="W418" s="15" t="str">
        <f t="shared" si="4"/>
        <v/>
      </c>
    </row>
    <row r="419">
      <c r="B419" t="str">
        <f t="array" ref="B419">IFERROR(INDEX('Player Raw Data'!C:C,Match($A419,'Player Raw Data'!$B:$B,0)),"")</f>
        <v/>
      </c>
      <c r="C419" t="str">
        <f t="array" ref="C419">IFERROR(INDEX('Player Raw Data'!D:D,Match($A419,'Player Raw Data'!$B:$B,0)),"")</f>
        <v/>
      </c>
      <c r="D419" t="str">
        <f t="array" ref="D419">IFERROR(IF(A419=A418, INDEX('Player Raw Data'!E:E,Match($A419,'Player Raw Data'!$B:$B,0)+2),INDEX('Player Raw Data'!E:E,Match($A419,'Player Raw Data'!$B:$B,0))),"")</f>
        <v/>
      </c>
      <c r="E419" t="str">
        <f t="array" ref="E419">IFERROR(INDEX('Day Range Raw Data'!D:D,Match($A419,'Day Range Raw Data'!$B:$B,0)),"")</f>
        <v/>
      </c>
      <c r="F419" t="str">
        <f t="array" ref="F419">IFERROR(INDEX('Day Range Raw Data'!F:F,Match($A419,'Day Range Raw Data'!$B:$B,0)),"")</f>
        <v/>
      </c>
      <c r="G419" t="str">
        <f t="array" ref="G419">IFERROR(INDEX('Day Range Raw Data'!G:G,Match($A419,'Day Range Raw Data'!$B:$B,0)),"")</f>
        <v/>
      </c>
      <c r="H419" t="str">
        <f t="array" ref="H419">IFERROR(INDEX('Day Range Raw Data'!H:H,Match($A419,'Day Range Raw Data'!$B:$B,0)),"")</f>
        <v/>
      </c>
      <c r="I419" t="str">
        <f t="array" ref="I419">IFERROR(INDEX('Day Range Raw Data'!M:M,Match($A419,'Day Range Raw Data'!$B:$B,0)),"")</f>
        <v/>
      </c>
      <c r="J419" t="str">
        <f t="array" ref="J419">IFERROR(INDEX('Day Range Raw Data'!N:N,Match($A419,'Day Range Raw Data'!$B:$B,0)),"")</f>
        <v/>
      </c>
      <c r="K419" t="str">
        <f t="array" ref="K419">IFERROR(INDEX('Day Range Raw Data'!R:R,Match($A419,'Day Range Raw Data'!$B:$B,0)),"")</f>
        <v/>
      </c>
      <c r="L419" t="str">
        <f t="array" ref="L419">IFERROR(INDEX('Day Range Raw Data'!S:S,Match($A419,'Day Range Raw Data'!$B:$B,0)),"")</f>
        <v/>
      </c>
      <c r="M419" t="str">
        <f t="array" ref="M419">IFERROR(INDEX('Day Range Raw Data'!T:T,Match($A419,'Day Range Raw Data'!$B:$B,0)),"")</f>
        <v/>
      </c>
      <c r="N419" t="str">
        <f t="array" ref="N419">IFERROR(INDEX('Day Range Raw Data'!U:U,Match($A419,'Day Range Raw Data'!$B:$B,0)),"")</f>
        <v/>
      </c>
      <c r="O419" t="str">
        <f t="array" ref="O419">IFERROR(INDEX('Day Range Raw Data'!V:V,Match($A419,'Day Range Raw Data'!$B:$B,0)),"")</f>
        <v/>
      </c>
      <c r="P419" t="str">
        <f t="array" ref="P419">IFERROR(INDEX('Day Range Raw Data'!X:X,Match($A419,'Day Range Raw Data'!$B:$B,0)),"")</f>
        <v/>
      </c>
      <c r="Q419" t="str">
        <f t="shared" si="1"/>
        <v/>
      </c>
      <c r="R419" s="9" t="str">
        <f t="shared" si="2"/>
        <v/>
      </c>
      <c r="S419" s="14" t="str">
        <f t="shared" si="3"/>
        <v/>
      </c>
      <c r="T419" s="15" t="str">
        <f>IFERROR(__xludf.DUMMYFUNCTION("IF($A419="""","""",IFERROR(PERCENTRANK.INC(FILTER(Q:Q,$F:$F&lt;&gt;""""),Q419)*100,""""))"),"")</f>
        <v/>
      </c>
      <c r="U419" s="15" t="str">
        <f>IFERROR(__xludf.DUMMYFUNCTION("IF($A419="""","""",IFERROR(PERCENTRANK.INC(FILTER(R:R,$F:$F&lt;&gt;""""),R419)*100,""""))"),"")</f>
        <v/>
      </c>
      <c r="V419" s="15" t="str">
        <f>IFERROR(__xludf.DUMMYFUNCTION("IF($A419="""","""",IFERROR(PERCENTRANK.INC(FILTER(S:S,$F:$F&lt;&gt;""""),S419)*100,""""))"),"")</f>
        <v/>
      </c>
      <c r="W419" s="15" t="str">
        <f t="shared" si="4"/>
        <v/>
      </c>
    </row>
    <row r="420">
      <c r="B420" t="str">
        <f t="array" ref="B420">IFERROR(INDEX('Player Raw Data'!C:C,Match($A420,'Player Raw Data'!$B:$B,0)),"")</f>
        <v/>
      </c>
      <c r="C420" t="str">
        <f t="array" ref="C420">IFERROR(INDEX('Player Raw Data'!D:D,Match($A420,'Player Raw Data'!$B:$B,0)),"")</f>
        <v/>
      </c>
      <c r="D420" t="str">
        <f t="array" ref="D420">IFERROR(IF(A420=A419, INDEX('Player Raw Data'!E:E,Match($A420,'Player Raw Data'!$B:$B,0)+2),INDEX('Player Raw Data'!E:E,Match($A420,'Player Raw Data'!$B:$B,0))),"")</f>
        <v/>
      </c>
      <c r="E420" t="str">
        <f t="array" ref="E420">IFERROR(INDEX('Day Range Raw Data'!D:D,Match($A420,'Day Range Raw Data'!$B:$B,0)),"")</f>
        <v/>
      </c>
      <c r="F420" t="str">
        <f t="array" ref="F420">IFERROR(INDEX('Day Range Raw Data'!F:F,Match($A420,'Day Range Raw Data'!$B:$B,0)),"")</f>
        <v/>
      </c>
      <c r="G420" t="str">
        <f t="array" ref="G420">IFERROR(INDEX('Day Range Raw Data'!G:G,Match($A420,'Day Range Raw Data'!$B:$B,0)),"")</f>
        <v/>
      </c>
      <c r="H420" t="str">
        <f t="array" ref="H420">IFERROR(INDEX('Day Range Raw Data'!H:H,Match($A420,'Day Range Raw Data'!$B:$B,0)),"")</f>
        <v/>
      </c>
      <c r="I420" t="str">
        <f t="array" ref="I420">IFERROR(INDEX('Day Range Raw Data'!M:M,Match($A420,'Day Range Raw Data'!$B:$B,0)),"")</f>
        <v/>
      </c>
      <c r="J420" t="str">
        <f t="array" ref="J420">IFERROR(INDEX('Day Range Raw Data'!N:N,Match($A420,'Day Range Raw Data'!$B:$B,0)),"")</f>
        <v/>
      </c>
      <c r="K420" t="str">
        <f t="array" ref="K420">IFERROR(INDEX('Day Range Raw Data'!R:R,Match($A420,'Day Range Raw Data'!$B:$B,0)),"")</f>
        <v/>
      </c>
      <c r="L420" t="str">
        <f t="array" ref="L420">IFERROR(INDEX('Day Range Raw Data'!S:S,Match($A420,'Day Range Raw Data'!$B:$B,0)),"")</f>
        <v/>
      </c>
      <c r="M420" t="str">
        <f t="array" ref="M420">IFERROR(INDEX('Day Range Raw Data'!T:T,Match($A420,'Day Range Raw Data'!$B:$B,0)),"")</f>
        <v/>
      </c>
      <c r="N420" t="str">
        <f t="array" ref="N420">IFERROR(INDEX('Day Range Raw Data'!U:U,Match($A420,'Day Range Raw Data'!$B:$B,0)),"")</f>
        <v/>
      </c>
      <c r="O420" t="str">
        <f t="array" ref="O420">IFERROR(INDEX('Day Range Raw Data'!V:V,Match($A420,'Day Range Raw Data'!$B:$B,0)),"")</f>
        <v/>
      </c>
      <c r="P420" t="str">
        <f t="array" ref="P420">IFERROR(INDEX('Day Range Raw Data'!X:X,Match($A420,'Day Range Raw Data'!$B:$B,0)),"")</f>
        <v/>
      </c>
      <c r="Q420" t="str">
        <f t="shared" si="1"/>
        <v/>
      </c>
      <c r="R420" s="9" t="str">
        <f t="shared" si="2"/>
        <v/>
      </c>
      <c r="S420" s="14" t="str">
        <f t="shared" si="3"/>
        <v/>
      </c>
      <c r="T420" s="15" t="str">
        <f>IFERROR(__xludf.DUMMYFUNCTION("IF($A420="""","""",IFERROR(PERCENTRANK.INC(FILTER(Q:Q,$F:$F&lt;&gt;""""),Q420)*100,""""))"),"")</f>
        <v/>
      </c>
      <c r="U420" s="15" t="str">
        <f>IFERROR(__xludf.DUMMYFUNCTION("IF($A420="""","""",IFERROR(PERCENTRANK.INC(FILTER(R:R,$F:$F&lt;&gt;""""),R420)*100,""""))"),"")</f>
        <v/>
      </c>
      <c r="V420" s="15" t="str">
        <f>IFERROR(__xludf.DUMMYFUNCTION("IF($A420="""","""",IFERROR(PERCENTRANK.INC(FILTER(S:S,$F:$F&lt;&gt;""""),S420)*100,""""))"),"")</f>
        <v/>
      </c>
      <c r="W420" s="15" t="str">
        <f t="shared" si="4"/>
        <v/>
      </c>
    </row>
    <row r="421">
      <c r="B421" t="str">
        <f t="array" ref="B421">IFERROR(INDEX('Player Raw Data'!C:C,Match($A421,'Player Raw Data'!$B:$B,0)),"")</f>
        <v/>
      </c>
      <c r="C421" t="str">
        <f t="array" ref="C421">IFERROR(INDEX('Player Raw Data'!D:D,Match($A421,'Player Raw Data'!$B:$B,0)),"")</f>
        <v/>
      </c>
      <c r="D421" t="str">
        <f t="array" ref="D421">IFERROR(IF(A421=A420, INDEX('Player Raw Data'!E:E,Match($A421,'Player Raw Data'!$B:$B,0)+2),INDEX('Player Raw Data'!E:E,Match($A421,'Player Raw Data'!$B:$B,0))),"")</f>
        <v/>
      </c>
      <c r="E421" t="str">
        <f t="array" ref="E421">IFERROR(INDEX('Day Range Raw Data'!D:D,Match($A421,'Day Range Raw Data'!$B:$B,0)),"")</f>
        <v/>
      </c>
      <c r="F421" t="str">
        <f t="array" ref="F421">IFERROR(INDEX('Day Range Raw Data'!F:F,Match($A421,'Day Range Raw Data'!$B:$B,0)),"")</f>
        <v/>
      </c>
      <c r="G421" t="str">
        <f t="array" ref="G421">IFERROR(INDEX('Day Range Raw Data'!G:G,Match($A421,'Day Range Raw Data'!$B:$B,0)),"")</f>
        <v/>
      </c>
      <c r="H421" t="str">
        <f t="array" ref="H421">IFERROR(INDEX('Day Range Raw Data'!H:H,Match($A421,'Day Range Raw Data'!$B:$B,0)),"")</f>
        <v/>
      </c>
      <c r="I421" t="str">
        <f t="array" ref="I421">IFERROR(INDEX('Day Range Raw Data'!M:M,Match($A421,'Day Range Raw Data'!$B:$B,0)),"")</f>
        <v/>
      </c>
      <c r="J421" t="str">
        <f t="array" ref="J421">IFERROR(INDEX('Day Range Raw Data'!N:N,Match($A421,'Day Range Raw Data'!$B:$B,0)),"")</f>
        <v/>
      </c>
      <c r="K421" t="str">
        <f t="array" ref="K421">IFERROR(INDEX('Day Range Raw Data'!R:R,Match($A421,'Day Range Raw Data'!$B:$B,0)),"")</f>
        <v/>
      </c>
      <c r="L421" t="str">
        <f t="array" ref="L421">IFERROR(INDEX('Day Range Raw Data'!S:S,Match($A421,'Day Range Raw Data'!$B:$B,0)),"")</f>
        <v/>
      </c>
      <c r="M421" t="str">
        <f t="array" ref="M421">IFERROR(INDEX('Day Range Raw Data'!T:T,Match($A421,'Day Range Raw Data'!$B:$B,0)),"")</f>
        <v/>
      </c>
      <c r="N421" t="str">
        <f t="array" ref="N421">IFERROR(INDEX('Day Range Raw Data'!U:U,Match($A421,'Day Range Raw Data'!$B:$B,0)),"")</f>
        <v/>
      </c>
      <c r="O421" t="str">
        <f t="array" ref="O421">IFERROR(INDEX('Day Range Raw Data'!V:V,Match($A421,'Day Range Raw Data'!$B:$B,0)),"")</f>
        <v/>
      </c>
      <c r="P421" t="str">
        <f t="array" ref="P421">IFERROR(INDEX('Day Range Raw Data'!X:X,Match($A421,'Day Range Raw Data'!$B:$B,0)),"")</f>
        <v/>
      </c>
      <c r="Q421" t="str">
        <f t="shared" si="1"/>
        <v/>
      </c>
      <c r="R421" s="9" t="str">
        <f t="shared" si="2"/>
        <v/>
      </c>
      <c r="S421" s="14" t="str">
        <f t="shared" si="3"/>
        <v/>
      </c>
      <c r="T421" s="15" t="str">
        <f>IFERROR(__xludf.DUMMYFUNCTION("IF($A421="""","""",IFERROR(PERCENTRANK.INC(FILTER(Q:Q,$F:$F&lt;&gt;""""),Q421)*100,""""))"),"")</f>
        <v/>
      </c>
      <c r="U421" s="15" t="str">
        <f>IFERROR(__xludf.DUMMYFUNCTION("IF($A421="""","""",IFERROR(PERCENTRANK.INC(FILTER(R:R,$F:$F&lt;&gt;""""),R421)*100,""""))"),"")</f>
        <v/>
      </c>
      <c r="V421" s="15" t="str">
        <f>IFERROR(__xludf.DUMMYFUNCTION("IF($A421="""","""",IFERROR(PERCENTRANK.INC(FILTER(S:S,$F:$F&lt;&gt;""""),S421)*100,""""))"),"")</f>
        <v/>
      </c>
      <c r="W421" s="15" t="str">
        <f t="shared" si="4"/>
        <v/>
      </c>
    </row>
    <row r="422">
      <c r="B422" t="str">
        <f t="array" ref="B422">IFERROR(INDEX('Player Raw Data'!C:C,Match($A422,'Player Raw Data'!$B:$B,0)),"")</f>
        <v/>
      </c>
      <c r="C422" t="str">
        <f t="array" ref="C422">IFERROR(INDEX('Player Raw Data'!D:D,Match($A422,'Player Raw Data'!$B:$B,0)),"")</f>
        <v/>
      </c>
      <c r="D422" t="str">
        <f t="array" ref="D422">IFERROR(IF(A422=A421, INDEX('Player Raw Data'!E:E,Match($A422,'Player Raw Data'!$B:$B,0)+2),INDEX('Player Raw Data'!E:E,Match($A422,'Player Raw Data'!$B:$B,0))),"")</f>
        <v/>
      </c>
      <c r="E422" t="str">
        <f t="array" ref="E422">IFERROR(INDEX('Day Range Raw Data'!D:D,Match($A422,'Day Range Raw Data'!$B:$B,0)),"")</f>
        <v/>
      </c>
      <c r="F422" t="str">
        <f t="array" ref="F422">IFERROR(INDEX('Day Range Raw Data'!F:F,Match($A422,'Day Range Raw Data'!$B:$B,0)),"")</f>
        <v/>
      </c>
      <c r="G422" t="str">
        <f t="array" ref="G422">IFERROR(INDEX('Day Range Raw Data'!G:G,Match($A422,'Day Range Raw Data'!$B:$B,0)),"")</f>
        <v/>
      </c>
      <c r="H422" t="str">
        <f t="array" ref="H422">IFERROR(INDEX('Day Range Raw Data'!H:H,Match($A422,'Day Range Raw Data'!$B:$B,0)),"")</f>
        <v/>
      </c>
      <c r="I422" t="str">
        <f t="array" ref="I422">IFERROR(INDEX('Day Range Raw Data'!M:M,Match($A422,'Day Range Raw Data'!$B:$B,0)),"")</f>
        <v/>
      </c>
      <c r="J422" t="str">
        <f t="array" ref="J422">IFERROR(INDEX('Day Range Raw Data'!N:N,Match($A422,'Day Range Raw Data'!$B:$B,0)),"")</f>
        <v/>
      </c>
      <c r="K422" t="str">
        <f t="array" ref="K422">IFERROR(INDEX('Day Range Raw Data'!R:R,Match($A422,'Day Range Raw Data'!$B:$B,0)),"")</f>
        <v/>
      </c>
      <c r="L422" t="str">
        <f t="array" ref="L422">IFERROR(INDEX('Day Range Raw Data'!S:S,Match($A422,'Day Range Raw Data'!$B:$B,0)),"")</f>
        <v/>
      </c>
      <c r="M422" t="str">
        <f t="array" ref="M422">IFERROR(INDEX('Day Range Raw Data'!T:T,Match($A422,'Day Range Raw Data'!$B:$B,0)),"")</f>
        <v/>
      </c>
      <c r="N422" t="str">
        <f t="array" ref="N422">IFERROR(INDEX('Day Range Raw Data'!U:U,Match($A422,'Day Range Raw Data'!$B:$B,0)),"")</f>
        <v/>
      </c>
      <c r="O422" t="str">
        <f t="array" ref="O422">IFERROR(INDEX('Day Range Raw Data'!V:V,Match($A422,'Day Range Raw Data'!$B:$B,0)),"")</f>
        <v/>
      </c>
      <c r="P422" t="str">
        <f t="array" ref="P422">IFERROR(INDEX('Day Range Raw Data'!X:X,Match($A422,'Day Range Raw Data'!$B:$B,0)),"")</f>
        <v/>
      </c>
      <c r="Q422" t="str">
        <f t="shared" si="1"/>
        <v/>
      </c>
      <c r="R422" s="9" t="str">
        <f t="shared" si="2"/>
        <v/>
      </c>
      <c r="S422" s="14" t="str">
        <f t="shared" si="3"/>
        <v/>
      </c>
      <c r="T422" s="15" t="str">
        <f>IFERROR(__xludf.DUMMYFUNCTION("IF($A422="""","""",IFERROR(PERCENTRANK.INC(FILTER(Q:Q,$F:$F&lt;&gt;""""),Q422)*100,""""))"),"")</f>
        <v/>
      </c>
      <c r="U422" s="15" t="str">
        <f>IFERROR(__xludf.DUMMYFUNCTION("IF($A422="""","""",IFERROR(PERCENTRANK.INC(FILTER(R:R,$F:$F&lt;&gt;""""),R422)*100,""""))"),"")</f>
        <v/>
      </c>
      <c r="V422" s="15" t="str">
        <f>IFERROR(__xludf.DUMMYFUNCTION("IF($A422="""","""",IFERROR(PERCENTRANK.INC(FILTER(S:S,$F:$F&lt;&gt;""""),S422)*100,""""))"),"")</f>
        <v/>
      </c>
      <c r="W422" s="15" t="str">
        <f t="shared" si="4"/>
        <v/>
      </c>
    </row>
    <row r="423">
      <c r="B423" t="str">
        <f t="array" ref="B423">IFERROR(INDEX('Player Raw Data'!C:C,Match($A423,'Player Raw Data'!$B:$B,0)),"")</f>
        <v/>
      </c>
      <c r="C423" t="str">
        <f t="array" ref="C423">IFERROR(INDEX('Player Raw Data'!D:D,Match($A423,'Player Raw Data'!$B:$B,0)),"")</f>
        <v/>
      </c>
      <c r="D423" t="str">
        <f t="array" ref="D423">IFERROR(IF(A423=A422, INDEX('Player Raw Data'!E:E,Match($A423,'Player Raw Data'!$B:$B,0)+2),INDEX('Player Raw Data'!E:E,Match($A423,'Player Raw Data'!$B:$B,0))),"")</f>
        <v/>
      </c>
      <c r="E423" t="str">
        <f t="array" ref="E423">IFERROR(INDEX('Day Range Raw Data'!D:D,Match($A423,'Day Range Raw Data'!$B:$B,0)),"")</f>
        <v/>
      </c>
      <c r="F423" t="str">
        <f t="array" ref="F423">IFERROR(INDEX('Day Range Raw Data'!F:F,Match($A423,'Day Range Raw Data'!$B:$B,0)),"")</f>
        <v/>
      </c>
      <c r="G423" t="str">
        <f t="array" ref="G423">IFERROR(INDEX('Day Range Raw Data'!G:G,Match($A423,'Day Range Raw Data'!$B:$B,0)),"")</f>
        <v/>
      </c>
      <c r="H423" t="str">
        <f t="array" ref="H423">IFERROR(INDEX('Day Range Raw Data'!H:H,Match($A423,'Day Range Raw Data'!$B:$B,0)),"")</f>
        <v/>
      </c>
      <c r="I423" t="str">
        <f t="array" ref="I423">IFERROR(INDEX('Day Range Raw Data'!M:M,Match($A423,'Day Range Raw Data'!$B:$B,0)),"")</f>
        <v/>
      </c>
      <c r="J423" t="str">
        <f t="array" ref="J423">IFERROR(INDEX('Day Range Raw Data'!N:N,Match($A423,'Day Range Raw Data'!$B:$B,0)),"")</f>
        <v/>
      </c>
      <c r="K423" t="str">
        <f t="array" ref="K423">IFERROR(INDEX('Day Range Raw Data'!R:R,Match($A423,'Day Range Raw Data'!$B:$B,0)),"")</f>
        <v/>
      </c>
      <c r="L423" t="str">
        <f t="array" ref="L423">IFERROR(INDEX('Day Range Raw Data'!S:S,Match($A423,'Day Range Raw Data'!$B:$B,0)),"")</f>
        <v/>
      </c>
      <c r="M423" t="str">
        <f t="array" ref="M423">IFERROR(INDEX('Day Range Raw Data'!T:T,Match($A423,'Day Range Raw Data'!$B:$B,0)),"")</f>
        <v/>
      </c>
      <c r="N423" t="str">
        <f t="array" ref="N423">IFERROR(INDEX('Day Range Raw Data'!U:U,Match($A423,'Day Range Raw Data'!$B:$B,0)),"")</f>
        <v/>
      </c>
      <c r="O423" t="str">
        <f t="array" ref="O423">IFERROR(INDEX('Day Range Raw Data'!V:V,Match($A423,'Day Range Raw Data'!$B:$B,0)),"")</f>
        <v/>
      </c>
      <c r="P423" t="str">
        <f t="array" ref="P423">IFERROR(INDEX('Day Range Raw Data'!X:X,Match($A423,'Day Range Raw Data'!$B:$B,0)),"")</f>
        <v/>
      </c>
      <c r="Q423" t="str">
        <f t="shared" si="1"/>
        <v/>
      </c>
      <c r="R423" s="9" t="str">
        <f t="shared" si="2"/>
        <v/>
      </c>
      <c r="S423" s="14" t="str">
        <f t="shared" si="3"/>
        <v/>
      </c>
      <c r="T423" s="15" t="str">
        <f>IFERROR(__xludf.DUMMYFUNCTION("IF($A423="""","""",IFERROR(PERCENTRANK.INC(FILTER(Q:Q,$F:$F&lt;&gt;""""),Q423)*100,""""))"),"")</f>
        <v/>
      </c>
      <c r="U423" s="15" t="str">
        <f>IFERROR(__xludf.DUMMYFUNCTION("IF($A423="""","""",IFERROR(PERCENTRANK.INC(FILTER(R:R,$F:$F&lt;&gt;""""),R423)*100,""""))"),"")</f>
        <v/>
      </c>
      <c r="V423" s="15" t="str">
        <f>IFERROR(__xludf.DUMMYFUNCTION("IF($A423="""","""",IFERROR(PERCENTRANK.INC(FILTER(S:S,$F:$F&lt;&gt;""""),S423)*100,""""))"),"")</f>
        <v/>
      </c>
      <c r="W423" s="15" t="str">
        <f t="shared" si="4"/>
        <v/>
      </c>
    </row>
    <row r="424">
      <c r="B424" t="str">
        <f t="array" ref="B424">IFERROR(INDEX('Player Raw Data'!C:C,Match($A424,'Player Raw Data'!$B:$B,0)),"")</f>
        <v/>
      </c>
      <c r="C424" t="str">
        <f t="array" ref="C424">IFERROR(INDEX('Player Raw Data'!D:D,Match($A424,'Player Raw Data'!$B:$B,0)),"")</f>
        <v/>
      </c>
      <c r="D424" t="str">
        <f t="array" ref="D424">IFERROR(IF(A424=A423, INDEX('Player Raw Data'!E:E,Match($A424,'Player Raw Data'!$B:$B,0)+2),INDEX('Player Raw Data'!E:E,Match($A424,'Player Raw Data'!$B:$B,0))),"")</f>
        <v/>
      </c>
      <c r="E424" t="str">
        <f t="array" ref="E424">IFERROR(INDEX('Day Range Raw Data'!D:D,Match($A424,'Day Range Raw Data'!$B:$B,0)),"")</f>
        <v/>
      </c>
      <c r="F424" t="str">
        <f t="array" ref="F424">IFERROR(INDEX('Day Range Raw Data'!F:F,Match($A424,'Day Range Raw Data'!$B:$B,0)),"")</f>
        <v/>
      </c>
      <c r="G424" t="str">
        <f t="array" ref="G424">IFERROR(INDEX('Day Range Raw Data'!G:G,Match($A424,'Day Range Raw Data'!$B:$B,0)),"")</f>
        <v/>
      </c>
      <c r="H424" t="str">
        <f t="array" ref="H424">IFERROR(INDEX('Day Range Raw Data'!H:H,Match($A424,'Day Range Raw Data'!$B:$B,0)),"")</f>
        <v/>
      </c>
      <c r="I424" t="str">
        <f t="array" ref="I424">IFERROR(INDEX('Day Range Raw Data'!M:M,Match($A424,'Day Range Raw Data'!$B:$B,0)),"")</f>
        <v/>
      </c>
      <c r="J424" t="str">
        <f t="array" ref="J424">IFERROR(INDEX('Day Range Raw Data'!N:N,Match($A424,'Day Range Raw Data'!$B:$B,0)),"")</f>
        <v/>
      </c>
      <c r="K424" t="str">
        <f t="array" ref="K424">IFERROR(INDEX('Day Range Raw Data'!R:R,Match($A424,'Day Range Raw Data'!$B:$B,0)),"")</f>
        <v/>
      </c>
      <c r="L424" t="str">
        <f t="array" ref="L424">IFERROR(INDEX('Day Range Raw Data'!S:S,Match($A424,'Day Range Raw Data'!$B:$B,0)),"")</f>
        <v/>
      </c>
      <c r="M424" t="str">
        <f t="array" ref="M424">IFERROR(INDEX('Day Range Raw Data'!T:T,Match($A424,'Day Range Raw Data'!$B:$B,0)),"")</f>
        <v/>
      </c>
      <c r="N424" t="str">
        <f t="array" ref="N424">IFERROR(INDEX('Day Range Raw Data'!U:U,Match($A424,'Day Range Raw Data'!$B:$B,0)),"")</f>
        <v/>
      </c>
      <c r="O424" t="str">
        <f t="array" ref="O424">IFERROR(INDEX('Day Range Raw Data'!V:V,Match($A424,'Day Range Raw Data'!$B:$B,0)),"")</f>
        <v/>
      </c>
      <c r="P424" t="str">
        <f t="array" ref="P424">IFERROR(INDEX('Day Range Raw Data'!X:X,Match($A424,'Day Range Raw Data'!$B:$B,0)),"")</f>
        <v/>
      </c>
      <c r="Q424" t="str">
        <f t="shared" si="1"/>
        <v/>
      </c>
      <c r="R424" s="9" t="str">
        <f t="shared" si="2"/>
        <v/>
      </c>
      <c r="S424" s="14" t="str">
        <f t="shared" si="3"/>
        <v/>
      </c>
      <c r="T424" s="15" t="str">
        <f>IFERROR(__xludf.DUMMYFUNCTION("IF($A424="""","""",IFERROR(PERCENTRANK.INC(FILTER(Q:Q,$F:$F&lt;&gt;""""),Q424)*100,""""))"),"")</f>
        <v/>
      </c>
      <c r="U424" s="15" t="str">
        <f>IFERROR(__xludf.DUMMYFUNCTION("IF($A424="""","""",IFERROR(PERCENTRANK.INC(FILTER(R:R,$F:$F&lt;&gt;""""),R424)*100,""""))"),"")</f>
        <v/>
      </c>
      <c r="V424" s="15" t="str">
        <f>IFERROR(__xludf.DUMMYFUNCTION("IF($A424="""","""",IFERROR(PERCENTRANK.INC(FILTER(S:S,$F:$F&lt;&gt;""""),S424)*100,""""))"),"")</f>
        <v/>
      </c>
      <c r="W424" s="15" t="str">
        <f t="shared" si="4"/>
        <v/>
      </c>
    </row>
    <row r="425">
      <c r="B425" t="str">
        <f t="array" ref="B425">IFERROR(INDEX('Player Raw Data'!C:C,Match($A425,'Player Raw Data'!$B:$B,0)),"")</f>
        <v/>
      </c>
      <c r="C425" t="str">
        <f t="array" ref="C425">IFERROR(INDEX('Player Raw Data'!D:D,Match($A425,'Player Raw Data'!$B:$B,0)),"")</f>
        <v/>
      </c>
      <c r="D425" t="str">
        <f t="array" ref="D425">IFERROR(IF(A425=A424, INDEX('Player Raw Data'!E:E,Match($A425,'Player Raw Data'!$B:$B,0)+2),INDEX('Player Raw Data'!E:E,Match($A425,'Player Raw Data'!$B:$B,0))),"")</f>
        <v/>
      </c>
      <c r="E425" t="str">
        <f t="array" ref="E425">IFERROR(INDEX('Day Range Raw Data'!D:D,Match($A425,'Day Range Raw Data'!$B:$B,0)),"")</f>
        <v/>
      </c>
      <c r="F425" t="str">
        <f t="array" ref="F425">IFERROR(INDEX('Day Range Raw Data'!F:F,Match($A425,'Day Range Raw Data'!$B:$B,0)),"")</f>
        <v/>
      </c>
      <c r="G425" t="str">
        <f t="array" ref="G425">IFERROR(INDEX('Day Range Raw Data'!G:G,Match($A425,'Day Range Raw Data'!$B:$B,0)),"")</f>
        <v/>
      </c>
      <c r="H425" t="str">
        <f t="array" ref="H425">IFERROR(INDEX('Day Range Raw Data'!H:H,Match($A425,'Day Range Raw Data'!$B:$B,0)),"")</f>
        <v/>
      </c>
      <c r="I425" t="str">
        <f t="array" ref="I425">IFERROR(INDEX('Day Range Raw Data'!M:M,Match($A425,'Day Range Raw Data'!$B:$B,0)),"")</f>
        <v/>
      </c>
      <c r="J425" t="str">
        <f t="array" ref="J425">IFERROR(INDEX('Day Range Raw Data'!N:N,Match($A425,'Day Range Raw Data'!$B:$B,0)),"")</f>
        <v/>
      </c>
      <c r="K425" t="str">
        <f t="array" ref="K425">IFERROR(INDEX('Day Range Raw Data'!R:R,Match($A425,'Day Range Raw Data'!$B:$B,0)),"")</f>
        <v/>
      </c>
      <c r="L425" t="str">
        <f t="array" ref="L425">IFERROR(INDEX('Day Range Raw Data'!S:S,Match($A425,'Day Range Raw Data'!$B:$B,0)),"")</f>
        <v/>
      </c>
      <c r="M425" t="str">
        <f t="array" ref="M425">IFERROR(INDEX('Day Range Raw Data'!T:T,Match($A425,'Day Range Raw Data'!$B:$B,0)),"")</f>
        <v/>
      </c>
      <c r="N425" t="str">
        <f t="array" ref="N425">IFERROR(INDEX('Day Range Raw Data'!U:U,Match($A425,'Day Range Raw Data'!$B:$B,0)),"")</f>
        <v/>
      </c>
      <c r="O425" t="str">
        <f t="array" ref="O425">IFERROR(INDEX('Day Range Raw Data'!V:V,Match($A425,'Day Range Raw Data'!$B:$B,0)),"")</f>
        <v/>
      </c>
      <c r="P425" t="str">
        <f t="array" ref="P425">IFERROR(INDEX('Day Range Raw Data'!X:X,Match($A425,'Day Range Raw Data'!$B:$B,0)),"")</f>
        <v/>
      </c>
      <c r="Q425" t="str">
        <f t="shared" si="1"/>
        <v/>
      </c>
      <c r="R425" s="9" t="str">
        <f t="shared" si="2"/>
        <v/>
      </c>
      <c r="S425" s="14" t="str">
        <f t="shared" si="3"/>
        <v/>
      </c>
      <c r="T425" s="15" t="str">
        <f>IFERROR(__xludf.DUMMYFUNCTION("IF($A425="""","""",IFERROR(PERCENTRANK.INC(FILTER(Q:Q,$F:$F&lt;&gt;""""),Q425)*100,""""))"),"")</f>
        <v/>
      </c>
      <c r="U425" s="15" t="str">
        <f>IFERROR(__xludf.DUMMYFUNCTION("IF($A425="""","""",IFERROR(PERCENTRANK.INC(FILTER(R:R,$F:$F&lt;&gt;""""),R425)*100,""""))"),"")</f>
        <v/>
      </c>
      <c r="V425" s="15" t="str">
        <f>IFERROR(__xludf.DUMMYFUNCTION("IF($A425="""","""",IFERROR(PERCENTRANK.INC(FILTER(S:S,$F:$F&lt;&gt;""""),S425)*100,""""))"),"")</f>
        <v/>
      </c>
      <c r="W425" s="15" t="str">
        <f t="shared" si="4"/>
        <v/>
      </c>
    </row>
    <row r="426">
      <c r="B426" t="str">
        <f t="array" ref="B426">IFERROR(INDEX('Player Raw Data'!C:C,Match($A426,'Player Raw Data'!$B:$B,0)),"")</f>
        <v/>
      </c>
      <c r="C426" t="str">
        <f t="array" ref="C426">IFERROR(INDEX('Player Raw Data'!D:D,Match($A426,'Player Raw Data'!$B:$B,0)),"")</f>
        <v/>
      </c>
      <c r="D426" t="str">
        <f t="array" ref="D426">IFERROR(IF(A426=A425, INDEX('Player Raw Data'!E:E,Match($A426,'Player Raw Data'!$B:$B,0)+2),INDEX('Player Raw Data'!E:E,Match($A426,'Player Raw Data'!$B:$B,0))),"")</f>
        <v/>
      </c>
      <c r="E426" t="str">
        <f t="array" ref="E426">IFERROR(INDEX('Day Range Raw Data'!D:D,Match($A426,'Day Range Raw Data'!$B:$B,0)),"")</f>
        <v/>
      </c>
      <c r="F426" t="str">
        <f t="array" ref="F426">IFERROR(INDEX('Day Range Raw Data'!F:F,Match($A426,'Day Range Raw Data'!$B:$B,0)),"")</f>
        <v/>
      </c>
      <c r="G426" t="str">
        <f t="array" ref="G426">IFERROR(INDEX('Day Range Raw Data'!G:G,Match($A426,'Day Range Raw Data'!$B:$B,0)),"")</f>
        <v/>
      </c>
      <c r="H426" t="str">
        <f t="array" ref="H426">IFERROR(INDEX('Day Range Raw Data'!H:H,Match($A426,'Day Range Raw Data'!$B:$B,0)),"")</f>
        <v/>
      </c>
      <c r="I426" t="str">
        <f t="array" ref="I426">IFERROR(INDEX('Day Range Raw Data'!M:M,Match($A426,'Day Range Raw Data'!$B:$B,0)),"")</f>
        <v/>
      </c>
      <c r="J426" t="str">
        <f t="array" ref="J426">IFERROR(INDEX('Day Range Raw Data'!N:N,Match($A426,'Day Range Raw Data'!$B:$B,0)),"")</f>
        <v/>
      </c>
      <c r="K426" t="str">
        <f t="array" ref="K426">IFERROR(INDEX('Day Range Raw Data'!R:R,Match($A426,'Day Range Raw Data'!$B:$B,0)),"")</f>
        <v/>
      </c>
      <c r="L426" t="str">
        <f t="array" ref="L426">IFERROR(INDEX('Day Range Raw Data'!S:S,Match($A426,'Day Range Raw Data'!$B:$B,0)),"")</f>
        <v/>
      </c>
      <c r="M426" t="str">
        <f t="array" ref="M426">IFERROR(INDEX('Day Range Raw Data'!T:T,Match($A426,'Day Range Raw Data'!$B:$B,0)),"")</f>
        <v/>
      </c>
      <c r="N426" t="str">
        <f t="array" ref="N426">IFERROR(INDEX('Day Range Raw Data'!U:U,Match($A426,'Day Range Raw Data'!$B:$B,0)),"")</f>
        <v/>
      </c>
      <c r="O426" t="str">
        <f t="array" ref="O426">IFERROR(INDEX('Day Range Raw Data'!V:V,Match($A426,'Day Range Raw Data'!$B:$B,0)),"")</f>
        <v/>
      </c>
      <c r="P426" t="str">
        <f t="array" ref="P426">IFERROR(INDEX('Day Range Raw Data'!X:X,Match($A426,'Day Range Raw Data'!$B:$B,0)),"")</f>
        <v/>
      </c>
      <c r="Q426" t="str">
        <f t="shared" si="1"/>
        <v/>
      </c>
      <c r="R426" s="9" t="str">
        <f t="shared" si="2"/>
        <v/>
      </c>
      <c r="S426" s="14" t="str">
        <f t="shared" si="3"/>
        <v/>
      </c>
      <c r="T426" s="15" t="str">
        <f>IFERROR(__xludf.DUMMYFUNCTION("IF($A426="""","""",IFERROR(PERCENTRANK.INC(FILTER(Q:Q,$F:$F&lt;&gt;""""),Q426)*100,""""))"),"")</f>
        <v/>
      </c>
      <c r="U426" s="15" t="str">
        <f>IFERROR(__xludf.DUMMYFUNCTION("IF($A426="""","""",IFERROR(PERCENTRANK.INC(FILTER(R:R,$F:$F&lt;&gt;""""),R426)*100,""""))"),"")</f>
        <v/>
      </c>
      <c r="V426" s="15" t="str">
        <f>IFERROR(__xludf.DUMMYFUNCTION("IF($A426="""","""",IFERROR(PERCENTRANK.INC(FILTER(S:S,$F:$F&lt;&gt;""""),S426)*100,""""))"),"")</f>
        <v/>
      </c>
      <c r="W426" s="15" t="str">
        <f t="shared" si="4"/>
        <v/>
      </c>
    </row>
    <row r="427">
      <c r="B427" t="str">
        <f t="array" ref="B427">IFERROR(INDEX('Player Raw Data'!C:C,Match($A427,'Player Raw Data'!$B:$B,0)),"")</f>
        <v/>
      </c>
      <c r="C427" t="str">
        <f t="array" ref="C427">IFERROR(INDEX('Player Raw Data'!D:D,Match($A427,'Player Raw Data'!$B:$B,0)),"")</f>
        <v/>
      </c>
      <c r="D427" t="str">
        <f t="array" ref="D427">IFERROR(IF(A427=A426, INDEX('Player Raw Data'!E:E,Match($A427,'Player Raw Data'!$B:$B,0)+2),INDEX('Player Raw Data'!E:E,Match($A427,'Player Raw Data'!$B:$B,0))),"")</f>
        <v/>
      </c>
      <c r="E427" t="str">
        <f t="array" ref="E427">IFERROR(INDEX('Day Range Raw Data'!D:D,Match($A427,'Day Range Raw Data'!$B:$B,0)),"")</f>
        <v/>
      </c>
      <c r="F427" t="str">
        <f t="array" ref="F427">IFERROR(INDEX('Day Range Raw Data'!F:F,Match($A427,'Day Range Raw Data'!$B:$B,0)),"")</f>
        <v/>
      </c>
      <c r="G427" t="str">
        <f t="array" ref="G427">IFERROR(INDEX('Day Range Raw Data'!G:G,Match($A427,'Day Range Raw Data'!$B:$B,0)),"")</f>
        <v/>
      </c>
      <c r="H427" t="str">
        <f t="array" ref="H427">IFERROR(INDEX('Day Range Raw Data'!H:H,Match($A427,'Day Range Raw Data'!$B:$B,0)),"")</f>
        <v/>
      </c>
      <c r="I427" t="str">
        <f t="array" ref="I427">IFERROR(INDEX('Day Range Raw Data'!M:M,Match($A427,'Day Range Raw Data'!$B:$B,0)),"")</f>
        <v/>
      </c>
      <c r="J427" t="str">
        <f t="array" ref="J427">IFERROR(INDEX('Day Range Raw Data'!N:N,Match($A427,'Day Range Raw Data'!$B:$B,0)),"")</f>
        <v/>
      </c>
      <c r="K427" t="str">
        <f t="array" ref="K427">IFERROR(INDEX('Day Range Raw Data'!R:R,Match($A427,'Day Range Raw Data'!$B:$B,0)),"")</f>
        <v/>
      </c>
      <c r="L427" t="str">
        <f t="array" ref="L427">IFERROR(INDEX('Day Range Raw Data'!S:S,Match($A427,'Day Range Raw Data'!$B:$B,0)),"")</f>
        <v/>
      </c>
      <c r="M427" t="str">
        <f t="array" ref="M427">IFERROR(INDEX('Day Range Raw Data'!T:T,Match($A427,'Day Range Raw Data'!$B:$B,0)),"")</f>
        <v/>
      </c>
      <c r="N427" t="str">
        <f t="array" ref="N427">IFERROR(INDEX('Day Range Raw Data'!U:U,Match($A427,'Day Range Raw Data'!$B:$B,0)),"")</f>
        <v/>
      </c>
      <c r="O427" t="str">
        <f t="array" ref="O427">IFERROR(INDEX('Day Range Raw Data'!V:V,Match($A427,'Day Range Raw Data'!$B:$B,0)),"")</f>
        <v/>
      </c>
      <c r="P427" t="str">
        <f t="array" ref="P427">IFERROR(INDEX('Day Range Raw Data'!X:X,Match($A427,'Day Range Raw Data'!$B:$B,0)),"")</f>
        <v/>
      </c>
      <c r="Q427" t="str">
        <f t="shared" si="1"/>
        <v/>
      </c>
      <c r="R427" s="9" t="str">
        <f t="shared" si="2"/>
        <v/>
      </c>
      <c r="S427" s="14" t="str">
        <f t="shared" si="3"/>
        <v/>
      </c>
      <c r="T427" s="15" t="str">
        <f>IFERROR(__xludf.DUMMYFUNCTION("IF($A427="""","""",IFERROR(PERCENTRANK.INC(FILTER(Q:Q,$F:$F&lt;&gt;""""),Q427)*100,""""))"),"")</f>
        <v/>
      </c>
      <c r="U427" s="15" t="str">
        <f>IFERROR(__xludf.DUMMYFUNCTION("IF($A427="""","""",IFERROR(PERCENTRANK.INC(FILTER(R:R,$F:$F&lt;&gt;""""),R427)*100,""""))"),"")</f>
        <v/>
      </c>
      <c r="V427" s="15" t="str">
        <f>IFERROR(__xludf.DUMMYFUNCTION("IF($A427="""","""",IFERROR(PERCENTRANK.INC(FILTER(S:S,$F:$F&lt;&gt;""""),S427)*100,""""))"),"")</f>
        <v/>
      </c>
      <c r="W427" s="15" t="str">
        <f t="shared" si="4"/>
        <v/>
      </c>
    </row>
    <row r="428">
      <c r="B428" t="str">
        <f t="array" ref="B428">IFERROR(INDEX('Player Raw Data'!C:C,Match($A428,'Player Raw Data'!$B:$B,0)),"")</f>
        <v/>
      </c>
      <c r="C428" t="str">
        <f t="array" ref="C428">IFERROR(INDEX('Player Raw Data'!D:D,Match($A428,'Player Raw Data'!$B:$B,0)),"")</f>
        <v/>
      </c>
      <c r="D428" t="str">
        <f t="array" ref="D428">IFERROR(IF(A428=A427, INDEX('Player Raw Data'!E:E,Match($A428,'Player Raw Data'!$B:$B,0)+2),INDEX('Player Raw Data'!E:E,Match($A428,'Player Raw Data'!$B:$B,0))),"")</f>
        <v/>
      </c>
      <c r="E428" t="str">
        <f t="array" ref="E428">IFERROR(INDEX('Day Range Raw Data'!D:D,Match($A428,'Day Range Raw Data'!$B:$B,0)),"")</f>
        <v/>
      </c>
      <c r="F428" t="str">
        <f t="array" ref="F428">IFERROR(INDEX('Day Range Raw Data'!F:F,Match($A428,'Day Range Raw Data'!$B:$B,0)),"")</f>
        <v/>
      </c>
      <c r="G428" t="str">
        <f t="array" ref="G428">IFERROR(INDEX('Day Range Raw Data'!G:G,Match($A428,'Day Range Raw Data'!$B:$B,0)),"")</f>
        <v/>
      </c>
      <c r="H428" t="str">
        <f t="array" ref="H428">IFERROR(INDEX('Day Range Raw Data'!H:H,Match($A428,'Day Range Raw Data'!$B:$B,0)),"")</f>
        <v/>
      </c>
      <c r="I428" t="str">
        <f t="array" ref="I428">IFERROR(INDEX('Day Range Raw Data'!M:M,Match($A428,'Day Range Raw Data'!$B:$B,0)),"")</f>
        <v/>
      </c>
      <c r="J428" t="str">
        <f t="array" ref="J428">IFERROR(INDEX('Day Range Raw Data'!N:N,Match($A428,'Day Range Raw Data'!$B:$B,0)),"")</f>
        <v/>
      </c>
      <c r="K428" t="str">
        <f t="array" ref="K428">IFERROR(INDEX('Day Range Raw Data'!R:R,Match($A428,'Day Range Raw Data'!$B:$B,0)),"")</f>
        <v/>
      </c>
      <c r="L428" t="str">
        <f t="array" ref="L428">IFERROR(INDEX('Day Range Raw Data'!S:S,Match($A428,'Day Range Raw Data'!$B:$B,0)),"")</f>
        <v/>
      </c>
      <c r="M428" t="str">
        <f t="array" ref="M428">IFERROR(INDEX('Day Range Raw Data'!T:T,Match($A428,'Day Range Raw Data'!$B:$B,0)),"")</f>
        <v/>
      </c>
      <c r="N428" t="str">
        <f t="array" ref="N428">IFERROR(INDEX('Day Range Raw Data'!U:U,Match($A428,'Day Range Raw Data'!$B:$B,0)),"")</f>
        <v/>
      </c>
      <c r="O428" t="str">
        <f t="array" ref="O428">IFERROR(INDEX('Day Range Raw Data'!V:V,Match($A428,'Day Range Raw Data'!$B:$B,0)),"")</f>
        <v/>
      </c>
      <c r="P428" t="str">
        <f t="array" ref="P428">IFERROR(INDEX('Day Range Raw Data'!X:X,Match($A428,'Day Range Raw Data'!$B:$B,0)),"")</f>
        <v/>
      </c>
      <c r="Q428" t="str">
        <f t="shared" si="1"/>
        <v/>
      </c>
      <c r="R428" s="9" t="str">
        <f t="shared" si="2"/>
        <v/>
      </c>
      <c r="S428" s="14" t="str">
        <f t="shared" si="3"/>
        <v/>
      </c>
      <c r="T428" s="15" t="str">
        <f>IFERROR(__xludf.DUMMYFUNCTION("IF($A428="""","""",IFERROR(PERCENTRANK.INC(FILTER(Q:Q,$F:$F&lt;&gt;""""),Q428)*100,""""))"),"")</f>
        <v/>
      </c>
      <c r="U428" s="15" t="str">
        <f>IFERROR(__xludf.DUMMYFUNCTION("IF($A428="""","""",IFERROR(PERCENTRANK.INC(FILTER(R:R,$F:$F&lt;&gt;""""),R428)*100,""""))"),"")</f>
        <v/>
      </c>
      <c r="V428" s="15" t="str">
        <f>IFERROR(__xludf.DUMMYFUNCTION("IF($A428="""","""",IFERROR(PERCENTRANK.INC(FILTER(S:S,$F:$F&lt;&gt;""""),S428)*100,""""))"),"")</f>
        <v/>
      </c>
      <c r="W428" s="15" t="str">
        <f t="shared" si="4"/>
        <v/>
      </c>
    </row>
    <row r="429">
      <c r="B429" t="str">
        <f t="array" ref="B429">IFERROR(INDEX('Player Raw Data'!C:C,Match($A429,'Player Raw Data'!$B:$B,0)),"")</f>
        <v/>
      </c>
      <c r="C429" t="str">
        <f t="array" ref="C429">IFERROR(INDEX('Player Raw Data'!D:D,Match($A429,'Player Raw Data'!$B:$B,0)),"")</f>
        <v/>
      </c>
      <c r="D429" t="str">
        <f t="array" ref="D429">IFERROR(IF(A429=A428, INDEX('Player Raw Data'!E:E,Match($A429,'Player Raw Data'!$B:$B,0)+2),INDEX('Player Raw Data'!E:E,Match($A429,'Player Raw Data'!$B:$B,0))),"")</f>
        <v/>
      </c>
      <c r="E429" t="str">
        <f t="array" ref="E429">IFERROR(INDEX('Day Range Raw Data'!D:D,Match($A429,'Day Range Raw Data'!$B:$B,0)),"")</f>
        <v/>
      </c>
      <c r="F429" t="str">
        <f t="array" ref="F429">IFERROR(INDEX('Day Range Raw Data'!F:F,Match($A429,'Day Range Raw Data'!$B:$B,0)),"")</f>
        <v/>
      </c>
      <c r="G429" t="str">
        <f t="array" ref="G429">IFERROR(INDEX('Day Range Raw Data'!G:G,Match($A429,'Day Range Raw Data'!$B:$B,0)),"")</f>
        <v/>
      </c>
      <c r="H429" t="str">
        <f t="array" ref="H429">IFERROR(INDEX('Day Range Raw Data'!H:H,Match($A429,'Day Range Raw Data'!$B:$B,0)),"")</f>
        <v/>
      </c>
      <c r="I429" t="str">
        <f t="array" ref="I429">IFERROR(INDEX('Day Range Raw Data'!M:M,Match($A429,'Day Range Raw Data'!$B:$B,0)),"")</f>
        <v/>
      </c>
      <c r="J429" t="str">
        <f t="array" ref="J429">IFERROR(INDEX('Day Range Raw Data'!N:N,Match($A429,'Day Range Raw Data'!$B:$B,0)),"")</f>
        <v/>
      </c>
      <c r="K429" t="str">
        <f t="array" ref="K429">IFERROR(INDEX('Day Range Raw Data'!R:R,Match($A429,'Day Range Raw Data'!$B:$B,0)),"")</f>
        <v/>
      </c>
      <c r="L429" t="str">
        <f t="array" ref="L429">IFERROR(INDEX('Day Range Raw Data'!S:S,Match($A429,'Day Range Raw Data'!$B:$B,0)),"")</f>
        <v/>
      </c>
      <c r="M429" t="str">
        <f t="array" ref="M429">IFERROR(INDEX('Day Range Raw Data'!T:T,Match($A429,'Day Range Raw Data'!$B:$B,0)),"")</f>
        <v/>
      </c>
      <c r="N429" t="str">
        <f t="array" ref="N429">IFERROR(INDEX('Day Range Raw Data'!U:U,Match($A429,'Day Range Raw Data'!$B:$B,0)),"")</f>
        <v/>
      </c>
      <c r="O429" t="str">
        <f t="array" ref="O429">IFERROR(INDEX('Day Range Raw Data'!V:V,Match($A429,'Day Range Raw Data'!$B:$B,0)),"")</f>
        <v/>
      </c>
      <c r="P429" t="str">
        <f t="array" ref="P429">IFERROR(INDEX('Day Range Raw Data'!X:X,Match($A429,'Day Range Raw Data'!$B:$B,0)),"")</f>
        <v/>
      </c>
      <c r="Q429" t="str">
        <f t="shared" si="1"/>
        <v/>
      </c>
      <c r="R429" s="9" t="str">
        <f t="shared" si="2"/>
        <v/>
      </c>
      <c r="S429" s="14" t="str">
        <f t="shared" si="3"/>
        <v/>
      </c>
      <c r="T429" s="15" t="str">
        <f>IFERROR(__xludf.DUMMYFUNCTION("IF($A429="""","""",IFERROR(PERCENTRANK.INC(FILTER(Q:Q,$F:$F&lt;&gt;""""),Q429)*100,""""))"),"")</f>
        <v/>
      </c>
      <c r="U429" s="15" t="str">
        <f>IFERROR(__xludf.DUMMYFUNCTION("IF($A429="""","""",IFERROR(PERCENTRANK.INC(FILTER(R:R,$F:$F&lt;&gt;""""),R429)*100,""""))"),"")</f>
        <v/>
      </c>
      <c r="V429" s="15" t="str">
        <f>IFERROR(__xludf.DUMMYFUNCTION("IF($A429="""","""",IFERROR(PERCENTRANK.INC(FILTER(S:S,$F:$F&lt;&gt;""""),S429)*100,""""))"),"")</f>
        <v/>
      </c>
      <c r="W429" s="15" t="str">
        <f t="shared" si="4"/>
        <v/>
      </c>
    </row>
    <row r="430">
      <c r="B430" t="str">
        <f t="array" ref="B430">IFERROR(INDEX('Player Raw Data'!C:C,Match($A430,'Player Raw Data'!$B:$B,0)),"")</f>
        <v/>
      </c>
      <c r="C430" t="str">
        <f t="array" ref="C430">IFERROR(INDEX('Player Raw Data'!D:D,Match($A430,'Player Raw Data'!$B:$B,0)),"")</f>
        <v/>
      </c>
      <c r="D430" t="str">
        <f t="array" ref="D430">IFERROR(IF(A430=A429, INDEX('Player Raw Data'!E:E,Match($A430,'Player Raw Data'!$B:$B,0)+2),INDEX('Player Raw Data'!E:E,Match($A430,'Player Raw Data'!$B:$B,0))),"")</f>
        <v/>
      </c>
      <c r="E430" t="str">
        <f t="array" ref="E430">IFERROR(INDEX('Day Range Raw Data'!D:D,Match($A430,'Day Range Raw Data'!$B:$B,0)),"")</f>
        <v/>
      </c>
      <c r="F430" t="str">
        <f t="array" ref="F430">IFERROR(INDEX('Day Range Raw Data'!F:F,Match($A430,'Day Range Raw Data'!$B:$B,0)),"")</f>
        <v/>
      </c>
      <c r="G430" t="str">
        <f t="array" ref="G430">IFERROR(INDEX('Day Range Raw Data'!G:G,Match($A430,'Day Range Raw Data'!$B:$B,0)),"")</f>
        <v/>
      </c>
      <c r="H430" t="str">
        <f t="array" ref="H430">IFERROR(INDEX('Day Range Raw Data'!H:H,Match($A430,'Day Range Raw Data'!$B:$B,0)),"")</f>
        <v/>
      </c>
      <c r="I430" t="str">
        <f t="array" ref="I430">IFERROR(INDEX('Day Range Raw Data'!M:M,Match($A430,'Day Range Raw Data'!$B:$B,0)),"")</f>
        <v/>
      </c>
      <c r="J430" t="str">
        <f t="array" ref="J430">IFERROR(INDEX('Day Range Raw Data'!N:N,Match($A430,'Day Range Raw Data'!$B:$B,0)),"")</f>
        <v/>
      </c>
      <c r="K430" t="str">
        <f t="array" ref="K430">IFERROR(INDEX('Day Range Raw Data'!R:R,Match($A430,'Day Range Raw Data'!$B:$B,0)),"")</f>
        <v/>
      </c>
      <c r="L430" t="str">
        <f t="array" ref="L430">IFERROR(INDEX('Day Range Raw Data'!S:S,Match($A430,'Day Range Raw Data'!$B:$B,0)),"")</f>
        <v/>
      </c>
      <c r="M430" t="str">
        <f t="array" ref="M430">IFERROR(INDEX('Day Range Raw Data'!T:T,Match($A430,'Day Range Raw Data'!$B:$B,0)),"")</f>
        <v/>
      </c>
      <c r="N430" t="str">
        <f t="array" ref="N430">IFERROR(INDEX('Day Range Raw Data'!U:U,Match($A430,'Day Range Raw Data'!$B:$B,0)),"")</f>
        <v/>
      </c>
      <c r="O430" t="str">
        <f t="array" ref="O430">IFERROR(INDEX('Day Range Raw Data'!V:V,Match($A430,'Day Range Raw Data'!$B:$B,0)),"")</f>
        <v/>
      </c>
      <c r="P430" t="str">
        <f t="array" ref="P430">IFERROR(INDEX('Day Range Raw Data'!X:X,Match($A430,'Day Range Raw Data'!$B:$B,0)),"")</f>
        <v/>
      </c>
      <c r="Q430" t="str">
        <f t="shared" si="1"/>
        <v/>
      </c>
      <c r="R430" s="9" t="str">
        <f t="shared" si="2"/>
        <v/>
      </c>
      <c r="S430" s="14" t="str">
        <f t="shared" si="3"/>
        <v/>
      </c>
      <c r="T430" s="15" t="str">
        <f>IFERROR(__xludf.DUMMYFUNCTION("IF($A430="""","""",IFERROR(PERCENTRANK.INC(FILTER(Q:Q,$F:$F&lt;&gt;""""),Q430)*100,""""))"),"")</f>
        <v/>
      </c>
      <c r="U430" s="15" t="str">
        <f>IFERROR(__xludf.DUMMYFUNCTION("IF($A430="""","""",IFERROR(PERCENTRANK.INC(FILTER(R:R,$F:$F&lt;&gt;""""),R430)*100,""""))"),"")</f>
        <v/>
      </c>
      <c r="V430" s="15" t="str">
        <f>IFERROR(__xludf.DUMMYFUNCTION("IF($A430="""","""",IFERROR(PERCENTRANK.INC(FILTER(S:S,$F:$F&lt;&gt;""""),S430)*100,""""))"),"")</f>
        <v/>
      </c>
      <c r="W430" s="15" t="str">
        <f t="shared" si="4"/>
        <v/>
      </c>
    </row>
    <row r="431">
      <c r="B431" t="str">
        <f t="array" ref="B431">IFERROR(INDEX('Player Raw Data'!C:C,Match($A431,'Player Raw Data'!$B:$B,0)),"")</f>
        <v/>
      </c>
      <c r="C431" t="str">
        <f t="array" ref="C431">IFERROR(INDEX('Player Raw Data'!D:D,Match($A431,'Player Raw Data'!$B:$B,0)),"")</f>
        <v/>
      </c>
      <c r="D431" t="str">
        <f t="array" ref="D431">IFERROR(IF(A431=A430, INDEX('Player Raw Data'!E:E,Match($A431,'Player Raw Data'!$B:$B,0)+2),INDEX('Player Raw Data'!E:E,Match($A431,'Player Raw Data'!$B:$B,0))),"")</f>
        <v/>
      </c>
      <c r="E431" t="str">
        <f t="array" ref="E431">IFERROR(INDEX('Day Range Raw Data'!D:D,Match($A431,'Day Range Raw Data'!$B:$B,0)),"")</f>
        <v/>
      </c>
      <c r="F431" t="str">
        <f t="array" ref="F431">IFERROR(INDEX('Day Range Raw Data'!F:F,Match($A431,'Day Range Raw Data'!$B:$B,0)),"")</f>
        <v/>
      </c>
      <c r="G431" t="str">
        <f t="array" ref="G431">IFERROR(INDEX('Day Range Raw Data'!G:G,Match($A431,'Day Range Raw Data'!$B:$B,0)),"")</f>
        <v/>
      </c>
      <c r="H431" t="str">
        <f t="array" ref="H431">IFERROR(INDEX('Day Range Raw Data'!H:H,Match($A431,'Day Range Raw Data'!$B:$B,0)),"")</f>
        <v/>
      </c>
      <c r="I431" t="str">
        <f t="array" ref="I431">IFERROR(INDEX('Day Range Raw Data'!M:M,Match($A431,'Day Range Raw Data'!$B:$B,0)),"")</f>
        <v/>
      </c>
      <c r="J431" t="str">
        <f t="array" ref="J431">IFERROR(INDEX('Day Range Raw Data'!N:N,Match($A431,'Day Range Raw Data'!$B:$B,0)),"")</f>
        <v/>
      </c>
      <c r="K431" t="str">
        <f t="array" ref="K431">IFERROR(INDEX('Day Range Raw Data'!R:R,Match($A431,'Day Range Raw Data'!$B:$B,0)),"")</f>
        <v/>
      </c>
      <c r="L431" t="str">
        <f t="array" ref="L431">IFERROR(INDEX('Day Range Raw Data'!S:S,Match($A431,'Day Range Raw Data'!$B:$B,0)),"")</f>
        <v/>
      </c>
      <c r="M431" t="str">
        <f t="array" ref="M431">IFERROR(INDEX('Day Range Raw Data'!T:T,Match($A431,'Day Range Raw Data'!$B:$B,0)),"")</f>
        <v/>
      </c>
      <c r="N431" t="str">
        <f t="array" ref="N431">IFERROR(INDEX('Day Range Raw Data'!U:U,Match($A431,'Day Range Raw Data'!$B:$B,0)),"")</f>
        <v/>
      </c>
      <c r="O431" t="str">
        <f t="array" ref="O431">IFERROR(INDEX('Day Range Raw Data'!V:V,Match($A431,'Day Range Raw Data'!$B:$B,0)),"")</f>
        <v/>
      </c>
      <c r="P431" t="str">
        <f t="array" ref="P431">IFERROR(INDEX('Day Range Raw Data'!X:X,Match($A431,'Day Range Raw Data'!$B:$B,0)),"")</f>
        <v/>
      </c>
      <c r="Q431" t="str">
        <f t="shared" si="1"/>
        <v/>
      </c>
      <c r="R431" s="9" t="str">
        <f t="shared" si="2"/>
        <v/>
      </c>
      <c r="S431" s="14" t="str">
        <f t="shared" si="3"/>
        <v/>
      </c>
      <c r="T431" s="15" t="str">
        <f>IFERROR(__xludf.DUMMYFUNCTION("IF($A431="""","""",IFERROR(PERCENTRANK.INC(FILTER(Q:Q,$F:$F&lt;&gt;""""),Q431)*100,""""))"),"")</f>
        <v/>
      </c>
      <c r="U431" s="15" t="str">
        <f>IFERROR(__xludf.DUMMYFUNCTION("IF($A431="""","""",IFERROR(PERCENTRANK.INC(FILTER(R:R,$F:$F&lt;&gt;""""),R431)*100,""""))"),"")</f>
        <v/>
      </c>
      <c r="V431" s="15" t="str">
        <f>IFERROR(__xludf.DUMMYFUNCTION("IF($A431="""","""",IFERROR(PERCENTRANK.INC(FILTER(S:S,$F:$F&lt;&gt;""""),S431)*100,""""))"),"")</f>
        <v/>
      </c>
      <c r="W431" s="15" t="str">
        <f t="shared" si="4"/>
        <v/>
      </c>
    </row>
    <row r="432">
      <c r="B432" t="str">
        <f t="array" ref="B432">IFERROR(INDEX('Player Raw Data'!C:C,Match($A432,'Player Raw Data'!$B:$B,0)),"")</f>
        <v/>
      </c>
      <c r="C432" t="str">
        <f t="array" ref="C432">IFERROR(INDEX('Player Raw Data'!D:D,Match($A432,'Player Raw Data'!$B:$B,0)),"")</f>
        <v/>
      </c>
      <c r="D432" t="str">
        <f t="array" ref="D432">IFERROR(IF(A432=A431, INDEX('Player Raw Data'!E:E,Match($A432,'Player Raw Data'!$B:$B,0)+2),INDEX('Player Raw Data'!E:E,Match($A432,'Player Raw Data'!$B:$B,0))),"")</f>
        <v/>
      </c>
      <c r="E432" t="str">
        <f t="array" ref="E432">IFERROR(INDEX('Day Range Raw Data'!D:D,Match($A432,'Day Range Raw Data'!$B:$B,0)),"")</f>
        <v/>
      </c>
      <c r="F432" t="str">
        <f t="array" ref="F432">IFERROR(INDEX('Day Range Raw Data'!F:F,Match($A432,'Day Range Raw Data'!$B:$B,0)),"")</f>
        <v/>
      </c>
      <c r="G432" t="str">
        <f t="array" ref="G432">IFERROR(INDEX('Day Range Raw Data'!G:G,Match($A432,'Day Range Raw Data'!$B:$B,0)),"")</f>
        <v/>
      </c>
      <c r="H432" t="str">
        <f t="array" ref="H432">IFERROR(INDEX('Day Range Raw Data'!H:H,Match($A432,'Day Range Raw Data'!$B:$B,0)),"")</f>
        <v/>
      </c>
      <c r="I432" t="str">
        <f t="array" ref="I432">IFERROR(INDEX('Day Range Raw Data'!M:M,Match($A432,'Day Range Raw Data'!$B:$B,0)),"")</f>
        <v/>
      </c>
      <c r="J432" t="str">
        <f t="array" ref="J432">IFERROR(INDEX('Day Range Raw Data'!N:N,Match($A432,'Day Range Raw Data'!$B:$B,0)),"")</f>
        <v/>
      </c>
      <c r="K432" t="str">
        <f t="array" ref="K432">IFERROR(INDEX('Day Range Raw Data'!R:R,Match($A432,'Day Range Raw Data'!$B:$B,0)),"")</f>
        <v/>
      </c>
      <c r="L432" t="str">
        <f t="array" ref="L432">IFERROR(INDEX('Day Range Raw Data'!S:S,Match($A432,'Day Range Raw Data'!$B:$B,0)),"")</f>
        <v/>
      </c>
      <c r="M432" t="str">
        <f t="array" ref="M432">IFERROR(INDEX('Day Range Raw Data'!T:T,Match($A432,'Day Range Raw Data'!$B:$B,0)),"")</f>
        <v/>
      </c>
      <c r="N432" t="str">
        <f t="array" ref="N432">IFERROR(INDEX('Day Range Raw Data'!U:U,Match($A432,'Day Range Raw Data'!$B:$B,0)),"")</f>
        <v/>
      </c>
      <c r="O432" t="str">
        <f t="array" ref="O432">IFERROR(INDEX('Day Range Raw Data'!V:V,Match($A432,'Day Range Raw Data'!$B:$B,0)),"")</f>
        <v/>
      </c>
      <c r="P432" t="str">
        <f t="array" ref="P432">IFERROR(INDEX('Day Range Raw Data'!X:X,Match($A432,'Day Range Raw Data'!$B:$B,0)),"")</f>
        <v/>
      </c>
      <c r="Q432" t="str">
        <f t="shared" si="1"/>
        <v/>
      </c>
      <c r="R432" s="9" t="str">
        <f t="shared" si="2"/>
        <v/>
      </c>
      <c r="S432" s="14" t="str">
        <f t="shared" si="3"/>
        <v/>
      </c>
      <c r="T432" s="15" t="str">
        <f>IFERROR(__xludf.DUMMYFUNCTION("IF($A432="""","""",IFERROR(PERCENTRANK.INC(FILTER(Q:Q,$F:$F&lt;&gt;""""),Q432)*100,""""))"),"")</f>
        <v/>
      </c>
      <c r="U432" s="15" t="str">
        <f>IFERROR(__xludf.DUMMYFUNCTION("IF($A432="""","""",IFERROR(PERCENTRANK.INC(FILTER(R:R,$F:$F&lt;&gt;""""),R432)*100,""""))"),"")</f>
        <v/>
      </c>
      <c r="V432" s="15" t="str">
        <f>IFERROR(__xludf.DUMMYFUNCTION("IF($A432="""","""",IFERROR(PERCENTRANK.INC(FILTER(S:S,$F:$F&lt;&gt;""""),S432)*100,""""))"),"")</f>
        <v/>
      </c>
      <c r="W432" s="15" t="str">
        <f t="shared" si="4"/>
        <v/>
      </c>
    </row>
    <row r="433">
      <c r="B433" t="str">
        <f t="array" ref="B433">IFERROR(INDEX('Player Raw Data'!C:C,Match($A433,'Player Raw Data'!$B:$B,0)),"")</f>
        <v/>
      </c>
      <c r="C433" t="str">
        <f t="array" ref="C433">IFERROR(INDEX('Player Raw Data'!D:D,Match($A433,'Player Raw Data'!$B:$B,0)),"")</f>
        <v/>
      </c>
      <c r="D433" t="str">
        <f t="array" ref="D433">IFERROR(IF(A433=A432, INDEX('Player Raw Data'!E:E,Match($A433,'Player Raw Data'!$B:$B,0)+2),INDEX('Player Raw Data'!E:E,Match($A433,'Player Raw Data'!$B:$B,0))),"")</f>
        <v/>
      </c>
      <c r="E433" t="str">
        <f t="array" ref="E433">IFERROR(INDEX('Day Range Raw Data'!D:D,Match($A433,'Day Range Raw Data'!$B:$B,0)),"")</f>
        <v/>
      </c>
      <c r="F433" t="str">
        <f t="array" ref="F433">IFERROR(INDEX('Day Range Raw Data'!F:F,Match($A433,'Day Range Raw Data'!$B:$B,0)),"")</f>
        <v/>
      </c>
      <c r="G433" t="str">
        <f t="array" ref="G433">IFERROR(INDEX('Day Range Raw Data'!G:G,Match($A433,'Day Range Raw Data'!$B:$B,0)),"")</f>
        <v/>
      </c>
      <c r="H433" t="str">
        <f t="array" ref="H433">IFERROR(INDEX('Day Range Raw Data'!H:H,Match($A433,'Day Range Raw Data'!$B:$B,0)),"")</f>
        <v/>
      </c>
      <c r="I433" t="str">
        <f t="array" ref="I433">IFERROR(INDEX('Day Range Raw Data'!M:M,Match($A433,'Day Range Raw Data'!$B:$B,0)),"")</f>
        <v/>
      </c>
      <c r="J433" t="str">
        <f t="array" ref="J433">IFERROR(INDEX('Day Range Raw Data'!N:N,Match($A433,'Day Range Raw Data'!$B:$B,0)),"")</f>
        <v/>
      </c>
      <c r="K433" t="str">
        <f t="array" ref="K433">IFERROR(INDEX('Day Range Raw Data'!R:R,Match($A433,'Day Range Raw Data'!$B:$B,0)),"")</f>
        <v/>
      </c>
      <c r="L433" t="str">
        <f t="array" ref="L433">IFERROR(INDEX('Day Range Raw Data'!S:S,Match($A433,'Day Range Raw Data'!$B:$B,0)),"")</f>
        <v/>
      </c>
      <c r="M433" t="str">
        <f t="array" ref="M433">IFERROR(INDEX('Day Range Raw Data'!T:T,Match($A433,'Day Range Raw Data'!$B:$B,0)),"")</f>
        <v/>
      </c>
      <c r="N433" t="str">
        <f t="array" ref="N433">IFERROR(INDEX('Day Range Raw Data'!U:U,Match($A433,'Day Range Raw Data'!$B:$B,0)),"")</f>
        <v/>
      </c>
      <c r="O433" t="str">
        <f t="array" ref="O433">IFERROR(INDEX('Day Range Raw Data'!V:V,Match($A433,'Day Range Raw Data'!$B:$B,0)),"")</f>
        <v/>
      </c>
      <c r="P433" t="str">
        <f t="array" ref="P433">IFERROR(INDEX('Day Range Raw Data'!X:X,Match($A433,'Day Range Raw Data'!$B:$B,0)),"")</f>
        <v/>
      </c>
      <c r="Q433" t="str">
        <f t="shared" si="1"/>
        <v/>
      </c>
      <c r="R433" s="9" t="str">
        <f t="shared" si="2"/>
        <v/>
      </c>
      <c r="S433" s="14" t="str">
        <f t="shared" si="3"/>
        <v/>
      </c>
      <c r="T433" s="15" t="str">
        <f>IFERROR(__xludf.DUMMYFUNCTION("IF($A433="""","""",IFERROR(PERCENTRANK.INC(FILTER(Q:Q,$F:$F&lt;&gt;""""),Q433)*100,""""))"),"")</f>
        <v/>
      </c>
      <c r="U433" s="15" t="str">
        <f>IFERROR(__xludf.DUMMYFUNCTION("IF($A433="""","""",IFERROR(PERCENTRANK.INC(FILTER(R:R,$F:$F&lt;&gt;""""),R433)*100,""""))"),"")</f>
        <v/>
      </c>
      <c r="V433" s="15" t="str">
        <f>IFERROR(__xludf.DUMMYFUNCTION("IF($A433="""","""",IFERROR(PERCENTRANK.INC(FILTER(S:S,$F:$F&lt;&gt;""""),S433)*100,""""))"),"")</f>
        <v/>
      </c>
      <c r="W433" s="15" t="str">
        <f t="shared" si="4"/>
        <v/>
      </c>
    </row>
    <row r="434">
      <c r="B434" t="str">
        <f t="array" ref="B434">IFERROR(INDEX('Player Raw Data'!C:C,Match($A434,'Player Raw Data'!$B:$B,0)),"")</f>
        <v/>
      </c>
      <c r="C434" t="str">
        <f t="array" ref="C434">IFERROR(INDEX('Player Raw Data'!D:D,Match($A434,'Player Raw Data'!$B:$B,0)),"")</f>
        <v/>
      </c>
      <c r="D434" t="str">
        <f t="array" ref="D434">IFERROR(IF(A434=A433, INDEX('Player Raw Data'!E:E,Match($A434,'Player Raw Data'!$B:$B,0)+2),INDEX('Player Raw Data'!E:E,Match($A434,'Player Raw Data'!$B:$B,0))),"")</f>
        <v/>
      </c>
      <c r="E434" t="str">
        <f t="array" ref="E434">IFERROR(INDEX('Day Range Raw Data'!D:D,Match($A434,'Day Range Raw Data'!$B:$B,0)),"")</f>
        <v/>
      </c>
      <c r="F434" t="str">
        <f t="array" ref="F434">IFERROR(INDEX('Day Range Raw Data'!F:F,Match($A434,'Day Range Raw Data'!$B:$B,0)),"")</f>
        <v/>
      </c>
      <c r="G434" t="str">
        <f t="array" ref="G434">IFERROR(INDEX('Day Range Raw Data'!G:G,Match($A434,'Day Range Raw Data'!$B:$B,0)),"")</f>
        <v/>
      </c>
      <c r="H434" t="str">
        <f t="array" ref="H434">IFERROR(INDEX('Day Range Raw Data'!H:H,Match($A434,'Day Range Raw Data'!$B:$B,0)),"")</f>
        <v/>
      </c>
      <c r="I434" t="str">
        <f t="array" ref="I434">IFERROR(INDEX('Day Range Raw Data'!M:M,Match($A434,'Day Range Raw Data'!$B:$B,0)),"")</f>
        <v/>
      </c>
      <c r="J434" t="str">
        <f t="array" ref="J434">IFERROR(INDEX('Day Range Raw Data'!N:N,Match($A434,'Day Range Raw Data'!$B:$B,0)),"")</f>
        <v/>
      </c>
      <c r="K434" t="str">
        <f t="array" ref="K434">IFERROR(INDEX('Day Range Raw Data'!R:R,Match($A434,'Day Range Raw Data'!$B:$B,0)),"")</f>
        <v/>
      </c>
      <c r="L434" t="str">
        <f t="array" ref="L434">IFERROR(INDEX('Day Range Raw Data'!S:S,Match($A434,'Day Range Raw Data'!$B:$B,0)),"")</f>
        <v/>
      </c>
      <c r="M434" t="str">
        <f t="array" ref="M434">IFERROR(INDEX('Day Range Raw Data'!T:T,Match($A434,'Day Range Raw Data'!$B:$B,0)),"")</f>
        <v/>
      </c>
      <c r="N434" t="str">
        <f t="array" ref="N434">IFERROR(INDEX('Day Range Raw Data'!U:U,Match($A434,'Day Range Raw Data'!$B:$B,0)),"")</f>
        <v/>
      </c>
      <c r="O434" t="str">
        <f t="array" ref="O434">IFERROR(INDEX('Day Range Raw Data'!V:V,Match($A434,'Day Range Raw Data'!$B:$B,0)),"")</f>
        <v/>
      </c>
      <c r="P434" t="str">
        <f t="array" ref="P434">IFERROR(INDEX('Day Range Raw Data'!X:X,Match($A434,'Day Range Raw Data'!$B:$B,0)),"")</f>
        <v/>
      </c>
      <c r="Q434" t="str">
        <f t="shared" si="1"/>
        <v/>
      </c>
      <c r="R434" s="9" t="str">
        <f t="shared" si="2"/>
        <v/>
      </c>
      <c r="S434" s="14" t="str">
        <f t="shared" si="3"/>
        <v/>
      </c>
      <c r="T434" s="15" t="str">
        <f>IFERROR(__xludf.DUMMYFUNCTION("IF($A434="""","""",IFERROR(PERCENTRANK.INC(FILTER(Q:Q,$F:$F&lt;&gt;""""),Q434)*100,""""))"),"")</f>
        <v/>
      </c>
      <c r="U434" s="15" t="str">
        <f>IFERROR(__xludf.DUMMYFUNCTION("IF($A434="""","""",IFERROR(PERCENTRANK.INC(FILTER(R:R,$F:$F&lt;&gt;""""),R434)*100,""""))"),"")</f>
        <v/>
      </c>
      <c r="V434" s="15" t="str">
        <f>IFERROR(__xludf.DUMMYFUNCTION("IF($A434="""","""",IFERROR(PERCENTRANK.INC(FILTER(S:S,$F:$F&lt;&gt;""""),S434)*100,""""))"),"")</f>
        <v/>
      </c>
      <c r="W434" s="15" t="str">
        <f t="shared" si="4"/>
        <v/>
      </c>
    </row>
    <row r="435">
      <c r="B435" t="str">
        <f t="array" ref="B435">IFERROR(INDEX('Player Raw Data'!C:C,Match($A435,'Player Raw Data'!$B:$B,0)),"")</f>
        <v/>
      </c>
      <c r="C435" t="str">
        <f t="array" ref="C435">IFERROR(INDEX('Player Raw Data'!D:D,Match($A435,'Player Raw Data'!$B:$B,0)),"")</f>
        <v/>
      </c>
      <c r="D435" t="str">
        <f t="array" ref="D435">IFERROR(IF(A435=A434, INDEX('Player Raw Data'!E:E,Match($A435,'Player Raw Data'!$B:$B,0)+2),INDEX('Player Raw Data'!E:E,Match($A435,'Player Raw Data'!$B:$B,0))),"")</f>
        <v/>
      </c>
      <c r="E435" t="str">
        <f t="array" ref="E435">IFERROR(INDEX('Day Range Raw Data'!D:D,Match($A435,'Day Range Raw Data'!$B:$B,0)),"")</f>
        <v/>
      </c>
      <c r="F435" t="str">
        <f t="array" ref="F435">IFERROR(INDEX('Day Range Raw Data'!F:F,Match($A435,'Day Range Raw Data'!$B:$B,0)),"")</f>
        <v/>
      </c>
      <c r="G435" t="str">
        <f t="array" ref="G435">IFERROR(INDEX('Day Range Raw Data'!G:G,Match($A435,'Day Range Raw Data'!$B:$B,0)),"")</f>
        <v/>
      </c>
      <c r="H435" t="str">
        <f t="array" ref="H435">IFERROR(INDEX('Day Range Raw Data'!H:H,Match($A435,'Day Range Raw Data'!$B:$B,0)),"")</f>
        <v/>
      </c>
      <c r="I435" t="str">
        <f t="array" ref="I435">IFERROR(INDEX('Day Range Raw Data'!M:M,Match($A435,'Day Range Raw Data'!$B:$B,0)),"")</f>
        <v/>
      </c>
      <c r="J435" t="str">
        <f t="array" ref="J435">IFERROR(INDEX('Day Range Raw Data'!N:N,Match($A435,'Day Range Raw Data'!$B:$B,0)),"")</f>
        <v/>
      </c>
      <c r="K435" t="str">
        <f t="array" ref="K435">IFERROR(INDEX('Day Range Raw Data'!R:R,Match($A435,'Day Range Raw Data'!$B:$B,0)),"")</f>
        <v/>
      </c>
      <c r="L435" t="str">
        <f t="array" ref="L435">IFERROR(INDEX('Day Range Raw Data'!S:S,Match($A435,'Day Range Raw Data'!$B:$B,0)),"")</f>
        <v/>
      </c>
      <c r="M435" t="str">
        <f t="array" ref="M435">IFERROR(INDEX('Day Range Raw Data'!T:T,Match($A435,'Day Range Raw Data'!$B:$B,0)),"")</f>
        <v/>
      </c>
      <c r="N435" t="str">
        <f t="array" ref="N435">IFERROR(INDEX('Day Range Raw Data'!U:U,Match($A435,'Day Range Raw Data'!$B:$B,0)),"")</f>
        <v/>
      </c>
      <c r="O435" t="str">
        <f t="array" ref="O435">IFERROR(INDEX('Day Range Raw Data'!V:V,Match($A435,'Day Range Raw Data'!$B:$B,0)),"")</f>
        <v/>
      </c>
      <c r="P435" t="str">
        <f t="array" ref="P435">IFERROR(INDEX('Day Range Raw Data'!X:X,Match($A435,'Day Range Raw Data'!$B:$B,0)),"")</f>
        <v/>
      </c>
      <c r="Q435" t="str">
        <f t="shared" si="1"/>
        <v/>
      </c>
      <c r="R435" s="9" t="str">
        <f t="shared" si="2"/>
        <v/>
      </c>
      <c r="S435" s="14" t="str">
        <f t="shared" si="3"/>
        <v/>
      </c>
      <c r="T435" s="15" t="str">
        <f>IFERROR(__xludf.DUMMYFUNCTION("IF($A435="""","""",IFERROR(PERCENTRANK.INC(FILTER(Q:Q,$F:$F&lt;&gt;""""),Q435)*100,""""))"),"")</f>
        <v/>
      </c>
      <c r="U435" s="15" t="str">
        <f>IFERROR(__xludf.DUMMYFUNCTION("IF($A435="""","""",IFERROR(PERCENTRANK.INC(FILTER(R:R,$F:$F&lt;&gt;""""),R435)*100,""""))"),"")</f>
        <v/>
      </c>
      <c r="V435" s="15" t="str">
        <f>IFERROR(__xludf.DUMMYFUNCTION("IF($A435="""","""",IFERROR(PERCENTRANK.INC(FILTER(S:S,$F:$F&lt;&gt;""""),S435)*100,""""))"),"")</f>
        <v/>
      </c>
      <c r="W435" s="15" t="str">
        <f t="shared" si="4"/>
        <v/>
      </c>
    </row>
    <row r="436">
      <c r="B436" t="str">
        <f t="array" ref="B436">IFERROR(INDEX('Player Raw Data'!C:C,Match($A436,'Player Raw Data'!$B:$B,0)),"")</f>
        <v/>
      </c>
      <c r="C436" t="str">
        <f t="array" ref="C436">IFERROR(INDEX('Player Raw Data'!D:D,Match($A436,'Player Raw Data'!$B:$B,0)),"")</f>
        <v/>
      </c>
      <c r="D436" t="str">
        <f t="array" ref="D436">IFERROR(IF(A436=A435, INDEX('Player Raw Data'!E:E,Match($A436,'Player Raw Data'!$B:$B,0)+2),INDEX('Player Raw Data'!E:E,Match($A436,'Player Raw Data'!$B:$B,0))),"")</f>
        <v/>
      </c>
      <c r="E436" t="str">
        <f t="array" ref="E436">IFERROR(INDEX('Day Range Raw Data'!D:D,Match($A436,'Day Range Raw Data'!$B:$B,0)),"")</f>
        <v/>
      </c>
      <c r="F436" t="str">
        <f t="array" ref="F436">IFERROR(INDEX('Day Range Raw Data'!F:F,Match($A436,'Day Range Raw Data'!$B:$B,0)),"")</f>
        <v/>
      </c>
      <c r="G436" t="str">
        <f t="array" ref="G436">IFERROR(INDEX('Day Range Raw Data'!G:G,Match($A436,'Day Range Raw Data'!$B:$B,0)),"")</f>
        <v/>
      </c>
      <c r="H436" t="str">
        <f t="array" ref="H436">IFERROR(INDEX('Day Range Raw Data'!H:H,Match($A436,'Day Range Raw Data'!$B:$B,0)),"")</f>
        <v/>
      </c>
      <c r="I436" t="str">
        <f t="array" ref="I436">IFERROR(INDEX('Day Range Raw Data'!M:M,Match($A436,'Day Range Raw Data'!$B:$B,0)),"")</f>
        <v/>
      </c>
      <c r="J436" t="str">
        <f t="array" ref="J436">IFERROR(INDEX('Day Range Raw Data'!N:N,Match($A436,'Day Range Raw Data'!$B:$B,0)),"")</f>
        <v/>
      </c>
      <c r="K436" t="str">
        <f t="array" ref="K436">IFERROR(INDEX('Day Range Raw Data'!R:R,Match($A436,'Day Range Raw Data'!$B:$B,0)),"")</f>
        <v/>
      </c>
      <c r="L436" t="str">
        <f t="array" ref="L436">IFERROR(INDEX('Day Range Raw Data'!S:S,Match($A436,'Day Range Raw Data'!$B:$B,0)),"")</f>
        <v/>
      </c>
      <c r="M436" t="str">
        <f t="array" ref="M436">IFERROR(INDEX('Day Range Raw Data'!T:T,Match($A436,'Day Range Raw Data'!$B:$B,0)),"")</f>
        <v/>
      </c>
      <c r="N436" t="str">
        <f t="array" ref="N436">IFERROR(INDEX('Day Range Raw Data'!U:U,Match($A436,'Day Range Raw Data'!$B:$B,0)),"")</f>
        <v/>
      </c>
      <c r="O436" t="str">
        <f t="array" ref="O436">IFERROR(INDEX('Day Range Raw Data'!V:V,Match($A436,'Day Range Raw Data'!$B:$B,0)),"")</f>
        <v/>
      </c>
      <c r="P436" t="str">
        <f t="array" ref="P436">IFERROR(INDEX('Day Range Raw Data'!X:X,Match($A436,'Day Range Raw Data'!$B:$B,0)),"")</f>
        <v/>
      </c>
      <c r="Q436" t="str">
        <f t="shared" si="1"/>
        <v/>
      </c>
      <c r="R436" s="9" t="str">
        <f t="shared" si="2"/>
        <v/>
      </c>
      <c r="S436" s="14" t="str">
        <f t="shared" si="3"/>
        <v/>
      </c>
      <c r="T436" s="15" t="str">
        <f>IFERROR(__xludf.DUMMYFUNCTION("IF($A436="""","""",IFERROR(PERCENTRANK.INC(FILTER(Q:Q,$F:$F&lt;&gt;""""),Q436)*100,""""))"),"")</f>
        <v/>
      </c>
      <c r="U436" s="15" t="str">
        <f>IFERROR(__xludf.DUMMYFUNCTION("IF($A436="""","""",IFERROR(PERCENTRANK.INC(FILTER(R:R,$F:$F&lt;&gt;""""),R436)*100,""""))"),"")</f>
        <v/>
      </c>
      <c r="V436" s="15" t="str">
        <f>IFERROR(__xludf.DUMMYFUNCTION("IF($A436="""","""",IFERROR(PERCENTRANK.INC(FILTER(S:S,$F:$F&lt;&gt;""""),S436)*100,""""))"),"")</f>
        <v/>
      </c>
      <c r="W436" s="15" t="str">
        <f t="shared" si="4"/>
        <v/>
      </c>
    </row>
    <row r="437">
      <c r="B437" t="str">
        <f t="array" ref="B437">IFERROR(INDEX('Player Raw Data'!C:C,Match($A437,'Player Raw Data'!$B:$B,0)),"")</f>
        <v/>
      </c>
      <c r="C437" t="str">
        <f t="array" ref="C437">IFERROR(INDEX('Player Raw Data'!D:D,Match($A437,'Player Raw Data'!$B:$B,0)),"")</f>
        <v/>
      </c>
      <c r="D437" t="str">
        <f t="array" ref="D437">IFERROR(IF(A437=A436, INDEX('Player Raw Data'!E:E,Match($A437,'Player Raw Data'!$B:$B,0)+2),INDEX('Player Raw Data'!E:E,Match($A437,'Player Raw Data'!$B:$B,0))),"")</f>
        <v/>
      </c>
      <c r="E437" t="str">
        <f t="array" ref="E437">IFERROR(INDEX('Day Range Raw Data'!D:D,Match($A437,'Day Range Raw Data'!$B:$B,0)),"")</f>
        <v/>
      </c>
      <c r="F437" t="str">
        <f t="array" ref="F437">IFERROR(INDEX('Day Range Raw Data'!F:F,Match($A437,'Day Range Raw Data'!$B:$B,0)),"")</f>
        <v/>
      </c>
      <c r="G437" t="str">
        <f t="array" ref="G437">IFERROR(INDEX('Day Range Raw Data'!G:G,Match($A437,'Day Range Raw Data'!$B:$B,0)),"")</f>
        <v/>
      </c>
      <c r="H437" t="str">
        <f t="array" ref="H437">IFERROR(INDEX('Day Range Raw Data'!H:H,Match($A437,'Day Range Raw Data'!$B:$B,0)),"")</f>
        <v/>
      </c>
      <c r="I437" t="str">
        <f t="array" ref="I437">IFERROR(INDEX('Day Range Raw Data'!M:M,Match($A437,'Day Range Raw Data'!$B:$B,0)),"")</f>
        <v/>
      </c>
      <c r="J437" t="str">
        <f t="array" ref="J437">IFERROR(INDEX('Day Range Raw Data'!N:N,Match($A437,'Day Range Raw Data'!$B:$B,0)),"")</f>
        <v/>
      </c>
      <c r="K437" t="str">
        <f t="array" ref="K437">IFERROR(INDEX('Day Range Raw Data'!R:R,Match($A437,'Day Range Raw Data'!$B:$B,0)),"")</f>
        <v/>
      </c>
      <c r="L437" t="str">
        <f t="array" ref="L437">IFERROR(INDEX('Day Range Raw Data'!S:S,Match($A437,'Day Range Raw Data'!$B:$B,0)),"")</f>
        <v/>
      </c>
      <c r="M437" t="str">
        <f t="array" ref="M437">IFERROR(INDEX('Day Range Raw Data'!T:T,Match($A437,'Day Range Raw Data'!$B:$B,0)),"")</f>
        <v/>
      </c>
      <c r="N437" t="str">
        <f t="array" ref="N437">IFERROR(INDEX('Day Range Raw Data'!U:U,Match($A437,'Day Range Raw Data'!$B:$B,0)),"")</f>
        <v/>
      </c>
      <c r="O437" t="str">
        <f t="array" ref="O437">IFERROR(INDEX('Day Range Raw Data'!V:V,Match($A437,'Day Range Raw Data'!$B:$B,0)),"")</f>
        <v/>
      </c>
      <c r="P437" t="str">
        <f t="array" ref="P437">IFERROR(INDEX('Day Range Raw Data'!X:X,Match($A437,'Day Range Raw Data'!$B:$B,0)),"")</f>
        <v/>
      </c>
      <c r="Q437" t="str">
        <f t="shared" si="1"/>
        <v/>
      </c>
      <c r="R437" s="9" t="str">
        <f t="shared" si="2"/>
        <v/>
      </c>
      <c r="S437" s="14" t="str">
        <f t="shared" si="3"/>
        <v/>
      </c>
      <c r="T437" s="15" t="str">
        <f>IFERROR(__xludf.DUMMYFUNCTION("IF($A437="""","""",IFERROR(PERCENTRANK.INC(FILTER(Q:Q,$F:$F&lt;&gt;""""),Q437)*100,""""))"),"")</f>
        <v/>
      </c>
      <c r="U437" s="15" t="str">
        <f>IFERROR(__xludf.DUMMYFUNCTION("IF($A437="""","""",IFERROR(PERCENTRANK.INC(FILTER(R:R,$F:$F&lt;&gt;""""),R437)*100,""""))"),"")</f>
        <v/>
      </c>
      <c r="V437" s="15" t="str">
        <f>IFERROR(__xludf.DUMMYFUNCTION("IF($A437="""","""",IFERROR(PERCENTRANK.INC(FILTER(S:S,$F:$F&lt;&gt;""""),S437)*100,""""))"),"")</f>
        <v/>
      </c>
      <c r="W437" s="15" t="str">
        <f t="shared" si="4"/>
        <v/>
      </c>
    </row>
    <row r="438">
      <c r="B438" t="str">
        <f t="array" ref="B438">IFERROR(INDEX('Player Raw Data'!C:C,Match($A438,'Player Raw Data'!$B:$B,0)),"")</f>
        <v/>
      </c>
      <c r="C438" t="str">
        <f t="array" ref="C438">IFERROR(INDEX('Player Raw Data'!D:D,Match($A438,'Player Raw Data'!$B:$B,0)),"")</f>
        <v/>
      </c>
      <c r="D438" t="str">
        <f t="array" ref="D438">IFERROR(IF(A438=A437, INDEX('Player Raw Data'!E:E,Match($A438,'Player Raw Data'!$B:$B,0)+2),INDEX('Player Raw Data'!E:E,Match($A438,'Player Raw Data'!$B:$B,0))),"")</f>
        <v/>
      </c>
      <c r="E438" t="str">
        <f t="array" ref="E438">IFERROR(INDEX('Day Range Raw Data'!D:D,Match($A438,'Day Range Raw Data'!$B:$B,0)),"")</f>
        <v/>
      </c>
      <c r="F438" t="str">
        <f t="array" ref="F438">IFERROR(INDEX('Day Range Raw Data'!F:F,Match($A438,'Day Range Raw Data'!$B:$B,0)),"")</f>
        <v/>
      </c>
      <c r="G438" t="str">
        <f t="array" ref="G438">IFERROR(INDEX('Day Range Raw Data'!G:G,Match($A438,'Day Range Raw Data'!$B:$B,0)),"")</f>
        <v/>
      </c>
      <c r="H438" t="str">
        <f t="array" ref="H438">IFERROR(INDEX('Day Range Raw Data'!H:H,Match($A438,'Day Range Raw Data'!$B:$B,0)),"")</f>
        <v/>
      </c>
      <c r="I438" t="str">
        <f t="array" ref="I438">IFERROR(INDEX('Day Range Raw Data'!M:M,Match($A438,'Day Range Raw Data'!$B:$B,0)),"")</f>
        <v/>
      </c>
      <c r="J438" t="str">
        <f t="array" ref="J438">IFERROR(INDEX('Day Range Raw Data'!N:N,Match($A438,'Day Range Raw Data'!$B:$B,0)),"")</f>
        <v/>
      </c>
      <c r="K438" t="str">
        <f t="array" ref="K438">IFERROR(INDEX('Day Range Raw Data'!R:R,Match($A438,'Day Range Raw Data'!$B:$B,0)),"")</f>
        <v/>
      </c>
      <c r="L438" t="str">
        <f t="array" ref="L438">IFERROR(INDEX('Day Range Raw Data'!S:S,Match($A438,'Day Range Raw Data'!$B:$B,0)),"")</f>
        <v/>
      </c>
      <c r="M438" t="str">
        <f t="array" ref="M438">IFERROR(INDEX('Day Range Raw Data'!T:T,Match($A438,'Day Range Raw Data'!$B:$B,0)),"")</f>
        <v/>
      </c>
      <c r="N438" t="str">
        <f t="array" ref="N438">IFERROR(INDEX('Day Range Raw Data'!U:U,Match($A438,'Day Range Raw Data'!$B:$B,0)),"")</f>
        <v/>
      </c>
      <c r="O438" t="str">
        <f t="array" ref="O438">IFERROR(INDEX('Day Range Raw Data'!V:V,Match($A438,'Day Range Raw Data'!$B:$B,0)),"")</f>
        <v/>
      </c>
      <c r="P438" t="str">
        <f t="array" ref="P438">IFERROR(INDEX('Day Range Raw Data'!X:X,Match($A438,'Day Range Raw Data'!$B:$B,0)),"")</f>
        <v/>
      </c>
      <c r="Q438" t="str">
        <f t="shared" si="1"/>
        <v/>
      </c>
      <c r="R438" s="9" t="str">
        <f t="shared" si="2"/>
        <v/>
      </c>
      <c r="S438" s="14" t="str">
        <f t="shared" si="3"/>
        <v/>
      </c>
      <c r="T438" s="15" t="str">
        <f>IFERROR(__xludf.DUMMYFUNCTION("IF($A438="""","""",IFERROR(PERCENTRANK.INC(FILTER(Q:Q,$F:$F&lt;&gt;""""),Q438)*100,""""))"),"")</f>
        <v/>
      </c>
      <c r="U438" s="15" t="str">
        <f>IFERROR(__xludf.DUMMYFUNCTION("IF($A438="""","""",IFERROR(PERCENTRANK.INC(FILTER(R:R,$F:$F&lt;&gt;""""),R438)*100,""""))"),"")</f>
        <v/>
      </c>
      <c r="V438" s="15" t="str">
        <f>IFERROR(__xludf.DUMMYFUNCTION("IF($A438="""","""",IFERROR(PERCENTRANK.INC(FILTER(S:S,$F:$F&lt;&gt;""""),S438)*100,""""))"),"")</f>
        <v/>
      </c>
      <c r="W438" s="15" t="str">
        <f t="shared" si="4"/>
        <v/>
      </c>
    </row>
    <row r="439">
      <c r="B439" t="str">
        <f t="array" ref="B439">IFERROR(INDEX('Player Raw Data'!C:C,Match($A439,'Player Raw Data'!$B:$B,0)),"")</f>
        <v/>
      </c>
      <c r="C439" t="str">
        <f t="array" ref="C439">IFERROR(INDEX('Player Raw Data'!D:D,Match($A439,'Player Raw Data'!$B:$B,0)),"")</f>
        <v/>
      </c>
      <c r="D439" t="str">
        <f t="array" ref="D439">IFERROR(IF(A439=A438, INDEX('Player Raw Data'!E:E,Match($A439,'Player Raw Data'!$B:$B,0)+2),INDEX('Player Raw Data'!E:E,Match($A439,'Player Raw Data'!$B:$B,0))),"")</f>
        <v/>
      </c>
      <c r="E439" t="str">
        <f t="array" ref="E439">IFERROR(INDEX('Day Range Raw Data'!D:D,Match($A439,'Day Range Raw Data'!$B:$B,0)),"")</f>
        <v/>
      </c>
      <c r="F439" t="str">
        <f t="array" ref="F439">IFERROR(INDEX('Day Range Raw Data'!F:F,Match($A439,'Day Range Raw Data'!$B:$B,0)),"")</f>
        <v/>
      </c>
      <c r="G439" t="str">
        <f t="array" ref="G439">IFERROR(INDEX('Day Range Raw Data'!G:G,Match($A439,'Day Range Raw Data'!$B:$B,0)),"")</f>
        <v/>
      </c>
      <c r="H439" t="str">
        <f t="array" ref="H439">IFERROR(INDEX('Day Range Raw Data'!H:H,Match($A439,'Day Range Raw Data'!$B:$B,0)),"")</f>
        <v/>
      </c>
      <c r="I439" t="str">
        <f t="array" ref="I439">IFERROR(INDEX('Day Range Raw Data'!M:M,Match($A439,'Day Range Raw Data'!$B:$B,0)),"")</f>
        <v/>
      </c>
      <c r="J439" t="str">
        <f t="array" ref="J439">IFERROR(INDEX('Day Range Raw Data'!N:N,Match($A439,'Day Range Raw Data'!$B:$B,0)),"")</f>
        <v/>
      </c>
      <c r="K439" t="str">
        <f t="array" ref="K439">IFERROR(INDEX('Day Range Raw Data'!R:R,Match($A439,'Day Range Raw Data'!$B:$B,0)),"")</f>
        <v/>
      </c>
      <c r="L439" t="str">
        <f t="array" ref="L439">IFERROR(INDEX('Day Range Raw Data'!S:S,Match($A439,'Day Range Raw Data'!$B:$B,0)),"")</f>
        <v/>
      </c>
      <c r="M439" t="str">
        <f t="array" ref="M439">IFERROR(INDEX('Day Range Raw Data'!T:T,Match($A439,'Day Range Raw Data'!$B:$B,0)),"")</f>
        <v/>
      </c>
      <c r="N439" t="str">
        <f t="array" ref="N439">IFERROR(INDEX('Day Range Raw Data'!U:U,Match($A439,'Day Range Raw Data'!$B:$B,0)),"")</f>
        <v/>
      </c>
      <c r="O439" t="str">
        <f t="array" ref="O439">IFERROR(INDEX('Day Range Raw Data'!V:V,Match($A439,'Day Range Raw Data'!$B:$B,0)),"")</f>
        <v/>
      </c>
      <c r="P439" t="str">
        <f t="array" ref="P439">IFERROR(INDEX('Day Range Raw Data'!X:X,Match($A439,'Day Range Raw Data'!$B:$B,0)),"")</f>
        <v/>
      </c>
      <c r="Q439" t="str">
        <f t="shared" si="1"/>
        <v/>
      </c>
      <c r="R439" s="9" t="str">
        <f t="shared" si="2"/>
        <v/>
      </c>
      <c r="S439" s="14" t="str">
        <f t="shared" si="3"/>
        <v/>
      </c>
      <c r="T439" s="15" t="str">
        <f>IFERROR(__xludf.DUMMYFUNCTION("IF($A439="""","""",IFERROR(PERCENTRANK.INC(FILTER(Q:Q,$F:$F&lt;&gt;""""),Q439)*100,""""))"),"")</f>
        <v/>
      </c>
      <c r="U439" s="15" t="str">
        <f>IFERROR(__xludf.DUMMYFUNCTION("IF($A439="""","""",IFERROR(PERCENTRANK.INC(FILTER(R:R,$F:$F&lt;&gt;""""),R439)*100,""""))"),"")</f>
        <v/>
      </c>
      <c r="V439" s="15" t="str">
        <f>IFERROR(__xludf.DUMMYFUNCTION("IF($A439="""","""",IFERROR(PERCENTRANK.INC(FILTER(S:S,$F:$F&lt;&gt;""""),S439)*100,""""))"),"")</f>
        <v/>
      </c>
      <c r="W439" s="15" t="str">
        <f t="shared" si="4"/>
        <v/>
      </c>
    </row>
    <row r="440">
      <c r="B440" t="str">
        <f t="array" ref="B440">IFERROR(INDEX('Player Raw Data'!C:C,Match($A440,'Player Raw Data'!$B:$B,0)),"")</f>
        <v/>
      </c>
      <c r="C440" t="str">
        <f t="array" ref="C440">IFERROR(INDEX('Player Raw Data'!D:D,Match($A440,'Player Raw Data'!$B:$B,0)),"")</f>
        <v/>
      </c>
      <c r="D440" t="str">
        <f t="array" ref="D440">IFERROR(IF(A440=A439, INDEX('Player Raw Data'!E:E,Match($A440,'Player Raw Data'!$B:$B,0)+2),INDEX('Player Raw Data'!E:E,Match($A440,'Player Raw Data'!$B:$B,0))),"")</f>
        <v/>
      </c>
      <c r="E440" t="str">
        <f t="array" ref="E440">IFERROR(INDEX('Day Range Raw Data'!D:D,Match($A440,'Day Range Raw Data'!$B:$B,0)),"")</f>
        <v/>
      </c>
      <c r="F440" t="str">
        <f t="array" ref="F440">IFERROR(INDEX('Day Range Raw Data'!F:F,Match($A440,'Day Range Raw Data'!$B:$B,0)),"")</f>
        <v/>
      </c>
      <c r="G440" t="str">
        <f t="array" ref="G440">IFERROR(INDEX('Day Range Raw Data'!G:G,Match($A440,'Day Range Raw Data'!$B:$B,0)),"")</f>
        <v/>
      </c>
      <c r="H440" t="str">
        <f t="array" ref="H440">IFERROR(INDEX('Day Range Raw Data'!H:H,Match($A440,'Day Range Raw Data'!$B:$B,0)),"")</f>
        <v/>
      </c>
      <c r="I440" t="str">
        <f t="array" ref="I440">IFERROR(INDEX('Day Range Raw Data'!M:M,Match($A440,'Day Range Raw Data'!$B:$B,0)),"")</f>
        <v/>
      </c>
      <c r="J440" t="str">
        <f t="array" ref="J440">IFERROR(INDEX('Day Range Raw Data'!N:N,Match($A440,'Day Range Raw Data'!$B:$B,0)),"")</f>
        <v/>
      </c>
      <c r="K440" t="str">
        <f t="array" ref="K440">IFERROR(INDEX('Day Range Raw Data'!R:R,Match($A440,'Day Range Raw Data'!$B:$B,0)),"")</f>
        <v/>
      </c>
      <c r="L440" t="str">
        <f t="array" ref="L440">IFERROR(INDEX('Day Range Raw Data'!S:S,Match($A440,'Day Range Raw Data'!$B:$B,0)),"")</f>
        <v/>
      </c>
      <c r="M440" t="str">
        <f t="array" ref="M440">IFERROR(INDEX('Day Range Raw Data'!T:T,Match($A440,'Day Range Raw Data'!$B:$B,0)),"")</f>
        <v/>
      </c>
      <c r="N440" t="str">
        <f t="array" ref="N440">IFERROR(INDEX('Day Range Raw Data'!U:U,Match($A440,'Day Range Raw Data'!$B:$B,0)),"")</f>
        <v/>
      </c>
      <c r="O440" t="str">
        <f t="array" ref="O440">IFERROR(INDEX('Day Range Raw Data'!V:V,Match($A440,'Day Range Raw Data'!$B:$B,0)),"")</f>
        <v/>
      </c>
      <c r="P440" t="str">
        <f t="array" ref="P440">IFERROR(INDEX('Day Range Raw Data'!X:X,Match($A440,'Day Range Raw Data'!$B:$B,0)),"")</f>
        <v/>
      </c>
      <c r="Q440" t="str">
        <f t="shared" si="1"/>
        <v/>
      </c>
      <c r="R440" s="9" t="str">
        <f t="shared" si="2"/>
        <v/>
      </c>
      <c r="S440" s="14" t="str">
        <f t="shared" si="3"/>
        <v/>
      </c>
      <c r="T440" s="15" t="str">
        <f>IFERROR(__xludf.DUMMYFUNCTION("IF($A440="""","""",IFERROR(PERCENTRANK.INC(FILTER(Q:Q,$F:$F&lt;&gt;""""),Q440)*100,""""))"),"")</f>
        <v/>
      </c>
      <c r="U440" s="15" t="str">
        <f>IFERROR(__xludf.DUMMYFUNCTION("IF($A440="""","""",IFERROR(PERCENTRANK.INC(FILTER(R:R,$F:$F&lt;&gt;""""),R440)*100,""""))"),"")</f>
        <v/>
      </c>
      <c r="V440" s="15" t="str">
        <f>IFERROR(__xludf.DUMMYFUNCTION("IF($A440="""","""",IFERROR(PERCENTRANK.INC(FILTER(S:S,$F:$F&lt;&gt;""""),S440)*100,""""))"),"")</f>
        <v/>
      </c>
      <c r="W440" s="15" t="str">
        <f t="shared" si="4"/>
        <v/>
      </c>
    </row>
    <row r="441">
      <c r="B441" t="str">
        <f t="array" ref="B441">IFERROR(INDEX('Player Raw Data'!C:C,Match($A441,'Player Raw Data'!$B:$B,0)),"")</f>
        <v/>
      </c>
      <c r="C441" t="str">
        <f t="array" ref="C441">IFERROR(INDEX('Player Raw Data'!D:D,Match($A441,'Player Raw Data'!$B:$B,0)),"")</f>
        <v/>
      </c>
      <c r="D441" t="str">
        <f t="array" ref="D441">IFERROR(IF(A441=A440, INDEX('Player Raw Data'!E:E,Match($A441,'Player Raw Data'!$B:$B,0)+2),INDEX('Player Raw Data'!E:E,Match($A441,'Player Raw Data'!$B:$B,0))),"")</f>
        <v/>
      </c>
      <c r="E441" t="str">
        <f t="array" ref="E441">IFERROR(INDEX('Day Range Raw Data'!D:D,Match($A441,'Day Range Raw Data'!$B:$B,0)),"")</f>
        <v/>
      </c>
      <c r="F441" t="str">
        <f t="array" ref="F441">IFERROR(INDEX('Day Range Raw Data'!F:F,Match($A441,'Day Range Raw Data'!$B:$B,0)),"")</f>
        <v/>
      </c>
      <c r="G441" t="str">
        <f t="array" ref="G441">IFERROR(INDEX('Day Range Raw Data'!G:G,Match($A441,'Day Range Raw Data'!$B:$B,0)),"")</f>
        <v/>
      </c>
      <c r="H441" t="str">
        <f t="array" ref="H441">IFERROR(INDEX('Day Range Raw Data'!H:H,Match($A441,'Day Range Raw Data'!$B:$B,0)),"")</f>
        <v/>
      </c>
      <c r="I441" t="str">
        <f t="array" ref="I441">IFERROR(INDEX('Day Range Raw Data'!M:M,Match($A441,'Day Range Raw Data'!$B:$B,0)),"")</f>
        <v/>
      </c>
      <c r="J441" t="str">
        <f t="array" ref="J441">IFERROR(INDEX('Day Range Raw Data'!N:N,Match($A441,'Day Range Raw Data'!$B:$B,0)),"")</f>
        <v/>
      </c>
      <c r="K441" t="str">
        <f t="array" ref="K441">IFERROR(INDEX('Day Range Raw Data'!R:R,Match($A441,'Day Range Raw Data'!$B:$B,0)),"")</f>
        <v/>
      </c>
      <c r="L441" t="str">
        <f t="array" ref="L441">IFERROR(INDEX('Day Range Raw Data'!S:S,Match($A441,'Day Range Raw Data'!$B:$B,0)),"")</f>
        <v/>
      </c>
      <c r="M441" t="str">
        <f t="array" ref="M441">IFERROR(INDEX('Day Range Raw Data'!T:T,Match($A441,'Day Range Raw Data'!$B:$B,0)),"")</f>
        <v/>
      </c>
      <c r="N441" t="str">
        <f t="array" ref="N441">IFERROR(INDEX('Day Range Raw Data'!U:U,Match($A441,'Day Range Raw Data'!$B:$B,0)),"")</f>
        <v/>
      </c>
      <c r="O441" t="str">
        <f t="array" ref="O441">IFERROR(INDEX('Day Range Raw Data'!V:V,Match($A441,'Day Range Raw Data'!$B:$B,0)),"")</f>
        <v/>
      </c>
      <c r="P441" t="str">
        <f t="array" ref="P441">IFERROR(INDEX('Day Range Raw Data'!X:X,Match($A441,'Day Range Raw Data'!$B:$B,0)),"")</f>
        <v/>
      </c>
      <c r="Q441" t="str">
        <f t="shared" si="1"/>
        <v/>
      </c>
      <c r="R441" s="9" t="str">
        <f t="shared" si="2"/>
        <v/>
      </c>
      <c r="S441" s="14" t="str">
        <f t="shared" si="3"/>
        <v/>
      </c>
      <c r="T441" s="15" t="str">
        <f>IFERROR(__xludf.DUMMYFUNCTION("IF($A441="""","""",IFERROR(PERCENTRANK.INC(FILTER(Q:Q,$F:$F&lt;&gt;""""),Q441)*100,""""))"),"")</f>
        <v/>
      </c>
      <c r="U441" s="15" t="str">
        <f>IFERROR(__xludf.DUMMYFUNCTION("IF($A441="""","""",IFERROR(PERCENTRANK.INC(FILTER(R:R,$F:$F&lt;&gt;""""),R441)*100,""""))"),"")</f>
        <v/>
      </c>
      <c r="V441" s="15" t="str">
        <f>IFERROR(__xludf.DUMMYFUNCTION("IF($A441="""","""",IFERROR(PERCENTRANK.INC(FILTER(S:S,$F:$F&lt;&gt;""""),S441)*100,""""))"),"")</f>
        <v/>
      </c>
      <c r="W441" s="15" t="str">
        <f t="shared" si="4"/>
        <v/>
      </c>
    </row>
    <row r="442">
      <c r="B442" t="str">
        <f t="array" ref="B442">IFERROR(INDEX('Player Raw Data'!C:C,Match($A442,'Player Raw Data'!$B:$B,0)),"")</f>
        <v/>
      </c>
      <c r="C442" t="str">
        <f t="array" ref="C442">IFERROR(INDEX('Player Raw Data'!D:D,Match($A442,'Player Raw Data'!$B:$B,0)),"")</f>
        <v/>
      </c>
      <c r="D442" t="str">
        <f t="array" ref="D442">IFERROR(IF(A442=A441, INDEX('Player Raw Data'!E:E,Match($A442,'Player Raw Data'!$B:$B,0)+2),INDEX('Player Raw Data'!E:E,Match($A442,'Player Raw Data'!$B:$B,0))),"")</f>
        <v/>
      </c>
      <c r="E442" t="str">
        <f t="array" ref="E442">IFERROR(INDEX('Day Range Raw Data'!D:D,Match($A442,'Day Range Raw Data'!$B:$B,0)),"")</f>
        <v/>
      </c>
      <c r="F442" t="str">
        <f t="array" ref="F442">IFERROR(INDEX('Day Range Raw Data'!F:F,Match($A442,'Day Range Raw Data'!$B:$B,0)),"")</f>
        <v/>
      </c>
      <c r="G442" t="str">
        <f t="array" ref="G442">IFERROR(INDEX('Day Range Raw Data'!G:G,Match($A442,'Day Range Raw Data'!$B:$B,0)),"")</f>
        <v/>
      </c>
      <c r="H442" t="str">
        <f t="array" ref="H442">IFERROR(INDEX('Day Range Raw Data'!H:H,Match($A442,'Day Range Raw Data'!$B:$B,0)),"")</f>
        <v/>
      </c>
      <c r="I442" t="str">
        <f t="array" ref="I442">IFERROR(INDEX('Day Range Raw Data'!M:M,Match($A442,'Day Range Raw Data'!$B:$B,0)),"")</f>
        <v/>
      </c>
      <c r="J442" t="str">
        <f t="array" ref="J442">IFERROR(INDEX('Day Range Raw Data'!N:N,Match($A442,'Day Range Raw Data'!$B:$B,0)),"")</f>
        <v/>
      </c>
      <c r="K442" t="str">
        <f t="array" ref="K442">IFERROR(INDEX('Day Range Raw Data'!R:R,Match($A442,'Day Range Raw Data'!$B:$B,0)),"")</f>
        <v/>
      </c>
      <c r="L442" t="str">
        <f t="array" ref="L442">IFERROR(INDEX('Day Range Raw Data'!S:S,Match($A442,'Day Range Raw Data'!$B:$B,0)),"")</f>
        <v/>
      </c>
      <c r="M442" t="str">
        <f t="array" ref="M442">IFERROR(INDEX('Day Range Raw Data'!T:T,Match($A442,'Day Range Raw Data'!$B:$B,0)),"")</f>
        <v/>
      </c>
      <c r="N442" t="str">
        <f t="array" ref="N442">IFERROR(INDEX('Day Range Raw Data'!U:U,Match($A442,'Day Range Raw Data'!$B:$B,0)),"")</f>
        <v/>
      </c>
      <c r="O442" t="str">
        <f t="array" ref="O442">IFERROR(INDEX('Day Range Raw Data'!V:V,Match($A442,'Day Range Raw Data'!$B:$B,0)),"")</f>
        <v/>
      </c>
      <c r="P442" t="str">
        <f t="array" ref="P442">IFERROR(INDEX('Day Range Raw Data'!X:X,Match($A442,'Day Range Raw Data'!$B:$B,0)),"")</f>
        <v/>
      </c>
      <c r="Q442" t="str">
        <f t="shared" si="1"/>
        <v/>
      </c>
      <c r="R442" s="9" t="str">
        <f t="shared" si="2"/>
        <v/>
      </c>
      <c r="S442" s="14" t="str">
        <f t="shared" si="3"/>
        <v/>
      </c>
      <c r="T442" s="15" t="str">
        <f>IFERROR(__xludf.DUMMYFUNCTION("IF($A442="""","""",IFERROR(PERCENTRANK.INC(FILTER(Q:Q,$F:$F&lt;&gt;""""),Q442)*100,""""))"),"")</f>
        <v/>
      </c>
      <c r="U442" s="15" t="str">
        <f>IFERROR(__xludf.DUMMYFUNCTION("IF($A442="""","""",IFERROR(PERCENTRANK.INC(FILTER(R:R,$F:$F&lt;&gt;""""),R442)*100,""""))"),"")</f>
        <v/>
      </c>
      <c r="V442" s="15" t="str">
        <f>IFERROR(__xludf.DUMMYFUNCTION("IF($A442="""","""",IFERROR(PERCENTRANK.INC(FILTER(S:S,$F:$F&lt;&gt;""""),S442)*100,""""))"),"")</f>
        <v/>
      </c>
      <c r="W442" s="15" t="str">
        <f t="shared" si="4"/>
        <v/>
      </c>
    </row>
    <row r="443">
      <c r="B443" t="str">
        <f t="array" ref="B443">IFERROR(INDEX('Player Raw Data'!C:C,Match($A443,'Player Raw Data'!$B:$B,0)),"")</f>
        <v/>
      </c>
      <c r="C443" t="str">
        <f t="array" ref="C443">IFERROR(INDEX('Player Raw Data'!D:D,Match($A443,'Player Raw Data'!$B:$B,0)),"")</f>
        <v/>
      </c>
      <c r="D443" t="str">
        <f t="array" ref="D443">IFERROR(IF(A443=A442, INDEX('Player Raw Data'!E:E,Match($A443,'Player Raw Data'!$B:$B,0)+2),INDEX('Player Raw Data'!E:E,Match($A443,'Player Raw Data'!$B:$B,0))),"")</f>
        <v/>
      </c>
      <c r="E443" t="str">
        <f t="array" ref="E443">IFERROR(INDEX('Day Range Raw Data'!D:D,Match($A443,'Day Range Raw Data'!$B:$B,0)),"")</f>
        <v/>
      </c>
      <c r="F443" t="str">
        <f t="array" ref="F443">IFERROR(INDEX('Day Range Raw Data'!F:F,Match($A443,'Day Range Raw Data'!$B:$B,0)),"")</f>
        <v/>
      </c>
      <c r="G443" t="str">
        <f t="array" ref="G443">IFERROR(INDEX('Day Range Raw Data'!G:G,Match($A443,'Day Range Raw Data'!$B:$B,0)),"")</f>
        <v/>
      </c>
      <c r="H443" t="str">
        <f t="array" ref="H443">IFERROR(INDEX('Day Range Raw Data'!H:H,Match($A443,'Day Range Raw Data'!$B:$B,0)),"")</f>
        <v/>
      </c>
      <c r="I443" t="str">
        <f t="array" ref="I443">IFERROR(INDEX('Day Range Raw Data'!M:M,Match($A443,'Day Range Raw Data'!$B:$B,0)),"")</f>
        <v/>
      </c>
      <c r="J443" t="str">
        <f t="array" ref="J443">IFERROR(INDEX('Day Range Raw Data'!N:N,Match($A443,'Day Range Raw Data'!$B:$B,0)),"")</f>
        <v/>
      </c>
      <c r="K443" t="str">
        <f t="array" ref="K443">IFERROR(INDEX('Day Range Raw Data'!R:R,Match($A443,'Day Range Raw Data'!$B:$B,0)),"")</f>
        <v/>
      </c>
      <c r="L443" t="str">
        <f t="array" ref="L443">IFERROR(INDEX('Day Range Raw Data'!S:S,Match($A443,'Day Range Raw Data'!$B:$B,0)),"")</f>
        <v/>
      </c>
      <c r="M443" t="str">
        <f t="array" ref="M443">IFERROR(INDEX('Day Range Raw Data'!T:T,Match($A443,'Day Range Raw Data'!$B:$B,0)),"")</f>
        <v/>
      </c>
      <c r="N443" t="str">
        <f t="array" ref="N443">IFERROR(INDEX('Day Range Raw Data'!U:U,Match($A443,'Day Range Raw Data'!$B:$B,0)),"")</f>
        <v/>
      </c>
      <c r="O443" t="str">
        <f t="array" ref="O443">IFERROR(INDEX('Day Range Raw Data'!V:V,Match($A443,'Day Range Raw Data'!$B:$B,0)),"")</f>
        <v/>
      </c>
      <c r="P443" t="str">
        <f t="array" ref="P443">IFERROR(INDEX('Day Range Raw Data'!X:X,Match($A443,'Day Range Raw Data'!$B:$B,0)),"")</f>
        <v/>
      </c>
      <c r="Q443" t="str">
        <f t="shared" si="1"/>
        <v/>
      </c>
      <c r="R443" s="9" t="str">
        <f t="shared" si="2"/>
        <v/>
      </c>
      <c r="S443" s="14" t="str">
        <f t="shared" si="3"/>
        <v/>
      </c>
      <c r="T443" s="15" t="str">
        <f>IFERROR(__xludf.DUMMYFUNCTION("IF($A443="""","""",IFERROR(PERCENTRANK.INC(FILTER(Q:Q,$F:$F&lt;&gt;""""),Q443)*100,""""))"),"")</f>
        <v/>
      </c>
      <c r="U443" s="15" t="str">
        <f>IFERROR(__xludf.DUMMYFUNCTION("IF($A443="""","""",IFERROR(PERCENTRANK.INC(FILTER(R:R,$F:$F&lt;&gt;""""),R443)*100,""""))"),"")</f>
        <v/>
      </c>
      <c r="V443" s="15" t="str">
        <f>IFERROR(__xludf.DUMMYFUNCTION("IF($A443="""","""",IFERROR(PERCENTRANK.INC(FILTER(S:S,$F:$F&lt;&gt;""""),S443)*100,""""))"),"")</f>
        <v/>
      </c>
      <c r="W443" s="15" t="str">
        <f t="shared" si="4"/>
        <v/>
      </c>
    </row>
    <row r="444">
      <c r="B444" t="str">
        <f t="array" ref="B444">IFERROR(INDEX('Player Raw Data'!C:C,Match($A444,'Player Raw Data'!$B:$B,0)),"")</f>
        <v/>
      </c>
      <c r="C444" t="str">
        <f t="array" ref="C444">IFERROR(INDEX('Player Raw Data'!D:D,Match($A444,'Player Raw Data'!$B:$B,0)),"")</f>
        <v/>
      </c>
      <c r="D444" t="str">
        <f t="array" ref="D444">IFERROR(IF(A444=A443, INDEX('Player Raw Data'!E:E,Match($A444,'Player Raw Data'!$B:$B,0)+2),INDEX('Player Raw Data'!E:E,Match($A444,'Player Raw Data'!$B:$B,0))),"")</f>
        <v/>
      </c>
      <c r="E444" t="str">
        <f t="array" ref="E444">IFERROR(INDEX('Day Range Raw Data'!D:D,Match($A444,'Day Range Raw Data'!$B:$B,0)),"")</f>
        <v/>
      </c>
      <c r="F444" t="str">
        <f t="array" ref="F444">IFERROR(INDEX('Day Range Raw Data'!F:F,Match($A444,'Day Range Raw Data'!$B:$B,0)),"")</f>
        <v/>
      </c>
      <c r="G444" t="str">
        <f t="array" ref="G444">IFERROR(INDEX('Day Range Raw Data'!G:G,Match($A444,'Day Range Raw Data'!$B:$B,0)),"")</f>
        <v/>
      </c>
      <c r="H444" t="str">
        <f t="array" ref="H444">IFERROR(INDEX('Day Range Raw Data'!H:H,Match($A444,'Day Range Raw Data'!$B:$B,0)),"")</f>
        <v/>
      </c>
      <c r="I444" t="str">
        <f t="array" ref="I444">IFERROR(INDEX('Day Range Raw Data'!M:M,Match($A444,'Day Range Raw Data'!$B:$B,0)),"")</f>
        <v/>
      </c>
      <c r="J444" t="str">
        <f t="array" ref="J444">IFERROR(INDEX('Day Range Raw Data'!N:N,Match($A444,'Day Range Raw Data'!$B:$B,0)),"")</f>
        <v/>
      </c>
      <c r="K444" t="str">
        <f t="array" ref="K444">IFERROR(INDEX('Day Range Raw Data'!R:R,Match($A444,'Day Range Raw Data'!$B:$B,0)),"")</f>
        <v/>
      </c>
      <c r="L444" t="str">
        <f t="array" ref="L444">IFERROR(INDEX('Day Range Raw Data'!S:S,Match($A444,'Day Range Raw Data'!$B:$B,0)),"")</f>
        <v/>
      </c>
      <c r="M444" t="str">
        <f t="array" ref="M444">IFERROR(INDEX('Day Range Raw Data'!T:T,Match($A444,'Day Range Raw Data'!$B:$B,0)),"")</f>
        <v/>
      </c>
      <c r="N444" t="str">
        <f t="array" ref="N444">IFERROR(INDEX('Day Range Raw Data'!U:U,Match($A444,'Day Range Raw Data'!$B:$B,0)),"")</f>
        <v/>
      </c>
      <c r="O444" t="str">
        <f t="array" ref="O444">IFERROR(INDEX('Day Range Raw Data'!V:V,Match($A444,'Day Range Raw Data'!$B:$B,0)),"")</f>
        <v/>
      </c>
      <c r="P444" t="str">
        <f t="array" ref="P444">IFERROR(INDEX('Day Range Raw Data'!X:X,Match($A444,'Day Range Raw Data'!$B:$B,0)),"")</f>
        <v/>
      </c>
      <c r="Q444" t="str">
        <f t="shared" si="1"/>
        <v/>
      </c>
      <c r="R444" s="9" t="str">
        <f t="shared" si="2"/>
        <v/>
      </c>
      <c r="S444" s="14" t="str">
        <f t="shared" si="3"/>
        <v/>
      </c>
      <c r="T444" s="15" t="str">
        <f>IFERROR(__xludf.DUMMYFUNCTION("IF($A444="""","""",IFERROR(PERCENTRANK.INC(FILTER(Q:Q,$F:$F&lt;&gt;""""),Q444)*100,""""))"),"")</f>
        <v/>
      </c>
      <c r="U444" s="15" t="str">
        <f>IFERROR(__xludf.DUMMYFUNCTION("IF($A444="""","""",IFERROR(PERCENTRANK.INC(FILTER(R:R,$F:$F&lt;&gt;""""),R444)*100,""""))"),"")</f>
        <v/>
      </c>
      <c r="V444" s="15" t="str">
        <f>IFERROR(__xludf.DUMMYFUNCTION("IF($A444="""","""",IFERROR(PERCENTRANK.INC(FILTER(S:S,$F:$F&lt;&gt;""""),S444)*100,""""))"),"")</f>
        <v/>
      </c>
      <c r="W444" s="15" t="str">
        <f t="shared" si="4"/>
        <v/>
      </c>
    </row>
    <row r="445">
      <c r="B445" t="str">
        <f t="array" ref="B445">IFERROR(INDEX('Player Raw Data'!C:C,Match($A445,'Player Raw Data'!$B:$B,0)),"")</f>
        <v/>
      </c>
      <c r="C445" t="str">
        <f t="array" ref="C445">IFERROR(INDEX('Player Raw Data'!D:D,Match($A445,'Player Raw Data'!$B:$B,0)),"")</f>
        <v/>
      </c>
      <c r="D445" t="str">
        <f t="array" ref="D445">IFERROR(IF(A445=A444, INDEX('Player Raw Data'!E:E,Match($A445,'Player Raw Data'!$B:$B,0)+2),INDEX('Player Raw Data'!E:E,Match($A445,'Player Raw Data'!$B:$B,0))),"")</f>
        <v/>
      </c>
      <c r="E445" t="str">
        <f t="array" ref="E445">IFERROR(INDEX('Day Range Raw Data'!D:D,Match($A445,'Day Range Raw Data'!$B:$B,0)),"")</f>
        <v/>
      </c>
      <c r="F445" t="str">
        <f t="array" ref="F445">IFERROR(INDEX('Day Range Raw Data'!F:F,Match($A445,'Day Range Raw Data'!$B:$B,0)),"")</f>
        <v/>
      </c>
      <c r="G445" t="str">
        <f t="array" ref="G445">IFERROR(INDEX('Day Range Raw Data'!G:G,Match($A445,'Day Range Raw Data'!$B:$B,0)),"")</f>
        <v/>
      </c>
      <c r="H445" t="str">
        <f t="array" ref="H445">IFERROR(INDEX('Day Range Raw Data'!H:H,Match($A445,'Day Range Raw Data'!$B:$B,0)),"")</f>
        <v/>
      </c>
      <c r="I445" t="str">
        <f t="array" ref="I445">IFERROR(INDEX('Day Range Raw Data'!M:M,Match($A445,'Day Range Raw Data'!$B:$B,0)),"")</f>
        <v/>
      </c>
      <c r="J445" t="str">
        <f t="array" ref="J445">IFERROR(INDEX('Day Range Raw Data'!N:N,Match($A445,'Day Range Raw Data'!$B:$B,0)),"")</f>
        <v/>
      </c>
      <c r="K445" t="str">
        <f t="array" ref="K445">IFERROR(INDEX('Day Range Raw Data'!R:R,Match($A445,'Day Range Raw Data'!$B:$B,0)),"")</f>
        <v/>
      </c>
      <c r="L445" t="str">
        <f t="array" ref="L445">IFERROR(INDEX('Day Range Raw Data'!S:S,Match($A445,'Day Range Raw Data'!$B:$B,0)),"")</f>
        <v/>
      </c>
      <c r="M445" t="str">
        <f t="array" ref="M445">IFERROR(INDEX('Day Range Raw Data'!T:T,Match($A445,'Day Range Raw Data'!$B:$B,0)),"")</f>
        <v/>
      </c>
      <c r="N445" t="str">
        <f t="array" ref="N445">IFERROR(INDEX('Day Range Raw Data'!U:U,Match($A445,'Day Range Raw Data'!$B:$B,0)),"")</f>
        <v/>
      </c>
      <c r="O445" t="str">
        <f t="array" ref="O445">IFERROR(INDEX('Day Range Raw Data'!V:V,Match($A445,'Day Range Raw Data'!$B:$B,0)),"")</f>
        <v/>
      </c>
      <c r="P445" t="str">
        <f t="array" ref="P445">IFERROR(INDEX('Day Range Raw Data'!X:X,Match($A445,'Day Range Raw Data'!$B:$B,0)),"")</f>
        <v/>
      </c>
      <c r="Q445" t="str">
        <f t="shared" si="1"/>
        <v/>
      </c>
      <c r="R445" s="9" t="str">
        <f t="shared" si="2"/>
        <v/>
      </c>
      <c r="S445" s="14" t="str">
        <f t="shared" si="3"/>
        <v/>
      </c>
      <c r="T445" s="15" t="str">
        <f>IFERROR(__xludf.DUMMYFUNCTION("IF($A445="""","""",IFERROR(PERCENTRANK.INC(FILTER(Q:Q,$F:$F&lt;&gt;""""),Q445)*100,""""))"),"")</f>
        <v/>
      </c>
      <c r="U445" s="15" t="str">
        <f>IFERROR(__xludf.DUMMYFUNCTION("IF($A445="""","""",IFERROR(PERCENTRANK.INC(FILTER(R:R,$F:$F&lt;&gt;""""),R445)*100,""""))"),"")</f>
        <v/>
      </c>
      <c r="V445" s="15" t="str">
        <f>IFERROR(__xludf.DUMMYFUNCTION("IF($A445="""","""",IFERROR(PERCENTRANK.INC(FILTER(S:S,$F:$F&lt;&gt;""""),S445)*100,""""))"),"")</f>
        <v/>
      </c>
      <c r="W445" s="15" t="str">
        <f t="shared" si="4"/>
        <v/>
      </c>
    </row>
    <row r="446">
      <c r="B446" t="str">
        <f t="array" ref="B446">IFERROR(INDEX('Player Raw Data'!C:C,Match($A446,'Player Raw Data'!$B:$B,0)),"")</f>
        <v/>
      </c>
      <c r="C446" t="str">
        <f t="array" ref="C446">IFERROR(INDEX('Player Raw Data'!D:D,Match($A446,'Player Raw Data'!$B:$B,0)),"")</f>
        <v/>
      </c>
      <c r="D446" t="str">
        <f t="array" ref="D446">IFERROR(IF(A446=A445, INDEX('Player Raw Data'!E:E,Match($A446,'Player Raw Data'!$B:$B,0)+2),INDEX('Player Raw Data'!E:E,Match($A446,'Player Raw Data'!$B:$B,0))),"")</f>
        <v/>
      </c>
      <c r="E446" t="str">
        <f t="array" ref="E446">IFERROR(INDEX('Day Range Raw Data'!D:D,Match($A446,'Day Range Raw Data'!$B:$B,0)),"")</f>
        <v/>
      </c>
      <c r="F446" t="str">
        <f t="array" ref="F446">IFERROR(INDEX('Day Range Raw Data'!F:F,Match($A446,'Day Range Raw Data'!$B:$B,0)),"")</f>
        <v/>
      </c>
      <c r="G446" t="str">
        <f t="array" ref="G446">IFERROR(INDEX('Day Range Raw Data'!G:G,Match($A446,'Day Range Raw Data'!$B:$B,0)),"")</f>
        <v/>
      </c>
      <c r="H446" t="str">
        <f t="array" ref="H446">IFERROR(INDEX('Day Range Raw Data'!H:H,Match($A446,'Day Range Raw Data'!$B:$B,0)),"")</f>
        <v/>
      </c>
      <c r="I446" t="str">
        <f t="array" ref="I446">IFERROR(INDEX('Day Range Raw Data'!M:M,Match($A446,'Day Range Raw Data'!$B:$B,0)),"")</f>
        <v/>
      </c>
      <c r="J446" t="str">
        <f t="array" ref="J446">IFERROR(INDEX('Day Range Raw Data'!N:N,Match($A446,'Day Range Raw Data'!$B:$B,0)),"")</f>
        <v/>
      </c>
      <c r="K446" t="str">
        <f t="array" ref="K446">IFERROR(INDEX('Day Range Raw Data'!R:R,Match($A446,'Day Range Raw Data'!$B:$B,0)),"")</f>
        <v/>
      </c>
      <c r="L446" t="str">
        <f t="array" ref="L446">IFERROR(INDEX('Day Range Raw Data'!S:S,Match($A446,'Day Range Raw Data'!$B:$B,0)),"")</f>
        <v/>
      </c>
      <c r="M446" t="str">
        <f t="array" ref="M446">IFERROR(INDEX('Day Range Raw Data'!T:T,Match($A446,'Day Range Raw Data'!$B:$B,0)),"")</f>
        <v/>
      </c>
      <c r="N446" t="str">
        <f t="array" ref="N446">IFERROR(INDEX('Day Range Raw Data'!U:U,Match($A446,'Day Range Raw Data'!$B:$B,0)),"")</f>
        <v/>
      </c>
      <c r="O446" t="str">
        <f t="array" ref="O446">IFERROR(INDEX('Day Range Raw Data'!V:V,Match($A446,'Day Range Raw Data'!$B:$B,0)),"")</f>
        <v/>
      </c>
      <c r="P446" t="str">
        <f t="array" ref="P446">IFERROR(INDEX('Day Range Raw Data'!X:X,Match($A446,'Day Range Raw Data'!$B:$B,0)),"")</f>
        <v/>
      </c>
      <c r="Q446" t="str">
        <f t="shared" si="1"/>
        <v/>
      </c>
      <c r="R446" s="9" t="str">
        <f t="shared" si="2"/>
        <v/>
      </c>
      <c r="S446" s="14" t="str">
        <f t="shared" si="3"/>
        <v/>
      </c>
      <c r="T446" s="15" t="str">
        <f>IFERROR(__xludf.DUMMYFUNCTION("IF($A446="""","""",IFERROR(PERCENTRANK.INC(FILTER(Q:Q,$F:$F&lt;&gt;""""),Q446)*100,""""))"),"")</f>
        <v/>
      </c>
      <c r="U446" s="15" t="str">
        <f>IFERROR(__xludf.DUMMYFUNCTION("IF($A446="""","""",IFERROR(PERCENTRANK.INC(FILTER(R:R,$F:$F&lt;&gt;""""),R446)*100,""""))"),"")</f>
        <v/>
      </c>
      <c r="V446" s="15" t="str">
        <f>IFERROR(__xludf.DUMMYFUNCTION("IF($A446="""","""",IFERROR(PERCENTRANK.INC(FILTER(S:S,$F:$F&lt;&gt;""""),S446)*100,""""))"),"")</f>
        <v/>
      </c>
      <c r="W446" s="15" t="str">
        <f t="shared" si="4"/>
        <v/>
      </c>
    </row>
    <row r="447">
      <c r="B447" t="str">
        <f t="array" ref="B447">IFERROR(INDEX('Player Raw Data'!C:C,Match($A447,'Player Raw Data'!$B:$B,0)),"")</f>
        <v/>
      </c>
      <c r="C447" t="str">
        <f t="array" ref="C447">IFERROR(INDEX('Player Raw Data'!D:D,Match($A447,'Player Raw Data'!$B:$B,0)),"")</f>
        <v/>
      </c>
      <c r="D447" t="str">
        <f t="array" ref="D447">IFERROR(IF(A447=A446, INDEX('Player Raw Data'!E:E,Match($A447,'Player Raw Data'!$B:$B,0)+2),INDEX('Player Raw Data'!E:E,Match($A447,'Player Raw Data'!$B:$B,0))),"")</f>
        <v/>
      </c>
      <c r="E447" t="str">
        <f t="array" ref="E447">IFERROR(INDEX('Day Range Raw Data'!D:D,Match($A447,'Day Range Raw Data'!$B:$B,0)),"")</f>
        <v/>
      </c>
      <c r="F447" t="str">
        <f t="array" ref="F447">IFERROR(INDEX('Day Range Raw Data'!F:F,Match($A447,'Day Range Raw Data'!$B:$B,0)),"")</f>
        <v/>
      </c>
      <c r="G447" t="str">
        <f t="array" ref="G447">IFERROR(INDEX('Day Range Raw Data'!G:G,Match($A447,'Day Range Raw Data'!$B:$B,0)),"")</f>
        <v/>
      </c>
      <c r="H447" t="str">
        <f t="array" ref="H447">IFERROR(INDEX('Day Range Raw Data'!H:H,Match($A447,'Day Range Raw Data'!$B:$B,0)),"")</f>
        <v/>
      </c>
      <c r="I447" t="str">
        <f t="array" ref="I447">IFERROR(INDEX('Day Range Raw Data'!M:M,Match($A447,'Day Range Raw Data'!$B:$B,0)),"")</f>
        <v/>
      </c>
      <c r="J447" t="str">
        <f t="array" ref="J447">IFERROR(INDEX('Day Range Raw Data'!N:N,Match($A447,'Day Range Raw Data'!$B:$B,0)),"")</f>
        <v/>
      </c>
      <c r="K447" t="str">
        <f t="array" ref="K447">IFERROR(INDEX('Day Range Raw Data'!R:R,Match($A447,'Day Range Raw Data'!$B:$B,0)),"")</f>
        <v/>
      </c>
      <c r="L447" t="str">
        <f t="array" ref="L447">IFERROR(INDEX('Day Range Raw Data'!S:S,Match($A447,'Day Range Raw Data'!$B:$B,0)),"")</f>
        <v/>
      </c>
      <c r="M447" t="str">
        <f t="array" ref="M447">IFERROR(INDEX('Day Range Raw Data'!T:T,Match($A447,'Day Range Raw Data'!$B:$B,0)),"")</f>
        <v/>
      </c>
      <c r="N447" t="str">
        <f t="array" ref="N447">IFERROR(INDEX('Day Range Raw Data'!U:U,Match($A447,'Day Range Raw Data'!$B:$B,0)),"")</f>
        <v/>
      </c>
      <c r="O447" t="str">
        <f t="array" ref="O447">IFERROR(INDEX('Day Range Raw Data'!V:V,Match($A447,'Day Range Raw Data'!$B:$B,0)),"")</f>
        <v/>
      </c>
      <c r="P447" t="str">
        <f t="array" ref="P447">IFERROR(INDEX('Day Range Raw Data'!X:X,Match($A447,'Day Range Raw Data'!$B:$B,0)),"")</f>
        <v/>
      </c>
      <c r="Q447" t="str">
        <f t="shared" si="1"/>
        <v/>
      </c>
      <c r="R447" s="9" t="str">
        <f t="shared" si="2"/>
        <v/>
      </c>
      <c r="S447" s="14" t="str">
        <f t="shared" si="3"/>
        <v/>
      </c>
      <c r="T447" s="15" t="str">
        <f>IFERROR(__xludf.DUMMYFUNCTION("IF($A447="""","""",IFERROR(PERCENTRANK.INC(FILTER(Q:Q,$F:$F&lt;&gt;""""),Q447)*100,""""))"),"")</f>
        <v/>
      </c>
      <c r="U447" s="15" t="str">
        <f>IFERROR(__xludf.DUMMYFUNCTION("IF($A447="""","""",IFERROR(PERCENTRANK.INC(FILTER(R:R,$F:$F&lt;&gt;""""),R447)*100,""""))"),"")</f>
        <v/>
      </c>
      <c r="V447" s="15" t="str">
        <f>IFERROR(__xludf.DUMMYFUNCTION("IF($A447="""","""",IFERROR(PERCENTRANK.INC(FILTER(S:S,$F:$F&lt;&gt;""""),S447)*100,""""))"),"")</f>
        <v/>
      </c>
      <c r="W447" s="15" t="str">
        <f t="shared" si="4"/>
        <v/>
      </c>
    </row>
    <row r="448">
      <c r="B448" t="str">
        <f t="array" ref="B448">IFERROR(INDEX('Player Raw Data'!C:C,Match($A448,'Player Raw Data'!$B:$B,0)),"")</f>
        <v/>
      </c>
      <c r="C448" t="str">
        <f t="array" ref="C448">IFERROR(INDEX('Player Raw Data'!D:D,Match($A448,'Player Raw Data'!$B:$B,0)),"")</f>
        <v/>
      </c>
      <c r="D448" t="str">
        <f t="array" ref="D448">IFERROR(IF(A448=A447, INDEX('Player Raw Data'!E:E,Match($A448,'Player Raw Data'!$B:$B,0)+2),INDEX('Player Raw Data'!E:E,Match($A448,'Player Raw Data'!$B:$B,0))),"")</f>
        <v/>
      </c>
      <c r="E448" t="str">
        <f t="array" ref="E448">IFERROR(INDEX('Day Range Raw Data'!D:D,Match($A448,'Day Range Raw Data'!$B:$B,0)),"")</f>
        <v/>
      </c>
      <c r="F448" t="str">
        <f t="array" ref="F448">IFERROR(INDEX('Day Range Raw Data'!F:F,Match($A448,'Day Range Raw Data'!$B:$B,0)),"")</f>
        <v/>
      </c>
      <c r="G448" t="str">
        <f t="array" ref="G448">IFERROR(INDEX('Day Range Raw Data'!G:G,Match($A448,'Day Range Raw Data'!$B:$B,0)),"")</f>
        <v/>
      </c>
      <c r="H448" t="str">
        <f t="array" ref="H448">IFERROR(INDEX('Day Range Raw Data'!H:H,Match($A448,'Day Range Raw Data'!$B:$B,0)),"")</f>
        <v/>
      </c>
      <c r="I448" t="str">
        <f t="array" ref="I448">IFERROR(INDEX('Day Range Raw Data'!M:M,Match($A448,'Day Range Raw Data'!$B:$B,0)),"")</f>
        <v/>
      </c>
      <c r="J448" t="str">
        <f t="array" ref="J448">IFERROR(INDEX('Day Range Raw Data'!N:N,Match($A448,'Day Range Raw Data'!$B:$B,0)),"")</f>
        <v/>
      </c>
      <c r="K448" t="str">
        <f t="array" ref="K448">IFERROR(INDEX('Day Range Raw Data'!R:R,Match($A448,'Day Range Raw Data'!$B:$B,0)),"")</f>
        <v/>
      </c>
      <c r="L448" t="str">
        <f t="array" ref="L448">IFERROR(INDEX('Day Range Raw Data'!S:S,Match($A448,'Day Range Raw Data'!$B:$B,0)),"")</f>
        <v/>
      </c>
      <c r="M448" t="str">
        <f t="array" ref="M448">IFERROR(INDEX('Day Range Raw Data'!T:T,Match($A448,'Day Range Raw Data'!$B:$B,0)),"")</f>
        <v/>
      </c>
      <c r="N448" t="str">
        <f t="array" ref="N448">IFERROR(INDEX('Day Range Raw Data'!U:U,Match($A448,'Day Range Raw Data'!$B:$B,0)),"")</f>
        <v/>
      </c>
      <c r="O448" t="str">
        <f t="array" ref="O448">IFERROR(INDEX('Day Range Raw Data'!V:V,Match($A448,'Day Range Raw Data'!$B:$B,0)),"")</f>
        <v/>
      </c>
      <c r="P448" t="str">
        <f t="array" ref="P448">IFERROR(INDEX('Day Range Raw Data'!X:X,Match($A448,'Day Range Raw Data'!$B:$B,0)),"")</f>
        <v/>
      </c>
      <c r="Q448" t="str">
        <f t="shared" si="1"/>
        <v/>
      </c>
      <c r="R448" s="9" t="str">
        <f t="shared" si="2"/>
        <v/>
      </c>
      <c r="S448" s="14" t="str">
        <f t="shared" si="3"/>
        <v/>
      </c>
      <c r="T448" s="15" t="str">
        <f>IFERROR(__xludf.DUMMYFUNCTION("IF($A448="""","""",IFERROR(PERCENTRANK.INC(FILTER(Q:Q,$F:$F&lt;&gt;""""),Q448)*100,""""))"),"")</f>
        <v/>
      </c>
      <c r="U448" s="15" t="str">
        <f>IFERROR(__xludf.DUMMYFUNCTION("IF($A448="""","""",IFERROR(PERCENTRANK.INC(FILTER(R:R,$F:$F&lt;&gt;""""),R448)*100,""""))"),"")</f>
        <v/>
      </c>
      <c r="V448" s="15" t="str">
        <f>IFERROR(__xludf.DUMMYFUNCTION("IF($A448="""","""",IFERROR(PERCENTRANK.INC(FILTER(S:S,$F:$F&lt;&gt;""""),S448)*100,""""))"),"")</f>
        <v/>
      </c>
      <c r="W448" s="15" t="str">
        <f t="shared" si="4"/>
        <v/>
      </c>
    </row>
    <row r="449">
      <c r="B449" t="str">
        <f t="array" ref="B449">IFERROR(INDEX('Player Raw Data'!C:C,Match($A449,'Player Raw Data'!$B:$B,0)),"")</f>
        <v/>
      </c>
      <c r="C449" t="str">
        <f t="array" ref="C449">IFERROR(INDEX('Player Raw Data'!D:D,Match($A449,'Player Raw Data'!$B:$B,0)),"")</f>
        <v/>
      </c>
      <c r="D449" t="str">
        <f t="array" ref="D449">IFERROR(IF(A449=A448, INDEX('Player Raw Data'!E:E,Match($A449,'Player Raw Data'!$B:$B,0)+2),INDEX('Player Raw Data'!E:E,Match($A449,'Player Raw Data'!$B:$B,0))),"")</f>
        <v/>
      </c>
      <c r="E449" t="str">
        <f t="array" ref="E449">IFERROR(INDEX('Day Range Raw Data'!D:D,Match($A449,'Day Range Raw Data'!$B:$B,0)),"")</f>
        <v/>
      </c>
      <c r="F449" t="str">
        <f t="array" ref="F449">IFERROR(INDEX('Day Range Raw Data'!F:F,Match($A449,'Day Range Raw Data'!$B:$B,0)),"")</f>
        <v/>
      </c>
      <c r="G449" t="str">
        <f t="array" ref="G449">IFERROR(INDEX('Day Range Raw Data'!G:G,Match($A449,'Day Range Raw Data'!$B:$B,0)),"")</f>
        <v/>
      </c>
      <c r="H449" t="str">
        <f t="array" ref="H449">IFERROR(INDEX('Day Range Raw Data'!H:H,Match($A449,'Day Range Raw Data'!$B:$B,0)),"")</f>
        <v/>
      </c>
      <c r="I449" t="str">
        <f t="array" ref="I449">IFERROR(INDEX('Day Range Raw Data'!M:M,Match($A449,'Day Range Raw Data'!$B:$B,0)),"")</f>
        <v/>
      </c>
      <c r="J449" t="str">
        <f t="array" ref="J449">IFERROR(INDEX('Day Range Raw Data'!N:N,Match($A449,'Day Range Raw Data'!$B:$B,0)),"")</f>
        <v/>
      </c>
      <c r="K449" t="str">
        <f t="array" ref="K449">IFERROR(INDEX('Day Range Raw Data'!R:R,Match($A449,'Day Range Raw Data'!$B:$B,0)),"")</f>
        <v/>
      </c>
      <c r="L449" t="str">
        <f t="array" ref="L449">IFERROR(INDEX('Day Range Raw Data'!S:S,Match($A449,'Day Range Raw Data'!$B:$B,0)),"")</f>
        <v/>
      </c>
      <c r="M449" t="str">
        <f t="array" ref="M449">IFERROR(INDEX('Day Range Raw Data'!T:T,Match($A449,'Day Range Raw Data'!$B:$B,0)),"")</f>
        <v/>
      </c>
      <c r="N449" t="str">
        <f t="array" ref="N449">IFERROR(INDEX('Day Range Raw Data'!U:U,Match($A449,'Day Range Raw Data'!$B:$B,0)),"")</f>
        <v/>
      </c>
      <c r="O449" t="str">
        <f t="array" ref="O449">IFERROR(INDEX('Day Range Raw Data'!V:V,Match($A449,'Day Range Raw Data'!$B:$B,0)),"")</f>
        <v/>
      </c>
      <c r="P449" t="str">
        <f t="array" ref="P449">IFERROR(INDEX('Day Range Raw Data'!X:X,Match($A449,'Day Range Raw Data'!$B:$B,0)),"")</f>
        <v/>
      </c>
      <c r="Q449" t="str">
        <f t="shared" si="1"/>
        <v/>
      </c>
      <c r="R449" s="9" t="str">
        <f t="shared" si="2"/>
        <v/>
      </c>
      <c r="S449" s="14" t="str">
        <f t="shared" si="3"/>
        <v/>
      </c>
      <c r="T449" s="15" t="str">
        <f>IFERROR(__xludf.DUMMYFUNCTION("IF($A449="""","""",IFERROR(PERCENTRANK.INC(FILTER(Q:Q,$F:$F&lt;&gt;""""),Q449)*100,""""))"),"")</f>
        <v/>
      </c>
      <c r="U449" s="15" t="str">
        <f>IFERROR(__xludf.DUMMYFUNCTION("IF($A449="""","""",IFERROR(PERCENTRANK.INC(FILTER(R:R,$F:$F&lt;&gt;""""),R449)*100,""""))"),"")</f>
        <v/>
      </c>
      <c r="V449" s="15" t="str">
        <f>IFERROR(__xludf.DUMMYFUNCTION("IF($A449="""","""",IFERROR(PERCENTRANK.INC(FILTER(S:S,$F:$F&lt;&gt;""""),S449)*100,""""))"),"")</f>
        <v/>
      </c>
      <c r="W449" s="15" t="str">
        <f t="shared" si="4"/>
        <v/>
      </c>
    </row>
    <row r="450">
      <c r="B450" t="str">
        <f t="array" ref="B450">IFERROR(INDEX('Player Raw Data'!C:C,Match($A450,'Player Raw Data'!$B:$B,0)),"")</f>
        <v/>
      </c>
      <c r="C450" t="str">
        <f t="array" ref="C450">IFERROR(INDEX('Player Raw Data'!D:D,Match($A450,'Player Raw Data'!$B:$B,0)),"")</f>
        <v/>
      </c>
      <c r="D450" t="str">
        <f t="array" ref="D450">IFERROR(IF(A450=A449, INDEX('Player Raw Data'!E:E,Match($A450,'Player Raw Data'!$B:$B,0)+2),INDEX('Player Raw Data'!E:E,Match($A450,'Player Raw Data'!$B:$B,0))),"")</f>
        <v/>
      </c>
      <c r="E450" t="str">
        <f t="array" ref="E450">IFERROR(INDEX('Day Range Raw Data'!D:D,Match($A450,'Day Range Raw Data'!$B:$B,0)),"")</f>
        <v/>
      </c>
      <c r="F450" t="str">
        <f t="array" ref="F450">IFERROR(INDEX('Day Range Raw Data'!F:F,Match($A450,'Day Range Raw Data'!$B:$B,0)),"")</f>
        <v/>
      </c>
      <c r="G450" t="str">
        <f t="array" ref="G450">IFERROR(INDEX('Day Range Raw Data'!G:G,Match($A450,'Day Range Raw Data'!$B:$B,0)),"")</f>
        <v/>
      </c>
      <c r="H450" t="str">
        <f t="array" ref="H450">IFERROR(INDEX('Day Range Raw Data'!H:H,Match($A450,'Day Range Raw Data'!$B:$B,0)),"")</f>
        <v/>
      </c>
      <c r="I450" t="str">
        <f t="array" ref="I450">IFERROR(INDEX('Day Range Raw Data'!M:M,Match($A450,'Day Range Raw Data'!$B:$B,0)),"")</f>
        <v/>
      </c>
      <c r="J450" t="str">
        <f t="array" ref="J450">IFERROR(INDEX('Day Range Raw Data'!N:N,Match($A450,'Day Range Raw Data'!$B:$B,0)),"")</f>
        <v/>
      </c>
      <c r="K450" t="str">
        <f t="array" ref="K450">IFERROR(INDEX('Day Range Raw Data'!R:R,Match($A450,'Day Range Raw Data'!$B:$B,0)),"")</f>
        <v/>
      </c>
      <c r="L450" t="str">
        <f t="array" ref="L450">IFERROR(INDEX('Day Range Raw Data'!S:S,Match($A450,'Day Range Raw Data'!$B:$B,0)),"")</f>
        <v/>
      </c>
      <c r="M450" t="str">
        <f t="array" ref="M450">IFERROR(INDEX('Day Range Raw Data'!T:T,Match($A450,'Day Range Raw Data'!$B:$B,0)),"")</f>
        <v/>
      </c>
      <c r="N450" t="str">
        <f t="array" ref="N450">IFERROR(INDEX('Day Range Raw Data'!U:U,Match($A450,'Day Range Raw Data'!$B:$B,0)),"")</f>
        <v/>
      </c>
      <c r="O450" t="str">
        <f t="array" ref="O450">IFERROR(INDEX('Day Range Raw Data'!V:V,Match($A450,'Day Range Raw Data'!$B:$B,0)),"")</f>
        <v/>
      </c>
      <c r="P450" t="str">
        <f t="array" ref="P450">IFERROR(INDEX('Day Range Raw Data'!X:X,Match($A450,'Day Range Raw Data'!$B:$B,0)),"")</f>
        <v/>
      </c>
      <c r="Q450" t="str">
        <f t="shared" si="1"/>
        <v/>
      </c>
      <c r="R450" s="9" t="str">
        <f t="shared" si="2"/>
        <v/>
      </c>
      <c r="S450" s="14" t="str">
        <f t="shared" si="3"/>
        <v/>
      </c>
      <c r="T450" s="15" t="str">
        <f>IFERROR(__xludf.DUMMYFUNCTION("IF($A450="""","""",IFERROR(PERCENTRANK.INC(FILTER(Q:Q,$F:$F&lt;&gt;""""),Q450)*100,""""))"),"")</f>
        <v/>
      </c>
      <c r="U450" s="15" t="str">
        <f>IFERROR(__xludf.DUMMYFUNCTION("IF($A450="""","""",IFERROR(PERCENTRANK.INC(FILTER(R:R,$F:$F&lt;&gt;""""),R450)*100,""""))"),"")</f>
        <v/>
      </c>
      <c r="V450" s="15" t="str">
        <f>IFERROR(__xludf.DUMMYFUNCTION("IF($A450="""","""",IFERROR(PERCENTRANK.INC(FILTER(S:S,$F:$F&lt;&gt;""""),S450)*100,""""))"),"")</f>
        <v/>
      </c>
      <c r="W450" s="15" t="str">
        <f t="shared" si="4"/>
        <v/>
      </c>
    </row>
    <row r="451">
      <c r="B451" t="str">
        <f t="array" ref="B451">IFERROR(INDEX('Player Raw Data'!C:C,Match($A451,'Player Raw Data'!$B:$B,0)),"")</f>
        <v/>
      </c>
      <c r="C451" t="str">
        <f t="array" ref="C451">IFERROR(INDEX('Player Raw Data'!D:D,Match($A451,'Player Raw Data'!$B:$B,0)),"")</f>
        <v/>
      </c>
      <c r="D451" t="str">
        <f t="array" ref="D451">IFERROR(IF(A451=A450, INDEX('Player Raw Data'!E:E,Match($A451,'Player Raw Data'!$B:$B,0)+2),INDEX('Player Raw Data'!E:E,Match($A451,'Player Raw Data'!$B:$B,0))),"")</f>
        <v/>
      </c>
      <c r="E451" t="str">
        <f t="array" ref="E451">IFERROR(INDEX('Day Range Raw Data'!D:D,Match($A451,'Day Range Raw Data'!$B:$B,0)),"")</f>
        <v/>
      </c>
      <c r="F451" t="str">
        <f t="array" ref="F451">IFERROR(INDEX('Day Range Raw Data'!F:F,Match($A451,'Day Range Raw Data'!$B:$B,0)),"")</f>
        <v/>
      </c>
      <c r="G451" t="str">
        <f t="array" ref="G451">IFERROR(INDEX('Day Range Raw Data'!G:G,Match($A451,'Day Range Raw Data'!$B:$B,0)),"")</f>
        <v/>
      </c>
      <c r="H451" t="str">
        <f t="array" ref="H451">IFERROR(INDEX('Day Range Raw Data'!H:H,Match($A451,'Day Range Raw Data'!$B:$B,0)),"")</f>
        <v/>
      </c>
      <c r="I451" t="str">
        <f t="array" ref="I451">IFERROR(INDEX('Day Range Raw Data'!M:M,Match($A451,'Day Range Raw Data'!$B:$B,0)),"")</f>
        <v/>
      </c>
      <c r="J451" t="str">
        <f t="array" ref="J451">IFERROR(INDEX('Day Range Raw Data'!N:N,Match($A451,'Day Range Raw Data'!$B:$B,0)),"")</f>
        <v/>
      </c>
      <c r="K451" t="str">
        <f t="array" ref="K451">IFERROR(INDEX('Day Range Raw Data'!R:R,Match($A451,'Day Range Raw Data'!$B:$B,0)),"")</f>
        <v/>
      </c>
      <c r="L451" t="str">
        <f t="array" ref="L451">IFERROR(INDEX('Day Range Raw Data'!S:S,Match($A451,'Day Range Raw Data'!$B:$B,0)),"")</f>
        <v/>
      </c>
      <c r="M451" t="str">
        <f t="array" ref="M451">IFERROR(INDEX('Day Range Raw Data'!T:T,Match($A451,'Day Range Raw Data'!$B:$B,0)),"")</f>
        <v/>
      </c>
      <c r="N451" t="str">
        <f t="array" ref="N451">IFERROR(INDEX('Day Range Raw Data'!U:U,Match($A451,'Day Range Raw Data'!$B:$B,0)),"")</f>
        <v/>
      </c>
      <c r="O451" t="str">
        <f t="array" ref="O451">IFERROR(INDEX('Day Range Raw Data'!V:V,Match($A451,'Day Range Raw Data'!$B:$B,0)),"")</f>
        <v/>
      </c>
      <c r="P451" t="str">
        <f t="array" ref="P451">IFERROR(INDEX('Day Range Raw Data'!X:X,Match($A451,'Day Range Raw Data'!$B:$B,0)),"")</f>
        <v/>
      </c>
      <c r="Q451" t="str">
        <f t="shared" si="1"/>
        <v/>
      </c>
      <c r="R451" s="9" t="str">
        <f t="shared" si="2"/>
        <v/>
      </c>
      <c r="S451" s="14" t="str">
        <f t="shared" si="3"/>
        <v/>
      </c>
      <c r="T451" s="15" t="str">
        <f>IFERROR(__xludf.DUMMYFUNCTION("IF($A451="""","""",IFERROR(PERCENTRANK.INC(FILTER(Q:Q,$F:$F&lt;&gt;""""),Q451)*100,""""))"),"")</f>
        <v/>
      </c>
      <c r="U451" s="15" t="str">
        <f>IFERROR(__xludf.DUMMYFUNCTION("IF($A451="""","""",IFERROR(PERCENTRANK.INC(FILTER(R:R,$F:$F&lt;&gt;""""),R451)*100,""""))"),"")</f>
        <v/>
      </c>
      <c r="V451" s="15" t="str">
        <f>IFERROR(__xludf.DUMMYFUNCTION("IF($A451="""","""",IFERROR(PERCENTRANK.INC(FILTER(S:S,$F:$F&lt;&gt;""""),S451)*100,""""))"),"")</f>
        <v/>
      </c>
      <c r="W451" s="15" t="str">
        <f t="shared" si="4"/>
        <v/>
      </c>
    </row>
    <row r="452">
      <c r="B452" t="str">
        <f t="array" ref="B452">IFERROR(INDEX('Player Raw Data'!C:C,Match($A452,'Player Raw Data'!$B:$B,0)),"")</f>
        <v/>
      </c>
      <c r="C452" t="str">
        <f t="array" ref="C452">IFERROR(INDEX('Player Raw Data'!D:D,Match($A452,'Player Raw Data'!$B:$B,0)),"")</f>
        <v/>
      </c>
      <c r="D452" t="str">
        <f t="array" ref="D452">IFERROR(IF(A452=A451, INDEX('Player Raw Data'!E:E,Match($A452,'Player Raw Data'!$B:$B,0)+2),INDEX('Player Raw Data'!E:E,Match($A452,'Player Raw Data'!$B:$B,0))),"")</f>
        <v/>
      </c>
      <c r="E452" t="str">
        <f t="array" ref="E452">IFERROR(INDEX('Day Range Raw Data'!D:D,Match($A452,'Day Range Raw Data'!$B:$B,0)),"")</f>
        <v/>
      </c>
      <c r="F452" t="str">
        <f t="array" ref="F452">IFERROR(INDEX('Day Range Raw Data'!F:F,Match($A452,'Day Range Raw Data'!$B:$B,0)),"")</f>
        <v/>
      </c>
      <c r="G452" t="str">
        <f t="array" ref="G452">IFERROR(INDEX('Day Range Raw Data'!G:G,Match($A452,'Day Range Raw Data'!$B:$B,0)),"")</f>
        <v/>
      </c>
      <c r="H452" t="str">
        <f t="array" ref="H452">IFERROR(INDEX('Day Range Raw Data'!H:H,Match($A452,'Day Range Raw Data'!$B:$B,0)),"")</f>
        <v/>
      </c>
      <c r="I452" t="str">
        <f t="array" ref="I452">IFERROR(INDEX('Day Range Raw Data'!M:M,Match($A452,'Day Range Raw Data'!$B:$B,0)),"")</f>
        <v/>
      </c>
      <c r="J452" t="str">
        <f t="array" ref="J452">IFERROR(INDEX('Day Range Raw Data'!N:N,Match($A452,'Day Range Raw Data'!$B:$B,0)),"")</f>
        <v/>
      </c>
      <c r="K452" t="str">
        <f t="array" ref="K452">IFERROR(INDEX('Day Range Raw Data'!R:R,Match($A452,'Day Range Raw Data'!$B:$B,0)),"")</f>
        <v/>
      </c>
      <c r="L452" t="str">
        <f t="array" ref="L452">IFERROR(INDEX('Day Range Raw Data'!S:S,Match($A452,'Day Range Raw Data'!$B:$B,0)),"")</f>
        <v/>
      </c>
      <c r="M452" t="str">
        <f t="array" ref="M452">IFERROR(INDEX('Day Range Raw Data'!T:T,Match($A452,'Day Range Raw Data'!$B:$B,0)),"")</f>
        <v/>
      </c>
      <c r="N452" t="str">
        <f t="array" ref="N452">IFERROR(INDEX('Day Range Raw Data'!U:U,Match($A452,'Day Range Raw Data'!$B:$B,0)),"")</f>
        <v/>
      </c>
      <c r="O452" t="str">
        <f t="array" ref="O452">IFERROR(INDEX('Day Range Raw Data'!V:V,Match($A452,'Day Range Raw Data'!$B:$B,0)),"")</f>
        <v/>
      </c>
      <c r="P452" t="str">
        <f t="array" ref="P452">IFERROR(INDEX('Day Range Raw Data'!X:X,Match($A452,'Day Range Raw Data'!$B:$B,0)),"")</f>
        <v/>
      </c>
      <c r="Q452" t="str">
        <f t="shared" si="1"/>
        <v/>
      </c>
      <c r="R452" s="9" t="str">
        <f t="shared" si="2"/>
        <v/>
      </c>
      <c r="S452" s="14" t="str">
        <f t="shared" si="3"/>
        <v/>
      </c>
      <c r="T452" s="15" t="str">
        <f>IFERROR(__xludf.DUMMYFUNCTION("IF($A452="""","""",IFERROR(PERCENTRANK.INC(FILTER(Q:Q,$F:$F&lt;&gt;""""),Q452)*100,""""))"),"")</f>
        <v/>
      </c>
      <c r="U452" s="15" t="str">
        <f>IFERROR(__xludf.DUMMYFUNCTION("IF($A452="""","""",IFERROR(PERCENTRANK.INC(FILTER(R:R,$F:$F&lt;&gt;""""),R452)*100,""""))"),"")</f>
        <v/>
      </c>
      <c r="V452" s="15" t="str">
        <f>IFERROR(__xludf.DUMMYFUNCTION("IF($A452="""","""",IFERROR(PERCENTRANK.INC(FILTER(S:S,$F:$F&lt;&gt;""""),S452)*100,""""))"),"")</f>
        <v/>
      </c>
      <c r="W452" s="15" t="str">
        <f t="shared" si="4"/>
        <v/>
      </c>
    </row>
    <row r="453">
      <c r="B453" t="str">
        <f t="array" ref="B453">IFERROR(INDEX('Player Raw Data'!C:C,Match($A453,'Player Raw Data'!$B:$B,0)),"")</f>
        <v/>
      </c>
      <c r="C453" t="str">
        <f t="array" ref="C453">IFERROR(INDEX('Player Raw Data'!D:D,Match($A453,'Player Raw Data'!$B:$B,0)),"")</f>
        <v/>
      </c>
      <c r="D453" t="str">
        <f t="array" ref="D453">IFERROR(IF(A453=A452, INDEX('Player Raw Data'!E:E,Match($A453,'Player Raw Data'!$B:$B,0)+2),INDEX('Player Raw Data'!E:E,Match($A453,'Player Raw Data'!$B:$B,0))),"")</f>
        <v/>
      </c>
      <c r="E453" t="str">
        <f t="array" ref="E453">IFERROR(INDEX('Day Range Raw Data'!D:D,Match($A453,'Day Range Raw Data'!$B:$B,0)),"")</f>
        <v/>
      </c>
      <c r="F453" t="str">
        <f t="array" ref="F453">IFERROR(INDEX('Day Range Raw Data'!F:F,Match($A453,'Day Range Raw Data'!$B:$B,0)),"")</f>
        <v/>
      </c>
      <c r="G453" t="str">
        <f t="array" ref="G453">IFERROR(INDEX('Day Range Raw Data'!G:G,Match($A453,'Day Range Raw Data'!$B:$B,0)),"")</f>
        <v/>
      </c>
      <c r="H453" t="str">
        <f t="array" ref="H453">IFERROR(INDEX('Day Range Raw Data'!H:H,Match($A453,'Day Range Raw Data'!$B:$B,0)),"")</f>
        <v/>
      </c>
      <c r="I453" t="str">
        <f t="array" ref="I453">IFERROR(INDEX('Day Range Raw Data'!M:M,Match($A453,'Day Range Raw Data'!$B:$B,0)),"")</f>
        <v/>
      </c>
      <c r="J453" t="str">
        <f t="array" ref="J453">IFERROR(INDEX('Day Range Raw Data'!N:N,Match($A453,'Day Range Raw Data'!$B:$B,0)),"")</f>
        <v/>
      </c>
      <c r="K453" t="str">
        <f t="array" ref="K453">IFERROR(INDEX('Day Range Raw Data'!R:R,Match($A453,'Day Range Raw Data'!$B:$B,0)),"")</f>
        <v/>
      </c>
      <c r="L453" t="str">
        <f t="array" ref="L453">IFERROR(INDEX('Day Range Raw Data'!S:S,Match($A453,'Day Range Raw Data'!$B:$B,0)),"")</f>
        <v/>
      </c>
      <c r="M453" t="str">
        <f t="array" ref="M453">IFERROR(INDEX('Day Range Raw Data'!T:T,Match($A453,'Day Range Raw Data'!$B:$B,0)),"")</f>
        <v/>
      </c>
      <c r="N453" t="str">
        <f t="array" ref="N453">IFERROR(INDEX('Day Range Raw Data'!U:U,Match($A453,'Day Range Raw Data'!$B:$B,0)),"")</f>
        <v/>
      </c>
      <c r="O453" t="str">
        <f t="array" ref="O453">IFERROR(INDEX('Day Range Raw Data'!V:V,Match($A453,'Day Range Raw Data'!$B:$B,0)),"")</f>
        <v/>
      </c>
      <c r="P453" t="str">
        <f t="array" ref="P453">IFERROR(INDEX('Day Range Raw Data'!X:X,Match($A453,'Day Range Raw Data'!$B:$B,0)),"")</f>
        <v/>
      </c>
      <c r="Q453" t="str">
        <f t="shared" si="1"/>
        <v/>
      </c>
      <c r="R453" s="9" t="str">
        <f t="shared" si="2"/>
        <v/>
      </c>
      <c r="S453" s="14" t="str">
        <f t="shared" si="3"/>
        <v/>
      </c>
      <c r="T453" s="15" t="str">
        <f>IFERROR(__xludf.DUMMYFUNCTION("IF($A453="""","""",IFERROR(PERCENTRANK.INC(FILTER(Q:Q,$F:$F&lt;&gt;""""),Q453)*100,""""))"),"")</f>
        <v/>
      </c>
      <c r="U453" s="15" t="str">
        <f>IFERROR(__xludf.DUMMYFUNCTION("IF($A453="""","""",IFERROR(PERCENTRANK.INC(FILTER(R:R,$F:$F&lt;&gt;""""),R453)*100,""""))"),"")</f>
        <v/>
      </c>
      <c r="V453" s="15" t="str">
        <f>IFERROR(__xludf.DUMMYFUNCTION("IF($A453="""","""",IFERROR(PERCENTRANK.INC(FILTER(S:S,$F:$F&lt;&gt;""""),S453)*100,""""))"),"")</f>
        <v/>
      </c>
      <c r="W453" s="15" t="str">
        <f t="shared" si="4"/>
        <v/>
      </c>
    </row>
    <row r="454">
      <c r="B454" t="str">
        <f t="array" ref="B454">IFERROR(INDEX('Player Raw Data'!C:C,Match($A454,'Player Raw Data'!$B:$B,0)),"")</f>
        <v/>
      </c>
      <c r="C454" t="str">
        <f t="array" ref="C454">IFERROR(INDEX('Player Raw Data'!D:D,Match($A454,'Player Raw Data'!$B:$B,0)),"")</f>
        <v/>
      </c>
      <c r="D454" t="str">
        <f t="array" ref="D454">IFERROR(IF(A454=A453, INDEX('Player Raw Data'!E:E,Match($A454,'Player Raw Data'!$B:$B,0)+2),INDEX('Player Raw Data'!E:E,Match($A454,'Player Raw Data'!$B:$B,0))),"")</f>
        <v/>
      </c>
      <c r="E454" t="str">
        <f t="array" ref="E454">IFERROR(INDEX('Day Range Raw Data'!D:D,Match($A454,'Day Range Raw Data'!$B:$B,0)),"")</f>
        <v/>
      </c>
      <c r="F454" t="str">
        <f t="array" ref="F454">IFERROR(INDEX('Day Range Raw Data'!F:F,Match($A454,'Day Range Raw Data'!$B:$B,0)),"")</f>
        <v/>
      </c>
      <c r="G454" t="str">
        <f t="array" ref="G454">IFERROR(INDEX('Day Range Raw Data'!G:G,Match($A454,'Day Range Raw Data'!$B:$B,0)),"")</f>
        <v/>
      </c>
      <c r="H454" t="str">
        <f t="array" ref="H454">IFERROR(INDEX('Day Range Raw Data'!H:H,Match($A454,'Day Range Raw Data'!$B:$B,0)),"")</f>
        <v/>
      </c>
      <c r="I454" t="str">
        <f t="array" ref="I454">IFERROR(INDEX('Day Range Raw Data'!M:M,Match($A454,'Day Range Raw Data'!$B:$B,0)),"")</f>
        <v/>
      </c>
      <c r="J454" t="str">
        <f t="array" ref="J454">IFERROR(INDEX('Day Range Raw Data'!N:N,Match($A454,'Day Range Raw Data'!$B:$B,0)),"")</f>
        <v/>
      </c>
      <c r="K454" t="str">
        <f t="array" ref="K454">IFERROR(INDEX('Day Range Raw Data'!R:R,Match($A454,'Day Range Raw Data'!$B:$B,0)),"")</f>
        <v/>
      </c>
      <c r="L454" t="str">
        <f t="array" ref="L454">IFERROR(INDEX('Day Range Raw Data'!S:S,Match($A454,'Day Range Raw Data'!$B:$B,0)),"")</f>
        <v/>
      </c>
      <c r="M454" t="str">
        <f t="array" ref="M454">IFERROR(INDEX('Day Range Raw Data'!T:T,Match($A454,'Day Range Raw Data'!$B:$B,0)),"")</f>
        <v/>
      </c>
      <c r="N454" t="str">
        <f t="array" ref="N454">IFERROR(INDEX('Day Range Raw Data'!U:U,Match($A454,'Day Range Raw Data'!$B:$B,0)),"")</f>
        <v/>
      </c>
      <c r="O454" t="str">
        <f t="array" ref="O454">IFERROR(INDEX('Day Range Raw Data'!V:V,Match($A454,'Day Range Raw Data'!$B:$B,0)),"")</f>
        <v/>
      </c>
      <c r="P454" t="str">
        <f t="array" ref="P454">IFERROR(INDEX('Day Range Raw Data'!X:X,Match($A454,'Day Range Raw Data'!$B:$B,0)),"")</f>
        <v/>
      </c>
      <c r="Q454" t="str">
        <f t="shared" si="1"/>
        <v/>
      </c>
      <c r="R454" s="9" t="str">
        <f t="shared" si="2"/>
        <v/>
      </c>
      <c r="S454" s="14" t="str">
        <f t="shared" si="3"/>
        <v/>
      </c>
      <c r="T454" s="15" t="str">
        <f>IFERROR(__xludf.DUMMYFUNCTION("IF($A454="""","""",IFERROR(PERCENTRANK.INC(FILTER(Q:Q,$F:$F&lt;&gt;""""),Q454)*100,""""))"),"")</f>
        <v/>
      </c>
      <c r="U454" s="15" t="str">
        <f>IFERROR(__xludf.DUMMYFUNCTION("IF($A454="""","""",IFERROR(PERCENTRANK.INC(FILTER(R:R,$F:$F&lt;&gt;""""),R454)*100,""""))"),"")</f>
        <v/>
      </c>
      <c r="V454" s="15" t="str">
        <f>IFERROR(__xludf.DUMMYFUNCTION("IF($A454="""","""",IFERROR(PERCENTRANK.INC(FILTER(S:S,$F:$F&lt;&gt;""""),S454)*100,""""))"),"")</f>
        <v/>
      </c>
      <c r="W454" s="15" t="str">
        <f t="shared" si="4"/>
        <v/>
      </c>
    </row>
    <row r="455">
      <c r="B455" t="str">
        <f t="array" ref="B455">IFERROR(INDEX('Player Raw Data'!C:C,Match($A455,'Player Raw Data'!$B:$B,0)),"")</f>
        <v/>
      </c>
      <c r="C455" t="str">
        <f t="array" ref="C455">IFERROR(INDEX('Player Raw Data'!D:D,Match($A455,'Player Raw Data'!$B:$B,0)),"")</f>
        <v/>
      </c>
      <c r="D455" t="str">
        <f t="array" ref="D455">IFERROR(IF(A455=A454, INDEX('Player Raw Data'!E:E,Match($A455,'Player Raw Data'!$B:$B,0)+2),INDEX('Player Raw Data'!E:E,Match($A455,'Player Raw Data'!$B:$B,0))),"")</f>
        <v/>
      </c>
      <c r="E455" t="str">
        <f t="array" ref="E455">IFERROR(INDEX('Day Range Raw Data'!D:D,Match($A455,'Day Range Raw Data'!$B:$B,0)),"")</f>
        <v/>
      </c>
      <c r="F455" t="str">
        <f t="array" ref="F455">IFERROR(INDEX('Day Range Raw Data'!F:F,Match($A455,'Day Range Raw Data'!$B:$B,0)),"")</f>
        <v/>
      </c>
      <c r="G455" t="str">
        <f t="array" ref="G455">IFERROR(INDEX('Day Range Raw Data'!G:G,Match($A455,'Day Range Raw Data'!$B:$B,0)),"")</f>
        <v/>
      </c>
      <c r="H455" t="str">
        <f t="array" ref="H455">IFERROR(INDEX('Day Range Raw Data'!H:H,Match($A455,'Day Range Raw Data'!$B:$B,0)),"")</f>
        <v/>
      </c>
      <c r="I455" t="str">
        <f t="array" ref="I455">IFERROR(INDEX('Day Range Raw Data'!M:M,Match($A455,'Day Range Raw Data'!$B:$B,0)),"")</f>
        <v/>
      </c>
      <c r="J455" t="str">
        <f t="array" ref="J455">IFERROR(INDEX('Day Range Raw Data'!N:N,Match($A455,'Day Range Raw Data'!$B:$B,0)),"")</f>
        <v/>
      </c>
      <c r="K455" t="str">
        <f t="array" ref="K455">IFERROR(INDEX('Day Range Raw Data'!R:R,Match($A455,'Day Range Raw Data'!$B:$B,0)),"")</f>
        <v/>
      </c>
      <c r="L455" t="str">
        <f t="array" ref="L455">IFERROR(INDEX('Day Range Raw Data'!S:S,Match($A455,'Day Range Raw Data'!$B:$B,0)),"")</f>
        <v/>
      </c>
      <c r="M455" t="str">
        <f t="array" ref="M455">IFERROR(INDEX('Day Range Raw Data'!T:T,Match($A455,'Day Range Raw Data'!$B:$B,0)),"")</f>
        <v/>
      </c>
      <c r="N455" t="str">
        <f t="array" ref="N455">IFERROR(INDEX('Day Range Raw Data'!U:U,Match($A455,'Day Range Raw Data'!$B:$B,0)),"")</f>
        <v/>
      </c>
      <c r="O455" t="str">
        <f t="array" ref="O455">IFERROR(INDEX('Day Range Raw Data'!V:V,Match($A455,'Day Range Raw Data'!$B:$B,0)),"")</f>
        <v/>
      </c>
      <c r="P455" t="str">
        <f t="array" ref="P455">IFERROR(INDEX('Day Range Raw Data'!X:X,Match($A455,'Day Range Raw Data'!$B:$B,0)),"")</f>
        <v/>
      </c>
      <c r="Q455" t="str">
        <f t="shared" si="1"/>
        <v/>
      </c>
      <c r="R455" s="9" t="str">
        <f t="shared" si="2"/>
        <v/>
      </c>
      <c r="S455" s="14" t="str">
        <f t="shared" si="3"/>
        <v/>
      </c>
      <c r="T455" s="15" t="str">
        <f>IFERROR(__xludf.DUMMYFUNCTION("IF($A455="""","""",IFERROR(PERCENTRANK.INC(FILTER(Q:Q,$F:$F&lt;&gt;""""),Q455)*100,""""))"),"")</f>
        <v/>
      </c>
      <c r="U455" s="15" t="str">
        <f>IFERROR(__xludf.DUMMYFUNCTION("IF($A455="""","""",IFERROR(PERCENTRANK.INC(FILTER(R:R,$F:$F&lt;&gt;""""),R455)*100,""""))"),"")</f>
        <v/>
      </c>
      <c r="V455" s="15" t="str">
        <f>IFERROR(__xludf.DUMMYFUNCTION("IF($A455="""","""",IFERROR(PERCENTRANK.INC(FILTER(S:S,$F:$F&lt;&gt;""""),S455)*100,""""))"),"")</f>
        <v/>
      </c>
      <c r="W455" s="15" t="str">
        <f t="shared" si="4"/>
        <v/>
      </c>
    </row>
    <row r="456">
      <c r="B456" t="str">
        <f t="array" ref="B456">IFERROR(INDEX('Player Raw Data'!C:C,Match($A456,'Player Raw Data'!$B:$B,0)),"")</f>
        <v/>
      </c>
      <c r="C456" t="str">
        <f t="array" ref="C456">IFERROR(INDEX('Player Raw Data'!D:D,Match($A456,'Player Raw Data'!$B:$B,0)),"")</f>
        <v/>
      </c>
      <c r="D456" t="str">
        <f t="array" ref="D456">IFERROR(IF(A456=A455, INDEX('Player Raw Data'!E:E,Match($A456,'Player Raw Data'!$B:$B,0)+2),INDEX('Player Raw Data'!E:E,Match($A456,'Player Raw Data'!$B:$B,0))),"")</f>
        <v/>
      </c>
      <c r="E456" t="str">
        <f t="array" ref="E456">IFERROR(INDEX('Day Range Raw Data'!D:D,Match($A456,'Day Range Raw Data'!$B:$B,0)),"")</f>
        <v/>
      </c>
      <c r="F456" t="str">
        <f t="array" ref="F456">IFERROR(INDEX('Day Range Raw Data'!F:F,Match($A456,'Day Range Raw Data'!$B:$B,0)),"")</f>
        <v/>
      </c>
      <c r="G456" t="str">
        <f t="array" ref="G456">IFERROR(INDEX('Day Range Raw Data'!G:G,Match($A456,'Day Range Raw Data'!$B:$B,0)),"")</f>
        <v/>
      </c>
      <c r="H456" t="str">
        <f t="array" ref="H456">IFERROR(INDEX('Day Range Raw Data'!H:H,Match($A456,'Day Range Raw Data'!$B:$B,0)),"")</f>
        <v/>
      </c>
      <c r="I456" t="str">
        <f t="array" ref="I456">IFERROR(INDEX('Day Range Raw Data'!M:M,Match($A456,'Day Range Raw Data'!$B:$B,0)),"")</f>
        <v/>
      </c>
      <c r="J456" t="str">
        <f t="array" ref="J456">IFERROR(INDEX('Day Range Raw Data'!N:N,Match($A456,'Day Range Raw Data'!$B:$B,0)),"")</f>
        <v/>
      </c>
      <c r="K456" t="str">
        <f t="array" ref="K456">IFERROR(INDEX('Day Range Raw Data'!R:R,Match($A456,'Day Range Raw Data'!$B:$B,0)),"")</f>
        <v/>
      </c>
      <c r="L456" t="str">
        <f t="array" ref="L456">IFERROR(INDEX('Day Range Raw Data'!S:S,Match($A456,'Day Range Raw Data'!$B:$B,0)),"")</f>
        <v/>
      </c>
      <c r="M456" t="str">
        <f t="array" ref="M456">IFERROR(INDEX('Day Range Raw Data'!T:T,Match($A456,'Day Range Raw Data'!$B:$B,0)),"")</f>
        <v/>
      </c>
      <c r="N456" t="str">
        <f t="array" ref="N456">IFERROR(INDEX('Day Range Raw Data'!U:U,Match($A456,'Day Range Raw Data'!$B:$B,0)),"")</f>
        <v/>
      </c>
      <c r="O456" t="str">
        <f t="array" ref="O456">IFERROR(INDEX('Day Range Raw Data'!V:V,Match($A456,'Day Range Raw Data'!$B:$B,0)),"")</f>
        <v/>
      </c>
      <c r="P456" t="str">
        <f t="array" ref="P456">IFERROR(INDEX('Day Range Raw Data'!X:X,Match($A456,'Day Range Raw Data'!$B:$B,0)),"")</f>
        <v/>
      </c>
      <c r="Q456" t="str">
        <f t="shared" si="1"/>
        <v/>
      </c>
      <c r="R456" s="9" t="str">
        <f t="shared" si="2"/>
        <v/>
      </c>
      <c r="S456" s="14" t="str">
        <f t="shared" si="3"/>
        <v/>
      </c>
      <c r="T456" s="15" t="str">
        <f>IFERROR(__xludf.DUMMYFUNCTION("IF($A456="""","""",IFERROR(PERCENTRANK.INC(FILTER(Q:Q,$F:$F&lt;&gt;""""),Q456)*100,""""))"),"")</f>
        <v/>
      </c>
      <c r="U456" s="15" t="str">
        <f>IFERROR(__xludf.DUMMYFUNCTION("IF($A456="""","""",IFERROR(PERCENTRANK.INC(FILTER(R:R,$F:$F&lt;&gt;""""),R456)*100,""""))"),"")</f>
        <v/>
      </c>
      <c r="V456" s="15" t="str">
        <f>IFERROR(__xludf.DUMMYFUNCTION("IF($A456="""","""",IFERROR(PERCENTRANK.INC(FILTER(S:S,$F:$F&lt;&gt;""""),S456)*100,""""))"),"")</f>
        <v/>
      </c>
      <c r="W456" s="15" t="str">
        <f t="shared" si="4"/>
        <v/>
      </c>
    </row>
    <row r="457">
      <c r="B457" t="str">
        <f t="array" ref="B457">IFERROR(INDEX('Player Raw Data'!C:C,Match($A457,'Player Raw Data'!$B:$B,0)),"")</f>
        <v/>
      </c>
      <c r="C457" t="str">
        <f t="array" ref="C457">IFERROR(INDEX('Player Raw Data'!D:D,Match($A457,'Player Raw Data'!$B:$B,0)),"")</f>
        <v/>
      </c>
      <c r="D457" t="str">
        <f t="array" ref="D457">IFERROR(IF(A457=A456, INDEX('Player Raw Data'!E:E,Match($A457,'Player Raw Data'!$B:$B,0)+2),INDEX('Player Raw Data'!E:E,Match($A457,'Player Raw Data'!$B:$B,0))),"")</f>
        <v/>
      </c>
      <c r="E457" t="str">
        <f t="array" ref="E457">IFERROR(INDEX('Day Range Raw Data'!D:D,Match($A457,'Day Range Raw Data'!$B:$B,0)),"")</f>
        <v/>
      </c>
      <c r="F457" t="str">
        <f t="array" ref="F457">IFERROR(INDEX('Day Range Raw Data'!F:F,Match($A457,'Day Range Raw Data'!$B:$B,0)),"")</f>
        <v/>
      </c>
      <c r="G457" t="str">
        <f t="array" ref="G457">IFERROR(INDEX('Day Range Raw Data'!G:G,Match($A457,'Day Range Raw Data'!$B:$B,0)),"")</f>
        <v/>
      </c>
      <c r="H457" t="str">
        <f t="array" ref="H457">IFERROR(INDEX('Day Range Raw Data'!H:H,Match($A457,'Day Range Raw Data'!$B:$B,0)),"")</f>
        <v/>
      </c>
      <c r="I457" t="str">
        <f t="array" ref="I457">IFERROR(INDEX('Day Range Raw Data'!M:M,Match($A457,'Day Range Raw Data'!$B:$B,0)),"")</f>
        <v/>
      </c>
      <c r="J457" t="str">
        <f t="array" ref="J457">IFERROR(INDEX('Day Range Raw Data'!N:N,Match($A457,'Day Range Raw Data'!$B:$B,0)),"")</f>
        <v/>
      </c>
      <c r="K457" t="str">
        <f t="array" ref="K457">IFERROR(INDEX('Day Range Raw Data'!R:R,Match($A457,'Day Range Raw Data'!$B:$B,0)),"")</f>
        <v/>
      </c>
      <c r="L457" t="str">
        <f t="array" ref="L457">IFERROR(INDEX('Day Range Raw Data'!S:S,Match($A457,'Day Range Raw Data'!$B:$B,0)),"")</f>
        <v/>
      </c>
      <c r="M457" t="str">
        <f t="array" ref="M457">IFERROR(INDEX('Day Range Raw Data'!T:T,Match($A457,'Day Range Raw Data'!$B:$B,0)),"")</f>
        <v/>
      </c>
      <c r="N457" t="str">
        <f t="array" ref="N457">IFERROR(INDEX('Day Range Raw Data'!U:U,Match($A457,'Day Range Raw Data'!$B:$B,0)),"")</f>
        <v/>
      </c>
      <c r="O457" t="str">
        <f t="array" ref="O457">IFERROR(INDEX('Day Range Raw Data'!V:V,Match($A457,'Day Range Raw Data'!$B:$B,0)),"")</f>
        <v/>
      </c>
      <c r="P457" t="str">
        <f t="array" ref="P457">IFERROR(INDEX('Day Range Raw Data'!X:X,Match($A457,'Day Range Raw Data'!$B:$B,0)),"")</f>
        <v/>
      </c>
      <c r="Q457" t="str">
        <f t="shared" si="1"/>
        <v/>
      </c>
      <c r="R457" s="9" t="str">
        <f t="shared" si="2"/>
        <v/>
      </c>
      <c r="S457" s="14" t="str">
        <f t="shared" si="3"/>
        <v/>
      </c>
      <c r="T457" s="15" t="str">
        <f>IFERROR(__xludf.DUMMYFUNCTION("IF($A457="""","""",IFERROR(PERCENTRANK.INC(FILTER(Q:Q,$F:$F&lt;&gt;""""),Q457)*100,""""))"),"")</f>
        <v/>
      </c>
      <c r="U457" s="15" t="str">
        <f>IFERROR(__xludf.DUMMYFUNCTION("IF($A457="""","""",IFERROR(PERCENTRANK.INC(FILTER(R:R,$F:$F&lt;&gt;""""),R457)*100,""""))"),"")</f>
        <v/>
      </c>
      <c r="V457" s="15" t="str">
        <f>IFERROR(__xludf.DUMMYFUNCTION("IF($A457="""","""",IFERROR(PERCENTRANK.INC(FILTER(S:S,$F:$F&lt;&gt;""""),S457)*100,""""))"),"")</f>
        <v/>
      </c>
      <c r="W457" s="15" t="str">
        <f t="shared" si="4"/>
        <v/>
      </c>
    </row>
    <row r="458">
      <c r="B458" t="str">
        <f t="array" ref="B458">IFERROR(INDEX('Player Raw Data'!C:C,Match($A458,'Player Raw Data'!$B:$B,0)),"")</f>
        <v/>
      </c>
      <c r="C458" t="str">
        <f t="array" ref="C458">IFERROR(INDEX('Player Raw Data'!D:D,Match($A458,'Player Raw Data'!$B:$B,0)),"")</f>
        <v/>
      </c>
      <c r="D458" t="str">
        <f t="array" ref="D458">IFERROR(IF(A458=A457, INDEX('Player Raw Data'!E:E,Match($A458,'Player Raw Data'!$B:$B,0)+2),INDEX('Player Raw Data'!E:E,Match($A458,'Player Raw Data'!$B:$B,0))),"")</f>
        <v/>
      </c>
      <c r="E458" t="str">
        <f t="array" ref="E458">IFERROR(INDEX('Day Range Raw Data'!D:D,Match($A458,'Day Range Raw Data'!$B:$B,0)),"")</f>
        <v/>
      </c>
      <c r="F458" t="str">
        <f t="array" ref="F458">IFERROR(INDEX('Day Range Raw Data'!F:F,Match($A458,'Day Range Raw Data'!$B:$B,0)),"")</f>
        <v/>
      </c>
      <c r="G458" t="str">
        <f t="array" ref="G458">IFERROR(INDEX('Day Range Raw Data'!G:G,Match($A458,'Day Range Raw Data'!$B:$B,0)),"")</f>
        <v/>
      </c>
      <c r="H458" t="str">
        <f t="array" ref="H458">IFERROR(INDEX('Day Range Raw Data'!H:H,Match($A458,'Day Range Raw Data'!$B:$B,0)),"")</f>
        <v/>
      </c>
      <c r="I458" t="str">
        <f t="array" ref="I458">IFERROR(INDEX('Day Range Raw Data'!M:M,Match($A458,'Day Range Raw Data'!$B:$B,0)),"")</f>
        <v/>
      </c>
      <c r="J458" t="str">
        <f t="array" ref="J458">IFERROR(INDEX('Day Range Raw Data'!N:N,Match($A458,'Day Range Raw Data'!$B:$B,0)),"")</f>
        <v/>
      </c>
      <c r="K458" t="str">
        <f t="array" ref="K458">IFERROR(INDEX('Day Range Raw Data'!R:R,Match($A458,'Day Range Raw Data'!$B:$B,0)),"")</f>
        <v/>
      </c>
      <c r="L458" t="str">
        <f t="array" ref="L458">IFERROR(INDEX('Day Range Raw Data'!S:S,Match($A458,'Day Range Raw Data'!$B:$B,0)),"")</f>
        <v/>
      </c>
      <c r="M458" t="str">
        <f t="array" ref="M458">IFERROR(INDEX('Day Range Raw Data'!T:T,Match($A458,'Day Range Raw Data'!$B:$B,0)),"")</f>
        <v/>
      </c>
      <c r="N458" t="str">
        <f t="array" ref="N458">IFERROR(INDEX('Day Range Raw Data'!U:U,Match($A458,'Day Range Raw Data'!$B:$B,0)),"")</f>
        <v/>
      </c>
      <c r="O458" t="str">
        <f t="array" ref="O458">IFERROR(INDEX('Day Range Raw Data'!V:V,Match($A458,'Day Range Raw Data'!$B:$B,0)),"")</f>
        <v/>
      </c>
      <c r="P458" t="str">
        <f t="array" ref="P458">IFERROR(INDEX('Day Range Raw Data'!X:X,Match($A458,'Day Range Raw Data'!$B:$B,0)),"")</f>
        <v/>
      </c>
      <c r="Q458" t="str">
        <f t="shared" si="1"/>
        <v/>
      </c>
      <c r="R458" s="9" t="str">
        <f t="shared" si="2"/>
        <v/>
      </c>
      <c r="S458" s="14" t="str">
        <f t="shared" si="3"/>
        <v/>
      </c>
      <c r="T458" s="15" t="str">
        <f>IFERROR(__xludf.DUMMYFUNCTION("IF($A458="""","""",IFERROR(PERCENTRANK.INC(FILTER(Q:Q,$F:$F&lt;&gt;""""),Q458)*100,""""))"),"")</f>
        <v/>
      </c>
      <c r="U458" s="15" t="str">
        <f>IFERROR(__xludf.DUMMYFUNCTION("IF($A458="""","""",IFERROR(PERCENTRANK.INC(FILTER(R:R,$F:$F&lt;&gt;""""),R458)*100,""""))"),"")</f>
        <v/>
      </c>
      <c r="V458" s="15" t="str">
        <f>IFERROR(__xludf.DUMMYFUNCTION("IF($A458="""","""",IFERROR(PERCENTRANK.INC(FILTER(S:S,$F:$F&lt;&gt;""""),S458)*100,""""))"),"")</f>
        <v/>
      </c>
      <c r="W458" s="15" t="str">
        <f t="shared" si="4"/>
        <v/>
      </c>
    </row>
    <row r="459">
      <c r="B459" t="str">
        <f t="array" ref="B459">IFERROR(INDEX('Player Raw Data'!C:C,Match($A459,'Player Raw Data'!$B:$B,0)),"")</f>
        <v/>
      </c>
      <c r="C459" t="str">
        <f t="array" ref="C459">IFERROR(INDEX('Player Raw Data'!D:D,Match($A459,'Player Raw Data'!$B:$B,0)),"")</f>
        <v/>
      </c>
      <c r="D459" t="str">
        <f t="array" ref="D459">IFERROR(IF(A459=A458, INDEX('Player Raw Data'!E:E,Match($A459,'Player Raw Data'!$B:$B,0)+2),INDEX('Player Raw Data'!E:E,Match($A459,'Player Raw Data'!$B:$B,0))),"")</f>
        <v/>
      </c>
      <c r="E459" t="str">
        <f t="array" ref="E459">IFERROR(INDEX('Day Range Raw Data'!D:D,Match($A459,'Day Range Raw Data'!$B:$B,0)),"")</f>
        <v/>
      </c>
      <c r="F459" t="str">
        <f t="array" ref="F459">IFERROR(INDEX('Day Range Raw Data'!F:F,Match($A459,'Day Range Raw Data'!$B:$B,0)),"")</f>
        <v/>
      </c>
      <c r="G459" t="str">
        <f t="array" ref="G459">IFERROR(INDEX('Day Range Raw Data'!G:G,Match($A459,'Day Range Raw Data'!$B:$B,0)),"")</f>
        <v/>
      </c>
      <c r="H459" t="str">
        <f t="array" ref="H459">IFERROR(INDEX('Day Range Raw Data'!H:H,Match($A459,'Day Range Raw Data'!$B:$B,0)),"")</f>
        <v/>
      </c>
      <c r="I459" t="str">
        <f t="array" ref="I459">IFERROR(INDEX('Day Range Raw Data'!M:M,Match($A459,'Day Range Raw Data'!$B:$B,0)),"")</f>
        <v/>
      </c>
      <c r="J459" t="str">
        <f t="array" ref="J459">IFERROR(INDEX('Day Range Raw Data'!N:N,Match($A459,'Day Range Raw Data'!$B:$B,0)),"")</f>
        <v/>
      </c>
      <c r="K459" t="str">
        <f t="array" ref="K459">IFERROR(INDEX('Day Range Raw Data'!R:R,Match($A459,'Day Range Raw Data'!$B:$B,0)),"")</f>
        <v/>
      </c>
      <c r="L459" t="str">
        <f t="array" ref="L459">IFERROR(INDEX('Day Range Raw Data'!S:S,Match($A459,'Day Range Raw Data'!$B:$B,0)),"")</f>
        <v/>
      </c>
      <c r="M459" t="str">
        <f t="array" ref="M459">IFERROR(INDEX('Day Range Raw Data'!T:T,Match($A459,'Day Range Raw Data'!$B:$B,0)),"")</f>
        <v/>
      </c>
      <c r="N459" t="str">
        <f t="array" ref="N459">IFERROR(INDEX('Day Range Raw Data'!U:U,Match($A459,'Day Range Raw Data'!$B:$B,0)),"")</f>
        <v/>
      </c>
      <c r="O459" t="str">
        <f t="array" ref="O459">IFERROR(INDEX('Day Range Raw Data'!V:V,Match($A459,'Day Range Raw Data'!$B:$B,0)),"")</f>
        <v/>
      </c>
      <c r="P459" t="str">
        <f t="array" ref="P459">IFERROR(INDEX('Day Range Raw Data'!X:X,Match($A459,'Day Range Raw Data'!$B:$B,0)),"")</f>
        <v/>
      </c>
      <c r="Q459" t="str">
        <f t="shared" si="1"/>
        <v/>
      </c>
      <c r="R459" s="9" t="str">
        <f t="shared" si="2"/>
        <v/>
      </c>
      <c r="S459" s="14" t="str">
        <f t="shared" si="3"/>
        <v/>
      </c>
      <c r="T459" s="15" t="str">
        <f>IFERROR(__xludf.DUMMYFUNCTION("IF($A459="""","""",IFERROR(PERCENTRANK.INC(FILTER(Q:Q,$F:$F&lt;&gt;""""),Q459)*100,""""))"),"")</f>
        <v/>
      </c>
      <c r="U459" s="15" t="str">
        <f>IFERROR(__xludf.DUMMYFUNCTION("IF($A459="""","""",IFERROR(PERCENTRANK.INC(FILTER(R:R,$F:$F&lt;&gt;""""),R459)*100,""""))"),"")</f>
        <v/>
      </c>
      <c r="V459" s="15" t="str">
        <f>IFERROR(__xludf.DUMMYFUNCTION("IF($A459="""","""",IFERROR(PERCENTRANK.INC(FILTER(S:S,$F:$F&lt;&gt;""""),S459)*100,""""))"),"")</f>
        <v/>
      </c>
      <c r="W459" s="15" t="str">
        <f t="shared" si="4"/>
        <v/>
      </c>
    </row>
    <row r="460">
      <c r="B460" t="str">
        <f t="array" ref="B460">IFERROR(INDEX('Player Raw Data'!C:C,Match($A460,'Player Raw Data'!$B:$B,0)),"")</f>
        <v/>
      </c>
      <c r="C460" t="str">
        <f t="array" ref="C460">IFERROR(INDEX('Player Raw Data'!D:D,Match($A460,'Player Raw Data'!$B:$B,0)),"")</f>
        <v/>
      </c>
      <c r="D460" t="str">
        <f t="array" ref="D460">IFERROR(IF(A460=A459, INDEX('Player Raw Data'!E:E,Match($A460,'Player Raw Data'!$B:$B,0)+2),INDEX('Player Raw Data'!E:E,Match($A460,'Player Raw Data'!$B:$B,0))),"")</f>
        <v/>
      </c>
      <c r="E460" t="str">
        <f t="array" ref="E460">IFERROR(INDEX('Day Range Raw Data'!D:D,Match($A460,'Day Range Raw Data'!$B:$B,0)),"")</f>
        <v/>
      </c>
      <c r="F460" t="str">
        <f t="array" ref="F460">IFERROR(INDEX('Day Range Raw Data'!F:F,Match($A460,'Day Range Raw Data'!$B:$B,0)),"")</f>
        <v/>
      </c>
      <c r="G460" t="str">
        <f t="array" ref="G460">IFERROR(INDEX('Day Range Raw Data'!G:G,Match($A460,'Day Range Raw Data'!$B:$B,0)),"")</f>
        <v/>
      </c>
      <c r="H460" t="str">
        <f t="array" ref="H460">IFERROR(INDEX('Day Range Raw Data'!H:H,Match($A460,'Day Range Raw Data'!$B:$B,0)),"")</f>
        <v/>
      </c>
      <c r="I460" t="str">
        <f t="array" ref="I460">IFERROR(INDEX('Day Range Raw Data'!M:M,Match($A460,'Day Range Raw Data'!$B:$B,0)),"")</f>
        <v/>
      </c>
      <c r="J460" t="str">
        <f t="array" ref="J460">IFERROR(INDEX('Day Range Raw Data'!N:N,Match($A460,'Day Range Raw Data'!$B:$B,0)),"")</f>
        <v/>
      </c>
      <c r="K460" t="str">
        <f t="array" ref="K460">IFERROR(INDEX('Day Range Raw Data'!R:R,Match($A460,'Day Range Raw Data'!$B:$B,0)),"")</f>
        <v/>
      </c>
      <c r="L460" t="str">
        <f t="array" ref="L460">IFERROR(INDEX('Day Range Raw Data'!S:S,Match($A460,'Day Range Raw Data'!$B:$B,0)),"")</f>
        <v/>
      </c>
      <c r="M460" t="str">
        <f t="array" ref="M460">IFERROR(INDEX('Day Range Raw Data'!T:T,Match($A460,'Day Range Raw Data'!$B:$B,0)),"")</f>
        <v/>
      </c>
      <c r="N460" t="str">
        <f t="array" ref="N460">IFERROR(INDEX('Day Range Raw Data'!U:U,Match($A460,'Day Range Raw Data'!$B:$B,0)),"")</f>
        <v/>
      </c>
      <c r="O460" t="str">
        <f t="array" ref="O460">IFERROR(INDEX('Day Range Raw Data'!V:V,Match($A460,'Day Range Raw Data'!$B:$B,0)),"")</f>
        <v/>
      </c>
      <c r="P460" t="str">
        <f t="array" ref="P460">IFERROR(INDEX('Day Range Raw Data'!X:X,Match($A460,'Day Range Raw Data'!$B:$B,0)),"")</f>
        <v/>
      </c>
      <c r="Q460" t="str">
        <f t="shared" si="1"/>
        <v/>
      </c>
      <c r="R460" s="9" t="str">
        <f t="shared" si="2"/>
        <v/>
      </c>
      <c r="S460" s="14" t="str">
        <f t="shared" si="3"/>
        <v/>
      </c>
      <c r="T460" s="15" t="str">
        <f>IFERROR(__xludf.DUMMYFUNCTION("IF($A460="""","""",IFERROR(PERCENTRANK.INC(FILTER(Q:Q,$F:$F&lt;&gt;""""),Q460)*100,""""))"),"")</f>
        <v/>
      </c>
      <c r="U460" s="15" t="str">
        <f>IFERROR(__xludf.DUMMYFUNCTION("IF($A460="""","""",IFERROR(PERCENTRANK.INC(FILTER(R:R,$F:$F&lt;&gt;""""),R460)*100,""""))"),"")</f>
        <v/>
      </c>
      <c r="V460" s="15" t="str">
        <f>IFERROR(__xludf.DUMMYFUNCTION("IF($A460="""","""",IFERROR(PERCENTRANK.INC(FILTER(S:S,$F:$F&lt;&gt;""""),S460)*100,""""))"),"")</f>
        <v/>
      </c>
      <c r="W460" s="15" t="str">
        <f t="shared" si="4"/>
        <v/>
      </c>
    </row>
    <row r="461">
      <c r="B461" t="str">
        <f t="array" ref="B461">IFERROR(INDEX('Player Raw Data'!C:C,Match($A461,'Player Raw Data'!$B:$B,0)),"")</f>
        <v/>
      </c>
      <c r="C461" t="str">
        <f t="array" ref="C461">IFERROR(INDEX('Player Raw Data'!D:D,Match($A461,'Player Raw Data'!$B:$B,0)),"")</f>
        <v/>
      </c>
      <c r="D461" t="str">
        <f t="array" ref="D461">IFERROR(IF(A461=A460, INDEX('Player Raw Data'!E:E,Match($A461,'Player Raw Data'!$B:$B,0)+2),INDEX('Player Raw Data'!E:E,Match($A461,'Player Raw Data'!$B:$B,0))),"")</f>
        <v/>
      </c>
      <c r="E461" t="str">
        <f t="array" ref="E461">IFERROR(INDEX('Day Range Raw Data'!D:D,Match($A461,'Day Range Raw Data'!$B:$B,0)),"")</f>
        <v/>
      </c>
      <c r="F461" t="str">
        <f t="array" ref="F461">IFERROR(INDEX('Day Range Raw Data'!F:F,Match($A461,'Day Range Raw Data'!$B:$B,0)),"")</f>
        <v/>
      </c>
      <c r="G461" t="str">
        <f t="array" ref="G461">IFERROR(INDEX('Day Range Raw Data'!G:G,Match($A461,'Day Range Raw Data'!$B:$B,0)),"")</f>
        <v/>
      </c>
      <c r="H461" t="str">
        <f t="array" ref="H461">IFERROR(INDEX('Day Range Raw Data'!H:H,Match($A461,'Day Range Raw Data'!$B:$B,0)),"")</f>
        <v/>
      </c>
      <c r="I461" t="str">
        <f t="array" ref="I461">IFERROR(INDEX('Day Range Raw Data'!M:M,Match($A461,'Day Range Raw Data'!$B:$B,0)),"")</f>
        <v/>
      </c>
      <c r="J461" t="str">
        <f t="array" ref="J461">IFERROR(INDEX('Day Range Raw Data'!N:N,Match($A461,'Day Range Raw Data'!$B:$B,0)),"")</f>
        <v/>
      </c>
      <c r="K461" t="str">
        <f t="array" ref="K461">IFERROR(INDEX('Day Range Raw Data'!R:R,Match($A461,'Day Range Raw Data'!$B:$B,0)),"")</f>
        <v/>
      </c>
      <c r="L461" t="str">
        <f t="array" ref="L461">IFERROR(INDEX('Day Range Raw Data'!S:S,Match($A461,'Day Range Raw Data'!$B:$B,0)),"")</f>
        <v/>
      </c>
      <c r="M461" t="str">
        <f t="array" ref="M461">IFERROR(INDEX('Day Range Raw Data'!T:T,Match($A461,'Day Range Raw Data'!$B:$B,0)),"")</f>
        <v/>
      </c>
      <c r="N461" t="str">
        <f t="array" ref="N461">IFERROR(INDEX('Day Range Raw Data'!U:U,Match($A461,'Day Range Raw Data'!$B:$B,0)),"")</f>
        <v/>
      </c>
      <c r="O461" t="str">
        <f t="array" ref="O461">IFERROR(INDEX('Day Range Raw Data'!V:V,Match($A461,'Day Range Raw Data'!$B:$B,0)),"")</f>
        <v/>
      </c>
      <c r="P461" t="str">
        <f t="array" ref="P461">IFERROR(INDEX('Day Range Raw Data'!X:X,Match($A461,'Day Range Raw Data'!$B:$B,0)),"")</f>
        <v/>
      </c>
      <c r="Q461" t="str">
        <f t="shared" si="1"/>
        <v/>
      </c>
      <c r="R461" s="9" t="str">
        <f t="shared" si="2"/>
        <v/>
      </c>
      <c r="S461" s="14" t="str">
        <f t="shared" si="3"/>
        <v/>
      </c>
      <c r="T461" s="15" t="str">
        <f>IFERROR(__xludf.DUMMYFUNCTION("IF($A461="""","""",IFERROR(PERCENTRANK.INC(FILTER(Q:Q,$F:$F&lt;&gt;""""),Q461)*100,""""))"),"")</f>
        <v/>
      </c>
      <c r="U461" s="15" t="str">
        <f>IFERROR(__xludf.DUMMYFUNCTION("IF($A461="""","""",IFERROR(PERCENTRANK.INC(FILTER(R:R,$F:$F&lt;&gt;""""),R461)*100,""""))"),"")</f>
        <v/>
      </c>
      <c r="V461" s="15" t="str">
        <f>IFERROR(__xludf.DUMMYFUNCTION("IF($A461="""","""",IFERROR(PERCENTRANK.INC(FILTER(S:S,$F:$F&lt;&gt;""""),S461)*100,""""))"),"")</f>
        <v/>
      </c>
      <c r="W461" s="15" t="str">
        <f t="shared" si="4"/>
        <v/>
      </c>
    </row>
    <row r="462">
      <c r="B462" t="str">
        <f t="array" ref="B462">IFERROR(INDEX('Player Raw Data'!C:C,Match($A462,'Player Raw Data'!$B:$B,0)),"")</f>
        <v/>
      </c>
      <c r="C462" t="str">
        <f t="array" ref="C462">IFERROR(INDEX('Player Raw Data'!D:D,Match($A462,'Player Raw Data'!$B:$B,0)),"")</f>
        <v/>
      </c>
      <c r="D462" t="str">
        <f t="array" ref="D462">IFERROR(IF(A462=A461, INDEX('Player Raw Data'!E:E,Match($A462,'Player Raw Data'!$B:$B,0)+2),INDEX('Player Raw Data'!E:E,Match($A462,'Player Raw Data'!$B:$B,0))),"")</f>
        <v/>
      </c>
      <c r="E462" t="str">
        <f t="array" ref="E462">IFERROR(INDEX('Day Range Raw Data'!D:D,Match($A462,'Day Range Raw Data'!$B:$B,0)),"")</f>
        <v/>
      </c>
      <c r="F462" t="str">
        <f t="array" ref="F462">IFERROR(INDEX('Day Range Raw Data'!F:F,Match($A462,'Day Range Raw Data'!$B:$B,0)),"")</f>
        <v/>
      </c>
      <c r="G462" t="str">
        <f t="array" ref="G462">IFERROR(INDEX('Day Range Raw Data'!G:G,Match($A462,'Day Range Raw Data'!$B:$B,0)),"")</f>
        <v/>
      </c>
      <c r="H462" t="str">
        <f t="array" ref="H462">IFERROR(INDEX('Day Range Raw Data'!H:H,Match($A462,'Day Range Raw Data'!$B:$B,0)),"")</f>
        <v/>
      </c>
      <c r="I462" t="str">
        <f t="array" ref="I462">IFERROR(INDEX('Day Range Raw Data'!M:M,Match($A462,'Day Range Raw Data'!$B:$B,0)),"")</f>
        <v/>
      </c>
      <c r="J462" t="str">
        <f t="array" ref="J462">IFERROR(INDEX('Day Range Raw Data'!N:N,Match($A462,'Day Range Raw Data'!$B:$B,0)),"")</f>
        <v/>
      </c>
      <c r="K462" t="str">
        <f t="array" ref="K462">IFERROR(INDEX('Day Range Raw Data'!R:R,Match($A462,'Day Range Raw Data'!$B:$B,0)),"")</f>
        <v/>
      </c>
      <c r="L462" t="str">
        <f t="array" ref="L462">IFERROR(INDEX('Day Range Raw Data'!S:S,Match($A462,'Day Range Raw Data'!$B:$B,0)),"")</f>
        <v/>
      </c>
      <c r="M462" t="str">
        <f t="array" ref="M462">IFERROR(INDEX('Day Range Raw Data'!T:T,Match($A462,'Day Range Raw Data'!$B:$B,0)),"")</f>
        <v/>
      </c>
      <c r="N462" t="str">
        <f t="array" ref="N462">IFERROR(INDEX('Day Range Raw Data'!U:U,Match($A462,'Day Range Raw Data'!$B:$B,0)),"")</f>
        <v/>
      </c>
      <c r="O462" t="str">
        <f t="array" ref="O462">IFERROR(INDEX('Day Range Raw Data'!V:V,Match($A462,'Day Range Raw Data'!$B:$B,0)),"")</f>
        <v/>
      </c>
      <c r="P462" t="str">
        <f t="array" ref="P462">IFERROR(INDEX('Day Range Raw Data'!X:X,Match($A462,'Day Range Raw Data'!$B:$B,0)),"")</f>
        <v/>
      </c>
      <c r="Q462" t="str">
        <f t="shared" si="1"/>
        <v/>
      </c>
      <c r="R462" s="9" t="str">
        <f t="shared" si="2"/>
        <v/>
      </c>
      <c r="S462" s="14" t="str">
        <f t="shared" si="3"/>
        <v/>
      </c>
      <c r="T462" s="15" t="str">
        <f>IFERROR(__xludf.DUMMYFUNCTION("IF($A462="""","""",IFERROR(PERCENTRANK.INC(FILTER(Q:Q,$F:$F&lt;&gt;""""),Q462)*100,""""))"),"")</f>
        <v/>
      </c>
      <c r="U462" s="15" t="str">
        <f>IFERROR(__xludf.DUMMYFUNCTION("IF($A462="""","""",IFERROR(PERCENTRANK.INC(FILTER(R:R,$F:$F&lt;&gt;""""),R462)*100,""""))"),"")</f>
        <v/>
      </c>
      <c r="V462" s="15" t="str">
        <f>IFERROR(__xludf.DUMMYFUNCTION("IF($A462="""","""",IFERROR(PERCENTRANK.INC(FILTER(S:S,$F:$F&lt;&gt;""""),S462)*100,""""))"),"")</f>
        <v/>
      </c>
      <c r="W462" s="15" t="str">
        <f t="shared" si="4"/>
        <v/>
      </c>
    </row>
    <row r="463">
      <c r="B463" t="str">
        <f t="array" ref="B463">IFERROR(INDEX('Player Raw Data'!C:C,Match($A463,'Player Raw Data'!$B:$B,0)),"")</f>
        <v/>
      </c>
      <c r="C463" t="str">
        <f t="array" ref="C463">IFERROR(INDEX('Player Raw Data'!D:D,Match($A463,'Player Raw Data'!$B:$B,0)),"")</f>
        <v/>
      </c>
      <c r="D463" t="str">
        <f t="array" ref="D463">IFERROR(IF(A463=A462, INDEX('Player Raw Data'!E:E,Match($A463,'Player Raw Data'!$B:$B,0)+2),INDEX('Player Raw Data'!E:E,Match($A463,'Player Raw Data'!$B:$B,0))),"")</f>
        <v/>
      </c>
      <c r="E463" t="str">
        <f t="array" ref="E463">IFERROR(INDEX('Day Range Raw Data'!D:D,Match($A463,'Day Range Raw Data'!$B:$B,0)),"")</f>
        <v/>
      </c>
      <c r="F463" t="str">
        <f t="array" ref="F463">IFERROR(INDEX('Day Range Raw Data'!F:F,Match($A463,'Day Range Raw Data'!$B:$B,0)),"")</f>
        <v/>
      </c>
      <c r="G463" t="str">
        <f t="array" ref="G463">IFERROR(INDEX('Day Range Raw Data'!G:G,Match($A463,'Day Range Raw Data'!$B:$B,0)),"")</f>
        <v/>
      </c>
      <c r="H463" t="str">
        <f t="array" ref="H463">IFERROR(INDEX('Day Range Raw Data'!H:H,Match($A463,'Day Range Raw Data'!$B:$B,0)),"")</f>
        <v/>
      </c>
      <c r="I463" t="str">
        <f t="array" ref="I463">IFERROR(INDEX('Day Range Raw Data'!M:M,Match($A463,'Day Range Raw Data'!$B:$B,0)),"")</f>
        <v/>
      </c>
      <c r="J463" t="str">
        <f t="array" ref="J463">IFERROR(INDEX('Day Range Raw Data'!N:N,Match($A463,'Day Range Raw Data'!$B:$B,0)),"")</f>
        <v/>
      </c>
      <c r="K463" t="str">
        <f t="array" ref="K463">IFERROR(INDEX('Day Range Raw Data'!R:R,Match($A463,'Day Range Raw Data'!$B:$B,0)),"")</f>
        <v/>
      </c>
      <c r="L463" t="str">
        <f t="array" ref="L463">IFERROR(INDEX('Day Range Raw Data'!S:S,Match($A463,'Day Range Raw Data'!$B:$B,0)),"")</f>
        <v/>
      </c>
      <c r="M463" t="str">
        <f t="array" ref="M463">IFERROR(INDEX('Day Range Raw Data'!T:T,Match($A463,'Day Range Raw Data'!$B:$B,0)),"")</f>
        <v/>
      </c>
      <c r="N463" t="str">
        <f t="array" ref="N463">IFERROR(INDEX('Day Range Raw Data'!U:U,Match($A463,'Day Range Raw Data'!$B:$B,0)),"")</f>
        <v/>
      </c>
      <c r="O463" t="str">
        <f t="array" ref="O463">IFERROR(INDEX('Day Range Raw Data'!V:V,Match($A463,'Day Range Raw Data'!$B:$B,0)),"")</f>
        <v/>
      </c>
      <c r="P463" t="str">
        <f t="array" ref="P463">IFERROR(INDEX('Day Range Raw Data'!X:X,Match($A463,'Day Range Raw Data'!$B:$B,0)),"")</f>
        <v/>
      </c>
      <c r="Q463" t="str">
        <f t="shared" si="1"/>
        <v/>
      </c>
      <c r="R463" s="9" t="str">
        <f t="shared" si="2"/>
        <v/>
      </c>
      <c r="S463" s="14" t="str">
        <f t="shared" si="3"/>
        <v/>
      </c>
      <c r="T463" s="15" t="str">
        <f>IFERROR(__xludf.DUMMYFUNCTION("IF($A463="""","""",IFERROR(PERCENTRANK.INC(FILTER(Q:Q,$F:$F&lt;&gt;""""),Q463)*100,""""))"),"")</f>
        <v/>
      </c>
      <c r="U463" s="15" t="str">
        <f>IFERROR(__xludf.DUMMYFUNCTION("IF($A463="""","""",IFERROR(PERCENTRANK.INC(FILTER(R:R,$F:$F&lt;&gt;""""),R463)*100,""""))"),"")</f>
        <v/>
      </c>
      <c r="V463" s="15" t="str">
        <f>IFERROR(__xludf.DUMMYFUNCTION("IF($A463="""","""",IFERROR(PERCENTRANK.INC(FILTER(S:S,$F:$F&lt;&gt;""""),S463)*100,""""))"),"")</f>
        <v/>
      </c>
      <c r="W463" s="15" t="str">
        <f t="shared" si="4"/>
        <v/>
      </c>
    </row>
    <row r="464">
      <c r="B464" t="str">
        <f t="array" ref="B464">IFERROR(INDEX('Player Raw Data'!C:C,Match($A464,'Player Raw Data'!$B:$B,0)),"")</f>
        <v/>
      </c>
      <c r="C464" t="str">
        <f t="array" ref="C464">IFERROR(INDEX('Player Raw Data'!D:D,Match($A464,'Player Raw Data'!$B:$B,0)),"")</f>
        <v/>
      </c>
      <c r="D464" t="str">
        <f t="array" ref="D464">IFERROR(IF(A464=A463, INDEX('Player Raw Data'!E:E,Match($A464,'Player Raw Data'!$B:$B,0)+2),INDEX('Player Raw Data'!E:E,Match($A464,'Player Raw Data'!$B:$B,0))),"")</f>
        <v/>
      </c>
      <c r="E464" t="str">
        <f t="array" ref="E464">IFERROR(INDEX('Day Range Raw Data'!D:D,Match($A464,'Day Range Raw Data'!$B:$B,0)),"")</f>
        <v/>
      </c>
      <c r="F464" t="str">
        <f t="array" ref="F464">IFERROR(INDEX('Day Range Raw Data'!F:F,Match($A464,'Day Range Raw Data'!$B:$B,0)),"")</f>
        <v/>
      </c>
      <c r="G464" t="str">
        <f t="array" ref="G464">IFERROR(INDEX('Day Range Raw Data'!G:G,Match($A464,'Day Range Raw Data'!$B:$B,0)),"")</f>
        <v/>
      </c>
      <c r="H464" t="str">
        <f t="array" ref="H464">IFERROR(INDEX('Day Range Raw Data'!H:H,Match($A464,'Day Range Raw Data'!$B:$B,0)),"")</f>
        <v/>
      </c>
      <c r="I464" t="str">
        <f t="array" ref="I464">IFERROR(INDEX('Day Range Raw Data'!M:M,Match($A464,'Day Range Raw Data'!$B:$B,0)),"")</f>
        <v/>
      </c>
      <c r="J464" t="str">
        <f t="array" ref="J464">IFERROR(INDEX('Day Range Raw Data'!N:N,Match($A464,'Day Range Raw Data'!$B:$B,0)),"")</f>
        <v/>
      </c>
      <c r="K464" t="str">
        <f t="array" ref="K464">IFERROR(INDEX('Day Range Raw Data'!R:R,Match($A464,'Day Range Raw Data'!$B:$B,0)),"")</f>
        <v/>
      </c>
      <c r="L464" t="str">
        <f t="array" ref="L464">IFERROR(INDEX('Day Range Raw Data'!S:S,Match($A464,'Day Range Raw Data'!$B:$B,0)),"")</f>
        <v/>
      </c>
      <c r="M464" t="str">
        <f t="array" ref="M464">IFERROR(INDEX('Day Range Raw Data'!T:T,Match($A464,'Day Range Raw Data'!$B:$B,0)),"")</f>
        <v/>
      </c>
      <c r="N464" t="str">
        <f t="array" ref="N464">IFERROR(INDEX('Day Range Raw Data'!U:U,Match($A464,'Day Range Raw Data'!$B:$B,0)),"")</f>
        <v/>
      </c>
      <c r="O464" t="str">
        <f t="array" ref="O464">IFERROR(INDEX('Day Range Raw Data'!V:V,Match($A464,'Day Range Raw Data'!$B:$B,0)),"")</f>
        <v/>
      </c>
      <c r="P464" t="str">
        <f t="array" ref="P464">IFERROR(INDEX('Day Range Raw Data'!X:X,Match($A464,'Day Range Raw Data'!$B:$B,0)),"")</f>
        <v/>
      </c>
      <c r="Q464" t="str">
        <f t="shared" si="1"/>
        <v/>
      </c>
      <c r="R464" s="9" t="str">
        <f t="shared" si="2"/>
        <v/>
      </c>
      <c r="S464" s="14" t="str">
        <f t="shared" si="3"/>
        <v/>
      </c>
      <c r="T464" s="15" t="str">
        <f>IFERROR(__xludf.DUMMYFUNCTION("IF($A464="""","""",IFERROR(PERCENTRANK.INC(FILTER(Q:Q,$F:$F&lt;&gt;""""),Q464)*100,""""))"),"")</f>
        <v/>
      </c>
      <c r="U464" s="15" t="str">
        <f>IFERROR(__xludf.DUMMYFUNCTION("IF($A464="""","""",IFERROR(PERCENTRANK.INC(FILTER(R:R,$F:$F&lt;&gt;""""),R464)*100,""""))"),"")</f>
        <v/>
      </c>
      <c r="V464" s="15" t="str">
        <f>IFERROR(__xludf.DUMMYFUNCTION("IF($A464="""","""",IFERROR(PERCENTRANK.INC(FILTER(S:S,$F:$F&lt;&gt;""""),S464)*100,""""))"),"")</f>
        <v/>
      </c>
      <c r="W464" s="15" t="str">
        <f t="shared" si="4"/>
        <v/>
      </c>
    </row>
    <row r="465">
      <c r="B465" t="str">
        <f t="array" ref="B465">IFERROR(INDEX('Player Raw Data'!C:C,Match($A465,'Player Raw Data'!$B:$B,0)),"")</f>
        <v/>
      </c>
      <c r="C465" t="str">
        <f t="array" ref="C465">IFERROR(INDEX('Player Raw Data'!D:D,Match($A465,'Player Raw Data'!$B:$B,0)),"")</f>
        <v/>
      </c>
      <c r="D465" t="str">
        <f t="array" ref="D465">IFERROR(IF(A465=A464, INDEX('Player Raw Data'!E:E,Match($A465,'Player Raw Data'!$B:$B,0)+2),INDEX('Player Raw Data'!E:E,Match($A465,'Player Raw Data'!$B:$B,0))),"")</f>
        <v/>
      </c>
      <c r="E465" t="str">
        <f t="array" ref="E465">IFERROR(INDEX('Day Range Raw Data'!D:D,Match($A465,'Day Range Raw Data'!$B:$B,0)),"")</f>
        <v/>
      </c>
      <c r="F465" t="str">
        <f t="array" ref="F465">IFERROR(INDEX('Day Range Raw Data'!F:F,Match($A465,'Day Range Raw Data'!$B:$B,0)),"")</f>
        <v/>
      </c>
      <c r="G465" t="str">
        <f t="array" ref="G465">IFERROR(INDEX('Day Range Raw Data'!G:G,Match($A465,'Day Range Raw Data'!$B:$B,0)),"")</f>
        <v/>
      </c>
      <c r="H465" t="str">
        <f t="array" ref="H465">IFERROR(INDEX('Day Range Raw Data'!H:H,Match($A465,'Day Range Raw Data'!$B:$B,0)),"")</f>
        <v/>
      </c>
      <c r="I465" t="str">
        <f t="array" ref="I465">IFERROR(INDEX('Day Range Raw Data'!M:M,Match($A465,'Day Range Raw Data'!$B:$B,0)),"")</f>
        <v/>
      </c>
      <c r="J465" t="str">
        <f t="array" ref="J465">IFERROR(INDEX('Day Range Raw Data'!N:N,Match($A465,'Day Range Raw Data'!$B:$B,0)),"")</f>
        <v/>
      </c>
      <c r="K465" t="str">
        <f t="array" ref="K465">IFERROR(INDEX('Day Range Raw Data'!R:R,Match($A465,'Day Range Raw Data'!$B:$B,0)),"")</f>
        <v/>
      </c>
      <c r="L465" t="str">
        <f t="array" ref="L465">IFERROR(INDEX('Day Range Raw Data'!S:S,Match($A465,'Day Range Raw Data'!$B:$B,0)),"")</f>
        <v/>
      </c>
      <c r="M465" t="str">
        <f t="array" ref="M465">IFERROR(INDEX('Day Range Raw Data'!T:T,Match($A465,'Day Range Raw Data'!$B:$B,0)),"")</f>
        <v/>
      </c>
      <c r="N465" t="str">
        <f t="array" ref="N465">IFERROR(INDEX('Day Range Raw Data'!U:U,Match($A465,'Day Range Raw Data'!$B:$B,0)),"")</f>
        <v/>
      </c>
      <c r="O465" t="str">
        <f t="array" ref="O465">IFERROR(INDEX('Day Range Raw Data'!V:V,Match($A465,'Day Range Raw Data'!$B:$B,0)),"")</f>
        <v/>
      </c>
      <c r="P465" t="str">
        <f t="array" ref="P465">IFERROR(INDEX('Day Range Raw Data'!X:X,Match($A465,'Day Range Raw Data'!$B:$B,0)),"")</f>
        <v/>
      </c>
      <c r="Q465" t="str">
        <f t="shared" si="1"/>
        <v/>
      </c>
      <c r="R465" s="9" t="str">
        <f t="shared" si="2"/>
        <v/>
      </c>
      <c r="S465" s="14" t="str">
        <f t="shared" si="3"/>
        <v/>
      </c>
      <c r="T465" s="15" t="str">
        <f>IFERROR(__xludf.DUMMYFUNCTION("IF($A465="""","""",IFERROR(PERCENTRANK.INC(FILTER(Q:Q,$F:$F&lt;&gt;""""),Q465)*100,""""))"),"")</f>
        <v/>
      </c>
      <c r="U465" s="15" t="str">
        <f>IFERROR(__xludf.DUMMYFUNCTION("IF($A465="""","""",IFERROR(PERCENTRANK.INC(FILTER(R:R,$F:$F&lt;&gt;""""),R465)*100,""""))"),"")</f>
        <v/>
      </c>
      <c r="V465" s="15" t="str">
        <f>IFERROR(__xludf.DUMMYFUNCTION("IF($A465="""","""",IFERROR(PERCENTRANK.INC(FILTER(S:S,$F:$F&lt;&gt;""""),S465)*100,""""))"),"")</f>
        <v/>
      </c>
      <c r="W465" s="15" t="str">
        <f t="shared" si="4"/>
        <v/>
      </c>
    </row>
    <row r="466">
      <c r="B466" t="str">
        <f t="array" ref="B466">IFERROR(INDEX('Player Raw Data'!C:C,Match($A466,'Player Raw Data'!$B:$B,0)),"")</f>
        <v/>
      </c>
      <c r="C466" t="str">
        <f t="array" ref="C466">IFERROR(INDEX('Player Raw Data'!D:D,Match($A466,'Player Raw Data'!$B:$B,0)),"")</f>
        <v/>
      </c>
      <c r="D466" t="str">
        <f t="array" ref="D466">IFERROR(IF(A466=A465, INDEX('Player Raw Data'!E:E,Match($A466,'Player Raw Data'!$B:$B,0)+2),INDEX('Player Raw Data'!E:E,Match($A466,'Player Raw Data'!$B:$B,0))),"")</f>
        <v/>
      </c>
      <c r="E466" t="str">
        <f t="array" ref="E466">IFERROR(INDEX('Day Range Raw Data'!D:D,Match($A466,'Day Range Raw Data'!$B:$B,0)),"")</f>
        <v/>
      </c>
      <c r="F466" t="str">
        <f t="array" ref="F466">IFERROR(INDEX('Day Range Raw Data'!F:F,Match($A466,'Day Range Raw Data'!$B:$B,0)),"")</f>
        <v/>
      </c>
      <c r="G466" t="str">
        <f t="array" ref="G466">IFERROR(INDEX('Day Range Raw Data'!G:G,Match($A466,'Day Range Raw Data'!$B:$B,0)),"")</f>
        <v/>
      </c>
      <c r="H466" t="str">
        <f t="array" ref="H466">IFERROR(INDEX('Day Range Raw Data'!H:H,Match($A466,'Day Range Raw Data'!$B:$B,0)),"")</f>
        <v/>
      </c>
      <c r="I466" t="str">
        <f t="array" ref="I466">IFERROR(INDEX('Day Range Raw Data'!M:M,Match($A466,'Day Range Raw Data'!$B:$B,0)),"")</f>
        <v/>
      </c>
      <c r="J466" t="str">
        <f t="array" ref="J466">IFERROR(INDEX('Day Range Raw Data'!N:N,Match($A466,'Day Range Raw Data'!$B:$B,0)),"")</f>
        <v/>
      </c>
      <c r="K466" t="str">
        <f t="array" ref="K466">IFERROR(INDEX('Day Range Raw Data'!R:R,Match($A466,'Day Range Raw Data'!$B:$B,0)),"")</f>
        <v/>
      </c>
      <c r="L466" t="str">
        <f t="array" ref="L466">IFERROR(INDEX('Day Range Raw Data'!S:S,Match($A466,'Day Range Raw Data'!$B:$B,0)),"")</f>
        <v/>
      </c>
      <c r="M466" t="str">
        <f t="array" ref="M466">IFERROR(INDEX('Day Range Raw Data'!T:T,Match($A466,'Day Range Raw Data'!$B:$B,0)),"")</f>
        <v/>
      </c>
      <c r="N466" t="str">
        <f t="array" ref="N466">IFERROR(INDEX('Day Range Raw Data'!U:U,Match($A466,'Day Range Raw Data'!$B:$B,0)),"")</f>
        <v/>
      </c>
      <c r="O466" t="str">
        <f t="array" ref="O466">IFERROR(INDEX('Day Range Raw Data'!V:V,Match($A466,'Day Range Raw Data'!$B:$B,0)),"")</f>
        <v/>
      </c>
      <c r="P466" t="str">
        <f t="array" ref="P466">IFERROR(INDEX('Day Range Raw Data'!X:X,Match($A466,'Day Range Raw Data'!$B:$B,0)),"")</f>
        <v/>
      </c>
      <c r="Q466" t="str">
        <f t="shared" si="1"/>
        <v/>
      </c>
      <c r="R466" s="9" t="str">
        <f t="shared" si="2"/>
        <v/>
      </c>
      <c r="S466" s="14" t="str">
        <f t="shared" si="3"/>
        <v/>
      </c>
      <c r="T466" s="15" t="str">
        <f>IFERROR(__xludf.DUMMYFUNCTION("IF($A466="""","""",IFERROR(PERCENTRANK.INC(FILTER(Q:Q,$F:$F&lt;&gt;""""),Q466)*100,""""))"),"")</f>
        <v/>
      </c>
      <c r="U466" s="15" t="str">
        <f>IFERROR(__xludf.DUMMYFUNCTION("IF($A466="""","""",IFERROR(PERCENTRANK.INC(FILTER(R:R,$F:$F&lt;&gt;""""),R466)*100,""""))"),"")</f>
        <v/>
      </c>
      <c r="V466" s="15" t="str">
        <f>IFERROR(__xludf.DUMMYFUNCTION("IF($A466="""","""",IFERROR(PERCENTRANK.INC(FILTER(S:S,$F:$F&lt;&gt;""""),S466)*100,""""))"),"")</f>
        <v/>
      </c>
      <c r="W466" s="15" t="str">
        <f t="shared" si="4"/>
        <v/>
      </c>
    </row>
    <row r="467">
      <c r="B467" t="str">
        <f t="array" ref="B467">IFERROR(INDEX('Player Raw Data'!C:C,Match($A467,'Player Raw Data'!$B:$B,0)),"")</f>
        <v/>
      </c>
      <c r="C467" t="str">
        <f t="array" ref="C467">IFERROR(INDEX('Player Raw Data'!D:D,Match($A467,'Player Raw Data'!$B:$B,0)),"")</f>
        <v/>
      </c>
      <c r="D467" t="str">
        <f t="array" ref="D467">IFERROR(IF(A467=A466, INDEX('Player Raw Data'!E:E,Match($A467,'Player Raw Data'!$B:$B,0)+2),INDEX('Player Raw Data'!E:E,Match($A467,'Player Raw Data'!$B:$B,0))),"")</f>
        <v/>
      </c>
      <c r="E467" t="str">
        <f t="array" ref="E467">IFERROR(INDEX('Day Range Raw Data'!D:D,Match($A467,'Day Range Raw Data'!$B:$B,0)),"")</f>
        <v/>
      </c>
      <c r="F467" t="str">
        <f t="array" ref="F467">IFERROR(INDEX('Day Range Raw Data'!F:F,Match($A467,'Day Range Raw Data'!$B:$B,0)),"")</f>
        <v/>
      </c>
      <c r="G467" t="str">
        <f t="array" ref="G467">IFERROR(INDEX('Day Range Raw Data'!G:G,Match($A467,'Day Range Raw Data'!$B:$B,0)),"")</f>
        <v/>
      </c>
      <c r="H467" t="str">
        <f t="array" ref="H467">IFERROR(INDEX('Day Range Raw Data'!H:H,Match($A467,'Day Range Raw Data'!$B:$B,0)),"")</f>
        <v/>
      </c>
      <c r="I467" t="str">
        <f t="array" ref="I467">IFERROR(INDEX('Day Range Raw Data'!M:M,Match($A467,'Day Range Raw Data'!$B:$B,0)),"")</f>
        <v/>
      </c>
      <c r="J467" t="str">
        <f t="array" ref="J467">IFERROR(INDEX('Day Range Raw Data'!N:N,Match($A467,'Day Range Raw Data'!$B:$B,0)),"")</f>
        <v/>
      </c>
      <c r="K467" t="str">
        <f t="array" ref="K467">IFERROR(INDEX('Day Range Raw Data'!R:R,Match($A467,'Day Range Raw Data'!$B:$B,0)),"")</f>
        <v/>
      </c>
      <c r="L467" t="str">
        <f t="array" ref="L467">IFERROR(INDEX('Day Range Raw Data'!S:S,Match($A467,'Day Range Raw Data'!$B:$B,0)),"")</f>
        <v/>
      </c>
      <c r="M467" t="str">
        <f t="array" ref="M467">IFERROR(INDEX('Day Range Raw Data'!T:T,Match($A467,'Day Range Raw Data'!$B:$B,0)),"")</f>
        <v/>
      </c>
      <c r="N467" t="str">
        <f t="array" ref="N467">IFERROR(INDEX('Day Range Raw Data'!U:U,Match($A467,'Day Range Raw Data'!$B:$B,0)),"")</f>
        <v/>
      </c>
      <c r="O467" t="str">
        <f t="array" ref="O467">IFERROR(INDEX('Day Range Raw Data'!V:V,Match($A467,'Day Range Raw Data'!$B:$B,0)),"")</f>
        <v/>
      </c>
      <c r="P467" t="str">
        <f t="array" ref="P467">IFERROR(INDEX('Day Range Raw Data'!X:X,Match($A467,'Day Range Raw Data'!$B:$B,0)),"")</f>
        <v/>
      </c>
      <c r="Q467" t="str">
        <f t="shared" si="1"/>
        <v/>
      </c>
      <c r="R467" s="9" t="str">
        <f t="shared" si="2"/>
        <v/>
      </c>
      <c r="S467" s="14" t="str">
        <f t="shared" si="3"/>
        <v/>
      </c>
      <c r="T467" s="15" t="str">
        <f>IFERROR(__xludf.DUMMYFUNCTION("IF($A467="""","""",IFERROR(PERCENTRANK.INC(FILTER(Q:Q,$F:$F&lt;&gt;""""),Q467)*100,""""))"),"")</f>
        <v/>
      </c>
      <c r="U467" s="15" t="str">
        <f>IFERROR(__xludf.DUMMYFUNCTION("IF($A467="""","""",IFERROR(PERCENTRANK.INC(FILTER(R:R,$F:$F&lt;&gt;""""),R467)*100,""""))"),"")</f>
        <v/>
      </c>
      <c r="V467" s="15" t="str">
        <f>IFERROR(__xludf.DUMMYFUNCTION("IF($A467="""","""",IFERROR(PERCENTRANK.INC(FILTER(S:S,$F:$F&lt;&gt;""""),S467)*100,""""))"),"")</f>
        <v/>
      </c>
      <c r="W467" s="15" t="str">
        <f t="shared" si="4"/>
        <v/>
      </c>
    </row>
    <row r="468">
      <c r="B468" t="str">
        <f t="array" ref="B468">IFERROR(INDEX('Player Raw Data'!C:C,Match($A468,'Player Raw Data'!$B:$B,0)),"")</f>
        <v/>
      </c>
      <c r="C468" t="str">
        <f t="array" ref="C468">IFERROR(INDEX('Player Raw Data'!D:D,Match($A468,'Player Raw Data'!$B:$B,0)),"")</f>
        <v/>
      </c>
      <c r="D468" t="str">
        <f t="array" ref="D468">IFERROR(IF(A468=A467, INDEX('Player Raw Data'!E:E,Match($A468,'Player Raw Data'!$B:$B,0)+2),INDEX('Player Raw Data'!E:E,Match($A468,'Player Raw Data'!$B:$B,0))),"")</f>
        <v/>
      </c>
      <c r="E468" t="str">
        <f t="array" ref="E468">IFERROR(INDEX('Day Range Raw Data'!D:D,Match($A468,'Day Range Raw Data'!$B:$B,0)),"")</f>
        <v/>
      </c>
      <c r="F468" t="str">
        <f t="array" ref="F468">IFERROR(INDEX('Day Range Raw Data'!F:F,Match($A468,'Day Range Raw Data'!$B:$B,0)),"")</f>
        <v/>
      </c>
      <c r="G468" t="str">
        <f t="array" ref="G468">IFERROR(INDEX('Day Range Raw Data'!G:G,Match($A468,'Day Range Raw Data'!$B:$B,0)),"")</f>
        <v/>
      </c>
      <c r="H468" t="str">
        <f t="array" ref="H468">IFERROR(INDEX('Day Range Raw Data'!H:H,Match($A468,'Day Range Raw Data'!$B:$B,0)),"")</f>
        <v/>
      </c>
      <c r="I468" t="str">
        <f t="array" ref="I468">IFERROR(INDEX('Day Range Raw Data'!M:M,Match($A468,'Day Range Raw Data'!$B:$B,0)),"")</f>
        <v/>
      </c>
      <c r="J468" t="str">
        <f t="array" ref="J468">IFERROR(INDEX('Day Range Raw Data'!N:N,Match($A468,'Day Range Raw Data'!$B:$B,0)),"")</f>
        <v/>
      </c>
      <c r="K468" t="str">
        <f t="array" ref="K468">IFERROR(INDEX('Day Range Raw Data'!R:R,Match($A468,'Day Range Raw Data'!$B:$B,0)),"")</f>
        <v/>
      </c>
      <c r="L468" t="str">
        <f t="array" ref="L468">IFERROR(INDEX('Day Range Raw Data'!S:S,Match($A468,'Day Range Raw Data'!$B:$B,0)),"")</f>
        <v/>
      </c>
      <c r="M468" t="str">
        <f t="array" ref="M468">IFERROR(INDEX('Day Range Raw Data'!T:T,Match($A468,'Day Range Raw Data'!$B:$B,0)),"")</f>
        <v/>
      </c>
      <c r="N468" t="str">
        <f t="array" ref="N468">IFERROR(INDEX('Day Range Raw Data'!U:U,Match($A468,'Day Range Raw Data'!$B:$B,0)),"")</f>
        <v/>
      </c>
      <c r="O468" t="str">
        <f t="array" ref="O468">IFERROR(INDEX('Day Range Raw Data'!V:V,Match($A468,'Day Range Raw Data'!$B:$B,0)),"")</f>
        <v/>
      </c>
      <c r="P468" t="str">
        <f t="array" ref="P468">IFERROR(INDEX('Day Range Raw Data'!X:X,Match($A468,'Day Range Raw Data'!$B:$B,0)),"")</f>
        <v/>
      </c>
      <c r="Q468" t="str">
        <f t="shared" si="1"/>
        <v/>
      </c>
      <c r="R468" s="9" t="str">
        <f t="shared" si="2"/>
        <v/>
      </c>
      <c r="S468" s="14" t="str">
        <f t="shared" si="3"/>
        <v/>
      </c>
      <c r="T468" s="15" t="str">
        <f>IFERROR(__xludf.DUMMYFUNCTION("IF($A468="""","""",IFERROR(PERCENTRANK.INC(FILTER(Q:Q,$F:$F&lt;&gt;""""),Q468)*100,""""))"),"")</f>
        <v/>
      </c>
      <c r="U468" s="15" t="str">
        <f>IFERROR(__xludf.DUMMYFUNCTION("IF($A468="""","""",IFERROR(PERCENTRANK.INC(FILTER(R:R,$F:$F&lt;&gt;""""),R468)*100,""""))"),"")</f>
        <v/>
      </c>
      <c r="V468" s="15" t="str">
        <f>IFERROR(__xludf.DUMMYFUNCTION("IF($A468="""","""",IFERROR(PERCENTRANK.INC(FILTER(S:S,$F:$F&lt;&gt;""""),S468)*100,""""))"),"")</f>
        <v/>
      </c>
      <c r="W468" s="15" t="str">
        <f t="shared" si="4"/>
        <v/>
      </c>
    </row>
    <row r="469">
      <c r="B469" t="str">
        <f t="array" ref="B469">IFERROR(INDEX('Player Raw Data'!C:C,Match($A469,'Player Raw Data'!$B:$B,0)),"")</f>
        <v/>
      </c>
      <c r="C469" t="str">
        <f t="array" ref="C469">IFERROR(INDEX('Player Raw Data'!D:D,Match($A469,'Player Raw Data'!$B:$B,0)),"")</f>
        <v/>
      </c>
      <c r="D469" t="str">
        <f t="array" ref="D469">IFERROR(IF(A469=A468, INDEX('Player Raw Data'!E:E,Match($A469,'Player Raw Data'!$B:$B,0)+2),INDEX('Player Raw Data'!E:E,Match($A469,'Player Raw Data'!$B:$B,0))),"")</f>
        <v/>
      </c>
      <c r="E469" t="str">
        <f t="array" ref="E469">IFERROR(INDEX('Day Range Raw Data'!D:D,Match($A469,'Day Range Raw Data'!$B:$B,0)),"")</f>
        <v/>
      </c>
      <c r="F469" t="str">
        <f t="array" ref="F469">IFERROR(INDEX('Day Range Raw Data'!F:F,Match($A469,'Day Range Raw Data'!$B:$B,0)),"")</f>
        <v/>
      </c>
      <c r="G469" t="str">
        <f t="array" ref="G469">IFERROR(INDEX('Day Range Raw Data'!G:G,Match($A469,'Day Range Raw Data'!$B:$B,0)),"")</f>
        <v/>
      </c>
      <c r="H469" t="str">
        <f t="array" ref="H469">IFERROR(INDEX('Day Range Raw Data'!H:H,Match($A469,'Day Range Raw Data'!$B:$B,0)),"")</f>
        <v/>
      </c>
      <c r="I469" t="str">
        <f t="array" ref="I469">IFERROR(INDEX('Day Range Raw Data'!M:M,Match($A469,'Day Range Raw Data'!$B:$B,0)),"")</f>
        <v/>
      </c>
      <c r="J469" t="str">
        <f t="array" ref="J469">IFERROR(INDEX('Day Range Raw Data'!N:N,Match($A469,'Day Range Raw Data'!$B:$B,0)),"")</f>
        <v/>
      </c>
      <c r="K469" t="str">
        <f t="array" ref="K469">IFERROR(INDEX('Day Range Raw Data'!R:R,Match($A469,'Day Range Raw Data'!$B:$B,0)),"")</f>
        <v/>
      </c>
      <c r="L469" t="str">
        <f t="array" ref="L469">IFERROR(INDEX('Day Range Raw Data'!S:S,Match($A469,'Day Range Raw Data'!$B:$B,0)),"")</f>
        <v/>
      </c>
      <c r="M469" t="str">
        <f t="array" ref="M469">IFERROR(INDEX('Day Range Raw Data'!T:T,Match($A469,'Day Range Raw Data'!$B:$B,0)),"")</f>
        <v/>
      </c>
      <c r="N469" t="str">
        <f t="array" ref="N469">IFERROR(INDEX('Day Range Raw Data'!U:U,Match($A469,'Day Range Raw Data'!$B:$B,0)),"")</f>
        <v/>
      </c>
      <c r="O469" t="str">
        <f t="array" ref="O469">IFERROR(INDEX('Day Range Raw Data'!V:V,Match($A469,'Day Range Raw Data'!$B:$B,0)),"")</f>
        <v/>
      </c>
      <c r="P469" t="str">
        <f t="array" ref="P469">IFERROR(INDEX('Day Range Raw Data'!X:X,Match($A469,'Day Range Raw Data'!$B:$B,0)),"")</f>
        <v/>
      </c>
      <c r="Q469" t="str">
        <f t="shared" si="1"/>
        <v/>
      </c>
      <c r="R469" s="9" t="str">
        <f t="shared" si="2"/>
        <v/>
      </c>
      <c r="S469" s="14" t="str">
        <f t="shared" si="3"/>
        <v/>
      </c>
      <c r="T469" s="15" t="str">
        <f>IFERROR(__xludf.DUMMYFUNCTION("IF($A469="""","""",IFERROR(PERCENTRANK.INC(FILTER(Q:Q,$F:$F&lt;&gt;""""),Q469)*100,""""))"),"")</f>
        <v/>
      </c>
      <c r="U469" s="15" t="str">
        <f>IFERROR(__xludf.DUMMYFUNCTION("IF($A469="""","""",IFERROR(PERCENTRANK.INC(FILTER(R:R,$F:$F&lt;&gt;""""),R469)*100,""""))"),"")</f>
        <v/>
      </c>
      <c r="V469" s="15" t="str">
        <f>IFERROR(__xludf.DUMMYFUNCTION("IF($A469="""","""",IFERROR(PERCENTRANK.INC(FILTER(S:S,$F:$F&lt;&gt;""""),S469)*100,""""))"),"")</f>
        <v/>
      </c>
      <c r="W469" s="15" t="str">
        <f t="shared" si="4"/>
        <v/>
      </c>
    </row>
    <row r="470">
      <c r="B470" t="str">
        <f t="array" ref="B470">IFERROR(INDEX('Player Raw Data'!C:C,Match($A470,'Player Raw Data'!$B:$B,0)),"")</f>
        <v/>
      </c>
      <c r="C470" t="str">
        <f t="array" ref="C470">IFERROR(INDEX('Player Raw Data'!D:D,Match($A470,'Player Raw Data'!$B:$B,0)),"")</f>
        <v/>
      </c>
      <c r="D470" t="str">
        <f t="array" ref="D470">IFERROR(IF(A470=A469, INDEX('Player Raw Data'!E:E,Match($A470,'Player Raw Data'!$B:$B,0)+2),INDEX('Player Raw Data'!E:E,Match($A470,'Player Raw Data'!$B:$B,0))),"")</f>
        <v/>
      </c>
      <c r="E470" t="str">
        <f t="array" ref="E470">IFERROR(INDEX('Day Range Raw Data'!D:D,Match($A470,'Day Range Raw Data'!$B:$B,0)),"")</f>
        <v/>
      </c>
      <c r="F470" t="str">
        <f t="array" ref="F470">IFERROR(INDEX('Day Range Raw Data'!F:F,Match($A470,'Day Range Raw Data'!$B:$B,0)),"")</f>
        <v/>
      </c>
      <c r="G470" t="str">
        <f t="array" ref="G470">IFERROR(INDEX('Day Range Raw Data'!G:G,Match($A470,'Day Range Raw Data'!$B:$B,0)),"")</f>
        <v/>
      </c>
      <c r="H470" t="str">
        <f t="array" ref="H470">IFERROR(INDEX('Day Range Raw Data'!H:H,Match($A470,'Day Range Raw Data'!$B:$B,0)),"")</f>
        <v/>
      </c>
      <c r="I470" t="str">
        <f t="array" ref="I470">IFERROR(INDEX('Day Range Raw Data'!M:M,Match($A470,'Day Range Raw Data'!$B:$B,0)),"")</f>
        <v/>
      </c>
      <c r="J470" t="str">
        <f t="array" ref="J470">IFERROR(INDEX('Day Range Raw Data'!N:N,Match($A470,'Day Range Raw Data'!$B:$B,0)),"")</f>
        <v/>
      </c>
      <c r="K470" t="str">
        <f t="array" ref="K470">IFERROR(INDEX('Day Range Raw Data'!R:R,Match($A470,'Day Range Raw Data'!$B:$B,0)),"")</f>
        <v/>
      </c>
      <c r="L470" t="str">
        <f t="array" ref="L470">IFERROR(INDEX('Day Range Raw Data'!S:S,Match($A470,'Day Range Raw Data'!$B:$B,0)),"")</f>
        <v/>
      </c>
      <c r="M470" t="str">
        <f t="array" ref="M470">IFERROR(INDEX('Day Range Raw Data'!T:T,Match($A470,'Day Range Raw Data'!$B:$B,0)),"")</f>
        <v/>
      </c>
      <c r="N470" t="str">
        <f t="array" ref="N470">IFERROR(INDEX('Day Range Raw Data'!U:U,Match($A470,'Day Range Raw Data'!$B:$B,0)),"")</f>
        <v/>
      </c>
      <c r="O470" t="str">
        <f t="array" ref="O470">IFERROR(INDEX('Day Range Raw Data'!V:V,Match($A470,'Day Range Raw Data'!$B:$B,0)),"")</f>
        <v/>
      </c>
      <c r="P470" t="str">
        <f t="array" ref="P470">IFERROR(INDEX('Day Range Raw Data'!X:X,Match($A470,'Day Range Raw Data'!$B:$B,0)),"")</f>
        <v/>
      </c>
      <c r="Q470" t="str">
        <f t="shared" si="1"/>
        <v/>
      </c>
      <c r="R470" s="9" t="str">
        <f t="shared" si="2"/>
        <v/>
      </c>
      <c r="S470" s="14" t="str">
        <f t="shared" si="3"/>
        <v/>
      </c>
      <c r="T470" s="15" t="str">
        <f>IFERROR(__xludf.DUMMYFUNCTION("IF($A470="""","""",IFERROR(PERCENTRANK.INC(FILTER(Q:Q,$F:$F&lt;&gt;""""),Q470)*100,""""))"),"")</f>
        <v/>
      </c>
      <c r="U470" s="15" t="str">
        <f>IFERROR(__xludf.DUMMYFUNCTION("IF($A470="""","""",IFERROR(PERCENTRANK.INC(FILTER(R:R,$F:$F&lt;&gt;""""),R470)*100,""""))"),"")</f>
        <v/>
      </c>
      <c r="V470" s="15" t="str">
        <f>IFERROR(__xludf.DUMMYFUNCTION("IF($A470="""","""",IFERROR(PERCENTRANK.INC(FILTER(S:S,$F:$F&lt;&gt;""""),S470)*100,""""))"),"")</f>
        <v/>
      </c>
      <c r="W470" s="15" t="str">
        <f t="shared" si="4"/>
        <v/>
      </c>
    </row>
    <row r="471">
      <c r="B471" t="str">
        <f t="array" ref="B471">IFERROR(INDEX('Player Raw Data'!C:C,Match($A471,'Player Raw Data'!$B:$B,0)),"")</f>
        <v/>
      </c>
      <c r="C471" t="str">
        <f t="array" ref="C471">IFERROR(INDEX('Player Raw Data'!D:D,Match($A471,'Player Raw Data'!$B:$B,0)),"")</f>
        <v/>
      </c>
      <c r="D471" t="str">
        <f t="array" ref="D471">IFERROR(IF(A471=A470, INDEX('Player Raw Data'!E:E,Match($A471,'Player Raw Data'!$B:$B,0)+2),INDEX('Player Raw Data'!E:E,Match($A471,'Player Raw Data'!$B:$B,0))),"")</f>
        <v/>
      </c>
      <c r="E471" t="str">
        <f t="array" ref="E471">IFERROR(INDEX('Day Range Raw Data'!D:D,Match($A471,'Day Range Raw Data'!$B:$B,0)),"")</f>
        <v/>
      </c>
      <c r="F471" t="str">
        <f t="array" ref="F471">IFERROR(INDEX('Day Range Raw Data'!F:F,Match($A471,'Day Range Raw Data'!$B:$B,0)),"")</f>
        <v/>
      </c>
      <c r="G471" t="str">
        <f t="array" ref="G471">IFERROR(INDEX('Day Range Raw Data'!G:G,Match($A471,'Day Range Raw Data'!$B:$B,0)),"")</f>
        <v/>
      </c>
      <c r="H471" t="str">
        <f t="array" ref="H471">IFERROR(INDEX('Day Range Raw Data'!H:H,Match($A471,'Day Range Raw Data'!$B:$B,0)),"")</f>
        <v/>
      </c>
      <c r="I471" t="str">
        <f t="array" ref="I471">IFERROR(INDEX('Day Range Raw Data'!M:M,Match($A471,'Day Range Raw Data'!$B:$B,0)),"")</f>
        <v/>
      </c>
      <c r="J471" t="str">
        <f t="array" ref="J471">IFERROR(INDEX('Day Range Raw Data'!N:N,Match($A471,'Day Range Raw Data'!$B:$B,0)),"")</f>
        <v/>
      </c>
      <c r="K471" t="str">
        <f t="array" ref="K471">IFERROR(INDEX('Day Range Raw Data'!R:R,Match($A471,'Day Range Raw Data'!$B:$B,0)),"")</f>
        <v/>
      </c>
      <c r="L471" t="str">
        <f t="array" ref="L471">IFERROR(INDEX('Day Range Raw Data'!S:S,Match($A471,'Day Range Raw Data'!$B:$B,0)),"")</f>
        <v/>
      </c>
      <c r="M471" t="str">
        <f t="array" ref="M471">IFERROR(INDEX('Day Range Raw Data'!T:T,Match($A471,'Day Range Raw Data'!$B:$B,0)),"")</f>
        <v/>
      </c>
      <c r="N471" t="str">
        <f t="array" ref="N471">IFERROR(INDEX('Day Range Raw Data'!U:U,Match($A471,'Day Range Raw Data'!$B:$B,0)),"")</f>
        <v/>
      </c>
      <c r="O471" t="str">
        <f t="array" ref="O471">IFERROR(INDEX('Day Range Raw Data'!V:V,Match($A471,'Day Range Raw Data'!$B:$B,0)),"")</f>
        <v/>
      </c>
      <c r="P471" t="str">
        <f t="array" ref="P471">IFERROR(INDEX('Day Range Raw Data'!X:X,Match($A471,'Day Range Raw Data'!$B:$B,0)),"")</f>
        <v/>
      </c>
      <c r="Q471" t="str">
        <f t="shared" si="1"/>
        <v/>
      </c>
      <c r="R471" s="9" t="str">
        <f t="shared" si="2"/>
        <v/>
      </c>
      <c r="S471" s="14" t="str">
        <f t="shared" si="3"/>
        <v/>
      </c>
      <c r="T471" s="15" t="str">
        <f>IFERROR(__xludf.DUMMYFUNCTION("IF($A471="""","""",IFERROR(PERCENTRANK.INC(FILTER(Q:Q,$F:$F&lt;&gt;""""),Q471)*100,""""))"),"")</f>
        <v/>
      </c>
      <c r="U471" s="15" t="str">
        <f>IFERROR(__xludf.DUMMYFUNCTION("IF($A471="""","""",IFERROR(PERCENTRANK.INC(FILTER(R:R,$F:$F&lt;&gt;""""),R471)*100,""""))"),"")</f>
        <v/>
      </c>
      <c r="V471" s="15" t="str">
        <f>IFERROR(__xludf.DUMMYFUNCTION("IF($A471="""","""",IFERROR(PERCENTRANK.INC(FILTER(S:S,$F:$F&lt;&gt;""""),S471)*100,""""))"),"")</f>
        <v/>
      </c>
      <c r="W471" s="15" t="str">
        <f t="shared" si="4"/>
        <v/>
      </c>
    </row>
    <row r="472">
      <c r="B472" t="str">
        <f t="array" ref="B472">IFERROR(INDEX('Player Raw Data'!C:C,Match($A472,'Player Raw Data'!$B:$B,0)),"")</f>
        <v/>
      </c>
      <c r="C472" t="str">
        <f t="array" ref="C472">IFERROR(INDEX('Player Raw Data'!D:D,Match($A472,'Player Raw Data'!$B:$B,0)),"")</f>
        <v/>
      </c>
      <c r="D472" t="str">
        <f t="array" ref="D472">IFERROR(IF(A472=A471, INDEX('Player Raw Data'!E:E,Match($A472,'Player Raw Data'!$B:$B,0)+2),INDEX('Player Raw Data'!E:E,Match($A472,'Player Raw Data'!$B:$B,0))),"")</f>
        <v/>
      </c>
      <c r="E472" t="str">
        <f t="array" ref="E472">IFERROR(INDEX('Day Range Raw Data'!D:D,Match($A472,'Day Range Raw Data'!$B:$B,0)),"")</f>
        <v/>
      </c>
      <c r="F472" t="str">
        <f t="array" ref="F472">IFERROR(INDEX('Day Range Raw Data'!F:F,Match($A472,'Day Range Raw Data'!$B:$B,0)),"")</f>
        <v/>
      </c>
      <c r="G472" t="str">
        <f t="array" ref="G472">IFERROR(INDEX('Day Range Raw Data'!G:G,Match($A472,'Day Range Raw Data'!$B:$B,0)),"")</f>
        <v/>
      </c>
      <c r="H472" t="str">
        <f t="array" ref="H472">IFERROR(INDEX('Day Range Raw Data'!H:H,Match($A472,'Day Range Raw Data'!$B:$B,0)),"")</f>
        <v/>
      </c>
      <c r="I472" t="str">
        <f t="array" ref="I472">IFERROR(INDEX('Day Range Raw Data'!M:M,Match($A472,'Day Range Raw Data'!$B:$B,0)),"")</f>
        <v/>
      </c>
      <c r="J472" t="str">
        <f t="array" ref="J472">IFERROR(INDEX('Day Range Raw Data'!N:N,Match($A472,'Day Range Raw Data'!$B:$B,0)),"")</f>
        <v/>
      </c>
      <c r="K472" t="str">
        <f t="array" ref="K472">IFERROR(INDEX('Day Range Raw Data'!R:R,Match($A472,'Day Range Raw Data'!$B:$B,0)),"")</f>
        <v/>
      </c>
      <c r="L472" t="str">
        <f t="array" ref="L472">IFERROR(INDEX('Day Range Raw Data'!S:S,Match($A472,'Day Range Raw Data'!$B:$B,0)),"")</f>
        <v/>
      </c>
      <c r="M472" t="str">
        <f t="array" ref="M472">IFERROR(INDEX('Day Range Raw Data'!T:T,Match($A472,'Day Range Raw Data'!$B:$B,0)),"")</f>
        <v/>
      </c>
      <c r="N472" t="str">
        <f t="array" ref="N472">IFERROR(INDEX('Day Range Raw Data'!U:U,Match($A472,'Day Range Raw Data'!$B:$B,0)),"")</f>
        <v/>
      </c>
      <c r="O472" t="str">
        <f t="array" ref="O472">IFERROR(INDEX('Day Range Raw Data'!V:V,Match($A472,'Day Range Raw Data'!$B:$B,0)),"")</f>
        <v/>
      </c>
      <c r="P472" t="str">
        <f t="array" ref="P472">IFERROR(INDEX('Day Range Raw Data'!X:X,Match($A472,'Day Range Raw Data'!$B:$B,0)),"")</f>
        <v/>
      </c>
      <c r="Q472" t="str">
        <f t="shared" si="1"/>
        <v/>
      </c>
      <c r="R472" s="9" t="str">
        <f t="shared" si="2"/>
        <v/>
      </c>
      <c r="S472" s="14" t="str">
        <f t="shared" si="3"/>
        <v/>
      </c>
      <c r="T472" s="15" t="str">
        <f>IFERROR(__xludf.DUMMYFUNCTION("IF($A472="""","""",IFERROR(PERCENTRANK.INC(FILTER(Q:Q,$F:$F&lt;&gt;""""),Q472)*100,""""))"),"")</f>
        <v/>
      </c>
      <c r="U472" s="15" t="str">
        <f>IFERROR(__xludf.DUMMYFUNCTION("IF($A472="""","""",IFERROR(PERCENTRANK.INC(FILTER(R:R,$F:$F&lt;&gt;""""),R472)*100,""""))"),"")</f>
        <v/>
      </c>
      <c r="V472" s="15" t="str">
        <f>IFERROR(__xludf.DUMMYFUNCTION("IF($A472="""","""",IFERROR(PERCENTRANK.INC(FILTER(S:S,$F:$F&lt;&gt;""""),S472)*100,""""))"),"")</f>
        <v/>
      </c>
      <c r="W472" s="15" t="str">
        <f t="shared" si="4"/>
        <v/>
      </c>
    </row>
    <row r="473">
      <c r="B473" t="str">
        <f t="array" ref="B473">IFERROR(INDEX('Player Raw Data'!C:C,Match($A473,'Player Raw Data'!$B:$B,0)),"")</f>
        <v/>
      </c>
      <c r="C473" t="str">
        <f t="array" ref="C473">IFERROR(INDEX('Player Raw Data'!D:D,Match($A473,'Player Raw Data'!$B:$B,0)),"")</f>
        <v/>
      </c>
      <c r="D473" t="str">
        <f t="array" ref="D473">IFERROR(IF(A473=A472, INDEX('Player Raw Data'!E:E,Match($A473,'Player Raw Data'!$B:$B,0)+2),INDEX('Player Raw Data'!E:E,Match($A473,'Player Raw Data'!$B:$B,0))),"")</f>
        <v/>
      </c>
      <c r="E473" t="str">
        <f t="array" ref="E473">IFERROR(INDEX('Day Range Raw Data'!D:D,Match($A473,'Day Range Raw Data'!$B:$B,0)),"")</f>
        <v/>
      </c>
      <c r="F473" t="str">
        <f t="array" ref="F473">IFERROR(INDEX('Day Range Raw Data'!F:F,Match($A473,'Day Range Raw Data'!$B:$B,0)),"")</f>
        <v/>
      </c>
      <c r="G473" t="str">
        <f t="array" ref="G473">IFERROR(INDEX('Day Range Raw Data'!G:G,Match($A473,'Day Range Raw Data'!$B:$B,0)),"")</f>
        <v/>
      </c>
      <c r="H473" t="str">
        <f t="array" ref="H473">IFERROR(INDEX('Day Range Raw Data'!H:H,Match($A473,'Day Range Raw Data'!$B:$B,0)),"")</f>
        <v/>
      </c>
      <c r="I473" t="str">
        <f t="array" ref="I473">IFERROR(INDEX('Day Range Raw Data'!M:M,Match($A473,'Day Range Raw Data'!$B:$B,0)),"")</f>
        <v/>
      </c>
      <c r="J473" t="str">
        <f t="array" ref="J473">IFERROR(INDEX('Day Range Raw Data'!N:N,Match($A473,'Day Range Raw Data'!$B:$B,0)),"")</f>
        <v/>
      </c>
      <c r="K473" t="str">
        <f t="array" ref="K473">IFERROR(INDEX('Day Range Raw Data'!R:R,Match($A473,'Day Range Raw Data'!$B:$B,0)),"")</f>
        <v/>
      </c>
      <c r="L473" t="str">
        <f t="array" ref="L473">IFERROR(INDEX('Day Range Raw Data'!S:S,Match($A473,'Day Range Raw Data'!$B:$B,0)),"")</f>
        <v/>
      </c>
      <c r="M473" t="str">
        <f t="array" ref="M473">IFERROR(INDEX('Day Range Raw Data'!T:T,Match($A473,'Day Range Raw Data'!$B:$B,0)),"")</f>
        <v/>
      </c>
      <c r="N473" t="str">
        <f t="array" ref="N473">IFERROR(INDEX('Day Range Raw Data'!U:U,Match($A473,'Day Range Raw Data'!$B:$B,0)),"")</f>
        <v/>
      </c>
      <c r="O473" t="str">
        <f t="array" ref="O473">IFERROR(INDEX('Day Range Raw Data'!V:V,Match($A473,'Day Range Raw Data'!$B:$B,0)),"")</f>
        <v/>
      </c>
      <c r="P473" t="str">
        <f t="array" ref="P473">IFERROR(INDEX('Day Range Raw Data'!X:X,Match($A473,'Day Range Raw Data'!$B:$B,0)),"")</f>
        <v/>
      </c>
      <c r="Q473" t="str">
        <f t="shared" si="1"/>
        <v/>
      </c>
      <c r="R473" s="9" t="str">
        <f t="shared" si="2"/>
        <v/>
      </c>
      <c r="S473" s="14" t="str">
        <f t="shared" si="3"/>
        <v/>
      </c>
      <c r="T473" s="15" t="str">
        <f>IFERROR(__xludf.DUMMYFUNCTION("IF($A473="""","""",IFERROR(PERCENTRANK.INC(FILTER(Q:Q,$F:$F&lt;&gt;""""),Q473)*100,""""))"),"")</f>
        <v/>
      </c>
      <c r="U473" s="15" t="str">
        <f>IFERROR(__xludf.DUMMYFUNCTION("IF($A473="""","""",IFERROR(PERCENTRANK.INC(FILTER(R:R,$F:$F&lt;&gt;""""),R473)*100,""""))"),"")</f>
        <v/>
      </c>
      <c r="V473" s="15" t="str">
        <f>IFERROR(__xludf.DUMMYFUNCTION("IF($A473="""","""",IFERROR(PERCENTRANK.INC(FILTER(S:S,$F:$F&lt;&gt;""""),S473)*100,""""))"),"")</f>
        <v/>
      </c>
      <c r="W473" s="15" t="str">
        <f t="shared" si="4"/>
        <v/>
      </c>
    </row>
    <row r="474">
      <c r="B474" t="str">
        <f t="array" ref="B474">IFERROR(INDEX('Player Raw Data'!C:C,Match($A474,'Player Raw Data'!$B:$B,0)),"")</f>
        <v/>
      </c>
      <c r="C474" t="str">
        <f t="array" ref="C474">IFERROR(INDEX('Player Raw Data'!D:D,Match($A474,'Player Raw Data'!$B:$B,0)),"")</f>
        <v/>
      </c>
      <c r="D474" t="str">
        <f t="array" ref="D474">IFERROR(IF(A474=A473, INDEX('Player Raw Data'!E:E,Match($A474,'Player Raw Data'!$B:$B,0)+2),INDEX('Player Raw Data'!E:E,Match($A474,'Player Raw Data'!$B:$B,0))),"")</f>
        <v/>
      </c>
      <c r="E474" t="str">
        <f t="array" ref="E474">IFERROR(INDEX('Day Range Raw Data'!D:D,Match($A474,'Day Range Raw Data'!$B:$B,0)),"")</f>
        <v/>
      </c>
      <c r="F474" t="str">
        <f t="array" ref="F474">IFERROR(INDEX('Day Range Raw Data'!F:F,Match($A474,'Day Range Raw Data'!$B:$B,0)),"")</f>
        <v/>
      </c>
      <c r="G474" t="str">
        <f t="array" ref="G474">IFERROR(INDEX('Day Range Raw Data'!G:G,Match($A474,'Day Range Raw Data'!$B:$B,0)),"")</f>
        <v/>
      </c>
      <c r="H474" t="str">
        <f t="array" ref="H474">IFERROR(INDEX('Day Range Raw Data'!H:H,Match($A474,'Day Range Raw Data'!$B:$B,0)),"")</f>
        <v/>
      </c>
      <c r="I474" t="str">
        <f t="array" ref="I474">IFERROR(INDEX('Day Range Raw Data'!M:M,Match($A474,'Day Range Raw Data'!$B:$B,0)),"")</f>
        <v/>
      </c>
      <c r="J474" t="str">
        <f t="array" ref="J474">IFERROR(INDEX('Day Range Raw Data'!N:N,Match($A474,'Day Range Raw Data'!$B:$B,0)),"")</f>
        <v/>
      </c>
      <c r="K474" t="str">
        <f t="array" ref="K474">IFERROR(INDEX('Day Range Raw Data'!R:R,Match($A474,'Day Range Raw Data'!$B:$B,0)),"")</f>
        <v/>
      </c>
      <c r="L474" t="str">
        <f t="array" ref="L474">IFERROR(INDEX('Day Range Raw Data'!S:S,Match($A474,'Day Range Raw Data'!$B:$B,0)),"")</f>
        <v/>
      </c>
      <c r="M474" t="str">
        <f t="array" ref="M474">IFERROR(INDEX('Day Range Raw Data'!T:T,Match($A474,'Day Range Raw Data'!$B:$B,0)),"")</f>
        <v/>
      </c>
      <c r="N474" t="str">
        <f t="array" ref="N474">IFERROR(INDEX('Day Range Raw Data'!U:U,Match($A474,'Day Range Raw Data'!$B:$B,0)),"")</f>
        <v/>
      </c>
      <c r="O474" t="str">
        <f t="array" ref="O474">IFERROR(INDEX('Day Range Raw Data'!V:V,Match($A474,'Day Range Raw Data'!$B:$B,0)),"")</f>
        <v/>
      </c>
      <c r="P474" t="str">
        <f t="array" ref="P474">IFERROR(INDEX('Day Range Raw Data'!X:X,Match($A474,'Day Range Raw Data'!$B:$B,0)),"")</f>
        <v/>
      </c>
      <c r="Q474" t="str">
        <f t="shared" si="1"/>
        <v/>
      </c>
      <c r="R474" s="9" t="str">
        <f t="shared" si="2"/>
        <v/>
      </c>
      <c r="S474" s="14" t="str">
        <f t="shared" si="3"/>
        <v/>
      </c>
      <c r="T474" s="15" t="str">
        <f>IFERROR(__xludf.DUMMYFUNCTION("IF($A474="""","""",IFERROR(PERCENTRANK.INC(FILTER(Q:Q,$F:$F&lt;&gt;""""),Q474)*100,""""))"),"")</f>
        <v/>
      </c>
      <c r="U474" s="15" t="str">
        <f>IFERROR(__xludf.DUMMYFUNCTION("IF($A474="""","""",IFERROR(PERCENTRANK.INC(FILTER(R:R,$F:$F&lt;&gt;""""),R474)*100,""""))"),"")</f>
        <v/>
      </c>
      <c r="V474" s="15" t="str">
        <f>IFERROR(__xludf.DUMMYFUNCTION("IF($A474="""","""",IFERROR(PERCENTRANK.INC(FILTER(S:S,$F:$F&lt;&gt;""""),S474)*100,""""))"),"")</f>
        <v/>
      </c>
      <c r="W474" s="15" t="str">
        <f t="shared" si="4"/>
        <v/>
      </c>
    </row>
    <row r="475">
      <c r="B475" t="str">
        <f t="array" ref="B475">IFERROR(INDEX('Player Raw Data'!C:C,Match($A475,'Player Raw Data'!$B:$B,0)),"")</f>
        <v/>
      </c>
      <c r="C475" t="str">
        <f t="array" ref="C475">IFERROR(INDEX('Player Raw Data'!D:D,Match($A475,'Player Raw Data'!$B:$B,0)),"")</f>
        <v/>
      </c>
      <c r="D475" t="str">
        <f t="array" ref="D475">IFERROR(IF(A475=A474, INDEX('Player Raw Data'!E:E,Match($A475,'Player Raw Data'!$B:$B,0)+2),INDEX('Player Raw Data'!E:E,Match($A475,'Player Raw Data'!$B:$B,0))),"")</f>
        <v/>
      </c>
      <c r="E475" t="str">
        <f t="array" ref="E475">IFERROR(INDEX('Day Range Raw Data'!D:D,Match($A475,'Day Range Raw Data'!$B:$B,0)),"")</f>
        <v/>
      </c>
      <c r="F475" t="str">
        <f t="array" ref="F475">IFERROR(INDEX('Day Range Raw Data'!F:F,Match($A475,'Day Range Raw Data'!$B:$B,0)),"")</f>
        <v/>
      </c>
      <c r="G475" t="str">
        <f t="array" ref="G475">IFERROR(INDEX('Day Range Raw Data'!G:G,Match($A475,'Day Range Raw Data'!$B:$B,0)),"")</f>
        <v/>
      </c>
      <c r="H475" t="str">
        <f t="array" ref="H475">IFERROR(INDEX('Day Range Raw Data'!H:H,Match($A475,'Day Range Raw Data'!$B:$B,0)),"")</f>
        <v/>
      </c>
      <c r="I475" t="str">
        <f t="array" ref="I475">IFERROR(INDEX('Day Range Raw Data'!M:M,Match($A475,'Day Range Raw Data'!$B:$B,0)),"")</f>
        <v/>
      </c>
      <c r="J475" t="str">
        <f t="array" ref="J475">IFERROR(INDEX('Day Range Raw Data'!N:N,Match($A475,'Day Range Raw Data'!$B:$B,0)),"")</f>
        <v/>
      </c>
      <c r="K475" t="str">
        <f t="array" ref="K475">IFERROR(INDEX('Day Range Raw Data'!R:R,Match($A475,'Day Range Raw Data'!$B:$B,0)),"")</f>
        <v/>
      </c>
      <c r="L475" t="str">
        <f t="array" ref="L475">IFERROR(INDEX('Day Range Raw Data'!S:S,Match($A475,'Day Range Raw Data'!$B:$B,0)),"")</f>
        <v/>
      </c>
      <c r="M475" t="str">
        <f t="array" ref="M475">IFERROR(INDEX('Day Range Raw Data'!T:T,Match($A475,'Day Range Raw Data'!$B:$B,0)),"")</f>
        <v/>
      </c>
      <c r="N475" t="str">
        <f t="array" ref="N475">IFERROR(INDEX('Day Range Raw Data'!U:U,Match($A475,'Day Range Raw Data'!$B:$B,0)),"")</f>
        <v/>
      </c>
      <c r="O475" t="str">
        <f t="array" ref="O475">IFERROR(INDEX('Day Range Raw Data'!V:V,Match($A475,'Day Range Raw Data'!$B:$B,0)),"")</f>
        <v/>
      </c>
      <c r="P475" t="str">
        <f t="array" ref="P475">IFERROR(INDEX('Day Range Raw Data'!X:X,Match($A475,'Day Range Raw Data'!$B:$B,0)),"")</f>
        <v/>
      </c>
      <c r="Q475" t="str">
        <f t="shared" si="1"/>
        <v/>
      </c>
      <c r="R475" s="9" t="str">
        <f t="shared" si="2"/>
        <v/>
      </c>
      <c r="S475" s="14" t="str">
        <f t="shared" si="3"/>
        <v/>
      </c>
      <c r="T475" s="15" t="str">
        <f>IFERROR(__xludf.DUMMYFUNCTION("IF($A475="""","""",IFERROR(PERCENTRANK.INC(FILTER(Q:Q,$F:$F&lt;&gt;""""),Q475)*100,""""))"),"")</f>
        <v/>
      </c>
      <c r="U475" s="15" t="str">
        <f>IFERROR(__xludf.DUMMYFUNCTION("IF($A475="""","""",IFERROR(PERCENTRANK.INC(FILTER(R:R,$F:$F&lt;&gt;""""),R475)*100,""""))"),"")</f>
        <v/>
      </c>
      <c r="V475" s="15" t="str">
        <f>IFERROR(__xludf.DUMMYFUNCTION("IF($A475="""","""",IFERROR(PERCENTRANK.INC(FILTER(S:S,$F:$F&lt;&gt;""""),S475)*100,""""))"),"")</f>
        <v/>
      </c>
      <c r="W475" s="15" t="str">
        <f t="shared" si="4"/>
        <v/>
      </c>
    </row>
    <row r="476">
      <c r="B476" t="str">
        <f t="array" ref="B476">IFERROR(INDEX('Player Raw Data'!C:C,Match($A476,'Player Raw Data'!$B:$B,0)),"")</f>
        <v/>
      </c>
      <c r="C476" t="str">
        <f t="array" ref="C476">IFERROR(INDEX('Player Raw Data'!D:D,Match($A476,'Player Raw Data'!$B:$B,0)),"")</f>
        <v/>
      </c>
      <c r="D476" t="str">
        <f t="array" ref="D476">IFERROR(IF(A476=A475, INDEX('Player Raw Data'!E:E,Match($A476,'Player Raw Data'!$B:$B,0)+2),INDEX('Player Raw Data'!E:E,Match($A476,'Player Raw Data'!$B:$B,0))),"")</f>
        <v/>
      </c>
      <c r="E476" t="str">
        <f t="array" ref="E476">IFERROR(INDEX('Day Range Raw Data'!D:D,Match($A476,'Day Range Raw Data'!$B:$B,0)),"")</f>
        <v/>
      </c>
      <c r="F476" t="str">
        <f t="array" ref="F476">IFERROR(INDEX('Day Range Raw Data'!F:F,Match($A476,'Day Range Raw Data'!$B:$B,0)),"")</f>
        <v/>
      </c>
      <c r="G476" t="str">
        <f t="array" ref="G476">IFERROR(INDEX('Day Range Raw Data'!G:G,Match($A476,'Day Range Raw Data'!$B:$B,0)),"")</f>
        <v/>
      </c>
      <c r="H476" t="str">
        <f t="array" ref="H476">IFERROR(INDEX('Day Range Raw Data'!H:H,Match($A476,'Day Range Raw Data'!$B:$B,0)),"")</f>
        <v/>
      </c>
      <c r="I476" t="str">
        <f t="array" ref="I476">IFERROR(INDEX('Day Range Raw Data'!M:M,Match($A476,'Day Range Raw Data'!$B:$B,0)),"")</f>
        <v/>
      </c>
      <c r="J476" t="str">
        <f t="array" ref="J476">IFERROR(INDEX('Day Range Raw Data'!N:N,Match($A476,'Day Range Raw Data'!$B:$B,0)),"")</f>
        <v/>
      </c>
      <c r="K476" t="str">
        <f t="array" ref="K476">IFERROR(INDEX('Day Range Raw Data'!R:R,Match($A476,'Day Range Raw Data'!$B:$B,0)),"")</f>
        <v/>
      </c>
      <c r="L476" t="str">
        <f t="array" ref="L476">IFERROR(INDEX('Day Range Raw Data'!S:S,Match($A476,'Day Range Raw Data'!$B:$B,0)),"")</f>
        <v/>
      </c>
      <c r="M476" t="str">
        <f t="array" ref="M476">IFERROR(INDEX('Day Range Raw Data'!T:T,Match($A476,'Day Range Raw Data'!$B:$B,0)),"")</f>
        <v/>
      </c>
      <c r="N476" t="str">
        <f t="array" ref="N476">IFERROR(INDEX('Day Range Raw Data'!U:U,Match($A476,'Day Range Raw Data'!$B:$B,0)),"")</f>
        <v/>
      </c>
      <c r="O476" t="str">
        <f t="array" ref="O476">IFERROR(INDEX('Day Range Raw Data'!V:V,Match($A476,'Day Range Raw Data'!$B:$B,0)),"")</f>
        <v/>
      </c>
      <c r="P476" t="str">
        <f t="array" ref="P476">IFERROR(INDEX('Day Range Raw Data'!X:X,Match($A476,'Day Range Raw Data'!$B:$B,0)),"")</f>
        <v/>
      </c>
      <c r="Q476" t="str">
        <f t="shared" si="1"/>
        <v/>
      </c>
      <c r="R476" s="9" t="str">
        <f t="shared" si="2"/>
        <v/>
      </c>
      <c r="S476" s="14" t="str">
        <f t="shared" si="3"/>
        <v/>
      </c>
      <c r="T476" s="15" t="str">
        <f>IFERROR(__xludf.DUMMYFUNCTION("IF($A476="""","""",IFERROR(PERCENTRANK.INC(FILTER(Q:Q,$F:$F&lt;&gt;""""),Q476)*100,""""))"),"")</f>
        <v/>
      </c>
      <c r="U476" s="15" t="str">
        <f>IFERROR(__xludf.DUMMYFUNCTION("IF($A476="""","""",IFERROR(PERCENTRANK.INC(FILTER(R:R,$F:$F&lt;&gt;""""),R476)*100,""""))"),"")</f>
        <v/>
      </c>
      <c r="V476" s="15" t="str">
        <f>IFERROR(__xludf.DUMMYFUNCTION("IF($A476="""","""",IFERROR(PERCENTRANK.INC(FILTER(S:S,$F:$F&lt;&gt;""""),S476)*100,""""))"),"")</f>
        <v/>
      </c>
      <c r="W476" s="15" t="str">
        <f t="shared" si="4"/>
        <v/>
      </c>
    </row>
    <row r="477">
      <c r="B477" t="str">
        <f t="array" ref="B477">IFERROR(INDEX('Player Raw Data'!C:C,Match($A477,'Player Raw Data'!$B:$B,0)),"")</f>
        <v/>
      </c>
      <c r="C477" t="str">
        <f t="array" ref="C477">IFERROR(INDEX('Player Raw Data'!D:D,Match($A477,'Player Raw Data'!$B:$B,0)),"")</f>
        <v/>
      </c>
      <c r="D477" t="str">
        <f t="array" ref="D477">IFERROR(IF(A477=A476, INDEX('Player Raw Data'!E:E,Match($A477,'Player Raw Data'!$B:$B,0)+2),INDEX('Player Raw Data'!E:E,Match($A477,'Player Raw Data'!$B:$B,0))),"")</f>
        <v/>
      </c>
      <c r="E477" t="str">
        <f t="array" ref="E477">IFERROR(INDEX('Day Range Raw Data'!D:D,Match($A477,'Day Range Raw Data'!$B:$B,0)),"")</f>
        <v/>
      </c>
      <c r="F477" t="str">
        <f t="array" ref="F477">IFERROR(INDEX('Day Range Raw Data'!F:F,Match($A477,'Day Range Raw Data'!$B:$B,0)),"")</f>
        <v/>
      </c>
      <c r="G477" t="str">
        <f t="array" ref="G477">IFERROR(INDEX('Day Range Raw Data'!G:G,Match($A477,'Day Range Raw Data'!$B:$B,0)),"")</f>
        <v/>
      </c>
      <c r="H477" t="str">
        <f t="array" ref="H477">IFERROR(INDEX('Day Range Raw Data'!H:H,Match($A477,'Day Range Raw Data'!$B:$B,0)),"")</f>
        <v/>
      </c>
      <c r="I477" t="str">
        <f t="array" ref="I477">IFERROR(INDEX('Day Range Raw Data'!M:M,Match($A477,'Day Range Raw Data'!$B:$B,0)),"")</f>
        <v/>
      </c>
      <c r="J477" t="str">
        <f t="array" ref="J477">IFERROR(INDEX('Day Range Raw Data'!N:N,Match($A477,'Day Range Raw Data'!$B:$B,0)),"")</f>
        <v/>
      </c>
      <c r="K477" t="str">
        <f t="array" ref="K477">IFERROR(INDEX('Day Range Raw Data'!R:R,Match($A477,'Day Range Raw Data'!$B:$B,0)),"")</f>
        <v/>
      </c>
      <c r="L477" t="str">
        <f t="array" ref="L477">IFERROR(INDEX('Day Range Raw Data'!S:S,Match($A477,'Day Range Raw Data'!$B:$B,0)),"")</f>
        <v/>
      </c>
      <c r="M477" t="str">
        <f t="array" ref="M477">IFERROR(INDEX('Day Range Raw Data'!T:T,Match($A477,'Day Range Raw Data'!$B:$B,0)),"")</f>
        <v/>
      </c>
      <c r="N477" t="str">
        <f t="array" ref="N477">IFERROR(INDEX('Day Range Raw Data'!U:U,Match($A477,'Day Range Raw Data'!$B:$B,0)),"")</f>
        <v/>
      </c>
      <c r="O477" t="str">
        <f t="array" ref="O477">IFERROR(INDEX('Day Range Raw Data'!V:V,Match($A477,'Day Range Raw Data'!$B:$B,0)),"")</f>
        <v/>
      </c>
      <c r="P477" t="str">
        <f t="array" ref="P477">IFERROR(INDEX('Day Range Raw Data'!X:X,Match($A477,'Day Range Raw Data'!$B:$B,0)),"")</f>
        <v/>
      </c>
      <c r="Q477" t="str">
        <f t="shared" si="1"/>
        <v/>
      </c>
      <c r="R477" s="9" t="str">
        <f t="shared" si="2"/>
        <v/>
      </c>
      <c r="S477" s="14" t="str">
        <f t="shared" si="3"/>
        <v/>
      </c>
      <c r="T477" s="15" t="str">
        <f>IFERROR(__xludf.DUMMYFUNCTION("IF($A477="""","""",IFERROR(PERCENTRANK.INC(FILTER(Q:Q,$F:$F&lt;&gt;""""),Q477)*100,""""))"),"")</f>
        <v/>
      </c>
      <c r="U477" s="15" t="str">
        <f>IFERROR(__xludf.DUMMYFUNCTION("IF($A477="""","""",IFERROR(PERCENTRANK.INC(FILTER(R:R,$F:$F&lt;&gt;""""),R477)*100,""""))"),"")</f>
        <v/>
      </c>
      <c r="V477" s="15" t="str">
        <f>IFERROR(__xludf.DUMMYFUNCTION("IF($A477="""","""",IFERROR(PERCENTRANK.INC(FILTER(S:S,$F:$F&lt;&gt;""""),S477)*100,""""))"),"")</f>
        <v/>
      </c>
      <c r="W477" s="15" t="str">
        <f t="shared" si="4"/>
        <v/>
      </c>
    </row>
    <row r="478">
      <c r="B478" t="str">
        <f t="array" ref="B478">IFERROR(INDEX('Player Raw Data'!C:C,Match($A478,'Player Raw Data'!$B:$B,0)),"")</f>
        <v/>
      </c>
      <c r="C478" t="str">
        <f t="array" ref="C478">IFERROR(INDEX('Player Raw Data'!D:D,Match($A478,'Player Raw Data'!$B:$B,0)),"")</f>
        <v/>
      </c>
      <c r="D478" t="str">
        <f t="array" ref="D478">IFERROR(IF(A478=A477, INDEX('Player Raw Data'!E:E,Match($A478,'Player Raw Data'!$B:$B,0)+2),INDEX('Player Raw Data'!E:E,Match($A478,'Player Raw Data'!$B:$B,0))),"")</f>
        <v/>
      </c>
      <c r="E478" t="str">
        <f t="array" ref="E478">IFERROR(INDEX('Day Range Raw Data'!D:D,Match($A478,'Day Range Raw Data'!$B:$B,0)),"")</f>
        <v/>
      </c>
      <c r="F478" t="str">
        <f t="array" ref="F478">IFERROR(INDEX('Day Range Raw Data'!F:F,Match($A478,'Day Range Raw Data'!$B:$B,0)),"")</f>
        <v/>
      </c>
      <c r="G478" t="str">
        <f t="array" ref="G478">IFERROR(INDEX('Day Range Raw Data'!G:G,Match($A478,'Day Range Raw Data'!$B:$B,0)),"")</f>
        <v/>
      </c>
      <c r="H478" t="str">
        <f t="array" ref="H478">IFERROR(INDEX('Day Range Raw Data'!H:H,Match($A478,'Day Range Raw Data'!$B:$B,0)),"")</f>
        <v/>
      </c>
      <c r="I478" t="str">
        <f t="array" ref="I478">IFERROR(INDEX('Day Range Raw Data'!M:M,Match($A478,'Day Range Raw Data'!$B:$B,0)),"")</f>
        <v/>
      </c>
      <c r="J478" t="str">
        <f t="array" ref="J478">IFERROR(INDEX('Day Range Raw Data'!N:N,Match($A478,'Day Range Raw Data'!$B:$B,0)),"")</f>
        <v/>
      </c>
      <c r="K478" t="str">
        <f t="array" ref="K478">IFERROR(INDEX('Day Range Raw Data'!R:R,Match($A478,'Day Range Raw Data'!$B:$B,0)),"")</f>
        <v/>
      </c>
      <c r="L478" t="str">
        <f t="array" ref="L478">IFERROR(INDEX('Day Range Raw Data'!S:S,Match($A478,'Day Range Raw Data'!$B:$B,0)),"")</f>
        <v/>
      </c>
      <c r="M478" t="str">
        <f t="array" ref="M478">IFERROR(INDEX('Day Range Raw Data'!T:T,Match($A478,'Day Range Raw Data'!$B:$B,0)),"")</f>
        <v/>
      </c>
      <c r="N478" t="str">
        <f t="array" ref="N478">IFERROR(INDEX('Day Range Raw Data'!U:U,Match($A478,'Day Range Raw Data'!$B:$B,0)),"")</f>
        <v/>
      </c>
      <c r="O478" t="str">
        <f t="array" ref="O478">IFERROR(INDEX('Day Range Raw Data'!V:V,Match($A478,'Day Range Raw Data'!$B:$B,0)),"")</f>
        <v/>
      </c>
      <c r="P478" t="str">
        <f t="array" ref="P478">IFERROR(INDEX('Day Range Raw Data'!X:X,Match($A478,'Day Range Raw Data'!$B:$B,0)),"")</f>
        <v/>
      </c>
      <c r="Q478" t="str">
        <f t="shared" si="1"/>
        <v/>
      </c>
      <c r="R478" s="9" t="str">
        <f t="shared" si="2"/>
        <v/>
      </c>
      <c r="S478" s="14" t="str">
        <f t="shared" si="3"/>
        <v/>
      </c>
      <c r="T478" s="15" t="str">
        <f>IFERROR(__xludf.DUMMYFUNCTION("IF($A478="""","""",IFERROR(PERCENTRANK.INC(FILTER(Q:Q,$F:$F&lt;&gt;""""),Q478)*100,""""))"),"")</f>
        <v/>
      </c>
      <c r="U478" s="15" t="str">
        <f>IFERROR(__xludf.DUMMYFUNCTION("IF($A478="""","""",IFERROR(PERCENTRANK.INC(FILTER(R:R,$F:$F&lt;&gt;""""),R478)*100,""""))"),"")</f>
        <v/>
      </c>
      <c r="V478" s="15" t="str">
        <f>IFERROR(__xludf.DUMMYFUNCTION("IF($A478="""","""",IFERROR(PERCENTRANK.INC(FILTER(S:S,$F:$F&lt;&gt;""""),S478)*100,""""))"),"")</f>
        <v/>
      </c>
      <c r="W478" s="15" t="str">
        <f t="shared" si="4"/>
        <v/>
      </c>
    </row>
    <row r="479">
      <c r="B479" t="str">
        <f t="array" ref="B479">IFERROR(INDEX('Player Raw Data'!C:C,Match($A479,'Player Raw Data'!$B:$B,0)),"")</f>
        <v/>
      </c>
      <c r="C479" t="str">
        <f t="array" ref="C479">IFERROR(INDEX('Player Raw Data'!D:D,Match($A479,'Player Raw Data'!$B:$B,0)),"")</f>
        <v/>
      </c>
      <c r="D479" t="str">
        <f t="array" ref="D479">IFERROR(IF(A479=A478, INDEX('Player Raw Data'!E:E,Match($A479,'Player Raw Data'!$B:$B,0)+2),INDEX('Player Raw Data'!E:E,Match($A479,'Player Raw Data'!$B:$B,0))),"")</f>
        <v/>
      </c>
      <c r="E479" t="str">
        <f t="array" ref="E479">IFERROR(INDEX('Day Range Raw Data'!D:D,Match($A479,'Day Range Raw Data'!$B:$B,0)),"")</f>
        <v/>
      </c>
      <c r="F479" t="str">
        <f t="array" ref="F479">IFERROR(INDEX('Day Range Raw Data'!F:F,Match($A479,'Day Range Raw Data'!$B:$B,0)),"")</f>
        <v/>
      </c>
      <c r="G479" t="str">
        <f t="array" ref="G479">IFERROR(INDEX('Day Range Raw Data'!G:G,Match($A479,'Day Range Raw Data'!$B:$B,0)),"")</f>
        <v/>
      </c>
      <c r="H479" t="str">
        <f t="array" ref="H479">IFERROR(INDEX('Day Range Raw Data'!H:H,Match($A479,'Day Range Raw Data'!$B:$B,0)),"")</f>
        <v/>
      </c>
      <c r="I479" t="str">
        <f t="array" ref="I479">IFERROR(INDEX('Day Range Raw Data'!M:M,Match($A479,'Day Range Raw Data'!$B:$B,0)),"")</f>
        <v/>
      </c>
      <c r="J479" t="str">
        <f t="array" ref="J479">IFERROR(INDEX('Day Range Raw Data'!N:N,Match($A479,'Day Range Raw Data'!$B:$B,0)),"")</f>
        <v/>
      </c>
      <c r="K479" t="str">
        <f t="array" ref="K479">IFERROR(INDEX('Day Range Raw Data'!R:R,Match($A479,'Day Range Raw Data'!$B:$B,0)),"")</f>
        <v/>
      </c>
      <c r="L479" t="str">
        <f t="array" ref="L479">IFERROR(INDEX('Day Range Raw Data'!S:S,Match($A479,'Day Range Raw Data'!$B:$B,0)),"")</f>
        <v/>
      </c>
      <c r="M479" t="str">
        <f t="array" ref="M479">IFERROR(INDEX('Day Range Raw Data'!T:T,Match($A479,'Day Range Raw Data'!$B:$B,0)),"")</f>
        <v/>
      </c>
      <c r="N479" t="str">
        <f t="array" ref="N479">IFERROR(INDEX('Day Range Raw Data'!U:U,Match($A479,'Day Range Raw Data'!$B:$B,0)),"")</f>
        <v/>
      </c>
      <c r="O479" t="str">
        <f t="array" ref="O479">IFERROR(INDEX('Day Range Raw Data'!V:V,Match($A479,'Day Range Raw Data'!$B:$B,0)),"")</f>
        <v/>
      </c>
      <c r="P479" t="str">
        <f t="array" ref="P479">IFERROR(INDEX('Day Range Raw Data'!X:X,Match($A479,'Day Range Raw Data'!$B:$B,0)),"")</f>
        <v/>
      </c>
      <c r="Q479" t="str">
        <f t="shared" si="1"/>
        <v/>
      </c>
      <c r="R479" s="9" t="str">
        <f t="shared" si="2"/>
        <v/>
      </c>
      <c r="S479" s="14" t="str">
        <f t="shared" si="3"/>
        <v/>
      </c>
      <c r="T479" s="15" t="str">
        <f>IFERROR(__xludf.DUMMYFUNCTION("IF($A479="""","""",IFERROR(PERCENTRANK.INC(FILTER(Q:Q,$F:$F&lt;&gt;""""),Q479)*100,""""))"),"")</f>
        <v/>
      </c>
      <c r="U479" s="15" t="str">
        <f>IFERROR(__xludf.DUMMYFUNCTION("IF($A479="""","""",IFERROR(PERCENTRANK.INC(FILTER(R:R,$F:$F&lt;&gt;""""),R479)*100,""""))"),"")</f>
        <v/>
      </c>
      <c r="V479" s="15" t="str">
        <f>IFERROR(__xludf.DUMMYFUNCTION("IF($A479="""","""",IFERROR(PERCENTRANK.INC(FILTER(S:S,$F:$F&lt;&gt;""""),S479)*100,""""))"),"")</f>
        <v/>
      </c>
      <c r="W479" s="15" t="str">
        <f t="shared" si="4"/>
        <v/>
      </c>
    </row>
    <row r="480">
      <c r="B480" t="str">
        <f t="array" ref="B480">IFERROR(INDEX('Player Raw Data'!C:C,Match($A480,'Player Raw Data'!$B:$B,0)),"")</f>
        <v/>
      </c>
      <c r="C480" t="str">
        <f t="array" ref="C480">IFERROR(INDEX('Player Raw Data'!D:D,Match($A480,'Player Raw Data'!$B:$B,0)),"")</f>
        <v/>
      </c>
      <c r="D480" t="str">
        <f t="array" ref="D480">IFERROR(IF(A480=A479, INDEX('Player Raw Data'!E:E,Match($A480,'Player Raw Data'!$B:$B,0)+2),INDEX('Player Raw Data'!E:E,Match($A480,'Player Raw Data'!$B:$B,0))),"")</f>
        <v/>
      </c>
      <c r="E480" t="str">
        <f t="array" ref="E480">IFERROR(INDEX('Day Range Raw Data'!D:D,Match($A480,'Day Range Raw Data'!$B:$B,0)),"")</f>
        <v/>
      </c>
      <c r="F480" t="str">
        <f t="array" ref="F480">IFERROR(INDEX('Day Range Raw Data'!F:F,Match($A480,'Day Range Raw Data'!$B:$B,0)),"")</f>
        <v/>
      </c>
      <c r="G480" t="str">
        <f t="array" ref="G480">IFERROR(INDEX('Day Range Raw Data'!G:G,Match($A480,'Day Range Raw Data'!$B:$B,0)),"")</f>
        <v/>
      </c>
      <c r="H480" t="str">
        <f t="array" ref="H480">IFERROR(INDEX('Day Range Raw Data'!H:H,Match($A480,'Day Range Raw Data'!$B:$B,0)),"")</f>
        <v/>
      </c>
      <c r="I480" t="str">
        <f t="array" ref="I480">IFERROR(INDEX('Day Range Raw Data'!M:M,Match($A480,'Day Range Raw Data'!$B:$B,0)),"")</f>
        <v/>
      </c>
      <c r="J480" t="str">
        <f t="array" ref="J480">IFERROR(INDEX('Day Range Raw Data'!N:N,Match($A480,'Day Range Raw Data'!$B:$B,0)),"")</f>
        <v/>
      </c>
      <c r="K480" t="str">
        <f t="array" ref="K480">IFERROR(INDEX('Day Range Raw Data'!R:R,Match($A480,'Day Range Raw Data'!$B:$B,0)),"")</f>
        <v/>
      </c>
      <c r="L480" t="str">
        <f t="array" ref="L480">IFERROR(INDEX('Day Range Raw Data'!S:S,Match($A480,'Day Range Raw Data'!$B:$B,0)),"")</f>
        <v/>
      </c>
      <c r="M480" t="str">
        <f t="array" ref="M480">IFERROR(INDEX('Day Range Raw Data'!T:T,Match($A480,'Day Range Raw Data'!$B:$B,0)),"")</f>
        <v/>
      </c>
      <c r="N480" t="str">
        <f t="array" ref="N480">IFERROR(INDEX('Day Range Raw Data'!U:U,Match($A480,'Day Range Raw Data'!$B:$B,0)),"")</f>
        <v/>
      </c>
      <c r="O480" t="str">
        <f t="array" ref="O480">IFERROR(INDEX('Day Range Raw Data'!V:V,Match($A480,'Day Range Raw Data'!$B:$B,0)),"")</f>
        <v/>
      </c>
      <c r="P480" t="str">
        <f t="array" ref="P480">IFERROR(INDEX('Day Range Raw Data'!X:X,Match($A480,'Day Range Raw Data'!$B:$B,0)),"")</f>
        <v/>
      </c>
      <c r="Q480" t="str">
        <f t="shared" si="1"/>
        <v/>
      </c>
      <c r="R480" s="9" t="str">
        <f t="shared" si="2"/>
        <v/>
      </c>
      <c r="S480" s="14" t="str">
        <f t="shared" si="3"/>
        <v/>
      </c>
      <c r="T480" s="15" t="str">
        <f>IFERROR(__xludf.DUMMYFUNCTION("IF($A480="""","""",IFERROR(PERCENTRANK.INC(FILTER(Q:Q,$F:$F&lt;&gt;""""),Q480)*100,""""))"),"")</f>
        <v/>
      </c>
      <c r="U480" s="15" t="str">
        <f>IFERROR(__xludf.DUMMYFUNCTION("IF($A480="""","""",IFERROR(PERCENTRANK.INC(FILTER(R:R,$F:$F&lt;&gt;""""),R480)*100,""""))"),"")</f>
        <v/>
      </c>
      <c r="V480" s="15" t="str">
        <f>IFERROR(__xludf.DUMMYFUNCTION("IF($A480="""","""",IFERROR(PERCENTRANK.INC(FILTER(S:S,$F:$F&lt;&gt;""""),S480)*100,""""))"),"")</f>
        <v/>
      </c>
      <c r="W480" s="15" t="str">
        <f t="shared" si="4"/>
        <v/>
      </c>
    </row>
    <row r="481">
      <c r="B481" t="str">
        <f t="array" ref="B481">IFERROR(INDEX('Player Raw Data'!C:C,Match($A481,'Player Raw Data'!$B:$B,0)),"")</f>
        <v/>
      </c>
      <c r="C481" t="str">
        <f t="array" ref="C481">IFERROR(INDEX('Player Raw Data'!D:D,Match($A481,'Player Raw Data'!$B:$B,0)),"")</f>
        <v/>
      </c>
      <c r="D481" t="str">
        <f t="array" ref="D481">IFERROR(IF(A481=A480, INDEX('Player Raw Data'!E:E,Match($A481,'Player Raw Data'!$B:$B,0)+2),INDEX('Player Raw Data'!E:E,Match($A481,'Player Raw Data'!$B:$B,0))),"")</f>
        <v/>
      </c>
      <c r="E481" t="str">
        <f t="array" ref="E481">IFERROR(INDEX('Day Range Raw Data'!D:D,Match($A481,'Day Range Raw Data'!$B:$B,0)),"")</f>
        <v/>
      </c>
      <c r="F481" t="str">
        <f t="array" ref="F481">IFERROR(INDEX('Day Range Raw Data'!F:F,Match($A481,'Day Range Raw Data'!$B:$B,0)),"")</f>
        <v/>
      </c>
      <c r="G481" t="str">
        <f t="array" ref="G481">IFERROR(INDEX('Day Range Raw Data'!G:G,Match($A481,'Day Range Raw Data'!$B:$B,0)),"")</f>
        <v/>
      </c>
      <c r="H481" t="str">
        <f t="array" ref="H481">IFERROR(INDEX('Day Range Raw Data'!H:H,Match($A481,'Day Range Raw Data'!$B:$B,0)),"")</f>
        <v/>
      </c>
      <c r="I481" t="str">
        <f t="array" ref="I481">IFERROR(INDEX('Day Range Raw Data'!M:M,Match($A481,'Day Range Raw Data'!$B:$B,0)),"")</f>
        <v/>
      </c>
      <c r="J481" t="str">
        <f t="array" ref="J481">IFERROR(INDEX('Day Range Raw Data'!N:N,Match($A481,'Day Range Raw Data'!$B:$B,0)),"")</f>
        <v/>
      </c>
      <c r="K481" t="str">
        <f t="array" ref="K481">IFERROR(INDEX('Day Range Raw Data'!R:R,Match($A481,'Day Range Raw Data'!$B:$B,0)),"")</f>
        <v/>
      </c>
      <c r="L481" t="str">
        <f t="array" ref="L481">IFERROR(INDEX('Day Range Raw Data'!S:S,Match($A481,'Day Range Raw Data'!$B:$B,0)),"")</f>
        <v/>
      </c>
      <c r="M481" t="str">
        <f t="array" ref="M481">IFERROR(INDEX('Day Range Raw Data'!T:T,Match($A481,'Day Range Raw Data'!$B:$B,0)),"")</f>
        <v/>
      </c>
      <c r="N481" t="str">
        <f t="array" ref="N481">IFERROR(INDEX('Day Range Raw Data'!U:U,Match($A481,'Day Range Raw Data'!$B:$B,0)),"")</f>
        <v/>
      </c>
      <c r="O481" t="str">
        <f t="array" ref="O481">IFERROR(INDEX('Day Range Raw Data'!V:V,Match($A481,'Day Range Raw Data'!$B:$B,0)),"")</f>
        <v/>
      </c>
      <c r="P481" t="str">
        <f t="array" ref="P481">IFERROR(INDEX('Day Range Raw Data'!X:X,Match($A481,'Day Range Raw Data'!$B:$B,0)),"")</f>
        <v/>
      </c>
      <c r="Q481" t="str">
        <f t="shared" si="1"/>
        <v/>
      </c>
      <c r="R481" s="9" t="str">
        <f t="shared" si="2"/>
        <v/>
      </c>
      <c r="S481" s="14" t="str">
        <f t="shared" si="3"/>
        <v/>
      </c>
      <c r="T481" s="15" t="str">
        <f>IFERROR(__xludf.DUMMYFUNCTION("IF($A481="""","""",IFERROR(PERCENTRANK.INC(FILTER(Q:Q,$F:$F&lt;&gt;""""),Q481)*100,""""))"),"")</f>
        <v/>
      </c>
      <c r="U481" s="15" t="str">
        <f>IFERROR(__xludf.DUMMYFUNCTION("IF($A481="""","""",IFERROR(PERCENTRANK.INC(FILTER(R:R,$F:$F&lt;&gt;""""),R481)*100,""""))"),"")</f>
        <v/>
      </c>
      <c r="V481" s="15" t="str">
        <f>IFERROR(__xludf.DUMMYFUNCTION("IF($A481="""","""",IFERROR(PERCENTRANK.INC(FILTER(S:S,$F:$F&lt;&gt;""""),S481)*100,""""))"),"")</f>
        <v/>
      </c>
      <c r="W481" s="15" t="str">
        <f t="shared" si="4"/>
        <v/>
      </c>
    </row>
    <row r="482">
      <c r="B482" t="str">
        <f t="array" ref="B482">IFERROR(INDEX('Player Raw Data'!C:C,Match($A482,'Player Raw Data'!$B:$B,0)),"")</f>
        <v/>
      </c>
      <c r="C482" t="str">
        <f t="array" ref="C482">IFERROR(INDEX('Player Raw Data'!D:D,Match($A482,'Player Raw Data'!$B:$B,0)),"")</f>
        <v/>
      </c>
      <c r="D482" t="str">
        <f t="array" ref="D482">IFERROR(IF(A482=A481, INDEX('Player Raw Data'!E:E,Match($A482,'Player Raw Data'!$B:$B,0)+2),INDEX('Player Raw Data'!E:E,Match($A482,'Player Raw Data'!$B:$B,0))),"")</f>
        <v/>
      </c>
      <c r="E482" t="str">
        <f t="array" ref="E482">IFERROR(INDEX('Day Range Raw Data'!D:D,Match($A482,'Day Range Raw Data'!$B:$B,0)),"")</f>
        <v/>
      </c>
      <c r="F482" t="str">
        <f t="array" ref="F482">IFERROR(INDEX('Day Range Raw Data'!F:F,Match($A482,'Day Range Raw Data'!$B:$B,0)),"")</f>
        <v/>
      </c>
      <c r="G482" t="str">
        <f t="array" ref="G482">IFERROR(INDEX('Day Range Raw Data'!G:G,Match($A482,'Day Range Raw Data'!$B:$B,0)),"")</f>
        <v/>
      </c>
      <c r="H482" t="str">
        <f t="array" ref="H482">IFERROR(INDEX('Day Range Raw Data'!H:H,Match($A482,'Day Range Raw Data'!$B:$B,0)),"")</f>
        <v/>
      </c>
      <c r="I482" t="str">
        <f t="array" ref="I482">IFERROR(INDEX('Day Range Raw Data'!M:M,Match($A482,'Day Range Raw Data'!$B:$B,0)),"")</f>
        <v/>
      </c>
      <c r="J482" t="str">
        <f t="array" ref="J482">IFERROR(INDEX('Day Range Raw Data'!N:N,Match($A482,'Day Range Raw Data'!$B:$B,0)),"")</f>
        <v/>
      </c>
      <c r="K482" t="str">
        <f t="array" ref="K482">IFERROR(INDEX('Day Range Raw Data'!R:R,Match($A482,'Day Range Raw Data'!$B:$B,0)),"")</f>
        <v/>
      </c>
      <c r="L482" t="str">
        <f t="array" ref="L482">IFERROR(INDEX('Day Range Raw Data'!S:S,Match($A482,'Day Range Raw Data'!$B:$B,0)),"")</f>
        <v/>
      </c>
      <c r="M482" t="str">
        <f t="array" ref="M482">IFERROR(INDEX('Day Range Raw Data'!T:T,Match($A482,'Day Range Raw Data'!$B:$B,0)),"")</f>
        <v/>
      </c>
      <c r="N482" t="str">
        <f t="array" ref="N482">IFERROR(INDEX('Day Range Raw Data'!U:U,Match($A482,'Day Range Raw Data'!$B:$B,0)),"")</f>
        <v/>
      </c>
      <c r="O482" t="str">
        <f t="array" ref="O482">IFERROR(INDEX('Day Range Raw Data'!V:V,Match($A482,'Day Range Raw Data'!$B:$B,0)),"")</f>
        <v/>
      </c>
      <c r="P482" t="str">
        <f t="array" ref="P482">IFERROR(INDEX('Day Range Raw Data'!X:X,Match($A482,'Day Range Raw Data'!$B:$B,0)),"")</f>
        <v/>
      </c>
      <c r="Q482" t="str">
        <f t="shared" si="1"/>
        <v/>
      </c>
      <c r="R482" s="9" t="str">
        <f t="shared" si="2"/>
        <v/>
      </c>
      <c r="S482" s="14" t="str">
        <f t="shared" si="3"/>
        <v/>
      </c>
      <c r="T482" s="15" t="str">
        <f>IFERROR(__xludf.DUMMYFUNCTION("IF($A482="""","""",IFERROR(PERCENTRANK.INC(FILTER(Q:Q,$F:$F&lt;&gt;""""),Q482)*100,""""))"),"")</f>
        <v/>
      </c>
      <c r="U482" s="15" t="str">
        <f>IFERROR(__xludf.DUMMYFUNCTION("IF($A482="""","""",IFERROR(PERCENTRANK.INC(FILTER(R:R,$F:$F&lt;&gt;""""),R482)*100,""""))"),"")</f>
        <v/>
      </c>
      <c r="V482" s="15" t="str">
        <f>IFERROR(__xludf.DUMMYFUNCTION("IF($A482="""","""",IFERROR(PERCENTRANK.INC(FILTER(S:S,$F:$F&lt;&gt;""""),S482)*100,""""))"),"")</f>
        <v/>
      </c>
      <c r="W482" s="15" t="str">
        <f t="shared" si="4"/>
        <v/>
      </c>
    </row>
    <row r="483">
      <c r="B483" t="str">
        <f t="array" ref="B483">IFERROR(INDEX('Player Raw Data'!C:C,Match($A483,'Player Raw Data'!$B:$B,0)),"")</f>
        <v/>
      </c>
      <c r="C483" t="str">
        <f t="array" ref="C483">IFERROR(INDEX('Player Raw Data'!D:D,Match($A483,'Player Raw Data'!$B:$B,0)),"")</f>
        <v/>
      </c>
      <c r="D483" t="str">
        <f t="array" ref="D483">IFERROR(IF(A483=A482, INDEX('Player Raw Data'!E:E,Match($A483,'Player Raw Data'!$B:$B,0)+2),INDEX('Player Raw Data'!E:E,Match($A483,'Player Raw Data'!$B:$B,0))),"")</f>
        <v/>
      </c>
      <c r="E483" t="str">
        <f t="array" ref="E483">IFERROR(INDEX('Day Range Raw Data'!D:D,Match($A483,'Day Range Raw Data'!$B:$B,0)),"")</f>
        <v/>
      </c>
      <c r="F483" t="str">
        <f t="array" ref="F483">IFERROR(INDEX('Day Range Raw Data'!F:F,Match($A483,'Day Range Raw Data'!$B:$B,0)),"")</f>
        <v/>
      </c>
      <c r="G483" t="str">
        <f t="array" ref="G483">IFERROR(INDEX('Day Range Raw Data'!G:G,Match($A483,'Day Range Raw Data'!$B:$B,0)),"")</f>
        <v/>
      </c>
      <c r="H483" t="str">
        <f t="array" ref="H483">IFERROR(INDEX('Day Range Raw Data'!H:H,Match($A483,'Day Range Raw Data'!$B:$B,0)),"")</f>
        <v/>
      </c>
      <c r="I483" t="str">
        <f t="array" ref="I483">IFERROR(INDEX('Day Range Raw Data'!M:M,Match($A483,'Day Range Raw Data'!$B:$B,0)),"")</f>
        <v/>
      </c>
      <c r="J483" t="str">
        <f t="array" ref="J483">IFERROR(INDEX('Day Range Raw Data'!N:N,Match($A483,'Day Range Raw Data'!$B:$B,0)),"")</f>
        <v/>
      </c>
      <c r="K483" t="str">
        <f t="array" ref="K483">IFERROR(INDEX('Day Range Raw Data'!R:R,Match($A483,'Day Range Raw Data'!$B:$B,0)),"")</f>
        <v/>
      </c>
      <c r="L483" t="str">
        <f t="array" ref="L483">IFERROR(INDEX('Day Range Raw Data'!S:S,Match($A483,'Day Range Raw Data'!$B:$B,0)),"")</f>
        <v/>
      </c>
      <c r="M483" t="str">
        <f t="array" ref="M483">IFERROR(INDEX('Day Range Raw Data'!T:T,Match($A483,'Day Range Raw Data'!$B:$B,0)),"")</f>
        <v/>
      </c>
      <c r="N483" t="str">
        <f t="array" ref="N483">IFERROR(INDEX('Day Range Raw Data'!U:U,Match($A483,'Day Range Raw Data'!$B:$B,0)),"")</f>
        <v/>
      </c>
      <c r="O483" t="str">
        <f t="array" ref="O483">IFERROR(INDEX('Day Range Raw Data'!V:V,Match($A483,'Day Range Raw Data'!$B:$B,0)),"")</f>
        <v/>
      </c>
      <c r="P483" t="str">
        <f t="array" ref="P483">IFERROR(INDEX('Day Range Raw Data'!X:X,Match($A483,'Day Range Raw Data'!$B:$B,0)),"")</f>
        <v/>
      </c>
      <c r="Q483" t="str">
        <f t="shared" si="1"/>
        <v/>
      </c>
      <c r="R483" s="9" t="str">
        <f t="shared" si="2"/>
        <v/>
      </c>
      <c r="S483" s="14" t="str">
        <f t="shared" si="3"/>
        <v/>
      </c>
      <c r="T483" s="15" t="str">
        <f>IFERROR(__xludf.DUMMYFUNCTION("IF($A483="""","""",IFERROR(PERCENTRANK.INC(FILTER(Q:Q,$F:$F&lt;&gt;""""),Q483)*100,""""))"),"")</f>
        <v/>
      </c>
      <c r="U483" s="15" t="str">
        <f>IFERROR(__xludf.DUMMYFUNCTION("IF($A483="""","""",IFERROR(PERCENTRANK.INC(FILTER(R:R,$F:$F&lt;&gt;""""),R483)*100,""""))"),"")</f>
        <v/>
      </c>
      <c r="V483" s="15" t="str">
        <f>IFERROR(__xludf.DUMMYFUNCTION("IF($A483="""","""",IFERROR(PERCENTRANK.INC(FILTER(S:S,$F:$F&lt;&gt;""""),S483)*100,""""))"),"")</f>
        <v/>
      </c>
      <c r="W483" s="15" t="str">
        <f t="shared" si="4"/>
        <v/>
      </c>
    </row>
    <row r="484">
      <c r="B484" t="str">
        <f t="array" ref="B484">IFERROR(INDEX('Player Raw Data'!C:C,Match($A484,'Player Raw Data'!$B:$B,0)),"")</f>
        <v/>
      </c>
      <c r="C484" t="str">
        <f t="array" ref="C484">IFERROR(INDEX('Player Raw Data'!D:D,Match($A484,'Player Raw Data'!$B:$B,0)),"")</f>
        <v/>
      </c>
      <c r="D484" t="str">
        <f t="array" ref="D484">IFERROR(IF(A484=A483, INDEX('Player Raw Data'!E:E,Match($A484,'Player Raw Data'!$B:$B,0)+2),INDEX('Player Raw Data'!E:E,Match($A484,'Player Raw Data'!$B:$B,0))),"")</f>
        <v/>
      </c>
      <c r="E484" t="str">
        <f t="array" ref="E484">IFERROR(INDEX('Day Range Raw Data'!D:D,Match($A484,'Day Range Raw Data'!$B:$B,0)),"")</f>
        <v/>
      </c>
      <c r="F484" t="str">
        <f t="array" ref="F484">IFERROR(INDEX('Day Range Raw Data'!F:F,Match($A484,'Day Range Raw Data'!$B:$B,0)),"")</f>
        <v/>
      </c>
      <c r="G484" t="str">
        <f t="array" ref="G484">IFERROR(INDEX('Day Range Raw Data'!G:G,Match($A484,'Day Range Raw Data'!$B:$B,0)),"")</f>
        <v/>
      </c>
      <c r="H484" t="str">
        <f t="array" ref="H484">IFERROR(INDEX('Day Range Raw Data'!H:H,Match($A484,'Day Range Raw Data'!$B:$B,0)),"")</f>
        <v/>
      </c>
      <c r="I484" t="str">
        <f t="array" ref="I484">IFERROR(INDEX('Day Range Raw Data'!M:M,Match($A484,'Day Range Raw Data'!$B:$B,0)),"")</f>
        <v/>
      </c>
      <c r="J484" t="str">
        <f t="array" ref="J484">IFERROR(INDEX('Day Range Raw Data'!N:N,Match($A484,'Day Range Raw Data'!$B:$B,0)),"")</f>
        <v/>
      </c>
      <c r="K484" t="str">
        <f t="array" ref="K484">IFERROR(INDEX('Day Range Raw Data'!R:R,Match($A484,'Day Range Raw Data'!$B:$B,0)),"")</f>
        <v/>
      </c>
      <c r="L484" t="str">
        <f t="array" ref="L484">IFERROR(INDEX('Day Range Raw Data'!S:S,Match($A484,'Day Range Raw Data'!$B:$B,0)),"")</f>
        <v/>
      </c>
      <c r="M484" t="str">
        <f t="array" ref="M484">IFERROR(INDEX('Day Range Raw Data'!T:T,Match($A484,'Day Range Raw Data'!$B:$B,0)),"")</f>
        <v/>
      </c>
      <c r="N484" t="str">
        <f t="array" ref="N484">IFERROR(INDEX('Day Range Raw Data'!U:U,Match($A484,'Day Range Raw Data'!$B:$B,0)),"")</f>
        <v/>
      </c>
      <c r="O484" t="str">
        <f t="array" ref="O484">IFERROR(INDEX('Day Range Raw Data'!V:V,Match($A484,'Day Range Raw Data'!$B:$B,0)),"")</f>
        <v/>
      </c>
      <c r="P484" t="str">
        <f t="array" ref="P484">IFERROR(INDEX('Day Range Raw Data'!X:X,Match($A484,'Day Range Raw Data'!$B:$B,0)),"")</f>
        <v/>
      </c>
      <c r="Q484" t="str">
        <f t="shared" si="1"/>
        <v/>
      </c>
      <c r="R484" s="9" t="str">
        <f t="shared" si="2"/>
        <v/>
      </c>
      <c r="S484" s="14" t="str">
        <f t="shared" si="3"/>
        <v/>
      </c>
      <c r="T484" s="15" t="str">
        <f>IFERROR(__xludf.DUMMYFUNCTION("IF($A484="""","""",IFERROR(PERCENTRANK.INC(FILTER(Q:Q,$F:$F&lt;&gt;""""),Q484)*100,""""))"),"")</f>
        <v/>
      </c>
      <c r="U484" s="15" t="str">
        <f>IFERROR(__xludf.DUMMYFUNCTION("IF($A484="""","""",IFERROR(PERCENTRANK.INC(FILTER(R:R,$F:$F&lt;&gt;""""),R484)*100,""""))"),"")</f>
        <v/>
      </c>
      <c r="V484" s="15" t="str">
        <f>IFERROR(__xludf.DUMMYFUNCTION("IF($A484="""","""",IFERROR(PERCENTRANK.INC(FILTER(S:S,$F:$F&lt;&gt;""""),S484)*100,""""))"),"")</f>
        <v/>
      </c>
      <c r="W484" s="15" t="str">
        <f t="shared" si="4"/>
        <v/>
      </c>
    </row>
    <row r="485">
      <c r="B485" t="str">
        <f t="array" ref="B485">IFERROR(INDEX('Player Raw Data'!C:C,Match($A485,'Player Raw Data'!$B:$B,0)),"")</f>
        <v/>
      </c>
      <c r="C485" t="str">
        <f t="array" ref="C485">IFERROR(INDEX('Player Raw Data'!D:D,Match($A485,'Player Raw Data'!$B:$B,0)),"")</f>
        <v/>
      </c>
      <c r="D485" t="str">
        <f t="array" ref="D485">IFERROR(IF(A485=A484, INDEX('Player Raw Data'!E:E,Match($A485,'Player Raw Data'!$B:$B,0)+2),INDEX('Player Raw Data'!E:E,Match($A485,'Player Raw Data'!$B:$B,0))),"")</f>
        <v/>
      </c>
      <c r="E485" t="str">
        <f t="array" ref="E485">IFERROR(INDEX('Day Range Raw Data'!D:D,Match($A485,'Day Range Raw Data'!$B:$B,0)),"")</f>
        <v/>
      </c>
      <c r="F485" t="str">
        <f t="array" ref="F485">IFERROR(INDEX('Day Range Raw Data'!F:F,Match($A485,'Day Range Raw Data'!$B:$B,0)),"")</f>
        <v/>
      </c>
      <c r="G485" t="str">
        <f t="array" ref="G485">IFERROR(INDEX('Day Range Raw Data'!G:G,Match($A485,'Day Range Raw Data'!$B:$B,0)),"")</f>
        <v/>
      </c>
      <c r="H485" t="str">
        <f t="array" ref="H485">IFERROR(INDEX('Day Range Raw Data'!H:H,Match($A485,'Day Range Raw Data'!$B:$B,0)),"")</f>
        <v/>
      </c>
      <c r="I485" t="str">
        <f t="array" ref="I485">IFERROR(INDEX('Day Range Raw Data'!M:M,Match($A485,'Day Range Raw Data'!$B:$B,0)),"")</f>
        <v/>
      </c>
      <c r="J485" t="str">
        <f t="array" ref="J485">IFERROR(INDEX('Day Range Raw Data'!N:N,Match($A485,'Day Range Raw Data'!$B:$B,0)),"")</f>
        <v/>
      </c>
      <c r="K485" t="str">
        <f t="array" ref="K485">IFERROR(INDEX('Day Range Raw Data'!R:R,Match($A485,'Day Range Raw Data'!$B:$B,0)),"")</f>
        <v/>
      </c>
      <c r="L485" t="str">
        <f t="array" ref="L485">IFERROR(INDEX('Day Range Raw Data'!S:S,Match($A485,'Day Range Raw Data'!$B:$B,0)),"")</f>
        <v/>
      </c>
      <c r="M485" t="str">
        <f t="array" ref="M485">IFERROR(INDEX('Day Range Raw Data'!T:T,Match($A485,'Day Range Raw Data'!$B:$B,0)),"")</f>
        <v/>
      </c>
      <c r="N485" t="str">
        <f t="array" ref="N485">IFERROR(INDEX('Day Range Raw Data'!U:U,Match($A485,'Day Range Raw Data'!$B:$B,0)),"")</f>
        <v/>
      </c>
      <c r="O485" t="str">
        <f t="array" ref="O485">IFERROR(INDEX('Day Range Raw Data'!V:V,Match($A485,'Day Range Raw Data'!$B:$B,0)),"")</f>
        <v/>
      </c>
      <c r="P485" t="str">
        <f t="array" ref="P485">IFERROR(INDEX('Day Range Raw Data'!X:X,Match($A485,'Day Range Raw Data'!$B:$B,0)),"")</f>
        <v/>
      </c>
      <c r="Q485" t="str">
        <f t="shared" si="1"/>
        <v/>
      </c>
      <c r="R485" s="9" t="str">
        <f t="shared" si="2"/>
        <v/>
      </c>
      <c r="S485" s="14" t="str">
        <f t="shared" si="3"/>
        <v/>
      </c>
      <c r="T485" s="15" t="str">
        <f>IFERROR(__xludf.DUMMYFUNCTION("IF($A485="""","""",IFERROR(PERCENTRANK.INC(FILTER(Q:Q,$F:$F&lt;&gt;""""),Q485)*100,""""))"),"")</f>
        <v/>
      </c>
      <c r="U485" s="15" t="str">
        <f>IFERROR(__xludf.DUMMYFUNCTION("IF($A485="""","""",IFERROR(PERCENTRANK.INC(FILTER(R:R,$F:$F&lt;&gt;""""),R485)*100,""""))"),"")</f>
        <v/>
      </c>
      <c r="V485" s="15" t="str">
        <f>IFERROR(__xludf.DUMMYFUNCTION("IF($A485="""","""",IFERROR(PERCENTRANK.INC(FILTER(S:S,$F:$F&lt;&gt;""""),S485)*100,""""))"),"")</f>
        <v/>
      </c>
      <c r="W485" s="15" t="str">
        <f t="shared" si="4"/>
        <v/>
      </c>
    </row>
    <row r="486">
      <c r="B486" t="str">
        <f t="array" ref="B486">IFERROR(INDEX('Player Raw Data'!C:C,Match($A486,'Player Raw Data'!$B:$B,0)),"")</f>
        <v/>
      </c>
      <c r="C486" t="str">
        <f t="array" ref="C486">IFERROR(INDEX('Player Raw Data'!D:D,Match($A486,'Player Raw Data'!$B:$B,0)),"")</f>
        <v/>
      </c>
      <c r="D486" t="str">
        <f t="array" ref="D486">IFERROR(IF(A486=A485, INDEX('Player Raw Data'!E:E,Match($A486,'Player Raw Data'!$B:$B,0)+2),INDEX('Player Raw Data'!E:E,Match($A486,'Player Raw Data'!$B:$B,0))),"")</f>
        <v/>
      </c>
      <c r="E486" t="str">
        <f t="array" ref="E486">IFERROR(INDEX('Day Range Raw Data'!D:D,Match($A486,'Day Range Raw Data'!$B:$B,0)),"")</f>
        <v/>
      </c>
      <c r="F486" t="str">
        <f t="array" ref="F486">IFERROR(INDEX('Day Range Raw Data'!F:F,Match($A486,'Day Range Raw Data'!$B:$B,0)),"")</f>
        <v/>
      </c>
      <c r="G486" t="str">
        <f t="array" ref="G486">IFERROR(INDEX('Day Range Raw Data'!G:G,Match($A486,'Day Range Raw Data'!$B:$B,0)),"")</f>
        <v/>
      </c>
      <c r="H486" t="str">
        <f t="array" ref="H486">IFERROR(INDEX('Day Range Raw Data'!H:H,Match($A486,'Day Range Raw Data'!$B:$B,0)),"")</f>
        <v/>
      </c>
      <c r="I486" t="str">
        <f t="array" ref="I486">IFERROR(INDEX('Day Range Raw Data'!M:M,Match($A486,'Day Range Raw Data'!$B:$B,0)),"")</f>
        <v/>
      </c>
      <c r="J486" t="str">
        <f t="array" ref="J486">IFERROR(INDEX('Day Range Raw Data'!N:N,Match($A486,'Day Range Raw Data'!$B:$B,0)),"")</f>
        <v/>
      </c>
      <c r="K486" t="str">
        <f t="array" ref="K486">IFERROR(INDEX('Day Range Raw Data'!R:R,Match($A486,'Day Range Raw Data'!$B:$B,0)),"")</f>
        <v/>
      </c>
      <c r="L486" t="str">
        <f t="array" ref="L486">IFERROR(INDEX('Day Range Raw Data'!S:S,Match($A486,'Day Range Raw Data'!$B:$B,0)),"")</f>
        <v/>
      </c>
      <c r="M486" t="str">
        <f t="array" ref="M486">IFERROR(INDEX('Day Range Raw Data'!T:T,Match($A486,'Day Range Raw Data'!$B:$B,0)),"")</f>
        <v/>
      </c>
      <c r="N486" t="str">
        <f t="array" ref="N486">IFERROR(INDEX('Day Range Raw Data'!U:U,Match($A486,'Day Range Raw Data'!$B:$B,0)),"")</f>
        <v/>
      </c>
      <c r="O486" t="str">
        <f t="array" ref="O486">IFERROR(INDEX('Day Range Raw Data'!V:V,Match($A486,'Day Range Raw Data'!$B:$B,0)),"")</f>
        <v/>
      </c>
      <c r="P486" t="str">
        <f t="array" ref="P486">IFERROR(INDEX('Day Range Raw Data'!X:X,Match($A486,'Day Range Raw Data'!$B:$B,0)),"")</f>
        <v/>
      </c>
      <c r="Q486" t="str">
        <f t="shared" si="1"/>
        <v/>
      </c>
      <c r="R486" s="9" t="str">
        <f t="shared" si="2"/>
        <v/>
      </c>
      <c r="S486" s="14" t="str">
        <f t="shared" si="3"/>
        <v/>
      </c>
      <c r="T486" s="15" t="str">
        <f>IFERROR(__xludf.DUMMYFUNCTION("IF($A486="""","""",IFERROR(PERCENTRANK.INC(FILTER(Q:Q,$F:$F&lt;&gt;""""),Q486)*100,""""))"),"")</f>
        <v/>
      </c>
      <c r="U486" s="15" t="str">
        <f>IFERROR(__xludf.DUMMYFUNCTION("IF($A486="""","""",IFERROR(PERCENTRANK.INC(FILTER(R:R,$F:$F&lt;&gt;""""),R486)*100,""""))"),"")</f>
        <v/>
      </c>
      <c r="V486" s="15" t="str">
        <f>IFERROR(__xludf.DUMMYFUNCTION("IF($A486="""","""",IFERROR(PERCENTRANK.INC(FILTER(S:S,$F:$F&lt;&gt;""""),S486)*100,""""))"),"")</f>
        <v/>
      </c>
      <c r="W486" s="15" t="str">
        <f t="shared" si="4"/>
        <v/>
      </c>
    </row>
    <row r="487">
      <c r="B487" t="str">
        <f t="array" ref="B487">IFERROR(INDEX('Player Raw Data'!C:C,Match($A487,'Player Raw Data'!$B:$B,0)),"")</f>
        <v/>
      </c>
      <c r="C487" t="str">
        <f t="array" ref="C487">IFERROR(INDEX('Player Raw Data'!D:D,Match($A487,'Player Raw Data'!$B:$B,0)),"")</f>
        <v/>
      </c>
      <c r="D487" t="str">
        <f t="array" ref="D487">IFERROR(IF(A487=A486, INDEX('Player Raw Data'!E:E,Match($A487,'Player Raw Data'!$B:$B,0)+2),INDEX('Player Raw Data'!E:E,Match($A487,'Player Raw Data'!$B:$B,0))),"")</f>
        <v/>
      </c>
      <c r="E487" t="str">
        <f t="array" ref="E487">IFERROR(INDEX('Day Range Raw Data'!D:D,Match($A487,'Day Range Raw Data'!$B:$B,0)),"")</f>
        <v/>
      </c>
      <c r="F487" t="str">
        <f t="array" ref="F487">IFERROR(INDEX('Day Range Raw Data'!F:F,Match($A487,'Day Range Raw Data'!$B:$B,0)),"")</f>
        <v/>
      </c>
      <c r="G487" t="str">
        <f t="array" ref="G487">IFERROR(INDEX('Day Range Raw Data'!G:G,Match($A487,'Day Range Raw Data'!$B:$B,0)),"")</f>
        <v/>
      </c>
      <c r="H487" t="str">
        <f t="array" ref="H487">IFERROR(INDEX('Day Range Raw Data'!H:H,Match($A487,'Day Range Raw Data'!$B:$B,0)),"")</f>
        <v/>
      </c>
      <c r="I487" t="str">
        <f t="array" ref="I487">IFERROR(INDEX('Day Range Raw Data'!M:M,Match($A487,'Day Range Raw Data'!$B:$B,0)),"")</f>
        <v/>
      </c>
      <c r="J487" t="str">
        <f t="array" ref="J487">IFERROR(INDEX('Day Range Raw Data'!N:N,Match($A487,'Day Range Raw Data'!$B:$B,0)),"")</f>
        <v/>
      </c>
      <c r="K487" t="str">
        <f t="array" ref="K487">IFERROR(INDEX('Day Range Raw Data'!R:R,Match($A487,'Day Range Raw Data'!$B:$B,0)),"")</f>
        <v/>
      </c>
      <c r="L487" t="str">
        <f t="array" ref="L487">IFERROR(INDEX('Day Range Raw Data'!S:S,Match($A487,'Day Range Raw Data'!$B:$B,0)),"")</f>
        <v/>
      </c>
      <c r="M487" t="str">
        <f t="array" ref="M487">IFERROR(INDEX('Day Range Raw Data'!T:T,Match($A487,'Day Range Raw Data'!$B:$B,0)),"")</f>
        <v/>
      </c>
      <c r="N487" t="str">
        <f t="array" ref="N487">IFERROR(INDEX('Day Range Raw Data'!U:U,Match($A487,'Day Range Raw Data'!$B:$B,0)),"")</f>
        <v/>
      </c>
      <c r="O487" t="str">
        <f t="array" ref="O487">IFERROR(INDEX('Day Range Raw Data'!V:V,Match($A487,'Day Range Raw Data'!$B:$B,0)),"")</f>
        <v/>
      </c>
      <c r="P487" t="str">
        <f t="array" ref="P487">IFERROR(INDEX('Day Range Raw Data'!X:X,Match($A487,'Day Range Raw Data'!$B:$B,0)),"")</f>
        <v/>
      </c>
      <c r="Q487" t="str">
        <f t="shared" si="1"/>
        <v/>
      </c>
      <c r="R487" s="9" t="str">
        <f t="shared" si="2"/>
        <v/>
      </c>
      <c r="S487" s="14" t="str">
        <f t="shared" si="3"/>
        <v/>
      </c>
      <c r="T487" s="15" t="str">
        <f>IFERROR(__xludf.DUMMYFUNCTION("IF($A487="""","""",IFERROR(PERCENTRANK.INC(FILTER(Q:Q,$F:$F&lt;&gt;""""),Q487)*100,""""))"),"")</f>
        <v/>
      </c>
      <c r="U487" s="15" t="str">
        <f>IFERROR(__xludf.DUMMYFUNCTION("IF($A487="""","""",IFERROR(PERCENTRANK.INC(FILTER(R:R,$F:$F&lt;&gt;""""),R487)*100,""""))"),"")</f>
        <v/>
      </c>
      <c r="V487" s="15" t="str">
        <f>IFERROR(__xludf.DUMMYFUNCTION("IF($A487="""","""",IFERROR(PERCENTRANK.INC(FILTER(S:S,$F:$F&lt;&gt;""""),S487)*100,""""))"),"")</f>
        <v/>
      </c>
      <c r="W487" s="15" t="str">
        <f t="shared" si="4"/>
        <v/>
      </c>
    </row>
    <row r="488">
      <c r="B488" t="str">
        <f t="array" ref="B488">IFERROR(INDEX('Player Raw Data'!C:C,Match($A488,'Player Raw Data'!$B:$B,0)),"")</f>
        <v/>
      </c>
      <c r="C488" t="str">
        <f t="array" ref="C488">IFERROR(INDEX('Player Raw Data'!D:D,Match($A488,'Player Raw Data'!$B:$B,0)),"")</f>
        <v/>
      </c>
      <c r="D488" t="str">
        <f t="array" ref="D488">IFERROR(IF(A488=A487, INDEX('Player Raw Data'!E:E,Match($A488,'Player Raw Data'!$B:$B,0)+2),INDEX('Player Raw Data'!E:E,Match($A488,'Player Raw Data'!$B:$B,0))),"")</f>
        <v/>
      </c>
      <c r="E488" t="str">
        <f t="array" ref="E488">IFERROR(INDEX('Day Range Raw Data'!D:D,Match($A488,'Day Range Raw Data'!$B:$B,0)),"")</f>
        <v/>
      </c>
      <c r="F488" t="str">
        <f t="array" ref="F488">IFERROR(INDEX('Day Range Raw Data'!F:F,Match($A488,'Day Range Raw Data'!$B:$B,0)),"")</f>
        <v/>
      </c>
      <c r="G488" t="str">
        <f t="array" ref="G488">IFERROR(INDEX('Day Range Raw Data'!G:G,Match($A488,'Day Range Raw Data'!$B:$B,0)),"")</f>
        <v/>
      </c>
      <c r="H488" t="str">
        <f t="array" ref="H488">IFERROR(INDEX('Day Range Raw Data'!H:H,Match($A488,'Day Range Raw Data'!$B:$B,0)),"")</f>
        <v/>
      </c>
      <c r="I488" t="str">
        <f t="array" ref="I488">IFERROR(INDEX('Day Range Raw Data'!M:M,Match($A488,'Day Range Raw Data'!$B:$B,0)),"")</f>
        <v/>
      </c>
      <c r="J488" t="str">
        <f t="array" ref="J488">IFERROR(INDEX('Day Range Raw Data'!N:N,Match($A488,'Day Range Raw Data'!$B:$B,0)),"")</f>
        <v/>
      </c>
      <c r="K488" t="str">
        <f t="array" ref="K488">IFERROR(INDEX('Day Range Raw Data'!R:R,Match($A488,'Day Range Raw Data'!$B:$B,0)),"")</f>
        <v/>
      </c>
      <c r="L488" t="str">
        <f t="array" ref="L488">IFERROR(INDEX('Day Range Raw Data'!S:S,Match($A488,'Day Range Raw Data'!$B:$B,0)),"")</f>
        <v/>
      </c>
      <c r="M488" t="str">
        <f t="array" ref="M488">IFERROR(INDEX('Day Range Raw Data'!T:T,Match($A488,'Day Range Raw Data'!$B:$B,0)),"")</f>
        <v/>
      </c>
      <c r="N488" t="str">
        <f t="array" ref="N488">IFERROR(INDEX('Day Range Raw Data'!U:U,Match($A488,'Day Range Raw Data'!$B:$B,0)),"")</f>
        <v/>
      </c>
      <c r="O488" t="str">
        <f t="array" ref="O488">IFERROR(INDEX('Day Range Raw Data'!V:V,Match($A488,'Day Range Raw Data'!$B:$B,0)),"")</f>
        <v/>
      </c>
      <c r="P488" t="str">
        <f t="array" ref="P488">IFERROR(INDEX('Day Range Raw Data'!X:X,Match($A488,'Day Range Raw Data'!$B:$B,0)),"")</f>
        <v/>
      </c>
      <c r="Q488" t="str">
        <f t="shared" si="1"/>
        <v/>
      </c>
      <c r="R488" s="9" t="str">
        <f t="shared" si="2"/>
        <v/>
      </c>
      <c r="S488" s="14" t="str">
        <f t="shared" si="3"/>
        <v/>
      </c>
      <c r="T488" s="15" t="str">
        <f>IFERROR(__xludf.DUMMYFUNCTION("IF($A488="""","""",IFERROR(PERCENTRANK.INC(FILTER(Q:Q,$F:$F&lt;&gt;""""),Q488)*100,""""))"),"")</f>
        <v/>
      </c>
      <c r="U488" s="15" t="str">
        <f>IFERROR(__xludf.DUMMYFUNCTION("IF($A488="""","""",IFERROR(PERCENTRANK.INC(FILTER(R:R,$F:$F&lt;&gt;""""),R488)*100,""""))"),"")</f>
        <v/>
      </c>
      <c r="V488" s="15" t="str">
        <f>IFERROR(__xludf.DUMMYFUNCTION("IF($A488="""","""",IFERROR(PERCENTRANK.INC(FILTER(S:S,$F:$F&lt;&gt;""""),S488)*100,""""))"),"")</f>
        <v/>
      </c>
      <c r="W488" s="15" t="str">
        <f t="shared" si="4"/>
        <v/>
      </c>
    </row>
    <row r="489">
      <c r="B489" t="str">
        <f t="array" ref="B489">IFERROR(INDEX('Player Raw Data'!C:C,Match($A489,'Player Raw Data'!$B:$B,0)),"")</f>
        <v/>
      </c>
      <c r="C489" t="str">
        <f t="array" ref="C489">IFERROR(INDEX('Player Raw Data'!D:D,Match($A489,'Player Raw Data'!$B:$B,0)),"")</f>
        <v/>
      </c>
      <c r="D489" t="str">
        <f t="array" ref="D489">IFERROR(IF(A489=A488, INDEX('Player Raw Data'!E:E,Match($A489,'Player Raw Data'!$B:$B,0)+2),INDEX('Player Raw Data'!E:E,Match($A489,'Player Raw Data'!$B:$B,0))),"")</f>
        <v/>
      </c>
      <c r="E489" t="str">
        <f t="array" ref="E489">IFERROR(INDEX('Day Range Raw Data'!D:D,Match($A489,'Day Range Raw Data'!$B:$B,0)),"")</f>
        <v/>
      </c>
      <c r="F489" t="str">
        <f t="array" ref="F489">IFERROR(INDEX('Day Range Raw Data'!F:F,Match($A489,'Day Range Raw Data'!$B:$B,0)),"")</f>
        <v/>
      </c>
      <c r="G489" t="str">
        <f t="array" ref="G489">IFERROR(INDEX('Day Range Raw Data'!G:G,Match($A489,'Day Range Raw Data'!$B:$B,0)),"")</f>
        <v/>
      </c>
      <c r="H489" t="str">
        <f t="array" ref="H489">IFERROR(INDEX('Day Range Raw Data'!H:H,Match($A489,'Day Range Raw Data'!$B:$B,0)),"")</f>
        <v/>
      </c>
      <c r="I489" t="str">
        <f t="array" ref="I489">IFERROR(INDEX('Day Range Raw Data'!M:M,Match($A489,'Day Range Raw Data'!$B:$B,0)),"")</f>
        <v/>
      </c>
      <c r="J489" t="str">
        <f t="array" ref="J489">IFERROR(INDEX('Day Range Raw Data'!N:N,Match($A489,'Day Range Raw Data'!$B:$B,0)),"")</f>
        <v/>
      </c>
      <c r="K489" t="str">
        <f t="array" ref="K489">IFERROR(INDEX('Day Range Raw Data'!R:R,Match($A489,'Day Range Raw Data'!$B:$B,0)),"")</f>
        <v/>
      </c>
      <c r="L489" t="str">
        <f t="array" ref="L489">IFERROR(INDEX('Day Range Raw Data'!S:S,Match($A489,'Day Range Raw Data'!$B:$B,0)),"")</f>
        <v/>
      </c>
      <c r="M489" t="str">
        <f t="array" ref="M489">IFERROR(INDEX('Day Range Raw Data'!T:T,Match($A489,'Day Range Raw Data'!$B:$B,0)),"")</f>
        <v/>
      </c>
      <c r="N489" t="str">
        <f t="array" ref="N489">IFERROR(INDEX('Day Range Raw Data'!U:U,Match($A489,'Day Range Raw Data'!$B:$B,0)),"")</f>
        <v/>
      </c>
      <c r="O489" t="str">
        <f t="array" ref="O489">IFERROR(INDEX('Day Range Raw Data'!V:V,Match($A489,'Day Range Raw Data'!$B:$B,0)),"")</f>
        <v/>
      </c>
      <c r="P489" t="str">
        <f t="array" ref="P489">IFERROR(INDEX('Day Range Raw Data'!X:X,Match($A489,'Day Range Raw Data'!$B:$B,0)),"")</f>
        <v/>
      </c>
      <c r="Q489" t="str">
        <f t="shared" si="1"/>
        <v/>
      </c>
      <c r="R489" s="9" t="str">
        <f t="shared" si="2"/>
        <v/>
      </c>
      <c r="S489" s="14" t="str">
        <f t="shared" si="3"/>
        <v/>
      </c>
      <c r="T489" s="15" t="str">
        <f>IFERROR(__xludf.DUMMYFUNCTION("IF($A489="""","""",IFERROR(PERCENTRANK.INC(FILTER(Q:Q,$F:$F&lt;&gt;""""),Q489)*100,""""))"),"")</f>
        <v/>
      </c>
      <c r="U489" s="15" t="str">
        <f>IFERROR(__xludf.DUMMYFUNCTION("IF($A489="""","""",IFERROR(PERCENTRANK.INC(FILTER(R:R,$F:$F&lt;&gt;""""),R489)*100,""""))"),"")</f>
        <v/>
      </c>
      <c r="V489" s="15" t="str">
        <f>IFERROR(__xludf.DUMMYFUNCTION("IF($A489="""","""",IFERROR(PERCENTRANK.INC(FILTER(S:S,$F:$F&lt;&gt;""""),S489)*100,""""))"),"")</f>
        <v/>
      </c>
      <c r="W489" s="15" t="str">
        <f t="shared" si="4"/>
        <v/>
      </c>
    </row>
    <row r="490">
      <c r="B490" t="str">
        <f t="array" ref="B490">IFERROR(INDEX('Player Raw Data'!C:C,Match($A490,'Player Raw Data'!$B:$B,0)),"")</f>
        <v/>
      </c>
      <c r="C490" t="str">
        <f t="array" ref="C490">IFERROR(INDEX('Player Raw Data'!D:D,Match($A490,'Player Raw Data'!$B:$B,0)),"")</f>
        <v/>
      </c>
      <c r="D490" t="str">
        <f t="array" ref="D490">IFERROR(IF(A490=A489, INDEX('Player Raw Data'!E:E,Match($A490,'Player Raw Data'!$B:$B,0)+2),INDEX('Player Raw Data'!E:E,Match($A490,'Player Raw Data'!$B:$B,0))),"")</f>
        <v/>
      </c>
      <c r="E490" t="str">
        <f t="array" ref="E490">IFERROR(INDEX('Day Range Raw Data'!D:D,Match($A490,'Day Range Raw Data'!$B:$B,0)),"")</f>
        <v/>
      </c>
      <c r="F490" t="str">
        <f t="array" ref="F490">IFERROR(INDEX('Day Range Raw Data'!F:F,Match($A490,'Day Range Raw Data'!$B:$B,0)),"")</f>
        <v/>
      </c>
      <c r="G490" t="str">
        <f t="array" ref="G490">IFERROR(INDEX('Day Range Raw Data'!G:G,Match($A490,'Day Range Raw Data'!$B:$B,0)),"")</f>
        <v/>
      </c>
      <c r="H490" t="str">
        <f t="array" ref="H490">IFERROR(INDEX('Day Range Raw Data'!H:H,Match($A490,'Day Range Raw Data'!$B:$B,0)),"")</f>
        <v/>
      </c>
      <c r="I490" t="str">
        <f t="array" ref="I490">IFERROR(INDEX('Day Range Raw Data'!M:M,Match($A490,'Day Range Raw Data'!$B:$B,0)),"")</f>
        <v/>
      </c>
      <c r="J490" t="str">
        <f t="array" ref="J490">IFERROR(INDEX('Day Range Raw Data'!N:N,Match($A490,'Day Range Raw Data'!$B:$B,0)),"")</f>
        <v/>
      </c>
      <c r="K490" t="str">
        <f t="array" ref="K490">IFERROR(INDEX('Day Range Raw Data'!R:R,Match($A490,'Day Range Raw Data'!$B:$B,0)),"")</f>
        <v/>
      </c>
      <c r="L490" t="str">
        <f t="array" ref="L490">IFERROR(INDEX('Day Range Raw Data'!S:S,Match($A490,'Day Range Raw Data'!$B:$B,0)),"")</f>
        <v/>
      </c>
      <c r="M490" t="str">
        <f t="array" ref="M490">IFERROR(INDEX('Day Range Raw Data'!T:T,Match($A490,'Day Range Raw Data'!$B:$B,0)),"")</f>
        <v/>
      </c>
      <c r="N490" t="str">
        <f t="array" ref="N490">IFERROR(INDEX('Day Range Raw Data'!U:U,Match($A490,'Day Range Raw Data'!$B:$B,0)),"")</f>
        <v/>
      </c>
      <c r="O490" t="str">
        <f t="array" ref="O490">IFERROR(INDEX('Day Range Raw Data'!V:V,Match($A490,'Day Range Raw Data'!$B:$B,0)),"")</f>
        <v/>
      </c>
      <c r="P490" t="str">
        <f t="array" ref="P490">IFERROR(INDEX('Day Range Raw Data'!X:X,Match($A490,'Day Range Raw Data'!$B:$B,0)),"")</f>
        <v/>
      </c>
      <c r="Q490" t="str">
        <f t="shared" si="1"/>
        <v/>
      </c>
      <c r="R490" s="9" t="str">
        <f t="shared" si="2"/>
        <v/>
      </c>
      <c r="S490" s="14" t="str">
        <f t="shared" si="3"/>
        <v/>
      </c>
      <c r="T490" s="15" t="str">
        <f>IFERROR(__xludf.DUMMYFUNCTION("IF($A490="""","""",IFERROR(PERCENTRANK.INC(FILTER(Q:Q,$F:$F&lt;&gt;""""),Q490)*100,""""))"),"")</f>
        <v/>
      </c>
      <c r="U490" s="15" t="str">
        <f>IFERROR(__xludf.DUMMYFUNCTION("IF($A490="""","""",IFERROR(PERCENTRANK.INC(FILTER(R:R,$F:$F&lt;&gt;""""),R490)*100,""""))"),"")</f>
        <v/>
      </c>
      <c r="V490" s="15" t="str">
        <f>IFERROR(__xludf.DUMMYFUNCTION("IF($A490="""","""",IFERROR(PERCENTRANK.INC(FILTER(S:S,$F:$F&lt;&gt;""""),S490)*100,""""))"),"")</f>
        <v/>
      </c>
      <c r="W490" s="15" t="str">
        <f t="shared" si="4"/>
        <v/>
      </c>
    </row>
    <row r="491">
      <c r="B491" t="str">
        <f t="array" ref="B491">IFERROR(INDEX('Player Raw Data'!C:C,Match($A491,'Player Raw Data'!$B:$B,0)),"")</f>
        <v/>
      </c>
      <c r="C491" t="str">
        <f t="array" ref="C491">IFERROR(INDEX('Player Raw Data'!D:D,Match($A491,'Player Raw Data'!$B:$B,0)),"")</f>
        <v/>
      </c>
      <c r="D491" t="str">
        <f t="array" ref="D491">IFERROR(IF(A491=A490, INDEX('Player Raw Data'!E:E,Match($A491,'Player Raw Data'!$B:$B,0)+2),INDEX('Player Raw Data'!E:E,Match($A491,'Player Raw Data'!$B:$B,0))),"")</f>
        <v/>
      </c>
      <c r="E491" t="str">
        <f t="array" ref="E491">IFERROR(INDEX('Day Range Raw Data'!D:D,Match($A491,'Day Range Raw Data'!$B:$B,0)),"")</f>
        <v/>
      </c>
      <c r="F491" t="str">
        <f t="array" ref="F491">IFERROR(INDEX('Day Range Raw Data'!F:F,Match($A491,'Day Range Raw Data'!$B:$B,0)),"")</f>
        <v/>
      </c>
      <c r="G491" t="str">
        <f t="array" ref="G491">IFERROR(INDEX('Day Range Raw Data'!G:G,Match($A491,'Day Range Raw Data'!$B:$B,0)),"")</f>
        <v/>
      </c>
      <c r="H491" t="str">
        <f t="array" ref="H491">IFERROR(INDEX('Day Range Raw Data'!H:H,Match($A491,'Day Range Raw Data'!$B:$B,0)),"")</f>
        <v/>
      </c>
      <c r="I491" t="str">
        <f t="array" ref="I491">IFERROR(INDEX('Day Range Raw Data'!M:M,Match($A491,'Day Range Raw Data'!$B:$B,0)),"")</f>
        <v/>
      </c>
      <c r="J491" t="str">
        <f t="array" ref="J491">IFERROR(INDEX('Day Range Raw Data'!N:N,Match($A491,'Day Range Raw Data'!$B:$B,0)),"")</f>
        <v/>
      </c>
      <c r="K491" t="str">
        <f t="array" ref="K491">IFERROR(INDEX('Day Range Raw Data'!R:R,Match($A491,'Day Range Raw Data'!$B:$B,0)),"")</f>
        <v/>
      </c>
      <c r="L491" t="str">
        <f t="array" ref="L491">IFERROR(INDEX('Day Range Raw Data'!S:S,Match($A491,'Day Range Raw Data'!$B:$B,0)),"")</f>
        <v/>
      </c>
      <c r="M491" t="str">
        <f t="array" ref="M491">IFERROR(INDEX('Day Range Raw Data'!T:T,Match($A491,'Day Range Raw Data'!$B:$B,0)),"")</f>
        <v/>
      </c>
      <c r="N491" t="str">
        <f t="array" ref="N491">IFERROR(INDEX('Day Range Raw Data'!U:U,Match($A491,'Day Range Raw Data'!$B:$B,0)),"")</f>
        <v/>
      </c>
      <c r="O491" t="str">
        <f t="array" ref="O491">IFERROR(INDEX('Day Range Raw Data'!V:V,Match($A491,'Day Range Raw Data'!$B:$B,0)),"")</f>
        <v/>
      </c>
      <c r="P491" t="str">
        <f t="array" ref="P491">IFERROR(INDEX('Day Range Raw Data'!X:X,Match($A491,'Day Range Raw Data'!$B:$B,0)),"")</f>
        <v/>
      </c>
      <c r="Q491" t="str">
        <f t="shared" si="1"/>
        <v/>
      </c>
      <c r="R491" s="9" t="str">
        <f t="shared" si="2"/>
        <v/>
      </c>
      <c r="S491" s="14" t="str">
        <f t="shared" si="3"/>
        <v/>
      </c>
      <c r="T491" s="15" t="str">
        <f>IFERROR(__xludf.DUMMYFUNCTION("IF($A491="""","""",IFERROR(PERCENTRANK.INC(FILTER(Q:Q,$F:$F&lt;&gt;""""),Q491)*100,""""))"),"")</f>
        <v/>
      </c>
      <c r="U491" s="15" t="str">
        <f>IFERROR(__xludf.DUMMYFUNCTION("IF($A491="""","""",IFERROR(PERCENTRANK.INC(FILTER(R:R,$F:$F&lt;&gt;""""),R491)*100,""""))"),"")</f>
        <v/>
      </c>
      <c r="V491" s="15" t="str">
        <f>IFERROR(__xludf.DUMMYFUNCTION("IF($A491="""","""",IFERROR(PERCENTRANK.INC(FILTER(S:S,$F:$F&lt;&gt;""""),S491)*100,""""))"),"")</f>
        <v/>
      </c>
      <c r="W491" s="15" t="str">
        <f t="shared" si="4"/>
        <v/>
      </c>
    </row>
    <row r="492">
      <c r="B492" t="str">
        <f t="array" ref="B492">IFERROR(INDEX('Player Raw Data'!C:C,Match($A492,'Player Raw Data'!$B:$B,0)),"")</f>
        <v/>
      </c>
      <c r="C492" t="str">
        <f t="array" ref="C492">IFERROR(INDEX('Player Raw Data'!D:D,Match($A492,'Player Raw Data'!$B:$B,0)),"")</f>
        <v/>
      </c>
      <c r="D492" t="str">
        <f t="array" ref="D492">IFERROR(IF(A492=A491, INDEX('Player Raw Data'!E:E,Match($A492,'Player Raw Data'!$B:$B,0)+2),INDEX('Player Raw Data'!E:E,Match($A492,'Player Raw Data'!$B:$B,0))),"")</f>
        <v/>
      </c>
      <c r="E492" t="str">
        <f t="array" ref="E492">IFERROR(INDEX('Day Range Raw Data'!D:D,Match($A492,'Day Range Raw Data'!$B:$B,0)),"")</f>
        <v/>
      </c>
      <c r="F492" t="str">
        <f t="array" ref="F492">IFERROR(INDEX('Day Range Raw Data'!F:F,Match($A492,'Day Range Raw Data'!$B:$B,0)),"")</f>
        <v/>
      </c>
      <c r="G492" t="str">
        <f t="array" ref="G492">IFERROR(INDEX('Day Range Raw Data'!G:G,Match($A492,'Day Range Raw Data'!$B:$B,0)),"")</f>
        <v/>
      </c>
      <c r="H492" t="str">
        <f t="array" ref="H492">IFERROR(INDEX('Day Range Raw Data'!H:H,Match($A492,'Day Range Raw Data'!$B:$B,0)),"")</f>
        <v/>
      </c>
      <c r="I492" t="str">
        <f t="array" ref="I492">IFERROR(INDEX('Day Range Raw Data'!M:M,Match($A492,'Day Range Raw Data'!$B:$B,0)),"")</f>
        <v/>
      </c>
      <c r="J492" t="str">
        <f t="array" ref="J492">IFERROR(INDEX('Day Range Raw Data'!N:N,Match($A492,'Day Range Raw Data'!$B:$B,0)),"")</f>
        <v/>
      </c>
      <c r="K492" t="str">
        <f t="array" ref="K492">IFERROR(INDEX('Day Range Raw Data'!R:R,Match($A492,'Day Range Raw Data'!$B:$B,0)),"")</f>
        <v/>
      </c>
      <c r="L492" t="str">
        <f t="array" ref="L492">IFERROR(INDEX('Day Range Raw Data'!S:S,Match($A492,'Day Range Raw Data'!$B:$B,0)),"")</f>
        <v/>
      </c>
      <c r="M492" t="str">
        <f t="array" ref="M492">IFERROR(INDEX('Day Range Raw Data'!T:T,Match($A492,'Day Range Raw Data'!$B:$B,0)),"")</f>
        <v/>
      </c>
      <c r="N492" t="str">
        <f t="array" ref="N492">IFERROR(INDEX('Day Range Raw Data'!U:U,Match($A492,'Day Range Raw Data'!$B:$B,0)),"")</f>
        <v/>
      </c>
      <c r="O492" t="str">
        <f t="array" ref="O492">IFERROR(INDEX('Day Range Raw Data'!V:V,Match($A492,'Day Range Raw Data'!$B:$B,0)),"")</f>
        <v/>
      </c>
      <c r="P492" t="str">
        <f t="array" ref="P492">IFERROR(INDEX('Day Range Raw Data'!X:X,Match($A492,'Day Range Raw Data'!$B:$B,0)),"")</f>
        <v/>
      </c>
      <c r="Q492" t="str">
        <f t="shared" si="1"/>
        <v/>
      </c>
      <c r="R492" s="9" t="str">
        <f t="shared" si="2"/>
        <v/>
      </c>
      <c r="S492" s="14" t="str">
        <f t="shared" si="3"/>
        <v/>
      </c>
      <c r="T492" s="15" t="str">
        <f>IFERROR(__xludf.DUMMYFUNCTION("IF($A492="""","""",IFERROR(PERCENTRANK.INC(FILTER(Q:Q,$F:$F&lt;&gt;""""),Q492)*100,""""))"),"")</f>
        <v/>
      </c>
      <c r="U492" s="15" t="str">
        <f>IFERROR(__xludf.DUMMYFUNCTION("IF($A492="""","""",IFERROR(PERCENTRANK.INC(FILTER(R:R,$F:$F&lt;&gt;""""),R492)*100,""""))"),"")</f>
        <v/>
      </c>
      <c r="V492" s="15" t="str">
        <f>IFERROR(__xludf.DUMMYFUNCTION("IF($A492="""","""",IFERROR(PERCENTRANK.INC(FILTER(S:S,$F:$F&lt;&gt;""""),S492)*100,""""))"),"")</f>
        <v/>
      </c>
      <c r="W492" s="15" t="str">
        <f t="shared" si="4"/>
        <v/>
      </c>
    </row>
    <row r="493">
      <c r="B493" t="str">
        <f t="array" ref="B493">IFERROR(INDEX('Player Raw Data'!C:C,Match($A493,'Player Raw Data'!$B:$B,0)),"")</f>
        <v/>
      </c>
      <c r="C493" t="str">
        <f t="array" ref="C493">IFERROR(INDEX('Player Raw Data'!D:D,Match($A493,'Player Raw Data'!$B:$B,0)),"")</f>
        <v/>
      </c>
      <c r="D493" t="str">
        <f t="array" ref="D493">IFERROR(IF(A493=A492, INDEX('Player Raw Data'!E:E,Match($A493,'Player Raw Data'!$B:$B,0)+2),INDEX('Player Raw Data'!E:E,Match($A493,'Player Raw Data'!$B:$B,0))),"")</f>
        <v/>
      </c>
      <c r="E493" t="str">
        <f t="array" ref="E493">IFERROR(INDEX('Day Range Raw Data'!D:D,Match($A493,'Day Range Raw Data'!$B:$B,0)),"")</f>
        <v/>
      </c>
      <c r="F493" t="str">
        <f t="array" ref="F493">IFERROR(INDEX('Day Range Raw Data'!F:F,Match($A493,'Day Range Raw Data'!$B:$B,0)),"")</f>
        <v/>
      </c>
      <c r="G493" t="str">
        <f t="array" ref="G493">IFERROR(INDEX('Day Range Raw Data'!G:G,Match($A493,'Day Range Raw Data'!$B:$B,0)),"")</f>
        <v/>
      </c>
      <c r="H493" t="str">
        <f t="array" ref="H493">IFERROR(INDEX('Day Range Raw Data'!H:H,Match($A493,'Day Range Raw Data'!$B:$B,0)),"")</f>
        <v/>
      </c>
      <c r="I493" t="str">
        <f t="array" ref="I493">IFERROR(INDEX('Day Range Raw Data'!M:M,Match($A493,'Day Range Raw Data'!$B:$B,0)),"")</f>
        <v/>
      </c>
      <c r="J493" t="str">
        <f t="array" ref="J493">IFERROR(INDEX('Day Range Raw Data'!N:N,Match($A493,'Day Range Raw Data'!$B:$B,0)),"")</f>
        <v/>
      </c>
      <c r="K493" t="str">
        <f t="array" ref="K493">IFERROR(INDEX('Day Range Raw Data'!R:R,Match($A493,'Day Range Raw Data'!$B:$B,0)),"")</f>
        <v/>
      </c>
      <c r="L493" t="str">
        <f t="array" ref="L493">IFERROR(INDEX('Day Range Raw Data'!S:S,Match($A493,'Day Range Raw Data'!$B:$B,0)),"")</f>
        <v/>
      </c>
      <c r="M493" t="str">
        <f t="array" ref="M493">IFERROR(INDEX('Day Range Raw Data'!T:T,Match($A493,'Day Range Raw Data'!$B:$B,0)),"")</f>
        <v/>
      </c>
      <c r="N493" t="str">
        <f t="array" ref="N493">IFERROR(INDEX('Day Range Raw Data'!U:U,Match($A493,'Day Range Raw Data'!$B:$B,0)),"")</f>
        <v/>
      </c>
      <c r="O493" t="str">
        <f t="array" ref="O493">IFERROR(INDEX('Day Range Raw Data'!V:V,Match($A493,'Day Range Raw Data'!$B:$B,0)),"")</f>
        <v/>
      </c>
      <c r="P493" t="str">
        <f t="array" ref="P493">IFERROR(INDEX('Day Range Raw Data'!X:X,Match($A493,'Day Range Raw Data'!$B:$B,0)),"")</f>
        <v/>
      </c>
      <c r="Q493" t="str">
        <f t="shared" si="1"/>
        <v/>
      </c>
      <c r="R493" s="9" t="str">
        <f t="shared" si="2"/>
        <v/>
      </c>
      <c r="S493" s="14" t="str">
        <f t="shared" si="3"/>
        <v/>
      </c>
      <c r="T493" s="15" t="str">
        <f>IFERROR(__xludf.DUMMYFUNCTION("IF($A493="""","""",IFERROR(PERCENTRANK.INC(FILTER(Q:Q,$F:$F&lt;&gt;""""),Q493)*100,""""))"),"")</f>
        <v/>
      </c>
      <c r="U493" s="15" t="str">
        <f>IFERROR(__xludf.DUMMYFUNCTION("IF($A493="""","""",IFERROR(PERCENTRANK.INC(FILTER(R:R,$F:$F&lt;&gt;""""),R493)*100,""""))"),"")</f>
        <v/>
      </c>
      <c r="V493" s="15" t="str">
        <f>IFERROR(__xludf.DUMMYFUNCTION("IF($A493="""","""",IFERROR(PERCENTRANK.INC(FILTER(S:S,$F:$F&lt;&gt;""""),S493)*100,""""))"),"")</f>
        <v/>
      </c>
      <c r="W493" s="15" t="str">
        <f t="shared" si="4"/>
        <v/>
      </c>
    </row>
    <row r="494">
      <c r="B494" t="str">
        <f t="array" ref="B494">IFERROR(INDEX('Player Raw Data'!C:C,Match($A494,'Player Raw Data'!$B:$B,0)),"")</f>
        <v/>
      </c>
      <c r="C494" t="str">
        <f t="array" ref="C494">IFERROR(INDEX('Player Raw Data'!D:D,Match($A494,'Player Raw Data'!$B:$B,0)),"")</f>
        <v/>
      </c>
      <c r="D494" t="str">
        <f t="array" ref="D494">IFERROR(IF(A494=A493, INDEX('Player Raw Data'!E:E,Match($A494,'Player Raw Data'!$B:$B,0)+2),INDEX('Player Raw Data'!E:E,Match($A494,'Player Raw Data'!$B:$B,0))),"")</f>
        <v/>
      </c>
      <c r="E494" t="str">
        <f t="array" ref="E494">IFERROR(INDEX('Day Range Raw Data'!D:D,Match($A494,'Day Range Raw Data'!$B:$B,0)),"")</f>
        <v/>
      </c>
      <c r="F494" t="str">
        <f t="array" ref="F494">IFERROR(INDEX('Day Range Raw Data'!F:F,Match($A494,'Day Range Raw Data'!$B:$B,0)),"")</f>
        <v/>
      </c>
      <c r="G494" t="str">
        <f t="array" ref="G494">IFERROR(INDEX('Day Range Raw Data'!G:G,Match($A494,'Day Range Raw Data'!$B:$B,0)),"")</f>
        <v/>
      </c>
      <c r="H494" t="str">
        <f t="array" ref="H494">IFERROR(INDEX('Day Range Raw Data'!H:H,Match($A494,'Day Range Raw Data'!$B:$B,0)),"")</f>
        <v/>
      </c>
      <c r="I494" t="str">
        <f t="array" ref="I494">IFERROR(INDEX('Day Range Raw Data'!M:M,Match($A494,'Day Range Raw Data'!$B:$B,0)),"")</f>
        <v/>
      </c>
      <c r="J494" t="str">
        <f t="array" ref="J494">IFERROR(INDEX('Day Range Raw Data'!N:N,Match($A494,'Day Range Raw Data'!$B:$B,0)),"")</f>
        <v/>
      </c>
      <c r="K494" t="str">
        <f t="array" ref="K494">IFERROR(INDEX('Day Range Raw Data'!R:R,Match($A494,'Day Range Raw Data'!$B:$B,0)),"")</f>
        <v/>
      </c>
      <c r="L494" t="str">
        <f t="array" ref="L494">IFERROR(INDEX('Day Range Raw Data'!S:S,Match($A494,'Day Range Raw Data'!$B:$B,0)),"")</f>
        <v/>
      </c>
      <c r="M494" t="str">
        <f t="array" ref="M494">IFERROR(INDEX('Day Range Raw Data'!T:T,Match($A494,'Day Range Raw Data'!$B:$B,0)),"")</f>
        <v/>
      </c>
      <c r="N494" t="str">
        <f t="array" ref="N494">IFERROR(INDEX('Day Range Raw Data'!U:U,Match($A494,'Day Range Raw Data'!$B:$B,0)),"")</f>
        <v/>
      </c>
      <c r="O494" t="str">
        <f t="array" ref="O494">IFERROR(INDEX('Day Range Raw Data'!V:V,Match($A494,'Day Range Raw Data'!$B:$B,0)),"")</f>
        <v/>
      </c>
      <c r="P494" t="str">
        <f t="array" ref="P494">IFERROR(INDEX('Day Range Raw Data'!X:X,Match($A494,'Day Range Raw Data'!$B:$B,0)),"")</f>
        <v/>
      </c>
      <c r="Q494" t="str">
        <f t="shared" si="1"/>
        <v/>
      </c>
      <c r="R494" s="9" t="str">
        <f t="shared" si="2"/>
        <v/>
      </c>
      <c r="S494" s="14" t="str">
        <f t="shared" si="3"/>
        <v/>
      </c>
      <c r="T494" s="15" t="str">
        <f>IFERROR(__xludf.DUMMYFUNCTION("IF($A494="""","""",IFERROR(PERCENTRANK.INC(FILTER(Q:Q,$F:$F&lt;&gt;""""),Q494)*100,""""))"),"")</f>
        <v/>
      </c>
      <c r="U494" s="15" t="str">
        <f>IFERROR(__xludf.DUMMYFUNCTION("IF($A494="""","""",IFERROR(PERCENTRANK.INC(FILTER(R:R,$F:$F&lt;&gt;""""),R494)*100,""""))"),"")</f>
        <v/>
      </c>
      <c r="V494" s="15" t="str">
        <f>IFERROR(__xludf.DUMMYFUNCTION("IF($A494="""","""",IFERROR(PERCENTRANK.INC(FILTER(S:S,$F:$F&lt;&gt;""""),S494)*100,""""))"),"")</f>
        <v/>
      </c>
      <c r="W494" s="15" t="str">
        <f t="shared" si="4"/>
        <v/>
      </c>
    </row>
    <row r="495">
      <c r="B495" t="str">
        <f t="array" ref="B495">IFERROR(INDEX('Player Raw Data'!C:C,Match($A495,'Player Raw Data'!$B:$B,0)),"")</f>
        <v/>
      </c>
      <c r="C495" t="str">
        <f t="array" ref="C495">IFERROR(INDEX('Player Raw Data'!D:D,Match($A495,'Player Raw Data'!$B:$B,0)),"")</f>
        <v/>
      </c>
      <c r="D495" t="str">
        <f t="array" ref="D495">IFERROR(IF(A495=A494, INDEX('Player Raw Data'!E:E,Match($A495,'Player Raw Data'!$B:$B,0)+2),INDEX('Player Raw Data'!E:E,Match($A495,'Player Raw Data'!$B:$B,0))),"")</f>
        <v/>
      </c>
      <c r="E495" t="str">
        <f t="array" ref="E495">IFERROR(INDEX('Day Range Raw Data'!D:D,Match($A495,'Day Range Raw Data'!$B:$B,0)),"")</f>
        <v/>
      </c>
      <c r="F495" t="str">
        <f t="array" ref="F495">IFERROR(INDEX('Day Range Raw Data'!F:F,Match($A495,'Day Range Raw Data'!$B:$B,0)),"")</f>
        <v/>
      </c>
      <c r="G495" t="str">
        <f t="array" ref="G495">IFERROR(INDEX('Day Range Raw Data'!G:G,Match($A495,'Day Range Raw Data'!$B:$B,0)),"")</f>
        <v/>
      </c>
      <c r="H495" t="str">
        <f t="array" ref="H495">IFERROR(INDEX('Day Range Raw Data'!H:H,Match($A495,'Day Range Raw Data'!$B:$B,0)),"")</f>
        <v/>
      </c>
      <c r="I495" t="str">
        <f t="array" ref="I495">IFERROR(INDEX('Day Range Raw Data'!M:M,Match($A495,'Day Range Raw Data'!$B:$B,0)),"")</f>
        <v/>
      </c>
      <c r="J495" t="str">
        <f t="array" ref="J495">IFERROR(INDEX('Day Range Raw Data'!N:N,Match($A495,'Day Range Raw Data'!$B:$B,0)),"")</f>
        <v/>
      </c>
      <c r="K495" t="str">
        <f t="array" ref="K495">IFERROR(INDEX('Day Range Raw Data'!R:R,Match($A495,'Day Range Raw Data'!$B:$B,0)),"")</f>
        <v/>
      </c>
      <c r="L495" t="str">
        <f t="array" ref="L495">IFERROR(INDEX('Day Range Raw Data'!S:S,Match($A495,'Day Range Raw Data'!$B:$B,0)),"")</f>
        <v/>
      </c>
      <c r="M495" t="str">
        <f t="array" ref="M495">IFERROR(INDEX('Day Range Raw Data'!T:T,Match($A495,'Day Range Raw Data'!$B:$B,0)),"")</f>
        <v/>
      </c>
      <c r="N495" t="str">
        <f t="array" ref="N495">IFERROR(INDEX('Day Range Raw Data'!U:U,Match($A495,'Day Range Raw Data'!$B:$B,0)),"")</f>
        <v/>
      </c>
      <c r="O495" t="str">
        <f t="array" ref="O495">IFERROR(INDEX('Day Range Raw Data'!V:V,Match($A495,'Day Range Raw Data'!$B:$B,0)),"")</f>
        <v/>
      </c>
      <c r="P495" t="str">
        <f t="array" ref="P495">IFERROR(INDEX('Day Range Raw Data'!X:X,Match($A495,'Day Range Raw Data'!$B:$B,0)),"")</f>
        <v/>
      </c>
      <c r="Q495" t="str">
        <f t="shared" si="1"/>
        <v/>
      </c>
      <c r="R495" s="9" t="str">
        <f t="shared" si="2"/>
        <v/>
      </c>
      <c r="S495" s="14" t="str">
        <f t="shared" si="3"/>
        <v/>
      </c>
      <c r="T495" s="15" t="str">
        <f>IFERROR(__xludf.DUMMYFUNCTION("IF($A495="""","""",IFERROR(PERCENTRANK.INC(FILTER(Q:Q,$F:$F&lt;&gt;""""),Q495)*100,""""))"),"")</f>
        <v/>
      </c>
      <c r="U495" s="15" t="str">
        <f>IFERROR(__xludf.DUMMYFUNCTION("IF($A495="""","""",IFERROR(PERCENTRANK.INC(FILTER(R:R,$F:$F&lt;&gt;""""),R495)*100,""""))"),"")</f>
        <v/>
      </c>
      <c r="V495" s="15" t="str">
        <f>IFERROR(__xludf.DUMMYFUNCTION("IF($A495="""","""",IFERROR(PERCENTRANK.INC(FILTER(S:S,$F:$F&lt;&gt;""""),S495)*100,""""))"),"")</f>
        <v/>
      </c>
      <c r="W495" s="15" t="str">
        <f t="shared" si="4"/>
        <v/>
      </c>
    </row>
    <row r="496">
      <c r="B496" t="str">
        <f t="array" ref="B496">IFERROR(INDEX('Player Raw Data'!C:C,Match($A496,'Player Raw Data'!$B:$B,0)),"")</f>
        <v/>
      </c>
      <c r="C496" t="str">
        <f t="array" ref="C496">IFERROR(INDEX('Player Raw Data'!D:D,Match($A496,'Player Raw Data'!$B:$B,0)),"")</f>
        <v/>
      </c>
      <c r="D496" t="str">
        <f t="array" ref="D496">IFERROR(IF(A496=A495, INDEX('Player Raw Data'!E:E,Match($A496,'Player Raw Data'!$B:$B,0)+2),INDEX('Player Raw Data'!E:E,Match($A496,'Player Raw Data'!$B:$B,0))),"")</f>
        <v/>
      </c>
      <c r="E496" t="str">
        <f t="array" ref="E496">IFERROR(INDEX('Day Range Raw Data'!D:D,Match($A496,'Day Range Raw Data'!$B:$B,0)),"")</f>
        <v/>
      </c>
      <c r="F496" t="str">
        <f t="array" ref="F496">IFERROR(INDEX('Day Range Raw Data'!F:F,Match($A496,'Day Range Raw Data'!$B:$B,0)),"")</f>
        <v/>
      </c>
      <c r="G496" t="str">
        <f t="array" ref="G496">IFERROR(INDEX('Day Range Raw Data'!G:G,Match($A496,'Day Range Raw Data'!$B:$B,0)),"")</f>
        <v/>
      </c>
      <c r="H496" t="str">
        <f t="array" ref="H496">IFERROR(INDEX('Day Range Raw Data'!H:H,Match($A496,'Day Range Raw Data'!$B:$B,0)),"")</f>
        <v/>
      </c>
      <c r="I496" t="str">
        <f t="array" ref="I496">IFERROR(INDEX('Day Range Raw Data'!M:M,Match($A496,'Day Range Raw Data'!$B:$B,0)),"")</f>
        <v/>
      </c>
      <c r="J496" t="str">
        <f t="array" ref="J496">IFERROR(INDEX('Day Range Raw Data'!N:N,Match($A496,'Day Range Raw Data'!$B:$B,0)),"")</f>
        <v/>
      </c>
      <c r="K496" t="str">
        <f t="array" ref="K496">IFERROR(INDEX('Day Range Raw Data'!R:R,Match($A496,'Day Range Raw Data'!$B:$B,0)),"")</f>
        <v/>
      </c>
      <c r="L496" t="str">
        <f t="array" ref="L496">IFERROR(INDEX('Day Range Raw Data'!S:S,Match($A496,'Day Range Raw Data'!$B:$B,0)),"")</f>
        <v/>
      </c>
      <c r="M496" t="str">
        <f t="array" ref="M496">IFERROR(INDEX('Day Range Raw Data'!T:T,Match($A496,'Day Range Raw Data'!$B:$B,0)),"")</f>
        <v/>
      </c>
      <c r="N496" t="str">
        <f t="array" ref="N496">IFERROR(INDEX('Day Range Raw Data'!U:U,Match($A496,'Day Range Raw Data'!$B:$B,0)),"")</f>
        <v/>
      </c>
      <c r="O496" t="str">
        <f t="array" ref="O496">IFERROR(INDEX('Day Range Raw Data'!V:V,Match($A496,'Day Range Raw Data'!$B:$B,0)),"")</f>
        <v/>
      </c>
      <c r="P496" t="str">
        <f t="array" ref="P496">IFERROR(INDEX('Day Range Raw Data'!X:X,Match($A496,'Day Range Raw Data'!$B:$B,0)),"")</f>
        <v/>
      </c>
      <c r="Q496" t="str">
        <f t="shared" si="1"/>
        <v/>
      </c>
      <c r="R496" s="9" t="str">
        <f t="shared" si="2"/>
        <v/>
      </c>
      <c r="S496" s="14" t="str">
        <f t="shared" si="3"/>
        <v/>
      </c>
      <c r="T496" s="15" t="str">
        <f>IFERROR(__xludf.DUMMYFUNCTION("IF($A496="""","""",IFERROR(PERCENTRANK.INC(FILTER(Q:Q,$F:$F&lt;&gt;""""),Q496)*100,""""))"),"")</f>
        <v/>
      </c>
      <c r="U496" s="15" t="str">
        <f>IFERROR(__xludf.DUMMYFUNCTION("IF($A496="""","""",IFERROR(PERCENTRANK.INC(FILTER(R:R,$F:$F&lt;&gt;""""),R496)*100,""""))"),"")</f>
        <v/>
      </c>
      <c r="V496" s="15" t="str">
        <f>IFERROR(__xludf.DUMMYFUNCTION("IF($A496="""","""",IFERROR(PERCENTRANK.INC(FILTER(S:S,$F:$F&lt;&gt;""""),S496)*100,""""))"),"")</f>
        <v/>
      </c>
      <c r="W496" s="15" t="str">
        <f t="shared" si="4"/>
        <v/>
      </c>
    </row>
    <row r="497">
      <c r="B497" t="str">
        <f t="array" ref="B497">IFERROR(INDEX('Player Raw Data'!C:C,Match($A497,'Player Raw Data'!$B:$B,0)),"")</f>
        <v/>
      </c>
      <c r="C497" t="str">
        <f t="array" ref="C497">IFERROR(INDEX('Player Raw Data'!D:D,Match($A497,'Player Raw Data'!$B:$B,0)),"")</f>
        <v/>
      </c>
      <c r="D497" t="str">
        <f t="array" ref="D497">IFERROR(IF(A497=A496, INDEX('Player Raw Data'!E:E,Match($A497,'Player Raw Data'!$B:$B,0)+2),INDEX('Player Raw Data'!E:E,Match($A497,'Player Raw Data'!$B:$B,0))),"")</f>
        <v/>
      </c>
      <c r="E497" t="str">
        <f t="array" ref="E497">IFERROR(INDEX('Day Range Raw Data'!D:D,Match($A497,'Day Range Raw Data'!$B:$B,0)),"")</f>
        <v/>
      </c>
      <c r="F497" t="str">
        <f t="array" ref="F497">IFERROR(INDEX('Day Range Raw Data'!F:F,Match($A497,'Day Range Raw Data'!$B:$B,0)),"")</f>
        <v/>
      </c>
      <c r="G497" t="str">
        <f t="array" ref="G497">IFERROR(INDEX('Day Range Raw Data'!G:G,Match($A497,'Day Range Raw Data'!$B:$B,0)),"")</f>
        <v/>
      </c>
      <c r="H497" t="str">
        <f t="array" ref="H497">IFERROR(INDEX('Day Range Raw Data'!H:H,Match($A497,'Day Range Raw Data'!$B:$B,0)),"")</f>
        <v/>
      </c>
      <c r="I497" t="str">
        <f t="array" ref="I497">IFERROR(INDEX('Day Range Raw Data'!M:M,Match($A497,'Day Range Raw Data'!$B:$B,0)),"")</f>
        <v/>
      </c>
      <c r="J497" t="str">
        <f t="array" ref="J497">IFERROR(INDEX('Day Range Raw Data'!N:N,Match($A497,'Day Range Raw Data'!$B:$B,0)),"")</f>
        <v/>
      </c>
      <c r="K497" t="str">
        <f t="array" ref="K497">IFERROR(INDEX('Day Range Raw Data'!R:R,Match($A497,'Day Range Raw Data'!$B:$B,0)),"")</f>
        <v/>
      </c>
      <c r="L497" t="str">
        <f t="array" ref="L497">IFERROR(INDEX('Day Range Raw Data'!S:S,Match($A497,'Day Range Raw Data'!$B:$B,0)),"")</f>
        <v/>
      </c>
      <c r="M497" t="str">
        <f t="array" ref="M497">IFERROR(INDEX('Day Range Raw Data'!T:T,Match($A497,'Day Range Raw Data'!$B:$B,0)),"")</f>
        <v/>
      </c>
      <c r="N497" t="str">
        <f t="array" ref="N497">IFERROR(INDEX('Day Range Raw Data'!U:U,Match($A497,'Day Range Raw Data'!$B:$B,0)),"")</f>
        <v/>
      </c>
      <c r="O497" t="str">
        <f t="array" ref="O497">IFERROR(INDEX('Day Range Raw Data'!V:V,Match($A497,'Day Range Raw Data'!$B:$B,0)),"")</f>
        <v/>
      </c>
      <c r="P497" t="str">
        <f t="array" ref="P497">IFERROR(INDEX('Day Range Raw Data'!X:X,Match($A497,'Day Range Raw Data'!$B:$B,0)),"")</f>
        <v/>
      </c>
      <c r="Q497" t="str">
        <f t="shared" si="1"/>
        <v/>
      </c>
      <c r="R497" s="9" t="str">
        <f t="shared" si="2"/>
        <v/>
      </c>
      <c r="S497" s="14" t="str">
        <f t="shared" si="3"/>
        <v/>
      </c>
      <c r="T497" s="15" t="str">
        <f>IFERROR(__xludf.DUMMYFUNCTION("IF($A497="""","""",IFERROR(PERCENTRANK.INC(FILTER(Q:Q,$F:$F&lt;&gt;""""),Q497)*100,""""))"),"")</f>
        <v/>
      </c>
      <c r="U497" s="15" t="str">
        <f>IFERROR(__xludf.DUMMYFUNCTION("IF($A497="""","""",IFERROR(PERCENTRANK.INC(FILTER(R:R,$F:$F&lt;&gt;""""),R497)*100,""""))"),"")</f>
        <v/>
      </c>
      <c r="V497" s="15" t="str">
        <f>IFERROR(__xludf.DUMMYFUNCTION("IF($A497="""","""",IFERROR(PERCENTRANK.INC(FILTER(S:S,$F:$F&lt;&gt;""""),S497)*100,""""))"),"")</f>
        <v/>
      </c>
      <c r="W497" s="15" t="str">
        <f t="shared" si="4"/>
        <v/>
      </c>
    </row>
    <row r="498">
      <c r="B498" t="str">
        <f t="array" ref="B498">IFERROR(INDEX('Player Raw Data'!C:C,Match($A498,'Player Raw Data'!$B:$B,0)),"")</f>
        <v/>
      </c>
      <c r="C498" t="str">
        <f t="array" ref="C498">IFERROR(INDEX('Player Raw Data'!D:D,Match($A498,'Player Raw Data'!$B:$B,0)),"")</f>
        <v/>
      </c>
      <c r="D498" t="str">
        <f t="array" ref="D498">IFERROR(IF(A498=A497, INDEX('Player Raw Data'!E:E,Match($A498,'Player Raw Data'!$B:$B,0)+2),INDEX('Player Raw Data'!E:E,Match($A498,'Player Raw Data'!$B:$B,0))),"")</f>
        <v/>
      </c>
      <c r="E498" t="str">
        <f t="array" ref="E498">IFERROR(INDEX('Day Range Raw Data'!D:D,Match($A498,'Day Range Raw Data'!$B:$B,0)),"")</f>
        <v/>
      </c>
      <c r="F498" t="str">
        <f t="array" ref="F498">IFERROR(INDEX('Day Range Raw Data'!F:F,Match($A498,'Day Range Raw Data'!$B:$B,0)),"")</f>
        <v/>
      </c>
      <c r="G498" t="str">
        <f t="array" ref="G498">IFERROR(INDEX('Day Range Raw Data'!G:G,Match($A498,'Day Range Raw Data'!$B:$B,0)),"")</f>
        <v/>
      </c>
      <c r="H498" t="str">
        <f t="array" ref="H498">IFERROR(INDEX('Day Range Raw Data'!H:H,Match($A498,'Day Range Raw Data'!$B:$B,0)),"")</f>
        <v/>
      </c>
      <c r="I498" t="str">
        <f t="array" ref="I498">IFERROR(INDEX('Day Range Raw Data'!M:M,Match($A498,'Day Range Raw Data'!$B:$B,0)),"")</f>
        <v/>
      </c>
      <c r="J498" t="str">
        <f t="array" ref="J498">IFERROR(INDEX('Day Range Raw Data'!N:N,Match($A498,'Day Range Raw Data'!$B:$B,0)),"")</f>
        <v/>
      </c>
      <c r="K498" t="str">
        <f t="array" ref="K498">IFERROR(INDEX('Day Range Raw Data'!R:R,Match($A498,'Day Range Raw Data'!$B:$B,0)),"")</f>
        <v/>
      </c>
      <c r="L498" t="str">
        <f t="array" ref="L498">IFERROR(INDEX('Day Range Raw Data'!S:S,Match($A498,'Day Range Raw Data'!$B:$B,0)),"")</f>
        <v/>
      </c>
      <c r="M498" t="str">
        <f t="array" ref="M498">IFERROR(INDEX('Day Range Raw Data'!T:T,Match($A498,'Day Range Raw Data'!$B:$B,0)),"")</f>
        <v/>
      </c>
      <c r="N498" t="str">
        <f t="array" ref="N498">IFERROR(INDEX('Day Range Raw Data'!U:U,Match($A498,'Day Range Raw Data'!$B:$B,0)),"")</f>
        <v/>
      </c>
      <c r="O498" t="str">
        <f t="array" ref="O498">IFERROR(INDEX('Day Range Raw Data'!V:V,Match($A498,'Day Range Raw Data'!$B:$B,0)),"")</f>
        <v/>
      </c>
      <c r="P498" t="str">
        <f t="array" ref="P498">IFERROR(INDEX('Day Range Raw Data'!X:X,Match($A498,'Day Range Raw Data'!$B:$B,0)),"")</f>
        <v/>
      </c>
      <c r="Q498" t="str">
        <f t="shared" si="1"/>
        <v/>
      </c>
      <c r="R498" s="9" t="str">
        <f t="shared" si="2"/>
        <v/>
      </c>
      <c r="S498" s="14" t="str">
        <f t="shared" si="3"/>
        <v/>
      </c>
      <c r="T498" s="15" t="str">
        <f>IFERROR(__xludf.DUMMYFUNCTION("IF($A498="""","""",IFERROR(PERCENTRANK.INC(FILTER(Q:Q,$F:$F&lt;&gt;""""),Q498)*100,""""))"),"")</f>
        <v/>
      </c>
      <c r="U498" s="15" t="str">
        <f>IFERROR(__xludf.DUMMYFUNCTION("IF($A498="""","""",IFERROR(PERCENTRANK.INC(FILTER(R:R,$F:$F&lt;&gt;""""),R498)*100,""""))"),"")</f>
        <v/>
      </c>
      <c r="V498" s="15" t="str">
        <f>IFERROR(__xludf.DUMMYFUNCTION("IF($A498="""","""",IFERROR(PERCENTRANK.INC(FILTER(S:S,$F:$F&lt;&gt;""""),S498)*100,""""))"),"")</f>
        <v/>
      </c>
      <c r="W498" s="15" t="str">
        <f t="shared" si="4"/>
        <v/>
      </c>
    </row>
    <row r="499">
      <c r="B499" t="str">
        <f t="array" ref="B499">IFERROR(INDEX('Player Raw Data'!C:C,Match($A499,'Player Raw Data'!$B:$B,0)),"")</f>
        <v/>
      </c>
      <c r="C499" t="str">
        <f t="array" ref="C499">IFERROR(INDEX('Player Raw Data'!D:D,Match($A499,'Player Raw Data'!$B:$B,0)),"")</f>
        <v/>
      </c>
      <c r="D499" t="str">
        <f t="array" ref="D499">IFERROR(IF(A499=A498, INDEX('Player Raw Data'!E:E,Match($A499,'Player Raw Data'!$B:$B,0)+2),INDEX('Player Raw Data'!E:E,Match($A499,'Player Raw Data'!$B:$B,0))),"")</f>
        <v/>
      </c>
      <c r="E499" t="str">
        <f t="array" ref="E499">IFERROR(INDEX('Day Range Raw Data'!D:D,Match($A499,'Day Range Raw Data'!$B:$B,0)),"")</f>
        <v/>
      </c>
      <c r="F499" t="str">
        <f t="array" ref="F499">IFERROR(INDEX('Day Range Raw Data'!F:F,Match($A499,'Day Range Raw Data'!$B:$B,0)),"")</f>
        <v/>
      </c>
      <c r="G499" t="str">
        <f t="array" ref="G499">IFERROR(INDEX('Day Range Raw Data'!G:G,Match($A499,'Day Range Raw Data'!$B:$B,0)),"")</f>
        <v/>
      </c>
      <c r="H499" t="str">
        <f t="array" ref="H499">IFERROR(INDEX('Day Range Raw Data'!H:H,Match($A499,'Day Range Raw Data'!$B:$B,0)),"")</f>
        <v/>
      </c>
      <c r="I499" t="str">
        <f t="array" ref="I499">IFERROR(INDEX('Day Range Raw Data'!M:M,Match($A499,'Day Range Raw Data'!$B:$B,0)),"")</f>
        <v/>
      </c>
      <c r="J499" t="str">
        <f t="array" ref="J499">IFERROR(INDEX('Day Range Raw Data'!N:N,Match($A499,'Day Range Raw Data'!$B:$B,0)),"")</f>
        <v/>
      </c>
      <c r="K499" t="str">
        <f t="array" ref="K499">IFERROR(INDEX('Day Range Raw Data'!R:R,Match($A499,'Day Range Raw Data'!$B:$B,0)),"")</f>
        <v/>
      </c>
      <c r="L499" t="str">
        <f t="array" ref="L499">IFERROR(INDEX('Day Range Raw Data'!S:S,Match($A499,'Day Range Raw Data'!$B:$B,0)),"")</f>
        <v/>
      </c>
      <c r="M499" t="str">
        <f t="array" ref="M499">IFERROR(INDEX('Day Range Raw Data'!T:T,Match($A499,'Day Range Raw Data'!$B:$B,0)),"")</f>
        <v/>
      </c>
      <c r="N499" t="str">
        <f t="array" ref="N499">IFERROR(INDEX('Day Range Raw Data'!U:U,Match($A499,'Day Range Raw Data'!$B:$B,0)),"")</f>
        <v/>
      </c>
      <c r="O499" t="str">
        <f t="array" ref="O499">IFERROR(INDEX('Day Range Raw Data'!V:V,Match($A499,'Day Range Raw Data'!$B:$B,0)),"")</f>
        <v/>
      </c>
      <c r="P499" t="str">
        <f t="array" ref="P499">IFERROR(INDEX('Day Range Raw Data'!X:X,Match($A499,'Day Range Raw Data'!$B:$B,0)),"")</f>
        <v/>
      </c>
      <c r="Q499" t="str">
        <f t="shared" si="1"/>
        <v/>
      </c>
      <c r="R499" s="9" t="str">
        <f t="shared" si="2"/>
        <v/>
      </c>
      <c r="S499" s="14" t="str">
        <f t="shared" si="3"/>
        <v/>
      </c>
      <c r="T499" s="15" t="str">
        <f>IFERROR(__xludf.DUMMYFUNCTION("IF($A499="""","""",IFERROR(PERCENTRANK.INC(FILTER(Q:Q,$F:$F&lt;&gt;""""),Q499)*100,""""))"),"")</f>
        <v/>
      </c>
      <c r="U499" s="15" t="str">
        <f>IFERROR(__xludf.DUMMYFUNCTION("IF($A499="""","""",IFERROR(PERCENTRANK.INC(FILTER(R:R,$F:$F&lt;&gt;""""),R499)*100,""""))"),"")</f>
        <v/>
      </c>
      <c r="V499" s="15" t="str">
        <f>IFERROR(__xludf.DUMMYFUNCTION("IF($A499="""","""",IFERROR(PERCENTRANK.INC(FILTER(S:S,$F:$F&lt;&gt;""""),S499)*100,""""))"),"")</f>
        <v/>
      </c>
      <c r="W499" s="15" t="str">
        <f t="shared" si="4"/>
        <v/>
      </c>
    </row>
    <row r="500">
      <c r="B500" t="str">
        <f t="array" ref="B500">IFERROR(INDEX('Player Raw Data'!C:C,Match($A500,'Player Raw Data'!$B:$B,0)),"")</f>
        <v/>
      </c>
      <c r="C500" t="str">
        <f t="array" ref="C500">IFERROR(INDEX('Player Raw Data'!D:D,Match($A500,'Player Raw Data'!$B:$B,0)),"")</f>
        <v/>
      </c>
      <c r="D500" t="str">
        <f t="array" ref="D500">IFERROR(IF(A500=A499, INDEX('Player Raw Data'!E:E,Match($A500,'Player Raw Data'!$B:$B,0)+2),INDEX('Player Raw Data'!E:E,Match($A500,'Player Raw Data'!$B:$B,0))),"")</f>
        <v/>
      </c>
      <c r="E500" t="str">
        <f t="array" ref="E500">IFERROR(INDEX('Day Range Raw Data'!D:D,Match($A500,'Day Range Raw Data'!$B:$B,0)),"")</f>
        <v/>
      </c>
      <c r="F500" t="str">
        <f t="array" ref="F500">IFERROR(INDEX('Day Range Raw Data'!F:F,Match($A500,'Day Range Raw Data'!$B:$B,0)),"")</f>
        <v/>
      </c>
      <c r="G500" t="str">
        <f t="array" ref="G500">IFERROR(INDEX('Day Range Raw Data'!G:G,Match($A500,'Day Range Raw Data'!$B:$B,0)),"")</f>
        <v/>
      </c>
      <c r="H500" t="str">
        <f t="array" ref="H500">IFERROR(INDEX('Day Range Raw Data'!H:H,Match($A500,'Day Range Raw Data'!$B:$B,0)),"")</f>
        <v/>
      </c>
      <c r="I500" t="str">
        <f t="array" ref="I500">IFERROR(INDEX('Day Range Raw Data'!M:M,Match($A500,'Day Range Raw Data'!$B:$B,0)),"")</f>
        <v/>
      </c>
      <c r="J500" t="str">
        <f t="array" ref="J500">IFERROR(INDEX('Day Range Raw Data'!N:N,Match($A500,'Day Range Raw Data'!$B:$B,0)),"")</f>
        <v/>
      </c>
      <c r="K500" t="str">
        <f t="array" ref="K500">IFERROR(INDEX('Day Range Raw Data'!R:R,Match($A500,'Day Range Raw Data'!$B:$B,0)),"")</f>
        <v/>
      </c>
      <c r="L500" t="str">
        <f t="array" ref="L500">IFERROR(INDEX('Day Range Raw Data'!S:S,Match($A500,'Day Range Raw Data'!$B:$B,0)),"")</f>
        <v/>
      </c>
      <c r="M500" t="str">
        <f t="array" ref="M500">IFERROR(INDEX('Day Range Raw Data'!T:T,Match($A500,'Day Range Raw Data'!$B:$B,0)),"")</f>
        <v/>
      </c>
      <c r="N500" t="str">
        <f t="array" ref="N500">IFERROR(INDEX('Day Range Raw Data'!U:U,Match($A500,'Day Range Raw Data'!$B:$B,0)),"")</f>
        <v/>
      </c>
      <c r="O500" t="str">
        <f t="array" ref="O500">IFERROR(INDEX('Day Range Raw Data'!V:V,Match($A500,'Day Range Raw Data'!$B:$B,0)),"")</f>
        <v/>
      </c>
      <c r="P500" t="str">
        <f t="array" ref="P500">IFERROR(INDEX('Day Range Raw Data'!X:X,Match($A500,'Day Range Raw Data'!$B:$B,0)),"")</f>
        <v/>
      </c>
      <c r="Q500" t="str">
        <f t="shared" si="1"/>
        <v/>
      </c>
      <c r="R500" s="9" t="str">
        <f t="shared" si="2"/>
        <v/>
      </c>
      <c r="S500" s="14" t="str">
        <f t="shared" si="3"/>
        <v/>
      </c>
      <c r="T500" s="15" t="str">
        <f>IFERROR(__xludf.DUMMYFUNCTION("IF($A500="""","""",IFERROR(PERCENTRANK.INC(FILTER(Q:Q,$F:$F&lt;&gt;""""),Q500)*100,""""))"),"")</f>
        <v/>
      </c>
      <c r="U500" s="15" t="str">
        <f>IFERROR(__xludf.DUMMYFUNCTION("IF($A500="""","""",IFERROR(PERCENTRANK.INC(FILTER(R:R,$F:$F&lt;&gt;""""),R500)*100,""""))"),"")</f>
        <v/>
      </c>
      <c r="V500" s="15" t="str">
        <f>IFERROR(__xludf.DUMMYFUNCTION("IF($A500="""","""",IFERROR(PERCENTRANK.INC(FILTER(S:S,$F:$F&lt;&gt;""""),S500)*100,""""))"),"")</f>
        <v/>
      </c>
      <c r="W500" s="15" t="str">
        <f t="shared" si="4"/>
        <v/>
      </c>
    </row>
    <row r="501">
      <c r="B501" t="str">
        <f t="array" ref="B501">IFERROR(INDEX('Player Raw Data'!C:C,Match($A501,'Player Raw Data'!$B:$B,0)),"")</f>
        <v/>
      </c>
      <c r="C501" t="str">
        <f t="array" ref="C501">IFERROR(INDEX('Player Raw Data'!D:D,Match($A501,'Player Raw Data'!$B:$B,0)),"")</f>
        <v/>
      </c>
      <c r="D501" t="str">
        <f t="array" ref="D501">IFERROR(IF(A501=A500, INDEX('Player Raw Data'!E:E,Match($A501,'Player Raw Data'!$B:$B,0)+2),INDEX('Player Raw Data'!E:E,Match($A501,'Player Raw Data'!$B:$B,0))),"")</f>
        <v/>
      </c>
      <c r="E501" t="str">
        <f t="array" ref="E501">IFERROR(INDEX('Day Range Raw Data'!D:D,Match($A501,'Day Range Raw Data'!$B:$B,0)),"")</f>
        <v/>
      </c>
      <c r="F501" t="str">
        <f t="array" ref="F501">IFERROR(INDEX('Day Range Raw Data'!F:F,Match($A501,'Day Range Raw Data'!$B:$B,0)),"")</f>
        <v/>
      </c>
      <c r="G501" t="str">
        <f t="array" ref="G501">IFERROR(INDEX('Day Range Raw Data'!G:G,Match($A501,'Day Range Raw Data'!$B:$B,0)),"")</f>
        <v/>
      </c>
      <c r="H501" t="str">
        <f t="array" ref="H501">IFERROR(INDEX('Day Range Raw Data'!H:H,Match($A501,'Day Range Raw Data'!$B:$B,0)),"")</f>
        <v/>
      </c>
      <c r="I501" t="str">
        <f t="array" ref="I501">IFERROR(INDEX('Day Range Raw Data'!M:M,Match($A501,'Day Range Raw Data'!$B:$B,0)),"")</f>
        <v/>
      </c>
      <c r="J501" t="str">
        <f t="array" ref="J501">IFERROR(INDEX('Day Range Raw Data'!N:N,Match($A501,'Day Range Raw Data'!$B:$B,0)),"")</f>
        <v/>
      </c>
      <c r="K501" t="str">
        <f t="array" ref="K501">IFERROR(INDEX('Day Range Raw Data'!R:R,Match($A501,'Day Range Raw Data'!$B:$B,0)),"")</f>
        <v/>
      </c>
      <c r="L501" t="str">
        <f t="array" ref="L501">IFERROR(INDEX('Day Range Raw Data'!S:S,Match($A501,'Day Range Raw Data'!$B:$B,0)),"")</f>
        <v/>
      </c>
      <c r="M501" t="str">
        <f t="array" ref="M501">IFERROR(INDEX('Day Range Raw Data'!T:T,Match($A501,'Day Range Raw Data'!$B:$B,0)),"")</f>
        <v/>
      </c>
      <c r="N501" t="str">
        <f t="array" ref="N501">IFERROR(INDEX('Day Range Raw Data'!U:U,Match($A501,'Day Range Raw Data'!$B:$B,0)),"")</f>
        <v/>
      </c>
      <c r="O501" t="str">
        <f t="array" ref="O501">IFERROR(INDEX('Day Range Raw Data'!V:V,Match($A501,'Day Range Raw Data'!$B:$B,0)),"")</f>
        <v/>
      </c>
      <c r="P501" t="str">
        <f t="array" ref="P501">IFERROR(INDEX('Day Range Raw Data'!X:X,Match($A501,'Day Range Raw Data'!$B:$B,0)),"")</f>
        <v/>
      </c>
      <c r="Q501" t="str">
        <f t="shared" si="1"/>
        <v/>
      </c>
      <c r="R501" s="9" t="str">
        <f t="shared" si="2"/>
        <v/>
      </c>
      <c r="S501" s="14" t="str">
        <f t="shared" si="3"/>
        <v/>
      </c>
      <c r="T501" s="15" t="str">
        <f>IFERROR(__xludf.DUMMYFUNCTION("IF($A501="""","""",IFERROR(PERCENTRANK.INC(FILTER(Q:Q,$F:$F&lt;&gt;""""),Q501)*100,""""))"),"")</f>
        <v/>
      </c>
      <c r="U501" s="15" t="str">
        <f>IFERROR(__xludf.DUMMYFUNCTION("IF($A501="""","""",IFERROR(PERCENTRANK.INC(FILTER(R:R,$F:$F&lt;&gt;""""),R501)*100,""""))"),"")</f>
        <v/>
      </c>
      <c r="V501" s="15" t="str">
        <f>IFERROR(__xludf.DUMMYFUNCTION("IF($A501="""","""",IFERROR(PERCENTRANK.INC(FILTER(S:S,$F:$F&lt;&gt;""""),S501)*100,""""))"),"")</f>
        <v/>
      </c>
      <c r="W501" s="15" t="str">
        <f t="shared" si="4"/>
        <v/>
      </c>
    </row>
    <row r="502">
      <c r="B502" t="str">
        <f t="array" ref="B502">IFERROR(INDEX('Player Raw Data'!C:C,Match($A502,'Player Raw Data'!$B:$B,0)),"")</f>
        <v/>
      </c>
      <c r="C502" t="str">
        <f t="array" ref="C502">IFERROR(INDEX('Player Raw Data'!D:D,Match($A502,'Player Raw Data'!$B:$B,0)),"")</f>
        <v/>
      </c>
      <c r="D502" t="str">
        <f t="array" ref="D502">IFERROR(IF(A502=A501, INDEX('Player Raw Data'!E:E,Match($A502,'Player Raw Data'!$B:$B,0)+2),INDEX('Player Raw Data'!E:E,Match($A502,'Player Raw Data'!$B:$B,0))),"")</f>
        <v/>
      </c>
      <c r="E502" t="str">
        <f t="array" ref="E502">IFERROR(INDEX('Day Range Raw Data'!D:D,Match($A502,'Day Range Raw Data'!$B:$B,0)),"")</f>
        <v/>
      </c>
      <c r="F502" t="str">
        <f t="array" ref="F502">IFERROR(INDEX('Day Range Raw Data'!F:F,Match($A502,'Day Range Raw Data'!$B:$B,0)),"")</f>
        <v/>
      </c>
      <c r="G502" t="str">
        <f t="array" ref="G502">IFERROR(INDEX('Day Range Raw Data'!G:G,Match($A502,'Day Range Raw Data'!$B:$B,0)),"")</f>
        <v/>
      </c>
      <c r="H502" t="str">
        <f t="array" ref="H502">IFERROR(INDEX('Day Range Raw Data'!H:H,Match($A502,'Day Range Raw Data'!$B:$B,0)),"")</f>
        <v/>
      </c>
      <c r="I502" t="str">
        <f t="array" ref="I502">IFERROR(INDEX('Day Range Raw Data'!M:M,Match($A502,'Day Range Raw Data'!$B:$B,0)),"")</f>
        <v/>
      </c>
      <c r="J502" t="str">
        <f t="array" ref="J502">IFERROR(INDEX('Day Range Raw Data'!N:N,Match($A502,'Day Range Raw Data'!$B:$B,0)),"")</f>
        <v/>
      </c>
      <c r="K502" t="str">
        <f t="array" ref="K502">IFERROR(INDEX('Day Range Raw Data'!R:R,Match($A502,'Day Range Raw Data'!$B:$B,0)),"")</f>
        <v/>
      </c>
      <c r="L502" t="str">
        <f t="array" ref="L502">IFERROR(INDEX('Day Range Raw Data'!S:S,Match($A502,'Day Range Raw Data'!$B:$B,0)),"")</f>
        <v/>
      </c>
      <c r="M502" t="str">
        <f t="array" ref="M502">IFERROR(INDEX('Day Range Raw Data'!T:T,Match($A502,'Day Range Raw Data'!$B:$B,0)),"")</f>
        <v/>
      </c>
      <c r="N502" t="str">
        <f t="array" ref="N502">IFERROR(INDEX('Day Range Raw Data'!U:U,Match($A502,'Day Range Raw Data'!$B:$B,0)),"")</f>
        <v/>
      </c>
      <c r="O502" t="str">
        <f t="array" ref="O502">IFERROR(INDEX('Day Range Raw Data'!V:V,Match($A502,'Day Range Raw Data'!$B:$B,0)),"")</f>
        <v/>
      </c>
      <c r="P502" t="str">
        <f t="array" ref="P502">IFERROR(INDEX('Day Range Raw Data'!X:X,Match($A502,'Day Range Raw Data'!$B:$B,0)),"")</f>
        <v/>
      </c>
      <c r="Q502" t="str">
        <f t="shared" si="1"/>
        <v/>
      </c>
      <c r="R502" s="9" t="str">
        <f t="shared" si="2"/>
        <v/>
      </c>
      <c r="S502" s="14" t="str">
        <f t="shared" si="3"/>
        <v/>
      </c>
      <c r="T502" s="15" t="str">
        <f>IFERROR(__xludf.DUMMYFUNCTION("IF($A502="""","""",IFERROR(PERCENTRANK.INC(FILTER(Q:Q,$F:$F&lt;&gt;""""),Q502)*100,""""))"),"")</f>
        <v/>
      </c>
      <c r="U502" s="15" t="str">
        <f>IFERROR(__xludf.DUMMYFUNCTION("IF($A502="""","""",IFERROR(PERCENTRANK.INC(FILTER(R:R,$F:$F&lt;&gt;""""),R502)*100,""""))"),"")</f>
        <v/>
      </c>
      <c r="V502" s="15" t="str">
        <f>IFERROR(__xludf.DUMMYFUNCTION("IF($A502="""","""",IFERROR(PERCENTRANK.INC(FILTER(S:S,$F:$F&lt;&gt;""""),S502)*100,""""))"),"")</f>
        <v/>
      </c>
      <c r="W502" s="15" t="str">
        <f t="shared" si="4"/>
        <v/>
      </c>
    </row>
    <row r="503">
      <c r="B503" t="str">
        <f t="array" ref="B503">IFERROR(INDEX('Player Raw Data'!C:C,Match($A503,'Player Raw Data'!$B:$B,0)),"")</f>
        <v/>
      </c>
      <c r="C503" t="str">
        <f t="array" ref="C503">IFERROR(INDEX('Player Raw Data'!D:D,Match($A503,'Player Raw Data'!$B:$B,0)),"")</f>
        <v/>
      </c>
      <c r="D503" t="str">
        <f t="array" ref="D503">IFERROR(IF(A503=A502, INDEX('Player Raw Data'!E:E,Match($A503,'Player Raw Data'!$B:$B,0)+2),INDEX('Player Raw Data'!E:E,Match($A503,'Player Raw Data'!$B:$B,0))),"")</f>
        <v/>
      </c>
      <c r="E503" t="str">
        <f t="array" ref="E503">IFERROR(INDEX('Day Range Raw Data'!D:D,Match($A503,'Day Range Raw Data'!$B:$B,0)),"")</f>
        <v/>
      </c>
      <c r="F503" t="str">
        <f t="array" ref="F503">IFERROR(INDEX('Day Range Raw Data'!F:F,Match($A503,'Day Range Raw Data'!$B:$B,0)),"")</f>
        <v/>
      </c>
      <c r="G503" t="str">
        <f t="array" ref="G503">IFERROR(INDEX('Day Range Raw Data'!G:G,Match($A503,'Day Range Raw Data'!$B:$B,0)),"")</f>
        <v/>
      </c>
      <c r="H503" t="str">
        <f t="array" ref="H503">IFERROR(INDEX('Day Range Raw Data'!H:H,Match($A503,'Day Range Raw Data'!$B:$B,0)),"")</f>
        <v/>
      </c>
      <c r="I503" t="str">
        <f t="array" ref="I503">IFERROR(INDEX('Day Range Raw Data'!M:M,Match($A503,'Day Range Raw Data'!$B:$B,0)),"")</f>
        <v/>
      </c>
      <c r="J503" t="str">
        <f t="array" ref="J503">IFERROR(INDEX('Day Range Raw Data'!N:N,Match($A503,'Day Range Raw Data'!$B:$B,0)),"")</f>
        <v/>
      </c>
      <c r="K503" t="str">
        <f t="array" ref="K503">IFERROR(INDEX('Day Range Raw Data'!R:R,Match($A503,'Day Range Raw Data'!$B:$B,0)),"")</f>
        <v/>
      </c>
      <c r="L503" t="str">
        <f t="array" ref="L503">IFERROR(INDEX('Day Range Raw Data'!S:S,Match($A503,'Day Range Raw Data'!$B:$B,0)),"")</f>
        <v/>
      </c>
      <c r="M503" t="str">
        <f t="array" ref="M503">IFERROR(INDEX('Day Range Raw Data'!T:T,Match($A503,'Day Range Raw Data'!$B:$B,0)),"")</f>
        <v/>
      </c>
      <c r="N503" t="str">
        <f t="array" ref="N503">IFERROR(INDEX('Day Range Raw Data'!U:U,Match($A503,'Day Range Raw Data'!$B:$B,0)),"")</f>
        <v/>
      </c>
      <c r="O503" t="str">
        <f t="array" ref="O503">IFERROR(INDEX('Day Range Raw Data'!V:V,Match($A503,'Day Range Raw Data'!$B:$B,0)),"")</f>
        <v/>
      </c>
      <c r="P503" t="str">
        <f t="array" ref="P503">IFERROR(INDEX('Day Range Raw Data'!X:X,Match($A503,'Day Range Raw Data'!$B:$B,0)),"")</f>
        <v/>
      </c>
      <c r="Q503" t="str">
        <f t="shared" si="1"/>
        <v/>
      </c>
      <c r="R503" s="9" t="str">
        <f t="shared" si="2"/>
        <v/>
      </c>
      <c r="S503" s="14" t="str">
        <f t="shared" si="3"/>
        <v/>
      </c>
      <c r="T503" s="15" t="str">
        <f>IFERROR(__xludf.DUMMYFUNCTION("IF($A503="""","""",IFERROR(PERCENTRANK.INC(FILTER(Q:Q,$F:$F&lt;&gt;""""),Q503)*100,""""))"),"")</f>
        <v/>
      </c>
      <c r="U503" s="15" t="str">
        <f>IFERROR(__xludf.DUMMYFUNCTION("IF($A503="""","""",IFERROR(PERCENTRANK.INC(FILTER(R:R,$F:$F&lt;&gt;""""),R503)*100,""""))"),"")</f>
        <v/>
      </c>
      <c r="V503" s="15" t="str">
        <f>IFERROR(__xludf.DUMMYFUNCTION("IF($A503="""","""",IFERROR(PERCENTRANK.INC(FILTER(S:S,$F:$F&lt;&gt;""""),S503)*100,""""))"),"")</f>
        <v/>
      </c>
      <c r="W503" s="15" t="str">
        <f t="shared" si="4"/>
        <v/>
      </c>
    </row>
    <row r="504">
      <c r="B504" t="str">
        <f t="array" ref="B504">IFERROR(INDEX('Player Raw Data'!C:C,Match($A504,'Player Raw Data'!$B:$B,0)),"")</f>
        <v/>
      </c>
      <c r="C504" t="str">
        <f t="array" ref="C504">IFERROR(INDEX('Player Raw Data'!D:D,Match($A504,'Player Raw Data'!$B:$B,0)),"")</f>
        <v/>
      </c>
      <c r="D504" t="str">
        <f t="array" ref="D504">IFERROR(IF(A504=A503, INDEX('Player Raw Data'!E:E,Match($A504,'Player Raw Data'!$B:$B,0)+2),INDEX('Player Raw Data'!E:E,Match($A504,'Player Raw Data'!$B:$B,0))),"")</f>
        <v/>
      </c>
      <c r="E504" t="str">
        <f t="array" ref="E504">IFERROR(INDEX('Day Range Raw Data'!D:D,Match($A504,'Day Range Raw Data'!$B:$B,0)),"")</f>
        <v/>
      </c>
      <c r="F504" t="str">
        <f t="array" ref="F504">IFERROR(INDEX('Day Range Raw Data'!F:F,Match($A504,'Day Range Raw Data'!$B:$B,0)),"")</f>
        <v/>
      </c>
      <c r="G504" t="str">
        <f t="array" ref="G504">IFERROR(INDEX('Day Range Raw Data'!G:G,Match($A504,'Day Range Raw Data'!$B:$B,0)),"")</f>
        <v/>
      </c>
      <c r="H504" t="str">
        <f t="array" ref="H504">IFERROR(INDEX('Day Range Raw Data'!H:H,Match($A504,'Day Range Raw Data'!$B:$B,0)),"")</f>
        <v/>
      </c>
      <c r="I504" t="str">
        <f t="array" ref="I504">IFERROR(INDEX('Day Range Raw Data'!M:M,Match($A504,'Day Range Raw Data'!$B:$B,0)),"")</f>
        <v/>
      </c>
      <c r="J504" t="str">
        <f t="array" ref="J504">IFERROR(INDEX('Day Range Raw Data'!N:N,Match($A504,'Day Range Raw Data'!$B:$B,0)),"")</f>
        <v/>
      </c>
      <c r="K504" t="str">
        <f t="array" ref="K504">IFERROR(INDEX('Day Range Raw Data'!R:R,Match($A504,'Day Range Raw Data'!$B:$B,0)),"")</f>
        <v/>
      </c>
      <c r="L504" t="str">
        <f t="array" ref="L504">IFERROR(INDEX('Day Range Raw Data'!S:S,Match($A504,'Day Range Raw Data'!$B:$B,0)),"")</f>
        <v/>
      </c>
      <c r="M504" t="str">
        <f t="array" ref="M504">IFERROR(INDEX('Day Range Raw Data'!T:T,Match($A504,'Day Range Raw Data'!$B:$B,0)),"")</f>
        <v/>
      </c>
      <c r="N504" t="str">
        <f t="array" ref="N504">IFERROR(INDEX('Day Range Raw Data'!U:U,Match($A504,'Day Range Raw Data'!$B:$B,0)),"")</f>
        <v/>
      </c>
      <c r="O504" t="str">
        <f t="array" ref="O504">IFERROR(INDEX('Day Range Raw Data'!V:V,Match($A504,'Day Range Raw Data'!$B:$B,0)),"")</f>
        <v/>
      </c>
      <c r="P504" t="str">
        <f t="array" ref="P504">IFERROR(INDEX('Day Range Raw Data'!X:X,Match($A504,'Day Range Raw Data'!$B:$B,0)),"")</f>
        <v/>
      </c>
      <c r="Q504" t="str">
        <f t="shared" si="1"/>
        <v/>
      </c>
      <c r="R504" s="9" t="str">
        <f t="shared" si="2"/>
        <v/>
      </c>
      <c r="S504" s="14" t="str">
        <f t="shared" si="3"/>
        <v/>
      </c>
      <c r="T504" s="15" t="str">
        <f>IFERROR(__xludf.DUMMYFUNCTION("IF($A504="""","""",IFERROR(PERCENTRANK.INC(FILTER(Q:Q,$F:$F&lt;&gt;""""),Q504)*100,""""))"),"")</f>
        <v/>
      </c>
      <c r="U504" s="15" t="str">
        <f>IFERROR(__xludf.DUMMYFUNCTION("IF($A504="""","""",IFERROR(PERCENTRANK.INC(FILTER(R:R,$F:$F&lt;&gt;""""),R504)*100,""""))"),"")</f>
        <v/>
      </c>
      <c r="V504" s="15" t="str">
        <f>IFERROR(__xludf.DUMMYFUNCTION("IF($A504="""","""",IFERROR(PERCENTRANK.INC(FILTER(S:S,$F:$F&lt;&gt;""""),S504)*100,""""))"),"")</f>
        <v/>
      </c>
      <c r="W504" s="15" t="str">
        <f t="shared" si="4"/>
        <v/>
      </c>
    </row>
    <row r="505">
      <c r="B505" t="str">
        <f t="array" ref="B505">IFERROR(INDEX('Player Raw Data'!C:C,Match($A505,'Player Raw Data'!$B:$B,0)),"")</f>
        <v/>
      </c>
      <c r="C505" t="str">
        <f t="array" ref="C505">IFERROR(INDEX('Player Raw Data'!D:D,Match($A505,'Player Raw Data'!$B:$B,0)),"")</f>
        <v/>
      </c>
      <c r="D505" t="str">
        <f t="array" ref="D505">IFERROR(IF(A505=A504, INDEX('Player Raw Data'!E:E,Match($A505,'Player Raw Data'!$B:$B,0)+2),INDEX('Player Raw Data'!E:E,Match($A505,'Player Raw Data'!$B:$B,0))),"")</f>
        <v/>
      </c>
      <c r="E505" t="str">
        <f t="array" ref="E505">IFERROR(INDEX('Day Range Raw Data'!D:D,Match($A505,'Day Range Raw Data'!$B:$B,0)),"")</f>
        <v/>
      </c>
      <c r="F505" t="str">
        <f t="array" ref="F505">IFERROR(INDEX('Day Range Raw Data'!F:F,Match($A505,'Day Range Raw Data'!$B:$B,0)),"")</f>
        <v/>
      </c>
      <c r="G505" t="str">
        <f t="array" ref="G505">IFERROR(INDEX('Day Range Raw Data'!G:G,Match($A505,'Day Range Raw Data'!$B:$B,0)),"")</f>
        <v/>
      </c>
      <c r="H505" t="str">
        <f t="array" ref="H505">IFERROR(INDEX('Day Range Raw Data'!H:H,Match($A505,'Day Range Raw Data'!$B:$B,0)),"")</f>
        <v/>
      </c>
      <c r="I505" t="str">
        <f t="array" ref="I505">IFERROR(INDEX('Day Range Raw Data'!M:M,Match($A505,'Day Range Raw Data'!$B:$B,0)),"")</f>
        <v/>
      </c>
      <c r="J505" t="str">
        <f t="array" ref="J505">IFERROR(INDEX('Day Range Raw Data'!N:N,Match($A505,'Day Range Raw Data'!$B:$B,0)),"")</f>
        <v/>
      </c>
      <c r="K505" t="str">
        <f t="array" ref="K505">IFERROR(INDEX('Day Range Raw Data'!R:R,Match($A505,'Day Range Raw Data'!$B:$B,0)),"")</f>
        <v/>
      </c>
      <c r="L505" t="str">
        <f t="array" ref="L505">IFERROR(INDEX('Day Range Raw Data'!S:S,Match($A505,'Day Range Raw Data'!$B:$B,0)),"")</f>
        <v/>
      </c>
      <c r="M505" t="str">
        <f t="array" ref="M505">IFERROR(INDEX('Day Range Raw Data'!T:T,Match($A505,'Day Range Raw Data'!$B:$B,0)),"")</f>
        <v/>
      </c>
      <c r="N505" t="str">
        <f t="array" ref="N505">IFERROR(INDEX('Day Range Raw Data'!U:U,Match($A505,'Day Range Raw Data'!$B:$B,0)),"")</f>
        <v/>
      </c>
      <c r="O505" t="str">
        <f t="array" ref="O505">IFERROR(INDEX('Day Range Raw Data'!V:V,Match($A505,'Day Range Raw Data'!$B:$B,0)),"")</f>
        <v/>
      </c>
      <c r="P505" t="str">
        <f t="array" ref="P505">IFERROR(INDEX('Day Range Raw Data'!X:X,Match($A505,'Day Range Raw Data'!$B:$B,0)),"")</f>
        <v/>
      </c>
      <c r="Q505" t="str">
        <f t="shared" si="1"/>
        <v/>
      </c>
      <c r="R505" s="9" t="str">
        <f t="shared" si="2"/>
        <v/>
      </c>
      <c r="S505" s="14" t="str">
        <f t="shared" si="3"/>
        <v/>
      </c>
      <c r="T505" s="15" t="str">
        <f>IFERROR(__xludf.DUMMYFUNCTION("IF($A505="""","""",IFERROR(PERCENTRANK.INC(FILTER(Q:Q,$F:$F&lt;&gt;""""),Q505)*100,""""))"),"")</f>
        <v/>
      </c>
      <c r="U505" s="15" t="str">
        <f>IFERROR(__xludf.DUMMYFUNCTION("IF($A505="""","""",IFERROR(PERCENTRANK.INC(FILTER(R:R,$F:$F&lt;&gt;""""),R505)*100,""""))"),"")</f>
        <v/>
      </c>
      <c r="V505" s="15" t="str">
        <f>IFERROR(__xludf.DUMMYFUNCTION("IF($A505="""","""",IFERROR(PERCENTRANK.INC(FILTER(S:S,$F:$F&lt;&gt;""""),S505)*100,""""))"),"")</f>
        <v/>
      </c>
      <c r="W505" s="15" t="str">
        <f t="shared" si="4"/>
        <v/>
      </c>
    </row>
    <row r="506">
      <c r="B506" t="str">
        <f t="array" ref="B506">IFERROR(INDEX('Player Raw Data'!C:C,Match($A506,'Player Raw Data'!$B:$B,0)),"")</f>
        <v/>
      </c>
      <c r="C506" t="str">
        <f t="array" ref="C506">IFERROR(INDEX('Player Raw Data'!D:D,Match($A506,'Player Raw Data'!$B:$B,0)),"")</f>
        <v/>
      </c>
      <c r="D506" t="str">
        <f t="array" ref="D506">IFERROR(IF(A506=A505, INDEX('Player Raw Data'!E:E,Match($A506,'Player Raw Data'!$B:$B,0)+2),INDEX('Player Raw Data'!E:E,Match($A506,'Player Raw Data'!$B:$B,0))),"")</f>
        <v/>
      </c>
      <c r="E506" t="str">
        <f t="array" ref="E506">IFERROR(INDEX('Day Range Raw Data'!D:D,Match($A506,'Day Range Raw Data'!$B:$B,0)),"")</f>
        <v/>
      </c>
      <c r="F506" t="str">
        <f t="array" ref="F506">IFERROR(INDEX('Day Range Raw Data'!F:F,Match($A506,'Day Range Raw Data'!$B:$B,0)),"")</f>
        <v/>
      </c>
      <c r="G506" t="str">
        <f t="array" ref="G506">IFERROR(INDEX('Day Range Raw Data'!G:G,Match($A506,'Day Range Raw Data'!$B:$B,0)),"")</f>
        <v/>
      </c>
      <c r="H506" t="str">
        <f t="array" ref="H506">IFERROR(INDEX('Day Range Raw Data'!H:H,Match($A506,'Day Range Raw Data'!$B:$B,0)),"")</f>
        <v/>
      </c>
      <c r="I506" t="str">
        <f t="array" ref="I506">IFERROR(INDEX('Day Range Raw Data'!M:M,Match($A506,'Day Range Raw Data'!$B:$B,0)),"")</f>
        <v/>
      </c>
      <c r="J506" t="str">
        <f t="array" ref="J506">IFERROR(INDEX('Day Range Raw Data'!N:N,Match($A506,'Day Range Raw Data'!$B:$B,0)),"")</f>
        <v/>
      </c>
      <c r="K506" t="str">
        <f t="array" ref="K506">IFERROR(INDEX('Day Range Raw Data'!R:R,Match($A506,'Day Range Raw Data'!$B:$B,0)),"")</f>
        <v/>
      </c>
      <c r="L506" t="str">
        <f t="array" ref="L506">IFERROR(INDEX('Day Range Raw Data'!S:S,Match($A506,'Day Range Raw Data'!$B:$B,0)),"")</f>
        <v/>
      </c>
      <c r="M506" t="str">
        <f t="array" ref="M506">IFERROR(INDEX('Day Range Raw Data'!T:T,Match($A506,'Day Range Raw Data'!$B:$B,0)),"")</f>
        <v/>
      </c>
      <c r="N506" t="str">
        <f t="array" ref="N506">IFERROR(INDEX('Day Range Raw Data'!U:U,Match($A506,'Day Range Raw Data'!$B:$B,0)),"")</f>
        <v/>
      </c>
      <c r="O506" t="str">
        <f t="array" ref="O506">IFERROR(INDEX('Day Range Raw Data'!V:V,Match($A506,'Day Range Raw Data'!$B:$B,0)),"")</f>
        <v/>
      </c>
      <c r="P506" t="str">
        <f t="array" ref="P506">IFERROR(INDEX('Day Range Raw Data'!X:X,Match($A506,'Day Range Raw Data'!$B:$B,0)),"")</f>
        <v/>
      </c>
      <c r="Q506" t="str">
        <f t="shared" si="1"/>
        <v/>
      </c>
      <c r="R506" s="9" t="str">
        <f t="shared" si="2"/>
        <v/>
      </c>
      <c r="S506" s="14" t="str">
        <f t="shared" si="3"/>
        <v/>
      </c>
      <c r="T506" s="15" t="str">
        <f>IFERROR(__xludf.DUMMYFUNCTION("IF($A506="""","""",IFERROR(PERCENTRANK.INC(FILTER(Q:Q,$F:$F&lt;&gt;""""),Q506)*100,""""))"),"")</f>
        <v/>
      </c>
      <c r="U506" s="15" t="str">
        <f>IFERROR(__xludf.DUMMYFUNCTION("IF($A506="""","""",IFERROR(PERCENTRANK.INC(FILTER(R:R,$F:$F&lt;&gt;""""),R506)*100,""""))"),"")</f>
        <v/>
      </c>
      <c r="V506" s="15" t="str">
        <f>IFERROR(__xludf.DUMMYFUNCTION("IF($A506="""","""",IFERROR(PERCENTRANK.INC(FILTER(S:S,$F:$F&lt;&gt;""""),S506)*100,""""))"),"")</f>
        <v/>
      </c>
      <c r="W506" s="15" t="str">
        <f t="shared" si="4"/>
        <v/>
      </c>
    </row>
    <row r="507">
      <c r="B507" t="str">
        <f t="array" ref="B507">IFERROR(INDEX('Player Raw Data'!C:C,Match($A507,'Player Raw Data'!$B:$B,0)),"")</f>
        <v/>
      </c>
      <c r="C507" t="str">
        <f t="array" ref="C507">IFERROR(INDEX('Player Raw Data'!D:D,Match($A507,'Player Raw Data'!$B:$B,0)),"")</f>
        <v/>
      </c>
      <c r="D507" t="str">
        <f t="array" ref="D507">IFERROR(IF(A507=A506, INDEX('Player Raw Data'!E:E,Match($A507,'Player Raw Data'!$B:$B,0)+2),INDEX('Player Raw Data'!E:E,Match($A507,'Player Raw Data'!$B:$B,0))),"")</f>
        <v/>
      </c>
      <c r="E507" t="str">
        <f t="array" ref="E507">IFERROR(INDEX('Day Range Raw Data'!D:D,Match($A507,'Day Range Raw Data'!$B:$B,0)),"")</f>
        <v/>
      </c>
      <c r="F507" t="str">
        <f t="array" ref="F507">IFERROR(INDEX('Day Range Raw Data'!F:F,Match($A507,'Day Range Raw Data'!$B:$B,0)),"")</f>
        <v/>
      </c>
      <c r="G507" t="str">
        <f t="array" ref="G507">IFERROR(INDEX('Day Range Raw Data'!G:G,Match($A507,'Day Range Raw Data'!$B:$B,0)),"")</f>
        <v/>
      </c>
      <c r="H507" t="str">
        <f t="array" ref="H507">IFERROR(INDEX('Day Range Raw Data'!H:H,Match($A507,'Day Range Raw Data'!$B:$B,0)),"")</f>
        <v/>
      </c>
      <c r="I507" t="str">
        <f t="array" ref="I507">IFERROR(INDEX('Day Range Raw Data'!M:M,Match($A507,'Day Range Raw Data'!$B:$B,0)),"")</f>
        <v/>
      </c>
      <c r="J507" t="str">
        <f t="array" ref="J507">IFERROR(INDEX('Day Range Raw Data'!N:N,Match($A507,'Day Range Raw Data'!$B:$B,0)),"")</f>
        <v/>
      </c>
      <c r="K507" t="str">
        <f t="array" ref="K507">IFERROR(INDEX('Day Range Raw Data'!R:R,Match($A507,'Day Range Raw Data'!$B:$B,0)),"")</f>
        <v/>
      </c>
      <c r="L507" t="str">
        <f t="array" ref="L507">IFERROR(INDEX('Day Range Raw Data'!S:S,Match($A507,'Day Range Raw Data'!$B:$B,0)),"")</f>
        <v/>
      </c>
      <c r="M507" t="str">
        <f t="array" ref="M507">IFERROR(INDEX('Day Range Raw Data'!T:T,Match($A507,'Day Range Raw Data'!$B:$B,0)),"")</f>
        <v/>
      </c>
      <c r="N507" t="str">
        <f t="array" ref="N507">IFERROR(INDEX('Day Range Raw Data'!U:U,Match($A507,'Day Range Raw Data'!$B:$B,0)),"")</f>
        <v/>
      </c>
      <c r="O507" t="str">
        <f t="array" ref="O507">IFERROR(INDEX('Day Range Raw Data'!V:V,Match($A507,'Day Range Raw Data'!$B:$B,0)),"")</f>
        <v/>
      </c>
      <c r="P507" t="str">
        <f t="array" ref="P507">IFERROR(INDEX('Day Range Raw Data'!X:X,Match($A507,'Day Range Raw Data'!$B:$B,0)),"")</f>
        <v/>
      </c>
      <c r="Q507" t="str">
        <f t="shared" si="1"/>
        <v/>
      </c>
      <c r="R507" s="9" t="str">
        <f t="shared" si="2"/>
        <v/>
      </c>
      <c r="S507" s="14" t="str">
        <f t="shared" si="3"/>
        <v/>
      </c>
      <c r="T507" s="15" t="str">
        <f>IFERROR(__xludf.DUMMYFUNCTION("IF($A507="""","""",IFERROR(PERCENTRANK.INC(FILTER(Q:Q,$F:$F&lt;&gt;""""),Q507)*100,""""))"),"")</f>
        <v/>
      </c>
      <c r="U507" s="15" t="str">
        <f>IFERROR(__xludf.DUMMYFUNCTION("IF($A507="""","""",IFERROR(PERCENTRANK.INC(FILTER(R:R,$F:$F&lt;&gt;""""),R507)*100,""""))"),"")</f>
        <v/>
      </c>
      <c r="V507" s="15" t="str">
        <f>IFERROR(__xludf.DUMMYFUNCTION("IF($A507="""","""",IFERROR(PERCENTRANK.INC(FILTER(S:S,$F:$F&lt;&gt;""""),S507)*100,""""))"),"")</f>
        <v/>
      </c>
      <c r="W507" s="15" t="str">
        <f t="shared" si="4"/>
        <v/>
      </c>
    </row>
    <row r="508">
      <c r="B508" t="str">
        <f t="array" ref="B508">IFERROR(INDEX('Player Raw Data'!C:C,Match($A508,'Player Raw Data'!$B:$B,0)),"")</f>
        <v/>
      </c>
      <c r="C508" t="str">
        <f t="array" ref="C508">IFERROR(INDEX('Player Raw Data'!D:D,Match($A508,'Player Raw Data'!$B:$B,0)),"")</f>
        <v/>
      </c>
      <c r="D508" t="str">
        <f t="array" ref="D508">IFERROR(IF(A508=A507, INDEX('Player Raw Data'!E:E,Match($A508,'Player Raw Data'!$B:$B,0)+2),INDEX('Player Raw Data'!E:E,Match($A508,'Player Raw Data'!$B:$B,0))),"")</f>
        <v/>
      </c>
      <c r="E508" t="str">
        <f t="array" ref="E508">IFERROR(INDEX('Day Range Raw Data'!D:D,Match($A508,'Day Range Raw Data'!$B:$B,0)),"")</f>
        <v/>
      </c>
      <c r="F508" t="str">
        <f t="array" ref="F508">IFERROR(INDEX('Day Range Raw Data'!F:F,Match($A508,'Day Range Raw Data'!$B:$B,0)),"")</f>
        <v/>
      </c>
      <c r="G508" t="str">
        <f t="array" ref="G508">IFERROR(INDEX('Day Range Raw Data'!G:G,Match($A508,'Day Range Raw Data'!$B:$B,0)),"")</f>
        <v/>
      </c>
      <c r="H508" t="str">
        <f t="array" ref="H508">IFERROR(INDEX('Day Range Raw Data'!H:H,Match($A508,'Day Range Raw Data'!$B:$B,0)),"")</f>
        <v/>
      </c>
      <c r="I508" t="str">
        <f t="array" ref="I508">IFERROR(INDEX('Day Range Raw Data'!M:M,Match($A508,'Day Range Raw Data'!$B:$B,0)),"")</f>
        <v/>
      </c>
      <c r="J508" t="str">
        <f t="array" ref="J508">IFERROR(INDEX('Day Range Raw Data'!N:N,Match($A508,'Day Range Raw Data'!$B:$B,0)),"")</f>
        <v/>
      </c>
      <c r="K508" t="str">
        <f t="array" ref="K508">IFERROR(INDEX('Day Range Raw Data'!R:R,Match($A508,'Day Range Raw Data'!$B:$B,0)),"")</f>
        <v/>
      </c>
      <c r="L508" t="str">
        <f t="array" ref="L508">IFERROR(INDEX('Day Range Raw Data'!S:S,Match($A508,'Day Range Raw Data'!$B:$B,0)),"")</f>
        <v/>
      </c>
      <c r="M508" t="str">
        <f t="array" ref="M508">IFERROR(INDEX('Day Range Raw Data'!T:T,Match($A508,'Day Range Raw Data'!$B:$B,0)),"")</f>
        <v/>
      </c>
      <c r="N508" t="str">
        <f t="array" ref="N508">IFERROR(INDEX('Day Range Raw Data'!U:U,Match($A508,'Day Range Raw Data'!$B:$B,0)),"")</f>
        <v/>
      </c>
      <c r="O508" t="str">
        <f t="array" ref="O508">IFERROR(INDEX('Day Range Raw Data'!V:V,Match($A508,'Day Range Raw Data'!$B:$B,0)),"")</f>
        <v/>
      </c>
      <c r="P508" t="str">
        <f t="array" ref="P508">IFERROR(INDEX('Day Range Raw Data'!X:X,Match($A508,'Day Range Raw Data'!$B:$B,0)),"")</f>
        <v/>
      </c>
      <c r="Q508" t="str">
        <f t="shared" si="1"/>
        <v/>
      </c>
      <c r="R508" s="9" t="str">
        <f t="shared" si="2"/>
        <v/>
      </c>
      <c r="S508" s="14" t="str">
        <f t="shared" si="3"/>
        <v/>
      </c>
      <c r="T508" s="15" t="str">
        <f>IFERROR(__xludf.DUMMYFUNCTION("IF($A508="""","""",IFERROR(PERCENTRANK.INC(FILTER(Q:Q,$F:$F&lt;&gt;""""),Q508)*100,""""))"),"")</f>
        <v/>
      </c>
      <c r="U508" s="15" t="str">
        <f>IFERROR(__xludf.DUMMYFUNCTION("IF($A508="""","""",IFERROR(PERCENTRANK.INC(FILTER(R:R,$F:$F&lt;&gt;""""),R508)*100,""""))"),"")</f>
        <v/>
      </c>
      <c r="V508" s="15" t="str">
        <f>IFERROR(__xludf.DUMMYFUNCTION("IF($A508="""","""",IFERROR(PERCENTRANK.INC(FILTER(S:S,$F:$F&lt;&gt;""""),S508)*100,""""))"),"")</f>
        <v/>
      </c>
      <c r="W508" s="15" t="str">
        <f t="shared" si="4"/>
        <v/>
      </c>
    </row>
    <row r="509">
      <c r="B509" t="str">
        <f t="array" ref="B509">IFERROR(INDEX('Player Raw Data'!C:C,Match($A509,'Player Raw Data'!$B:$B,0)),"")</f>
        <v/>
      </c>
      <c r="C509" t="str">
        <f t="array" ref="C509">IFERROR(INDEX('Player Raw Data'!D:D,Match($A509,'Player Raw Data'!$B:$B,0)),"")</f>
        <v/>
      </c>
      <c r="D509" t="str">
        <f t="array" ref="D509">IFERROR(IF(A509=A508, INDEX('Player Raw Data'!E:E,Match($A509,'Player Raw Data'!$B:$B,0)+2),INDEX('Player Raw Data'!E:E,Match($A509,'Player Raw Data'!$B:$B,0))),"")</f>
        <v/>
      </c>
      <c r="E509" t="str">
        <f t="array" ref="E509">IFERROR(INDEX('Day Range Raw Data'!D:D,Match($A509,'Day Range Raw Data'!$B:$B,0)),"")</f>
        <v/>
      </c>
      <c r="F509" t="str">
        <f t="array" ref="F509">IFERROR(INDEX('Day Range Raw Data'!F:F,Match($A509,'Day Range Raw Data'!$B:$B,0)),"")</f>
        <v/>
      </c>
      <c r="G509" t="str">
        <f t="array" ref="G509">IFERROR(INDEX('Day Range Raw Data'!G:G,Match($A509,'Day Range Raw Data'!$B:$B,0)),"")</f>
        <v/>
      </c>
      <c r="H509" t="str">
        <f t="array" ref="H509">IFERROR(INDEX('Day Range Raw Data'!H:H,Match($A509,'Day Range Raw Data'!$B:$B,0)),"")</f>
        <v/>
      </c>
      <c r="I509" t="str">
        <f t="array" ref="I509">IFERROR(INDEX('Day Range Raw Data'!M:M,Match($A509,'Day Range Raw Data'!$B:$B,0)),"")</f>
        <v/>
      </c>
      <c r="J509" t="str">
        <f t="array" ref="J509">IFERROR(INDEX('Day Range Raw Data'!N:N,Match($A509,'Day Range Raw Data'!$B:$B,0)),"")</f>
        <v/>
      </c>
      <c r="K509" t="str">
        <f t="array" ref="K509">IFERROR(INDEX('Day Range Raw Data'!R:R,Match($A509,'Day Range Raw Data'!$B:$B,0)),"")</f>
        <v/>
      </c>
      <c r="L509" t="str">
        <f t="array" ref="L509">IFERROR(INDEX('Day Range Raw Data'!S:S,Match($A509,'Day Range Raw Data'!$B:$B,0)),"")</f>
        <v/>
      </c>
      <c r="M509" t="str">
        <f t="array" ref="M509">IFERROR(INDEX('Day Range Raw Data'!T:T,Match($A509,'Day Range Raw Data'!$B:$B,0)),"")</f>
        <v/>
      </c>
      <c r="N509" t="str">
        <f t="array" ref="N509">IFERROR(INDEX('Day Range Raw Data'!U:U,Match($A509,'Day Range Raw Data'!$B:$B,0)),"")</f>
        <v/>
      </c>
      <c r="O509" t="str">
        <f t="array" ref="O509">IFERROR(INDEX('Day Range Raw Data'!V:V,Match($A509,'Day Range Raw Data'!$B:$B,0)),"")</f>
        <v/>
      </c>
      <c r="P509" t="str">
        <f t="array" ref="P509">IFERROR(INDEX('Day Range Raw Data'!X:X,Match($A509,'Day Range Raw Data'!$B:$B,0)),"")</f>
        <v/>
      </c>
      <c r="Q509" t="str">
        <f t="shared" si="1"/>
        <v/>
      </c>
      <c r="R509" s="9" t="str">
        <f t="shared" si="2"/>
        <v/>
      </c>
      <c r="S509" s="14" t="str">
        <f t="shared" si="3"/>
        <v/>
      </c>
      <c r="T509" s="15" t="str">
        <f>IFERROR(__xludf.DUMMYFUNCTION("IF($A509="""","""",IFERROR(PERCENTRANK.INC(FILTER(Q:Q,$F:$F&lt;&gt;""""),Q509)*100,""""))"),"")</f>
        <v/>
      </c>
      <c r="U509" s="15" t="str">
        <f>IFERROR(__xludf.DUMMYFUNCTION("IF($A509="""","""",IFERROR(PERCENTRANK.INC(FILTER(R:R,$F:$F&lt;&gt;""""),R509)*100,""""))"),"")</f>
        <v/>
      </c>
      <c r="V509" s="15" t="str">
        <f>IFERROR(__xludf.DUMMYFUNCTION("IF($A509="""","""",IFERROR(PERCENTRANK.INC(FILTER(S:S,$F:$F&lt;&gt;""""),S509)*100,""""))"),"")</f>
        <v/>
      </c>
      <c r="W509" s="15" t="str">
        <f t="shared" si="4"/>
        <v/>
      </c>
    </row>
    <row r="510">
      <c r="B510" t="str">
        <f t="array" ref="B510">IFERROR(INDEX('Player Raw Data'!C:C,Match($A510,'Player Raw Data'!$B:$B,0)),"")</f>
        <v/>
      </c>
      <c r="C510" t="str">
        <f t="array" ref="C510">IFERROR(INDEX('Player Raw Data'!D:D,Match($A510,'Player Raw Data'!$B:$B,0)),"")</f>
        <v/>
      </c>
      <c r="D510" t="str">
        <f t="array" ref="D510">IFERROR(IF(A510=A509, INDEX('Player Raw Data'!E:E,Match($A510,'Player Raw Data'!$B:$B,0)+2),INDEX('Player Raw Data'!E:E,Match($A510,'Player Raw Data'!$B:$B,0))),"")</f>
        <v/>
      </c>
      <c r="E510" t="str">
        <f t="array" ref="E510">IFERROR(INDEX('Day Range Raw Data'!D:D,Match($A510,'Day Range Raw Data'!$B:$B,0)),"")</f>
        <v/>
      </c>
      <c r="F510" t="str">
        <f t="array" ref="F510">IFERROR(INDEX('Day Range Raw Data'!F:F,Match($A510,'Day Range Raw Data'!$B:$B,0)),"")</f>
        <v/>
      </c>
      <c r="G510" t="str">
        <f t="array" ref="G510">IFERROR(INDEX('Day Range Raw Data'!G:G,Match($A510,'Day Range Raw Data'!$B:$B,0)),"")</f>
        <v/>
      </c>
      <c r="H510" t="str">
        <f t="array" ref="H510">IFERROR(INDEX('Day Range Raw Data'!H:H,Match($A510,'Day Range Raw Data'!$B:$B,0)),"")</f>
        <v/>
      </c>
      <c r="I510" t="str">
        <f t="array" ref="I510">IFERROR(INDEX('Day Range Raw Data'!M:M,Match($A510,'Day Range Raw Data'!$B:$B,0)),"")</f>
        <v/>
      </c>
      <c r="J510" t="str">
        <f t="array" ref="J510">IFERROR(INDEX('Day Range Raw Data'!N:N,Match($A510,'Day Range Raw Data'!$B:$B,0)),"")</f>
        <v/>
      </c>
      <c r="K510" t="str">
        <f t="array" ref="K510">IFERROR(INDEX('Day Range Raw Data'!R:R,Match($A510,'Day Range Raw Data'!$B:$B,0)),"")</f>
        <v/>
      </c>
      <c r="L510" t="str">
        <f t="array" ref="L510">IFERROR(INDEX('Day Range Raw Data'!S:S,Match($A510,'Day Range Raw Data'!$B:$B,0)),"")</f>
        <v/>
      </c>
      <c r="M510" t="str">
        <f t="array" ref="M510">IFERROR(INDEX('Day Range Raw Data'!T:T,Match($A510,'Day Range Raw Data'!$B:$B,0)),"")</f>
        <v/>
      </c>
      <c r="N510" t="str">
        <f t="array" ref="N510">IFERROR(INDEX('Day Range Raw Data'!U:U,Match($A510,'Day Range Raw Data'!$B:$B,0)),"")</f>
        <v/>
      </c>
      <c r="O510" t="str">
        <f t="array" ref="O510">IFERROR(INDEX('Day Range Raw Data'!V:V,Match($A510,'Day Range Raw Data'!$B:$B,0)),"")</f>
        <v/>
      </c>
      <c r="P510" t="str">
        <f t="array" ref="P510">IFERROR(INDEX('Day Range Raw Data'!X:X,Match($A510,'Day Range Raw Data'!$B:$B,0)),"")</f>
        <v/>
      </c>
      <c r="Q510" t="str">
        <f t="shared" si="1"/>
        <v/>
      </c>
      <c r="R510" s="9" t="str">
        <f t="shared" si="2"/>
        <v/>
      </c>
      <c r="S510" s="14" t="str">
        <f t="shared" si="3"/>
        <v/>
      </c>
      <c r="T510" s="15" t="str">
        <f>IFERROR(__xludf.DUMMYFUNCTION("IF($A510="""","""",IFERROR(PERCENTRANK.INC(FILTER(Q:Q,$F:$F&lt;&gt;""""),Q510)*100,""""))"),"")</f>
        <v/>
      </c>
      <c r="U510" s="15" t="str">
        <f>IFERROR(__xludf.DUMMYFUNCTION("IF($A510="""","""",IFERROR(PERCENTRANK.INC(FILTER(R:R,$F:$F&lt;&gt;""""),R510)*100,""""))"),"")</f>
        <v/>
      </c>
      <c r="V510" s="15" t="str">
        <f>IFERROR(__xludf.DUMMYFUNCTION("IF($A510="""","""",IFERROR(PERCENTRANK.INC(FILTER(S:S,$F:$F&lt;&gt;""""),S510)*100,""""))"),"")</f>
        <v/>
      </c>
      <c r="W510" s="15" t="str">
        <f t="shared" si="4"/>
        <v/>
      </c>
    </row>
    <row r="511">
      <c r="B511" t="str">
        <f t="array" ref="B511">IFERROR(INDEX('Player Raw Data'!C:C,Match($A511,'Player Raw Data'!$B:$B,0)),"")</f>
        <v/>
      </c>
      <c r="C511" t="str">
        <f t="array" ref="C511">IFERROR(INDEX('Player Raw Data'!D:D,Match($A511,'Player Raw Data'!$B:$B,0)),"")</f>
        <v/>
      </c>
      <c r="D511" t="str">
        <f t="array" ref="D511">IFERROR(IF(A511=A510, INDEX('Player Raw Data'!E:E,Match($A511,'Player Raw Data'!$B:$B,0)+2),INDEX('Player Raw Data'!E:E,Match($A511,'Player Raw Data'!$B:$B,0))),"")</f>
        <v/>
      </c>
      <c r="E511" t="str">
        <f t="array" ref="E511">IFERROR(INDEX('Day Range Raw Data'!D:D,Match($A511,'Day Range Raw Data'!$B:$B,0)),"")</f>
        <v/>
      </c>
      <c r="F511" t="str">
        <f t="array" ref="F511">IFERROR(INDEX('Day Range Raw Data'!F:F,Match($A511,'Day Range Raw Data'!$B:$B,0)),"")</f>
        <v/>
      </c>
      <c r="G511" t="str">
        <f t="array" ref="G511">IFERROR(INDEX('Day Range Raw Data'!G:G,Match($A511,'Day Range Raw Data'!$B:$B,0)),"")</f>
        <v/>
      </c>
      <c r="H511" t="str">
        <f t="array" ref="H511">IFERROR(INDEX('Day Range Raw Data'!H:H,Match($A511,'Day Range Raw Data'!$B:$B,0)),"")</f>
        <v/>
      </c>
      <c r="I511" t="str">
        <f t="array" ref="I511">IFERROR(INDEX('Day Range Raw Data'!M:M,Match($A511,'Day Range Raw Data'!$B:$B,0)),"")</f>
        <v/>
      </c>
      <c r="J511" t="str">
        <f t="array" ref="J511">IFERROR(INDEX('Day Range Raw Data'!N:N,Match($A511,'Day Range Raw Data'!$B:$B,0)),"")</f>
        <v/>
      </c>
      <c r="K511" t="str">
        <f t="array" ref="K511">IFERROR(INDEX('Day Range Raw Data'!R:R,Match($A511,'Day Range Raw Data'!$B:$B,0)),"")</f>
        <v/>
      </c>
      <c r="L511" t="str">
        <f t="array" ref="L511">IFERROR(INDEX('Day Range Raw Data'!S:S,Match($A511,'Day Range Raw Data'!$B:$B,0)),"")</f>
        <v/>
      </c>
      <c r="M511" t="str">
        <f t="array" ref="M511">IFERROR(INDEX('Day Range Raw Data'!T:T,Match($A511,'Day Range Raw Data'!$B:$B,0)),"")</f>
        <v/>
      </c>
      <c r="N511" t="str">
        <f t="array" ref="N511">IFERROR(INDEX('Day Range Raw Data'!U:U,Match($A511,'Day Range Raw Data'!$B:$B,0)),"")</f>
        <v/>
      </c>
      <c r="O511" t="str">
        <f t="array" ref="O511">IFERROR(INDEX('Day Range Raw Data'!V:V,Match($A511,'Day Range Raw Data'!$B:$B,0)),"")</f>
        <v/>
      </c>
      <c r="P511" t="str">
        <f t="array" ref="P511">IFERROR(INDEX('Day Range Raw Data'!X:X,Match($A511,'Day Range Raw Data'!$B:$B,0)),"")</f>
        <v/>
      </c>
      <c r="Q511" t="str">
        <f t="shared" si="1"/>
        <v/>
      </c>
      <c r="R511" s="9" t="str">
        <f t="shared" si="2"/>
        <v/>
      </c>
      <c r="S511" s="14" t="str">
        <f t="shared" si="3"/>
        <v/>
      </c>
      <c r="T511" s="15" t="str">
        <f>IFERROR(__xludf.DUMMYFUNCTION("IF($A511="""","""",IFERROR(PERCENTRANK.INC(FILTER(Q:Q,$F:$F&lt;&gt;""""),Q511)*100,""""))"),"")</f>
        <v/>
      </c>
      <c r="U511" s="15" t="str">
        <f>IFERROR(__xludf.DUMMYFUNCTION("IF($A511="""","""",IFERROR(PERCENTRANK.INC(FILTER(R:R,$F:$F&lt;&gt;""""),R511)*100,""""))"),"")</f>
        <v/>
      </c>
      <c r="V511" s="15" t="str">
        <f>IFERROR(__xludf.DUMMYFUNCTION("IF($A511="""","""",IFERROR(PERCENTRANK.INC(FILTER(S:S,$F:$F&lt;&gt;""""),S511)*100,""""))"),"")</f>
        <v/>
      </c>
      <c r="W511" s="15" t="str">
        <f t="shared" si="4"/>
        <v/>
      </c>
    </row>
    <row r="512">
      <c r="B512" t="str">
        <f t="array" ref="B512">IFERROR(INDEX('Player Raw Data'!C:C,Match($A512,'Player Raw Data'!$B:$B,0)),"")</f>
        <v/>
      </c>
      <c r="C512" t="str">
        <f t="array" ref="C512">IFERROR(INDEX('Player Raw Data'!D:D,Match($A512,'Player Raw Data'!$B:$B,0)),"")</f>
        <v/>
      </c>
      <c r="D512" t="str">
        <f t="array" ref="D512">IFERROR(IF(A512=A511, INDEX('Player Raw Data'!E:E,Match($A512,'Player Raw Data'!$B:$B,0)+2),INDEX('Player Raw Data'!E:E,Match($A512,'Player Raw Data'!$B:$B,0))),"")</f>
        <v/>
      </c>
      <c r="E512" t="str">
        <f t="array" ref="E512">IFERROR(INDEX('Day Range Raw Data'!D:D,Match($A512,'Day Range Raw Data'!$B:$B,0)),"")</f>
        <v/>
      </c>
      <c r="F512" t="str">
        <f t="array" ref="F512">IFERROR(INDEX('Day Range Raw Data'!F:F,Match($A512,'Day Range Raw Data'!$B:$B,0)),"")</f>
        <v/>
      </c>
      <c r="G512" t="str">
        <f t="array" ref="G512">IFERROR(INDEX('Day Range Raw Data'!G:G,Match($A512,'Day Range Raw Data'!$B:$B,0)),"")</f>
        <v/>
      </c>
      <c r="H512" t="str">
        <f t="array" ref="H512">IFERROR(INDEX('Day Range Raw Data'!H:H,Match($A512,'Day Range Raw Data'!$B:$B,0)),"")</f>
        <v/>
      </c>
      <c r="I512" t="str">
        <f t="array" ref="I512">IFERROR(INDEX('Day Range Raw Data'!M:M,Match($A512,'Day Range Raw Data'!$B:$B,0)),"")</f>
        <v/>
      </c>
      <c r="J512" t="str">
        <f t="array" ref="J512">IFERROR(INDEX('Day Range Raw Data'!N:N,Match($A512,'Day Range Raw Data'!$B:$B,0)),"")</f>
        <v/>
      </c>
      <c r="K512" t="str">
        <f t="array" ref="K512">IFERROR(INDEX('Day Range Raw Data'!R:R,Match($A512,'Day Range Raw Data'!$B:$B,0)),"")</f>
        <v/>
      </c>
      <c r="L512" t="str">
        <f t="array" ref="L512">IFERROR(INDEX('Day Range Raw Data'!S:S,Match($A512,'Day Range Raw Data'!$B:$B,0)),"")</f>
        <v/>
      </c>
      <c r="M512" t="str">
        <f t="array" ref="M512">IFERROR(INDEX('Day Range Raw Data'!T:T,Match($A512,'Day Range Raw Data'!$B:$B,0)),"")</f>
        <v/>
      </c>
      <c r="N512" t="str">
        <f t="array" ref="N512">IFERROR(INDEX('Day Range Raw Data'!U:U,Match($A512,'Day Range Raw Data'!$B:$B,0)),"")</f>
        <v/>
      </c>
      <c r="O512" t="str">
        <f t="array" ref="O512">IFERROR(INDEX('Day Range Raw Data'!V:V,Match($A512,'Day Range Raw Data'!$B:$B,0)),"")</f>
        <v/>
      </c>
      <c r="P512" t="str">
        <f t="array" ref="P512">IFERROR(INDEX('Day Range Raw Data'!X:X,Match($A512,'Day Range Raw Data'!$B:$B,0)),"")</f>
        <v/>
      </c>
      <c r="Q512" t="str">
        <f t="shared" si="1"/>
        <v/>
      </c>
      <c r="R512" s="9" t="str">
        <f t="shared" si="2"/>
        <v/>
      </c>
      <c r="S512" s="14" t="str">
        <f t="shared" si="3"/>
        <v/>
      </c>
      <c r="T512" s="15" t="str">
        <f>IFERROR(__xludf.DUMMYFUNCTION("IF($A512="""","""",IFERROR(PERCENTRANK.INC(FILTER(Q:Q,$F:$F&lt;&gt;""""),Q512)*100,""""))"),"")</f>
        <v/>
      </c>
      <c r="U512" s="15" t="str">
        <f>IFERROR(__xludf.DUMMYFUNCTION("IF($A512="""","""",IFERROR(PERCENTRANK.INC(FILTER(R:R,$F:$F&lt;&gt;""""),R512)*100,""""))"),"")</f>
        <v/>
      </c>
      <c r="V512" s="15" t="str">
        <f>IFERROR(__xludf.DUMMYFUNCTION("IF($A512="""","""",IFERROR(PERCENTRANK.INC(FILTER(S:S,$F:$F&lt;&gt;""""),S512)*100,""""))"),"")</f>
        <v/>
      </c>
      <c r="W512" s="15" t="str">
        <f t="shared" si="4"/>
        <v/>
      </c>
    </row>
    <row r="513">
      <c r="B513" t="str">
        <f t="array" ref="B513">IFERROR(INDEX('Player Raw Data'!C:C,Match($A513,'Player Raw Data'!$B:$B,0)),"")</f>
        <v/>
      </c>
      <c r="C513" t="str">
        <f t="array" ref="C513">IFERROR(INDEX('Player Raw Data'!D:D,Match($A513,'Player Raw Data'!$B:$B,0)),"")</f>
        <v/>
      </c>
      <c r="D513" t="str">
        <f t="array" ref="D513">IFERROR(IF(A513=A512, INDEX('Player Raw Data'!E:E,Match($A513,'Player Raw Data'!$B:$B,0)+2),INDEX('Player Raw Data'!E:E,Match($A513,'Player Raw Data'!$B:$B,0))),"")</f>
        <v/>
      </c>
      <c r="E513" t="str">
        <f t="array" ref="E513">IFERROR(INDEX('Day Range Raw Data'!D:D,Match($A513,'Day Range Raw Data'!$B:$B,0)),"")</f>
        <v/>
      </c>
      <c r="F513" t="str">
        <f t="array" ref="F513">IFERROR(INDEX('Day Range Raw Data'!F:F,Match($A513,'Day Range Raw Data'!$B:$B,0)),"")</f>
        <v/>
      </c>
      <c r="G513" t="str">
        <f t="array" ref="G513">IFERROR(INDEX('Day Range Raw Data'!G:G,Match($A513,'Day Range Raw Data'!$B:$B,0)),"")</f>
        <v/>
      </c>
      <c r="H513" t="str">
        <f t="array" ref="H513">IFERROR(INDEX('Day Range Raw Data'!H:H,Match($A513,'Day Range Raw Data'!$B:$B,0)),"")</f>
        <v/>
      </c>
      <c r="I513" t="str">
        <f t="array" ref="I513">IFERROR(INDEX('Day Range Raw Data'!M:M,Match($A513,'Day Range Raw Data'!$B:$B,0)),"")</f>
        <v/>
      </c>
      <c r="J513" t="str">
        <f t="array" ref="J513">IFERROR(INDEX('Day Range Raw Data'!N:N,Match($A513,'Day Range Raw Data'!$B:$B,0)),"")</f>
        <v/>
      </c>
      <c r="K513" t="str">
        <f t="array" ref="K513">IFERROR(INDEX('Day Range Raw Data'!R:R,Match($A513,'Day Range Raw Data'!$B:$B,0)),"")</f>
        <v/>
      </c>
      <c r="L513" t="str">
        <f t="array" ref="L513">IFERROR(INDEX('Day Range Raw Data'!S:S,Match($A513,'Day Range Raw Data'!$B:$B,0)),"")</f>
        <v/>
      </c>
      <c r="M513" t="str">
        <f t="array" ref="M513">IFERROR(INDEX('Day Range Raw Data'!T:T,Match($A513,'Day Range Raw Data'!$B:$B,0)),"")</f>
        <v/>
      </c>
      <c r="N513" t="str">
        <f t="array" ref="N513">IFERROR(INDEX('Day Range Raw Data'!U:U,Match($A513,'Day Range Raw Data'!$B:$B,0)),"")</f>
        <v/>
      </c>
      <c r="O513" t="str">
        <f t="array" ref="O513">IFERROR(INDEX('Day Range Raw Data'!V:V,Match($A513,'Day Range Raw Data'!$B:$B,0)),"")</f>
        <v/>
      </c>
      <c r="P513" t="str">
        <f t="array" ref="P513">IFERROR(INDEX('Day Range Raw Data'!X:X,Match($A513,'Day Range Raw Data'!$B:$B,0)),"")</f>
        <v/>
      </c>
      <c r="Q513" t="str">
        <f t="shared" si="1"/>
        <v/>
      </c>
      <c r="R513" s="9" t="str">
        <f t="shared" si="2"/>
        <v/>
      </c>
      <c r="S513" s="14" t="str">
        <f t="shared" si="3"/>
        <v/>
      </c>
      <c r="T513" s="15" t="str">
        <f>IFERROR(__xludf.DUMMYFUNCTION("IF($A513="""","""",IFERROR(PERCENTRANK.INC(FILTER(Q:Q,$F:$F&lt;&gt;""""),Q513)*100,""""))"),"")</f>
        <v/>
      </c>
      <c r="U513" s="15" t="str">
        <f>IFERROR(__xludf.DUMMYFUNCTION("IF($A513="""","""",IFERROR(PERCENTRANK.INC(FILTER(R:R,$F:$F&lt;&gt;""""),R513)*100,""""))"),"")</f>
        <v/>
      </c>
      <c r="V513" s="15" t="str">
        <f>IFERROR(__xludf.DUMMYFUNCTION("IF($A513="""","""",IFERROR(PERCENTRANK.INC(FILTER(S:S,$F:$F&lt;&gt;""""),S513)*100,""""))"),"")</f>
        <v/>
      </c>
      <c r="W513" s="15" t="str">
        <f t="shared" si="4"/>
        <v/>
      </c>
    </row>
    <row r="514">
      <c r="B514" t="str">
        <f t="array" ref="B514">IFERROR(INDEX('Player Raw Data'!C:C,Match($A514,'Player Raw Data'!$B:$B,0)),"")</f>
        <v/>
      </c>
      <c r="C514" t="str">
        <f t="array" ref="C514">IFERROR(INDEX('Player Raw Data'!D:D,Match($A514,'Player Raw Data'!$B:$B,0)),"")</f>
        <v/>
      </c>
      <c r="D514" t="str">
        <f t="array" ref="D514">IFERROR(IF(A514=A513, INDEX('Player Raw Data'!E:E,Match($A514,'Player Raw Data'!$B:$B,0)+2),INDEX('Player Raw Data'!E:E,Match($A514,'Player Raw Data'!$B:$B,0))),"")</f>
        <v/>
      </c>
      <c r="E514" t="str">
        <f t="array" ref="E514">IFERROR(INDEX('Day Range Raw Data'!D:D,Match($A514,'Day Range Raw Data'!$B:$B,0)),"")</f>
        <v/>
      </c>
      <c r="F514" t="str">
        <f t="array" ref="F514">IFERROR(INDEX('Day Range Raw Data'!F:F,Match($A514,'Day Range Raw Data'!$B:$B,0)),"")</f>
        <v/>
      </c>
      <c r="G514" t="str">
        <f t="array" ref="G514">IFERROR(INDEX('Day Range Raw Data'!G:G,Match($A514,'Day Range Raw Data'!$B:$B,0)),"")</f>
        <v/>
      </c>
      <c r="H514" t="str">
        <f t="array" ref="H514">IFERROR(INDEX('Day Range Raw Data'!H:H,Match($A514,'Day Range Raw Data'!$B:$B,0)),"")</f>
        <v/>
      </c>
      <c r="I514" t="str">
        <f t="array" ref="I514">IFERROR(INDEX('Day Range Raw Data'!M:M,Match($A514,'Day Range Raw Data'!$B:$B,0)),"")</f>
        <v/>
      </c>
      <c r="J514" t="str">
        <f t="array" ref="J514">IFERROR(INDEX('Day Range Raw Data'!N:N,Match($A514,'Day Range Raw Data'!$B:$B,0)),"")</f>
        <v/>
      </c>
      <c r="K514" t="str">
        <f t="array" ref="K514">IFERROR(INDEX('Day Range Raw Data'!R:R,Match($A514,'Day Range Raw Data'!$B:$B,0)),"")</f>
        <v/>
      </c>
      <c r="L514" t="str">
        <f t="array" ref="L514">IFERROR(INDEX('Day Range Raw Data'!S:S,Match($A514,'Day Range Raw Data'!$B:$B,0)),"")</f>
        <v/>
      </c>
      <c r="M514" t="str">
        <f t="array" ref="M514">IFERROR(INDEX('Day Range Raw Data'!T:T,Match($A514,'Day Range Raw Data'!$B:$B,0)),"")</f>
        <v/>
      </c>
      <c r="N514" t="str">
        <f t="array" ref="N514">IFERROR(INDEX('Day Range Raw Data'!U:U,Match($A514,'Day Range Raw Data'!$B:$B,0)),"")</f>
        <v/>
      </c>
      <c r="O514" t="str">
        <f t="array" ref="O514">IFERROR(INDEX('Day Range Raw Data'!V:V,Match($A514,'Day Range Raw Data'!$B:$B,0)),"")</f>
        <v/>
      </c>
      <c r="P514" t="str">
        <f t="array" ref="P514">IFERROR(INDEX('Day Range Raw Data'!X:X,Match($A514,'Day Range Raw Data'!$B:$B,0)),"")</f>
        <v/>
      </c>
      <c r="Q514" t="str">
        <f t="shared" si="1"/>
        <v/>
      </c>
      <c r="R514" s="9" t="str">
        <f t="shared" si="2"/>
        <v/>
      </c>
      <c r="S514" s="14" t="str">
        <f t="shared" si="3"/>
        <v/>
      </c>
      <c r="T514" s="15" t="str">
        <f>IFERROR(__xludf.DUMMYFUNCTION("IF($A514="""","""",IFERROR(PERCENTRANK.INC(FILTER(Q:Q,$F:$F&lt;&gt;""""),Q514)*100,""""))"),"")</f>
        <v/>
      </c>
      <c r="U514" s="15" t="str">
        <f>IFERROR(__xludf.DUMMYFUNCTION("IF($A514="""","""",IFERROR(PERCENTRANK.INC(FILTER(R:R,$F:$F&lt;&gt;""""),R514)*100,""""))"),"")</f>
        <v/>
      </c>
      <c r="V514" s="15" t="str">
        <f>IFERROR(__xludf.DUMMYFUNCTION("IF($A514="""","""",IFERROR(PERCENTRANK.INC(FILTER(S:S,$F:$F&lt;&gt;""""),S514)*100,""""))"),"")</f>
        <v/>
      </c>
      <c r="W514" s="15" t="str">
        <f t="shared" si="4"/>
        <v/>
      </c>
    </row>
    <row r="515">
      <c r="B515" t="str">
        <f t="array" ref="B515">IFERROR(INDEX('Player Raw Data'!C:C,Match($A515,'Player Raw Data'!$B:$B,0)),"")</f>
        <v/>
      </c>
      <c r="C515" t="str">
        <f t="array" ref="C515">IFERROR(INDEX('Player Raw Data'!D:D,Match($A515,'Player Raw Data'!$B:$B,0)),"")</f>
        <v/>
      </c>
      <c r="D515" t="str">
        <f t="array" ref="D515">IFERROR(IF(A515=A514, INDEX('Player Raw Data'!E:E,Match($A515,'Player Raw Data'!$B:$B,0)+2),INDEX('Player Raw Data'!E:E,Match($A515,'Player Raw Data'!$B:$B,0))),"")</f>
        <v/>
      </c>
      <c r="E515" t="str">
        <f t="array" ref="E515">IFERROR(INDEX('Day Range Raw Data'!D:D,Match($A515,'Day Range Raw Data'!$B:$B,0)),"")</f>
        <v/>
      </c>
      <c r="F515" t="str">
        <f t="array" ref="F515">IFERROR(INDEX('Day Range Raw Data'!F:F,Match($A515,'Day Range Raw Data'!$B:$B,0)),"")</f>
        <v/>
      </c>
      <c r="G515" t="str">
        <f t="array" ref="G515">IFERROR(INDEX('Day Range Raw Data'!G:G,Match($A515,'Day Range Raw Data'!$B:$B,0)),"")</f>
        <v/>
      </c>
      <c r="H515" t="str">
        <f t="array" ref="H515">IFERROR(INDEX('Day Range Raw Data'!H:H,Match($A515,'Day Range Raw Data'!$B:$B,0)),"")</f>
        <v/>
      </c>
      <c r="I515" t="str">
        <f t="array" ref="I515">IFERROR(INDEX('Day Range Raw Data'!M:M,Match($A515,'Day Range Raw Data'!$B:$B,0)),"")</f>
        <v/>
      </c>
      <c r="J515" t="str">
        <f t="array" ref="J515">IFERROR(INDEX('Day Range Raw Data'!N:N,Match($A515,'Day Range Raw Data'!$B:$B,0)),"")</f>
        <v/>
      </c>
      <c r="K515" t="str">
        <f t="array" ref="K515">IFERROR(INDEX('Day Range Raw Data'!R:R,Match($A515,'Day Range Raw Data'!$B:$B,0)),"")</f>
        <v/>
      </c>
      <c r="L515" t="str">
        <f t="array" ref="L515">IFERROR(INDEX('Day Range Raw Data'!S:S,Match($A515,'Day Range Raw Data'!$B:$B,0)),"")</f>
        <v/>
      </c>
      <c r="M515" t="str">
        <f t="array" ref="M515">IFERROR(INDEX('Day Range Raw Data'!T:T,Match($A515,'Day Range Raw Data'!$B:$B,0)),"")</f>
        <v/>
      </c>
      <c r="N515" t="str">
        <f t="array" ref="N515">IFERROR(INDEX('Day Range Raw Data'!U:U,Match($A515,'Day Range Raw Data'!$B:$B,0)),"")</f>
        <v/>
      </c>
      <c r="O515" t="str">
        <f t="array" ref="O515">IFERROR(INDEX('Day Range Raw Data'!V:V,Match($A515,'Day Range Raw Data'!$B:$B,0)),"")</f>
        <v/>
      </c>
      <c r="P515" t="str">
        <f t="array" ref="P515">IFERROR(INDEX('Day Range Raw Data'!X:X,Match($A515,'Day Range Raw Data'!$B:$B,0)),"")</f>
        <v/>
      </c>
      <c r="Q515" t="str">
        <f t="shared" si="1"/>
        <v/>
      </c>
      <c r="R515" s="9" t="str">
        <f t="shared" si="2"/>
        <v/>
      </c>
      <c r="S515" s="14" t="str">
        <f t="shared" si="3"/>
        <v/>
      </c>
      <c r="T515" s="15" t="str">
        <f>IFERROR(__xludf.DUMMYFUNCTION("IF($A515="""","""",IFERROR(PERCENTRANK.INC(FILTER(Q:Q,$F:$F&lt;&gt;""""),Q515)*100,""""))"),"")</f>
        <v/>
      </c>
      <c r="U515" s="15" t="str">
        <f>IFERROR(__xludf.DUMMYFUNCTION("IF($A515="""","""",IFERROR(PERCENTRANK.INC(FILTER(R:R,$F:$F&lt;&gt;""""),R515)*100,""""))"),"")</f>
        <v/>
      </c>
      <c r="V515" s="15" t="str">
        <f>IFERROR(__xludf.DUMMYFUNCTION("IF($A515="""","""",IFERROR(PERCENTRANK.INC(FILTER(S:S,$F:$F&lt;&gt;""""),S515)*100,""""))"),"")</f>
        <v/>
      </c>
      <c r="W515" s="15" t="str">
        <f t="shared" si="4"/>
        <v/>
      </c>
    </row>
    <row r="516">
      <c r="B516" t="str">
        <f t="array" ref="B516">IFERROR(INDEX('Player Raw Data'!C:C,Match($A516,'Player Raw Data'!$B:$B,0)),"")</f>
        <v/>
      </c>
      <c r="C516" t="str">
        <f t="array" ref="C516">IFERROR(INDEX('Player Raw Data'!D:D,Match($A516,'Player Raw Data'!$B:$B,0)),"")</f>
        <v/>
      </c>
      <c r="D516" t="str">
        <f t="array" ref="D516">IFERROR(IF(A516=A515, INDEX('Player Raw Data'!E:E,Match($A516,'Player Raw Data'!$B:$B,0)+2),INDEX('Player Raw Data'!E:E,Match($A516,'Player Raw Data'!$B:$B,0))),"")</f>
        <v/>
      </c>
      <c r="E516" t="str">
        <f t="array" ref="E516">IFERROR(INDEX('Day Range Raw Data'!D:D,Match($A516,'Day Range Raw Data'!$B:$B,0)),"")</f>
        <v/>
      </c>
      <c r="F516" t="str">
        <f t="array" ref="F516">IFERROR(INDEX('Day Range Raw Data'!F:F,Match($A516,'Day Range Raw Data'!$B:$B,0)),"")</f>
        <v/>
      </c>
      <c r="G516" t="str">
        <f t="array" ref="G516">IFERROR(INDEX('Day Range Raw Data'!G:G,Match($A516,'Day Range Raw Data'!$B:$B,0)),"")</f>
        <v/>
      </c>
      <c r="H516" t="str">
        <f t="array" ref="H516">IFERROR(INDEX('Day Range Raw Data'!H:H,Match($A516,'Day Range Raw Data'!$B:$B,0)),"")</f>
        <v/>
      </c>
      <c r="I516" t="str">
        <f t="array" ref="I516">IFERROR(INDEX('Day Range Raw Data'!M:M,Match($A516,'Day Range Raw Data'!$B:$B,0)),"")</f>
        <v/>
      </c>
      <c r="J516" t="str">
        <f t="array" ref="J516">IFERROR(INDEX('Day Range Raw Data'!N:N,Match($A516,'Day Range Raw Data'!$B:$B,0)),"")</f>
        <v/>
      </c>
      <c r="K516" t="str">
        <f t="array" ref="K516">IFERROR(INDEX('Day Range Raw Data'!R:R,Match($A516,'Day Range Raw Data'!$B:$B,0)),"")</f>
        <v/>
      </c>
      <c r="L516" t="str">
        <f t="array" ref="L516">IFERROR(INDEX('Day Range Raw Data'!S:S,Match($A516,'Day Range Raw Data'!$B:$B,0)),"")</f>
        <v/>
      </c>
      <c r="M516" t="str">
        <f t="array" ref="M516">IFERROR(INDEX('Day Range Raw Data'!T:T,Match($A516,'Day Range Raw Data'!$B:$B,0)),"")</f>
        <v/>
      </c>
      <c r="N516" t="str">
        <f t="array" ref="N516">IFERROR(INDEX('Day Range Raw Data'!U:U,Match($A516,'Day Range Raw Data'!$B:$B,0)),"")</f>
        <v/>
      </c>
      <c r="O516" t="str">
        <f t="array" ref="O516">IFERROR(INDEX('Day Range Raw Data'!V:V,Match($A516,'Day Range Raw Data'!$B:$B,0)),"")</f>
        <v/>
      </c>
      <c r="P516" t="str">
        <f t="array" ref="P516">IFERROR(INDEX('Day Range Raw Data'!X:X,Match($A516,'Day Range Raw Data'!$B:$B,0)),"")</f>
        <v/>
      </c>
      <c r="Q516" t="str">
        <f t="shared" si="1"/>
        <v/>
      </c>
      <c r="R516" s="9" t="str">
        <f t="shared" si="2"/>
        <v/>
      </c>
      <c r="S516" s="14" t="str">
        <f t="shared" si="3"/>
        <v/>
      </c>
      <c r="T516" s="15" t="str">
        <f>IFERROR(__xludf.DUMMYFUNCTION("IF($A516="""","""",IFERROR(PERCENTRANK.INC(FILTER(Q:Q,$F:$F&lt;&gt;""""),Q516)*100,""""))"),"")</f>
        <v/>
      </c>
      <c r="U516" s="15" t="str">
        <f>IFERROR(__xludf.DUMMYFUNCTION("IF($A516="""","""",IFERROR(PERCENTRANK.INC(FILTER(R:R,$F:$F&lt;&gt;""""),R516)*100,""""))"),"")</f>
        <v/>
      </c>
      <c r="V516" s="15" t="str">
        <f>IFERROR(__xludf.DUMMYFUNCTION("IF($A516="""","""",IFERROR(PERCENTRANK.INC(FILTER(S:S,$F:$F&lt;&gt;""""),S516)*100,""""))"),"")</f>
        <v/>
      </c>
      <c r="W516" s="15" t="str">
        <f t="shared" si="4"/>
        <v/>
      </c>
    </row>
    <row r="517">
      <c r="B517" t="str">
        <f t="array" ref="B517">IFERROR(INDEX('Player Raw Data'!C:C,Match($A517,'Player Raw Data'!$B:$B,0)),"")</f>
        <v/>
      </c>
      <c r="C517" t="str">
        <f t="array" ref="C517">IFERROR(INDEX('Player Raw Data'!D:D,Match($A517,'Player Raw Data'!$B:$B,0)),"")</f>
        <v/>
      </c>
      <c r="D517" t="str">
        <f t="array" ref="D517">IFERROR(IF(A517=A516, INDEX('Player Raw Data'!E:E,Match($A517,'Player Raw Data'!$B:$B,0)+2),INDEX('Player Raw Data'!E:E,Match($A517,'Player Raw Data'!$B:$B,0))),"")</f>
        <v/>
      </c>
      <c r="E517" t="str">
        <f t="array" ref="E517">IFERROR(INDEX('Day Range Raw Data'!D:D,Match($A517,'Day Range Raw Data'!$B:$B,0)),"")</f>
        <v/>
      </c>
      <c r="F517" t="str">
        <f t="array" ref="F517">IFERROR(INDEX('Day Range Raw Data'!F:F,Match($A517,'Day Range Raw Data'!$B:$B,0)),"")</f>
        <v/>
      </c>
      <c r="G517" t="str">
        <f t="array" ref="G517">IFERROR(INDEX('Day Range Raw Data'!G:G,Match($A517,'Day Range Raw Data'!$B:$B,0)),"")</f>
        <v/>
      </c>
      <c r="H517" t="str">
        <f t="array" ref="H517">IFERROR(INDEX('Day Range Raw Data'!H:H,Match($A517,'Day Range Raw Data'!$B:$B,0)),"")</f>
        <v/>
      </c>
      <c r="I517" t="str">
        <f t="array" ref="I517">IFERROR(INDEX('Day Range Raw Data'!M:M,Match($A517,'Day Range Raw Data'!$B:$B,0)),"")</f>
        <v/>
      </c>
      <c r="J517" t="str">
        <f t="array" ref="J517">IFERROR(INDEX('Day Range Raw Data'!N:N,Match($A517,'Day Range Raw Data'!$B:$B,0)),"")</f>
        <v/>
      </c>
      <c r="K517" t="str">
        <f t="array" ref="K517">IFERROR(INDEX('Day Range Raw Data'!R:R,Match($A517,'Day Range Raw Data'!$B:$B,0)),"")</f>
        <v/>
      </c>
      <c r="L517" t="str">
        <f t="array" ref="L517">IFERROR(INDEX('Day Range Raw Data'!S:S,Match($A517,'Day Range Raw Data'!$B:$B,0)),"")</f>
        <v/>
      </c>
      <c r="M517" t="str">
        <f t="array" ref="M517">IFERROR(INDEX('Day Range Raw Data'!T:T,Match($A517,'Day Range Raw Data'!$B:$B,0)),"")</f>
        <v/>
      </c>
      <c r="N517" t="str">
        <f t="array" ref="N517">IFERROR(INDEX('Day Range Raw Data'!U:U,Match($A517,'Day Range Raw Data'!$B:$B,0)),"")</f>
        <v/>
      </c>
      <c r="O517" t="str">
        <f t="array" ref="O517">IFERROR(INDEX('Day Range Raw Data'!V:V,Match($A517,'Day Range Raw Data'!$B:$B,0)),"")</f>
        <v/>
      </c>
      <c r="P517" t="str">
        <f t="array" ref="P517">IFERROR(INDEX('Day Range Raw Data'!X:X,Match($A517,'Day Range Raw Data'!$B:$B,0)),"")</f>
        <v/>
      </c>
      <c r="Q517" t="str">
        <f t="shared" si="1"/>
        <v/>
      </c>
      <c r="R517" s="9" t="str">
        <f t="shared" si="2"/>
        <v/>
      </c>
      <c r="S517" s="14" t="str">
        <f t="shared" si="3"/>
        <v/>
      </c>
      <c r="T517" s="15" t="str">
        <f>IFERROR(__xludf.DUMMYFUNCTION("IF($A517="""","""",IFERROR(PERCENTRANK.INC(FILTER(Q:Q,$F:$F&lt;&gt;""""),Q517)*100,""""))"),"")</f>
        <v/>
      </c>
      <c r="U517" s="15" t="str">
        <f>IFERROR(__xludf.DUMMYFUNCTION("IF($A517="""","""",IFERROR(PERCENTRANK.INC(FILTER(R:R,$F:$F&lt;&gt;""""),R517)*100,""""))"),"")</f>
        <v/>
      </c>
      <c r="V517" s="15" t="str">
        <f>IFERROR(__xludf.DUMMYFUNCTION("IF($A517="""","""",IFERROR(PERCENTRANK.INC(FILTER(S:S,$F:$F&lt;&gt;""""),S517)*100,""""))"),"")</f>
        <v/>
      </c>
      <c r="W517" s="15" t="str">
        <f t="shared" si="4"/>
        <v/>
      </c>
    </row>
    <row r="518">
      <c r="B518" t="str">
        <f t="array" ref="B518">IFERROR(INDEX('Player Raw Data'!C:C,Match($A518,'Player Raw Data'!$B:$B,0)),"")</f>
        <v/>
      </c>
      <c r="C518" t="str">
        <f t="array" ref="C518">IFERROR(INDEX('Player Raw Data'!D:D,Match($A518,'Player Raw Data'!$B:$B,0)),"")</f>
        <v/>
      </c>
      <c r="D518" t="str">
        <f t="array" ref="D518">IFERROR(IF(A518=A517, INDEX('Player Raw Data'!E:E,Match($A518,'Player Raw Data'!$B:$B,0)+2),INDEX('Player Raw Data'!E:E,Match($A518,'Player Raw Data'!$B:$B,0))),"")</f>
        <v/>
      </c>
      <c r="E518" t="str">
        <f t="array" ref="E518">IFERROR(INDEX('Day Range Raw Data'!D:D,Match($A518,'Day Range Raw Data'!$B:$B,0)),"")</f>
        <v/>
      </c>
      <c r="F518" t="str">
        <f t="array" ref="F518">IFERROR(INDEX('Day Range Raw Data'!F:F,Match($A518,'Day Range Raw Data'!$B:$B,0)),"")</f>
        <v/>
      </c>
      <c r="G518" t="str">
        <f t="array" ref="G518">IFERROR(INDEX('Day Range Raw Data'!G:G,Match($A518,'Day Range Raw Data'!$B:$B,0)),"")</f>
        <v/>
      </c>
      <c r="H518" t="str">
        <f t="array" ref="H518">IFERROR(INDEX('Day Range Raw Data'!H:H,Match($A518,'Day Range Raw Data'!$B:$B,0)),"")</f>
        <v/>
      </c>
      <c r="I518" t="str">
        <f t="array" ref="I518">IFERROR(INDEX('Day Range Raw Data'!M:M,Match($A518,'Day Range Raw Data'!$B:$B,0)),"")</f>
        <v/>
      </c>
      <c r="J518" t="str">
        <f t="array" ref="J518">IFERROR(INDEX('Day Range Raw Data'!N:N,Match($A518,'Day Range Raw Data'!$B:$B,0)),"")</f>
        <v/>
      </c>
      <c r="K518" t="str">
        <f t="array" ref="K518">IFERROR(INDEX('Day Range Raw Data'!R:R,Match($A518,'Day Range Raw Data'!$B:$B,0)),"")</f>
        <v/>
      </c>
      <c r="L518" t="str">
        <f t="array" ref="L518">IFERROR(INDEX('Day Range Raw Data'!S:S,Match($A518,'Day Range Raw Data'!$B:$B,0)),"")</f>
        <v/>
      </c>
      <c r="M518" t="str">
        <f t="array" ref="M518">IFERROR(INDEX('Day Range Raw Data'!T:T,Match($A518,'Day Range Raw Data'!$B:$B,0)),"")</f>
        <v/>
      </c>
      <c r="N518" t="str">
        <f t="array" ref="N518">IFERROR(INDEX('Day Range Raw Data'!U:U,Match($A518,'Day Range Raw Data'!$B:$B,0)),"")</f>
        <v/>
      </c>
      <c r="O518" t="str">
        <f t="array" ref="O518">IFERROR(INDEX('Day Range Raw Data'!V:V,Match($A518,'Day Range Raw Data'!$B:$B,0)),"")</f>
        <v/>
      </c>
      <c r="P518" t="str">
        <f t="array" ref="P518">IFERROR(INDEX('Day Range Raw Data'!X:X,Match($A518,'Day Range Raw Data'!$B:$B,0)),"")</f>
        <v/>
      </c>
      <c r="Q518" t="str">
        <f t="shared" si="1"/>
        <v/>
      </c>
      <c r="R518" s="9" t="str">
        <f t="shared" si="2"/>
        <v/>
      </c>
      <c r="S518" s="14" t="str">
        <f t="shared" si="3"/>
        <v/>
      </c>
      <c r="T518" s="15" t="str">
        <f>IFERROR(__xludf.DUMMYFUNCTION("IF($A518="""","""",IFERROR(PERCENTRANK.INC(FILTER(Q:Q,$F:$F&lt;&gt;""""),Q518)*100,""""))"),"")</f>
        <v/>
      </c>
      <c r="U518" s="15" t="str">
        <f>IFERROR(__xludf.DUMMYFUNCTION("IF($A518="""","""",IFERROR(PERCENTRANK.INC(FILTER(R:R,$F:$F&lt;&gt;""""),R518)*100,""""))"),"")</f>
        <v/>
      </c>
      <c r="V518" s="15" t="str">
        <f>IFERROR(__xludf.DUMMYFUNCTION("IF($A518="""","""",IFERROR(PERCENTRANK.INC(FILTER(S:S,$F:$F&lt;&gt;""""),S518)*100,""""))"),"")</f>
        <v/>
      </c>
      <c r="W518" s="15" t="str">
        <f t="shared" si="4"/>
        <v/>
      </c>
    </row>
    <row r="519">
      <c r="B519" t="str">
        <f t="array" ref="B519">IFERROR(INDEX('Player Raw Data'!C:C,Match($A519,'Player Raw Data'!$B:$B,0)),"")</f>
        <v/>
      </c>
      <c r="C519" t="str">
        <f t="array" ref="C519">IFERROR(INDEX('Player Raw Data'!D:D,Match($A519,'Player Raw Data'!$B:$B,0)),"")</f>
        <v/>
      </c>
      <c r="D519" t="str">
        <f t="array" ref="D519">IFERROR(IF(A519=A518, INDEX('Player Raw Data'!E:E,Match($A519,'Player Raw Data'!$B:$B,0)+2),INDEX('Player Raw Data'!E:E,Match($A519,'Player Raw Data'!$B:$B,0))),"")</f>
        <v/>
      </c>
      <c r="E519" t="str">
        <f t="array" ref="E519">IFERROR(INDEX('Day Range Raw Data'!D:D,Match($A519,'Day Range Raw Data'!$B:$B,0)),"")</f>
        <v/>
      </c>
      <c r="F519" t="str">
        <f t="array" ref="F519">IFERROR(INDEX('Day Range Raw Data'!F:F,Match($A519,'Day Range Raw Data'!$B:$B,0)),"")</f>
        <v/>
      </c>
      <c r="G519" t="str">
        <f t="array" ref="G519">IFERROR(INDEX('Day Range Raw Data'!G:G,Match($A519,'Day Range Raw Data'!$B:$B,0)),"")</f>
        <v/>
      </c>
      <c r="H519" t="str">
        <f t="array" ref="H519">IFERROR(INDEX('Day Range Raw Data'!H:H,Match($A519,'Day Range Raw Data'!$B:$B,0)),"")</f>
        <v/>
      </c>
      <c r="I519" t="str">
        <f t="array" ref="I519">IFERROR(INDEX('Day Range Raw Data'!M:M,Match($A519,'Day Range Raw Data'!$B:$B,0)),"")</f>
        <v/>
      </c>
      <c r="J519" t="str">
        <f t="array" ref="J519">IFERROR(INDEX('Day Range Raw Data'!N:N,Match($A519,'Day Range Raw Data'!$B:$B,0)),"")</f>
        <v/>
      </c>
      <c r="K519" t="str">
        <f t="array" ref="K519">IFERROR(INDEX('Day Range Raw Data'!R:R,Match($A519,'Day Range Raw Data'!$B:$B,0)),"")</f>
        <v/>
      </c>
      <c r="L519" t="str">
        <f t="array" ref="L519">IFERROR(INDEX('Day Range Raw Data'!S:S,Match($A519,'Day Range Raw Data'!$B:$B,0)),"")</f>
        <v/>
      </c>
      <c r="M519" t="str">
        <f t="array" ref="M519">IFERROR(INDEX('Day Range Raw Data'!T:T,Match($A519,'Day Range Raw Data'!$B:$B,0)),"")</f>
        <v/>
      </c>
      <c r="N519" t="str">
        <f t="array" ref="N519">IFERROR(INDEX('Day Range Raw Data'!U:U,Match($A519,'Day Range Raw Data'!$B:$B,0)),"")</f>
        <v/>
      </c>
      <c r="O519" t="str">
        <f t="array" ref="O519">IFERROR(INDEX('Day Range Raw Data'!V:V,Match($A519,'Day Range Raw Data'!$B:$B,0)),"")</f>
        <v/>
      </c>
      <c r="P519" t="str">
        <f t="array" ref="P519">IFERROR(INDEX('Day Range Raw Data'!X:X,Match($A519,'Day Range Raw Data'!$B:$B,0)),"")</f>
        <v/>
      </c>
      <c r="Q519" t="str">
        <f t="shared" si="1"/>
        <v/>
      </c>
      <c r="R519" s="9" t="str">
        <f t="shared" si="2"/>
        <v/>
      </c>
      <c r="S519" s="14" t="str">
        <f t="shared" si="3"/>
        <v/>
      </c>
      <c r="T519" s="15" t="str">
        <f>IFERROR(__xludf.DUMMYFUNCTION("IF($A519="""","""",IFERROR(PERCENTRANK.INC(FILTER(Q:Q,$F:$F&lt;&gt;""""),Q519)*100,""""))"),"")</f>
        <v/>
      </c>
      <c r="U519" s="15" t="str">
        <f>IFERROR(__xludf.DUMMYFUNCTION("IF($A519="""","""",IFERROR(PERCENTRANK.INC(FILTER(R:R,$F:$F&lt;&gt;""""),R519)*100,""""))"),"")</f>
        <v/>
      </c>
      <c r="V519" s="15" t="str">
        <f>IFERROR(__xludf.DUMMYFUNCTION("IF($A519="""","""",IFERROR(PERCENTRANK.INC(FILTER(S:S,$F:$F&lt;&gt;""""),S519)*100,""""))"),"")</f>
        <v/>
      </c>
      <c r="W519" s="15" t="str">
        <f t="shared" si="4"/>
        <v/>
      </c>
    </row>
    <row r="520">
      <c r="B520" t="str">
        <f t="array" ref="B520">IFERROR(INDEX('Player Raw Data'!C:C,Match($A520,'Player Raw Data'!$B:$B,0)),"")</f>
        <v/>
      </c>
      <c r="C520" t="str">
        <f t="array" ref="C520">IFERROR(INDEX('Player Raw Data'!D:D,Match($A520,'Player Raw Data'!$B:$B,0)),"")</f>
        <v/>
      </c>
      <c r="D520" t="str">
        <f t="array" ref="D520">IFERROR(IF(A520=A519, INDEX('Player Raw Data'!E:E,Match($A520,'Player Raw Data'!$B:$B,0)+2),INDEX('Player Raw Data'!E:E,Match($A520,'Player Raw Data'!$B:$B,0))),"")</f>
        <v/>
      </c>
      <c r="E520" t="str">
        <f t="array" ref="E520">IFERROR(INDEX('Day Range Raw Data'!D:D,Match($A520,'Day Range Raw Data'!$B:$B,0)),"")</f>
        <v/>
      </c>
      <c r="F520" t="str">
        <f t="array" ref="F520">IFERROR(INDEX('Day Range Raw Data'!F:F,Match($A520,'Day Range Raw Data'!$B:$B,0)),"")</f>
        <v/>
      </c>
      <c r="G520" t="str">
        <f t="array" ref="G520">IFERROR(INDEX('Day Range Raw Data'!G:G,Match($A520,'Day Range Raw Data'!$B:$B,0)),"")</f>
        <v/>
      </c>
      <c r="H520" t="str">
        <f t="array" ref="H520">IFERROR(INDEX('Day Range Raw Data'!H:H,Match($A520,'Day Range Raw Data'!$B:$B,0)),"")</f>
        <v/>
      </c>
      <c r="I520" t="str">
        <f t="array" ref="I520">IFERROR(INDEX('Day Range Raw Data'!M:M,Match($A520,'Day Range Raw Data'!$B:$B,0)),"")</f>
        <v/>
      </c>
      <c r="J520" t="str">
        <f t="array" ref="J520">IFERROR(INDEX('Day Range Raw Data'!N:N,Match($A520,'Day Range Raw Data'!$B:$B,0)),"")</f>
        <v/>
      </c>
      <c r="K520" t="str">
        <f t="array" ref="K520">IFERROR(INDEX('Day Range Raw Data'!R:R,Match($A520,'Day Range Raw Data'!$B:$B,0)),"")</f>
        <v/>
      </c>
      <c r="L520" t="str">
        <f t="array" ref="L520">IFERROR(INDEX('Day Range Raw Data'!S:S,Match($A520,'Day Range Raw Data'!$B:$B,0)),"")</f>
        <v/>
      </c>
      <c r="M520" t="str">
        <f t="array" ref="M520">IFERROR(INDEX('Day Range Raw Data'!T:T,Match($A520,'Day Range Raw Data'!$B:$B,0)),"")</f>
        <v/>
      </c>
      <c r="N520" t="str">
        <f t="array" ref="N520">IFERROR(INDEX('Day Range Raw Data'!U:U,Match($A520,'Day Range Raw Data'!$B:$B,0)),"")</f>
        <v/>
      </c>
      <c r="O520" t="str">
        <f t="array" ref="O520">IFERROR(INDEX('Day Range Raw Data'!V:V,Match($A520,'Day Range Raw Data'!$B:$B,0)),"")</f>
        <v/>
      </c>
      <c r="P520" t="str">
        <f t="array" ref="P520">IFERROR(INDEX('Day Range Raw Data'!X:X,Match($A520,'Day Range Raw Data'!$B:$B,0)),"")</f>
        <v/>
      </c>
      <c r="Q520" t="str">
        <f t="shared" si="1"/>
        <v/>
      </c>
      <c r="R520" s="9" t="str">
        <f t="shared" si="2"/>
        <v/>
      </c>
      <c r="S520" s="14" t="str">
        <f t="shared" si="3"/>
        <v/>
      </c>
      <c r="T520" s="15" t="str">
        <f>IFERROR(__xludf.DUMMYFUNCTION("IF($A520="""","""",IFERROR(PERCENTRANK.INC(FILTER(Q:Q,$F:$F&lt;&gt;""""),Q520)*100,""""))"),"")</f>
        <v/>
      </c>
      <c r="U520" s="15" t="str">
        <f>IFERROR(__xludf.DUMMYFUNCTION("IF($A520="""","""",IFERROR(PERCENTRANK.INC(FILTER(R:R,$F:$F&lt;&gt;""""),R520)*100,""""))"),"")</f>
        <v/>
      </c>
      <c r="V520" s="15" t="str">
        <f>IFERROR(__xludf.DUMMYFUNCTION("IF($A520="""","""",IFERROR(PERCENTRANK.INC(FILTER(S:S,$F:$F&lt;&gt;""""),S520)*100,""""))"),"")</f>
        <v/>
      </c>
      <c r="W520" s="15" t="str">
        <f t="shared" si="4"/>
        <v/>
      </c>
    </row>
    <row r="521">
      <c r="B521" t="str">
        <f t="array" ref="B521">IFERROR(INDEX('Player Raw Data'!C:C,Match($A521,'Player Raw Data'!$B:$B,0)),"")</f>
        <v/>
      </c>
      <c r="C521" t="str">
        <f t="array" ref="C521">IFERROR(INDEX('Player Raw Data'!D:D,Match($A521,'Player Raw Data'!$B:$B,0)),"")</f>
        <v/>
      </c>
      <c r="D521" t="str">
        <f t="array" ref="D521">IFERROR(IF(A521=A520, INDEX('Player Raw Data'!E:E,Match($A521,'Player Raw Data'!$B:$B,0)+2),INDEX('Player Raw Data'!E:E,Match($A521,'Player Raw Data'!$B:$B,0))),"")</f>
        <v/>
      </c>
      <c r="E521" t="str">
        <f t="array" ref="E521">IFERROR(INDEX('Day Range Raw Data'!D:D,Match($A521,'Day Range Raw Data'!$B:$B,0)),"")</f>
        <v/>
      </c>
      <c r="F521" t="str">
        <f t="array" ref="F521">IFERROR(INDEX('Day Range Raw Data'!F:F,Match($A521,'Day Range Raw Data'!$B:$B,0)),"")</f>
        <v/>
      </c>
      <c r="G521" t="str">
        <f t="array" ref="G521">IFERROR(INDEX('Day Range Raw Data'!G:G,Match($A521,'Day Range Raw Data'!$B:$B,0)),"")</f>
        <v/>
      </c>
      <c r="H521" t="str">
        <f t="array" ref="H521">IFERROR(INDEX('Day Range Raw Data'!H:H,Match($A521,'Day Range Raw Data'!$B:$B,0)),"")</f>
        <v/>
      </c>
      <c r="I521" t="str">
        <f t="array" ref="I521">IFERROR(INDEX('Day Range Raw Data'!M:M,Match($A521,'Day Range Raw Data'!$B:$B,0)),"")</f>
        <v/>
      </c>
      <c r="J521" t="str">
        <f t="array" ref="J521">IFERROR(INDEX('Day Range Raw Data'!N:N,Match($A521,'Day Range Raw Data'!$B:$B,0)),"")</f>
        <v/>
      </c>
      <c r="K521" t="str">
        <f t="array" ref="K521">IFERROR(INDEX('Day Range Raw Data'!R:R,Match($A521,'Day Range Raw Data'!$B:$B,0)),"")</f>
        <v/>
      </c>
      <c r="L521" t="str">
        <f t="array" ref="L521">IFERROR(INDEX('Day Range Raw Data'!S:S,Match($A521,'Day Range Raw Data'!$B:$B,0)),"")</f>
        <v/>
      </c>
      <c r="M521" t="str">
        <f t="array" ref="M521">IFERROR(INDEX('Day Range Raw Data'!T:T,Match($A521,'Day Range Raw Data'!$B:$B,0)),"")</f>
        <v/>
      </c>
      <c r="N521" t="str">
        <f t="array" ref="N521">IFERROR(INDEX('Day Range Raw Data'!U:U,Match($A521,'Day Range Raw Data'!$B:$B,0)),"")</f>
        <v/>
      </c>
      <c r="O521" t="str">
        <f t="array" ref="O521">IFERROR(INDEX('Day Range Raw Data'!V:V,Match($A521,'Day Range Raw Data'!$B:$B,0)),"")</f>
        <v/>
      </c>
      <c r="P521" t="str">
        <f t="array" ref="P521">IFERROR(INDEX('Day Range Raw Data'!X:X,Match($A521,'Day Range Raw Data'!$B:$B,0)),"")</f>
        <v/>
      </c>
      <c r="Q521" t="str">
        <f t="shared" si="1"/>
        <v/>
      </c>
      <c r="R521" s="9" t="str">
        <f t="shared" si="2"/>
        <v/>
      </c>
      <c r="S521" s="14" t="str">
        <f t="shared" si="3"/>
        <v/>
      </c>
      <c r="T521" s="15" t="str">
        <f>IFERROR(__xludf.DUMMYFUNCTION("IF($A521="""","""",IFERROR(PERCENTRANK.INC(FILTER(Q:Q,$F:$F&lt;&gt;""""),Q521)*100,""""))"),"")</f>
        <v/>
      </c>
      <c r="U521" s="15" t="str">
        <f>IFERROR(__xludf.DUMMYFUNCTION("IF($A521="""","""",IFERROR(PERCENTRANK.INC(FILTER(R:R,$F:$F&lt;&gt;""""),R521)*100,""""))"),"")</f>
        <v/>
      </c>
      <c r="V521" s="15" t="str">
        <f>IFERROR(__xludf.DUMMYFUNCTION("IF($A521="""","""",IFERROR(PERCENTRANK.INC(FILTER(S:S,$F:$F&lt;&gt;""""),S521)*100,""""))"),"")</f>
        <v/>
      </c>
      <c r="W521" s="15" t="str">
        <f t="shared" si="4"/>
        <v/>
      </c>
    </row>
    <row r="522">
      <c r="B522" t="str">
        <f t="array" ref="B522">IFERROR(INDEX('Player Raw Data'!C:C,Match($A522,'Player Raw Data'!$B:$B,0)),"")</f>
        <v/>
      </c>
      <c r="C522" t="str">
        <f t="array" ref="C522">IFERROR(INDEX('Player Raw Data'!D:D,Match($A522,'Player Raw Data'!$B:$B,0)),"")</f>
        <v/>
      </c>
      <c r="D522" t="str">
        <f t="array" ref="D522">IFERROR(IF(A522=A521, INDEX('Player Raw Data'!E:E,Match($A522,'Player Raw Data'!$B:$B,0)+2),INDEX('Player Raw Data'!E:E,Match($A522,'Player Raw Data'!$B:$B,0))),"")</f>
        <v/>
      </c>
      <c r="E522" t="str">
        <f t="array" ref="E522">IFERROR(INDEX('Day Range Raw Data'!D:D,Match($A522,'Day Range Raw Data'!$B:$B,0)),"")</f>
        <v/>
      </c>
      <c r="F522" t="str">
        <f t="array" ref="F522">IFERROR(INDEX('Day Range Raw Data'!F:F,Match($A522,'Day Range Raw Data'!$B:$B,0)),"")</f>
        <v/>
      </c>
      <c r="G522" t="str">
        <f t="array" ref="G522">IFERROR(INDEX('Day Range Raw Data'!G:G,Match($A522,'Day Range Raw Data'!$B:$B,0)),"")</f>
        <v/>
      </c>
      <c r="H522" t="str">
        <f t="array" ref="H522">IFERROR(INDEX('Day Range Raw Data'!H:H,Match($A522,'Day Range Raw Data'!$B:$B,0)),"")</f>
        <v/>
      </c>
      <c r="I522" t="str">
        <f t="array" ref="I522">IFERROR(INDEX('Day Range Raw Data'!M:M,Match($A522,'Day Range Raw Data'!$B:$B,0)),"")</f>
        <v/>
      </c>
      <c r="J522" t="str">
        <f t="array" ref="J522">IFERROR(INDEX('Day Range Raw Data'!N:N,Match($A522,'Day Range Raw Data'!$B:$B,0)),"")</f>
        <v/>
      </c>
      <c r="K522" t="str">
        <f t="array" ref="K522">IFERROR(INDEX('Day Range Raw Data'!R:R,Match($A522,'Day Range Raw Data'!$B:$B,0)),"")</f>
        <v/>
      </c>
      <c r="L522" t="str">
        <f t="array" ref="L522">IFERROR(INDEX('Day Range Raw Data'!S:S,Match($A522,'Day Range Raw Data'!$B:$B,0)),"")</f>
        <v/>
      </c>
      <c r="M522" t="str">
        <f t="array" ref="M522">IFERROR(INDEX('Day Range Raw Data'!T:T,Match($A522,'Day Range Raw Data'!$B:$B,0)),"")</f>
        <v/>
      </c>
      <c r="N522" t="str">
        <f t="array" ref="N522">IFERROR(INDEX('Day Range Raw Data'!U:U,Match($A522,'Day Range Raw Data'!$B:$B,0)),"")</f>
        <v/>
      </c>
      <c r="O522" t="str">
        <f t="array" ref="O522">IFERROR(INDEX('Day Range Raw Data'!V:V,Match($A522,'Day Range Raw Data'!$B:$B,0)),"")</f>
        <v/>
      </c>
      <c r="P522" t="str">
        <f t="array" ref="P522">IFERROR(INDEX('Day Range Raw Data'!X:X,Match($A522,'Day Range Raw Data'!$B:$B,0)),"")</f>
        <v/>
      </c>
      <c r="Q522" t="str">
        <f t="shared" si="1"/>
        <v/>
      </c>
      <c r="R522" s="9" t="str">
        <f t="shared" si="2"/>
        <v/>
      </c>
      <c r="S522" s="14" t="str">
        <f t="shared" si="3"/>
        <v/>
      </c>
      <c r="T522" s="15" t="str">
        <f>IFERROR(__xludf.DUMMYFUNCTION("IF($A522="""","""",IFERROR(PERCENTRANK.INC(FILTER(Q:Q,$F:$F&lt;&gt;""""),Q522)*100,""""))"),"")</f>
        <v/>
      </c>
      <c r="U522" s="15" t="str">
        <f>IFERROR(__xludf.DUMMYFUNCTION("IF($A522="""","""",IFERROR(PERCENTRANK.INC(FILTER(R:R,$F:$F&lt;&gt;""""),R522)*100,""""))"),"")</f>
        <v/>
      </c>
      <c r="V522" s="15" t="str">
        <f>IFERROR(__xludf.DUMMYFUNCTION("IF($A522="""","""",IFERROR(PERCENTRANK.INC(FILTER(S:S,$F:$F&lt;&gt;""""),S522)*100,""""))"),"")</f>
        <v/>
      </c>
      <c r="W522" s="15" t="str">
        <f t="shared" si="4"/>
        <v/>
      </c>
    </row>
    <row r="523">
      <c r="B523" t="str">
        <f t="array" ref="B523">IFERROR(INDEX('Player Raw Data'!C:C,Match($A523,'Player Raw Data'!$B:$B,0)),"")</f>
        <v/>
      </c>
      <c r="C523" t="str">
        <f t="array" ref="C523">IFERROR(INDEX('Player Raw Data'!D:D,Match($A523,'Player Raw Data'!$B:$B,0)),"")</f>
        <v/>
      </c>
      <c r="D523" t="str">
        <f t="array" ref="D523">IFERROR(IF(A523=A522, INDEX('Player Raw Data'!E:E,Match($A523,'Player Raw Data'!$B:$B,0)+2),INDEX('Player Raw Data'!E:E,Match($A523,'Player Raw Data'!$B:$B,0))),"")</f>
        <v/>
      </c>
      <c r="E523" t="str">
        <f t="array" ref="E523">IFERROR(INDEX('Day Range Raw Data'!D:D,Match($A523,'Day Range Raw Data'!$B:$B,0)),"")</f>
        <v/>
      </c>
      <c r="F523" t="str">
        <f t="array" ref="F523">IFERROR(INDEX('Day Range Raw Data'!F:F,Match($A523,'Day Range Raw Data'!$B:$B,0)),"")</f>
        <v/>
      </c>
      <c r="G523" t="str">
        <f t="array" ref="G523">IFERROR(INDEX('Day Range Raw Data'!G:G,Match($A523,'Day Range Raw Data'!$B:$B,0)),"")</f>
        <v/>
      </c>
      <c r="H523" t="str">
        <f t="array" ref="H523">IFERROR(INDEX('Day Range Raw Data'!H:H,Match($A523,'Day Range Raw Data'!$B:$B,0)),"")</f>
        <v/>
      </c>
      <c r="I523" t="str">
        <f t="array" ref="I523">IFERROR(INDEX('Day Range Raw Data'!M:M,Match($A523,'Day Range Raw Data'!$B:$B,0)),"")</f>
        <v/>
      </c>
      <c r="J523" t="str">
        <f t="array" ref="J523">IFERROR(INDEX('Day Range Raw Data'!N:N,Match($A523,'Day Range Raw Data'!$B:$B,0)),"")</f>
        <v/>
      </c>
      <c r="K523" t="str">
        <f t="array" ref="K523">IFERROR(INDEX('Day Range Raw Data'!R:R,Match($A523,'Day Range Raw Data'!$B:$B,0)),"")</f>
        <v/>
      </c>
      <c r="L523" t="str">
        <f t="array" ref="L523">IFERROR(INDEX('Day Range Raw Data'!S:S,Match($A523,'Day Range Raw Data'!$B:$B,0)),"")</f>
        <v/>
      </c>
      <c r="M523" t="str">
        <f t="array" ref="M523">IFERROR(INDEX('Day Range Raw Data'!T:T,Match($A523,'Day Range Raw Data'!$B:$B,0)),"")</f>
        <v/>
      </c>
      <c r="N523" t="str">
        <f t="array" ref="N523">IFERROR(INDEX('Day Range Raw Data'!U:U,Match($A523,'Day Range Raw Data'!$B:$B,0)),"")</f>
        <v/>
      </c>
      <c r="O523" t="str">
        <f t="array" ref="O523">IFERROR(INDEX('Day Range Raw Data'!V:V,Match($A523,'Day Range Raw Data'!$B:$B,0)),"")</f>
        <v/>
      </c>
      <c r="P523" t="str">
        <f t="array" ref="P523">IFERROR(INDEX('Day Range Raw Data'!X:X,Match($A523,'Day Range Raw Data'!$B:$B,0)),"")</f>
        <v/>
      </c>
      <c r="Q523" t="str">
        <f t="shared" si="1"/>
        <v/>
      </c>
      <c r="R523" s="9" t="str">
        <f t="shared" si="2"/>
        <v/>
      </c>
      <c r="S523" s="14" t="str">
        <f t="shared" si="3"/>
        <v/>
      </c>
      <c r="T523" s="15" t="str">
        <f>IFERROR(__xludf.DUMMYFUNCTION("IF($A523="""","""",IFERROR(PERCENTRANK.INC(FILTER(Q:Q,$F:$F&lt;&gt;""""),Q523)*100,""""))"),"")</f>
        <v/>
      </c>
      <c r="U523" s="15" t="str">
        <f>IFERROR(__xludf.DUMMYFUNCTION("IF($A523="""","""",IFERROR(PERCENTRANK.INC(FILTER(R:R,$F:$F&lt;&gt;""""),R523)*100,""""))"),"")</f>
        <v/>
      </c>
      <c r="V523" s="15" t="str">
        <f>IFERROR(__xludf.DUMMYFUNCTION("IF($A523="""","""",IFERROR(PERCENTRANK.INC(FILTER(S:S,$F:$F&lt;&gt;""""),S523)*100,""""))"),"")</f>
        <v/>
      </c>
      <c r="W523" s="15" t="str">
        <f t="shared" si="4"/>
        <v/>
      </c>
    </row>
    <row r="524">
      <c r="B524" t="str">
        <f t="array" ref="B524">IFERROR(INDEX('Player Raw Data'!C:C,Match($A524,'Player Raw Data'!$B:$B,0)),"")</f>
        <v/>
      </c>
      <c r="C524" t="str">
        <f t="array" ref="C524">IFERROR(INDEX('Player Raw Data'!D:D,Match($A524,'Player Raw Data'!$B:$B,0)),"")</f>
        <v/>
      </c>
      <c r="D524" t="str">
        <f t="array" ref="D524">IFERROR(IF(A524=A523, INDEX('Player Raw Data'!E:E,Match($A524,'Player Raw Data'!$B:$B,0)+2),INDEX('Player Raw Data'!E:E,Match($A524,'Player Raw Data'!$B:$B,0))),"")</f>
        <v/>
      </c>
      <c r="E524" t="str">
        <f t="array" ref="E524">IFERROR(INDEX('Day Range Raw Data'!D:D,Match($A524,'Day Range Raw Data'!$B:$B,0)),"")</f>
        <v/>
      </c>
      <c r="F524" t="str">
        <f t="array" ref="F524">IFERROR(INDEX('Day Range Raw Data'!F:F,Match($A524,'Day Range Raw Data'!$B:$B,0)),"")</f>
        <v/>
      </c>
      <c r="G524" t="str">
        <f t="array" ref="G524">IFERROR(INDEX('Day Range Raw Data'!G:G,Match($A524,'Day Range Raw Data'!$B:$B,0)),"")</f>
        <v/>
      </c>
      <c r="H524" t="str">
        <f t="array" ref="H524">IFERROR(INDEX('Day Range Raw Data'!H:H,Match($A524,'Day Range Raw Data'!$B:$B,0)),"")</f>
        <v/>
      </c>
      <c r="I524" t="str">
        <f t="array" ref="I524">IFERROR(INDEX('Day Range Raw Data'!M:M,Match($A524,'Day Range Raw Data'!$B:$B,0)),"")</f>
        <v/>
      </c>
      <c r="J524" t="str">
        <f t="array" ref="J524">IFERROR(INDEX('Day Range Raw Data'!N:N,Match($A524,'Day Range Raw Data'!$B:$B,0)),"")</f>
        <v/>
      </c>
      <c r="K524" t="str">
        <f t="array" ref="K524">IFERROR(INDEX('Day Range Raw Data'!R:R,Match($A524,'Day Range Raw Data'!$B:$B,0)),"")</f>
        <v/>
      </c>
      <c r="L524" t="str">
        <f t="array" ref="L524">IFERROR(INDEX('Day Range Raw Data'!S:S,Match($A524,'Day Range Raw Data'!$B:$B,0)),"")</f>
        <v/>
      </c>
      <c r="M524" t="str">
        <f t="array" ref="M524">IFERROR(INDEX('Day Range Raw Data'!T:T,Match($A524,'Day Range Raw Data'!$B:$B,0)),"")</f>
        <v/>
      </c>
      <c r="N524" t="str">
        <f t="array" ref="N524">IFERROR(INDEX('Day Range Raw Data'!U:U,Match($A524,'Day Range Raw Data'!$B:$B,0)),"")</f>
        <v/>
      </c>
      <c r="O524" t="str">
        <f t="array" ref="O524">IFERROR(INDEX('Day Range Raw Data'!V:V,Match($A524,'Day Range Raw Data'!$B:$B,0)),"")</f>
        <v/>
      </c>
      <c r="P524" t="str">
        <f t="array" ref="P524">IFERROR(INDEX('Day Range Raw Data'!X:X,Match($A524,'Day Range Raw Data'!$B:$B,0)),"")</f>
        <v/>
      </c>
      <c r="Q524" t="str">
        <f t="shared" si="1"/>
        <v/>
      </c>
      <c r="R524" s="9" t="str">
        <f t="shared" si="2"/>
        <v/>
      </c>
      <c r="S524" s="14" t="str">
        <f t="shared" si="3"/>
        <v/>
      </c>
      <c r="T524" s="15" t="str">
        <f>IFERROR(__xludf.DUMMYFUNCTION("IF($A524="""","""",IFERROR(PERCENTRANK.INC(FILTER(Q:Q,$F:$F&lt;&gt;""""),Q524)*100,""""))"),"")</f>
        <v/>
      </c>
      <c r="U524" s="15" t="str">
        <f>IFERROR(__xludf.DUMMYFUNCTION("IF($A524="""","""",IFERROR(PERCENTRANK.INC(FILTER(R:R,$F:$F&lt;&gt;""""),R524)*100,""""))"),"")</f>
        <v/>
      </c>
      <c r="V524" s="15" t="str">
        <f>IFERROR(__xludf.DUMMYFUNCTION("IF($A524="""","""",IFERROR(PERCENTRANK.INC(FILTER(S:S,$F:$F&lt;&gt;""""),S524)*100,""""))"),"")</f>
        <v/>
      </c>
      <c r="W524" s="15" t="str">
        <f t="shared" si="4"/>
        <v/>
      </c>
    </row>
    <row r="525">
      <c r="B525" t="str">
        <f t="array" ref="B525">IFERROR(INDEX('Player Raw Data'!C:C,Match($A525,'Player Raw Data'!$B:$B,0)),"")</f>
        <v/>
      </c>
      <c r="C525" t="str">
        <f t="array" ref="C525">IFERROR(INDEX('Player Raw Data'!D:D,Match($A525,'Player Raw Data'!$B:$B,0)),"")</f>
        <v/>
      </c>
      <c r="D525" t="str">
        <f t="array" ref="D525">IFERROR(IF(A525=A524, INDEX('Player Raw Data'!E:E,Match($A525,'Player Raw Data'!$B:$B,0)+2),INDEX('Player Raw Data'!E:E,Match($A525,'Player Raw Data'!$B:$B,0))),"")</f>
        <v/>
      </c>
      <c r="E525" t="str">
        <f t="array" ref="E525">IFERROR(INDEX('Day Range Raw Data'!D:D,Match($A525,'Day Range Raw Data'!$B:$B,0)),"")</f>
        <v/>
      </c>
      <c r="F525" t="str">
        <f t="array" ref="F525">IFERROR(INDEX('Day Range Raw Data'!F:F,Match($A525,'Day Range Raw Data'!$B:$B,0)),"")</f>
        <v/>
      </c>
      <c r="G525" t="str">
        <f t="array" ref="G525">IFERROR(INDEX('Day Range Raw Data'!G:G,Match($A525,'Day Range Raw Data'!$B:$B,0)),"")</f>
        <v/>
      </c>
      <c r="H525" t="str">
        <f t="array" ref="H525">IFERROR(INDEX('Day Range Raw Data'!H:H,Match($A525,'Day Range Raw Data'!$B:$B,0)),"")</f>
        <v/>
      </c>
      <c r="I525" t="str">
        <f t="array" ref="I525">IFERROR(INDEX('Day Range Raw Data'!M:M,Match($A525,'Day Range Raw Data'!$B:$B,0)),"")</f>
        <v/>
      </c>
      <c r="J525" t="str">
        <f t="array" ref="J525">IFERROR(INDEX('Day Range Raw Data'!N:N,Match($A525,'Day Range Raw Data'!$B:$B,0)),"")</f>
        <v/>
      </c>
      <c r="K525" t="str">
        <f t="array" ref="K525">IFERROR(INDEX('Day Range Raw Data'!R:R,Match($A525,'Day Range Raw Data'!$B:$B,0)),"")</f>
        <v/>
      </c>
      <c r="L525" t="str">
        <f t="array" ref="L525">IFERROR(INDEX('Day Range Raw Data'!S:S,Match($A525,'Day Range Raw Data'!$B:$B,0)),"")</f>
        <v/>
      </c>
      <c r="M525" t="str">
        <f t="array" ref="M525">IFERROR(INDEX('Day Range Raw Data'!T:T,Match($A525,'Day Range Raw Data'!$B:$B,0)),"")</f>
        <v/>
      </c>
      <c r="N525" t="str">
        <f t="array" ref="N525">IFERROR(INDEX('Day Range Raw Data'!U:U,Match($A525,'Day Range Raw Data'!$B:$B,0)),"")</f>
        <v/>
      </c>
      <c r="O525" t="str">
        <f t="array" ref="O525">IFERROR(INDEX('Day Range Raw Data'!V:V,Match($A525,'Day Range Raw Data'!$B:$B,0)),"")</f>
        <v/>
      </c>
      <c r="P525" t="str">
        <f t="array" ref="P525">IFERROR(INDEX('Day Range Raw Data'!X:X,Match($A525,'Day Range Raw Data'!$B:$B,0)),"")</f>
        <v/>
      </c>
      <c r="Q525" t="str">
        <f t="shared" si="1"/>
        <v/>
      </c>
      <c r="R525" s="9" t="str">
        <f t="shared" si="2"/>
        <v/>
      </c>
      <c r="S525" s="14" t="str">
        <f t="shared" si="3"/>
        <v/>
      </c>
      <c r="T525" s="15" t="str">
        <f>IFERROR(__xludf.DUMMYFUNCTION("IF($A525="""","""",IFERROR(PERCENTRANK.INC(FILTER(Q:Q,$F:$F&lt;&gt;""""),Q525)*100,""""))"),"")</f>
        <v/>
      </c>
      <c r="U525" s="15" t="str">
        <f>IFERROR(__xludf.DUMMYFUNCTION("IF($A525="""","""",IFERROR(PERCENTRANK.INC(FILTER(R:R,$F:$F&lt;&gt;""""),R525)*100,""""))"),"")</f>
        <v/>
      </c>
      <c r="V525" s="15" t="str">
        <f>IFERROR(__xludf.DUMMYFUNCTION("IF($A525="""","""",IFERROR(PERCENTRANK.INC(FILTER(S:S,$F:$F&lt;&gt;""""),S525)*100,""""))"),"")</f>
        <v/>
      </c>
      <c r="W525" s="15" t="str">
        <f t="shared" si="4"/>
        <v/>
      </c>
    </row>
    <row r="526">
      <c r="B526" t="str">
        <f t="array" ref="B526">IFERROR(INDEX('Player Raw Data'!C:C,Match($A526,'Player Raw Data'!$B:$B,0)),"")</f>
        <v/>
      </c>
      <c r="C526" t="str">
        <f t="array" ref="C526">IFERROR(INDEX('Player Raw Data'!D:D,Match($A526,'Player Raw Data'!$B:$B,0)),"")</f>
        <v/>
      </c>
      <c r="D526" t="str">
        <f t="array" ref="D526">IFERROR(IF(A526=A525, INDEX('Player Raw Data'!E:E,Match($A526,'Player Raw Data'!$B:$B,0)+2),INDEX('Player Raw Data'!E:E,Match($A526,'Player Raw Data'!$B:$B,0))),"")</f>
        <v/>
      </c>
      <c r="E526" t="str">
        <f t="array" ref="E526">IFERROR(INDEX('Day Range Raw Data'!D:D,Match($A526,'Day Range Raw Data'!$B:$B,0)),"")</f>
        <v/>
      </c>
      <c r="F526" t="str">
        <f t="array" ref="F526">IFERROR(INDEX('Day Range Raw Data'!F:F,Match($A526,'Day Range Raw Data'!$B:$B,0)),"")</f>
        <v/>
      </c>
      <c r="G526" t="str">
        <f t="array" ref="G526">IFERROR(INDEX('Day Range Raw Data'!G:G,Match($A526,'Day Range Raw Data'!$B:$B,0)),"")</f>
        <v/>
      </c>
      <c r="H526" t="str">
        <f t="array" ref="H526">IFERROR(INDEX('Day Range Raw Data'!H:H,Match($A526,'Day Range Raw Data'!$B:$B,0)),"")</f>
        <v/>
      </c>
      <c r="I526" t="str">
        <f t="array" ref="I526">IFERROR(INDEX('Day Range Raw Data'!M:M,Match($A526,'Day Range Raw Data'!$B:$B,0)),"")</f>
        <v/>
      </c>
      <c r="J526" t="str">
        <f t="array" ref="J526">IFERROR(INDEX('Day Range Raw Data'!N:N,Match($A526,'Day Range Raw Data'!$B:$B,0)),"")</f>
        <v/>
      </c>
      <c r="K526" t="str">
        <f t="array" ref="K526">IFERROR(INDEX('Day Range Raw Data'!R:R,Match($A526,'Day Range Raw Data'!$B:$B,0)),"")</f>
        <v/>
      </c>
      <c r="L526" t="str">
        <f t="array" ref="L526">IFERROR(INDEX('Day Range Raw Data'!S:S,Match($A526,'Day Range Raw Data'!$B:$B,0)),"")</f>
        <v/>
      </c>
      <c r="M526" t="str">
        <f t="array" ref="M526">IFERROR(INDEX('Day Range Raw Data'!T:T,Match($A526,'Day Range Raw Data'!$B:$B,0)),"")</f>
        <v/>
      </c>
      <c r="N526" t="str">
        <f t="array" ref="N526">IFERROR(INDEX('Day Range Raw Data'!U:U,Match($A526,'Day Range Raw Data'!$B:$B,0)),"")</f>
        <v/>
      </c>
      <c r="O526" t="str">
        <f t="array" ref="O526">IFERROR(INDEX('Day Range Raw Data'!V:V,Match($A526,'Day Range Raw Data'!$B:$B,0)),"")</f>
        <v/>
      </c>
      <c r="P526" t="str">
        <f t="array" ref="P526">IFERROR(INDEX('Day Range Raw Data'!X:X,Match($A526,'Day Range Raw Data'!$B:$B,0)),"")</f>
        <v/>
      </c>
      <c r="Q526" t="str">
        <f t="shared" si="1"/>
        <v/>
      </c>
      <c r="R526" s="9" t="str">
        <f t="shared" si="2"/>
        <v/>
      </c>
      <c r="S526" s="14" t="str">
        <f t="shared" si="3"/>
        <v/>
      </c>
      <c r="T526" s="15" t="str">
        <f>IFERROR(__xludf.DUMMYFUNCTION("IF($A526="""","""",IFERROR(PERCENTRANK.INC(FILTER(Q:Q,$F:$F&lt;&gt;""""),Q526)*100,""""))"),"")</f>
        <v/>
      </c>
      <c r="U526" s="15" t="str">
        <f>IFERROR(__xludf.DUMMYFUNCTION("IF($A526="""","""",IFERROR(PERCENTRANK.INC(FILTER(R:R,$F:$F&lt;&gt;""""),R526)*100,""""))"),"")</f>
        <v/>
      </c>
      <c r="V526" s="15" t="str">
        <f>IFERROR(__xludf.DUMMYFUNCTION("IF($A526="""","""",IFERROR(PERCENTRANK.INC(FILTER(S:S,$F:$F&lt;&gt;""""),S526)*100,""""))"),"")</f>
        <v/>
      </c>
      <c r="W526" s="15" t="str">
        <f t="shared" si="4"/>
        <v/>
      </c>
    </row>
    <row r="527">
      <c r="B527" t="str">
        <f t="array" ref="B527">IFERROR(INDEX('Player Raw Data'!C:C,Match($A527,'Player Raw Data'!$B:$B,0)),"")</f>
        <v/>
      </c>
      <c r="C527" t="str">
        <f t="array" ref="C527">IFERROR(INDEX('Player Raw Data'!D:D,Match($A527,'Player Raw Data'!$B:$B,0)),"")</f>
        <v/>
      </c>
      <c r="D527" t="str">
        <f t="array" ref="D527">IFERROR(IF(A527=A526, INDEX('Player Raw Data'!E:E,Match($A527,'Player Raw Data'!$B:$B,0)+2),INDEX('Player Raw Data'!E:E,Match($A527,'Player Raw Data'!$B:$B,0))),"")</f>
        <v/>
      </c>
      <c r="E527" t="str">
        <f t="array" ref="E527">IFERROR(INDEX('Day Range Raw Data'!D:D,Match($A527,'Day Range Raw Data'!$B:$B,0)),"")</f>
        <v/>
      </c>
      <c r="F527" t="str">
        <f t="array" ref="F527">IFERROR(INDEX('Day Range Raw Data'!F:F,Match($A527,'Day Range Raw Data'!$B:$B,0)),"")</f>
        <v/>
      </c>
      <c r="G527" t="str">
        <f t="array" ref="G527">IFERROR(INDEX('Day Range Raw Data'!G:G,Match($A527,'Day Range Raw Data'!$B:$B,0)),"")</f>
        <v/>
      </c>
      <c r="H527" t="str">
        <f t="array" ref="H527">IFERROR(INDEX('Day Range Raw Data'!H:H,Match($A527,'Day Range Raw Data'!$B:$B,0)),"")</f>
        <v/>
      </c>
      <c r="I527" t="str">
        <f t="array" ref="I527">IFERROR(INDEX('Day Range Raw Data'!M:M,Match($A527,'Day Range Raw Data'!$B:$B,0)),"")</f>
        <v/>
      </c>
      <c r="J527" t="str">
        <f t="array" ref="J527">IFERROR(INDEX('Day Range Raw Data'!N:N,Match($A527,'Day Range Raw Data'!$B:$B,0)),"")</f>
        <v/>
      </c>
      <c r="K527" t="str">
        <f t="array" ref="K527">IFERROR(INDEX('Day Range Raw Data'!R:R,Match($A527,'Day Range Raw Data'!$B:$B,0)),"")</f>
        <v/>
      </c>
      <c r="L527" t="str">
        <f t="array" ref="L527">IFERROR(INDEX('Day Range Raw Data'!S:S,Match($A527,'Day Range Raw Data'!$B:$B,0)),"")</f>
        <v/>
      </c>
      <c r="M527" t="str">
        <f t="array" ref="M527">IFERROR(INDEX('Day Range Raw Data'!T:T,Match($A527,'Day Range Raw Data'!$B:$B,0)),"")</f>
        <v/>
      </c>
      <c r="N527" t="str">
        <f t="array" ref="N527">IFERROR(INDEX('Day Range Raw Data'!U:U,Match($A527,'Day Range Raw Data'!$B:$B,0)),"")</f>
        <v/>
      </c>
      <c r="O527" t="str">
        <f t="array" ref="O527">IFERROR(INDEX('Day Range Raw Data'!V:V,Match($A527,'Day Range Raw Data'!$B:$B,0)),"")</f>
        <v/>
      </c>
      <c r="P527" t="str">
        <f t="array" ref="P527">IFERROR(INDEX('Day Range Raw Data'!X:X,Match($A527,'Day Range Raw Data'!$B:$B,0)),"")</f>
        <v/>
      </c>
      <c r="Q527" t="str">
        <f t="shared" si="1"/>
        <v/>
      </c>
      <c r="R527" s="9" t="str">
        <f t="shared" si="2"/>
        <v/>
      </c>
      <c r="S527" s="14" t="str">
        <f t="shared" si="3"/>
        <v/>
      </c>
      <c r="T527" s="15" t="str">
        <f>IFERROR(__xludf.DUMMYFUNCTION("IF($A527="""","""",IFERROR(PERCENTRANK.INC(FILTER(Q:Q,$F:$F&lt;&gt;""""),Q527)*100,""""))"),"")</f>
        <v/>
      </c>
      <c r="U527" s="15" t="str">
        <f>IFERROR(__xludf.DUMMYFUNCTION("IF($A527="""","""",IFERROR(PERCENTRANK.INC(FILTER(R:R,$F:$F&lt;&gt;""""),R527)*100,""""))"),"")</f>
        <v/>
      </c>
      <c r="V527" s="15" t="str">
        <f>IFERROR(__xludf.DUMMYFUNCTION("IF($A527="""","""",IFERROR(PERCENTRANK.INC(FILTER(S:S,$F:$F&lt;&gt;""""),S527)*100,""""))"),"")</f>
        <v/>
      </c>
      <c r="W527" s="15" t="str">
        <f t="shared" si="4"/>
        <v/>
      </c>
    </row>
    <row r="528">
      <c r="B528" t="str">
        <f t="array" ref="B528">IFERROR(INDEX('Player Raw Data'!C:C,Match($A528,'Player Raw Data'!$B:$B,0)),"")</f>
        <v/>
      </c>
      <c r="C528" t="str">
        <f t="array" ref="C528">IFERROR(INDEX('Player Raw Data'!D:D,Match($A528,'Player Raw Data'!$B:$B,0)),"")</f>
        <v/>
      </c>
      <c r="D528" t="str">
        <f t="array" ref="D528">IFERROR(IF(A528=A527, INDEX('Player Raw Data'!E:E,Match($A528,'Player Raw Data'!$B:$B,0)+2),INDEX('Player Raw Data'!E:E,Match($A528,'Player Raw Data'!$B:$B,0))),"")</f>
        <v/>
      </c>
      <c r="E528" t="str">
        <f t="array" ref="E528">IFERROR(INDEX('Day Range Raw Data'!D:D,Match($A528,'Day Range Raw Data'!$B:$B,0)),"")</f>
        <v/>
      </c>
      <c r="F528" t="str">
        <f t="array" ref="F528">IFERROR(INDEX('Day Range Raw Data'!F:F,Match($A528,'Day Range Raw Data'!$B:$B,0)),"")</f>
        <v/>
      </c>
      <c r="G528" t="str">
        <f t="array" ref="G528">IFERROR(INDEX('Day Range Raw Data'!G:G,Match($A528,'Day Range Raw Data'!$B:$B,0)),"")</f>
        <v/>
      </c>
      <c r="H528" t="str">
        <f t="array" ref="H528">IFERROR(INDEX('Day Range Raw Data'!H:H,Match($A528,'Day Range Raw Data'!$B:$B,0)),"")</f>
        <v/>
      </c>
      <c r="I528" t="str">
        <f t="array" ref="I528">IFERROR(INDEX('Day Range Raw Data'!M:M,Match($A528,'Day Range Raw Data'!$B:$B,0)),"")</f>
        <v/>
      </c>
      <c r="J528" t="str">
        <f t="array" ref="J528">IFERROR(INDEX('Day Range Raw Data'!N:N,Match($A528,'Day Range Raw Data'!$B:$B,0)),"")</f>
        <v/>
      </c>
      <c r="K528" t="str">
        <f t="array" ref="K528">IFERROR(INDEX('Day Range Raw Data'!R:R,Match($A528,'Day Range Raw Data'!$B:$B,0)),"")</f>
        <v/>
      </c>
      <c r="L528" t="str">
        <f t="array" ref="L528">IFERROR(INDEX('Day Range Raw Data'!S:S,Match($A528,'Day Range Raw Data'!$B:$B,0)),"")</f>
        <v/>
      </c>
      <c r="M528" t="str">
        <f t="array" ref="M528">IFERROR(INDEX('Day Range Raw Data'!T:T,Match($A528,'Day Range Raw Data'!$B:$B,0)),"")</f>
        <v/>
      </c>
      <c r="N528" t="str">
        <f t="array" ref="N528">IFERROR(INDEX('Day Range Raw Data'!U:U,Match($A528,'Day Range Raw Data'!$B:$B,0)),"")</f>
        <v/>
      </c>
      <c r="O528" t="str">
        <f t="array" ref="O528">IFERROR(INDEX('Day Range Raw Data'!V:V,Match($A528,'Day Range Raw Data'!$B:$B,0)),"")</f>
        <v/>
      </c>
      <c r="P528" t="str">
        <f t="array" ref="P528">IFERROR(INDEX('Day Range Raw Data'!X:X,Match($A528,'Day Range Raw Data'!$B:$B,0)),"")</f>
        <v/>
      </c>
      <c r="Q528" t="str">
        <f t="shared" si="1"/>
        <v/>
      </c>
      <c r="R528" s="9" t="str">
        <f t="shared" si="2"/>
        <v/>
      </c>
      <c r="S528" s="14" t="str">
        <f t="shared" si="3"/>
        <v/>
      </c>
      <c r="T528" s="15" t="str">
        <f>IFERROR(__xludf.DUMMYFUNCTION("IF($A528="""","""",IFERROR(PERCENTRANK.INC(FILTER(Q:Q,$F:$F&lt;&gt;""""),Q528)*100,""""))"),"")</f>
        <v/>
      </c>
      <c r="U528" s="15" t="str">
        <f>IFERROR(__xludf.DUMMYFUNCTION("IF($A528="""","""",IFERROR(PERCENTRANK.INC(FILTER(R:R,$F:$F&lt;&gt;""""),R528)*100,""""))"),"")</f>
        <v/>
      </c>
      <c r="V528" s="15" t="str">
        <f>IFERROR(__xludf.DUMMYFUNCTION("IF($A528="""","""",IFERROR(PERCENTRANK.INC(FILTER(S:S,$F:$F&lt;&gt;""""),S528)*100,""""))"),"")</f>
        <v/>
      </c>
      <c r="W528" s="15" t="str">
        <f t="shared" si="4"/>
        <v/>
      </c>
    </row>
    <row r="529">
      <c r="B529" t="str">
        <f t="array" ref="B529">IFERROR(INDEX('Player Raw Data'!C:C,Match($A529,'Player Raw Data'!$B:$B,0)),"")</f>
        <v/>
      </c>
      <c r="C529" t="str">
        <f t="array" ref="C529">IFERROR(INDEX('Player Raw Data'!D:D,Match($A529,'Player Raw Data'!$B:$B,0)),"")</f>
        <v/>
      </c>
      <c r="D529" t="str">
        <f t="array" ref="D529">IFERROR(IF(A529=A528, INDEX('Player Raw Data'!E:E,Match($A529,'Player Raw Data'!$B:$B,0)+2),INDEX('Player Raw Data'!E:E,Match($A529,'Player Raw Data'!$B:$B,0))),"")</f>
        <v/>
      </c>
      <c r="E529" t="str">
        <f t="array" ref="E529">IFERROR(INDEX('Day Range Raw Data'!D:D,Match($A529,'Day Range Raw Data'!$B:$B,0)),"")</f>
        <v/>
      </c>
      <c r="F529" t="str">
        <f t="array" ref="F529">IFERROR(INDEX('Day Range Raw Data'!F:F,Match($A529,'Day Range Raw Data'!$B:$B,0)),"")</f>
        <v/>
      </c>
      <c r="G529" t="str">
        <f t="array" ref="G529">IFERROR(INDEX('Day Range Raw Data'!G:G,Match($A529,'Day Range Raw Data'!$B:$B,0)),"")</f>
        <v/>
      </c>
      <c r="H529" t="str">
        <f t="array" ref="H529">IFERROR(INDEX('Day Range Raw Data'!H:H,Match($A529,'Day Range Raw Data'!$B:$B,0)),"")</f>
        <v/>
      </c>
      <c r="I529" t="str">
        <f t="array" ref="I529">IFERROR(INDEX('Day Range Raw Data'!M:M,Match($A529,'Day Range Raw Data'!$B:$B,0)),"")</f>
        <v/>
      </c>
      <c r="J529" t="str">
        <f t="array" ref="J529">IFERROR(INDEX('Day Range Raw Data'!N:N,Match($A529,'Day Range Raw Data'!$B:$B,0)),"")</f>
        <v/>
      </c>
      <c r="K529" t="str">
        <f t="array" ref="K529">IFERROR(INDEX('Day Range Raw Data'!R:R,Match($A529,'Day Range Raw Data'!$B:$B,0)),"")</f>
        <v/>
      </c>
      <c r="L529" t="str">
        <f t="array" ref="L529">IFERROR(INDEX('Day Range Raw Data'!S:S,Match($A529,'Day Range Raw Data'!$B:$B,0)),"")</f>
        <v/>
      </c>
      <c r="M529" t="str">
        <f t="array" ref="M529">IFERROR(INDEX('Day Range Raw Data'!T:T,Match($A529,'Day Range Raw Data'!$B:$B,0)),"")</f>
        <v/>
      </c>
      <c r="N529" t="str">
        <f t="array" ref="N529">IFERROR(INDEX('Day Range Raw Data'!U:U,Match($A529,'Day Range Raw Data'!$B:$B,0)),"")</f>
        <v/>
      </c>
      <c r="O529" t="str">
        <f t="array" ref="O529">IFERROR(INDEX('Day Range Raw Data'!V:V,Match($A529,'Day Range Raw Data'!$B:$B,0)),"")</f>
        <v/>
      </c>
      <c r="P529" t="str">
        <f t="array" ref="P529">IFERROR(INDEX('Day Range Raw Data'!X:X,Match($A529,'Day Range Raw Data'!$B:$B,0)),"")</f>
        <v/>
      </c>
      <c r="Q529" t="str">
        <f t="shared" si="1"/>
        <v/>
      </c>
      <c r="R529" s="9" t="str">
        <f t="shared" si="2"/>
        <v/>
      </c>
      <c r="S529" s="14" t="str">
        <f t="shared" si="3"/>
        <v/>
      </c>
      <c r="T529" s="15" t="str">
        <f>IFERROR(__xludf.DUMMYFUNCTION("IF($A529="""","""",IFERROR(PERCENTRANK.INC(FILTER(Q:Q,$F:$F&lt;&gt;""""),Q529)*100,""""))"),"")</f>
        <v/>
      </c>
      <c r="U529" s="15" t="str">
        <f>IFERROR(__xludf.DUMMYFUNCTION("IF($A529="""","""",IFERROR(PERCENTRANK.INC(FILTER(R:R,$F:$F&lt;&gt;""""),R529)*100,""""))"),"")</f>
        <v/>
      </c>
      <c r="V529" s="15" t="str">
        <f>IFERROR(__xludf.DUMMYFUNCTION("IF($A529="""","""",IFERROR(PERCENTRANK.INC(FILTER(S:S,$F:$F&lt;&gt;""""),S529)*100,""""))"),"")</f>
        <v/>
      </c>
      <c r="W529" s="15" t="str">
        <f t="shared" si="4"/>
        <v/>
      </c>
    </row>
    <row r="530">
      <c r="B530" t="str">
        <f t="array" ref="B530">IFERROR(INDEX('Player Raw Data'!C:C,Match($A530,'Player Raw Data'!$B:$B,0)),"")</f>
        <v/>
      </c>
      <c r="C530" t="str">
        <f t="array" ref="C530">IFERROR(INDEX('Player Raw Data'!D:D,Match($A530,'Player Raw Data'!$B:$B,0)),"")</f>
        <v/>
      </c>
      <c r="D530" t="str">
        <f t="array" ref="D530">IFERROR(IF(A530=A529, INDEX('Player Raw Data'!E:E,Match($A530,'Player Raw Data'!$B:$B,0)+2),INDEX('Player Raw Data'!E:E,Match($A530,'Player Raw Data'!$B:$B,0))),"")</f>
        <v/>
      </c>
      <c r="E530" t="str">
        <f t="array" ref="E530">IFERROR(INDEX('Day Range Raw Data'!D:D,Match($A530,'Day Range Raw Data'!$B:$B,0)),"")</f>
        <v/>
      </c>
      <c r="F530" t="str">
        <f t="array" ref="F530">IFERROR(INDEX('Day Range Raw Data'!F:F,Match($A530,'Day Range Raw Data'!$B:$B,0)),"")</f>
        <v/>
      </c>
      <c r="G530" t="str">
        <f t="array" ref="G530">IFERROR(INDEX('Day Range Raw Data'!G:G,Match($A530,'Day Range Raw Data'!$B:$B,0)),"")</f>
        <v/>
      </c>
      <c r="H530" t="str">
        <f t="array" ref="H530">IFERROR(INDEX('Day Range Raw Data'!H:H,Match($A530,'Day Range Raw Data'!$B:$B,0)),"")</f>
        <v/>
      </c>
      <c r="I530" t="str">
        <f t="array" ref="I530">IFERROR(INDEX('Day Range Raw Data'!M:M,Match($A530,'Day Range Raw Data'!$B:$B,0)),"")</f>
        <v/>
      </c>
      <c r="J530" t="str">
        <f t="array" ref="J530">IFERROR(INDEX('Day Range Raw Data'!N:N,Match($A530,'Day Range Raw Data'!$B:$B,0)),"")</f>
        <v/>
      </c>
      <c r="K530" t="str">
        <f t="array" ref="K530">IFERROR(INDEX('Day Range Raw Data'!R:R,Match($A530,'Day Range Raw Data'!$B:$B,0)),"")</f>
        <v/>
      </c>
      <c r="L530" t="str">
        <f t="array" ref="L530">IFERROR(INDEX('Day Range Raw Data'!S:S,Match($A530,'Day Range Raw Data'!$B:$B,0)),"")</f>
        <v/>
      </c>
      <c r="M530" t="str">
        <f t="array" ref="M530">IFERROR(INDEX('Day Range Raw Data'!T:T,Match($A530,'Day Range Raw Data'!$B:$B,0)),"")</f>
        <v/>
      </c>
      <c r="N530" t="str">
        <f t="array" ref="N530">IFERROR(INDEX('Day Range Raw Data'!U:U,Match($A530,'Day Range Raw Data'!$B:$B,0)),"")</f>
        <v/>
      </c>
      <c r="O530" t="str">
        <f t="array" ref="O530">IFERROR(INDEX('Day Range Raw Data'!V:V,Match($A530,'Day Range Raw Data'!$B:$B,0)),"")</f>
        <v/>
      </c>
      <c r="P530" t="str">
        <f t="array" ref="P530">IFERROR(INDEX('Day Range Raw Data'!X:X,Match($A530,'Day Range Raw Data'!$B:$B,0)),"")</f>
        <v/>
      </c>
      <c r="Q530" t="str">
        <f t="shared" si="1"/>
        <v/>
      </c>
      <c r="R530" s="9" t="str">
        <f t="shared" si="2"/>
        <v/>
      </c>
      <c r="S530" s="14" t="str">
        <f t="shared" si="3"/>
        <v/>
      </c>
      <c r="T530" s="15" t="str">
        <f>IFERROR(__xludf.DUMMYFUNCTION("IF($A530="""","""",IFERROR(PERCENTRANK.INC(FILTER(Q:Q,$F:$F&lt;&gt;""""),Q530)*100,""""))"),"")</f>
        <v/>
      </c>
      <c r="U530" s="15" t="str">
        <f>IFERROR(__xludf.DUMMYFUNCTION("IF($A530="""","""",IFERROR(PERCENTRANK.INC(FILTER(R:R,$F:$F&lt;&gt;""""),R530)*100,""""))"),"")</f>
        <v/>
      </c>
      <c r="V530" s="15" t="str">
        <f>IFERROR(__xludf.DUMMYFUNCTION("IF($A530="""","""",IFERROR(PERCENTRANK.INC(FILTER(S:S,$F:$F&lt;&gt;""""),S530)*100,""""))"),"")</f>
        <v/>
      </c>
      <c r="W530" s="15" t="str">
        <f t="shared" si="4"/>
        <v/>
      </c>
    </row>
    <row r="531">
      <c r="B531" t="str">
        <f t="array" ref="B531">IFERROR(INDEX('Player Raw Data'!C:C,Match($A531,'Player Raw Data'!$B:$B,0)),"")</f>
        <v/>
      </c>
      <c r="C531" t="str">
        <f t="array" ref="C531">IFERROR(INDEX('Player Raw Data'!D:D,Match($A531,'Player Raw Data'!$B:$B,0)),"")</f>
        <v/>
      </c>
      <c r="D531" t="str">
        <f t="array" ref="D531">IFERROR(IF(A531=A530, INDEX('Player Raw Data'!E:E,Match($A531,'Player Raw Data'!$B:$B,0)+2),INDEX('Player Raw Data'!E:E,Match($A531,'Player Raw Data'!$B:$B,0))),"")</f>
        <v/>
      </c>
      <c r="E531" t="str">
        <f t="array" ref="E531">IFERROR(INDEX('Day Range Raw Data'!D:D,Match($A531,'Day Range Raw Data'!$B:$B,0)),"")</f>
        <v/>
      </c>
      <c r="F531" t="str">
        <f t="array" ref="F531">IFERROR(INDEX('Day Range Raw Data'!F:F,Match($A531,'Day Range Raw Data'!$B:$B,0)),"")</f>
        <v/>
      </c>
      <c r="G531" t="str">
        <f t="array" ref="G531">IFERROR(INDEX('Day Range Raw Data'!G:G,Match($A531,'Day Range Raw Data'!$B:$B,0)),"")</f>
        <v/>
      </c>
      <c r="H531" t="str">
        <f t="array" ref="H531">IFERROR(INDEX('Day Range Raw Data'!H:H,Match($A531,'Day Range Raw Data'!$B:$B,0)),"")</f>
        <v/>
      </c>
      <c r="I531" t="str">
        <f t="array" ref="I531">IFERROR(INDEX('Day Range Raw Data'!M:M,Match($A531,'Day Range Raw Data'!$B:$B,0)),"")</f>
        <v/>
      </c>
      <c r="J531" t="str">
        <f t="array" ref="J531">IFERROR(INDEX('Day Range Raw Data'!N:N,Match($A531,'Day Range Raw Data'!$B:$B,0)),"")</f>
        <v/>
      </c>
      <c r="K531" t="str">
        <f t="array" ref="K531">IFERROR(INDEX('Day Range Raw Data'!R:R,Match($A531,'Day Range Raw Data'!$B:$B,0)),"")</f>
        <v/>
      </c>
      <c r="L531" t="str">
        <f t="array" ref="L531">IFERROR(INDEX('Day Range Raw Data'!S:S,Match($A531,'Day Range Raw Data'!$B:$B,0)),"")</f>
        <v/>
      </c>
      <c r="M531" t="str">
        <f t="array" ref="M531">IFERROR(INDEX('Day Range Raw Data'!T:T,Match($A531,'Day Range Raw Data'!$B:$B,0)),"")</f>
        <v/>
      </c>
      <c r="N531" t="str">
        <f t="array" ref="N531">IFERROR(INDEX('Day Range Raw Data'!U:U,Match($A531,'Day Range Raw Data'!$B:$B,0)),"")</f>
        <v/>
      </c>
      <c r="O531" t="str">
        <f t="array" ref="O531">IFERROR(INDEX('Day Range Raw Data'!V:V,Match($A531,'Day Range Raw Data'!$B:$B,0)),"")</f>
        <v/>
      </c>
      <c r="P531" t="str">
        <f t="array" ref="P531">IFERROR(INDEX('Day Range Raw Data'!X:X,Match($A531,'Day Range Raw Data'!$B:$B,0)),"")</f>
        <v/>
      </c>
      <c r="Q531" t="str">
        <f t="shared" si="1"/>
        <v/>
      </c>
      <c r="R531" s="9" t="str">
        <f t="shared" si="2"/>
        <v/>
      </c>
      <c r="S531" s="14" t="str">
        <f t="shared" si="3"/>
        <v/>
      </c>
      <c r="T531" s="15" t="str">
        <f>IFERROR(__xludf.DUMMYFUNCTION("IF($A531="""","""",IFERROR(PERCENTRANK.INC(FILTER(Q:Q,$F:$F&lt;&gt;""""),Q531)*100,""""))"),"")</f>
        <v/>
      </c>
      <c r="U531" s="15" t="str">
        <f>IFERROR(__xludf.DUMMYFUNCTION("IF($A531="""","""",IFERROR(PERCENTRANK.INC(FILTER(R:R,$F:$F&lt;&gt;""""),R531)*100,""""))"),"")</f>
        <v/>
      </c>
      <c r="V531" s="15" t="str">
        <f>IFERROR(__xludf.DUMMYFUNCTION("IF($A531="""","""",IFERROR(PERCENTRANK.INC(FILTER(S:S,$F:$F&lt;&gt;""""),S531)*100,""""))"),"")</f>
        <v/>
      </c>
      <c r="W531" s="15" t="str">
        <f t="shared" si="4"/>
        <v/>
      </c>
    </row>
    <row r="532">
      <c r="B532" t="str">
        <f t="array" ref="B532">IFERROR(INDEX('Player Raw Data'!C:C,Match($A532,'Player Raw Data'!$B:$B,0)),"")</f>
        <v/>
      </c>
      <c r="C532" t="str">
        <f t="array" ref="C532">IFERROR(INDEX('Player Raw Data'!D:D,Match($A532,'Player Raw Data'!$B:$B,0)),"")</f>
        <v/>
      </c>
      <c r="D532" t="str">
        <f t="array" ref="D532">IFERROR(IF(A532=A531, INDEX('Player Raw Data'!E:E,Match($A532,'Player Raw Data'!$B:$B,0)+2),INDEX('Player Raw Data'!E:E,Match($A532,'Player Raw Data'!$B:$B,0))),"")</f>
        <v/>
      </c>
      <c r="E532" t="str">
        <f t="array" ref="E532">IFERROR(INDEX('Day Range Raw Data'!D:D,Match($A532,'Day Range Raw Data'!$B:$B,0)),"")</f>
        <v/>
      </c>
      <c r="F532" t="str">
        <f t="array" ref="F532">IFERROR(INDEX('Day Range Raw Data'!F:F,Match($A532,'Day Range Raw Data'!$B:$B,0)),"")</f>
        <v/>
      </c>
      <c r="G532" t="str">
        <f t="array" ref="G532">IFERROR(INDEX('Day Range Raw Data'!G:G,Match($A532,'Day Range Raw Data'!$B:$B,0)),"")</f>
        <v/>
      </c>
      <c r="H532" t="str">
        <f t="array" ref="H532">IFERROR(INDEX('Day Range Raw Data'!H:H,Match($A532,'Day Range Raw Data'!$B:$B,0)),"")</f>
        <v/>
      </c>
      <c r="I532" t="str">
        <f t="array" ref="I532">IFERROR(INDEX('Day Range Raw Data'!M:M,Match($A532,'Day Range Raw Data'!$B:$B,0)),"")</f>
        <v/>
      </c>
      <c r="J532" t="str">
        <f t="array" ref="J532">IFERROR(INDEX('Day Range Raw Data'!N:N,Match($A532,'Day Range Raw Data'!$B:$B,0)),"")</f>
        <v/>
      </c>
      <c r="K532" t="str">
        <f t="array" ref="K532">IFERROR(INDEX('Day Range Raw Data'!R:R,Match($A532,'Day Range Raw Data'!$B:$B,0)),"")</f>
        <v/>
      </c>
      <c r="L532" t="str">
        <f t="array" ref="L532">IFERROR(INDEX('Day Range Raw Data'!S:S,Match($A532,'Day Range Raw Data'!$B:$B,0)),"")</f>
        <v/>
      </c>
      <c r="M532" t="str">
        <f t="array" ref="M532">IFERROR(INDEX('Day Range Raw Data'!T:T,Match($A532,'Day Range Raw Data'!$B:$B,0)),"")</f>
        <v/>
      </c>
      <c r="N532" t="str">
        <f t="array" ref="N532">IFERROR(INDEX('Day Range Raw Data'!U:U,Match($A532,'Day Range Raw Data'!$B:$B,0)),"")</f>
        <v/>
      </c>
      <c r="O532" t="str">
        <f t="array" ref="O532">IFERROR(INDEX('Day Range Raw Data'!V:V,Match($A532,'Day Range Raw Data'!$B:$B,0)),"")</f>
        <v/>
      </c>
      <c r="P532" t="str">
        <f t="array" ref="P532">IFERROR(INDEX('Day Range Raw Data'!X:X,Match($A532,'Day Range Raw Data'!$B:$B,0)),"")</f>
        <v/>
      </c>
      <c r="Q532" t="str">
        <f t="shared" si="1"/>
        <v/>
      </c>
      <c r="R532" s="9" t="str">
        <f t="shared" si="2"/>
        <v/>
      </c>
      <c r="S532" s="14" t="str">
        <f t="shared" si="3"/>
        <v/>
      </c>
      <c r="T532" s="15" t="str">
        <f>IFERROR(__xludf.DUMMYFUNCTION("IF($A532="""","""",IFERROR(PERCENTRANK.INC(FILTER(Q:Q,$F:$F&lt;&gt;""""),Q532)*100,""""))"),"")</f>
        <v/>
      </c>
      <c r="U532" s="15" t="str">
        <f>IFERROR(__xludf.DUMMYFUNCTION("IF($A532="""","""",IFERROR(PERCENTRANK.INC(FILTER(R:R,$F:$F&lt;&gt;""""),R532)*100,""""))"),"")</f>
        <v/>
      </c>
      <c r="V532" s="15" t="str">
        <f>IFERROR(__xludf.DUMMYFUNCTION("IF($A532="""","""",IFERROR(PERCENTRANK.INC(FILTER(S:S,$F:$F&lt;&gt;""""),S532)*100,""""))"),"")</f>
        <v/>
      </c>
      <c r="W532" s="15" t="str">
        <f t="shared" si="4"/>
        <v/>
      </c>
    </row>
    <row r="533">
      <c r="B533" t="str">
        <f t="array" ref="B533">IFERROR(INDEX('Player Raw Data'!C:C,Match($A533,'Player Raw Data'!$B:$B,0)),"")</f>
        <v/>
      </c>
      <c r="C533" t="str">
        <f t="array" ref="C533">IFERROR(INDEX('Player Raw Data'!D:D,Match($A533,'Player Raw Data'!$B:$B,0)),"")</f>
        <v/>
      </c>
      <c r="D533" t="str">
        <f t="array" ref="D533">IFERROR(IF(A533=A532, INDEX('Player Raw Data'!E:E,Match($A533,'Player Raw Data'!$B:$B,0)+2),INDEX('Player Raw Data'!E:E,Match($A533,'Player Raw Data'!$B:$B,0))),"")</f>
        <v/>
      </c>
      <c r="E533" t="str">
        <f t="array" ref="E533">IFERROR(INDEX('Day Range Raw Data'!D:D,Match($A533,'Day Range Raw Data'!$B:$B,0)),"")</f>
        <v/>
      </c>
      <c r="F533" t="str">
        <f t="array" ref="F533">IFERROR(INDEX('Day Range Raw Data'!F:F,Match($A533,'Day Range Raw Data'!$B:$B,0)),"")</f>
        <v/>
      </c>
      <c r="G533" t="str">
        <f t="array" ref="G533">IFERROR(INDEX('Day Range Raw Data'!G:G,Match($A533,'Day Range Raw Data'!$B:$B,0)),"")</f>
        <v/>
      </c>
      <c r="H533" t="str">
        <f t="array" ref="H533">IFERROR(INDEX('Day Range Raw Data'!H:H,Match($A533,'Day Range Raw Data'!$B:$B,0)),"")</f>
        <v/>
      </c>
      <c r="I533" t="str">
        <f t="array" ref="I533">IFERROR(INDEX('Day Range Raw Data'!M:M,Match($A533,'Day Range Raw Data'!$B:$B,0)),"")</f>
        <v/>
      </c>
      <c r="J533" t="str">
        <f t="array" ref="J533">IFERROR(INDEX('Day Range Raw Data'!N:N,Match($A533,'Day Range Raw Data'!$B:$B,0)),"")</f>
        <v/>
      </c>
      <c r="K533" t="str">
        <f t="array" ref="K533">IFERROR(INDEX('Day Range Raw Data'!R:R,Match($A533,'Day Range Raw Data'!$B:$B,0)),"")</f>
        <v/>
      </c>
      <c r="L533" t="str">
        <f t="array" ref="L533">IFERROR(INDEX('Day Range Raw Data'!S:S,Match($A533,'Day Range Raw Data'!$B:$B,0)),"")</f>
        <v/>
      </c>
      <c r="M533" t="str">
        <f t="array" ref="M533">IFERROR(INDEX('Day Range Raw Data'!T:T,Match($A533,'Day Range Raw Data'!$B:$B,0)),"")</f>
        <v/>
      </c>
      <c r="N533" t="str">
        <f t="array" ref="N533">IFERROR(INDEX('Day Range Raw Data'!U:U,Match($A533,'Day Range Raw Data'!$B:$B,0)),"")</f>
        <v/>
      </c>
      <c r="O533" t="str">
        <f t="array" ref="O533">IFERROR(INDEX('Day Range Raw Data'!V:V,Match($A533,'Day Range Raw Data'!$B:$B,0)),"")</f>
        <v/>
      </c>
      <c r="P533" t="str">
        <f t="array" ref="P533">IFERROR(INDEX('Day Range Raw Data'!X:X,Match($A533,'Day Range Raw Data'!$B:$B,0)),"")</f>
        <v/>
      </c>
      <c r="Q533" t="str">
        <f t="shared" si="1"/>
        <v/>
      </c>
      <c r="R533" s="9" t="str">
        <f t="shared" si="2"/>
        <v/>
      </c>
      <c r="S533" s="14" t="str">
        <f t="shared" si="3"/>
        <v/>
      </c>
      <c r="T533" s="15" t="str">
        <f>IFERROR(__xludf.DUMMYFUNCTION("IF($A533="""","""",IFERROR(PERCENTRANK.INC(FILTER(Q:Q,$F:$F&lt;&gt;""""),Q533)*100,""""))"),"")</f>
        <v/>
      </c>
      <c r="U533" s="15" t="str">
        <f>IFERROR(__xludf.DUMMYFUNCTION("IF($A533="""","""",IFERROR(PERCENTRANK.INC(FILTER(R:R,$F:$F&lt;&gt;""""),R533)*100,""""))"),"")</f>
        <v/>
      </c>
      <c r="V533" s="15" t="str">
        <f>IFERROR(__xludf.DUMMYFUNCTION("IF($A533="""","""",IFERROR(PERCENTRANK.INC(FILTER(S:S,$F:$F&lt;&gt;""""),S533)*100,""""))"),"")</f>
        <v/>
      </c>
      <c r="W533" s="15" t="str">
        <f t="shared" si="4"/>
        <v/>
      </c>
    </row>
    <row r="534">
      <c r="B534" t="str">
        <f t="array" ref="B534">IFERROR(INDEX('Player Raw Data'!C:C,Match($A534,'Player Raw Data'!$B:$B,0)),"")</f>
        <v/>
      </c>
      <c r="C534" t="str">
        <f t="array" ref="C534">IFERROR(INDEX('Player Raw Data'!D:D,Match($A534,'Player Raw Data'!$B:$B,0)),"")</f>
        <v/>
      </c>
      <c r="D534" t="str">
        <f t="array" ref="D534">IFERROR(IF(A534=A533, INDEX('Player Raw Data'!E:E,Match($A534,'Player Raw Data'!$B:$B,0)+2),INDEX('Player Raw Data'!E:E,Match($A534,'Player Raw Data'!$B:$B,0))),"")</f>
        <v/>
      </c>
      <c r="E534" t="str">
        <f t="array" ref="E534">IFERROR(INDEX('Day Range Raw Data'!D:D,Match($A534,'Day Range Raw Data'!$B:$B,0)),"")</f>
        <v/>
      </c>
      <c r="F534" t="str">
        <f t="array" ref="F534">IFERROR(INDEX('Day Range Raw Data'!F:F,Match($A534,'Day Range Raw Data'!$B:$B,0)),"")</f>
        <v/>
      </c>
      <c r="G534" t="str">
        <f t="array" ref="G534">IFERROR(INDEX('Day Range Raw Data'!G:G,Match($A534,'Day Range Raw Data'!$B:$B,0)),"")</f>
        <v/>
      </c>
      <c r="H534" t="str">
        <f t="array" ref="H534">IFERROR(INDEX('Day Range Raw Data'!H:H,Match($A534,'Day Range Raw Data'!$B:$B,0)),"")</f>
        <v/>
      </c>
      <c r="I534" t="str">
        <f t="array" ref="I534">IFERROR(INDEX('Day Range Raw Data'!M:M,Match($A534,'Day Range Raw Data'!$B:$B,0)),"")</f>
        <v/>
      </c>
      <c r="J534" t="str">
        <f t="array" ref="J534">IFERROR(INDEX('Day Range Raw Data'!N:N,Match($A534,'Day Range Raw Data'!$B:$B,0)),"")</f>
        <v/>
      </c>
      <c r="K534" t="str">
        <f t="array" ref="K534">IFERROR(INDEX('Day Range Raw Data'!R:R,Match($A534,'Day Range Raw Data'!$B:$B,0)),"")</f>
        <v/>
      </c>
      <c r="L534" t="str">
        <f t="array" ref="L534">IFERROR(INDEX('Day Range Raw Data'!S:S,Match($A534,'Day Range Raw Data'!$B:$B,0)),"")</f>
        <v/>
      </c>
      <c r="M534" t="str">
        <f t="array" ref="M534">IFERROR(INDEX('Day Range Raw Data'!T:T,Match($A534,'Day Range Raw Data'!$B:$B,0)),"")</f>
        <v/>
      </c>
      <c r="N534" t="str">
        <f t="array" ref="N534">IFERROR(INDEX('Day Range Raw Data'!U:U,Match($A534,'Day Range Raw Data'!$B:$B,0)),"")</f>
        <v/>
      </c>
      <c r="O534" t="str">
        <f t="array" ref="O534">IFERROR(INDEX('Day Range Raw Data'!V:V,Match($A534,'Day Range Raw Data'!$B:$B,0)),"")</f>
        <v/>
      </c>
      <c r="P534" t="str">
        <f t="array" ref="P534">IFERROR(INDEX('Day Range Raw Data'!X:X,Match($A534,'Day Range Raw Data'!$B:$B,0)),"")</f>
        <v/>
      </c>
      <c r="Q534" t="str">
        <f t="shared" si="1"/>
        <v/>
      </c>
      <c r="R534" s="9" t="str">
        <f t="shared" si="2"/>
        <v/>
      </c>
      <c r="S534" s="14" t="str">
        <f t="shared" si="3"/>
        <v/>
      </c>
      <c r="T534" s="15" t="str">
        <f>IFERROR(__xludf.DUMMYFUNCTION("IF($A534="""","""",IFERROR(PERCENTRANK.INC(FILTER(Q:Q,$F:$F&lt;&gt;""""),Q534)*100,""""))"),"")</f>
        <v/>
      </c>
      <c r="U534" s="15" t="str">
        <f>IFERROR(__xludf.DUMMYFUNCTION("IF($A534="""","""",IFERROR(PERCENTRANK.INC(FILTER(R:R,$F:$F&lt;&gt;""""),R534)*100,""""))"),"")</f>
        <v/>
      </c>
      <c r="V534" s="15" t="str">
        <f>IFERROR(__xludf.DUMMYFUNCTION("IF($A534="""","""",IFERROR(PERCENTRANK.INC(FILTER(S:S,$F:$F&lt;&gt;""""),S534)*100,""""))"),"")</f>
        <v/>
      </c>
      <c r="W534" s="15" t="str">
        <f t="shared" si="4"/>
        <v/>
      </c>
    </row>
    <row r="535">
      <c r="B535" t="str">
        <f t="array" ref="B535">IFERROR(INDEX('Player Raw Data'!C:C,Match($A535,'Player Raw Data'!$B:$B,0)),"")</f>
        <v/>
      </c>
      <c r="C535" t="str">
        <f t="array" ref="C535">IFERROR(INDEX('Player Raw Data'!D:D,Match($A535,'Player Raw Data'!$B:$B,0)),"")</f>
        <v/>
      </c>
      <c r="D535" t="str">
        <f t="array" ref="D535">IFERROR(IF(A535=A534, INDEX('Player Raw Data'!E:E,Match($A535,'Player Raw Data'!$B:$B,0)+2),INDEX('Player Raw Data'!E:E,Match($A535,'Player Raw Data'!$B:$B,0))),"")</f>
        <v/>
      </c>
      <c r="E535" t="str">
        <f t="array" ref="E535">IFERROR(INDEX('Day Range Raw Data'!D:D,Match($A535,'Day Range Raw Data'!$B:$B,0)),"")</f>
        <v/>
      </c>
      <c r="F535" t="str">
        <f t="array" ref="F535">IFERROR(INDEX('Day Range Raw Data'!F:F,Match($A535,'Day Range Raw Data'!$B:$B,0)),"")</f>
        <v/>
      </c>
      <c r="G535" t="str">
        <f t="array" ref="G535">IFERROR(INDEX('Day Range Raw Data'!G:G,Match($A535,'Day Range Raw Data'!$B:$B,0)),"")</f>
        <v/>
      </c>
      <c r="H535" t="str">
        <f t="array" ref="H535">IFERROR(INDEX('Day Range Raw Data'!H:H,Match($A535,'Day Range Raw Data'!$B:$B,0)),"")</f>
        <v/>
      </c>
      <c r="I535" t="str">
        <f t="array" ref="I535">IFERROR(INDEX('Day Range Raw Data'!M:M,Match($A535,'Day Range Raw Data'!$B:$B,0)),"")</f>
        <v/>
      </c>
      <c r="J535" t="str">
        <f t="array" ref="J535">IFERROR(INDEX('Day Range Raw Data'!N:N,Match($A535,'Day Range Raw Data'!$B:$B,0)),"")</f>
        <v/>
      </c>
      <c r="K535" t="str">
        <f t="array" ref="K535">IFERROR(INDEX('Day Range Raw Data'!R:R,Match($A535,'Day Range Raw Data'!$B:$B,0)),"")</f>
        <v/>
      </c>
      <c r="L535" t="str">
        <f t="array" ref="L535">IFERROR(INDEX('Day Range Raw Data'!S:S,Match($A535,'Day Range Raw Data'!$B:$B,0)),"")</f>
        <v/>
      </c>
      <c r="M535" t="str">
        <f t="array" ref="M535">IFERROR(INDEX('Day Range Raw Data'!T:T,Match($A535,'Day Range Raw Data'!$B:$B,0)),"")</f>
        <v/>
      </c>
      <c r="N535" t="str">
        <f t="array" ref="N535">IFERROR(INDEX('Day Range Raw Data'!U:U,Match($A535,'Day Range Raw Data'!$B:$B,0)),"")</f>
        <v/>
      </c>
      <c r="O535" t="str">
        <f t="array" ref="O535">IFERROR(INDEX('Day Range Raw Data'!V:V,Match($A535,'Day Range Raw Data'!$B:$B,0)),"")</f>
        <v/>
      </c>
      <c r="P535" t="str">
        <f t="array" ref="P535">IFERROR(INDEX('Day Range Raw Data'!X:X,Match($A535,'Day Range Raw Data'!$B:$B,0)),"")</f>
        <v/>
      </c>
      <c r="Q535" t="str">
        <f t="shared" si="1"/>
        <v/>
      </c>
      <c r="R535" s="9" t="str">
        <f t="shared" si="2"/>
        <v/>
      </c>
      <c r="S535" s="14" t="str">
        <f t="shared" si="3"/>
        <v/>
      </c>
      <c r="T535" s="15" t="str">
        <f>IFERROR(__xludf.DUMMYFUNCTION("IF($A535="""","""",IFERROR(PERCENTRANK.INC(FILTER(Q:Q,$F:$F&lt;&gt;""""),Q535)*100,""""))"),"")</f>
        <v/>
      </c>
      <c r="U535" s="15" t="str">
        <f>IFERROR(__xludf.DUMMYFUNCTION("IF($A535="""","""",IFERROR(PERCENTRANK.INC(FILTER(R:R,$F:$F&lt;&gt;""""),R535)*100,""""))"),"")</f>
        <v/>
      </c>
      <c r="V535" s="15" t="str">
        <f>IFERROR(__xludf.DUMMYFUNCTION("IF($A535="""","""",IFERROR(PERCENTRANK.INC(FILTER(S:S,$F:$F&lt;&gt;""""),S535)*100,""""))"),"")</f>
        <v/>
      </c>
      <c r="W535" s="15" t="str">
        <f t="shared" si="4"/>
        <v/>
      </c>
    </row>
    <row r="536">
      <c r="B536" t="str">
        <f t="array" ref="B536">IFERROR(INDEX('Player Raw Data'!C:C,Match($A536,'Player Raw Data'!$B:$B,0)),"")</f>
        <v/>
      </c>
      <c r="C536" t="str">
        <f t="array" ref="C536">IFERROR(INDEX('Player Raw Data'!D:D,Match($A536,'Player Raw Data'!$B:$B,0)),"")</f>
        <v/>
      </c>
      <c r="D536" t="str">
        <f t="array" ref="D536">IFERROR(IF(A536=A535, INDEX('Player Raw Data'!E:E,Match($A536,'Player Raw Data'!$B:$B,0)+2),INDEX('Player Raw Data'!E:E,Match($A536,'Player Raw Data'!$B:$B,0))),"")</f>
        <v/>
      </c>
      <c r="E536" t="str">
        <f t="array" ref="E536">IFERROR(INDEX('Day Range Raw Data'!D:D,Match($A536,'Day Range Raw Data'!$B:$B,0)),"")</f>
        <v/>
      </c>
      <c r="F536" t="str">
        <f t="array" ref="F536">IFERROR(INDEX('Day Range Raw Data'!F:F,Match($A536,'Day Range Raw Data'!$B:$B,0)),"")</f>
        <v/>
      </c>
      <c r="G536" t="str">
        <f t="array" ref="G536">IFERROR(INDEX('Day Range Raw Data'!G:G,Match($A536,'Day Range Raw Data'!$B:$B,0)),"")</f>
        <v/>
      </c>
      <c r="H536" t="str">
        <f t="array" ref="H536">IFERROR(INDEX('Day Range Raw Data'!H:H,Match($A536,'Day Range Raw Data'!$B:$B,0)),"")</f>
        <v/>
      </c>
      <c r="I536" t="str">
        <f t="array" ref="I536">IFERROR(INDEX('Day Range Raw Data'!M:M,Match($A536,'Day Range Raw Data'!$B:$B,0)),"")</f>
        <v/>
      </c>
      <c r="J536" t="str">
        <f t="array" ref="J536">IFERROR(INDEX('Day Range Raw Data'!N:N,Match($A536,'Day Range Raw Data'!$B:$B,0)),"")</f>
        <v/>
      </c>
      <c r="K536" t="str">
        <f t="array" ref="K536">IFERROR(INDEX('Day Range Raw Data'!R:R,Match($A536,'Day Range Raw Data'!$B:$B,0)),"")</f>
        <v/>
      </c>
      <c r="L536" t="str">
        <f t="array" ref="L536">IFERROR(INDEX('Day Range Raw Data'!S:S,Match($A536,'Day Range Raw Data'!$B:$B,0)),"")</f>
        <v/>
      </c>
      <c r="M536" t="str">
        <f t="array" ref="M536">IFERROR(INDEX('Day Range Raw Data'!T:T,Match($A536,'Day Range Raw Data'!$B:$B,0)),"")</f>
        <v/>
      </c>
      <c r="N536" t="str">
        <f t="array" ref="N536">IFERROR(INDEX('Day Range Raw Data'!U:U,Match($A536,'Day Range Raw Data'!$B:$B,0)),"")</f>
        <v/>
      </c>
      <c r="O536" t="str">
        <f t="array" ref="O536">IFERROR(INDEX('Day Range Raw Data'!V:V,Match($A536,'Day Range Raw Data'!$B:$B,0)),"")</f>
        <v/>
      </c>
      <c r="P536" t="str">
        <f t="array" ref="P536">IFERROR(INDEX('Day Range Raw Data'!X:X,Match($A536,'Day Range Raw Data'!$B:$B,0)),"")</f>
        <v/>
      </c>
      <c r="Q536" t="str">
        <f t="shared" si="1"/>
        <v/>
      </c>
      <c r="R536" s="9" t="str">
        <f t="shared" si="2"/>
        <v/>
      </c>
      <c r="S536" s="14" t="str">
        <f t="shared" si="3"/>
        <v/>
      </c>
      <c r="T536" s="15" t="str">
        <f>IFERROR(__xludf.DUMMYFUNCTION("IF($A536="""","""",IFERROR(PERCENTRANK.INC(FILTER(Q:Q,$F:$F&lt;&gt;""""),Q536)*100,""""))"),"")</f>
        <v/>
      </c>
      <c r="U536" s="15" t="str">
        <f>IFERROR(__xludf.DUMMYFUNCTION("IF($A536="""","""",IFERROR(PERCENTRANK.INC(FILTER(R:R,$F:$F&lt;&gt;""""),R536)*100,""""))"),"")</f>
        <v/>
      </c>
      <c r="V536" s="15" t="str">
        <f>IFERROR(__xludf.DUMMYFUNCTION("IF($A536="""","""",IFERROR(PERCENTRANK.INC(FILTER(S:S,$F:$F&lt;&gt;""""),S536)*100,""""))"),"")</f>
        <v/>
      </c>
      <c r="W536" s="15" t="str">
        <f t="shared" si="4"/>
        <v/>
      </c>
    </row>
    <row r="537">
      <c r="B537" t="str">
        <f t="array" ref="B537">IFERROR(INDEX('Player Raw Data'!C:C,Match($A537,'Player Raw Data'!$B:$B,0)),"")</f>
        <v/>
      </c>
      <c r="C537" t="str">
        <f t="array" ref="C537">IFERROR(INDEX('Player Raw Data'!D:D,Match($A537,'Player Raw Data'!$B:$B,0)),"")</f>
        <v/>
      </c>
      <c r="D537" t="str">
        <f t="array" ref="D537">IFERROR(IF(A537=A536, INDEX('Player Raw Data'!E:E,Match($A537,'Player Raw Data'!$B:$B,0)+2),INDEX('Player Raw Data'!E:E,Match($A537,'Player Raw Data'!$B:$B,0))),"")</f>
        <v/>
      </c>
      <c r="E537" t="str">
        <f t="array" ref="E537">IFERROR(INDEX('Day Range Raw Data'!D:D,Match($A537,'Day Range Raw Data'!$B:$B,0)),"")</f>
        <v/>
      </c>
      <c r="F537" t="str">
        <f t="array" ref="F537">IFERROR(INDEX('Day Range Raw Data'!F:F,Match($A537,'Day Range Raw Data'!$B:$B,0)),"")</f>
        <v/>
      </c>
      <c r="G537" t="str">
        <f t="array" ref="G537">IFERROR(INDEX('Day Range Raw Data'!G:G,Match($A537,'Day Range Raw Data'!$B:$B,0)),"")</f>
        <v/>
      </c>
      <c r="H537" t="str">
        <f t="array" ref="H537">IFERROR(INDEX('Day Range Raw Data'!H:H,Match($A537,'Day Range Raw Data'!$B:$B,0)),"")</f>
        <v/>
      </c>
      <c r="I537" t="str">
        <f t="array" ref="I537">IFERROR(INDEX('Day Range Raw Data'!M:M,Match($A537,'Day Range Raw Data'!$B:$B,0)),"")</f>
        <v/>
      </c>
      <c r="J537" t="str">
        <f t="array" ref="J537">IFERROR(INDEX('Day Range Raw Data'!N:N,Match($A537,'Day Range Raw Data'!$B:$B,0)),"")</f>
        <v/>
      </c>
      <c r="K537" t="str">
        <f t="array" ref="K537">IFERROR(INDEX('Day Range Raw Data'!R:R,Match($A537,'Day Range Raw Data'!$B:$B,0)),"")</f>
        <v/>
      </c>
      <c r="L537" t="str">
        <f t="array" ref="L537">IFERROR(INDEX('Day Range Raw Data'!S:S,Match($A537,'Day Range Raw Data'!$B:$B,0)),"")</f>
        <v/>
      </c>
      <c r="M537" t="str">
        <f t="array" ref="M537">IFERROR(INDEX('Day Range Raw Data'!T:T,Match($A537,'Day Range Raw Data'!$B:$B,0)),"")</f>
        <v/>
      </c>
      <c r="N537" t="str">
        <f t="array" ref="N537">IFERROR(INDEX('Day Range Raw Data'!U:U,Match($A537,'Day Range Raw Data'!$B:$B,0)),"")</f>
        <v/>
      </c>
      <c r="O537" t="str">
        <f t="array" ref="O537">IFERROR(INDEX('Day Range Raw Data'!V:V,Match($A537,'Day Range Raw Data'!$B:$B,0)),"")</f>
        <v/>
      </c>
      <c r="P537" t="str">
        <f t="array" ref="P537">IFERROR(INDEX('Day Range Raw Data'!X:X,Match($A537,'Day Range Raw Data'!$B:$B,0)),"")</f>
        <v/>
      </c>
      <c r="Q537" t="str">
        <f t="shared" si="1"/>
        <v/>
      </c>
      <c r="R537" s="9" t="str">
        <f t="shared" si="2"/>
        <v/>
      </c>
      <c r="S537" s="14" t="str">
        <f t="shared" si="3"/>
        <v/>
      </c>
      <c r="T537" s="15" t="str">
        <f>IFERROR(__xludf.DUMMYFUNCTION("IF($A537="""","""",IFERROR(PERCENTRANK.INC(FILTER(Q:Q,$F:$F&lt;&gt;""""),Q537)*100,""""))"),"")</f>
        <v/>
      </c>
      <c r="U537" s="15" t="str">
        <f>IFERROR(__xludf.DUMMYFUNCTION("IF($A537="""","""",IFERROR(PERCENTRANK.INC(FILTER(R:R,$F:$F&lt;&gt;""""),R537)*100,""""))"),"")</f>
        <v/>
      </c>
      <c r="V537" s="15" t="str">
        <f>IFERROR(__xludf.DUMMYFUNCTION("IF($A537="""","""",IFERROR(PERCENTRANK.INC(FILTER(S:S,$F:$F&lt;&gt;""""),S537)*100,""""))"),"")</f>
        <v/>
      </c>
      <c r="W537" s="15" t="str">
        <f t="shared" si="4"/>
        <v/>
      </c>
    </row>
    <row r="538">
      <c r="B538" t="str">
        <f t="array" ref="B538">IFERROR(INDEX('Player Raw Data'!C:C,Match($A538,'Player Raw Data'!$B:$B,0)),"")</f>
        <v/>
      </c>
      <c r="C538" t="str">
        <f t="array" ref="C538">IFERROR(INDEX('Player Raw Data'!D:D,Match($A538,'Player Raw Data'!$B:$B,0)),"")</f>
        <v/>
      </c>
      <c r="D538" t="str">
        <f t="array" ref="D538">IFERROR(IF(A538=A537, INDEX('Player Raw Data'!E:E,Match($A538,'Player Raw Data'!$B:$B,0)+2),INDEX('Player Raw Data'!E:E,Match($A538,'Player Raw Data'!$B:$B,0))),"")</f>
        <v/>
      </c>
      <c r="E538" t="str">
        <f t="array" ref="E538">IFERROR(INDEX('Day Range Raw Data'!D:D,Match($A538,'Day Range Raw Data'!$B:$B,0)),"")</f>
        <v/>
      </c>
      <c r="F538" t="str">
        <f t="array" ref="F538">IFERROR(INDEX('Day Range Raw Data'!F:F,Match($A538,'Day Range Raw Data'!$B:$B,0)),"")</f>
        <v/>
      </c>
      <c r="G538" t="str">
        <f t="array" ref="G538">IFERROR(INDEX('Day Range Raw Data'!G:G,Match($A538,'Day Range Raw Data'!$B:$B,0)),"")</f>
        <v/>
      </c>
      <c r="H538" t="str">
        <f t="array" ref="H538">IFERROR(INDEX('Day Range Raw Data'!H:H,Match($A538,'Day Range Raw Data'!$B:$B,0)),"")</f>
        <v/>
      </c>
      <c r="I538" t="str">
        <f t="array" ref="I538">IFERROR(INDEX('Day Range Raw Data'!M:M,Match($A538,'Day Range Raw Data'!$B:$B,0)),"")</f>
        <v/>
      </c>
      <c r="J538" t="str">
        <f t="array" ref="J538">IFERROR(INDEX('Day Range Raw Data'!N:N,Match($A538,'Day Range Raw Data'!$B:$B,0)),"")</f>
        <v/>
      </c>
      <c r="K538" t="str">
        <f t="array" ref="K538">IFERROR(INDEX('Day Range Raw Data'!R:R,Match($A538,'Day Range Raw Data'!$B:$B,0)),"")</f>
        <v/>
      </c>
      <c r="L538" t="str">
        <f t="array" ref="L538">IFERROR(INDEX('Day Range Raw Data'!S:S,Match($A538,'Day Range Raw Data'!$B:$B,0)),"")</f>
        <v/>
      </c>
      <c r="M538" t="str">
        <f t="array" ref="M538">IFERROR(INDEX('Day Range Raw Data'!T:T,Match($A538,'Day Range Raw Data'!$B:$B,0)),"")</f>
        <v/>
      </c>
      <c r="N538" t="str">
        <f t="array" ref="N538">IFERROR(INDEX('Day Range Raw Data'!U:U,Match($A538,'Day Range Raw Data'!$B:$B,0)),"")</f>
        <v/>
      </c>
      <c r="O538" t="str">
        <f t="array" ref="O538">IFERROR(INDEX('Day Range Raw Data'!V:V,Match($A538,'Day Range Raw Data'!$B:$B,0)),"")</f>
        <v/>
      </c>
      <c r="P538" t="str">
        <f t="array" ref="P538">IFERROR(INDEX('Day Range Raw Data'!X:X,Match($A538,'Day Range Raw Data'!$B:$B,0)),"")</f>
        <v/>
      </c>
      <c r="Q538" t="str">
        <f t="shared" si="1"/>
        <v/>
      </c>
      <c r="R538" s="9" t="str">
        <f t="shared" si="2"/>
        <v/>
      </c>
      <c r="S538" s="14" t="str">
        <f t="shared" si="3"/>
        <v/>
      </c>
      <c r="T538" s="15" t="str">
        <f>IFERROR(__xludf.DUMMYFUNCTION("IF($A538="""","""",IFERROR(PERCENTRANK.INC(FILTER(Q:Q,$F:$F&lt;&gt;""""),Q538)*100,""""))"),"")</f>
        <v/>
      </c>
      <c r="U538" s="15" t="str">
        <f>IFERROR(__xludf.DUMMYFUNCTION("IF($A538="""","""",IFERROR(PERCENTRANK.INC(FILTER(R:R,$F:$F&lt;&gt;""""),R538)*100,""""))"),"")</f>
        <v/>
      </c>
      <c r="V538" s="15" t="str">
        <f>IFERROR(__xludf.DUMMYFUNCTION("IF($A538="""","""",IFERROR(PERCENTRANK.INC(FILTER(S:S,$F:$F&lt;&gt;""""),S538)*100,""""))"),"")</f>
        <v/>
      </c>
      <c r="W538" s="15" t="str">
        <f t="shared" si="4"/>
        <v/>
      </c>
    </row>
    <row r="539">
      <c r="B539" t="str">
        <f t="array" ref="B539">IFERROR(INDEX('Player Raw Data'!C:C,Match($A539,'Player Raw Data'!$B:$B,0)),"")</f>
        <v/>
      </c>
      <c r="C539" t="str">
        <f t="array" ref="C539">IFERROR(INDEX('Player Raw Data'!D:D,Match($A539,'Player Raw Data'!$B:$B,0)),"")</f>
        <v/>
      </c>
      <c r="D539" t="str">
        <f t="array" ref="D539">IFERROR(IF(A539=A538, INDEX('Player Raw Data'!E:E,Match($A539,'Player Raw Data'!$B:$B,0)+2),INDEX('Player Raw Data'!E:E,Match($A539,'Player Raw Data'!$B:$B,0))),"")</f>
        <v/>
      </c>
      <c r="E539" t="str">
        <f t="array" ref="E539">IFERROR(INDEX('Day Range Raw Data'!D:D,Match($A539,'Day Range Raw Data'!$B:$B,0)),"")</f>
        <v/>
      </c>
      <c r="F539" t="str">
        <f t="array" ref="F539">IFERROR(INDEX('Day Range Raw Data'!F:F,Match($A539,'Day Range Raw Data'!$B:$B,0)),"")</f>
        <v/>
      </c>
      <c r="G539" t="str">
        <f t="array" ref="G539">IFERROR(INDEX('Day Range Raw Data'!G:G,Match($A539,'Day Range Raw Data'!$B:$B,0)),"")</f>
        <v/>
      </c>
      <c r="H539" t="str">
        <f t="array" ref="H539">IFERROR(INDEX('Day Range Raw Data'!H:H,Match($A539,'Day Range Raw Data'!$B:$B,0)),"")</f>
        <v/>
      </c>
      <c r="I539" t="str">
        <f t="array" ref="I539">IFERROR(INDEX('Day Range Raw Data'!M:M,Match($A539,'Day Range Raw Data'!$B:$B,0)),"")</f>
        <v/>
      </c>
      <c r="J539" t="str">
        <f t="array" ref="J539">IFERROR(INDEX('Day Range Raw Data'!N:N,Match($A539,'Day Range Raw Data'!$B:$B,0)),"")</f>
        <v/>
      </c>
      <c r="K539" t="str">
        <f t="array" ref="K539">IFERROR(INDEX('Day Range Raw Data'!R:R,Match($A539,'Day Range Raw Data'!$B:$B,0)),"")</f>
        <v/>
      </c>
      <c r="L539" t="str">
        <f t="array" ref="L539">IFERROR(INDEX('Day Range Raw Data'!S:S,Match($A539,'Day Range Raw Data'!$B:$B,0)),"")</f>
        <v/>
      </c>
      <c r="M539" t="str">
        <f t="array" ref="M539">IFERROR(INDEX('Day Range Raw Data'!T:T,Match($A539,'Day Range Raw Data'!$B:$B,0)),"")</f>
        <v/>
      </c>
      <c r="N539" t="str">
        <f t="array" ref="N539">IFERROR(INDEX('Day Range Raw Data'!U:U,Match($A539,'Day Range Raw Data'!$B:$B,0)),"")</f>
        <v/>
      </c>
      <c r="O539" t="str">
        <f t="array" ref="O539">IFERROR(INDEX('Day Range Raw Data'!V:V,Match($A539,'Day Range Raw Data'!$B:$B,0)),"")</f>
        <v/>
      </c>
      <c r="P539" t="str">
        <f t="array" ref="P539">IFERROR(INDEX('Day Range Raw Data'!X:X,Match($A539,'Day Range Raw Data'!$B:$B,0)),"")</f>
        <v/>
      </c>
      <c r="Q539" t="str">
        <f t="shared" si="1"/>
        <v/>
      </c>
      <c r="R539" s="9" t="str">
        <f t="shared" si="2"/>
        <v/>
      </c>
      <c r="S539" s="14" t="str">
        <f t="shared" si="3"/>
        <v/>
      </c>
      <c r="T539" s="15" t="str">
        <f>IFERROR(__xludf.DUMMYFUNCTION("IF($A539="""","""",IFERROR(PERCENTRANK.INC(FILTER(Q:Q,$F:$F&lt;&gt;""""),Q539)*100,""""))"),"")</f>
        <v/>
      </c>
      <c r="U539" s="15" t="str">
        <f>IFERROR(__xludf.DUMMYFUNCTION("IF($A539="""","""",IFERROR(PERCENTRANK.INC(FILTER(R:R,$F:$F&lt;&gt;""""),R539)*100,""""))"),"")</f>
        <v/>
      </c>
      <c r="V539" s="15" t="str">
        <f>IFERROR(__xludf.DUMMYFUNCTION("IF($A539="""","""",IFERROR(PERCENTRANK.INC(FILTER(S:S,$F:$F&lt;&gt;""""),S539)*100,""""))"),"")</f>
        <v/>
      </c>
      <c r="W539" s="15" t="str">
        <f t="shared" si="4"/>
        <v/>
      </c>
    </row>
    <row r="540">
      <c r="B540" t="str">
        <f t="array" ref="B540">IFERROR(INDEX('Player Raw Data'!C:C,Match($A540,'Player Raw Data'!$B:$B,0)),"")</f>
        <v/>
      </c>
      <c r="C540" t="str">
        <f t="array" ref="C540">IFERROR(INDEX('Player Raw Data'!D:D,Match($A540,'Player Raw Data'!$B:$B,0)),"")</f>
        <v/>
      </c>
      <c r="D540" t="str">
        <f t="array" ref="D540">IFERROR(IF(A540=A539, INDEX('Player Raw Data'!E:E,Match($A540,'Player Raw Data'!$B:$B,0)+2),INDEX('Player Raw Data'!E:E,Match($A540,'Player Raw Data'!$B:$B,0))),"")</f>
        <v/>
      </c>
      <c r="E540" t="str">
        <f t="array" ref="E540">IFERROR(INDEX('Day Range Raw Data'!D:D,Match($A540,'Day Range Raw Data'!$B:$B,0)),"")</f>
        <v/>
      </c>
      <c r="F540" t="str">
        <f t="array" ref="F540">IFERROR(INDEX('Day Range Raw Data'!F:F,Match($A540,'Day Range Raw Data'!$B:$B,0)),"")</f>
        <v/>
      </c>
      <c r="G540" t="str">
        <f t="array" ref="G540">IFERROR(INDEX('Day Range Raw Data'!G:G,Match($A540,'Day Range Raw Data'!$B:$B,0)),"")</f>
        <v/>
      </c>
      <c r="H540" t="str">
        <f t="array" ref="H540">IFERROR(INDEX('Day Range Raw Data'!H:H,Match($A540,'Day Range Raw Data'!$B:$B,0)),"")</f>
        <v/>
      </c>
      <c r="I540" t="str">
        <f t="array" ref="I540">IFERROR(INDEX('Day Range Raw Data'!M:M,Match($A540,'Day Range Raw Data'!$B:$B,0)),"")</f>
        <v/>
      </c>
      <c r="J540" t="str">
        <f t="array" ref="J540">IFERROR(INDEX('Day Range Raw Data'!N:N,Match($A540,'Day Range Raw Data'!$B:$B,0)),"")</f>
        <v/>
      </c>
      <c r="K540" t="str">
        <f t="array" ref="K540">IFERROR(INDEX('Day Range Raw Data'!R:R,Match($A540,'Day Range Raw Data'!$B:$B,0)),"")</f>
        <v/>
      </c>
      <c r="L540" t="str">
        <f t="array" ref="L540">IFERROR(INDEX('Day Range Raw Data'!S:S,Match($A540,'Day Range Raw Data'!$B:$B,0)),"")</f>
        <v/>
      </c>
      <c r="M540" t="str">
        <f t="array" ref="M540">IFERROR(INDEX('Day Range Raw Data'!T:T,Match($A540,'Day Range Raw Data'!$B:$B,0)),"")</f>
        <v/>
      </c>
      <c r="N540" t="str">
        <f t="array" ref="N540">IFERROR(INDEX('Day Range Raw Data'!U:U,Match($A540,'Day Range Raw Data'!$B:$B,0)),"")</f>
        <v/>
      </c>
      <c r="O540" t="str">
        <f t="array" ref="O540">IFERROR(INDEX('Day Range Raw Data'!V:V,Match($A540,'Day Range Raw Data'!$B:$B,0)),"")</f>
        <v/>
      </c>
      <c r="P540" t="str">
        <f t="array" ref="P540">IFERROR(INDEX('Day Range Raw Data'!X:X,Match($A540,'Day Range Raw Data'!$B:$B,0)),"")</f>
        <v/>
      </c>
      <c r="Q540" t="str">
        <f t="shared" si="1"/>
        <v/>
      </c>
      <c r="R540" s="9" t="str">
        <f t="shared" si="2"/>
        <v/>
      </c>
      <c r="S540" s="14" t="str">
        <f t="shared" si="3"/>
        <v/>
      </c>
      <c r="T540" s="15" t="str">
        <f>IFERROR(__xludf.DUMMYFUNCTION("IF($A540="""","""",IFERROR(PERCENTRANK.INC(FILTER(Q:Q,$F:$F&lt;&gt;""""),Q540)*100,""""))"),"")</f>
        <v/>
      </c>
      <c r="U540" s="15" t="str">
        <f>IFERROR(__xludf.DUMMYFUNCTION("IF($A540="""","""",IFERROR(PERCENTRANK.INC(FILTER(R:R,$F:$F&lt;&gt;""""),R540)*100,""""))"),"")</f>
        <v/>
      </c>
      <c r="V540" s="15" t="str">
        <f>IFERROR(__xludf.DUMMYFUNCTION("IF($A540="""","""",IFERROR(PERCENTRANK.INC(FILTER(S:S,$F:$F&lt;&gt;""""),S540)*100,""""))"),"")</f>
        <v/>
      </c>
      <c r="W540" s="15" t="str">
        <f t="shared" si="4"/>
        <v/>
      </c>
    </row>
    <row r="541">
      <c r="B541" t="str">
        <f t="array" ref="B541">IFERROR(INDEX('Player Raw Data'!C:C,Match($A541,'Player Raw Data'!$B:$B,0)),"")</f>
        <v/>
      </c>
      <c r="C541" t="str">
        <f t="array" ref="C541">IFERROR(INDEX('Player Raw Data'!D:D,Match($A541,'Player Raw Data'!$B:$B,0)),"")</f>
        <v/>
      </c>
      <c r="D541" t="str">
        <f t="array" ref="D541">IFERROR(IF(A541=A540, INDEX('Player Raw Data'!E:E,Match($A541,'Player Raw Data'!$B:$B,0)+2),INDEX('Player Raw Data'!E:E,Match($A541,'Player Raw Data'!$B:$B,0))),"")</f>
        <v/>
      </c>
      <c r="E541" t="str">
        <f t="array" ref="E541">IFERROR(INDEX('Day Range Raw Data'!D:D,Match($A541,'Day Range Raw Data'!$B:$B,0)),"")</f>
        <v/>
      </c>
      <c r="F541" t="str">
        <f t="array" ref="F541">IFERROR(INDEX('Day Range Raw Data'!F:F,Match($A541,'Day Range Raw Data'!$B:$B,0)),"")</f>
        <v/>
      </c>
      <c r="G541" t="str">
        <f t="array" ref="G541">IFERROR(INDEX('Day Range Raw Data'!G:G,Match($A541,'Day Range Raw Data'!$B:$B,0)),"")</f>
        <v/>
      </c>
      <c r="H541" t="str">
        <f t="array" ref="H541">IFERROR(INDEX('Day Range Raw Data'!H:H,Match($A541,'Day Range Raw Data'!$B:$B,0)),"")</f>
        <v/>
      </c>
      <c r="I541" t="str">
        <f t="array" ref="I541">IFERROR(INDEX('Day Range Raw Data'!M:M,Match($A541,'Day Range Raw Data'!$B:$B,0)),"")</f>
        <v/>
      </c>
      <c r="J541" t="str">
        <f t="array" ref="J541">IFERROR(INDEX('Day Range Raw Data'!N:N,Match($A541,'Day Range Raw Data'!$B:$B,0)),"")</f>
        <v/>
      </c>
      <c r="K541" t="str">
        <f t="array" ref="K541">IFERROR(INDEX('Day Range Raw Data'!R:R,Match($A541,'Day Range Raw Data'!$B:$B,0)),"")</f>
        <v/>
      </c>
      <c r="L541" t="str">
        <f t="array" ref="L541">IFERROR(INDEX('Day Range Raw Data'!S:S,Match($A541,'Day Range Raw Data'!$B:$B,0)),"")</f>
        <v/>
      </c>
      <c r="M541" t="str">
        <f t="array" ref="M541">IFERROR(INDEX('Day Range Raw Data'!T:T,Match($A541,'Day Range Raw Data'!$B:$B,0)),"")</f>
        <v/>
      </c>
      <c r="N541" t="str">
        <f t="array" ref="N541">IFERROR(INDEX('Day Range Raw Data'!U:U,Match($A541,'Day Range Raw Data'!$B:$B,0)),"")</f>
        <v/>
      </c>
      <c r="O541" t="str">
        <f t="array" ref="O541">IFERROR(INDEX('Day Range Raw Data'!V:V,Match($A541,'Day Range Raw Data'!$B:$B,0)),"")</f>
        <v/>
      </c>
      <c r="P541" t="str">
        <f t="array" ref="P541">IFERROR(INDEX('Day Range Raw Data'!X:X,Match($A541,'Day Range Raw Data'!$B:$B,0)),"")</f>
        <v/>
      </c>
      <c r="Q541" t="str">
        <f t="shared" si="1"/>
        <v/>
      </c>
      <c r="R541" s="9" t="str">
        <f t="shared" si="2"/>
        <v/>
      </c>
      <c r="S541" s="14" t="str">
        <f t="shared" si="3"/>
        <v/>
      </c>
      <c r="T541" s="15" t="str">
        <f>IFERROR(__xludf.DUMMYFUNCTION("IF($A541="""","""",IFERROR(PERCENTRANK.INC(FILTER(Q:Q,$F:$F&lt;&gt;""""),Q541)*100,""""))"),"")</f>
        <v/>
      </c>
      <c r="U541" s="15" t="str">
        <f>IFERROR(__xludf.DUMMYFUNCTION("IF($A541="""","""",IFERROR(PERCENTRANK.INC(FILTER(R:R,$F:$F&lt;&gt;""""),R541)*100,""""))"),"")</f>
        <v/>
      </c>
      <c r="V541" s="15" t="str">
        <f>IFERROR(__xludf.DUMMYFUNCTION("IF($A541="""","""",IFERROR(PERCENTRANK.INC(FILTER(S:S,$F:$F&lt;&gt;""""),S541)*100,""""))"),"")</f>
        <v/>
      </c>
      <c r="W541" s="15" t="str">
        <f t="shared" si="4"/>
        <v/>
      </c>
    </row>
    <row r="542">
      <c r="B542" t="str">
        <f t="array" ref="B542">IFERROR(INDEX('Player Raw Data'!C:C,Match($A542,'Player Raw Data'!$B:$B,0)),"")</f>
        <v/>
      </c>
      <c r="C542" t="str">
        <f t="array" ref="C542">IFERROR(INDEX('Player Raw Data'!D:D,Match($A542,'Player Raw Data'!$B:$B,0)),"")</f>
        <v/>
      </c>
      <c r="D542" t="str">
        <f t="array" ref="D542">IFERROR(IF(A542=A541, INDEX('Player Raw Data'!E:E,Match($A542,'Player Raw Data'!$B:$B,0)+2),INDEX('Player Raw Data'!E:E,Match($A542,'Player Raw Data'!$B:$B,0))),"")</f>
        <v/>
      </c>
      <c r="E542" t="str">
        <f t="array" ref="E542">IFERROR(INDEX('Day Range Raw Data'!D:D,Match($A542,'Day Range Raw Data'!$B:$B,0)),"")</f>
        <v/>
      </c>
      <c r="F542" t="str">
        <f t="array" ref="F542">IFERROR(INDEX('Day Range Raw Data'!F:F,Match($A542,'Day Range Raw Data'!$B:$B,0)),"")</f>
        <v/>
      </c>
      <c r="G542" t="str">
        <f t="array" ref="G542">IFERROR(INDEX('Day Range Raw Data'!G:G,Match($A542,'Day Range Raw Data'!$B:$B,0)),"")</f>
        <v/>
      </c>
      <c r="H542" t="str">
        <f t="array" ref="H542">IFERROR(INDEX('Day Range Raw Data'!H:H,Match($A542,'Day Range Raw Data'!$B:$B,0)),"")</f>
        <v/>
      </c>
      <c r="I542" t="str">
        <f t="array" ref="I542">IFERROR(INDEX('Day Range Raw Data'!M:M,Match($A542,'Day Range Raw Data'!$B:$B,0)),"")</f>
        <v/>
      </c>
      <c r="J542" t="str">
        <f t="array" ref="J542">IFERROR(INDEX('Day Range Raw Data'!N:N,Match($A542,'Day Range Raw Data'!$B:$B,0)),"")</f>
        <v/>
      </c>
      <c r="K542" t="str">
        <f t="array" ref="K542">IFERROR(INDEX('Day Range Raw Data'!R:R,Match($A542,'Day Range Raw Data'!$B:$B,0)),"")</f>
        <v/>
      </c>
      <c r="L542" t="str">
        <f t="array" ref="L542">IFERROR(INDEX('Day Range Raw Data'!S:S,Match($A542,'Day Range Raw Data'!$B:$B,0)),"")</f>
        <v/>
      </c>
      <c r="M542" t="str">
        <f t="array" ref="M542">IFERROR(INDEX('Day Range Raw Data'!T:T,Match($A542,'Day Range Raw Data'!$B:$B,0)),"")</f>
        <v/>
      </c>
      <c r="N542" t="str">
        <f t="array" ref="N542">IFERROR(INDEX('Day Range Raw Data'!U:U,Match($A542,'Day Range Raw Data'!$B:$B,0)),"")</f>
        <v/>
      </c>
      <c r="O542" t="str">
        <f t="array" ref="O542">IFERROR(INDEX('Day Range Raw Data'!V:V,Match($A542,'Day Range Raw Data'!$B:$B,0)),"")</f>
        <v/>
      </c>
      <c r="P542" t="str">
        <f t="array" ref="P542">IFERROR(INDEX('Day Range Raw Data'!X:X,Match($A542,'Day Range Raw Data'!$B:$B,0)),"")</f>
        <v/>
      </c>
      <c r="Q542" t="str">
        <f t="shared" si="1"/>
        <v/>
      </c>
      <c r="R542" s="9" t="str">
        <f t="shared" si="2"/>
        <v/>
      </c>
      <c r="S542" s="14" t="str">
        <f t="shared" si="3"/>
        <v/>
      </c>
      <c r="T542" s="15" t="str">
        <f>IFERROR(__xludf.DUMMYFUNCTION("IF($A542="""","""",IFERROR(PERCENTRANK.INC(FILTER(Q:Q,$F:$F&lt;&gt;""""),Q542)*100,""""))"),"")</f>
        <v/>
      </c>
      <c r="U542" s="15" t="str">
        <f>IFERROR(__xludf.DUMMYFUNCTION("IF($A542="""","""",IFERROR(PERCENTRANK.INC(FILTER(R:R,$F:$F&lt;&gt;""""),R542)*100,""""))"),"")</f>
        <v/>
      </c>
      <c r="V542" s="15" t="str">
        <f>IFERROR(__xludf.DUMMYFUNCTION("IF($A542="""","""",IFERROR(PERCENTRANK.INC(FILTER(S:S,$F:$F&lt;&gt;""""),S542)*100,""""))"),"")</f>
        <v/>
      </c>
      <c r="W542" s="15" t="str">
        <f t="shared" si="4"/>
        <v/>
      </c>
    </row>
    <row r="543">
      <c r="B543" t="str">
        <f t="array" ref="B543">IFERROR(INDEX('Player Raw Data'!C:C,Match($A543,'Player Raw Data'!$B:$B,0)),"")</f>
        <v/>
      </c>
      <c r="C543" t="str">
        <f t="array" ref="C543">IFERROR(INDEX('Player Raw Data'!D:D,Match($A543,'Player Raw Data'!$B:$B,0)),"")</f>
        <v/>
      </c>
      <c r="D543" t="str">
        <f t="array" ref="D543">IFERROR(IF(A543=A542, INDEX('Player Raw Data'!E:E,Match($A543,'Player Raw Data'!$B:$B,0)+2),INDEX('Player Raw Data'!E:E,Match($A543,'Player Raw Data'!$B:$B,0))),"")</f>
        <v/>
      </c>
      <c r="E543" t="str">
        <f t="array" ref="E543">IFERROR(INDEX('Day Range Raw Data'!D:D,Match($A543,'Day Range Raw Data'!$B:$B,0)),"")</f>
        <v/>
      </c>
      <c r="F543" t="str">
        <f t="array" ref="F543">IFERROR(INDEX('Day Range Raw Data'!F:F,Match($A543,'Day Range Raw Data'!$B:$B,0)),"")</f>
        <v/>
      </c>
      <c r="G543" t="str">
        <f t="array" ref="G543">IFERROR(INDEX('Day Range Raw Data'!G:G,Match($A543,'Day Range Raw Data'!$B:$B,0)),"")</f>
        <v/>
      </c>
      <c r="H543" t="str">
        <f t="array" ref="H543">IFERROR(INDEX('Day Range Raw Data'!H:H,Match($A543,'Day Range Raw Data'!$B:$B,0)),"")</f>
        <v/>
      </c>
      <c r="I543" t="str">
        <f t="array" ref="I543">IFERROR(INDEX('Day Range Raw Data'!M:M,Match($A543,'Day Range Raw Data'!$B:$B,0)),"")</f>
        <v/>
      </c>
      <c r="J543" t="str">
        <f t="array" ref="J543">IFERROR(INDEX('Day Range Raw Data'!N:N,Match($A543,'Day Range Raw Data'!$B:$B,0)),"")</f>
        <v/>
      </c>
      <c r="K543" t="str">
        <f t="array" ref="K543">IFERROR(INDEX('Day Range Raw Data'!R:R,Match($A543,'Day Range Raw Data'!$B:$B,0)),"")</f>
        <v/>
      </c>
      <c r="L543" t="str">
        <f t="array" ref="L543">IFERROR(INDEX('Day Range Raw Data'!S:S,Match($A543,'Day Range Raw Data'!$B:$B,0)),"")</f>
        <v/>
      </c>
      <c r="M543" t="str">
        <f t="array" ref="M543">IFERROR(INDEX('Day Range Raw Data'!T:T,Match($A543,'Day Range Raw Data'!$B:$B,0)),"")</f>
        <v/>
      </c>
      <c r="N543" t="str">
        <f t="array" ref="N543">IFERROR(INDEX('Day Range Raw Data'!U:U,Match($A543,'Day Range Raw Data'!$B:$B,0)),"")</f>
        <v/>
      </c>
      <c r="O543" t="str">
        <f t="array" ref="O543">IFERROR(INDEX('Day Range Raw Data'!V:V,Match($A543,'Day Range Raw Data'!$B:$B,0)),"")</f>
        <v/>
      </c>
      <c r="P543" t="str">
        <f t="array" ref="P543">IFERROR(INDEX('Day Range Raw Data'!X:X,Match($A543,'Day Range Raw Data'!$B:$B,0)),"")</f>
        <v/>
      </c>
      <c r="Q543" t="str">
        <f t="shared" si="1"/>
        <v/>
      </c>
      <c r="R543" s="9" t="str">
        <f t="shared" si="2"/>
        <v/>
      </c>
      <c r="S543" s="14" t="str">
        <f t="shared" si="3"/>
        <v/>
      </c>
      <c r="T543" s="15" t="str">
        <f>IFERROR(__xludf.DUMMYFUNCTION("IF($A543="""","""",IFERROR(PERCENTRANK.INC(FILTER(Q:Q,$F:$F&lt;&gt;""""),Q543)*100,""""))"),"")</f>
        <v/>
      </c>
      <c r="U543" s="15" t="str">
        <f>IFERROR(__xludf.DUMMYFUNCTION("IF($A543="""","""",IFERROR(PERCENTRANK.INC(FILTER(R:R,$F:$F&lt;&gt;""""),R543)*100,""""))"),"")</f>
        <v/>
      </c>
      <c r="V543" s="15" t="str">
        <f>IFERROR(__xludf.DUMMYFUNCTION("IF($A543="""","""",IFERROR(PERCENTRANK.INC(FILTER(S:S,$F:$F&lt;&gt;""""),S543)*100,""""))"),"")</f>
        <v/>
      </c>
      <c r="W543" s="15" t="str">
        <f t="shared" si="4"/>
        <v/>
      </c>
    </row>
    <row r="544">
      <c r="B544" t="str">
        <f t="array" ref="B544">IFERROR(INDEX('Player Raw Data'!C:C,Match($A544,'Player Raw Data'!$B:$B,0)),"")</f>
        <v/>
      </c>
      <c r="C544" t="str">
        <f t="array" ref="C544">IFERROR(INDEX('Player Raw Data'!D:D,Match($A544,'Player Raw Data'!$B:$B,0)),"")</f>
        <v/>
      </c>
      <c r="D544" t="str">
        <f t="array" ref="D544">IFERROR(IF(A544=A543, INDEX('Player Raw Data'!E:E,Match($A544,'Player Raw Data'!$B:$B,0)+2),INDEX('Player Raw Data'!E:E,Match($A544,'Player Raw Data'!$B:$B,0))),"")</f>
        <v/>
      </c>
      <c r="E544" t="str">
        <f t="array" ref="E544">IFERROR(INDEX('Day Range Raw Data'!D:D,Match($A544,'Day Range Raw Data'!$B:$B,0)),"")</f>
        <v/>
      </c>
      <c r="F544" t="str">
        <f t="array" ref="F544">IFERROR(INDEX('Day Range Raw Data'!F:F,Match($A544,'Day Range Raw Data'!$B:$B,0)),"")</f>
        <v/>
      </c>
      <c r="G544" t="str">
        <f t="array" ref="G544">IFERROR(INDEX('Day Range Raw Data'!G:G,Match($A544,'Day Range Raw Data'!$B:$B,0)),"")</f>
        <v/>
      </c>
      <c r="H544" t="str">
        <f t="array" ref="H544">IFERROR(INDEX('Day Range Raw Data'!H:H,Match($A544,'Day Range Raw Data'!$B:$B,0)),"")</f>
        <v/>
      </c>
      <c r="I544" t="str">
        <f t="array" ref="I544">IFERROR(INDEX('Day Range Raw Data'!M:M,Match($A544,'Day Range Raw Data'!$B:$B,0)),"")</f>
        <v/>
      </c>
      <c r="J544" t="str">
        <f t="array" ref="J544">IFERROR(INDEX('Day Range Raw Data'!N:N,Match($A544,'Day Range Raw Data'!$B:$B,0)),"")</f>
        <v/>
      </c>
      <c r="K544" t="str">
        <f t="array" ref="K544">IFERROR(INDEX('Day Range Raw Data'!R:R,Match($A544,'Day Range Raw Data'!$B:$B,0)),"")</f>
        <v/>
      </c>
      <c r="L544" t="str">
        <f t="array" ref="L544">IFERROR(INDEX('Day Range Raw Data'!S:S,Match($A544,'Day Range Raw Data'!$B:$B,0)),"")</f>
        <v/>
      </c>
      <c r="M544" t="str">
        <f t="array" ref="M544">IFERROR(INDEX('Day Range Raw Data'!T:T,Match($A544,'Day Range Raw Data'!$B:$B,0)),"")</f>
        <v/>
      </c>
      <c r="N544" t="str">
        <f t="array" ref="N544">IFERROR(INDEX('Day Range Raw Data'!U:U,Match($A544,'Day Range Raw Data'!$B:$B,0)),"")</f>
        <v/>
      </c>
      <c r="O544" t="str">
        <f t="array" ref="O544">IFERROR(INDEX('Day Range Raw Data'!V:V,Match($A544,'Day Range Raw Data'!$B:$B,0)),"")</f>
        <v/>
      </c>
      <c r="P544" t="str">
        <f t="array" ref="P544">IFERROR(INDEX('Day Range Raw Data'!X:X,Match($A544,'Day Range Raw Data'!$B:$B,0)),"")</f>
        <v/>
      </c>
      <c r="Q544" t="str">
        <f t="shared" si="1"/>
        <v/>
      </c>
      <c r="R544" s="9" t="str">
        <f t="shared" si="2"/>
        <v/>
      </c>
      <c r="S544" s="14" t="str">
        <f t="shared" si="3"/>
        <v/>
      </c>
      <c r="T544" s="15" t="str">
        <f>IFERROR(__xludf.DUMMYFUNCTION("IF($A544="""","""",IFERROR(PERCENTRANK.INC(FILTER(Q:Q,$F:$F&lt;&gt;""""),Q544)*100,""""))"),"")</f>
        <v/>
      </c>
      <c r="U544" s="15" t="str">
        <f>IFERROR(__xludf.DUMMYFUNCTION("IF($A544="""","""",IFERROR(PERCENTRANK.INC(FILTER(R:R,$F:$F&lt;&gt;""""),R544)*100,""""))"),"")</f>
        <v/>
      </c>
      <c r="V544" s="15" t="str">
        <f>IFERROR(__xludf.DUMMYFUNCTION("IF($A544="""","""",IFERROR(PERCENTRANK.INC(FILTER(S:S,$F:$F&lt;&gt;""""),S544)*100,""""))"),"")</f>
        <v/>
      </c>
      <c r="W544" s="15" t="str">
        <f t="shared" si="4"/>
        <v/>
      </c>
    </row>
    <row r="545">
      <c r="B545" t="str">
        <f t="array" ref="B545">IFERROR(INDEX('Player Raw Data'!C:C,Match($A545,'Player Raw Data'!$B:$B,0)),"")</f>
        <v/>
      </c>
      <c r="C545" t="str">
        <f t="array" ref="C545">IFERROR(INDEX('Player Raw Data'!D:D,Match($A545,'Player Raw Data'!$B:$B,0)),"")</f>
        <v/>
      </c>
      <c r="D545" t="str">
        <f t="array" ref="D545">IFERROR(IF(A545=A544, INDEX('Player Raw Data'!E:E,Match($A545,'Player Raw Data'!$B:$B,0)+2),INDEX('Player Raw Data'!E:E,Match($A545,'Player Raw Data'!$B:$B,0))),"")</f>
        <v/>
      </c>
      <c r="E545" t="str">
        <f t="array" ref="E545">IFERROR(INDEX('Day Range Raw Data'!D:D,Match($A545,'Day Range Raw Data'!$B:$B,0)),"")</f>
        <v/>
      </c>
      <c r="F545" t="str">
        <f t="array" ref="F545">IFERROR(INDEX('Day Range Raw Data'!F:F,Match($A545,'Day Range Raw Data'!$B:$B,0)),"")</f>
        <v/>
      </c>
      <c r="G545" t="str">
        <f t="array" ref="G545">IFERROR(INDEX('Day Range Raw Data'!G:G,Match($A545,'Day Range Raw Data'!$B:$B,0)),"")</f>
        <v/>
      </c>
      <c r="H545" t="str">
        <f t="array" ref="H545">IFERROR(INDEX('Day Range Raw Data'!H:H,Match($A545,'Day Range Raw Data'!$B:$B,0)),"")</f>
        <v/>
      </c>
      <c r="I545" t="str">
        <f t="array" ref="I545">IFERROR(INDEX('Day Range Raw Data'!M:M,Match($A545,'Day Range Raw Data'!$B:$B,0)),"")</f>
        <v/>
      </c>
      <c r="J545" t="str">
        <f t="array" ref="J545">IFERROR(INDEX('Day Range Raw Data'!N:N,Match($A545,'Day Range Raw Data'!$B:$B,0)),"")</f>
        <v/>
      </c>
      <c r="K545" t="str">
        <f t="array" ref="K545">IFERROR(INDEX('Day Range Raw Data'!R:R,Match($A545,'Day Range Raw Data'!$B:$B,0)),"")</f>
        <v/>
      </c>
      <c r="L545" t="str">
        <f t="array" ref="L545">IFERROR(INDEX('Day Range Raw Data'!S:S,Match($A545,'Day Range Raw Data'!$B:$B,0)),"")</f>
        <v/>
      </c>
      <c r="M545" t="str">
        <f t="array" ref="M545">IFERROR(INDEX('Day Range Raw Data'!T:T,Match($A545,'Day Range Raw Data'!$B:$B,0)),"")</f>
        <v/>
      </c>
      <c r="N545" t="str">
        <f t="array" ref="N545">IFERROR(INDEX('Day Range Raw Data'!U:U,Match($A545,'Day Range Raw Data'!$B:$B,0)),"")</f>
        <v/>
      </c>
      <c r="O545" t="str">
        <f t="array" ref="O545">IFERROR(INDEX('Day Range Raw Data'!V:V,Match($A545,'Day Range Raw Data'!$B:$B,0)),"")</f>
        <v/>
      </c>
      <c r="P545" t="str">
        <f t="array" ref="P545">IFERROR(INDEX('Day Range Raw Data'!X:X,Match($A545,'Day Range Raw Data'!$B:$B,0)),"")</f>
        <v/>
      </c>
      <c r="Q545" t="str">
        <f t="shared" si="1"/>
        <v/>
      </c>
      <c r="R545" s="9" t="str">
        <f t="shared" si="2"/>
        <v/>
      </c>
      <c r="S545" s="14" t="str">
        <f t="shared" si="3"/>
        <v/>
      </c>
      <c r="T545" s="15" t="str">
        <f>IFERROR(__xludf.DUMMYFUNCTION("IF($A545="""","""",IFERROR(PERCENTRANK.INC(FILTER(Q:Q,$F:$F&lt;&gt;""""),Q545)*100,""""))"),"")</f>
        <v/>
      </c>
      <c r="U545" s="15" t="str">
        <f>IFERROR(__xludf.DUMMYFUNCTION("IF($A545="""","""",IFERROR(PERCENTRANK.INC(FILTER(R:R,$F:$F&lt;&gt;""""),R545)*100,""""))"),"")</f>
        <v/>
      </c>
      <c r="V545" s="15" t="str">
        <f>IFERROR(__xludf.DUMMYFUNCTION("IF($A545="""","""",IFERROR(PERCENTRANK.INC(FILTER(S:S,$F:$F&lt;&gt;""""),S545)*100,""""))"),"")</f>
        <v/>
      </c>
      <c r="W545" s="15" t="str">
        <f t="shared" si="4"/>
        <v/>
      </c>
    </row>
    <row r="546">
      <c r="B546" t="str">
        <f t="array" ref="B546">IFERROR(INDEX('Player Raw Data'!C:C,Match($A546,'Player Raw Data'!$B:$B,0)),"")</f>
        <v/>
      </c>
      <c r="C546" t="str">
        <f t="array" ref="C546">IFERROR(INDEX('Player Raw Data'!D:D,Match($A546,'Player Raw Data'!$B:$B,0)),"")</f>
        <v/>
      </c>
      <c r="D546" t="str">
        <f t="array" ref="D546">IFERROR(IF(A546=A545, INDEX('Player Raw Data'!E:E,Match($A546,'Player Raw Data'!$B:$B,0)+2),INDEX('Player Raw Data'!E:E,Match($A546,'Player Raw Data'!$B:$B,0))),"")</f>
        <v/>
      </c>
      <c r="E546" t="str">
        <f t="array" ref="E546">IFERROR(INDEX('Day Range Raw Data'!D:D,Match($A546,'Day Range Raw Data'!$B:$B,0)),"")</f>
        <v/>
      </c>
      <c r="F546" t="str">
        <f t="array" ref="F546">IFERROR(INDEX('Day Range Raw Data'!F:F,Match($A546,'Day Range Raw Data'!$B:$B,0)),"")</f>
        <v/>
      </c>
      <c r="G546" t="str">
        <f t="array" ref="G546">IFERROR(INDEX('Day Range Raw Data'!G:G,Match($A546,'Day Range Raw Data'!$B:$B,0)),"")</f>
        <v/>
      </c>
      <c r="H546" t="str">
        <f t="array" ref="H546">IFERROR(INDEX('Day Range Raw Data'!H:H,Match($A546,'Day Range Raw Data'!$B:$B,0)),"")</f>
        <v/>
      </c>
      <c r="I546" t="str">
        <f t="array" ref="I546">IFERROR(INDEX('Day Range Raw Data'!M:M,Match($A546,'Day Range Raw Data'!$B:$B,0)),"")</f>
        <v/>
      </c>
      <c r="J546" t="str">
        <f t="array" ref="J546">IFERROR(INDEX('Day Range Raw Data'!N:N,Match($A546,'Day Range Raw Data'!$B:$B,0)),"")</f>
        <v/>
      </c>
      <c r="K546" t="str">
        <f t="array" ref="K546">IFERROR(INDEX('Day Range Raw Data'!R:R,Match($A546,'Day Range Raw Data'!$B:$B,0)),"")</f>
        <v/>
      </c>
      <c r="L546" t="str">
        <f t="array" ref="L546">IFERROR(INDEX('Day Range Raw Data'!S:S,Match($A546,'Day Range Raw Data'!$B:$B,0)),"")</f>
        <v/>
      </c>
      <c r="M546" t="str">
        <f t="array" ref="M546">IFERROR(INDEX('Day Range Raw Data'!T:T,Match($A546,'Day Range Raw Data'!$B:$B,0)),"")</f>
        <v/>
      </c>
      <c r="N546" t="str">
        <f t="array" ref="N546">IFERROR(INDEX('Day Range Raw Data'!U:U,Match($A546,'Day Range Raw Data'!$B:$B,0)),"")</f>
        <v/>
      </c>
      <c r="O546" t="str">
        <f t="array" ref="O546">IFERROR(INDEX('Day Range Raw Data'!V:V,Match($A546,'Day Range Raw Data'!$B:$B,0)),"")</f>
        <v/>
      </c>
      <c r="P546" t="str">
        <f t="array" ref="P546">IFERROR(INDEX('Day Range Raw Data'!X:X,Match($A546,'Day Range Raw Data'!$B:$B,0)),"")</f>
        <v/>
      </c>
      <c r="Q546" t="str">
        <f t="shared" si="1"/>
        <v/>
      </c>
      <c r="R546" s="9" t="str">
        <f t="shared" si="2"/>
        <v/>
      </c>
      <c r="S546" s="14" t="str">
        <f t="shared" si="3"/>
        <v/>
      </c>
      <c r="T546" s="15" t="str">
        <f>IFERROR(__xludf.DUMMYFUNCTION("IF($A546="""","""",IFERROR(PERCENTRANK.INC(FILTER(Q:Q,$F:$F&lt;&gt;""""),Q546)*100,""""))"),"")</f>
        <v/>
      </c>
      <c r="U546" s="15" t="str">
        <f>IFERROR(__xludf.DUMMYFUNCTION("IF($A546="""","""",IFERROR(PERCENTRANK.INC(FILTER(R:R,$F:$F&lt;&gt;""""),R546)*100,""""))"),"")</f>
        <v/>
      </c>
      <c r="V546" s="15" t="str">
        <f>IFERROR(__xludf.DUMMYFUNCTION("IF($A546="""","""",IFERROR(PERCENTRANK.INC(FILTER(S:S,$F:$F&lt;&gt;""""),S546)*100,""""))"),"")</f>
        <v/>
      </c>
      <c r="W546" s="15" t="str">
        <f t="shared" si="4"/>
        <v/>
      </c>
    </row>
    <row r="547">
      <c r="B547" t="str">
        <f t="array" ref="B547">IFERROR(INDEX('Player Raw Data'!C:C,Match($A547,'Player Raw Data'!$B:$B,0)),"")</f>
        <v/>
      </c>
      <c r="C547" t="str">
        <f t="array" ref="C547">IFERROR(INDEX('Player Raw Data'!D:D,Match($A547,'Player Raw Data'!$B:$B,0)),"")</f>
        <v/>
      </c>
      <c r="D547" t="str">
        <f t="array" ref="D547">IFERROR(IF(A547=A546, INDEX('Player Raw Data'!E:E,Match($A547,'Player Raw Data'!$B:$B,0)+2),INDEX('Player Raw Data'!E:E,Match($A547,'Player Raw Data'!$B:$B,0))),"")</f>
        <v/>
      </c>
      <c r="E547" t="str">
        <f t="array" ref="E547">IFERROR(INDEX('Day Range Raw Data'!D:D,Match($A547,'Day Range Raw Data'!$B:$B,0)),"")</f>
        <v/>
      </c>
      <c r="F547" t="str">
        <f t="array" ref="F547">IFERROR(INDEX('Day Range Raw Data'!F:F,Match($A547,'Day Range Raw Data'!$B:$B,0)),"")</f>
        <v/>
      </c>
      <c r="G547" t="str">
        <f t="array" ref="G547">IFERROR(INDEX('Day Range Raw Data'!G:G,Match($A547,'Day Range Raw Data'!$B:$B,0)),"")</f>
        <v/>
      </c>
      <c r="H547" t="str">
        <f t="array" ref="H547">IFERROR(INDEX('Day Range Raw Data'!H:H,Match($A547,'Day Range Raw Data'!$B:$B,0)),"")</f>
        <v/>
      </c>
      <c r="I547" t="str">
        <f t="array" ref="I547">IFERROR(INDEX('Day Range Raw Data'!M:M,Match($A547,'Day Range Raw Data'!$B:$B,0)),"")</f>
        <v/>
      </c>
      <c r="J547" t="str">
        <f t="array" ref="J547">IFERROR(INDEX('Day Range Raw Data'!N:N,Match($A547,'Day Range Raw Data'!$B:$B,0)),"")</f>
        <v/>
      </c>
      <c r="K547" t="str">
        <f t="array" ref="K547">IFERROR(INDEX('Day Range Raw Data'!R:R,Match($A547,'Day Range Raw Data'!$B:$B,0)),"")</f>
        <v/>
      </c>
      <c r="L547" t="str">
        <f t="array" ref="L547">IFERROR(INDEX('Day Range Raw Data'!S:S,Match($A547,'Day Range Raw Data'!$B:$B,0)),"")</f>
        <v/>
      </c>
      <c r="M547" t="str">
        <f t="array" ref="M547">IFERROR(INDEX('Day Range Raw Data'!T:T,Match($A547,'Day Range Raw Data'!$B:$B,0)),"")</f>
        <v/>
      </c>
      <c r="N547" t="str">
        <f t="array" ref="N547">IFERROR(INDEX('Day Range Raw Data'!U:U,Match($A547,'Day Range Raw Data'!$B:$B,0)),"")</f>
        <v/>
      </c>
      <c r="O547" t="str">
        <f t="array" ref="O547">IFERROR(INDEX('Day Range Raw Data'!V:V,Match($A547,'Day Range Raw Data'!$B:$B,0)),"")</f>
        <v/>
      </c>
      <c r="P547" t="str">
        <f t="array" ref="P547">IFERROR(INDEX('Day Range Raw Data'!X:X,Match($A547,'Day Range Raw Data'!$B:$B,0)),"")</f>
        <v/>
      </c>
      <c r="Q547" t="str">
        <f t="shared" si="1"/>
        <v/>
      </c>
      <c r="R547" s="9" t="str">
        <f t="shared" si="2"/>
        <v/>
      </c>
      <c r="S547" s="14" t="str">
        <f t="shared" si="3"/>
        <v/>
      </c>
      <c r="T547" s="15" t="str">
        <f>IFERROR(__xludf.DUMMYFUNCTION("IF($A547="""","""",IFERROR(PERCENTRANK.INC(FILTER(Q:Q,$F:$F&lt;&gt;""""),Q547)*100,""""))"),"")</f>
        <v/>
      </c>
      <c r="U547" s="15" t="str">
        <f>IFERROR(__xludf.DUMMYFUNCTION("IF($A547="""","""",IFERROR(PERCENTRANK.INC(FILTER(R:R,$F:$F&lt;&gt;""""),R547)*100,""""))"),"")</f>
        <v/>
      </c>
      <c r="V547" s="15" t="str">
        <f>IFERROR(__xludf.DUMMYFUNCTION("IF($A547="""","""",IFERROR(PERCENTRANK.INC(FILTER(S:S,$F:$F&lt;&gt;""""),S547)*100,""""))"),"")</f>
        <v/>
      </c>
      <c r="W547" s="15" t="str">
        <f t="shared" si="4"/>
        <v/>
      </c>
    </row>
    <row r="548">
      <c r="B548" t="str">
        <f t="array" ref="B548">IFERROR(INDEX('Player Raw Data'!C:C,Match($A548,'Player Raw Data'!$B:$B,0)),"")</f>
        <v/>
      </c>
      <c r="C548" t="str">
        <f t="array" ref="C548">IFERROR(INDEX('Player Raw Data'!D:D,Match($A548,'Player Raw Data'!$B:$B,0)),"")</f>
        <v/>
      </c>
      <c r="D548" t="str">
        <f t="array" ref="D548">IFERROR(IF(A548=A547, INDEX('Player Raw Data'!E:E,Match($A548,'Player Raw Data'!$B:$B,0)+2),INDEX('Player Raw Data'!E:E,Match($A548,'Player Raw Data'!$B:$B,0))),"")</f>
        <v/>
      </c>
      <c r="E548" t="str">
        <f t="array" ref="E548">IFERROR(INDEX('Day Range Raw Data'!D:D,Match($A548,'Day Range Raw Data'!$B:$B,0)),"")</f>
        <v/>
      </c>
      <c r="F548" t="str">
        <f t="array" ref="F548">IFERROR(INDEX('Day Range Raw Data'!F:F,Match($A548,'Day Range Raw Data'!$B:$B,0)),"")</f>
        <v/>
      </c>
      <c r="G548" t="str">
        <f t="array" ref="G548">IFERROR(INDEX('Day Range Raw Data'!G:G,Match($A548,'Day Range Raw Data'!$B:$B,0)),"")</f>
        <v/>
      </c>
      <c r="H548" t="str">
        <f t="array" ref="H548">IFERROR(INDEX('Day Range Raw Data'!H:H,Match($A548,'Day Range Raw Data'!$B:$B,0)),"")</f>
        <v/>
      </c>
      <c r="I548" t="str">
        <f t="array" ref="I548">IFERROR(INDEX('Day Range Raw Data'!M:M,Match($A548,'Day Range Raw Data'!$B:$B,0)),"")</f>
        <v/>
      </c>
      <c r="J548" t="str">
        <f t="array" ref="J548">IFERROR(INDEX('Day Range Raw Data'!N:N,Match($A548,'Day Range Raw Data'!$B:$B,0)),"")</f>
        <v/>
      </c>
      <c r="K548" t="str">
        <f t="array" ref="K548">IFERROR(INDEX('Day Range Raw Data'!R:R,Match($A548,'Day Range Raw Data'!$B:$B,0)),"")</f>
        <v/>
      </c>
      <c r="L548" t="str">
        <f t="array" ref="L548">IFERROR(INDEX('Day Range Raw Data'!S:S,Match($A548,'Day Range Raw Data'!$B:$B,0)),"")</f>
        <v/>
      </c>
      <c r="M548" t="str">
        <f t="array" ref="M548">IFERROR(INDEX('Day Range Raw Data'!T:T,Match($A548,'Day Range Raw Data'!$B:$B,0)),"")</f>
        <v/>
      </c>
      <c r="N548" t="str">
        <f t="array" ref="N548">IFERROR(INDEX('Day Range Raw Data'!U:U,Match($A548,'Day Range Raw Data'!$B:$B,0)),"")</f>
        <v/>
      </c>
      <c r="O548" t="str">
        <f t="array" ref="O548">IFERROR(INDEX('Day Range Raw Data'!V:V,Match($A548,'Day Range Raw Data'!$B:$B,0)),"")</f>
        <v/>
      </c>
      <c r="P548" t="str">
        <f t="array" ref="P548">IFERROR(INDEX('Day Range Raw Data'!X:X,Match($A548,'Day Range Raw Data'!$B:$B,0)),"")</f>
        <v/>
      </c>
      <c r="Q548" t="str">
        <f t="shared" si="1"/>
        <v/>
      </c>
      <c r="R548" s="9" t="str">
        <f t="shared" si="2"/>
        <v/>
      </c>
      <c r="S548" s="14" t="str">
        <f t="shared" si="3"/>
        <v/>
      </c>
      <c r="T548" s="15" t="str">
        <f>IFERROR(__xludf.DUMMYFUNCTION("IF($A548="""","""",IFERROR(PERCENTRANK.INC(FILTER(Q:Q,$F:$F&lt;&gt;""""),Q548)*100,""""))"),"")</f>
        <v/>
      </c>
      <c r="U548" s="15" t="str">
        <f>IFERROR(__xludf.DUMMYFUNCTION("IF($A548="""","""",IFERROR(PERCENTRANK.INC(FILTER(R:R,$F:$F&lt;&gt;""""),R548)*100,""""))"),"")</f>
        <v/>
      </c>
      <c r="V548" s="15" t="str">
        <f>IFERROR(__xludf.DUMMYFUNCTION("IF($A548="""","""",IFERROR(PERCENTRANK.INC(FILTER(S:S,$F:$F&lt;&gt;""""),S548)*100,""""))"),"")</f>
        <v/>
      </c>
      <c r="W548" s="15" t="str">
        <f t="shared" si="4"/>
        <v/>
      </c>
    </row>
    <row r="549">
      <c r="B549" t="str">
        <f t="array" ref="B549">IFERROR(INDEX('Player Raw Data'!C:C,Match($A549,'Player Raw Data'!$B:$B,0)),"")</f>
        <v/>
      </c>
      <c r="C549" t="str">
        <f t="array" ref="C549">IFERROR(INDEX('Player Raw Data'!D:D,Match($A549,'Player Raw Data'!$B:$B,0)),"")</f>
        <v/>
      </c>
      <c r="D549" t="str">
        <f t="array" ref="D549">IFERROR(IF(A549=A548, INDEX('Player Raw Data'!E:E,Match($A549,'Player Raw Data'!$B:$B,0)+2),INDEX('Player Raw Data'!E:E,Match($A549,'Player Raw Data'!$B:$B,0))),"")</f>
        <v/>
      </c>
      <c r="E549" t="str">
        <f t="array" ref="E549">IFERROR(INDEX('Day Range Raw Data'!D:D,Match($A549,'Day Range Raw Data'!$B:$B,0)),"")</f>
        <v/>
      </c>
      <c r="F549" t="str">
        <f t="array" ref="F549">IFERROR(INDEX('Day Range Raw Data'!F:F,Match($A549,'Day Range Raw Data'!$B:$B,0)),"")</f>
        <v/>
      </c>
      <c r="G549" t="str">
        <f t="array" ref="G549">IFERROR(INDEX('Day Range Raw Data'!G:G,Match($A549,'Day Range Raw Data'!$B:$B,0)),"")</f>
        <v/>
      </c>
      <c r="H549" t="str">
        <f t="array" ref="H549">IFERROR(INDEX('Day Range Raw Data'!H:H,Match($A549,'Day Range Raw Data'!$B:$B,0)),"")</f>
        <v/>
      </c>
      <c r="I549" t="str">
        <f t="array" ref="I549">IFERROR(INDEX('Day Range Raw Data'!M:M,Match($A549,'Day Range Raw Data'!$B:$B,0)),"")</f>
        <v/>
      </c>
      <c r="J549" t="str">
        <f t="array" ref="J549">IFERROR(INDEX('Day Range Raw Data'!N:N,Match($A549,'Day Range Raw Data'!$B:$B,0)),"")</f>
        <v/>
      </c>
      <c r="K549" t="str">
        <f t="array" ref="K549">IFERROR(INDEX('Day Range Raw Data'!R:R,Match($A549,'Day Range Raw Data'!$B:$B,0)),"")</f>
        <v/>
      </c>
      <c r="L549" t="str">
        <f t="array" ref="L549">IFERROR(INDEX('Day Range Raw Data'!S:S,Match($A549,'Day Range Raw Data'!$B:$B,0)),"")</f>
        <v/>
      </c>
      <c r="M549" t="str">
        <f t="array" ref="M549">IFERROR(INDEX('Day Range Raw Data'!T:T,Match($A549,'Day Range Raw Data'!$B:$B,0)),"")</f>
        <v/>
      </c>
      <c r="N549" t="str">
        <f t="array" ref="N549">IFERROR(INDEX('Day Range Raw Data'!U:U,Match($A549,'Day Range Raw Data'!$B:$B,0)),"")</f>
        <v/>
      </c>
      <c r="O549" t="str">
        <f t="array" ref="O549">IFERROR(INDEX('Day Range Raw Data'!V:V,Match($A549,'Day Range Raw Data'!$B:$B,0)),"")</f>
        <v/>
      </c>
      <c r="P549" t="str">
        <f t="array" ref="P549">IFERROR(INDEX('Day Range Raw Data'!X:X,Match($A549,'Day Range Raw Data'!$B:$B,0)),"")</f>
        <v/>
      </c>
      <c r="Q549" t="str">
        <f t="shared" si="1"/>
        <v/>
      </c>
      <c r="R549" s="9" t="str">
        <f t="shared" si="2"/>
        <v/>
      </c>
      <c r="S549" s="14" t="str">
        <f t="shared" si="3"/>
        <v/>
      </c>
      <c r="T549" s="15" t="str">
        <f>IFERROR(__xludf.DUMMYFUNCTION("IF($A549="""","""",IFERROR(PERCENTRANK.INC(FILTER(Q:Q,$F:$F&lt;&gt;""""),Q549)*100,""""))"),"")</f>
        <v/>
      </c>
      <c r="U549" s="15" t="str">
        <f>IFERROR(__xludf.DUMMYFUNCTION("IF($A549="""","""",IFERROR(PERCENTRANK.INC(FILTER(R:R,$F:$F&lt;&gt;""""),R549)*100,""""))"),"")</f>
        <v/>
      </c>
      <c r="V549" s="15" t="str">
        <f>IFERROR(__xludf.DUMMYFUNCTION("IF($A549="""","""",IFERROR(PERCENTRANK.INC(FILTER(S:S,$F:$F&lt;&gt;""""),S549)*100,""""))"),"")</f>
        <v/>
      </c>
      <c r="W549" s="15" t="str">
        <f t="shared" si="4"/>
        <v/>
      </c>
    </row>
    <row r="550">
      <c r="B550" t="str">
        <f t="array" ref="B550">IFERROR(INDEX('Player Raw Data'!C:C,Match($A550,'Player Raw Data'!$B:$B,0)),"")</f>
        <v/>
      </c>
      <c r="C550" t="str">
        <f t="array" ref="C550">IFERROR(INDEX('Player Raw Data'!D:D,Match($A550,'Player Raw Data'!$B:$B,0)),"")</f>
        <v/>
      </c>
      <c r="D550" t="str">
        <f t="array" ref="D550">IFERROR(IF(A550=A549, INDEX('Player Raw Data'!E:E,Match($A550,'Player Raw Data'!$B:$B,0)+2),INDEX('Player Raw Data'!E:E,Match($A550,'Player Raw Data'!$B:$B,0))),"")</f>
        <v/>
      </c>
      <c r="E550" t="str">
        <f t="array" ref="E550">IFERROR(INDEX('Day Range Raw Data'!D:D,Match($A550,'Day Range Raw Data'!$B:$B,0)),"")</f>
        <v/>
      </c>
      <c r="F550" t="str">
        <f t="array" ref="F550">IFERROR(INDEX('Day Range Raw Data'!F:F,Match($A550,'Day Range Raw Data'!$B:$B,0)),"")</f>
        <v/>
      </c>
      <c r="G550" t="str">
        <f t="array" ref="G550">IFERROR(INDEX('Day Range Raw Data'!G:G,Match($A550,'Day Range Raw Data'!$B:$B,0)),"")</f>
        <v/>
      </c>
      <c r="H550" t="str">
        <f t="array" ref="H550">IFERROR(INDEX('Day Range Raw Data'!H:H,Match($A550,'Day Range Raw Data'!$B:$B,0)),"")</f>
        <v/>
      </c>
      <c r="I550" t="str">
        <f t="array" ref="I550">IFERROR(INDEX('Day Range Raw Data'!M:M,Match($A550,'Day Range Raw Data'!$B:$B,0)),"")</f>
        <v/>
      </c>
      <c r="J550" t="str">
        <f t="array" ref="J550">IFERROR(INDEX('Day Range Raw Data'!N:N,Match($A550,'Day Range Raw Data'!$B:$B,0)),"")</f>
        <v/>
      </c>
      <c r="K550" t="str">
        <f t="array" ref="K550">IFERROR(INDEX('Day Range Raw Data'!R:R,Match($A550,'Day Range Raw Data'!$B:$B,0)),"")</f>
        <v/>
      </c>
      <c r="L550" t="str">
        <f t="array" ref="L550">IFERROR(INDEX('Day Range Raw Data'!S:S,Match($A550,'Day Range Raw Data'!$B:$B,0)),"")</f>
        <v/>
      </c>
      <c r="M550" t="str">
        <f t="array" ref="M550">IFERROR(INDEX('Day Range Raw Data'!T:T,Match($A550,'Day Range Raw Data'!$B:$B,0)),"")</f>
        <v/>
      </c>
      <c r="N550" t="str">
        <f t="array" ref="N550">IFERROR(INDEX('Day Range Raw Data'!U:U,Match($A550,'Day Range Raw Data'!$B:$B,0)),"")</f>
        <v/>
      </c>
      <c r="O550" t="str">
        <f t="array" ref="O550">IFERROR(INDEX('Day Range Raw Data'!V:V,Match($A550,'Day Range Raw Data'!$B:$B,0)),"")</f>
        <v/>
      </c>
      <c r="P550" t="str">
        <f t="array" ref="P550">IFERROR(INDEX('Day Range Raw Data'!X:X,Match($A550,'Day Range Raw Data'!$B:$B,0)),"")</f>
        <v/>
      </c>
      <c r="Q550" t="str">
        <f t="shared" si="1"/>
        <v/>
      </c>
      <c r="R550" s="9" t="str">
        <f t="shared" si="2"/>
        <v/>
      </c>
      <c r="S550" s="14" t="str">
        <f t="shared" si="3"/>
        <v/>
      </c>
      <c r="T550" s="15" t="str">
        <f>IFERROR(__xludf.DUMMYFUNCTION("IF($A550="""","""",IFERROR(PERCENTRANK.INC(FILTER(Q:Q,$F:$F&lt;&gt;""""),Q550)*100,""""))"),"")</f>
        <v/>
      </c>
      <c r="U550" s="15" t="str">
        <f>IFERROR(__xludf.DUMMYFUNCTION("IF($A550="""","""",IFERROR(PERCENTRANK.INC(FILTER(R:R,$F:$F&lt;&gt;""""),R550)*100,""""))"),"")</f>
        <v/>
      </c>
      <c r="V550" s="15" t="str">
        <f>IFERROR(__xludf.DUMMYFUNCTION("IF($A550="""","""",IFERROR(PERCENTRANK.INC(FILTER(S:S,$F:$F&lt;&gt;""""),S550)*100,""""))"),"")</f>
        <v/>
      </c>
      <c r="W550" s="15" t="str">
        <f t="shared" si="4"/>
        <v/>
      </c>
    </row>
    <row r="551">
      <c r="B551" t="str">
        <f t="array" ref="B551">IFERROR(INDEX('Player Raw Data'!C:C,Match($A551,'Player Raw Data'!$B:$B,0)),"")</f>
        <v/>
      </c>
      <c r="C551" t="str">
        <f t="array" ref="C551">IFERROR(INDEX('Player Raw Data'!D:D,Match($A551,'Player Raw Data'!$B:$B,0)),"")</f>
        <v/>
      </c>
      <c r="D551" t="str">
        <f t="array" ref="D551">IFERROR(IF(A551=A550, INDEX('Player Raw Data'!E:E,Match($A551,'Player Raw Data'!$B:$B,0)+2),INDEX('Player Raw Data'!E:E,Match($A551,'Player Raw Data'!$B:$B,0))),"")</f>
        <v/>
      </c>
      <c r="E551" t="str">
        <f t="array" ref="E551">IFERROR(INDEX('Day Range Raw Data'!D:D,Match($A551,'Day Range Raw Data'!$B:$B,0)),"")</f>
        <v/>
      </c>
      <c r="F551" t="str">
        <f t="array" ref="F551">IFERROR(INDEX('Day Range Raw Data'!F:F,Match($A551,'Day Range Raw Data'!$B:$B,0)),"")</f>
        <v/>
      </c>
      <c r="G551" t="str">
        <f t="array" ref="G551">IFERROR(INDEX('Day Range Raw Data'!G:G,Match($A551,'Day Range Raw Data'!$B:$B,0)),"")</f>
        <v/>
      </c>
      <c r="H551" t="str">
        <f t="array" ref="H551">IFERROR(INDEX('Day Range Raw Data'!H:H,Match($A551,'Day Range Raw Data'!$B:$B,0)),"")</f>
        <v/>
      </c>
      <c r="I551" t="str">
        <f t="array" ref="I551">IFERROR(INDEX('Day Range Raw Data'!M:M,Match($A551,'Day Range Raw Data'!$B:$B,0)),"")</f>
        <v/>
      </c>
      <c r="J551" t="str">
        <f t="array" ref="J551">IFERROR(INDEX('Day Range Raw Data'!N:N,Match($A551,'Day Range Raw Data'!$B:$B,0)),"")</f>
        <v/>
      </c>
      <c r="K551" t="str">
        <f t="array" ref="K551">IFERROR(INDEX('Day Range Raw Data'!R:R,Match($A551,'Day Range Raw Data'!$B:$B,0)),"")</f>
        <v/>
      </c>
      <c r="L551" t="str">
        <f t="array" ref="L551">IFERROR(INDEX('Day Range Raw Data'!S:S,Match($A551,'Day Range Raw Data'!$B:$B,0)),"")</f>
        <v/>
      </c>
      <c r="M551" t="str">
        <f t="array" ref="M551">IFERROR(INDEX('Day Range Raw Data'!T:T,Match($A551,'Day Range Raw Data'!$B:$B,0)),"")</f>
        <v/>
      </c>
      <c r="N551" t="str">
        <f t="array" ref="N551">IFERROR(INDEX('Day Range Raw Data'!U:U,Match($A551,'Day Range Raw Data'!$B:$B,0)),"")</f>
        <v/>
      </c>
      <c r="O551" t="str">
        <f t="array" ref="O551">IFERROR(INDEX('Day Range Raw Data'!V:V,Match($A551,'Day Range Raw Data'!$B:$B,0)),"")</f>
        <v/>
      </c>
      <c r="P551" t="str">
        <f t="array" ref="P551">IFERROR(INDEX('Day Range Raw Data'!X:X,Match($A551,'Day Range Raw Data'!$B:$B,0)),"")</f>
        <v/>
      </c>
      <c r="Q551" t="str">
        <f t="shared" si="1"/>
        <v/>
      </c>
      <c r="R551" s="9" t="str">
        <f t="shared" si="2"/>
        <v/>
      </c>
      <c r="S551" s="14" t="str">
        <f t="shared" si="3"/>
        <v/>
      </c>
      <c r="T551" s="15" t="str">
        <f>IFERROR(__xludf.DUMMYFUNCTION("IF($A551="""","""",IFERROR(PERCENTRANK.INC(FILTER(Q:Q,$F:$F&lt;&gt;""""),Q551)*100,""""))"),"")</f>
        <v/>
      </c>
      <c r="U551" s="15" t="str">
        <f>IFERROR(__xludf.DUMMYFUNCTION("IF($A551="""","""",IFERROR(PERCENTRANK.INC(FILTER(R:R,$F:$F&lt;&gt;""""),R551)*100,""""))"),"")</f>
        <v/>
      </c>
      <c r="V551" s="15" t="str">
        <f>IFERROR(__xludf.DUMMYFUNCTION("IF($A551="""","""",IFERROR(PERCENTRANK.INC(FILTER(S:S,$F:$F&lt;&gt;""""),S551)*100,""""))"),"")</f>
        <v/>
      </c>
      <c r="W551" s="15" t="str">
        <f t="shared" si="4"/>
        <v/>
      </c>
    </row>
    <row r="552">
      <c r="B552" t="str">
        <f t="array" ref="B552">IFERROR(INDEX('Player Raw Data'!C:C,Match($A552,'Player Raw Data'!$B:$B,0)),"")</f>
        <v/>
      </c>
      <c r="C552" t="str">
        <f t="array" ref="C552">IFERROR(INDEX('Player Raw Data'!D:D,Match($A552,'Player Raw Data'!$B:$B,0)),"")</f>
        <v/>
      </c>
      <c r="D552" t="str">
        <f t="array" ref="D552">IFERROR(IF(A552=A551, INDEX('Player Raw Data'!E:E,Match($A552,'Player Raw Data'!$B:$B,0)+2),INDEX('Player Raw Data'!E:E,Match($A552,'Player Raw Data'!$B:$B,0))),"")</f>
        <v/>
      </c>
      <c r="E552" t="str">
        <f t="array" ref="E552">IFERROR(INDEX('Day Range Raw Data'!D:D,Match($A552,'Day Range Raw Data'!$B:$B,0)),"")</f>
        <v/>
      </c>
      <c r="F552" t="str">
        <f t="array" ref="F552">IFERROR(INDEX('Day Range Raw Data'!F:F,Match($A552,'Day Range Raw Data'!$B:$B,0)),"")</f>
        <v/>
      </c>
      <c r="G552" t="str">
        <f t="array" ref="G552">IFERROR(INDEX('Day Range Raw Data'!G:G,Match($A552,'Day Range Raw Data'!$B:$B,0)),"")</f>
        <v/>
      </c>
      <c r="H552" t="str">
        <f t="array" ref="H552">IFERROR(INDEX('Day Range Raw Data'!H:H,Match($A552,'Day Range Raw Data'!$B:$B,0)),"")</f>
        <v/>
      </c>
      <c r="I552" t="str">
        <f t="array" ref="I552">IFERROR(INDEX('Day Range Raw Data'!M:M,Match($A552,'Day Range Raw Data'!$B:$B,0)),"")</f>
        <v/>
      </c>
      <c r="J552" t="str">
        <f t="array" ref="J552">IFERROR(INDEX('Day Range Raw Data'!N:N,Match($A552,'Day Range Raw Data'!$B:$B,0)),"")</f>
        <v/>
      </c>
      <c r="K552" t="str">
        <f t="array" ref="K552">IFERROR(INDEX('Day Range Raw Data'!R:R,Match($A552,'Day Range Raw Data'!$B:$B,0)),"")</f>
        <v/>
      </c>
      <c r="L552" t="str">
        <f t="array" ref="L552">IFERROR(INDEX('Day Range Raw Data'!S:S,Match($A552,'Day Range Raw Data'!$B:$B,0)),"")</f>
        <v/>
      </c>
      <c r="M552" t="str">
        <f t="array" ref="M552">IFERROR(INDEX('Day Range Raw Data'!T:T,Match($A552,'Day Range Raw Data'!$B:$B,0)),"")</f>
        <v/>
      </c>
      <c r="N552" t="str">
        <f t="array" ref="N552">IFERROR(INDEX('Day Range Raw Data'!U:U,Match($A552,'Day Range Raw Data'!$B:$B,0)),"")</f>
        <v/>
      </c>
      <c r="O552" t="str">
        <f t="array" ref="O552">IFERROR(INDEX('Day Range Raw Data'!V:V,Match($A552,'Day Range Raw Data'!$B:$B,0)),"")</f>
        <v/>
      </c>
      <c r="P552" t="str">
        <f t="array" ref="P552">IFERROR(INDEX('Day Range Raw Data'!X:X,Match($A552,'Day Range Raw Data'!$B:$B,0)),"")</f>
        <v/>
      </c>
      <c r="Q552" t="str">
        <f t="shared" si="1"/>
        <v/>
      </c>
      <c r="R552" s="9" t="str">
        <f t="shared" si="2"/>
        <v/>
      </c>
      <c r="S552" s="14" t="str">
        <f t="shared" si="3"/>
        <v/>
      </c>
      <c r="T552" s="15" t="str">
        <f>IFERROR(__xludf.DUMMYFUNCTION("IF($A552="""","""",IFERROR(PERCENTRANK.INC(FILTER(Q:Q,$F:$F&lt;&gt;""""),Q552)*100,""""))"),"")</f>
        <v/>
      </c>
      <c r="U552" s="15" t="str">
        <f>IFERROR(__xludf.DUMMYFUNCTION("IF($A552="""","""",IFERROR(PERCENTRANK.INC(FILTER(R:R,$F:$F&lt;&gt;""""),R552)*100,""""))"),"")</f>
        <v/>
      </c>
      <c r="V552" s="15" t="str">
        <f>IFERROR(__xludf.DUMMYFUNCTION("IF($A552="""","""",IFERROR(PERCENTRANK.INC(FILTER(S:S,$F:$F&lt;&gt;""""),S552)*100,""""))"),"")</f>
        <v/>
      </c>
      <c r="W552" s="15" t="str">
        <f t="shared" si="4"/>
        <v/>
      </c>
    </row>
    <row r="553">
      <c r="B553" t="str">
        <f t="array" ref="B553">IFERROR(INDEX('Player Raw Data'!C:C,Match($A553,'Player Raw Data'!$B:$B,0)),"")</f>
        <v/>
      </c>
      <c r="C553" t="str">
        <f t="array" ref="C553">IFERROR(INDEX('Player Raw Data'!D:D,Match($A553,'Player Raw Data'!$B:$B,0)),"")</f>
        <v/>
      </c>
      <c r="D553" t="str">
        <f t="array" ref="D553">IFERROR(IF(A553=A552, INDEX('Player Raw Data'!E:E,Match($A553,'Player Raw Data'!$B:$B,0)+2),INDEX('Player Raw Data'!E:E,Match($A553,'Player Raw Data'!$B:$B,0))),"")</f>
        <v/>
      </c>
      <c r="E553" t="str">
        <f t="array" ref="E553">IFERROR(INDEX('Day Range Raw Data'!D:D,Match($A553,'Day Range Raw Data'!$B:$B,0)),"")</f>
        <v/>
      </c>
      <c r="F553" t="str">
        <f t="array" ref="F553">IFERROR(INDEX('Day Range Raw Data'!F:F,Match($A553,'Day Range Raw Data'!$B:$B,0)),"")</f>
        <v/>
      </c>
      <c r="G553" t="str">
        <f t="array" ref="G553">IFERROR(INDEX('Day Range Raw Data'!G:G,Match($A553,'Day Range Raw Data'!$B:$B,0)),"")</f>
        <v/>
      </c>
      <c r="H553" t="str">
        <f t="array" ref="H553">IFERROR(INDEX('Day Range Raw Data'!H:H,Match($A553,'Day Range Raw Data'!$B:$B,0)),"")</f>
        <v/>
      </c>
      <c r="I553" t="str">
        <f t="array" ref="I553">IFERROR(INDEX('Day Range Raw Data'!M:M,Match($A553,'Day Range Raw Data'!$B:$B,0)),"")</f>
        <v/>
      </c>
      <c r="J553" t="str">
        <f t="array" ref="J553">IFERROR(INDEX('Day Range Raw Data'!N:N,Match($A553,'Day Range Raw Data'!$B:$B,0)),"")</f>
        <v/>
      </c>
      <c r="K553" t="str">
        <f t="array" ref="K553">IFERROR(INDEX('Day Range Raw Data'!R:R,Match($A553,'Day Range Raw Data'!$B:$B,0)),"")</f>
        <v/>
      </c>
      <c r="L553" t="str">
        <f t="array" ref="L553">IFERROR(INDEX('Day Range Raw Data'!S:S,Match($A553,'Day Range Raw Data'!$B:$B,0)),"")</f>
        <v/>
      </c>
      <c r="M553" t="str">
        <f t="array" ref="M553">IFERROR(INDEX('Day Range Raw Data'!T:T,Match($A553,'Day Range Raw Data'!$B:$B,0)),"")</f>
        <v/>
      </c>
      <c r="N553" t="str">
        <f t="array" ref="N553">IFERROR(INDEX('Day Range Raw Data'!U:U,Match($A553,'Day Range Raw Data'!$B:$B,0)),"")</f>
        <v/>
      </c>
      <c r="O553" t="str">
        <f t="array" ref="O553">IFERROR(INDEX('Day Range Raw Data'!V:V,Match($A553,'Day Range Raw Data'!$B:$B,0)),"")</f>
        <v/>
      </c>
      <c r="P553" t="str">
        <f t="array" ref="P553">IFERROR(INDEX('Day Range Raw Data'!X:X,Match($A553,'Day Range Raw Data'!$B:$B,0)),"")</f>
        <v/>
      </c>
      <c r="Q553" t="str">
        <f t="shared" si="1"/>
        <v/>
      </c>
      <c r="R553" s="9" t="str">
        <f t="shared" si="2"/>
        <v/>
      </c>
      <c r="S553" s="14" t="str">
        <f t="shared" si="3"/>
        <v/>
      </c>
      <c r="T553" s="15" t="str">
        <f>IFERROR(__xludf.DUMMYFUNCTION("IF($A553="""","""",IFERROR(PERCENTRANK.INC(FILTER(Q:Q,$F:$F&lt;&gt;""""),Q553)*100,""""))"),"")</f>
        <v/>
      </c>
      <c r="U553" s="15" t="str">
        <f>IFERROR(__xludf.DUMMYFUNCTION("IF($A553="""","""",IFERROR(PERCENTRANK.INC(FILTER(R:R,$F:$F&lt;&gt;""""),R553)*100,""""))"),"")</f>
        <v/>
      </c>
      <c r="V553" s="15" t="str">
        <f>IFERROR(__xludf.DUMMYFUNCTION("IF($A553="""","""",IFERROR(PERCENTRANK.INC(FILTER(S:S,$F:$F&lt;&gt;""""),S553)*100,""""))"),"")</f>
        <v/>
      </c>
      <c r="W553" s="15" t="str">
        <f t="shared" si="4"/>
        <v/>
      </c>
    </row>
    <row r="554">
      <c r="B554" t="str">
        <f t="array" ref="B554">IFERROR(INDEX('Player Raw Data'!C:C,Match($A554,'Player Raw Data'!$B:$B,0)),"")</f>
        <v/>
      </c>
      <c r="C554" t="str">
        <f t="array" ref="C554">IFERROR(INDEX('Player Raw Data'!D:D,Match($A554,'Player Raw Data'!$B:$B,0)),"")</f>
        <v/>
      </c>
      <c r="D554" t="str">
        <f t="array" ref="D554">IFERROR(IF(A554=A553, INDEX('Player Raw Data'!E:E,Match($A554,'Player Raw Data'!$B:$B,0)+2),INDEX('Player Raw Data'!E:E,Match($A554,'Player Raw Data'!$B:$B,0))),"")</f>
        <v/>
      </c>
      <c r="E554" t="str">
        <f t="array" ref="E554">IFERROR(INDEX('Day Range Raw Data'!D:D,Match($A554,'Day Range Raw Data'!$B:$B,0)),"")</f>
        <v/>
      </c>
      <c r="F554" t="str">
        <f t="array" ref="F554">IFERROR(INDEX('Day Range Raw Data'!F:F,Match($A554,'Day Range Raw Data'!$B:$B,0)),"")</f>
        <v/>
      </c>
      <c r="G554" t="str">
        <f t="array" ref="G554">IFERROR(INDEX('Day Range Raw Data'!G:G,Match($A554,'Day Range Raw Data'!$B:$B,0)),"")</f>
        <v/>
      </c>
      <c r="H554" t="str">
        <f t="array" ref="H554">IFERROR(INDEX('Day Range Raw Data'!H:H,Match($A554,'Day Range Raw Data'!$B:$B,0)),"")</f>
        <v/>
      </c>
      <c r="I554" t="str">
        <f t="array" ref="I554">IFERROR(INDEX('Day Range Raw Data'!M:M,Match($A554,'Day Range Raw Data'!$B:$B,0)),"")</f>
        <v/>
      </c>
      <c r="J554" t="str">
        <f t="array" ref="J554">IFERROR(INDEX('Day Range Raw Data'!N:N,Match($A554,'Day Range Raw Data'!$B:$B,0)),"")</f>
        <v/>
      </c>
      <c r="K554" t="str">
        <f t="array" ref="K554">IFERROR(INDEX('Day Range Raw Data'!R:R,Match($A554,'Day Range Raw Data'!$B:$B,0)),"")</f>
        <v/>
      </c>
      <c r="L554" t="str">
        <f t="array" ref="L554">IFERROR(INDEX('Day Range Raw Data'!S:S,Match($A554,'Day Range Raw Data'!$B:$B,0)),"")</f>
        <v/>
      </c>
      <c r="M554" t="str">
        <f t="array" ref="M554">IFERROR(INDEX('Day Range Raw Data'!T:T,Match($A554,'Day Range Raw Data'!$B:$B,0)),"")</f>
        <v/>
      </c>
      <c r="N554" t="str">
        <f t="array" ref="N554">IFERROR(INDEX('Day Range Raw Data'!U:U,Match($A554,'Day Range Raw Data'!$B:$B,0)),"")</f>
        <v/>
      </c>
      <c r="O554" t="str">
        <f t="array" ref="O554">IFERROR(INDEX('Day Range Raw Data'!V:V,Match($A554,'Day Range Raw Data'!$B:$B,0)),"")</f>
        <v/>
      </c>
      <c r="P554" t="str">
        <f t="array" ref="P554">IFERROR(INDEX('Day Range Raw Data'!X:X,Match($A554,'Day Range Raw Data'!$B:$B,0)),"")</f>
        <v/>
      </c>
      <c r="Q554" t="str">
        <f t="shared" si="1"/>
        <v/>
      </c>
      <c r="R554" s="9" t="str">
        <f t="shared" si="2"/>
        <v/>
      </c>
      <c r="S554" s="14" t="str">
        <f t="shared" si="3"/>
        <v/>
      </c>
      <c r="T554" s="15" t="str">
        <f>IFERROR(__xludf.DUMMYFUNCTION("IF($A554="""","""",IFERROR(PERCENTRANK.INC(FILTER(Q:Q,$F:$F&lt;&gt;""""),Q554)*100,""""))"),"")</f>
        <v/>
      </c>
      <c r="U554" s="15" t="str">
        <f>IFERROR(__xludf.DUMMYFUNCTION("IF($A554="""","""",IFERROR(PERCENTRANK.INC(FILTER(R:R,$F:$F&lt;&gt;""""),R554)*100,""""))"),"")</f>
        <v/>
      </c>
      <c r="V554" s="15" t="str">
        <f>IFERROR(__xludf.DUMMYFUNCTION("IF($A554="""","""",IFERROR(PERCENTRANK.INC(FILTER(S:S,$F:$F&lt;&gt;""""),S554)*100,""""))"),"")</f>
        <v/>
      </c>
      <c r="W554" s="15" t="str">
        <f t="shared" si="4"/>
        <v/>
      </c>
    </row>
    <row r="555">
      <c r="B555" t="str">
        <f t="array" ref="B555">IFERROR(INDEX('Player Raw Data'!C:C,Match($A555,'Player Raw Data'!$B:$B,0)),"")</f>
        <v/>
      </c>
      <c r="C555" t="str">
        <f t="array" ref="C555">IFERROR(INDEX('Player Raw Data'!D:D,Match($A555,'Player Raw Data'!$B:$B,0)),"")</f>
        <v/>
      </c>
      <c r="D555" t="str">
        <f t="array" ref="D555">IFERROR(IF(A555=A554, INDEX('Player Raw Data'!E:E,Match($A555,'Player Raw Data'!$B:$B,0)+2),INDEX('Player Raw Data'!E:E,Match($A555,'Player Raw Data'!$B:$B,0))),"")</f>
        <v/>
      </c>
      <c r="E555" t="str">
        <f t="array" ref="E555">IFERROR(INDEX('Day Range Raw Data'!D:D,Match($A555,'Day Range Raw Data'!$B:$B,0)),"")</f>
        <v/>
      </c>
      <c r="F555" t="str">
        <f t="array" ref="F555">IFERROR(INDEX('Day Range Raw Data'!F:F,Match($A555,'Day Range Raw Data'!$B:$B,0)),"")</f>
        <v/>
      </c>
      <c r="G555" t="str">
        <f t="array" ref="G555">IFERROR(INDEX('Day Range Raw Data'!G:G,Match($A555,'Day Range Raw Data'!$B:$B,0)),"")</f>
        <v/>
      </c>
      <c r="H555" t="str">
        <f t="array" ref="H555">IFERROR(INDEX('Day Range Raw Data'!H:H,Match($A555,'Day Range Raw Data'!$B:$B,0)),"")</f>
        <v/>
      </c>
      <c r="I555" t="str">
        <f t="array" ref="I555">IFERROR(INDEX('Day Range Raw Data'!M:M,Match($A555,'Day Range Raw Data'!$B:$B,0)),"")</f>
        <v/>
      </c>
      <c r="J555" t="str">
        <f t="array" ref="J555">IFERROR(INDEX('Day Range Raw Data'!N:N,Match($A555,'Day Range Raw Data'!$B:$B,0)),"")</f>
        <v/>
      </c>
      <c r="K555" t="str">
        <f t="array" ref="K555">IFERROR(INDEX('Day Range Raw Data'!R:R,Match($A555,'Day Range Raw Data'!$B:$B,0)),"")</f>
        <v/>
      </c>
      <c r="L555" t="str">
        <f t="array" ref="L555">IFERROR(INDEX('Day Range Raw Data'!S:S,Match($A555,'Day Range Raw Data'!$B:$B,0)),"")</f>
        <v/>
      </c>
      <c r="M555" t="str">
        <f t="array" ref="M555">IFERROR(INDEX('Day Range Raw Data'!T:T,Match($A555,'Day Range Raw Data'!$B:$B,0)),"")</f>
        <v/>
      </c>
      <c r="N555" t="str">
        <f t="array" ref="N555">IFERROR(INDEX('Day Range Raw Data'!U:U,Match($A555,'Day Range Raw Data'!$B:$B,0)),"")</f>
        <v/>
      </c>
      <c r="O555" t="str">
        <f t="array" ref="O555">IFERROR(INDEX('Day Range Raw Data'!V:V,Match($A555,'Day Range Raw Data'!$B:$B,0)),"")</f>
        <v/>
      </c>
      <c r="P555" t="str">
        <f t="array" ref="P555">IFERROR(INDEX('Day Range Raw Data'!X:X,Match($A555,'Day Range Raw Data'!$B:$B,0)),"")</f>
        <v/>
      </c>
      <c r="Q555" t="str">
        <f t="shared" si="1"/>
        <v/>
      </c>
      <c r="R555" s="9" t="str">
        <f t="shared" si="2"/>
        <v/>
      </c>
      <c r="S555" s="14" t="str">
        <f t="shared" si="3"/>
        <v/>
      </c>
      <c r="T555" s="15" t="str">
        <f>IFERROR(__xludf.DUMMYFUNCTION("IF($A555="""","""",IFERROR(PERCENTRANK.INC(FILTER(Q:Q,$F:$F&lt;&gt;""""),Q555)*100,""""))"),"")</f>
        <v/>
      </c>
      <c r="U555" s="15" t="str">
        <f>IFERROR(__xludf.DUMMYFUNCTION("IF($A555="""","""",IFERROR(PERCENTRANK.INC(FILTER(R:R,$F:$F&lt;&gt;""""),R555)*100,""""))"),"")</f>
        <v/>
      </c>
      <c r="V555" s="15" t="str">
        <f>IFERROR(__xludf.DUMMYFUNCTION("IF($A555="""","""",IFERROR(PERCENTRANK.INC(FILTER(S:S,$F:$F&lt;&gt;""""),S555)*100,""""))"),"")</f>
        <v/>
      </c>
      <c r="W555" s="15" t="str">
        <f t="shared" si="4"/>
        <v/>
      </c>
    </row>
    <row r="556">
      <c r="B556" t="str">
        <f t="array" ref="B556">IFERROR(INDEX('Player Raw Data'!C:C,Match($A556,'Player Raw Data'!$B:$B,0)),"")</f>
        <v/>
      </c>
      <c r="C556" t="str">
        <f t="array" ref="C556">IFERROR(INDEX('Player Raw Data'!D:D,Match($A556,'Player Raw Data'!$B:$B,0)),"")</f>
        <v/>
      </c>
      <c r="D556" t="str">
        <f t="array" ref="D556">IFERROR(IF(A556=A555, INDEX('Player Raw Data'!E:E,Match($A556,'Player Raw Data'!$B:$B,0)+2),INDEX('Player Raw Data'!E:E,Match($A556,'Player Raw Data'!$B:$B,0))),"")</f>
        <v/>
      </c>
      <c r="E556" t="str">
        <f t="array" ref="E556">IFERROR(INDEX('Day Range Raw Data'!D:D,Match($A556,'Day Range Raw Data'!$B:$B,0)),"")</f>
        <v/>
      </c>
      <c r="F556" t="str">
        <f t="array" ref="F556">IFERROR(INDEX('Day Range Raw Data'!F:F,Match($A556,'Day Range Raw Data'!$B:$B,0)),"")</f>
        <v/>
      </c>
      <c r="G556" t="str">
        <f t="array" ref="G556">IFERROR(INDEX('Day Range Raw Data'!G:G,Match($A556,'Day Range Raw Data'!$B:$B,0)),"")</f>
        <v/>
      </c>
      <c r="H556" t="str">
        <f t="array" ref="H556">IFERROR(INDEX('Day Range Raw Data'!H:H,Match($A556,'Day Range Raw Data'!$B:$B,0)),"")</f>
        <v/>
      </c>
      <c r="I556" t="str">
        <f t="array" ref="I556">IFERROR(INDEX('Day Range Raw Data'!M:M,Match($A556,'Day Range Raw Data'!$B:$B,0)),"")</f>
        <v/>
      </c>
      <c r="J556" t="str">
        <f t="array" ref="J556">IFERROR(INDEX('Day Range Raw Data'!N:N,Match($A556,'Day Range Raw Data'!$B:$B,0)),"")</f>
        <v/>
      </c>
      <c r="K556" t="str">
        <f t="array" ref="K556">IFERROR(INDEX('Day Range Raw Data'!R:R,Match($A556,'Day Range Raw Data'!$B:$B,0)),"")</f>
        <v/>
      </c>
      <c r="L556" t="str">
        <f t="array" ref="L556">IFERROR(INDEX('Day Range Raw Data'!S:S,Match($A556,'Day Range Raw Data'!$B:$B,0)),"")</f>
        <v/>
      </c>
      <c r="M556" t="str">
        <f t="array" ref="M556">IFERROR(INDEX('Day Range Raw Data'!T:T,Match($A556,'Day Range Raw Data'!$B:$B,0)),"")</f>
        <v/>
      </c>
      <c r="N556" t="str">
        <f t="array" ref="N556">IFERROR(INDEX('Day Range Raw Data'!U:U,Match($A556,'Day Range Raw Data'!$B:$B,0)),"")</f>
        <v/>
      </c>
      <c r="O556" t="str">
        <f t="array" ref="O556">IFERROR(INDEX('Day Range Raw Data'!V:V,Match($A556,'Day Range Raw Data'!$B:$B,0)),"")</f>
        <v/>
      </c>
      <c r="P556" t="str">
        <f t="array" ref="P556">IFERROR(INDEX('Day Range Raw Data'!X:X,Match($A556,'Day Range Raw Data'!$B:$B,0)),"")</f>
        <v/>
      </c>
      <c r="Q556" t="str">
        <f t="shared" si="1"/>
        <v/>
      </c>
      <c r="R556" s="9" t="str">
        <f t="shared" si="2"/>
        <v/>
      </c>
      <c r="S556" s="14" t="str">
        <f t="shared" si="3"/>
        <v/>
      </c>
      <c r="T556" s="15" t="str">
        <f>IFERROR(__xludf.DUMMYFUNCTION("IF($A556="""","""",IFERROR(PERCENTRANK.INC(FILTER(Q:Q,$F:$F&lt;&gt;""""),Q556)*100,""""))"),"")</f>
        <v/>
      </c>
      <c r="U556" s="15" t="str">
        <f>IFERROR(__xludf.DUMMYFUNCTION("IF($A556="""","""",IFERROR(PERCENTRANK.INC(FILTER(R:R,$F:$F&lt;&gt;""""),R556)*100,""""))"),"")</f>
        <v/>
      </c>
      <c r="V556" s="15" t="str">
        <f>IFERROR(__xludf.DUMMYFUNCTION("IF($A556="""","""",IFERROR(PERCENTRANK.INC(FILTER(S:S,$F:$F&lt;&gt;""""),S556)*100,""""))"),"")</f>
        <v/>
      </c>
      <c r="W556" s="15" t="str">
        <f t="shared" si="4"/>
        <v/>
      </c>
    </row>
    <row r="557">
      <c r="B557" t="str">
        <f t="array" ref="B557">IFERROR(INDEX('Player Raw Data'!C:C,Match($A557,'Player Raw Data'!$B:$B,0)),"")</f>
        <v/>
      </c>
      <c r="C557" t="str">
        <f t="array" ref="C557">IFERROR(INDEX('Player Raw Data'!D:D,Match($A557,'Player Raw Data'!$B:$B,0)),"")</f>
        <v/>
      </c>
      <c r="D557" t="str">
        <f t="array" ref="D557">IFERROR(IF(A557=A556, INDEX('Player Raw Data'!E:E,Match($A557,'Player Raw Data'!$B:$B,0)+2),INDEX('Player Raw Data'!E:E,Match($A557,'Player Raw Data'!$B:$B,0))),"")</f>
        <v/>
      </c>
      <c r="E557" t="str">
        <f t="array" ref="E557">IFERROR(INDEX('Day Range Raw Data'!D:D,Match($A557,'Day Range Raw Data'!$B:$B,0)),"")</f>
        <v/>
      </c>
      <c r="F557" t="str">
        <f t="array" ref="F557">IFERROR(INDEX('Day Range Raw Data'!F:F,Match($A557,'Day Range Raw Data'!$B:$B,0)),"")</f>
        <v/>
      </c>
      <c r="G557" t="str">
        <f t="array" ref="G557">IFERROR(INDEX('Day Range Raw Data'!G:G,Match($A557,'Day Range Raw Data'!$B:$B,0)),"")</f>
        <v/>
      </c>
      <c r="H557" t="str">
        <f t="array" ref="H557">IFERROR(INDEX('Day Range Raw Data'!H:H,Match($A557,'Day Range Raw Data'!$B:$B,0)),"")</f>
        <v/>
      </c>
      <c r="I557" t="str">
        <f t="array" ref="I557">IFERROR(INDEX('Day Range Raw Data'!M:M,Match($A557,'Day Range Raw Data'!$B:$B,0)),"")</f>
        <v/>
      </c>
      <c r="J557" t="str">
        <f t="array" ref="J557">IFERROR(INDEX('Day Range Raw Data'!N:N,Match($A557,'Day Range Raw Data'!$B:$B,0)),"")</f>
        <v/>
      </c>
      <c r="K557" t="str">
        <f t="array" ref="K557">IFERROR(INDEX('Day Range Raw Data'!R:R,Match($A557,'Day Range Raw Data'!$B:$B,0)),"")</f>
        <v/>
      </c>
      <c r="L557" t="str">
        <f t="array" ref="L557">IFERROR(INDEX('Day Range Raw Data'!S:S,Match($A557,'Day Range Raw Data'!$B:$B,0)),"")</f>
        <v/>
      </c>
      <c r="M557" t="str">
        <f t="array" ref="M557">IFERROR(INDEX('Day Range Raw Data'!T:T,Match($A557,'Day Range Raw Data'!$B:$B,0)),"")</f>
        <v/>
      </c>
      <c r="N557" t="str">
        <f t="array" ref="N557">IFERROR(INDEX('Day Range Raw Data'!U:U,Match($A557,'Day Range Raw Data'!$B:$B,0)),"")</f>
        <v/>
      </c>
      <c r="O557" t="str">
        <f t="array" ref="O557">IFERROR(INDEX('Day Range Raw Data'!V:V,Match($A557,'Day Range Raw Data'!$B:$B,0)),"")</f>
        <v/>
      </c>
      <c r="P557" t="str">
        <f t="array" ref="P557">IFERROR(INDEX('Day Range Raw Data'!X:X,Match($A557,'Day Range Raw Data'!$B:$B,0)),"")</f>
        <v/>
      </c>
      <c r="Q557" t="str">
        <f t="shared" si="1"/>
        <v/>
      </c>
      <c r="R557" s="9" t="str">
        <f t="shared" si="2"/>
        <v/>
      </c>
      <c r="S557" s="14" t="str">
        <f t="shared" si="3"/>
        <v/>
      </c>
      <c r="T557" s="15" t="str">
        <f>IFERROR(__xludf.DUMMYFUNCTION("IF($A557="""","""",IFERROR(PERCENTRANK.INC(FILTER(Q:Q,$F:$F&lt;&gt;""""),Q557)*100,""""))"),"")</f>
        <v/>
      </c>
      <c r="U557" s="15" t="str">
        <f>IFERROR(__xludf.DUMMYFUNCTION("IF($A557="""","""",IFERROR(PERCENTRANK.INC(FILTER(R:R,$F:$F&lt;&gt;""""),R557)*100,""""))"),"")</f>
        <v/>
      </c>
      <c r="V557" s="15" t="str">
        <f>IFERROR(__xludf.DUMMYFUNCTION("IF($A557="""","""",IFERROR(PERCENTRANK.INC(FILTER(S:S,$F:$F&lt;&gt;""""),S557)*100,""""))"),"")</f>
        <v/>
      </c>
      <c r="W557" s="15" t="str">
        <f t="shared" si="4"/>
        <v/>
      </c>
    </row>
    <row r="558">
      <c r="B558" t="str">
        <f t="array" ref="B558">IFERROR(INDEX('Player Raw Data'!C:C,Match($A558,'Player Raw Data'!$B:$B,0)),"")</f>
        <v/>
      </c>
      <c r="C558" t="str">
        <f t="array" ref="C558">IFERROR(INDEX('Player Raw Data'!D:D,Match($A558,'Player Raw Data'!$B:$B,0)),"")</f>
        <v/>
      </c>
      <c r="D558" t="str">
        <f t="array" ref="D558">IFERROR(IF(A558=A557, INDEX('Player Raw Data'!E:E,Match($A558,'Player Raw Data'!$B:$B,0)+2),INDEX('Player Raw Data'!E:E,Match($A558,'Player Raw Data'!$B:$B,0))),"")</f>
        <v/>
      </c>
      <c r="E558" t="str">
        <f t="array" ref="E558">IFERROR(INDEX('Day Range Raw Data'!D:D,Match($A558,'Day Range Raw Data'!$B:$B,0)),"")</f>
        <v/>
      </c>
      <c r="F558" t="str">
        <f t="array" ref="F558">IFERROR(INDEX('Day Range Raw Data'!F:F,Match($A558,'Day Range Raw Data'!$B:$B,0)),"")</f>
        <v/>
      </c>
      <c r="G558" t="str">
        <f t="array" ref="G558">IFERROR(INDEX('Day Range Raw Data'!G:G,Match($A558,'Day Range Raw Data'!$B:$B,0)),"")</f>
        <v/>
      </c>
      <c r="H558" t="str">
        <f t="array" ref="H558">IFERROR(INDEX('Day Range Raw Data'!H:H,Match($A558,'Day Range Raw Data'!$B:$B,0)),"")</f>
        <v/>
      </c>
      <c r="I558" t="str">
        <f t="array" ref="I558">IFERROR(INDEX('Day Range Raw Data'!M:M,Match($A558,'Day Range Raw Data'!$B:$B,0)),"")</f>
        <v/>
      </c>
      <c r="J558" t="str">
        <f t="array" ref="J558">IFERROR(INDEX('Day Range Raw Data'!N:N,Match($A558,'Day Range Raw Data'!$B:$B,0)),"")</f>
        <v/>
      </c>
      <c r="K558" t="str">
        <f t="array" ref="K558">IFERROR(INDEX('Day Range Raw Data'!R:R,Match($A558,'Day Range Raw Data'!$B:$B,0)),"")</f>
        <v/>
      </c>
      <c r="L558" t="str">
        <f t="array" ref="L558">IFERROR(INDEX('Day Range Raw Data'!S:S,Match($A558,'Day Range Raw Data'!$B:$B,0)),"")</f>
        <v/>
      </c>
      <c r="M558" t="str">
        <f t="array" ref="M558">IFERROR(INDEX('Day Range Raw Data'!T:T,Match($A558,'Day Range Raw Data'!$B:$B,0)),"")</f>
        <v/>
      </c>
      <c r="N558" t="str">
        <f t="array" ref="N558">IFERROR(INDEX('Day Range Raw Data'!U:U,Match($A558,'Day Range Raw Data'!$B:$B,0)),"")</f>
        <v/>
      </c>
      <c r="O558" t="str">
        <f t="array" ref="O558">IFERROR(INDEX('Day Range Raw Data'!V:V,Match($A558,'Day Range Raw Data'!$B:$B,0)),"")</f>
        <v/>
      </c>
      <c r="P558" t="str">
        <f t="array" ref="P558">IFERROR(INDEX('Day Range Raw Data'!X:X,Match($A558,'Day Range Raw Data'!$B:$B,0)),"")</f>
        <v/>
      </c>
      <c r="Q558" t="str">
        <f t="shared" si="1"/>
        <v/>
      </c>
      <c r="R558" s="9" t="str">
        <f t="shared" si="2"/>
        <v/>
      </c>
      <c r="S558" s="14" t="str">
        <f t="shared" si="3"/>
        <v/>
      </c>
      <c r="T558" s="15" t="str">
        <f>IFERROR(__xludf.DUMMYFUNCTION("IF($A558="""","""",IFERROR(PERCENTRANK.INC(FILTER(Q:Q,$F:$F&lt;&gt;""""),Q558)*100,""""))"),"")</f>
        <v/>
      </c>
      <c r="U558" s="15" t="str">
        <f>IFERROR(__xludf.DUMMYFUNCTION("IF($A558="""","""",IFERROR(PERCENTRANK.INC(FILTER(R:R,$F:$F&lt;&gt;""""),R558)*100,""""))"),"")</f>
        <v/>
      </c>
      <c r="V558" s="15" t="str">
        <f>IFERROR(__xludf.DUMMYFUNCTION("IF($A558="""","""",IFERROR(PERCENTRANK.INC(FILTER(S:S,$F:$F&lt;&gt;""""),S558)*100,""""))"),"")</f>
        <v/>
      </c>
      <c r="W558" s="15" t="str">
        <f t="shared" si="4"/>
        <v/>
      </c>
    </row>
    <row r="559">
      <c r="B559" t="str">
        <f t="array" ref="B559">IFERROR(INDEX('Player Raw Data'!C:C,Match($A559,'Player Raw Data'!$B:$B,0)),"")</f>
        <v/>
      </c>
      <c r="C559" t="str">
        <f t="array" ref="C559">IFERROR(INDEX('Player Raw Data'!D:D,Match($A559,'Player Raw Data'!$B:$B,0)),"")</f>
        <v/>
      </c>
      <c r="D559" t="str">
        <f t="array" ref="D559">IFERROR(IF(A559=A558, INDEX('Player Raw Data'!E:E,Match($A559,'Player Raw Data'!$B:$B,0)+2),INDEX('Player Raw Data'!E:E,Match($A559,'Player Raw Data'!$B:$B,0))),"")</f>
        <v/>
      </c>
      <c r="E559" t="str">
        <f t="array" ref="E559">IFERROR(INDEX('Day Range Raw Data'!D:D,Match($A559,'Day Range Raw Data'!$B:$B,0)),"")</f>
        <v/>
      </c>
      <c r="F559" t="str">
        <f t="array" ref="F559">IFERROR(INDEX('Day Range Raw Data'!F:F,Match($A559,'Day Range Raw Data'!$B:$B,0)),"")</f>
        <v/>
      </c>
      <c r="G559" t="str">
        <f t="array" ref="G559">IFERROR(INDEX('Day Range Raw Data'!G:G,Match($A559,'Day Range Raw Data'!$B:$B,0)),"")</f>
        <v/>
      </c>
      <c r="H559" t="str">
        <f t="array" ref="H559">IFERROR(INDEX('Day Range Raw Data'!H:H,Match($A559,'Day Range Raw Data'!$B:$B,0)),"")</f>
        <v/>
      </c>
      <c r="I559" t="str">
        <f t="array" ref="I559">IFERROR(INDEX('Day Range Raw Data'!M:M,Match($A559,'Day Range Raw Data'!$B:$B,0)),"")</f>
        <v/>
      </c>
      <c r="J559" t="str">
        <f t="array" ref="J559">IFERROR(INDEX('Day Range Raw Data'!N:N,Match($A559,'Day Range Raw Data'!$B:$B,0)),"")</f>
        <v/>
      </c>
      <c r="K559" t="str">
        <f t="array" ref="K559">IFERROR(INDEX('Day Range Raw Data'!R:R,Match($A559,'Day Range Raw Data'!$B:$B,0)),"")</f>
        <v/>
      </c>
      <c r="L559" t="str">
        <f t="array" ref="L559">IFERROR(INDEX('Day Range Raw Data'!S:S,Match($A559,'Day Range Raw Data'!$B:$B,0)),"")</f>
        <v/>
      </c>
      <c r="M559" t="str">
        <f t="array" ref="M559">IFERROR(INDEX('Day Range Raw Data'!T:T,Match($A559,'Day Range Raw Data'!$B:$B,0)),"")</f>
        <v/>
      </c>
      <c r="N559" t="str">
        <f t="array" ref="N559">IFERROR(INDEX('Day Range Raw Data'!U:U,Match($A559,'Day Range Raw Data'!$B:$B,0)),"")</f>
        <v/>
      </c>
      <c r="O559" t="str">
        <f t="array" ref="O559">IFERROR(INDEX('Day Range Raw Data'!V:V,Match($A559,'Day Range Raw Data'!$B:$B,0)),"")</f>
        <v/>
      </c>
      <c r="P559" t="str">
        <f t="array" ref="P559">IFERROR(INDEX('Day Range Raw Data'!X:X,Match($A559,'Day Range Raw Data'!$B:$B,0)),"")</f>
        <v/>
      </c>
      <c r="Q559" t="str">
        <f t="shared" si="1"/>
        <v/>
      </c>
      <c r="R559" s="9" t="str">
        <f t="shared" si="2"/>
        <v/>
      </c>
      <c r="S559" s="14" t="str">
        <f t="shared" si="3"/>
        <v/>
      </c>
      <c r="T559" s="15" t="str">
        <f>IFERROR(__xludf.DUMMYFUNCTION("IF($A559="""","""",IFERROR(PERCENTRANK.INC(FILTER(Q:Q,$F:$F&lt;&gt;""""),Q559)*100,""""))"),"")</f>
        <v/>
      </c>
      <c r="U559" s="15" t="str">
        <f>IFERROR(__xludf.DUMMYFUNCTION("IF($A559="""","""",IFERROR(PERCENTRANK.INC(FILTER(R:R,$F:$F&lt;&gt;""""),R559)*100,""""))"),"")</f>
        <v/>
      </c>
      <c r="V559" s="15" t="str">
        <f>IFERROR(__xludf.DUMMYFUNCTION("IF($A559="""","""",IFERROR(PERCENTRANK.INC(FILTER(S:S,$F:$F&lt;&gt;""""),S559)*100,""""))"),"")</f>
        <v/>
      </c>
      <c r="W559" s="15" t="str">
        <f t="shared" si="4"/>
        <v/>
      </c>
    </row>
    <row r="560">
      <c r="B560" t="str">
        <f t="array" ref="B560">IFERROR(INDEX('Player Raw Data'!C:C,Match($A560,'Player Raw Data'!$B:$B,0)),"")</f>
        <v/>
      </c>
      <c r="C560" t="str">
        <f t="array" ref="C560">IFERROR(INDEX('Player Raw Data'!D:D,Match($A560,'Player Raw Data'!$B:$B,0)),"")</f>
        <v/>
      </c>
      <c r="D560" t="str">
        <f t="array" ref="D560">IFERROR(IF(A560=A559, INDEX('Player Raw Data'!E:E,Match($A560,'Player Raw Data'!$B:$B,0)+2),INDEX('Player Raw Data'!E:E,Match($A560,'Player Raw Data'!$B:$B,0))),"")</f>
        <v/>
      </c>
      <c r="E560" t="str">
        <f t="array" ref="E560">IFERROR(INDEX('Day Range Raw Data'!D:D,Match($A560,'Day Range Raw Data'!$B:$B,0)),"")</f>
        <v/>
      </c>
      <c r="F560" t="str">
        <f t="array" ref="F560">IFERROR(INDEX('Day Range Raw Data'!F:F,Match($A560,'Day Range Raw Data'!$B:$B,0)),"")</f>
        <v/>
      </c>
      <c r="G560" t="str">
        <f t="array" ref="G560">IFERROR(INDEX('Day Range Raw Data'!G:G,Match($A560,'Day Range Raw Data'!$B:$B,0)),"")</f>
        <v/>
      </c>
      <c r="H560" t="str">
        <f t="array" ref="H560">IFERROR(INDEX('Day Range Raw Data'!H:H,Match($A560,'Day Range Raw Data'!$B:$B,0)),"")</f>
        <v/>
      </c>
      <c r="I560" t="str">
        <f t="array" ref="I560">IFERROR(INDEX('Day Range Raw Data'!M:M,Match($A560,'Day Range Raw Data'!$B:$B,0)),"")</f>
        <v/>
      </c>
      <c r="J560" t="str">
        <f t="array" ref="J560">IFERROR(INDEX('Day Range Raw Data'!N:N,Match($A560,'Day Range Raw Data'!$B:$B,0)),"")</f>
        <v/>
      </c>
      <c r="K560" t="str">
        <f t="array" ref="K560">IFERROR(INDEX('Day Range Raw Data'!R:R,Match($A560,'Day Range Raw Data'!$B:$B,0)),"")</f>
        <v/>
      </c>
      <c r="L560" t="str">
        <f t="array" ref="L560">IFERROR(INDEX('Day Range Raw Data'!S:S,Match($A560,'Day Range Raw Data'!$B:$B,0)),"")</f>
        <v/>
      </c>
      <c r="M560" t="str">
        <f t="array" ref="M560">IFERROR(INDEX('Day Range Raw Data'!T:T,Match($A560,'Day Range Raw Data'!$B:$B,0)),"")</f>
        <v/>
      </c>
      <c r="N560" t="str">
        <f t="array" ref="N560">IFERROR(INDEX('Day Range Raw Data'!U:U,Match($A560,'Day Range Raw Data'!$B:$B,0)),"")</f>
        <v/>
      </c>
      <c r="O560" t="str">
        <f t="array" ref="O560">IFERROR(INDEX('Day Range Raw Data'!V:V,Match($A560,'Day Range Raw Data'!$B:$B,0)),"")</f>
        <v/>
      </c>
      <c r="P560" t="str">
        <f t="array" ref="P560">IFERROR(INDEX('Day Range Raw Data'!X:X,Match($A560,'Day Range Raw Data'!$B:$B,0)),"")</f>
        <v/>
      </c>
      <c r="Q560" t="str">
        <f t="shared" si="1"/>
        <v/>
      </c>
      <c r="R560" s="9" t="str">
        <f t="shared" si="2"/>
        <v/>
      </c>
      <c r="S560" s="14" t="str">
        <f t="shared" si="3"/>
        <v/>
      </c>
      <c r="T560" s="15" t="str">
        <f>IFERROR(__xludf.DUMMYFUNCTION("IF($A560="""","""",IFERROR(PERCENTRANK.INC(FILTER(Q:Q,$F:$F&lt;&gt;""""),Q560)*100,""""))"),"")</f>
        <v/>
      </c>
      <c r="U560" s="15" t="str">
        <f>IFERROR(__xludf.DUMMYFUNCTION("IF($A560="""","""",IFERROR(PERCENTRANK.INC(FILTER(R:R,$F:$F&lt;&gt;""""),R560)*100,""""))"),"")</f>
        <v/>
      </c>
      <c r="V560" s="15" t="str">
        <f>IFERROR(__xludf.DUMMYFUNCTION("IF($A560="""","""",IFERROR(PERCENTRANK.INC(FILTER(S:S,$F:$F&lt;&gt;""""),S560)*100,""""))"),"")</f>
        <v/>
      </c>
      <c r="W560" s="15" t="str">
        <f t="shared" si="4"/>
        <v/>
      </c>
    </row>
    <row r="561">
      <c r="B561" t="str">
        <f t="array" ref="B561">IFERROR(INDEX('Player Raw Data'!C:C,Match($A561,'Player Raw Data'!$B:$B,0)),"")</f>
        <v/>
      </c>
      <c r="C561" t="str">
        <f t="array" ref="C561">IFERROR(INDEX('Player Raw Data'!D:D,Match($A561,'Player Raw Data'!$B:$B,0)),"")</f>
        <v/>
      </c>
      <c r="D561" t="str">
        <f t="array" ref="D561">IFERROR(IF(A561=A560, INDEX('Player Raw Data'!E:E,Match($A561,'Player Raw Data'!$B:$B,0)+2),INDEX('Player Raw Data'!E:E,Match($A561,'Player Raw Data'!$B:$B,0))),"")</f>
        <v/>
      </c>
      <c r="E561" t="str">
        <f t="array" ref="E561">IFERROR(INDEX('Day Range Raw Data'!D:D,Match($A561,'Day Range Raw Data'!$B:$B,0)),"")</f>
        <v/>
      </c>
      <c r="F561" t="str">
        <f t="array" ref="F561">IFERROR(INDEX('Day Range Raw Data'!F:F,Match($A561,'Day Range Raw Data'!$B:$B,0)),"")</f>
        <v/>
      </c>
      <c r="G561" t="str">
        <f t="array" ref="G561">IFERROR(INDEX('Day Range Raw Data'!G:G,Match($A561,'Day Range Raw Data'!$B:$B,0)),"")</f>
        <v/>
      </c>
      <c r="H561" t="str">
        <f t="array" ref="H561">IFERROR(INDEX('Day Range Raw Data'!H:H,Match($A561,'Day Range Raw Data'!$B:$B,0)),"")</f>
        <v/>
      </c>
      <c r="I561" t="str">
        <f t="array" ref="I561">IFERROR(INDEX('Day Range Raw Data'!M:M,Match($A561,'Day Range Raw Data'!$B:$B,0)),"")</f>
        <v/>
      </c>
      <c r="J561" t="str">
        <f t="array" ref="J561">IFERROR(INDEX('Day Range Raw Data'!N:N,Match($A561,'Day Range Raw Data'!$B:$B,0)),"")</f>
        <v/>
      </c>
      <c r="K561" t="str">
        <f t="array" ref="K561">IFERROR(INDEX('Day Range Raw Data'!R:R,Match($A561,'Day Range Raw Data'!$B:$B,0)),"")</f>
        <v/>
      </c>
      <c r="L561" t="str">
        <f t="array" ref="L561">IFERROR(INDEX('Day Range Raw Data'!S:S,Match($A561,'Day Range Raw Data'!$B:$B,0)),"")</f>
        <v/>
      </c>
      <c r="M561" t="str">
        <f t="array" ref="M561">IFERROR(INDEX('Day Range Raw Data'!T:T,Match($A561,'Day Range Raw Data'!$B:$B,0)),"")</f>
        <v/>
      </c>
      <c r="N561" t="str">
        <f t="array" ref="N561">IFERROR(INDEX('Day Range Raw Data'!U:U,Match($A561,'Day Range Raw Data'!$B:$B,0)),"")</f>
        <v/>
      </c>
      <c r="O561" t="str">
        <f t="array" ref="O561">IFERROR(INDEX('Day Range Raw Data'!V:V,Match($A561,'Day Range Raw Data'!$B:$B,0)),"")</f>
        <v/>
      </c>
      <c r="P561" t="str">
        <f t="array" ref="P561">IFERROR(INDEX('Day Range Raw Data'!X:X,Match($A561,'Day Range Raw Data'!$B:$B,0)),"")</f>
        <v/>
      </c>
      <c r="Q561" t="str">
        <f t="shared" si="1"/>
        <v/>
      </c>
      <c r="R561" s="9" t="str">
        <f t="shared" si="2"/>
        <v/>
      </c>
      <c r="S561" s="14" t="str">
        <f t="shared" si="3"/>
        <v/>
      </c>
      <c r="T561" s="15" t="str">
        <f>IFERROR(__xludf.DUMMYFUNCTION("IF($A561="""","""",IFERROR(PERCENTRANK.INC(FILTER(Q:Q,$F:$F&lt;&gt;""""),Q561)*100,""""))"),"")</f>
        <v/>
      </c>
      <c r="U561" s="15" t="str">
        <f>IFERROR(__xludf.DUMMYFUNCTION("IF($A561="""","""",IFERROR(PERCENTRANK.INC(FILTER(R:R,$F:$F&lt;&gt;""""),R561)*100,""""))"),"")</f>
        <v/>
      </c>
      <c r="V561" s="15" t="str">
        <f>IFERROR(__xludf.DUMMYFUNCTION("IF($A561="""","""",IFERROR(PERCENTRANK.INC(FILTER(S:S,$F:$F&lt;&gt;""""),S561)*100,""""))"),"")</f>
        <v/>
      </c>
      <c r="W561" s="15" t="str">
        <f t="shared" si="4"/>
        <v/>
      </c>
    </row>
    <row r="562">
      <c r="B562" t="str">
        <f t="array" ref="B562">IFERROR(INDEX('Player Raw Data'!C:C,Match($A562,'Player Raw Data'!$B:$B,0)),"")</f>
        <v/>
      </c>
      <c r="C562" t="str">
        <f t="array" ref="C562">IFERROR(INDEX('Player Raw Data'!D:D,Match($A562,'Player Raw Data'!$B:$B,0)),"")</f>
        <v/>
      </c>
      <c r="D562" t="str">
        <f t="array" ref="D562">IFERROR(IF(A562=A561, INDEX('Player Raw Data'!E:E,Match($A562,'Player Raw Data'!$B:$B,0)+2),INDEX('Player Raw Data'!E:E,Match($A562,'Player Raw Data'!$B:$B,0))),"")</f>
        <v/>
      </c>
      <c r="E562" t="str">
        <f t="array" ref="E562">IFERROR(INDEX('Day Range Raw Data'!D:D,Match($A562,'Day Range Raw Data'!$B:$B,0)),"")</f>
        <v/>
      </c>
      <c r="F562" t="str">
        <f t="array" ref="F562">IFERROR(INDEX('Day Range Raw Data'!F:F,Match($A562,'Day Range Raw Data'!$B:$B,0)),"")</f>
        <v/>
      </c>
      <c r="G562" t="str">
        <f t="array" ref="G562">IFERROR(INDEX('Day Range Raw Data'!G:G,Match($A562,'Day Range Raw Data'!$B:$B,0)),"")</f>
        <v/>
      </c>
      <c r="H562" t="str">
        <f t="array" ref="H562">IFERROR(INDEX('Day Range Raw Data'!H:H,Match($A562,'Day Range Raw Data'!$B:$B,0)),"")</f>
        <v/>
      </c>
      <c r="I562" t="str">
        <f t="array" ref="I562">IFERROR(INDEX('Day Range Raw Data'!M:M,Match($A562,'Day Range Raw Data'!$B:$B,0)),"")</f>
        <v/>
      </c>
      <c r="J562" t="str">
        <f t="array" ref="J562">IFERROR(INDEX('Day Range Raw Data'!N:N,Match($A562,'Day Range Raw Data'!$B:$B,0)),"")</f>
        <v/>
      </c>
      <c r="K562" t="str">
        <f t="array" ref="K562">IFERROR(INDEX('Day Range Raw Data'!R:R,Match($A562,'Day Range Raw Data'!$B:$B,0)),"")</f>
        <v/>
      </c>
      <c r="L562" t="str">
        <f t="array" ref="L562">IFERROR(INDEX('Day Range Raw Data'!S:S,Match($A562,'Day Range Raw Data'!$B:$B,0)),"")</f>
        <v/>
      </c>
      <c r="M562" t="str">
        <f t="array" ref="M562">IFERROR(INDEX('Day Range Raw Data'!T:T,Match($A562,'Day Range Raw Data'!$B:$B,0)),"")</f>
        <v/>
      </c>
      <c r="N562" t="str">
        <f t="array" ref="N562">IFERROR(INDEX('Day Range Raw Data'!U:U,Match($A562,'Day Range Raw Data'!$B:$B,0)),"")</f>
        <v/>
      </c>
      <c r="O562" t="str">
        <f t="array" ref="O562">IFERROR(INDEX('Day Range Raw Data'!V:V,Match($A562,'Day Range Raw Data'!$B:$B,0)),"")</f>
        <v/>
      </c>
      <c r="P562" t="str">
        <f t="array" ref="P562">IFERROR(INDEX('Day Range Raw Data'!X:X,Match($A562,'Day Range Raw Data'!$B:$B,0)),"")</f>
        <v/>
      </c>
      <c r="Q562" t="str">
        <f t="shared" si="1"/>
        <v/>
      </c>
      <c r="R562" s="9" t="str">
        <f t="shared" si="2"/>
        <v/>
      </c>
      <c r="S562" s="14" t="str">
        <f t="shared" si="3"/>
        <v/>
      </c>
      <c r="T562" s="15" t="str">
        <f>IFERROR(__xludf.DUMMYFUNCTION("IF($A562="""","""",IFERROR(PERCENTRANK.INC(FILTER(Q:Q,$F:$F&lt;&gt;""""),Q562)*100,""""))"),"")</f>
        <v/>
      </c>
      <c r="U562" s="15" t="str">
        <f>IFERROR(__xludf.DUMMYFUNCTION("IF($A562="""","""",IFERROR(PERCENTRANK.INC(FILTER(R:R,$F:$F&lt;&gt;""""),R562)*100,""""))"),"")</f>
        <v/>
      </c>
      <c r="V562" s="15" t="str">
        <f>IFERROR(__xludf.DUMMYFUNCTION("IF($A562="""","""",IFERROR(PERCENTRANK.INC(FILTER(S:S,$F:$F&lt;&gt;""""),S562)*100,""""))"),"")</f>
        <v/>
      </c>
      <c r="W562" s="15" t="str">
        <f t="shared" si="4"/>
        <v/>
      </c>
    </row>
    <row r="563">
      <c r="B563" t="str">
        <f t="array" ref="B563">IFERROR(INDEX('Player Raw Data'!C:C,Match($A563,'Player Raw Data'!$B:$B,0)),"")</f>
        <v/>
      </c>
      <c r="C563" t="str">
        <f t="array" ref="C563">IFERROR(INDEX('Player Raw Data'!D:D,Match($A563,'Player Raw Data'!$B:$B,0)),"")</f>
        <v/>
      </c>
      <c r="D563" t="str">
        <f t="array" ref="D563">IFERROR(IF(A563=A562, INDEX('Player Raw Data'!E:E,Match($A563,'Player Raw Data'!$B:$B,0)+2),INDEX('Player Raw Data'!E:E,Match($A563,'Player Raw Data'!$B:$B,0))),"")</f>
        <v/>
      </c>
      <c r="E563" t="str">
        <f t="array" ref="E563">IFERROR(INDEX('Day Range Raw Data'!D:D,Match($A563,'Day Range Raw Data'!$B:$B,0)),"")</f>
        <v/>
      </c>
      <c r="F563" t="str">
        <f t="array" ref="F563">IFERROR(INDEX('Day Range Raw Data'!F:F,Match($A563,'Day Range Raw Data'!$B:$B,0)),"")</f>
        <v/>
      </c>
      <c r="G563" t="str">
        <f t="array" ref="G563">IFERROR(INDEX('Day Range Raw Data'!G:G,Match($A563,'Day Range Raw Data'!$B:$B,0)),"")</f>
        <v/>
      </c>
      <c r="H563" t="str">
        <f t="array" ref="H563">IFERROR(INDEX('Day Range Raw Data'!H:H,Match($A563,'Day Range Raw Data'!$B:$B,0)),"")</f>
        <v/>
      </c>
      <c r="I563" t="str">
        <f t="array" ref="I563">IFERROR(INDEX('Day Range Raw Data'!M:M,Match($A563,'Day Range Raw Data'!$B:$B,0)),"")</f>
        <v/>
      </c>
      <c r="J563" t="str">
        <f t="array" ref="J563">IFERROR(INDEX('Day Range Raw Data'!N:N,Match($A563,'Day Range Raw Data'!$B:$B,0)),"")</f>
        <v/>
      </c>
      <c r="K563" t="str">
        <f t="array" ref="K563">IFERROR(INDEX('Day Range Raw Data'!R:R,Match($A563,'Day Range Raw Data'!$B:$B,0)),"")</f>
        <v/>
      </c>
      <c r="L563" t="str">
        <f t="array" ref="L563">IFERROR(INDEX('Day Range Raw Data'!S:S,Match($A563,'Day Range Raw Data'!$B:$B,0)),"")</f>
        <v/>
      </c>
      <c r="M563" t="str">
        <f t="array" ref="M563">IFERROR(INDEX('Day Range Raw Data'!T:T,Match($A563,'Day Range Raw Data'!$B:$B,0)),"")</f>
        <v/>
      </c>
      <c r="N563" t="str">
        <f t="array" ref="N563">IFERROR(INDEX('Day Range Raw Data'!U:U,Match($A563,'Day Range Raw Data'!$B:$B,0)),"")</f>
        <v/>
      </c>
      <c r="O563" t="str">
        <f t="array" ref="O563">IFERROR(INDEX('Day Range Raw Data'!V:V,Match($A563,'Day Range Raw Data'!$B:$B,0)),"")</f>
        <v/>
      </c>
      <c r="P563" t="str">
        <f t="array" ref="P563">IFERROR(INDEX('Day Range Raw Data'!X:X,Match($A563,'Day Range Raw Data'!$B:$B,0)),"")</f>
        <v/>
      </c>
      <c r="Q563" t="str">
        <f t="shared" si="1"/>
        <v/>
      </c>
      <c r="R563" s="9" t="str">
        <f t="shared" si="2"/>
        <v/>
      </c>
      <c r="S563" s="14" t="str">
        <f t="shared" si="3"/>
        <v/>
      </c>
      <c r="T563" s="15" t="str">
        <f>IFERROR(__xludf.DUMMYFUNCTION("IF($A563="""","""",IFERROR(PERCENTRANK.INC(FILTER(Q:Q,$F:$F&lt;&gt;""""),Q563)*100,""""))"),"")</f>
        <v/>
      </c>
      <c r="U563" s="15" t="str">
        <f>IFERROR(__xludf.DUMMYFUNCTION("IF($A563="""","""",IFERROR(PERCENTRANK.INC(FILTER(R:R,$F:$F&lt;&gt;""""),R563)*100,""""))"),"")</f>
        <v/>
      </c>
      <c r="V563" s="15" t="str">
        <f>IFERROR(__xludf.DUMMYFUNCTION("IF($A563="""","""",IFERROR(PERCENTRANK.INC(FILTER(S:S,$F:$F&lt;&gt;""""),S563)*100,""""))"),"")</f>
        <v/>
      </c>
      <c r="W563" s="15" t="str">
        <f t="shared" si="4"/>
        <v/>
      </c>
    </row>
    <row r="564">
      <c r="B564" t="str">
        <f t="array" ref="B564">IFERROR(INDEX('Player Raw Data'!C:C,Match($A564,'Player Raw Data'!$B:$B,0)),"")</f>
        <v/>
      </c>
      <c r="C564" t="str">
        <f t="array" ref="C564">IFERROR(INDEX('Player Raw Data'!D:D,Match($A564,'Player Raw Data'!$B:$B,0)),"")</f>
        <v/>
      </c>
      <c r="D564" t="str">
        <f t="array" ref="D564">IFERROR(IF(A564=A563, INDEX('Player Raw Data'!E:E,Match($A564,'Player Raw Data'!$B:$B,0)+2),INDEX('Player Raw Data'!E:E,Match($A564,'Player Raw Data'!$B:$B,0))),"")</f>
        <v/>
      </c>
      <c r="E564" t="str">
        <f t="array" ref="E564">IFERROR(INDEX('Day Range Raw Data'!D:D,Match($A564,'Day Range Raw Data'!$B:$B,0)),"")</f>
        <v/>
      </c>
      <c r="F564" t="str">
        <f t="array" ref="F564">IFERROR(INDEX('Day Range Raw Data'!F:F,Match($A564,'Day Range Raw Data'!$B:$B,0)),"")</f>
        <v/>
      </c>
      <c r="G564" t="str">
        <f t="array" ref="G564">IFERROR(INDEX('Day Range Raw Data'!G:G,Match($A564,'Day Range Raw Data'!$B:$B,0)),"")</f>
        <v/>
      </c>
      <c r="H564" t="str">
        <f t="array" ref="H564">IFERROR(INDEX('Day Range Raw Data'!H:H,Match($A564,'Day Range Raw Data'!$B:$B,0)),"")</f>
        <v/>
      </c>
      <c r="I564" t="str">
        <f t="array" ref="I564">IFERROR(INDEX('Day Range Raw Data'!M:M,Match($A564,'Day Range Raw Data'!$B:$B,0)),"")</f>
        <v/>
      </c>
      <c r="J564" t="str">
        <f t="array" ref="J564">IFERROR(INDEX('Day Range Raw Data'!N:N,Match($A564,'Day Range Raw Data'!$B:$B,0)),"")</f>
        <v/>
      </c>
      <c r="K564" t="str">
        <f t="array" ref="K564">IFERROR(INDEX('Day Range Raw Data'!R:R,Match($A564,'Day Range Raw Data'!$B:$B,0)),"")</f>
        <v/>
      </c>
      <c r="L564" t="str">
        <f t="array" ref="L564">IFERROR(INDEX('Day Range Raw Data'!S:S,Match($A564,'Day Range Raw Data'!$B:$B,0)),"")</f>
        <v/>
      </c>
      <c r="M564" t="str">
        <f t="array" ref="M564">IFERROR(INDEX('Day Range Raw Data'!T:T,Match($A564,'Day Range Raw Data'!$B:$B,0)),"")</f>
        <v/>
      </c>
      <c r="N564" t="str">
        <f t="array" ref="N564">IFERROR(INDEX('Day Range Raw Data'!U:U,Match($A564,'Day Range Raw Data'!$B:$B,0)),"")</f>
        <v/>
      </c>
      <c r="O564" t="str">
        <f t="array" ref="O564">IFERROR(INDEX('Day Range Raw Data'!V:V,Match($A564,'Day Range Raw Data'!$B:$B,0)),"")</f>
        <v/>
      </c>
      <c r="P564" t="str">
        <f t="array" ref="P564">IFERROR(INDEX('Day Range Raw Data'!X:X,Match($A564,'Day Range Raw Data'!$B:$B,0)),"")</f>
        <v/>
      </c>
      <c r="Q564" t="str">
        <f t="shared" si="1"/>
        <v/>
      </c>
      <c r="R564" s="9" t="str">
        <f t="shared" si="2"/>
        <v/>
      </c>
      <c r="S564" s="14" t="str">
        <f t="shared" si="3"/>
        <v/>
      </c>
      <c r="T564" s="15" t="str">
        <f>IFERROR(__xludf.DUMMYFUNCTION("IF($A564="""","""",IFERROR(PERCENTRANK.INC(FILTER(Q:Q,$F:$F&lt;&gt;""""),Q564)*100,""""))"),"")</f>
        <v/>
      </c>
      <c r="U564" s="15" t="str">
        <f>IFERROR(__xludf.DUMMYFUNCTION("IF($A564="""","""",IFERROR(PERCENTRANK.INC(FILTER(R:R,$F:$F&lt;&gt;""""),R564)*100,""""))"),"")</f>
        <v/>
      </c>
      <c r="V564" s="15" t="str">
        <f>IFERROR(__xludf.DUMMYFUNCTION("IF($A564="""","""",IFERROR(PERCENTRANK.INC(FILTER(S:S,$F:$F&lt;&gt;""""),S564)*100,""""))"),"")</f>
        <v/>
      </c>
      <c r="W564" s="15" t="str">
        <f t="shared" si="4"/>
        <v/>
      </c>
    </row>
    <row r="565">
      <c r="B565" t="str">
        <f t="array" ref="B565">IFERROR(INDEX('Player Raw Data'!C:C,Match($A565,'Player Raw Data'!$B:$B,0)),"")</f>
        <v/>
      </c>
      <c r="C565" t="str">
        <f t="array" ref="C565">IFERROR(INDEX('Player Raw Data'!D:D,Match($A565,'Player Raw Data'!$B:$B,0)),"")</f>
        <v/>
      </c>
      <c r="D565" t="str">
        <f t="array" ref="D565">IFERROR(IF(A565=A564, INDEX('Player Raw Data'!E:E,Match($A565,'Player Raw Data'!$B:$B,0)+2),INDEX('Player Raw Data'!E:E,Match($A565,'Player Raw Data'!$B:$B,0))),"")</f>
        <v/>
      </c>
      <c r="E565" t="str">
        <f t="array" ref="E565">IFERROR(INDEX('Day Range Raw Data'!D:D,Match($A565,'Day Range Raw Data'!$B:$B,0)),"")</f>
        <v/>
      </c>
      <c r="F565" t="str">
        <f t="array" ref="F565">IFERROR(INDEX('Day Range Raw Data'!F:F,Match($A565,'Day Range Raw Data'!$B:$B,0)),"")</f>
        <v/>
      </c>
      <c r="G565" t="str">
        <f t="array" ref="G565">IFERROR(INDEX('Day Range Raw Data'!G:G,Match($A565,'Day Range Raw Data'!$B:$B,0)),"")</f>
        <v/>
      </c>
      <c r="H565" t="str">
        <f t="array" ref="H565">IFERROR(INDEX('Day Range Raw Data'!H:H,Match($A565,'Day Range Raw Data'!$B:$B,0)),"")</f>
        <v/>
      </c>
      <c r="I565" t="str">
        <f t="array" ref="I565">IFERROR(INDEX('Day Range Raw Data'!M:M,Match($A565,'Day Range Raw Data'!$B:$B,0)),"")</f>
        <v/>
      </c>
      <c r="J565" t="str">
        <f t="array" ref="J565">IFERROR(INDEX('Day Range Raw Data'!N:N,Match($A565,'Day Range Raw Data'!$B:$B,0)),"")</f>
        <v/>
      </c>
      <c r="K565" t="str">
        <f t="array" ref="K565">IFERROR(INDEX('Day Range Raw Data'!R:R,Match($A565,'Day Range Raw Data'!$B:$B,0)),"")</f>
        <v/>
      </c>
      <c r="L565" t="str">
        <f t="array" ref="L565">IFERROR(INDEX('Day Range Raw Data'!S:S,Match($A565,'Day Range Raw Data'!$B:$B,0)),"")</f>
        <v/>
      </c>
      <c r="M565" t="str">
        <f t="array" ref="M565">IFERROR(INDEX('Day Range Raw Data'!T:T,Match($A565,'Day Range Raw Data'!$B:$B,0)),"")</f>
        <v/>
      </c>
      <c r="N565" t="str">
        <f t="array" ref="N565">IFERROR(INDEX('Day Range Raw Data'!U:U,Match($A565,'Day Range Raw Data'!$B:$B,0)),"")</f>
        <v/>
      </c>
      <c r="O565" t="str">
        <f t="array" ref="O565">IFERROR(INDEX('Day Range Raw Data'!V:V,Match($A565,'Day Range Raw Data'!$B:$B,0)),"")</f>
        <v/>
      </c>
      <c r="P565" t="str">
        <f t="array" ref="P565">IFERROR(INDEX('Day Range Raw Data'!X:X,Match($A565,'Day Range Raw Data'!$B:$B,0)),"")</f>
        <v/>
      </c>
      <c r="Q565" t="str">
        <f t="shared" si="1"/>
        <v/>
      </c>
      <c r="R565" s="9" t="str">
        <f t="shared" si="2"/>
        <v/>
      </c>
      <c r="S565" s="14" t="str">
        <f t="shared" si="3"/>
        <v/>
      </c>
      <c r="T565" s="15" t="str">
        <f>IFERROR(__xludf.DUMMYFUNCTION("IF($A565="""","""",IFERROR(PERCENTRANK.INC(FILTER(Q:Q,$F:$F&lt;&gt;""""),Q565)*100,""""))"),"")</f>
        <v/>
      </c>
      <c r="U565" s="15" t="str">
        <f>IFERROR(__xludf.DUMMYFUNCTION("IF($A565="""","""",IFERROR(PERCENTRANK.INC(FILTER(R:R,$F:$F&lt;&gt;""""),R565)*100,""""))"),"")</f>
        <v/>
      </c>
      <c r="V565" s="15" t="str">
        <f>IFERROR(__xludf.DUMMYFUNCTION("IF($A565="""","""",IFERROR(PERCENTRANK.INC(FILTER(S:S,$F:$F&lt;&gt;""""),S565)*100,""""))"),"")</f>
        <v/>
      </c>
      <c r="W565" s="15" t="str">
        <f t="shared" si="4"/>
        <v/>
      </c>
    </row>
    <row r="566">
      <c r="B566" t="str">
        <f t="array" ref="B566">IFERROR(INDEX('Player Raw Data'!C:C,Match($A566,'Player Raw Data'!$B:$B,0)),"")</f>
        <v/>
      </c>
      <c r="C566" t="str">
        <f t="array" ref="C566">IFERROR(INDEX('Player Raw Data'!D:D,Match($A566,'Player Raw Data'!$B:$B,0)),"")</f>
        <v/>
      </c>
      <c r="D566" t="str">
        <f t="array" ref="D566">IFERROR(IF(A566=A565, INDEX('Player Raw Data'!E:E,Match($A566,'Player Raw Data'!$B:$B,0)+2),INDEX('Player Raw Data'!E:E,Match($A566,'Player Raw Data'!$B:$B,0))),"")</f>
        <v/>
      </c>
      <c r="E566" t="str">
        <f t="array" ref="E566">IFERROR(INDEX('Day Range Raw Data'!D:D,Match($A566,'Day Range Raw Data'!$B:$B,0)),"")</f>
        <v/>
      </c>
      <c r="F566" t="str">
        <f t="array" ref="F566">IFERROR(INDEX('Day Range Raw Data'!F:F,Match($A566,'Day Range Raw Data'!$B:$B,0)),"")</f>
        <v/>
      </c>
      <c r="G566" t="str">
        <f t="array" ref="G566">IFERROR(INDEX('Day Range Raw Data'!G:G,Match($A566,'Day Range Raw Data'!$B:$B,0)),"")</f>
        <v/>
      </c>
      <c r="H566" t="str">
        <f t="array" ref="H566">IFERROR(INDEX('Day Range Raw Data'!H:H,Match($A566,'Day Range Raw Data'!$B:$B,0)),"")</f>
        <v/>
      </c>
      <c r="I566" t="str">
        <f t="array" ref="I566">IFERROR(INDEX('Day Range Raw Data'!M:M,Match($A566,'Day Range Raw Data'!$B:$B,0)),"")</f>
        <v/>
      </c>
      <c r="J566" t="str">
        <f t="array" ref="J566">IFERROR(INDEX('Day Range Raw Data'!N:N,Match($A566,'Day Range Raw Data'!$B:$B,0)),"")</f>
        <v/>
      </c>
      <c r="K566" t="str">
        <f t="array" ref="K566">IFERROR(INDEX('Day Range Raw Data'!R:R,Match($A566,'Day Range Raw Data'!$B:$B,0)),"")</f>
        <v/>
      </c>
      <c r="L566" t="str">
        <f t="array" ref="L566">IFERROR(INDEX('Day Range Raw Data'!S:S,Match($A566,'Day Range Raw Data'!$B:$B,0)),"")</f>
        <v/>
      </c>
      <c r="M566" t="str">
        <f t="array" ref="M566">IFERROR(INDEX('Day Range Raw Data'!T:T,Match($A566,'Day Range Raw Data'!$B:$B,0)),"")</f>
        <v/>
      </c>
      <c r="N566" t="str">
        <f t="array" ref="N566">IFERROR(INDEX('Day Range Raw Data'!U:U,Match($A566,'Day Range Raw Data'!$B:$B,0)),"")</f>
        <v/>
      </c>
      <c r="O566" t="str">
        <f t="array" ref="O566">IFERROR(INDEX('Day Range Raw Data'!V:V,Match($A566,'Day Range Raw Data'!$B:$B,0)),"")</f>
        <v/>
      </c>
      <c r="P566" t="str">
        <f t="array" ref="P566">IFERROR(INDEX('Day Range Raw Data'!X:X,Match($A566,'Day Range Raw Data'!$B:$B,0)),"")</f>
        <v/>
      </c>
      <c r="Q566" t="str">
        <f t="shared" si="1"/>
        <v/>
      </c>
      <c r="R566" s="9" t="str">
        <f t="shared" si="2"/>
        <v/>
      </c>
      <c r="S566" s="14" t="str">
        <f t="shared" si="3"/>
        <v/>
      </c>
      <c r="T566" s="15" t="str">
        <f>IFERROR(__xludf.DUMMYFUNCTION("IF($A566="""","""",IFERROR(PERCENTRANK.INC(FILTER(Q:Q,$F:$F&lt;&gt;""""),Q566)*100,""""))"),"")</f>
        <v/>
      </c>
      <c r="U566" s="15" t="str">
        <f>IFERROR(__xludf.DUMMYFUNCTION("IF($A566="""","""",IFERROR(PERCENTRANK.INC(FILTER(R:R,$F:$F&lt;&gt;""""),R566)*100,""""))"),"")</f>
        <v/>
      </c>
      <c r="V566" s="15" t="str">
        <f>IFERROR(__xludf.DUMMYFUNCTION("IF($A566="""","""",IFERROR(PERCENTRANK.INC(FILTER(S:S,$F:$F&lt;&gt;""""),S566)*100,""""))"),"")</f>
        <v/>
      </c>
      <c r="W566" s="15" t="str">
        <f t="shared" si="4"/>
        <v/>
      </c>
    </row>
    <row r="567">
      <c r="B567" t="str">
        <f t="array" ref="B567">IFERROR(INDEX('Player Raw Data'!C:C,Match($A567,'Player Raw Data'!$B:$B,0)),"")</f>
        <v/>
      </c>
      <c r="C567" t="str">
        <f t="array" ref="C567">IFERROR(INDEX('Player Raw Data'!D:D,Match($A567,'Player Raw Data'!$B:$B,0)),"")</f>
        <v/>
      </c>
      <c r="D567" t="str">
        <f t="array" ref="D567">IFERROR(IF(A567=A566, INDEX('Player Raw Data'!E:E,Match($A567,'Player Raw Data'!$B:$B,0)+2),INDEX('Player Raw Data'!E:E,Match($A567,'Player Raw Data'!$B:$B,0))),"")</f>
        <v/>
      </c>
      <c r="E567" t="str">
        <f t="array" ref="E567">IFERROR(INDEX('Day Range Raw Data'!D:D,Match($A567,'Day Range Raw Data'!$B:$B,0)),"")</f>
        <v/>
      </c>
      <c r="F567" t="str">
        <f t="array" ref="F567">IFERROR(INDEX('Day Range Raw Data'!F:F,Match($A567,'Day Range Raw Data'!$B:$B,0)),"")</f>
        <v/>
      </c>
      <c r="G567" t="str">
        <f t="array" ref="G567">IFERROR(INDEX('Day Range Raw Data'!G:G,Match($A567,'Day Range Raw Data'!$B:$B,0)),"")</f>
        <v/>
      </c>
      <c r="H567" t="str">
        <f t="array" ref="H567">IFERROR(INDEX('Day Range Raw Data'!H:H,Match($A567,'Day Range Raw Data'!$B:$B,0)),"")</f>
        <v/>
      </c>
      <c r="I567" t="str">
        <f t="array" ref="I567">IFERROR(INDEX('Day Range Raw Data'!M:M,Match($A567,'Day Range Raw Data'!$B:$B,0)),"")</f>
        <v/>
      </c>
      <c r="J567" t="str">
        <f t="array" ref="J567">IFERROR(INDEX('Day Range Raw Data'!N:N,Match($A567,'Day Range Raw Data'!$B:$B,0)),"")</f>
        <v/>
      </c>
      <c r="K567" t="str">
        <f t="array" ref="K567">IFERROR(INDEX('Day Range Raw Data'!R:R,Match($A567,'Day Range Raw Data'!$B:$B,0)),"")</f>
        <v/>
      </c>
      <c r="L567" t="str">
        <f t="array" ref="L567">IFERROR(INDEX('Day Range Raw Data'!S:S,Match($A567,'Day Range Raw Data'!$B:$B,0)),"")</f>
        <v/>
      </c>
      <c r="M567" t="str">
        <f t="array" ref="M567">IFERROR(INDEX('Day Range Raw Data'!T:T,Match($A567,'Day Range Raw Data'!$B:$B,0)),"")</f>
        <v/>
      </c>
      <c r="N567" t="str">
        <f t="array" ref="N567">IFERROR(INDEX('Day Range Raw Data'!U:U,Match($A567,'Day Range Raw Data'!$B:$B,0)),"")</f>
        <v/>
      </c>
      <c r="O567" t="str">
        <f t="array" ref="O567">IFERROR(INDEX('Day Range Raw Data'!V:V,Match($A567,'Day Range Raw Data'!$B:$B,0)),"")</f>
        <v/>
      </c>
      <c r="P567" t="str">
        <f t="array" ref="P567">IFERROR(INDEX('Day Range Raw Data'!X:X,Match($A567,'Day Range Raw Data'!$B:$B,0)),"")</f>
        <v/>
      </c>
      <c r="Q567" t="str">
        <f t="shared" si="1"/>
        <v/>
      </c>
      <c r="R567" s="9" t="str">
        <f t="shared" si="2"/>
        <v/>
      </c>
      <c r="S567" s="14" t="str">
        <f t="shared" si="3"/>
        <v/>
      </c>
      <c r="T567" s="15" t="str">
        <f>IFERROR(__xludf.DUMMYFUNCTION("IF($A567="""","""",IFERROR(PERCENTRANK.INC(FILTER(Q:Q,$F:$F&lt;&gt;""""),Q567)*100,""""))"),"")</f>
        <v/>
      </c>
      <c r="U567" s="15" t="str">
        <f>IFERROR(__xludf.DUMMYFUNCTION("IF($A567="""","""",IFERROR(PERCENTRANK.INC(FILTER(R:R,$F:$F&lt;&gt;""""),R567)*100,""""))"),"")</f>
        <v/>
      </c>
      <c r="V567" s="15" t="str">
        <f>IFERROR(__xludf.DUMMYFUNCTION("IF($A567="""","""",IFERROR(PERCENTRANK.INC(FILTER(S:S,$F:$F&lt;&gt;""""),S567)*100,""""))"),"")</f>
        <v/>
      </c>
      <c r="W567" s="15" t="str">
        <f t="shared" si="4"/>
        <v/>
      </c>
    </row>
    <row r="568">
      <c r="B568" t="str">
        <f t="array" ref="B568">IFERROR(INDEX('Player Raw Data'!C:C,Match($A568,'Player Raw Data'!$B:$B,0)),"")</f>
        <v/>
      </c>
      <c r="C568" t="str">
        <f t="array" ref="C568">IFERROR(INDEX('Player Raw Data'!D:D,Match($A568,'Player Raw Data'!$B:$B,0)),"")</f>
        <v/>
      </c>
      <c r="D568" t="str">
        <f t="array" ref="D568">IFERROR(IF(A568=A567, INDEX('Player Raw Data'!E:E,Match($A568,'Player Raw Data'!$B:$B,0)+2),INDEX('Player Raw Data'!E:E,Match($A568,'Player Raw Data'!$B:$B,0))),"")</f>
        <v/>
      </c>
      <c r="E568" t="str">
        <f t="array" ref="E568">IFERROR(INDEX('Day Range Raw Data'!D:D,Match($A568,'Day Range Raw Data'!$B:$B,0)),"")</f>
        <v/>
      </c>
      <c r="F568" t="str">
        <f t="array" ref="F568">IFERROR(INDEX('Day Range Raw Data'!F:F,Match($A568,'Day Range Raw Data'!$B:$B,0)),"")</f>
        <v/>
      </c>
      <c r="G568" t="str">
        <f t="array" ref="G568">IFERROR(INDEX('Day Range Raw Data'!G:G,Match($A568,'Day Range Raw Data'!$B:$B,0)),"")</f>
        <v/>
      </c>
      <c r="H568" t="str">
        <f t="array" ref="H568">IFERROR(INDEX('Day Range Raw Data'!H:H,Match($A568,'Day Range Raw Data'!$B:$B,0)),"")</f>
        <v/>
      </c>
      <c r="I568" t="str">
        <f t="array" ref="I568">IFERROR(INDEX('Day Range Raw Data'!M:M,Match($A568,'Day Range Raw Data'!$B:$B,0)),"")</f>
        <v/>
      </c>
      <c r="J568" t="str">
        <f t="array" ref="J568">IFERROR(INDEX('Day Range Raw Data'!N:N,Match($A568,'Day Range Raw Data'!$B:$B,0)),"")</f>
        <v/>
      </c>
      <c r="K568" t="str">
        <f t="array" ref="K568">IFERROR(INDEX('Day Range Raw Data'!R:R,Match($A568,'Day Range Raw Data'!$B:$B,0)),"")</f>
        <v/>
      </c>
      <c r="L568" t="str">
        <f t="array" ref="L568">IFERROR(INDEX('Day Range Raw Data'!S:S,Match($A568,'Day Range Raw Data'!$B:$B,0)),"")</f>
        <v/>
      </c>
      <c r="M568" t="str">
        <f t="array" ref="M568">IFERROR(INDEX('Day Range Raw Data'!T:T,Match($A568,'Day Range Raw Data'!$B:$B,0)),"")</f>
        <v/>
      </c>
      <c r="N568" t="str">
        <f t="array" ref="N568">IFERROR(INDEX('Day Range Raw Data'!U:U,Match($A568,'Day Range Raw Data'!$B:$B,0)),"")</f>
        <v/>
      </c>
      <c r="O568" t="str">
        <f t="array" ref="O568">IFERROR(INDEX('Day Range Raw Data'!V:V,Match($A568,'Day Range Raw Data'!$B:$B,0)),"")</f>
        <v/>
      </c>
      <c r="P568" t="str">
        <f t="array" ref="P568">IFERROR(INDEX('Day Range Raw Data'!X:X,Match($A568,'Day Range Raw Data'!$B:$B,0)),"")</f>
        <v/>
      </c>
      <c r="Q568" t="str">
        <f t="shared" si="1"/>
        <v/>
      </c>
      <c r="R568" s="9" t="str">
        <f t="shared" si="2"/>
        <v/>
      </c>
      <c r="S568" s="14" t="str">
        <f t="shared" si="3"/>
        <v/>
      </c>
      <c r="T568" s="15" t="str">
        <f>IFERROR(__xludf.DUMMYFUNCTION("IF($A568="""","""",IFERROR(PERCENTRANK.INC(FILTER(Q:Q,$F:$F&lt;&gt;""""),Q568)*100,""""))"),"")</f>
        <v/>
      </c>
      <c r="U568" s="15" t="str">
        <f>IFERROR(__xludf.DUMMYFUNCTION("IF($A568="""","""",IFERROR(PERCENTRANK.INC(FILTER(R:R,$F:$F&lt;&gt;""""),R568)*100,""""))"),"")</f>
        <v/>
      </c>
      <c r="V568" s="15" t="str">
        <f>IFERROR(__xludf.DUMMYFUNCTION("IF($A568="""","""",IFERROR(PERCENTRANK.INC(FILTER(S:S,$F:$F&lt;&gt;""""),S568)*100,""""))"),"")</f>
        <v/>
      </c>
      <c r="W568" s="15" t="str">
        <f t="shared" si="4"/>
        <v/>
      </c>
    </row>
    <row r="569">
      <c r="B569" t="str">
        <f t="array" ref="B569">IFERROR(INDEX('Player Raw Data'!C:C,Match($A569,'Player Raw Data'!$B:$B,0)),"")</f>
        <v/>
      </c>
      <c r="C569" t="str">
        <f t="array" ref="C569">IFERROR(INDEX('Player Raw Data'!D:D,Match($A569,'Player Raw Data'!$B:$B,0)),"")</f>
        <v/>
      </c>
      <c r="D569" t="str">
        <f t="array" ref="D569">IFERROR(IF(A569=A568, INDEX('Player Raw Data'!E:E,Match($A569,'Player Raw Data'!$B:$B,0)+2),INDEX('Player Raw Data'!E:E,Match($A569,'Player Raw Data'!$B:$B,0))),"")</f>
        <v/>
      </c>
      <c r="E569" t="str">
        <f t="array" ref="E569">IFERROR(INDEX('Day Range Raw Data'!D:D,Match($A569,'Day Range Raw Data'!$B:$B,0)),"")</f>
        <v/>
      </c>
      <c r="F569" t="str">
        <f t="array" ref="F569">IFERROR(INDEX('Day Range Raw Data'!F:F,Match($A569,'Day Range Raw Data'!$B:$B,0)),"")</f>
        <v/>
      </c>
      <c r="G569" t="str">
        <f t="array" ref="G569">IFERROR(INDEX('Day Range Raw Data'!G:G,Match($A569,'Day Range Raw Data'!$B:$B,0)),"")</f>
        <v/>
      </c>
      <c r="H569" t="str">
        <f t="array" ref="H569">IFERROR(INDEX('Day Range Raw Data'!H:H,Match($A569,'Day Range Raw Data'!$B:$B,0)),"")</f>
        <v/>
      </c>
      <c r="I569" t="str">
        <f t="array" ref="I569">IFERROR(INDEX('Day Range Raw Data'!M:M,Match($A569,'Day Range Raw Data'!$B:$B,0)),"")</f>
        <v/>
      </c>
      <c r="J569" t="str">
        <f t="array" ref="J569">IFERROR(INDEX('Day Range Raw Data'!N:N,Match($A569,'Day Range Raw Data'!$B:$B,0)),"")</f>
        <v/>
      </c>
      <c r="K569" t="str">
        <f t="array" ref="K569">IFERROR(INDEX('Day Range Raw Data'!R:R,Match($A569,'Day Range Raw Data'!$B:$B,0)),"")</f>
        <v/>
      </c>
      <c r="L569" t="str">
        <f t="array" ref="L569">IFERROR(INDEX('Day Range Raw Data'!S:S,Match($A569,'Day Range Raw Data'!$B:$B,0)),"")</f>
        <v/>
      </c>
      <c r="M569" t="str">
        <f t="array" ref="M569">IFERROR(INDEX('Day Range Raw Data'!T:T,Match($A569,'Day Range Raw Data'!$B:$B,0)),"")</f>
        <v/>
      </c>
      <c r="N569" t="str">
        <f t="array" ref="N569">IFERROR(INDEX('Day Range Raw Data'!U:U,Match($A569,'Day Range Raw Data'!$B:$B,0)),"")</f>
        <v/>
      </c>
      <c r="O569" t="str">
        <f t="array" ref="O569">IFERROR(INDEX('Day Range Raw Data'!V:V,Match($A569,'Day Range Raw Data'!$B:$B,0)),"")</f>
        <v/>
      </c>
      <c r="P569" t="str">
        <f t="array" ref="P569">IFERROR(INDEX('Day Range Raw Data'!X:X,Match($A569,'Day Range Raw Data'!$B:$B,0)),"")</f>
        <v/>
      </c>
      <c r="Q569" t="str">
        <f t="shared" si="1"/>
        <v/>
      </c>
      <c r="R569" s="9" t="str">
        <f t="shared" si="2"/>
        <v/>
      </c>
      <c r="S569" s="14" t="str">
        <f t="shared" si="3"/>
        <v/>
      </c>
      <c r="T569" s="15" t="str">
        <f>IFERROR(__xludf.DUMMYFUNCTION("IF($A569="""","""",IFERROR(PERCENTRANK.INC(FILTER(Q:Q,$F:$F&lt;&gt;""""),Q569)*100,""""))"),"")</f>
        <v/>
      </c>
      <c r="U569" s="15" t="str">
        <f>IFERROR(__xludf.DUMMYFUNCTION("IF($A569="""","""",IFERROR(PERCENTRANK.INC(FILTER(R:R,$F:$F&lt;&gt;""""),R569)*100,""""))"),"")</f>
        <v/>
      </c>
      <c r="V569" s="15" t="str">
        <f>IFERROR(__xludf.DUMMYFUNCTION("IF($A569="""","""",IFERROR(PERCENTRANK.INC(FILTER(S:S,$F:$F&lt;&gt;""""),S569)*100,""""))"),"")</f>
        <v/>
      </c>
      <c r="W569" s="15" t="str">
        <f t="shared" si="4"/>
        <v/>
      </c>
    </row>
    <row r="570">
      <c r="B570" t="str">
        <f t="array" ref="B570">IFERROR(INDEX('Player Raw Data'!C:C,Match($A570,'Player Raw Data'!$B:$B,0)),"")</f>
        <v/>
      </c>
      <c r="C570" t="str">
        <f t="array" ref="C570">IFERROR(INDEX('Player Raw Data'!D:D,Match($A570,'Player Raw Data'!$B:$B,0)),"")</f>
        <v/>
      </c>
      <c r="D570" t="str">
        <f t="array" ref="D570">IFERROR(IF(A570=A569, INDEX('Player Raw Data'!E:E,Match($A570,'Player Raw Data'!$B:$B,0)+2),INDEX('Player Raw Data'!E:E,Match($A570,'Player Raw Data'!$B:$B,0))),"")</f>
        <v/>
      </c>
      <c r="E570" t="str">
        <f t="array" ref="E570">IFERROR(INDEX('Day Range Raw Data'!D:D,Match($A570,'Day Range Raw Data'!$B:$B,0)),"")</f>
        <v/>
      </c>
      <c r="F570" t="str">
        <f t="array" ref="F570">IFERROR(INDEX('Day Range Raw Data'!F:F,Match($A570,'Day Range Raw Data'!$B:$B,0)),"")</f>
        <v/>
      </c>
      <c r="G570" t="str">
        <f t="array" ref="G570">IFERROR(INDEX('Day Range Raw Data'!G:G,Match($A570,'Day Range Raw Data'!$B:$B,0)),"")</f>
        <v/>
      </c>
      <c r="H570" t="str">
        <f t="array" ref="H570">IFERROR(INDEX('Day Range Raw Data'!H:H,Match($A570,'Day Range Raw Data'!$B:$B,0)),"")</f>
        <v/>
      </c>
      <c r="I570" t="str">
        <f t="array" ref="I570">IFERROR(INDEX('Day Range Raw Data'!M:M,Match($A570,'Day Range Raw Data'!$B:$B,0)),"")</f>
        <v/>
      </c>
      <c r="J570" t="str">
        <f t="array" ref="J570">IFERROR(INDEX('Day Range Raw Data'!N:N,Match($A570,'Day Range Raw Data'!$B:$B,0)),"")</f>
        <v/>
      </c>
      <c r="K570" t="str">
        <f t="array" ref="K570">IFERROR(INDEX('Day Range Raw Data'!R:R,Match($A570,'Day Range Raw Data'!$B:$B,0)),"")</f>
        <v/>
      </c>
      <c r="L570" t="str">
        <f t="array" ref="L570">IFERROR(INDEX('Day Range Raw Data'!S:S,Match($A570,'Day Range Raw Data'!$B:$B,0)),"")</f>
        <v/>
      </c>
      <c r="M570" t="str">
        <f t="array" ref="M570">IFERROR(INDEX('Day Range Raw Data'!T:T,Match($A570,'Day Range Raw Data'!$B:$B,0)),"")</f>
        <v/>
      </c>
      <c r="N570" t="str">
        <f t="array" ref="N570">IFERROR(INDEX('Day Range Raw Data'!U:U,Match($A570,'Day Range Raw Data'!$B:$B,0)),"")</f>
        <v/>
      </c>
      <c r="O570" t="str">
        <f t="array" ref="O570">IFERROR(INDEX('Day Range Raw Data'!V:V,Match($A570,'Day Range Raw Data'!$B:$B,0)),"")</f>
        <v/>
      </c>
      <c r="P570" t="str">
        <f t="array" ref="P570">IFERROR(INDEX('Day Range Raw Data'!X:X,Match($A570,'Day Range Raw Data'!$B:$B,0)),"")</f>
        <v/>
      </c>
      <c r="Q570" t="str">
        <f t="shared" si="1"/>
        <v/>
      </c>
      <c r="R570" s="9" t="str">
        <f t="shared" si="2"/>
        <v/>
      </c>
      <c r="S570" s="14" t="str">
        <f t="shared" si="3"/>
        <v/>
      </c>
      <c r="T570" s="15" t="str">
        <f>IFERROR(__xludf.DUMMYFUNCTION("IF($A570="""","""",IFERROR(PERCENTRANK.INC(FILTER(Q:Q,$F:$F&lt;&gt;""""),Q570)*100,""""))"),"")</f>
        <v/>
      </c>
      <c r="U570" s="15" t="str">
        <f>IFERROR(__xludf.DUMMYFUNCTION("IF($A570="""","""",IFERROR(PERCENTRANK.INC(FILTER(R:R,$F:$F&lt;&gt;""""),R570)*100,""""))"),"")</f>
        <v/>
      </c>
      <c r="V570" s="15" t="str">
        <f>IFERROR(__xludf.DUMMYFUNCTION("IF($A570="""","""",IFERROR(PERCENTRANK.INC(FILTER(S:S,$F:$F&lt;&gt;""""),S570)*100,""""))"),"")</f>
        <v/>
      </c>
      <c r="W570" s="15" t="str">
        <f t="shared" si="4"/>
        <v/>
      </c>
    </row>
    <row r="571">
      <c r="B571" t="str">
        <f t="array" ref="B571">IFERROR(INDEX('Player Raw Data'!C:C,Match($A571,'Player Raw Data'!$B:$B,0)),"")</f>
        <v/>
      </c>
      <c r="C571" t="str">
        <f t="array" ref="C571">IFERROR(INDEX('Player Raw Data'!D:D,Match($A571,'Player Raw Data'!$B:$B,0)),"")</f>
        <v/>
      </c>
      <c r="D571" t="str">
        <f t="array" ref="D571">IFERROR(IF(A571=A570, INDEX('Player Raw Data'!E:E,Match($A571,'Player Raw Data'!$B:$B,0)+2),INDEX('Player Raw Data'!E:E,Match($A571,'Player Raw Data'!$B:$B,0))),"")</f>
        <v/>
      </c>
      <c r="E571" t="str">
        <f t="array" ref="E571">IFERROR(INDEX('Day Range Raw Data'!D:D,Match($A571,'Day Range Raw Data'!$B:$B,0)),"")</f>
        <v/>
      </c>
      <c r="F571" t="str">
        <f t="array" ref="F571">IFERROR(INDEX('Day Range Raw Data'!F:F,Match($A571,'Day Range Raw Data'!$B:$B,0)),"")</f>
        <v/>
      </c>
      <c r="G571" t="str">
        <f t="array" ref="G571">IFERROR(INDEX('Day Range Raw Data'!G:G,Match($A571,'Day Range Raw Data'!$B:$B,0)),"")</f>
        <v/>
      </c>
      <c r="H571" t="str">
        <f t="array" ref="H571">IFERROR(INDEX('Day Range Raw Data'!H:H,Match($A571,'Day Range Raw Data'!$B:$B,0)),"")</f>
        <v/>
      </c>
      <c r="I571" t="str">
        <f t="array" ref="I571">IFERROR(INDEX('Day Range Raw Data'!M:M,Match($A571,'Day Range Raw Data'!$B:$B,0)),"")</f>
        <v/>
      </c>
      <c r="J571" t="str">
        <f t="array" ref="J571">IFERROR(INDEX('Day Range Raw Data'!N:N,Match($A571,'Day Range Raw Data'!$B:$B,0)),"")</f>
        <v/>
      </c>
      <c r="K571" t="str">
        <f t="array" ref="K571">IFERROR(INDEX('Day Range Raw Data'!R:R,Match($A571,'Day Range Raw Data'!$B:$B,0)),"")</f>
        <v/>
      </c>
      <c r="L571" t="str">
        <f t="array" ref="L571">IFERROR(INDEX('Day Range Raw Data'!S:S,Match($A571,'Day Range Raw Data'!$B:$B,0)),"")</f>
        <v/>
      </c>
      <c r="M571" t="str">
        <f t="array" ref="M571">IFERROR(INDEX('Day Range Raw Data'!T:T,Match($A571,'Day Range Raw Data'!$B:$B,0)),"")</f>
        <v/>
      </c>
      <c r="N571" t="str">
        <f t="array" ref="N571">IFERROR(INDEX('Day Range Raw Data'!U:U,Match($A571,'Day Range Raw Data'!$B:$B,0)),"")</f>
        <v/>
      </c>
      <c r="O571" t="str">
        <f t="array" ref="O571">IFERROR(INDEX('Day Range Raw Data'!V:V,Match($A571,'Day Range Raw Data'!$B:$B,0)),"")</f>
        <v/>
      </c>
      <c r="P571" t="str">
        <f t="array" ref="P571">IFERROR(INDEX('Day Range Raw Data'!X:X,Match($A571,'Day Range Raw Data'!$B:$B,0)),"")</f>
        <v/>
      </c>
      <c r="Q571" t="str">
        <f t="shared" si="1"/>
        <v/>
      </c>
      <c r="R571" s="9" t="str">
        <f t="shared" si="2"/>
        <v/>
      </c>
      <c r="S571" s="14" t="str">
        <f t="shared" si="3"/>
        <v/>
      </c>
      <c r="T571" s="15" t="str">
        <f>IFERROR(__xludf.DUMMYFUNCTION("IF($A571="""","""",IFERROR(PERCENTRANK.INC(FILTER(Q:Q,$F:$F&lt;&gt;""""),Q571)*100,""""))"),"")</f>
        <v/>
      </c>
      <c r="U571" s="15" t="str">
        <f>IFERROR(__xludf.DUMMYFUNCTION("IF($A571="""","""",IFERROR(PERCENTRANK.INC(FILTER(R:R,$F:$F&lt;&gt;""""),R571)*100,""""))"),"")</f>
        <v/>
      </c>
      <c r="V571" s="15" t="str">
        <f>IFERROR(__xludf.DUMMYFUNCTION("IF($A571="""","""",IFERROR(PERCENTRANK.INC(FILTER(S:S,$F:$F&lt;&gt;""""),S571)*100,""""))"),"")</f>
        <v/>
      </c>
      <c r="W571" s="15" t="str">
        <f t="shared" si="4"/>
        <v/>
      </c>
    </row>
    <row r="572">
      <c r="B572" t="str">
        <f t="array" ref="B572">IFERROR(INDEX('Player Raw Data'!C:C,Match($A572,'Player Raw Data'!$B:$B,0)),"")</f>
        <v/>
      </c>
      <c r="C572" t="str">
        <f t="array" ref="C572">IFERROR(INDEX('Player Raw Data'!D:D,Match($A572,'Player Raw Data'!$B:$B,0)),"")</f>
        <v/>
      </c>
      <c r="D572" t="str">
        <f t="array" ref="D572">IFERROR(IF(A572=A571, INDEX('Player Raw Data'!E:E,Match($A572,'Player Raw Data'!$B:$B,0)+2),INDEX('Player Raw Data'!E:E,Match($A572,'Player Raw Data'!$B:$B,0))),"")</f>
        <v/>
      </c>
      <c r="E572" t="str">
        <f t="array" ref="E572">IFERROR(INDEX('Day Range Raw Data'!D:D,Match($A572,'Day Range Raw Data'!$B:$B,0)),"")</f>
        <v/>
      </c>
      <c r="F572" t="str">
        <f t="array" ref="F572">IFERROR(INDEX('Day Range Raw Data'!F:F,Match($A572,'Day Range Raw Data'!$B:$B,0)),"")</f>
        <v/>
      </c>
      <c r="G572" t="str">
        <f t="array" ref="G572">IFERROR(INDEX('Day Range Raw Data'!G:G,Match($A572,'Day Range Raw Data'!$B:$B,0)),"")</f>
        <v/>
      </c>
      <c r="H572" t="str">
        <f t="array" ref="H572">IFERROR(INDEX('Day Range Raw Data'!H:H,Match($A572,'Day Range Raw Data'!$B:$B,0)),"")</f>
        <v/>
      </c>
      <c r="I572" t="str">
        <f t="array" ref="I572">IFERROR(INDEX('Day Range Raw Data'!M:M,Match($A572,'Day Range Raw Data'!$B:$B,0)),"")</f>
        <v/>
      </c>
      <c r="J572" t="str">
        <f t="array" ref="J572">IFERROR(INDEX('Day Range Raw Data'!N:N,Match($A572,'Day Range Raw Data'!$B:$B,0)),"")</f>
        <v/>
      </c>
      <c r="K572" t="str">
        <f t="array" ref="K572">IFERROR(INDEX('Day Range Raw Data'!R:R,Match($A572,'Day Range Raw Data'!$B:$B,0)),"")</f>
        <v/>
      </c>
      <c r="L572" t="str">
        <f t="array" ref="L572">IFERROR(INDEX('Day Range Raw Data'!S:S,Match($A572,'Day Range Raw Data'!$B:$B,0)),"")</f>
        <v/>
      </c>
      <c r="M572" t="str">
        <f t="array" ref="M572">IFERROR(INDEX('Day Range Raw Data'!T:T,Match($A572,'Day Range Raw Data'!$B:$B,0)),"")</f>
        <v/>
      </c>
      <c r="N572" t="str">
        <f t="array" ref="N572">IFERROR(INDEX('Day Range Raw Data'!U:U,Match($A572,'Day Range Raw Data'!$B:$B,0)),"")</f>
        <v/>
      </c>
      <c r="O572" t="str">
        <f t="array" ref="O572">IFERROR(INDEX('Day Range Raw Data'!V:V,Match($A572,'Day Range Raw Data'!$B:$B,0)),"")</f>
        <v/>
      </c>
      <c r="P572" t="str">
        <f t="array" ref="P572">IFERROR(INDEX('Day Range Raw Data'!X:X,Match($A572,'Day Range Raw Data'!$B:$B,0)),"")</f>
        <v/>
      </c>
      <c r="Q572" t="str">
        <f t="shared" si="1"/>
        <v/>
      </c>
      <c r="R572" s="9" t="str">
        <f t="shared" si="2"/>
        <v/>
      </c>
      <c r="S572" s="14" t="str">
        <f t="shared" si="3"/>
        <v/>
      </c>
      <c r="T572" s="15" t="str">
        <f>IFERROR(__xludf.DUMMYFUNCTION("IF($A572="""","""",IFERROR(PERCENTRANK.INC(FILTER(Q:Q,$F:$F&lt;&gt;""""),Q572)*100,""""))"),"")</f>
        <v/>
      </c>
      <c r="U572" s="15" t="str">
        <f>IFERROR(__xludf.DUMMYFUNCTION("IF($A572="""","""",IFERROR(PERCENTRANK.INC(FILTER(R:R,$F:$F&lt;&gt;""""),R572)*100,""""))"),"")</f>
        <v/>
      </c>
      <c r="V572" s="15" t="str">
        <f>IFERROR(__xludf.DUMMYFUNCTION("IF($A572="""","""",IFERROR(PERCENTRANK.INC(FILTER(S:S,$F:$F&lt;&gt;""""),S572)*100,""""))"),"")</f>
        <v/>
      </c>
      <c r="W572" s="15" t="str">
        <f t="shared" si="4"/>
        <v/>
      </c>
    </row>
    <row r="573">
      <c r="B573" t="str">
        <f t="array" ref="B573">IFERROR(INDEX('Player Raw Data'!C:C,Match($A573,'Player Raw Data'!$B:$B,0)),"")</f>
        <v/>
      </c>
      <c r="C573" t="str">
        <f t="array" ref="C573">IFERROR(INDEX('Player Raw Data'!D:D,Match($A573,'Player Raw Data'!$B:$B,0)),"")</f>
        <v/>
      </c>
      <c r="D573" t="str">
        <f t="array" ref="D573">IFERROR(IF(A573=A572, INDEX('Player Raw Data'!E:E,Match($A573,'Player Raw Data'!$B:$B,0)+2),INDEX('Player Raw Data'!E:E,Match($A573,'Player Raw Data'!$B:$B,0))),"")</f>
        <v/>
      </c>
      <c r="E573" t="str">
        <f t="array" ref="E573">IFERROR(INDEX('Day Range Raw Data'!D:D,Match($A573,'Day Range Raw Data'!$B:$B,0)),"")</f>
        <v/>
      </c>
      <c r="F573" t="str">
        <f t="array" ref="F573">IFERROR(INDEX('Day Range Raw Data'!F:F,Match($A573,'Day Range Raw Data'!$B:$B,0)),"")</f>
        <v/>
      </c>
      <c r="G573" t="str">
        <f t="array" ref="G573">IFERROR(INDEX('Day Range Raw Data'!G:G,Match($A573,'Day Range Raw Data'!$B:$B,0)),"")</f>
        <v/>
      </c>
      <c r="H573" t="str">
        <f t="array" ref="H573">IFERROR(INDEX('Day Range Raw Data'!H:H,Match($A573,'Day Range Raw Data'!$B:$B,0)),"")</f>
        <v/>
      </c>
      <c r="I573" t="str">
        <f t="array" ref="I573">IFERROR(INDEX('Day Range Raw Data'!M:M,Match($A573,'Day Range Raw Data'!$B:$B,0)),"")</f>
        <v/>
      </c>
      <c r="J573" t="str">
        <f t="array" ref="J573">IFERROR(INDEX('Day Range Raw Data'!N:N,Match($A573,'Day Range Raw Data'!$B:$B,0)),"")</f>
        <v/>
      </c>
      <c r="K573" t="str">
        <f t="array" ref="K573">IFERROR(INDEX('Day Range Raw Data'!R:R,Match($A573,'Day Range Raw Data'!$B:$B,0)),"")</f>
        <v/>
      </c>
      <c r="L573" t="str">
        <f t="array" ref="L573">IFERROR(INDEX('Day Range Raw Data'!S:S,Match($A573,'Day Range Raw Data'!$B:$B,0)),"")</f>
        <v/>
      </c>
      <c r="M573" t="str">
        <f t="array" ref="M573">IFERROR(INDEX('Day Range Raw Data'!T:T,Match($A573,'Day Range Raw Data'!$B:$B,0)),"")</f>
        <v/>
      </c>
      <c r="N573" t="str">
        <f t="array" ref="N573">IFERROR(INDEX('Day Range Raw Data'!U:U,Match($A573,'Day Range Raw Data'!$B:$B,0)),"")</f>
        <v/>
      </c>
      <c r="O573" t="str">
        <f t="array" ref="O573">IFERROR(INDEX('Day Range Raw Data'!V:V,Match($A573,'Day Range Raw Data'!$B:$B,0)),"")</f>
        <v/>
      </c>
      <c r="P573" t="str">
        <f t="array" ref="P573">IFERROR(INDEX('Day Range Raw Data'!X:X,Match($A573,'Day Range Raw Data'!$B:$B,0)),"")</f>
        <v/>
      </c>
      <c r="Q573" t="str">
        <f t="shared" si="1"/>
        <v/>
      </c>
      <c r="R573" s="9" t="str">
        <f t="shared" si="2"/>
        <v/>
      </c>
      <c r="S573" s="14" t="str">
        <f t="shared" si="3"/>
        <v/>
      </c>
      <c r="T573" s="15" t="str">
        <f>IFERROR(__xludf.DUMMYFUNCTION("IF($A573="""","""",IFERROR(PERCENTRANK.INC(FILTER(Q:Q,$F:$F&lt;&gt;""""),Q573)*100,""""))"),"")</f>
        <v/>
      </c>
      <c r="U573" s="15" t="str">
        <f>IFERROR(__xludf.DUMMYFUNCTION("IF($A573="""","""",IFERROR(PERCENTRANK.INC(FILTER(R:R,$F:$F&lt;&gt;""""),R573)*100,""""))"),"")</f>
        <v/>
      </c>
      <c r="V573" s="15" t="str">
        <f>IFERROR(__xludf.DUMMYFUNCTION("IF($A573="""","""",IFERROR(PERCENTRANK.INC(FILTER(S:S,$F:$F&lt;&gt;""""),S573)*100,""""))"),"")</f>
        <v/>
      </c>
      <c r="W573" s="15" t="str">
        <f t="shared" si="4"/>
        <v/>
      </c>
    </row>
    <row r="574">
      <c r="B574" t="str">
        <f t="array" ref="B574">IFERROR(INDEX('Player Raw Data'!C:C,Match($A574,'Player Raw Data'!$B:$B,0)),"")</f>
        <v/>
      </c>
      <c r="C574" t="str">
        <f t="array" ref="C574">IFERROR(INDEX('Player Raw Data'!D:D,Match($A574,'Player Raw Data'!$B:$B,0)),"")</f>
        <v/>
      </c>
      <c r="D574" t="str">
        <f t="array" ref="D574">IFERROR(IF(A574=A573, INDEX('Player Raw Data'!E:E,Match($A574,'Player Raw Data'!$B:$B,0)+2),INDEX('Player Raw Data'!E:E,Match($A574,'Player Raw Data'!$B:$B,0))),"")</f>
        <v/>
      </c>
      <c r="E574" t="str">
        <f t="array" ref="E574">IFERROR(INDEX('Day Range Raw Data'!D:D,Match($A574,'Day Range Raw Data'!$B:$B,0)),"")</f>
        <v/>
      </c>
      <c r="F574" t="str">
        <f t="array" ref="F574">IFERROR(INDEX('Day Range Raw Data'!F:F,Match($A574,'Day Range Raw Data'!$B:$B,0)),"")</f>
        <v/>
      </c>
      <c r="G574" t="str">
        <f t="array" ref="G574">IFERROR(INDEX('Day Range Raw Data'!G:G,Match($A574,'Day Range Raw Data'!$B:$B,0)),"")</f>
        <v/>
      </c>
      <c r="H574" t="str">
        <f t="array" ref="H574">IFERROR(INDEX('Day Range Raw Data'!H:H,Match($A574,'Day Range Raw Data'!$B:$B,0)),"")</f>
        <v/>
      </c>
      <c r="I574" t="str">
        <f t="array" ref="I574">IFERROR(INDEX('Day Range Raw Data'!M:M,Match($A574,'Day Range Raw Data'!$B:$B,0)),"")</f>
        <v/>
      </c>
      <c r="J574" t="str">
        <f t="array" ref="J574">IFERROR(INDEX('Day Range Raw Data'!N:N,Match($A574,'Day Range Raw Data'!$B:$B,0)),"")</f>
        <v/>
      </c>
      <c r="K574" t="str">
        <f t="array" ref="K574">IFERROR(INDEX('Day Range Raw Data'!R:R,Match($A574,'Day Range Raw Data'!$B:$B,0)),"")</f>
        <v/>
      </c>
      <c r="L574" t="str">
        <f t="array" ref="L574">IFERROR(INDEX('Day Range Raw Data'!S:S,Match($A574,'Day Range Raw Data'!$B:$B,0)),"")</f>
        <v/>
      </c>
      <c r="M574" t="str">
        <f t="array" ref="M574">IFERROR(INDEX('Day Range Raw Data'!T:T,Match($A574,'Day Range Raw Data'!$B:$B,0)),"")</f>
        <v/>
      </c>
      <c r="N574" t="str">
        <f t="array" ref="N574">IFERROR(INDEX('Day Range Raw Data'!U:U,Match($A574,'Day Range Raw Data'!$B:$B,0)),"")</f>
        <v/>
      </c>
      <c r="O574" t="str">
        <f t="array" ref="O574">IFERROR(INDEX('Day Range Raw Data'!V:V,Match($A574,'Day Range Raw Data'!$B:$B,0)),"")</f>
        <v/>
      </c>
      <c r="P574" t="str">
        <f t="array" ref="P574">IFERROR(INDEX('Day Range Raw Data'!X:X,Match($A574,'Day Range Raw Data'!$B:$B,0)),"")</f>
        <v/>
      </c>
      <c r="Q574" t="str">
        <f t="shared" si="1"/>
        <v/>
      </c>
      <c r="R574" s="9" t="str">
        <f t="shared" si="2"/>
        <v/>
      </c>
      <c r="S574" s="14" t="str">
        <f t="shared" si="3"/>
        <v/>
      </c>
      <c r="T574" s="15" t="str">
        <f>IFERROR(__xludf.DUMMYFUNCTION("IF($A574="""","""",IFERROR(PERCENTRANK.INC(FILTER(Q:Q,$F:$F&lt;&gt;""""),Q574)*100,""""))"),"")</f>
        <v/>
      </c>
      <c r="U574" s="15" t="str">
        <f>IFERROR(__xludf.DUMMYFUNCTION("IF($A574="""","""",IFERROR(PERCENTRANK.INC(FILTER(R:R,$F:$F&lt;&gt;""""),R574)*100,""""))"),"")</f>
        <v/>
      </c>
      <c r="V574" s="15" t="str">
        <f>IFERROR(__xludf.DUMMYFUNCTION("IF($A574="""","""",IFERROR(PERCENTRANK.INC(FILTER(S:S,$F:$F&lt;&gt;""""),S574)*100,""""))"),"")</f>
        <v/>
      </c>
      <c r="W574" s="15" t="str">
        <f t="shared" si="4"/>
        <v/>
      </c>
    </row>
    <row r="575">
      <c r="B575" t="str">
        <f t="array" ref="B575">IFERROR(INDEX('Player Raw Data'!C:C,Match($A575,'Player Raw Data'!$B:$B,0)),"")</f>
        <v/>
      </c>
      <c r="C575" t="str">
        <f t="array" ref="C575">IFERROR(INDEX('Player Raw Data'!D:D,Match($A575,'Player Raw Data'!$B:$B,0)),"")</f>
        <v/>
      </c>
      <c r="D575" t="str">
        <f t="array" ref="D575">IFERROR(IF(A575=A574, INDEX('Player Raw Data'!E:E,Match($A575,'Player Raw Data'!$B:$B,0)+2),INDEX('Player Raw Data'!E:E,Match($A575,'Player Raw Data'!$B:$B,0))),"")</f>
        <v/>
      </c>
      <c r="E575" t="str">
        <f t="array" ref="E575">IFERROR(INDEX('Day Range Raw Data'!D:D,Match($A575,'Day Range Raw Data'!$B:$B,0)),"")</f>
        <v/>
      </c>
      <c r="F575" t="str">
        <f t="array" ref="F575">IFERROR(INDEX('Day Range Raw Data'!F:F,Match($A575,'Day Range Raw Data'!$B:$B,0)),"")</f>
        <v/>
      </c>
      <c r="G575" t="str">
        <f t="array" ref="G575">IFERROR(INDEX('Day Range Raw Data'!G:G,Match($A575,'Day Range Raw Data'!$B:$B,0)),"")</f>
        <v/>
      </c>
      <c r="H575" t="str">
        <f t="array" ref="H575">IFERROR(INDEX('Day Range Raw Data'!H:H,Match($A575,'Day Range Raw Data'!$B:$B,0)),"")</f>
        <v/>
      </c>
      <c r="I575" t="str">
        <f t="array" ref="I575">IFERROR(INDEX('Day Range Raw Data'!M:M,Match($A575,'Day Range Raw Data'!$B:$B,0)),"")</f>
        <v/>
      </c>
      <c r="J575" t="str">
        <f t="array" ref="J575">IFERROR(INDEX('Day Range Raw Data'!N:N,Match($A575,'Day Range Raw Data'!$B:$B,0)),"")</f>
        <v/>
      </c>
      <c r="K575" t="str">
        <f t="array" ref="K575">IFERROR(INDEX('Day Range Raw Data'!R:R,Match($A575,'Day Range Raw Data'!$B:$B,0)),"")</f>
        <v/>
      </c>
      <c r="L575" t="str">
        <f t="array" ref="L575">IFERROR(INDEX('Day Range Raw Data'!S:S,Match($A575,'Day Range Raw Data'!$B:$B,0)),"")</f>
        <v/>
      </c>
      <c r="M575" t="str">
        <f t="array" ref="M575">IFERROR(INDEX('Day Range Raw Data'!T:T,Match($A575,'Day Range Raw Data'!$B:$B,0)),"")</f>
        <v/>
      </c>
      <c r="N575" t="str">
        <f t="array" ref="N575">IFERROR(INDEX('Day Range Raw Data'!U:U,Match($A575,'Day Range Raw Data'!$B:$B,0)),"")</f>
        <v/>
      </c>
      <c r="O575" t="str">
        <f t="array" ref="O575">IFERROR(INDEX('Day Range Raw Data'!V:V,Match($A575,'Day Range Raw Data'!$B:$B,0)),"")</f>
        <v/>
      </c>
      <c r="P575" t="str">
        <f t="array" ref="P575">IFERROR(INDEX('Day Range Raw Data'!X:X,Match($A575,'Day Range Raw Data'!$B:$B,0)),"")</f>
        <v/>
      </c>
      <c r="Q575" t="str">
        <f t="shared" si="1"/>
        <v/>
      </c>
      <c r="R575" s="9" t="str">
        <f t="shared" si="2"/>
        <v/>
      </c>
      <c r="S575" s="14" t="str">
        <f t="shared" si="3"/>
        <v/>
      </c>
      <c r="T575" s="15" t="str">
        <f>IFERROR(__xludf.DUMMYFUNCTION("IF($A575="""","""",IFERROR(PERCENTRANK.INC(FILTER(Q:Q,$F:$F&lt;&gt;""""),Q575)*100,""""))"),"")</f>
        <v/>
      </c>
      <c r="U575" s="15" t="str">
        <f>IFERROR(__xludf.DUMMYFUNCTION("IF($A575="""","""",IFERROR(PERCENTRANK.INC(FILTER(R:R,$F:$F&lt;&gt;""""),R575)*100,""""))"),"")</f>
        <v/>
      </c>
      <c r="V575" s="15" t="str">
        <f>IFERROR(__xludf.DUMMYFUNCTION("IF($A575="""","""",IFERROR(PERCENTRANK.INC(FILTER(S:S,$F:$F&lt;&gt;""""),S575)*100,""""))"),"")</f>
        <v/>
      </c>
      <c r="W575" s="15" t="str">
        <f t="shared" si="4"/>
        <v/>
      </c>
    </row>
    <row r="576">
      <c r="B576" t="str">
        <f t="array" ref="B576">IFERROR(INDEX('Player Raw Data'!C:C,Match($A576,'Player Raw Data'!$B:$B,0)),"")</f>
        <v/>
      </c>
      <c r="C576" t="str">
        <f t="array" ref="C576">IFERROR(INDEX('Player Raw Data'!D:D,Match($A576,'Player Raw Data'!$B:$B,0)),"")</f>
        <v/>
      </c>
      <c r="D576" t="str">
        <f t="array" ref="D576">IFERROR(IF(A576=A575, INDEX('Player Raw Data'!E:E,Match($A576,'Player Raw Data'!$B:$B,0)+2),INDEX('Player Raw Data'!E:E,Match($A576,'Player Raw Data'!$B:$B,0))),"")</f>
        <v/>
      </c>
      <c r="E576" t="str">
        <f t="array" ref="E576">IFERROR(INDEX('Day Range Raw Data'!D:D,Match($A576,'Day Range Raw Data'!$B:$B,0)),"")</f>
        <v/>
      </c>
      <c r="F576" t="str">
        <f t="array" ref="F576">IFERROR(INDEX('Day Range Raw Data'!F:F,Match($A576,'Day Range Raw Data'!$B:$B,0)),"")</f>
        <v/>
      </c>
      <c r="G576" t="str">
        <f t="array" ref="G576">IFERROR(INDEX('Day Range Raw Data'!G:G,Match($A576,'Day Range Raw Data'!$B:$B,0)),"")</f>
        <v/>
      </c>
      <c r="H576" t="str">
        <f t="array" ref="H576">IFERROR(INDEX('Day Range Raw Data'!H:H,Match($A576,'Day Range Raw Data'!$B:$B,0)),"")</f>
        <v/>
      </c>
      <c r="I576" t="str">
        <f t="array" ref="I576">IFERROR(INDEX('Day Range Raw Data'!M:M,Match($A576,'Day Range Raw Data'!$B:$B,0)),"")</f>
        <v/>
      </c>
      <c r="J576" t="str">
        <f t="array" ref="J576">IFERROR(INDEX('Day Range Raw Data'!N:N,Match($A576,'Day Range Raw Data'!$B:$B,0)),"")</f>
        <v/>
      </c>
      <c r="K576" t="str">
        <f t="array" ref="K576">IFERROR(INDEX('Day Range Raw Data'!R:R,Match($A576,'Day Range Raw Data'!$B:$B,0)),"")</f>
        <v/>
      </c>
      <c r="L576" t="str">
        <f t="array" ref="L576">IFERROR(INDEX('Day Range Raw Data'!S:S,Match($A576,'Day Range Raw Data'!$B:$B,0)),"")</f>
        <v/>
      </c>
      <c r="M576" t="str">
        <f t="array" ref="M576">IFERROR(INDEX('Day Range Raw Data'!T:T,Match($A576,'Day Range Raw Data'!$B:$B,0)),"")</f>
        <v/>
      </c>
      <c r="N576" t="str">
        <f t="array" ref="N576">IFERROR(INDEX('Day Range Raw Data'!U:U,Match($A576,'Day Range Raw Data'!$B:$B,0)),"")</f>
        <v/>
      </c>
      <c r="O576" t="str">
        <f t="array" ref="O576">IFERROR(INDEX('Day Range Raw Data'!V:V,Match($A576,'Day Range Raw Data'!$B:$B,0)),"")</f>
        <v/>
      </c>
      <c r="P576" t="str">
        <f t="array" ref="P576">IFERROR(INDEX('Day Range Raw Data'!X:X,Match($A576,'Day Range Raw Data'!$B:$B,0)),"")</f>
        <v/>
      </c>
      <c r="Q576" t="str">
        <f t="shared" si="1"/>
        <v/>
      </c>
      <c r="R576" s="9" t="str">
        <f t="shared" si="2"/>
        <v/>
      </c>
      <c r="S576" s="14" t="str">
        <f t="shared" si="3"/>
        <v/>
      </c>
      <c r="T576" s="15" t="str">
        <f>IFERROR(__xludf.DUMMYFUNCTION("IF($A576="""","""",IFERROR(PERCENTRANK.INC(FILTER(Q:Q,$F:$F&lt;&gt;""""),Q576)*100,""""))"),"")</f>
        <v/>
      </c>
      <c r="U576" s="15" t="str">
        <f>IFERROR(__xludf.DUMMYFUNCTION("IF($A576="""","""",IFERROR(PERCENTRANK.INC(FILTER(R:R,$F:$F&lt;&gt;""""),R576)*100,""""))"),"")</f>
        <v/>
      </c>
      <c r="V576" s="15" t="str">
        <f>IFERROR(__xludf.DUMMYFUNCTION("IF($A576="""","""",IFERROR(PERCENTRANK.INC(FILTER(S:S,$F:$F&lt;&gt;""""),S576)*100,""""))"),"")</f>
        <v/>
      </c>
      <c r="W576" s="15" t="str">
        <f t="shared" si="4"/>
        <v/>
      </c>
    </row>
    <row r="577">
      <c r="B577" t="str">
        <f t="array" ref="B577">IFERROR(INDEX('Player Raw Data'!C:C,Match($A577,'Player Raw Data'!$B:$B,0)),"")</f>
        <v/>
      </c>
      <c r="C577" t="str">
        <f t="array" ref="C577">IFERROR(INDEX('Player Raw Data'!D:D,Match($A577,'Player Raw Data'!$B:$B,0)),"")</f>
        <v/>
      </c>
      <c r="D577" t="str">
        <f t="array" ref="D577">IFERROR(IF(A577=A576, INDEX('Player Raw Data'!E:E,Match($A577,'Player Raw Data'!$B:$B,0)+2),INDEX('Player Raw Data'!E:E,Match($A577,'Player Raw Data'!$B:$B,0))),"")</f>
        <v/>
      </c>
      <c r="E577" t="str">
        <f t="array" ref="E577">IFERROR(INDEX('Day Range Raw Data'!D:D,Match($A577,'Day Range Raw Data'!$B:$B,0)),"")</f>
        <v/>
      </c>
      <c r="F577" t="str">
        <f t="array" ref="F577">IFERROR(INDEX('Day Range Raw Data'!F:F,Match($A577,'Day Range Raw Data'!$B:$B,0)),"")</f>
        <v/>
      </c>
      <c r="G577" t="str">
        <f t="array" ref="G577">IFERROR(INDEX('Day Range Raw Data'!G:G,Match($A577,'Day Range Raw Data'!$B:$B,0)),"")</f>
        <v/>
      </c>
      <c r="H577" t="str">
        <f t="array" ref="H577">IFERROR(INDEX('Day Range Raw Data'!H:H,Match($A577,'Day Range Raw Data'!$B:$B,0)),"")</f>
        <v/>
      </c>
      <c r="I577" t="str">
        <f t="array" ref="I577">IFERROR(INDEX('Day Range Raw Data'!M:M,Match($A577,'Day Range Raw Data'!$B:$B,0)),"")</f>
        <v/>
      </c>
      <c r="J577" t="str">
        <f t="array" ref="J577">IFERROR(INDEX('Day Range Raw Data'!N:N,Match($A577,'Day Range Raw Data'!$B:$B,0)),"")</f>
        <v/>
      </c>
      <c r="K577" t="str">
        <f t="array" ref="K577">IFERROR(INDEX('Day Range Raw Data'!R:R,Match($A577,'Day Range Raw Data'!$B:$B,0)),"")</f>
        <v/>
      </c>
      <c r="L577" t="str">
        <f t="array" ref="L577">IFERROR(INDEX('Day Range Raw Data'!S:S,Match($A577,'Day Range Raw Data'!$B:$B,0)),"")</f>
        <v/>
      </c>
      <c r="M577" t="str">
        <f t="array" ref="M577">IFERROR(INDEX('Day Range Raw Data'!T:T,Match($A577,'Day Range Raw Data'!$B:$B,0)),"")</f>
        <v/>
      </c>
      <c r="N577" t="str">
        <f t="array" ref="N577">IFERROR(INDEX('Day Range Raw Data'!U:U,Match($A577,'Day Range Raw Data'!$B:$B,0)),"")</f>
        <v/>
      </c>
      <c r="O577" t="str">
        <f t="array" ref="O577">IFERROR(INDEX('Day Range Raw Data'!V:V,Match($A577,'Day Range Raw Data'!$B:$B,0)),"")</f>
        <v/>
      </c>
      <c r="P577" t="str">
        <f t="array" ref="P577">IFERROR(INDEX('Day Range Raw Data'!X:X,Match($A577,'Day Range Raw Data'!$B:$B,0)),"")</f>
        <v/>
      </c>
      <c r="Q577" t="str">
        <f t="shared" si="1"/>
        <v/>
      </c>
      <c r="R577" s="9" t="str">
        <f t="shared" si="2"/>
        <v/>
      </c>
      <c r="S577" s="14" t="str">
        <f t="shared" si="3"/>
        <v/>
      </c>
      <c r="T577" s="15" t="str">
        <f>IFERROR(__xludf.DUMMYFUNCTION("IF($A577="""","""",IFERROR(PERCENTRANK.INC(FILTER(Q:Q,$F:$F&lt;&gt;""""),Q577)*100,""""))"),"")</f>
        <v/>
      </c>
      <c r="U577" s="15" t="str">
        <f>IFERROR(__xludf.DUMMYFUNCTION("IF($A577="""","""",IFERROR(PERCENTRANK.INC(FILTER(R:R,$F:$F&lt;&gt;""""),R577)*100,""""))"),"")</f>
        <v/>
      </c>
      <c r="V577" s="15" t="str">
        <f>IFERROR(__xludf.DUMMYFUNCTION("IF($A577="""","""",IFERROR(PERCENTRANK.INC(FILTER(S:S,$F:$F&lt;&gt;""""),S577)*100,""""))"),"")</f>
        <v/>
      </c>
      <c r="W577" s="15" t="str">
        <f t="shared" ref="W577:W1000" si="5">IF($A577="","",IF($A577="","",(IFERROR((((ABS(C577-32)-C577+32)-(ABS(C577-22)-C577+22))/20*100)*0.64+T577*2+U577*3.86+V577*1.25,""))))</f>
        <v/>
      </c>
    </row>
    <row r="578">
      <c r="B578" t="str">
        <f t="array" ref="B578">IFERROR(INDEX('Player Raw Data'!C:C,Match($A578,'Player Raw Data'!$B:$B,0)),"")</f>
        <v/>
      </c>
      <c r="C578" t="str">
        <f t="array" ref="C578">IFERROR(INDEX('Player Raw Data'!D:D,Match($A578,'Player Raw Data'!$B:$B,0)),"")</f>
        <v/>
      </c>
      <c r="D578" t="str">
        <f t="array" ref="D578">IFERROR(IF(A578=A577, INDEX('Player Raw Data'!E:E,Match($A578,'Player Raw Data'!$B:$B,0)+2),INDEX('Player Raw Data'!E:E,Match($A578,'Player Raw Data'!$B:$B,0))),"")</f>
        <v/>
      </c>
      <c r="E578" t="str">
        <f t="array" ref="E578">IFERROR(INDEX('Day Range Raw Data'!D:D,Match($A578,'Day Range Raw Data'!$B:$B,0)),"")</f>
        <v/>
      </c>
      <c r="F578" t="str">
        <f t="array" ref="F578">IFERROR(INDEX('Day Range Raw Data'!F:F,Match($A578,'Day Range Raw Data'!$B:$B,0)),"")</f>
        <v/>
      </c>
      <c r="G578" t="str">
        <f t="array" ref="G578">IFERROR(INDEX('Day Range Raw Data'!G:G,Match($A578,'Day Range Raw Data'!$B:$B,0)),"")</f>
        <v/>
      </c>
      <c r="H578" t="str">
        <f t="array" ref="H578">IFERROR(INDEX('Day Range Raw Data'!H:H,Match($A578,'Day Range Raw Data'!$B:$B,0)),"")</f>
        <v/>
      </c>
      <c r="I578" t="str">
        <f t="array" ref="I578">IFERROR(INDEX('Day Range Raw Data'!M:M,Match($A578,'Day Range Raw Data'!$B:$B,0)),"")</f>
        <v/>
      </c>
      <c r="J578" t="str">
        <f t="array" ref="J578">IFERROR(INDEX('Day Range Raw Data'!N:N,Match($A578,'Day Range Raw Data'!$B:$B,0)),"")</f>
        <v/>
      </c>
      <c r="K578" t="str">
        <f t="array" ref="K578">IFERROR(INDEX('Day Range Raw Data'!R:R,Match($A578,'Day Range Raw Data'!$B:$B,0)),"")</f>
        <v/>
      </c>
      <c r="L578" t="str">
        <f t="array" ref="L578">IFERROR(INDEX('Day Range Raw Data'!S:S,Match($A578,'Day Range Raw Data'!$B:$B,0)),"")</f>
        <v/>
      </c>
      <c r="M578" t="str">
        <f t="array" ref="M578">IFERROR(INDEX('Day Range Raw Data'!T:T,Match($A578,'Day Range Raw Data'!$B:$B,0)),"")</f>
        <v/>
      </c>
      <c r="N578" t="str">
        <f t="array" ref="N578">IFERROR(INDEX('Day Range Raw Data'!U:U,Match($A578,'Day Range Raw Data'!$B:$B,0)),"")</f>
        <v/>
      </c>
      <c r="O578" t="str">
        <f t="array" ref="O578">IFERROR(INDEX('Day Range Raw Data'!V:V,Match($A578,'Day Range Raw Data'!$B:$B,0)),"")</f>
        <v/>
      </c>
      <c r="P578" t="str">
        <f t="array" ref="P578">IFERROR(INDEX('Day Range Raw Data'!X:X,Match($A578,'Day Range Raw Data'!$B:$B,0)),"")</f>
        <v/>
      </c>
      <c r="Q578" t="str">
        <f t="shared" si="1"/>
        <v/>
      </c>
      <c r="R578" s="9" t="str">
        <f t="shared" si="2"/>
        <v/>
      </c>
      <c r="S578" s="14" t="str">
        <f t="shared" si="3"/>
        <v/>
      </c>
      <c r="T578" s="15" t="str">
        <f>IFERROR(__xludf.DUMMYFUNCTION("IF($A578="""","""",IFERROR(PERCENTRANK.INC(FILTER(Q:Q,$F:$F&lt;&gt;""""),Q578)*100,""""))"),"")</f>
        <v/>
      </c>
      <c r="U578" s="15" t="str">
        <f>IFERROR(__xludf.DUMMYFUNCTION("IF($A578="""","""",IFERROR(PERCENTRANK.INC(FILTER(R:R,$F:$F&lt;&gt;""""),R578)*100,""""))"),"")</f>
        <v/>
      </c>
      <c r="V578" s="15" t="str">
        <f>IFERROR(__xludf.DUMMYFUNCTION("IF($A578="""","""",IFERROR(PERCENTRANK.INC(FILTER(S:S,$F:$F&lt;&gt;""""),S578)*100,""""))"),"")</f>
        <v/>
      </c>
      <c r="W578" s="15" t="str">
        <f t="shared" si="5"/>
        <v/>
      </c>
    </row>
    <row r="579">
      <c r="B579" t="str">
        <f t="array" ref="B579">IFERROR(INDEX('Player Raw Data'!C:C,Match($A579,'Player Raw Data'!$B:$B,0)),"")</f>
        <v/>
      </c>
      <c r="C579" t="str">
        <f t="array" ref="C579">IFERROR(INDEX('Player Raw Data'!D:D,Match($A579,'Player Raw Data'!$B:$B,0)),"")</f>
        <v/>
      </c>
      <c r="D579" t="str">
        <f t="array" ref="D579">IFERROR(IF(A579=A578, INDEX('Player Raw Data'!E:E,Match($A579,'Player Raw Data'!$B:$B,0)+2),INDEX('Player Raw Data'!E:E,Match($A579,'Player Raw Data'!$B:$B,0))),"")</f>
        <v/>
      </c>
      <c r="E579" t="str">
        <f t="array" ref="E579">IFERROR(INDEX('Day Range Raw Data'!D:D,Match($A579,'Day Range Raw Data'!$B:$B,0)),"")</f>
        <v/>
      </c>
      <c r="F579" t="str">
        <f t="array" ref="F579">IFERROR(INDEX('Day Range Raw Data'!F:F,Match($A579,'Day Range Raw Data'!$B:$B,0)),"")</f>
        <v/>
      </c>
      <c r="G579" t="str">
        <f t="array" ref="G579">IFERROR(INDEX('Day Range Raw Data'!G:G,Match($A579,'Day Range Raw Data'!$B:$B,0)),"")</f>
        <v/>
      </c>
      <c r="H579" t="str">
        <f t="array" ref="H579">IFERROR(INDEX('Day Range Raw Data'!H:H,Match($A579,'Day Range Raw Data'!$B:$B,0)),"")</f>
        <v/>
      </c>
      <c r="I579" t="str">
        <f t="array" ref="I579">IFERROR(INDEX('Day Range Raw Data'!M:M,Match($A579,'Day Range Raw Data'!$B:$B,0)),"")</f>
        <v/>
      </c>
      <c r="J579" t="str">
        <f t="array" ref="J579">IFERROR(INDEX('Day Range Raw Data'!N:N,Match($A579,'Day Range Raw Data'!$B:$B,0)),"")</f>
        <v/>
      </c>
      <c r="K579" t="str">
        <f t="array" ref="K579">IFERROR(INDEX('Day Range Raw Data'!R:R,Match($A579,'Day Range Raw Data'!$B:$B,0)),"")</f>
        <v/>
      </c>
      <c r="L579" t="str">
        <f t="array" ref="L579">IFERROR(INDEX('Day Range Raw Data'!S:S,Match($A579,'Day Range Raw Data'!$B:$B,0)),"")</f>
        <v/>
      </c>
      <c r="M579" t="str">
        <f t="array" ref="M579">IFERROR(INDEX('Day Range Raw Data'!T:T,Match($A579,'Day Range Raw Data'!$B:$B,0)),"")</f>
        <v/>
      </c>
      <c r="N579" t="str">
        <f t="array" ref="N579">IFERROR(INDEX('Day Range Raw Data'!U:U,Match($A579,'Day Range Raw Data'!$B:$B,0)),"")</f>
        <v/>
      </c>
      <c r="O579" t="str">
        <f t="array" ref="O579">IFERROR(INDEX('Day Range Raw Data'!V:V,Match($A579,'Day Range Raw Data'!$B:$B,0)),"")</f>
        <v/>
      </c>
      <c r="P579" t="str">
        <f t="array" ref="P579">IFERROR(INDEX('Day Range Raw Data'!X:X,Match($A579,'Day Range Raw Data'!$B:$B,0)),"")</f>
        <v/>
      </c>
      <c r="Q579" t="str">
        <f t="shared" si="1"/>
        <v/>
      </c>
      <c r="R579" s="9" t="str">
        <f t="shared" si="2"/>
        <v/>
      </c>
      <c r="S579" s="14" t="str">
        <f t="shared" si="3"/>
        <v/>
      </c>
      <c r="T579" s="15" t="str">
        <f>IFERROR(__xludf.DUMMYFUNCTION("IF($A579="""","""",IFERROR(PERCENTRANK.INC(FILTER(Q:Q,$F:$F&lt;&gt;""""),Q579)*100,""""))"),"")</f>
        <v/>
      </c>
      <c r="U579" s="15" t="str">
        <f>IFERROR(__xludf.DUMMYFUNCTION("IF($A579="""","""",IFERROR(PERCENTRANK.INC(FILTER(R:R,$F:$F&lt;&gt;""""),R579)*100,""""))"),"")</f>
        <v/>
      </c>
      <c r="V579" s="15" t="str">
        <f>IFERROR(__xludf.DUMMYFUNCTION("IF($A579="""","""",IFERROR(PERCENTRANK.INC(FILTER(S:S,$F:$F&lt;&gt;""""),S579)*100,""""))"),"")</f>
        <v/>
      </c>
      <c r="W579" s="15" t="str">
        <f t="shared" si="5"/>
        <v/>
      </c>
    </row>
    <row r="580">
      <c r="B580" t="str">
        <f t="array" ref="B580">IFERROR(INDEX('Player Raw Data'!C:C,Match($A580,'Player Raw Data'!$B:$B,0)),"")</f>
        <v/>
      </c>
      <c r="C580" t="str">
        <f t="array" ref="C580">IFERROR(INDEX('Player Raw Data'!D:D,Match($A580,'Player Raw Data'!$B:$B,0)),"")</f>
        <v/>
      </c>
      <c r="D580" t="str">
        <f t="array" ref="D580">IFERROR(IF(A580=A579, INDEX('Player Raw Data'!E:E,Match($A580,'Player Raw Data'!$B:$B,0)+2),INDEX('Player Raw Data'!E:E,Match($A580,'Player Raw Data'!$B:$B,0))),"")</f>
        <v/>
      </c>
      <c r="E580" t="str">
        <f t="array" ref="E580">IFERROR(INDEX('Day Range Raw Data'!D:D,Match($A580,'Day Range Raw Data'!$B:$B,0)),"")</f>
        <v/>
      </c>
      <c r="F580" t="str">
        <f t="array" ref="F580">IFERROR(INDEX('Day Range Raw Data'!F:F,Match($A580,'Day Range Raw Data'!$B:$B,0)),"")</f>
        <v/>
      </c>
      <c r="G580" t="str">
        <f t="array" ref="G580">IFERROR(INDEX('Day Range Raw Data'!G:G,Match($A580,'Day Range Raw Data'!$B:$B,0)),"")</f>
        <v/>
      </c>
      <c r="H580" t="str">
        <f t="array" ref="H580">IFERROR(INDEX('Day Range Raw Data'!H:H,Match($A580,'Day Range Raw Data'!$B:$B,0)),"")</f>
        <v/>
      </c>
      <c r="I580" t="str">
        <f t="array" ref="I580">IFERROR(INDEX('Day Range Raw Data'!M:M,Match($A580,'Day Range Raw Data'!$B:$B,0)),"")</f>
        <v/>
      </c>
      <c r="J580" t="str">
        <f t="array" ref="J580">IFERROR(INDEX('Day Range Raw Data'!N:N,Match($A580,'Day Range Raw Data'!$B:$B,0)),"")</f>
        <v/>
      </c>
      <c r="K580" t="str">
        <f t="array" ref="K580">IFERROR(INDEX('Day Range Raw Data'!R:R,Match($A580,'Day Range Raw Data'!$B:$B,0)),"")</f>
        <v/>
      </c>
      <c r="L580" t="str">
        <f t="array" ref="L580">IFERROR(INDEX('Day Range Raw Data'!S:S,Match($A580,'Day Range Raw Data'!$B:$B,0)),"")</f>
        <v/>
      </c>
      <c r="M580" t="str">
        <f t="array" ref="M580">IFERROR(INDEX('Day Range Raw Data'!T:T,Match($A580,'Day Range Raw Data'!$B:$B,0)),"")</f>
        <v/>
      </c>
      <c r="N580" t="str">
        <f t="array" ref="N580">IFERROR(INDEX('Day Range Raw Data'!U:U,Match($A580,'Day Range Raw Data'!$B:$B,0)),"")</f>
        <v/>
      </c>
      <c r="O580" t="str">
        <f t="array" ref="O580">IFERROR(INDEX('Day Range Raw Data'!V:V,Match($A580,'Day Range Raw Data'!$B:$B,0)),"")</f>
        <v/>
      </c>
      <c r="P580" t="str">
        <f t="array" ref="P580">IFERROR(INDEX('Day Range Raw Data'!X:X,Match($A580,'Day Range Raw Data'!$B:$B,0)),"")</f>
        <v/>
      </c>
      <c r="Q580" t="str">
        <f t="shared" si="1"/>
        <v/>
      </c>
      <c r="R580" s="9" t="str">
        <f t="shared" si="2"/>
        <v/>
      </c>
      <c r="S580" s="14" t="str">
        <f t="shared" si="3"/>
        <v/>
      </c>
      <c r="T580" s="15" t="str">
        <f>IFERROR(__xludf.DUMMYFUNCTION("IF($A580="""","""",IFERROR(PERCENTRANK.INC(FILTER(Q:Q,$F:$F&lt;&gt;""""),Q580)*100,""""))"),"")</f>
        <v/>
      </c>
      <c r="U580" s="15" t="str">
        <f>IFERROR(__xludf.DUMMYFUNCTION("IF($A580="""","""",IFERROR(PERCENTRANK.INC(FILTER(R:R,$F:$F&lt;&gt;""""),R580)*100,""""))"),"")</f>
        <v/>
      </c>
      <c r="V580" s="15" t="str">
        <f>IFERROR(__xludf.DUMMYFUNCTION("IF($A580="""","""",IFERROR(PERCENTRANK.INC(FILTER(S:S,$F:$F&lt;&gt;""""),S580)*100,""""))"),"")</f>
        <v/>
      </c>
      <c r="W580" s="15" t="str">
        <f t="shared" si="5"/>
        <v/>
      </c>
    </row>
    <row r="581">
      <c r="B581" t="str">
        <f t="array" ref="B581">IFERROR(INDEX('Player Raw Data'!C:C,Match($A581,'Player Raw Data'!$B:$B,0)),"")</f>
        <v/>
      </c>
      <c r="C581" t="str">
        <f t="array" ref="C581">IFERROR(INDEX('Player Raw Data'!D:D,Match($A581,'Player Raw Data'!$B:$B,0)),"")</f>
        <v/>
      </c>
      <c r="D581" t="str">
        <f t="array" ref="D581">IFERROR(IF(A581=A580, INDEX('Player Raw Data'!E:E,Match($A581,'Player Raw Data'!$B:$B,0)+2),INDEX('Player Raw Data'!E:E,Match($A581,'Player Raw Data'!$B:$B,0))),"")</f>
        <v/>
      </c>
      <c r="E581" t="str">
        <f t="array" ref="E581">IFERROR(INDEX('Day Range Raw Data'!D:D,Match($A581,'Day Range Raw Data'!$B:$B,0)),"")</f>
        <v/>
      </c>
      <c r="F581" t="str">
        <f t="array" ref="F581">IFERROR(INDEX('Day Range Raw Data'!F:F,Match($A581,'Day Range Raw Data'!$B:$B,0)),"")</f>
        <v/>
      </c>
      <c r="G581" t="str">
        <f t="array" ref="G581">IFERROR(INDEX('Day Range Raw Data'!G:G,Match($A581,'Day Range Raw Data'!$B:$B,0)),"")</f>
        <v/>
      </c>
      <c r="H581" t="str">
        <f t="array" ref="H581">IFERROR(INDEX('Day Range Raw Data'!H:H,Match($A581,'Day Range Raw Data'!$B:$B,0)),"")</f>
        <v/>
      </c>
      <c r="I581" t="str">
        <f t="array" ref="I581">IFERROR(INDEX('Day Range Raw Data'!M:M,Match($A581,'Day Range Raw Data'!$B:$B,0)),"")</f>
        <v/>
      </c>
      <c r="J581" t="str">
        <f t="array" ref="J581">IFERROR(INDEX('Day Range Raw Data'!N:N,Match($A581,'Day Range Raw Data'!$B:$B,0)),"")</f>
        <v/>
      </c>
      <c r="K581" t="str">
        <f t="array" ref="K581">IFERROR(INDEX('Day Range Raw Data'!R:R,Match($A581,'Day Range Raw Data'!$B:$B,0)),"")</f>
        <v/>
      </c>
      <c r="L581" t="str">
        <f t="array" ref="L581">IFERROR(INDEX('Day Range Raw Data'!S:S,Match($A581,'Day Range Raw Data'!$B:$B,0)),"")</f>
        <v/>
      </c>
      <c r="M581" t="str">
        <f t="array" ref="M581">IFERROR(INDEX('Day Range Raw Data'!T:T,Match($A581,'Day Range Raw Data'!$B:$B,0)),"")</f>
        <v/>
      </c>
      <c r="N581" t="str">
        <f t="array" ref="N581">IFERROR(INDEX('Day Range Raw Data'!U:U,Match($A581,'Day Range Raw Data'!$B:$B,0)),"")</f>
        <v/>
      </c>
      <c r="O581" t="str">
        <f t="array" ref="O581">IFERROR(INDEX('Day Range Raw Data'!V:V,Match($A581,'Day Range Raw Data'!$B:$B,0)),"")</f>
        <v/>
      </c>
      <c r="P581" t="str">
        <f t="array" ref="P581">IFERROR(INDEX('Day Range Raw Data'!X:X,Match($A581,'Day Range Raw Data'!$B:$B,0)),"")</f>
        <v/>
      </c>
      <c r="Q581" t="str">
        <f t="shared" si="1"/>
        <v/>
      </c>
      <c r="R581" s="9" t="str">
        <f t="shared" si="2"/>
        <v/>
      </c>
      <c r="S581" s="14" t="str">
        <f t="shared" si="3"/>
        <v/>
      </c>
      <c r="T581" s="15" t="str">
        <f>IFERROR(__xludf.DUMMYFUNCTION("IF($A581="""","""",IFERROR(PERCENTRANK.INC(FILTER(Q:Q,$F:$F&lt;&gt;""""),Q581)*100,""""))"),"")</f>
        <v/>
      </c>
      <c r="U581" s="15" t="str">
        <f>IFERROR(__xludf.DUMMYFUNCTION("IF($A581="""","""",IFERROR(PERCENTRANK.INC(FILTER(R:R,$F:$F&lt;&gt;""""),R581)*100,""""))"),"")</f>
        <v/>
      </c>
      <c r="V581" s="15" t="str">
        <f>IFERROR(__xludf.DUMMYFUNCTION("IF($A581="""","""",IFERROR(PERCENTRANK.INC(FILTER(S:S,$F:$F&lt;&gt;""""),S581)*100,""""))"),"")</f>
        <v/>
      </c>
      <c r="W581" s="15" t="str">
        <f t="shared" si="5"/>
        <v/>
      </c>
    </row>
    <row r="582">
      <c r="B582" t="str">
        <f t="array" ref="B582">IFERROR(INDEX('Player Raw Data'!C:C,Match($A582,'Player Raw Data'!$B:$B,0)),"")</f>
        <v/>
      </c>
      <c r="C582" t="str">
        <f t="array" ref="C582">IFERROR(INDEX('Player Raw Data'!D:D,Match($A582,'Player Raw Data'!$B:$B,0)),"")</f>
        <v/>
      </c>
      <c r="D582" t="str">
        <f t="array" ref="D582">IFERROR(IF(A582=A581, INDEX('Player Raw Data'!E:E,Match($A582,'Player Raw Data'!$B:$B,0)+2),INDEX('Player Raw Data'!E:E,Match($A582,'Player Raw Data'!$B:$B,0))),"")</f>
        <v/>
      </c>
      <c r="E582" t="str">
        <f t="array" ref="E582">IFERROR(INDEX('Day Range Raw Data'!D:D,Match($A582,'Day Range Raw Data'!$B:$B,0)),"")</f>
        <v/>
      </c>
      <c r="F582" t="str">
        <f t="array" ref="F582">IFERROR(INDEX('Day Range Raw Data'!F:F,Match($A582,'Day Range Raw Data'!$B:$B,0)),"")</f>
        <v/>
      </c>
      <c r="G582" t="str">
        <f t="array" ref="G582">IFERROR(INDEX('Day Range Raw Data'!G:G,Match($A582,'Day Range Raw Data'!$B:$B,0)),"")</f>
        <v/>
      </c>
      <c r="H582" t="str">
        <f t="array" ref="H582">IFERROR(INDEX('Day Range Raw Data'!H:H,Match($A582,'Day Range Raw Data'!$B:$B,0)),"")</f>
        <v/>
      </c>
      <c r="I582" t="str">
        <f t="array" ref="I582">IFERROR(INDEX('Day Range Raw Data'!M:M,Match($A582,'Day Range Raw Data'!$B:$B,0)),"")</f>
        <v/>
      </c>
      <c r="J582" t="str">
        <f t="array" ref="J582">IFERROR(INDEX('Day Range Raw Data'!N:N,Match($A582,'Day Range Raw Data'!$B:$B,0)),"")</f>
        <v/>
      </c>
      <c r="K582" t="str">
        <f t="array" ref="K582">IFERROR(INDEX('Day Range Raw Data'!R:R,Match($A582,'Day Range Raw Data'!$B:$B,0)),"")</f>
        <v/>
      </c>
      <c r="L582" t="str">
        <f t="array" ref="L582">IFERROR(INDEX('Day Range Raw Data'!S:S,Match($A582,'Day Range Raw Data'!$B:$B,0)),"")</f>
        <v/>
      </c>
      <c r="M582" t="str">
        <f t="array" ref="M582">IFERROR(INDEX('Day Range Raw Data'!T:T,Match($A582,'Day Range Raw Data'!$B:$B,0)),"")</f>
        <v/>
      </c>
      <c r="N582" t="str">
        <f t="array" ref="N582">IFERROR(INDEX('Day Range Raw Data'!U:U,Match($A582,'Day Range Raw Data'!$B:$B,0)),"")</f>
        <v/>
      </c>
      <c r="O582" t="str">
        <f t="array" ref="O582">IFERROR(INDEX('Day Range Raw Data'!V:V,Match($A582,'Day Range Raw Data'!$B:$B,0)),"")</f>
        <v/>
      </c>
      <c r="P582" t="str">
        <f t="array" ref="P582">IFERROR(INDEX('Day Range Raw Data'!X:X,Match($A582,'Day Range Raw Data'!$B:$B,0)),"")</f>
        <v/>
      </c>
      <c r="Q582" t="str">
        <f t="shared" si="1"/>
        <v/>
      </c>
      <c r="R582" s="9" t="str">
        <f t="shared" si="2"/>
        <v/>
      </c>
      <c r="S582" s="14" t="str">
        <f t="shared" si="3"/>
        <v/>
      </c>
      <c r="T582" s="15" t="str">
        <f>IFERROR(__xludf.DUMMYFUNCTION("IF($A582="""","""",IFERROR(PERCENTRANK.INC(FILTER(Q:Q,$F:$F&lt;&gt;""""),Q582)*100,""""))"),"")</f>
        <v/>
      </c>
      <c r="U582" s="15" t="str">
        <f>IFERROR(__xludf.DUMMYFUNCTION("IF($A582="""","""",IFERROR(PERCENTRANK.INC(FILTER(R:R,$F:$F&lt;&gt;""""),R582)*100,""""))"),"")</f>
        <v/>
      </c>
      <c r="V582" s="15" t="str">
        <f>IFERROR(__xludf.DUMMYFUNCTION("IF($A582="""","""",IFERROR(PERCENTRANK.INC(FILTER(S:S,$F:$F&lt;&gt;""""),S582)*100,""""))"),"")</f>
        <v/>
      </c>
      <c r="W582" s="15" t="str">
        <f t="shared" si="5"/>
        <v/>
      </c>
    </row>
    <row r="583">
      <c r="B583" t="str">
        <f t="array" ref="B583">IFERROR(INDEX('Player Raw Data'!C:C,Match($A583,'Player Raw Data'!$B:$B,0)),"")</f>
        <v/>
      </c>
      <c r="C583" t="str">
        <f t="array" ref="C583">IFERROR(INDEX('Player Raw Data'!D:D,Match($A583,'Player Raw Data'!$B:$B,0)),"")</f>
        <v/>
      </c>
      <c r="D583" t="str">
        <f t="array" ref="D583">IFERROR(IF(A583=A582, INDEX('Player Raw Data'!E:E,Match($A583,'Player Raw Data'!$B:$B,0)+2),INDEX('Player Raw Data'!E:E,Match($A583,'Player Raw Data'!$B:$B,0))),"")</f>
        <v/>
      </c>
      <c r="E583" t="str">
        <f t="array" ref="E583">IFERROR(INDEX('Day Range Raw Data'!D:D,Match($A583,'Day Range Raw Data'!$B:$B,0)),"")</f>
        <v/>
      </c>
      <c r="F583" t="str">
        <f t="array" ref="F583">IFERROR(INDEX('Day Range Raw Data'!F:F,Match($A583,'Day Range Raw Data'!$B:$B,0)),"")</f>
        <v/>
      </c>
      <c r="G583" t="str">
        <f t="array" ref="G583">IFERROR(INDEX('Day Range Raw Data'!G:G,Match($A583,'Day Range Raw Data'!$B:$B,0)),"")</f>
        <v/>
      </c>
      <c r="H583" t="str">
        <f t="array" ref="H583">IFERROR(INDEX('Day Range Raw Data'!H:H,Match($A583,'Day Range Raw Data'!$B:$B,0)),"")</f>
        <v/>
      </c>
      <c r="I583" t="str">
        <f t="array" ref="I583">IFERROR(INDEX('Day Range Raw Data'!M:M,Match($A583,'Day Range Raw Data'!$B:$B,0)),"")</f>
        <v/>
      </c>
      <c r="J583" t="str">
        <f t="array" ref="J583">IFERROR(INDEX('Day Range Raw Data'!N:N,Match($A583,'Day Range Raw Data'!$B:$B,0)),"")</f>
        <v/>
      </c>
      <c r="K583" t="str">
        <f t="array" ref="K583">IFERROR(INDEX('Day Range Raw Data'!R:R,Match($A583,'Day Range Raw Data'!$B:$B,0)),"")</f>
        <v/>
      </c>
      <c r="L583" t="str">
        <f t="array" ref="L583">IFERROR(INDEX('Day Range Raw Data'!S:S,Match($A583,'Day Range Raw Data'!$B:$B,0)),"")</f>
        <v/>
      </c>
      <c r="M583" t="str">
        <f t="array" ref="M583">IFERROR(INDEX('Day Range Raw Data'!T:T,Match($A583,'Day Range Raw Data'!$B:$B,0)),"")</f>
        <v/>
      </c>
      <c r="N583" t="str">
        <f t="array" ref="N583">IFERROR(INDEX('Day Range Raw Data'!U:U,Match($A583,'Day Range Raw Data'!$B:$B,0)),"")</f>
        <v/>
      </c>
      <c r="O583" t="str">
        <f t="array" ref="O583">IFERROR(INDEX('Day Range Raw Data'!V:V,Match($A583,'Day Range Raw Data'!$B:$B,0)),"")</f>
        <v/>
      </c>
      <c r="P583" t="str">
        <f t="array" ref="P583">IFERROR(INDEX('Day Range Raw Data'!X:X,Match($A583,'Day Range Raw Data'!$B:$B,0)),"")</f>
        <v/>
      </c>
      <c r="Q583" t="str">
        <f t="shared" si="1"/>
        <v/>
      </c>
      <c r="R583" s="9" t="str">
        <f t="shared" si="2"/>
        <v/>
      </c>
      <c r="S583" s="14" t="str">
        <f t="shared" si="3"/>
        <v/>
      </c>
      <c r="T583" s="15" t="str">
        <f>IFERROR(__xludf.DUMMYFUNCTION("IF($A583="""","""",IFERROR(PERCENTRANK.INC(FILTER(Q:Q,$F:$F&lt;&gt;""""),Q583)*100,""""))"),"")</f>
        <v/>
      </c>
      <c r="U583" s="15" t="str">
        <f>IFERROR(__xludf.DUMMYFUNCTION("IF($A583="""","""",IFERROR(PERCENTRANK.INC(FILTER(R:R,$F:$F&lt;&gt;""""),R583)*100,""""))"),"")</f>
        <v/>
      </c>
      <c r="V583" s="15" t="str">
        <f>IFERROR(__xludf.DUMMYFUNCTION("IF($A583="""","""",IFERROR(PERCENTRANK.INC(FILTER(S:S,$F:$F&lt;&gt;""""),S583)*100,""""))"),"")</f>
        <v/>
      </c>
      <c r="W583" s="15" t="str">
        <f t="shared" si="5"/>
        <v/>
      </c>
    </row>
    <row r="584">
      <c r="B584" t="str">
        <f t="array" ref="B584">IFERROR(INDEX('Player Raw Data'!C:C,Match($A584,'Player Raw Data'!$B:$B,0)),"")</f>
        <v/>
      </c>
      <c r="C584" t="str">
        <f t="array" ref="C584">IFERROR(INDEX('Player Raw Data'!D:D,Match($A584,'Player Raw Data'!$B:$B,0)),"")</f>
        <v/>
      </c>
      <c r="D584" t="str">
        <f t="array" ref="D584">IFERROR(IF(A584=A583, INDEX('Player Raw Data'!E:E,Match($A584,'Player Raw Data'!$B:$B,0)+2),INDEX('Player Raw Data'!E:E,Match($A584,'Player Raw Data'!$B:$B,0))),"")</f>
        <v/>
      </c>
      <c r="E584" t="str">
        <f t="array" ref="E584">IFERROR(INDEX('Day Range Raw Data'!D:D,Match($A584,'Day Range Raw Data'!$B:$B,0)),"")</f>
        <v/>
      </c>
      <c r="F584" t="str">
        <f t="array" ref="F584">IFERROR(INDEX('Day Range Raw Data'!F:F,Match($A584,'Day Range Raw Data'!$B:$B,0)),"")</f>
        <v/>
      </c>
      <c r="G584" t="str">
        <f t="array" ref="G584">IFERROR(INDEX('Day Range Raw Data'!G:G,Match($A584,'Day Range Raw Data'!$B:$B,0)),"")</f>
        <v/>
      </c>
      <c r="H584" t="str">
        <f t="array" ref="H584">IFERROR(INDEX('Day Range Raw Data'!H:H,Match($A584,'Day Range Raw Data'!$B:$B,0)),"")</f>
        <v/>
      </c>
      <c r="I584" t="str">
        <f t="array" ref="I584">IFERROR(INDEX('Day Range Raw Data'!M:M,Match($A584,'Day Range Raw Data'!$B:$B,0)),"")</f>
        <v/>
      </c>
      <c r="J584" t="str">
        <f t="array" ref="J584">IFERROR(INDEX('Day Range Raw Data'!N:N,Match($A584,'Day Range Raw Data'!$B:$B,0)),"")</f>
        <v/>
      </c>
      <c r="K584" t="str">
        <f t="array" ref="K584">IFERROR(INDEX('Day Range Raw Data'!R:R,Match($A584,'Day Range Raw Data'!$B:$B,0)),"")</f>
        <v/>
      </c>
      <c r="L584" t="str">
        <f t="array" ref="L584">IFERROR(INDEX('Day Range Raw Data'!S:S,Match($A584,'Day Range Raw Data'!$B:$B,0)),"")</f>
        <v/>
      </c>
      <c r="M584" t="str">
        <f t="array" ref="M584">IFERROR(INDEX('Day Range Raw Data'!T:T,Match($A584,'Day Range Raw Data'!$B:$B,0)),"")</f>
        <v/>
      </c>
      <c r="N584" t="str">
        <f t="array" ref="N584">IFERROR(INDEX('Day Range Raw Data'!U:U,Match($A584,'Day Range Raw Data'!$B:$B,0)),"")</f>
        <v/>
      </c>
      <c r="O584" t="str">
        <f t="array" ref="O584">IFERROR(INDEX('Day Range Raw Data'!V:V,Match($A584,'Day Range Raw Data'!$B:$B,0)),"")</f>
        <v/>
      </c>
      <c r="P584" t="str">
        <f t="array" ref="P584">IFERROR(INDEX('Day Range Raw Data'!X:X,Match($A584,'Day Range Raw Data'!$B:$B,0)),"")</f>
        <v/>
      </c>
      <c r="Q584" t="str">
        <f t="shared" si="1"/>
        <v/>
      </c>
      <c r="R584" s="9" t="str">
        <f t="shared" si="2"/>
        <v/>
      </c>
      <c r="S584" s="14" t="str">
        <f t="shared" si="3"/>
        <v/>
      </c>
      <c r="T584" s="15" t="str">
        <f>IFERROR(__xludf.DUMMYFUNCTION("IF($A584="""","""",IFERROR(PERCENTRANK.INC(FILTER(Q:Q,$F:$F&lt;&gt;""""),Q584)*100,""""))"),"")</f>
        <v/>
      </c>
      <c r="U584" s="15" t="str">
        <f>IFERROR(__xludf.DUMMYFUNCTION("IF($A584="""","""",IFERROR(PERCENTRANK.INC(FILTER(R:R,$F:$F&lt;&gt;""""),R584)*100,""""))"),"")</f>
        <v/>
      </c>
      <c r="V584" s="15" t="str">
        <f>IFERROR(__xludf.DUMMYFUNCTION("IF($A584="""","""",IFERROR(PERCENTRANK.INC(FILTER(S:S,$F:$F&lt;&gt;""""),S584)*100,""""))"),"")</f>
        <v/>
      </c>
      <c r="W584" s="15" t="str">
        <f t="shared" si="5"/>
        <v/>
      </c>
    </row>
    <row r="585">
      <c r="B585" t="str">
        <f t="array" ref="B585">IFERROR(INDEX('Player Raw Data'!C:C,Match($A585,'Player Raw Data'!$B:$B,0)),"")</f>
        <v/>
      </c>
      <c r="C585" t="str">
        <f t="array" ref="C585">IFERROR(INDEX('Player Raw Data'!D:D,Match($A585,'Player Raw Data'!$B:$B,0)),"")</f>
        <v/>
      </c>
      <c r="D585" t="str">
        <f t="array" ref="D585">IFERROR(IF(A585=A584, INDEX('Player Raw Data'!E:E,Match($A585,'Player Raw Data'!$B:$B,0)+2),INDEX('Player Raw Data'!E:E,Match($A585,'Player Raw Data'!$B:$B,0))),"")</f>
        <v/>
      </c>
      <c r="E585" t="str">
        <f t="array" ref="E585">IFERROR(INDEX('Day Range Raw Data'!D:D,Match($A585,'Day Range Raw Data'!$B:$B,0)),"")</f>
        <v/>
      </c>
      <c r="F585" t="str">
        <f t="array" ref="F585">IFERROR(INDEX('Day Range Raw Data'!F:F,Match($A585,'Day Range Raw Data'!$B:$B,0)),"")</f>
        <v/>
      </c>
      <c r="G585" t="str">
        <f t="array" ref="G585">IFERROR(INDEX('Day Range Raw Data'!G:G,Match($A585,'Day Range Raw Data'!$B:$B,0)),"")</f>
        <v/>
      </c>
      <c r="H585" t="str">
        <f t="array" ref="H585">IFERROR(INDEX('Day Range Raw Data'!H:H,Match($A585,'Day Range Raw Data'!$B:$B,0)),"")</f>
        <v/>
      </c>
      <c r="I585" t="str">
        <f t="array" ref="I585">IFERROR(INDEX('Day Range Raw Data'!M:M,Match($A585,'Day Range Raw Data'!$B:$B,0)),"")</f>
        <v/>
      </c>
      <c r="J585" t="str">
        <f t="array" ref="J585">IFERROR(INDEX('Day Range Raw Data'!N:N,Match($A585,'Day Range Raw Data'!$B:$B,0)),"")</f>
        <v/>
      </c>
      <c r="K585" t="str">
        <f t="array" ref="K585">IFERROR(INDEX('Day Range Raw Data'!R:R,Match($A585,'Day Range Raw Data'!$B:$B,0)),"")</f>
        <v/>
      </c>
      <c r="L585" t="str">
        <f t="array" ref="L585">IFERROR(INDEX('Day Range Raw Data'!S:S,Match($A585,'Day Range Raw Data'!$B:$B,0)),"")</f>
        <v/>
      </c>
      <c r="M585" t="str">
        <f t="array" ref="M585">IFERROR(INDEX('Day Range Raw Data'!T:T,Match($A585,'Day Range Raw Data'!$B:$B,0)),"")</f>
        <v/>
      </c>
      <c r="N585" t="str">
        <f t="array" ref="N585">IFERROR(INDEX('Day Range Raw Data'!U:U,Match($A585,'Day Range Raw Data'!$B:$B,0)),"")</f>
        <v/>
      </c>
      <c r="O585" t="str">
        <f t="array" ref="O585">IFERROR(INDEX('Day Range Raw Data'!V:V,Match($A585,'Day Range Raw Data'!$B:$B,0)),"")</f>
        <v/>
      </c>
      <c r="P585" t="str">
        <f t="array" ref="P585">IFERROR(INDEX('Day Range Raw Data'!X:X,Match($A585,'Day Range Raw Data'!$B:$B,0)),"")</f>
        <v/>
      </c>
      <c r="Q585" t="str">
        <f t="shared" si="1"/>
        <v/>
      </c>
      <c r="R585" s="9" t="str">
        <f t="shared" si="2"/>
        <v/>
      </c>
      <c r="S585" s="14" t="str">
        <f t="shared" si="3"/>
        <v/>
      </c>
      <c r="T585" s="15" t="str">
        <f>IFERROR(__xludf.DUMMYFUNCTION("IF($A585="""","""",IFERROR(PERCENTRANK.INC(FILTER(Q:Q,$F:$F&lt;&gt;""""),Q585)*100,""""))"),"")</f>
        <v/>
      </c>
      <c r="U585" s="15" t="str">
        <f>IFERROR(__xludf.DUMMYFUNCTION("IF($A585="""","""",IFERROR(PERCENTRANK.INC(FILTER(R:R,$F:$F&lt;&gt;""""),R585)*100,""""))"),"")</f>
        <v/>
      </c>
      <c r="V585" s="15" t="str">
        <f>IFERROR(__xludf.DUMMYFUNCTION("IF($A585="""","""",IFERROR(PERCENTRANK.INC(FILTER(S:S,$F:$F&lt;&gt;""""),S585)*100,""""))"),"")</f>
        <v/>
      </c>
      <c r="W585" s="15" t="str">
        <f t="shared" si="5"/>
        <v/>
      </c>
    </row>
    <row r="586">
      <c r="B586" t="str">
        <f t="array" ref="B586">IFERROR(INDEX('Player Raw Data'!C:C,Match($A586,'Player Raw Data'!$B:$B,0)),"")</f>
        <v/>
      </c>
      <c r="C586" t="str">
        <f t="array" ref="C586">IFERROR(INDEX('Player Raw Data'!D:D,Match($A586,'Player Raw Data'!$B:$B,0)),"")</f>
        <v/>
      </c>
      <c r="D586" t="str">
        <f t="array" ref="D586">IFERROR(IF(A586=A585, INDEX('Player Raw Data'!E:E,Match($A586,'Player Raw Data'!$B:$B,0)+2),INDEX('Player Raw Data'!E:E,Match($A586,'Player Raw Data'!$B:$B,0))),"")</f>
        <v/>
      </c>
      <c r="E586" t="str">
        <f t="array" ref="E586">IFERROR(INDEX('Day Range Raw Data'!D:D,Match($A586,'Day Range Raw Data'!$B:$B,0)),"")</f>
        <v/>
      </c>
      <c r="F586" t="str">
        <f t="array" ref="F586">IFERROR(INDEX('Day Range Raw Data'!F:F,Match($A586,'Day Range Raw Data'!$B:$B,0)),"")</f>
        <v/>
      </c>
      <c r="G586" t="str">
        <f t="array" ref="G586">IFERROR(INDEX('Day Range Raw Data'!G:G,Match($A586,'Day Range Raw Data'!$B:$B,0)),"")</f>
        <v/>
      </c>
      <c r="H586" t="str">
        <f t="array" ref="H586">IFERROR(INDEX('Day Range Raw Data'!H:H,Match($A586,'Day Range Raw Data'!$B:$B,0)),"")</f>
        <v/>
      </c>
      <c r="I586" t="str">
        <f t="array" ref="I586">IFERROR(INDEX('Day Range Raw Data'!M:M,Match($A586,'Day Range Raw Data'!$B:$B,0)),"")</f>
        <v/>
      </c>
      <c r="J586" t="str">
        <f t="array" ref="J586">IFERROR(INDEX('Day Range Raw Data'!N:N,Match($A586,'Day Range Raw Data'!$B:$B,0)),"")</f>
        <v/>
      </c>
      <c r="K586" t="str">
        <f t="array" ref="K586">IFERROR(INDEX('Day Range Raw Data'!R:R,Match($A586,'Day Range Raw Data'!$B:$B,0)),"")</f>
        <v/>
      </c>
      <c r="L586" t="str">
        <f t="array" ref="L586">IFERROR(INDEX('Day Range Raw Data'!S:S,Match($A586,'Day Range Raw Data'!$B:$B,0)),"")</f>
        <v/>
      </c>
      <c r="M586" t="str">
        <f t="array" ref="M586">IFERROR(INDEX('Day Range Raw Data'!T:T,Match($A586,'Day Range Raw Data'!$B:$B,0)),"")</f>
        <v/>
      </c>
      <c r="N586" t="str">
        <f t="array" ref="N586">IFERROR(INDEX('Day Range Raw Data'!U:U,Match($A586,'Day Range Raw Data'!$B:$B,0)),"")</f>
        <v/>
      </c>
      <c r="O586" t="str">
        <f t="array" ref="O586">IFERROR(INDEX('Day Range Raw Data'!V:V,Match($A586,'Day Range Raw Data'!$B:$B,0)),"")</f>
        <v/>
      </c>
      <c r="P586" t="str">
        <f t="array" ref="P586">IFERROR(INDEX('Day Range Raw Data'!X:X,Match($A586,'Day Range Raw Data'!$B:$B,0)),"")</f>
        <v/>
      </c>
      <c r="Q586" t="str">
        <f t="shared" si="1"/>
        <v/>
      </c>
      <c r="R586" s="9" t="str">
        <f t="shared" si="2"/>
        <v/>
      </c>
      <c r="S586" s="14" t="str">
        <f t="shared" si="3"/>
        <v/>
      </c>
      <c r="T586" s="15" t="str">
        <f>IFERROR(__xludf.DUMMYFUNCTION("IF($A586="""","""",IFERROR(PERCENTRANK.INC(FILTER(Q:Q,$F:$F&lt;&gt;""""),Q586)*100,""""))"),"")</f>
        <v/>
      </c>
      <c r="U586" s="15" t="str">
        <f>IFERROR(__xludf.DUMMYFUNCTION("IF($A586="""","""",IFERROR(PERCENTRANK.INC(FILTER(R:R,$F:$F&lt;&gt;""""),R586)*100,""""))"),"")</f>
        <v/>
      </c>
      <c r="V586" s="15" t="str">
        <f>IFERROR(__xludf.DUMMYFUNCTION("IF($A586="""","""",IFERROR(PERCENTRANK.INC(FILTER(S:S,$F:$F&lt;&gt;""""),S586)*100,""""))"),"")</f>
        <v/>
      </c>
      <c r="W586" s="15" t="str">
        <f t="shared" si="5"/>
        <v/>
      </c>
    </row>
    <row r="587">
      <c r="B587" t="str">
        <f t="array" ref="B587">IFERROR(INDEX('Player Raw Data'!C:C,Match($A587,'Player Raw Data'!$B:$B,0)),"")</f>
        <v/>
      </c>
      <c r="C587" t="str">
        <f t="array" ref="C587">IFERROR(INDEX('Player Raw Data'!D:D,Match($A587,'Player Raw Data'!$B:$B,0)),"")</f>
        <v/>
      </c>
      <c r="D587" t="str">
        <f t="array" ref="D587">IFERROR(IF(A587=A586, INDEX('Player Raw Data'!E:E,Match($A587,'Player Raw Data'!$B:$B,0)+2),INDEX('Player Raw Data'!E:E,Match($A587,'Player Raw Data'!$B:$B,0))),"")</f>
        <v/>
      </c>
      <c r="E587" t="str">
        <f t="array" ref="E587">IFERROR(INDEX('Day Range Raw Data'!D:D,Match($A587,'Day Range Raw Data'!$B:$B,0)),"")</f>
        <v/>
      </c>
      <c r="F587" t="str">
        <f t="array" ref="F587">IFERROR(INDEX('Day Range Raw Data'!F:F,Match($A587,'Day Range Raw Data'!$B:$B,0)),"")</f>
        <v/>
      </c>
      <c r="G587" t="str">
        <f t="array" ref="G587">IFERROR(INDEX('Day Range Raw Data'!G:G,Match($A587,'Day Range Raw Data'!$B:$B,0)),"")</f>
        <v/>
      </c>
      <c r="H587" t="str">
        <f t="array" ref="H587">IFERROR(INDEX('Day Range Raw Data'!H:H,Match($A587,'Day Range Raw Data'!$B:$B,0)),"")</f>
        <v/>
      </c>
      <c r="I587" t="str">
        <f t="array" ref="I587">IFERROR(INDEX('Day Range Raw Data'!M:M,Match($A587,'Day Range Raw Data'!$B:$B,0)),"")</f>
        <v/>
      </c>
      <c r="J587" t="str">
        <f t="array" ref="J587">IFERROR(INDEX('Day Range Raw Data'!N:N,Match($A587,'Day Range Raw Data'!$B:$B,0)),"")</f>
        <v/>
      </c>
      <c r="K587" t="str">
        <f t="array" ref="K587">IFERROR(INDEX('Day Range Raw Data'!R:R,Match($A587,'Day Range Raw Data'!$B:$B,0)),"")</f>
        <v/>
      </c>
      <c r="L587" t="str">
        <f t="array" ref="L587">IFERROR(INDEX('Day Range Raw Data'!S:S,Match($A587,'Day Range Raw Data'!$B:$B,0)),"")</f>
        <v/>
      </c>
      <c r="M587" t="str">
        <f t="array" ref="M587">IFERROR(INDEX('Day Range Raw Data'!T:T,Match($A587,'Day Range Raw Data'!$B:$B,0)),"")</f>
        <v/>
      </c>
      <c r="N587" t="str">
        <f t="array" ref="N587">IFERROR(INDEX('Day Range Raw Data'!U:U,Match($A587,'Day Range Raw Data'!$B:$B,0)),"")</f>
        <v/>
      </c>
      <c r="O587" t="str">
        <f t="array" ref="O587">IFERROR(INDEX('Day Range Raw Data'!V:V,Match($A587,'Day Range Raw Data'!$B:$B,0)),"")</f>
        <v/>
      </c>
      <c r="P587" t="str">
        <f t="array" ref="P587">IFERROR(INDEX('Day Range Raw Data'!X:X,Match($A587,'Day Range Raw Data'!$B:$B,0)),"")</f>
        <v/>
      </c>
      <c r="Q587" t="str">
        <f t="shared" si="1"/>
        <v/>
      </c>
      <c r="R587" s="9" t="str">
        <f t="shared" si="2"/>
        <v/>
      </c>
      <c r="S587" s="14" t="str">
        <f t="shared" si="3"/>
        <v/>
      </c>
      <c r="T587" s="15" t="str">
        <f>IFERROR(__xludf.DUMMYFUNCTION("IF($A587="""","""",IFERROR(PERCENTRANK.INC(FILTER(Q:Q,$F:$F&lt;&gt;""""),Q587)*100,""""))"),"")</f>
        <v/>
      </c>
      <c r="U587" s="15" t="str">
        <f>IFERROR(__xludf.DUMMYFUNCTION("IF($A587="""","""",IFERROR(PERCENTRANK.INC(FILTER(R:R,$F:$F&lt;&gt;""""),R587)*100,""""))"),"")</f>
        <v/>
      </c>
      <c r="V587" s="15" t="str">
        <f>IFERROR(__xludf.DUMMYFUNCTION("IF($A587="""","""",IFERROR(PERCENTRANK.INC(FILTER(S:S,$F:$F&lt;&gt;""""),S587)*100,""""))"),"")</f>
        <v/>
      </c>
      <c r="W587" s="15" t="str">
        <f t="shared" si="5"/>
        <v/>
      </c>
    </row>
    <row r="588">
      <c r="B588" t="str">
        <f t="array" ref="B588">IFERROR(INDEX('Player Raw Data'!C:C,Match($A588,'Player Raw Data'!$B:$B,0)),"")</f>
        <v/>
      </c>
      <c r="C588" t="str">
        <f t="array" ref="C588">IFERROR(INDEX('Player Raw Data'!D:D,Match($A588,'Player Raw Data'!$B:$B,0)),"")</f>
        <v/>
      </c>
      <c r="D588" t="str">
        <f t="array" ref="D588">IFERROR(IF(A588=A587, INDEX('Player Raw Data'!E:E,Match($A588,'Player Raw Data'!$B:$B,0)+2),INDEX('Player Raw Data'!E:E,Match($A588,'Player Raw Data'!$B:$B,0))),"")</f>
        <v/>
      </c>
      <c r="E588" t="str">
        <f t="array" ref="E588">IFERROR(INDEX('Day Range Raw Data'!D:D,Match($A588,'Day Range Raw Data'!$B:$B,0)),"")</f>
        <v/>
      </c>
      <c r="F588" t="str">
        <f t="array" ref="F588">IFERROR(INDEX('Day Range Raw Data'!F:F,Match($A588,'Day Range Raw Data'!$B:$B,0)),"")</f>
        <v/>
      </c>
      <c r="G588" t="str">
        <f t="array" ref="G588">IFERROR(INDEX('Day Range Raw Data'!G:G,Match($A588,'Day Range Raw Data'!$B:$B,0)),"")</f>
        <v/>
      </c>
      <c r="H588" t="str">
        <f t="array" ref="H588">IFERROR(INDEX('Day Range Raw Data'!H:H,Match($A588,'Day Range Raw Data'!$B:$B,0)),"")</f>
        <v/>
      </c>
      <c r="I588" t="str">
        <f t="array" ref="I588">IFERROR(INDEX('Day Range Raw Data'!M:M,Match($A588,'Day Range Raw Data'!$B:$B,0)),"")</f>
        <v/>
      </c>
      <c r="J588" t="str">
        <f t="array" ref="J588">IFERROR(INDEX('Day Range Raw Data'!N:N,Match($A588,'Day Range Raw Data'!$B:$B,0)),"")</f>
        <v/>
      </c>
      <c r="K588" t="str">
        <f t="array" ref="K588">IFERROR(INDEX('Day Range Raw Data'!R:R,Match($A588,'Day Range Raw Data'!$B:$B,0)),"")</f>
        <v/>
      </c>
      <c r="L588" t="str">
        <f t="array" ref="L588">IFERROR(INDEX('Day Range Raw Data'!S:S,Match($A588,'Day Range Raw Data'!$B:$B,0)),"")</f>
        <v/>
      </c>
      <c r="M588" t="str">
        <f t="array" ref="M588">IFERROR(INDEX('Day Range Raw Data'!T:T,Match($A588,'Day Range Raw Data'!$B:$B,0)),"")</f>
        <v/>
      </c>
      <c r="N588" t="str">
        <f t="array" ref="N588">IFERROR(INDEX('Day Range Raw Data'!U:U,Match($A588,'Day Range Raw Data'!$B:$B,0)),"")</f>
        <v/>
      </c>
      <c r="O588" t="str">
        <f t="array" ref="O588">IFERROR(INDEX('Day Range Raw Data'!V:V,Match($A588,'Day Range Raw Data'!$B:$B,0)),"")</f>
        <v/>
      </c>
      <c r="P588" t="str">
        <f t="array" ref="P588">IFERROR(INDEX('Day Range Raw Data'!X:X,Match($A588,'Day Range Raw Data'!$B:$B,0)),"")</f>
        <v/>
      </c>
      <c r="Q588" t="str">
        <f t="shared" si="1"/>
        <v/>
      </c>
      <c r="R588" s="9" t="str">
        <f t="shared" si="2"/>
        <v/>
      </c>
      <c r="S588" s="14" t="str">
        <f t="shared" si="3"/>
        <v/>
      </c>
      <c r="T588" s="15" t="str">
        <f>IFERROR(__xludf.DUMMYFUNCTION("IF($A588="""","""",IFERROR(PERCENTRANK.INC(FILTER(Q:Q,$F:$F&lt;&gt;""""),Q588)*100,""""))"),"")</f>
        <v/>
      </c>
      <c r="U588" s="15" t="str">
        <f>IFERROR(__xludf.DUMMYFUNCTION("IF($A588="""","""",IFERROR(PERCENTRANK.INC(FILTER(R:R,$F:$F&lt;&gt;""""),R588)*100,""""))"),"")</f>
        <v/>
      </c>
      <c r="V588" s="15" t="str">
        <f>IFERROR(__xludf.DUMMYFUNCTION("IF($A588="""","""",IFERROR(PERCENTRANK.INC(FILTER(S:S,$F:$F&lt;&gt;""""),S588)*100,""""))"),"")</f>
        <v/>
      </c>
      <c r="W588" s="15" t="str">
        <f t="shared" si="5"/>
        <v/>
      </c>
    </row>
    <row r="589">
      <c r="B589" t="str">
        <f t="array" ref="B589">IFERROR(INDEX('Player Raw Data'!C:C,Match($A589,'Player Raw Data'!$B:$B,0)),"")</f>
        <v/>
      </c>
      <c r="C589" t="str">
        <f t="array" ref="C589">IFERROR(INDEX('Player Raw Data'!D:D,Match($A589,'Player Raw Data'!$B:$B,0)),"")</f>
        <v/>
      </c>
      <c r="D589" t="str">
        <f t="array" ref="D589">IFERROR(IF(A589=A588, INDEX('Player Raw Data'!E:E,Match($A589,'Player Raw Data'!$B:$B,0)+2),INDEX('Player Raw Data'!E:E,Match($A589,'Player Raw Data'!$B:$B,0))),"")</f>
        <v/>
      </c>
      <c r="E589" t="str">
        <f t="array" ref="E589">IFERROR(INDEX('Day Range Raw Data'!D:D,Match($A589,'Day Range Raw Data'!$B:$B,0)),"")</f>
        <v/>
      </c>
      <c r="F589" t="str">
        <f t="array" ref="F589">IFERROR(INDEX('Day Range Raw Data'!F:F,Match($A589,'Day Range Raw Data'!$B:$B,0)),"")</f>
        <v/>
      </c>
      <c r="G589" t="str">
        <f t="array" ref="G589">IFERROR(INDEX('Day Range Raw Data'!G:G,Match($A589,'Day Range Raw Data'!$B:$B,0)),"")</f>
        <v/>
      </c>
      <c r="H589" t="str">
        <f t="array" ref="H589">IFERROR(INDEX('Day Range Raw Data'!H:H,Match($A589,'Day Range Raw Data'!$B:$B,0)),"")</f>
        <v/>
      </c>
      <c r="I589" t="str">
        <f t="array" ref="I589">IFERROR(INDEX('Day Range Raw Data'!M:M,Match($A589,'Day Range Raw Data'!$B:$B,0)),"")</f>
        <v/>
      </c>
      <c r="J589" t="str">
        <f t="array" ref="J589">IFERROR(INDEX('Day Range Raw Data'!N:N,Match($A589,'Day Range Raw Data'!$B:$B,0)),"")</f>
        <v/>
      </c>
      <c r="K589" t="str">
        <f t="array" ref="K589">IFERROR(INDEX('Day Range Raw Data'!R:R,Match($A589,'Day Range Raw Data'!$B:$B,0)),"")</f>
        <v/>
      </c>
      <c r="L589" t="str">
        <f t="array" ref="L589">IFERROR(INDEX('Day Range Raw Data'!S:S,Match($A589,'Day Range Raw Data'!$B:$B,0)),"")</f>
        <v/>
      </c>
      <c r="M589" t="str">
        <f t="array" ref="M589">IFERROR(INDEX('Day Range Raw Data'!T:T,Match($A589,'Day Range Raw Data'!$B:$B,0)),"")</f>
        <v/>
      </c>
      <c r="N589" t="str">
        <f t="array" ref="N589">IFERROR(INDEX('Day Range Raw Data'!U:U,Match($A589,'Day Range Raw Data'!$B:$B,0)),"")</f>
        <v/>
      </c>
      <c r="O589" t="str">
        <f t="array" ref="O589">IFERROR(INDEX('Day Range Raw Data'!V:V,Match($A589,'Day Range Raw Data'!$B:$B,0)),"")</f>
        <v/>
      </c>
      <c r="P589" t="str">
        <f t="array" ref="P589">IFERROR(INDEX('Day Range Raw Data'!X:X,Match($A589,'Day Range Raw Data'!$B:$B,0)),"")</f>
        <v/>
      </c>
      <c r="Q589" t="str">
        <f t="shared" si="1"/>
        <v/>
      </c>
      <c r="R589" s="9" t="str">
        <f t="shared" si="2"/>
        <v/>
      </c>
      <c r="S589" s="14" t="str">
        <f t="shared" si="3"/>
        <v/>
      </c>
      <c r="T589" s="15" t="str">
        <f>IFERROR(__xludf.DUMMYFUNCTION("IF($A589="""","""",IFERROR(PERCENTRANK.INC(FILTER(Q:Q,$F:$F&lt;&gt;""""),Q589)*100,""""))"),"")</f>
        <v/>
      </c>
      <c r="U589" s="15" t="str">
        <f>IFERROR(__xludf.DUMMYFUNCTION("IF($A589="""","""",IFERROR(PERCENTRANK.INC(FILTER(R:R,$F:$F&lt;&gt;""""),R589)*100,""""))"),"")</f>
        <v/>
      </c>
      <c r="V589" s="15" t="str">
        <f>IFERROR(__xludf.DUMMYFUNCTION("IF($A589="""","""",IFERROR(PERCENTRANK.INC(FILTER(S:S,$F:$F&lt;&gt;""""),S589)*100,""""))"),"")</f>
        <v/>
      </c>
      <c r="W589" s="15" t="str">
        <f t="shared" si="5"/>
        <v/>
      </c>
    </row>
    <row r="590">
      <c r="B590" t="str">
        <f t="array" ref="B590">IFERROR(INDEX('Player Raw Data'!C:C,Match($A590,'Player Raw Data'!$B:$B,0)),"")</f>
        <v/>
      </c>
      <c r="C590" t="str">
        <f t="array" ref="C590">IFERROR(INDEX('Player Raw Data'!D:D,Match($A590,'Player Raw Data'!$B:$B,0)),"")</f>
        <v/>
      </c>
      <c r="D590" t="str">
        <f t="array" ref="D590">IFERROR(IF(A590=A589, INDEX('Player Raw Data'!E:E,Match($A590,'Player Raw Data'!$B:$B,0)+2),INDEX('Player Raw Data'!E:E,Match($A590,'Player Raw Data'!$B:$B,0))),"")</f>
        <v/>
      </c>
      <c r="E590" t="str">
        <f t="array" ref="E590">IFERROR(INDEX('Day Range Raw Data'!D:D,Match($A590,'Day Range Raw Data'!$B:$B,0)),"")</f>
        <v/>
      </c>
      <c r="F590" t="str">
        <f t="array" ref="F590">IFERROR(INDEX('Day Range Raw Data'!F:F,Match($A590,'Day Range Raw Data'!$B:$B,0)),"")</f>
        <v/>
      </c>
      <c r="G590" t="str">
        <f t="array" ref="G590">IFERROR(INDEX('Day Range Raw Data'!G:G,Match($A590,'Day Range Raw Data'!$B:$B,0)),"")</f>
        <v/>
      </c>
      <c r="H590" t="str">
        <f t="array" ref="H590">IFERROR(INDEX('Day Range Raw Data'!H:H,Match($A590,'Day Range Raw Data'!$B:$B,0)),"")</f>
        <v/>
      </c>
      <c r="I590" t="str">
        <f t="array" ref="I590">IFERROR(INDEX('Day Range Raw Data'!M:M,Match($A590,'Day Range Raw Data'!$B:$B,0)),"")</f>
        <v/>
      </c>
      <c r="J590" t="str">
        <f t="array" ref="J590">IFERROR(INDEX('Day Range Raw Data'!N:N,Match($A590,'Day Range Raw Data'!$B:$B,0)),"")</f>
        <v/>
      </c>
      <c r="K590" t="str">
        <f t="array" ref="K590">IFERROR(INDEX('Day Range Raw Data'!R:R,Match($A590,'Day Range Raw Data'!$B:$B,0)),"")</f>
        <v/>
      </c>
      <c r="L590" t="str">
        <f t="array" ref="L590">IFERROR(INDEX('Day Range Raw Data'!S:S,Match($A590,'Day Range Raw Data'!$B:$B,0)),"")</f>
        <v/>
      </c>
      <c r="M590" t="str">
        <f t="array" ref="M590">IFERROR(INDEX('Day Range Raw Data'!T:T,Match($A590,'Day Range Raw Data'!$B:$B,0)),"")</f>
        <v/>
      </c>
      <c r="N590" t="str">
        <f t="array" ref="N590">IFERROR(INDEX('Day Range Raw Data'!U:U,Match($A590,'Day Range Raw Data'!$B:$B,0)),"")</f>
        <v/>
      </c>
      <c r="O590" t="str">
        <f t="array" ref="O590">IFERROR(INDEX('Day Range Raw Data'!V:V,Match($A590,'Day Range Raw Data'!$B:$B,0)),"")</f>
        <v/>
      </c>
      <c r="P590" t="str">
        <f t="array" ref="P590">IFERROR(INDEX('Day Range Raw Data'!X:X,Match($A590,'Day Range Raw Data'!$B:$B,0)),"")</f>
        <v/>
      </c>
      <c r="Q590" t="str">
        <f t="shared" si="1"/>
        <v/>
      </c>
      <c r="R590" s="9" t="str">
        <f t="shared" si="2"/>
        <v/>
      </c>
      <c r="S590" s="14" t="str">
        <f t="shared" si="3"/>
        <v/>
      </c>
      <c r="T590" s="15" t="str">
        <f>IFERROR(__xludf.DUMMYFUNCTION("IF($A590="""","""",IFERROR(PERCENTRANK.INC(FILTER(Q:Q,$F:$F&lt;&gt;""""),Q590)*100,""""))"),"")</f>
        <v/>
      </c>
      <c r="U590" s="15" t="str">
        <f>IFERROR(__xludf.DUMMYFUNCTION("IF($A590="""","""",IFERROR(PERCENTRANK.INC(FILTER(R:R,$F:$F&lt;&gt;""""),R590)*100,""""))"),"")</f>
        <v/>
      </c>
      <c r="V590" s="15" t="str">
        <f>IFERROR(__xludf.DUMMYFUNCTION("IF($A590="""","""",IFERROR(PERCENTRANK.INC(FILTER(S:S,$F:$F&lt;&gt;""""),S590)*100,""""))"),"")</f>
        <v/>
      </c>
      <c r="W590" s="15" t="str">
        <f t="shared" si="5"/>
        <v/>
      </c>
    </row>
    <row r="591">
      <c r="B591" t="str">
        <f t="array" ref="B591">IFERROR(INDEX('Player Raw Data'!C:C,Match($A591,'Player Raw Data'!$B:$B,0)),"")</f>
        <v/>
      </c>
      <c r="C591" t="str">
        <f t="array" ref="C591">IFERROR(INDEX('Player Raw Data'!D:D,Match($A591,'Player Raw Data'!$B:$B,0)),"")</f>
        <v/>
      </c>
      <c r="D591" t="str">
        <f t="array" ref="D591">IFERROR(IF(A591=A590, INDEX('Player Raw Data'!E:E,Match($A591,'Player Raw Data'!$B:$B,0)+2),INDEX('Player Raw Data'!E:E,Match($A591,'Player Raw Data'!$B:$B,0))),"")</f>
        <v/>
      </c>
      <c r="E591" t="str">
        <f t="array" ref="E591">IFERROR(INDEX('Day Range Raw Data'!D:D,Match($A591,'Day Range Raw Data'!$B:$B,0)),"")</f>
        <v/>
      </c>
      <c r="F591" t="str">
        <f t="array" ref="F591">IFERROR(INDEX('Day Range Raw Data'!F:F,Match($A591,'Day Range Raw Data'!$B:$B,0)),"")</f>
        <v/>
      </c>
      <c r="G591" t="str">
        <f t="array" ref="G591">IFERROR(INDEX('Day Range Raw Data'!G:G,Match($A591,'Day Range Raw Data'!$B:$B,0)),"")</f>
        <v/>
      </c>
      <c r="H591" t="str">
        <f t="array" ref="H591">IFERROR(INDEX('Day Range Raw Data'!H:H,Match($A591,'Day Range Raw Data'!$B:$B,0)),"")</f>
        <v/>
      </c>
      <c r="I591" t="str">
        <f t="array" ref="I591">IFERROR(INDEX('Day Range Raw Data'!M:M,Match($A591,'Day Range Raw Data'!$B:$B,0)),"")</f>
        <v/>
      </c>
      <c r="J591" t="str">
        <f t="array" ref="J591">IFERROR(INDEX('Day Range Raw Data'!N:N,Match($A591,'Day Range Raw Data'!$B:$B,0)),"")</f>
        <v/>
      </c>
      <c r="K591" t="str">
        <f t="array" ref="K591">IFERROR(INDEX('Day Range Raw Data'!R:R,Match($A591,'Day Range Raw Data'!$B:$B,0)),"")</f>
        <v/>
      </c>
      <c r="L591" t="str">
        <f t="array" ref="L591">IFERROR(INDEX('Day Range Raw Data'!S:S,Match($A591,'Day Range Raw Data'!$B:$B,0)),"")</f>
        <v/>
      </c>
      <c r="M591" t="str">
        <f t="array" ref="M591">IFERROR(INDEX('Day Range Raw Data'!T:T,Match($A591,'Day Range Raw Data'!$B:$B,0)),"")</f>
        <v/>
      </c>
      <c r="N591" t="str">
        <f t="array" ref="N591">IFERROR(INDEX('Day Range Raw Data'!U:U,Match($A591,'Day Range Raw Data'!$B:$B,0)),"")</f>
        <v/>
      </c>
      <c r="O591" t="str">
        <f t="array" ref="O591">IFERROR(INDEX('Day Range Raw Data'!V:V,Match($A591,'Day Range Raw Data'!$B:$B,0)),"")</f>
        <v/>
      </c>
      <c r="P591" t="str">
        <f t="array" ref="P591">IFERROR(INDEX('Day Range Raw Data'!X:X,Match($A591,'Day Range Raw Data'!$B:$B,0)),"")</f>
        <v/>
      </c>
      <c r="Q591" t="str">
        <f t="shared" si="1"/>
        <v/>
      </c>
      <c r="R591" s="9" t="str">
        <f t="shared" si="2"/>
        <v/>
      </c>
      <c r="S591" s="14" t="str">
        <f t="shared" si="3"/>
        <v/>
      </c>
      <c r="T591" s="15" t="str">
        <f>IFERROR(__xludf.DUMMYFUNCTION("IF($A591="""","""",IFERROR(PERCENTRANK.INC(FILTER(Q:Q,$F:$F&lt;&gt;""""),Q591)*100,""""))"),"")</f>
        <v/>
      </c>
      <c r="U591" s="15" t="str">
        <f>IFERROR(__xludf.DUMMYFUNCTION("IF($A591="""","""",IFERROR(PERCENTRANK.INC(FILTER(R:R,$F:$F&lt;&gt;""""),R591)*100,""""))"),"")</f>
        <v/>
      </c>
      <c r="V591" s="15" t="str">
        <f>IFERROR(__xludf.DUMMYFUNCTION("IF($A591="""","""",IFERROR(PERCENTRANK.INC(FILTER(S:S,$F:$F&lt;&gt;""""),S591)*100,""""))"),"")</f>
        <v/>
      </c>
      <c r="W591" s="15" t="str">
        <f t="shared" si="5"/>
        <v/>
      </c>
    </row>
    <row r="592">
      <c r="B592" t="str">
        <f t="array" ref="B592">IFERROR(INDEX('Player Raw Data'!C:C,Match($A592,'Player Raw Data'!$B:$B,0)),"")</f>
        <v/>
      </c>
      <c r="C592" t="str">
        <f t="array" ref="C592">IFERROR(INDEX('Player Raw Data'!D:D,Match($A592,'Player Raw Data'!$B:$B,0)),"")</f>
        <v/>
      </c>
      <c r="D592" t="str">
        <f t="array" ref="D592">IFERROR(IF(A592=A591, INDEX('Player Raw Data'!E:E,Match($A592,'Player Raw Data'!$B:$B,0)+2),INDEX('Player Raw Data'!E:E,Match($A592,'Player Raw Data'!$B:$B,0))),"")</f>
        <v/>
      </c>
      <c r="E592" t="str">
        <f t="array" ref="E592">IFERROR(INDEX('Day Range Raw Data'!D:D,Match($A592,'Day Range Raw Data'!$B:$B,0)),"")</f>
        <v/>
      </c>
      <c r="F592" t="str">
        <f t="array" ref="F592">IFERROR(INDEX('Day Range Raw Data'!F:F,Match($A592,'Day Range Raw Data'!$B:$B,0)),"")</f>
        <v/>
      </c>
      <c r="G592" t="str">
        <f t="array" ref="G592">IFERROR(INDEX('Day Range Raw Data'!G:G,Match($A592,'Day Range Raw Data'!$B:$B,0)),"")</f>
        <v/>
      </c>
      <c r="H592" t="str">
        <f t="array" ref="H592">IFERROR(INDEX('Day Range Raw Data'!H:H,Match($A592,'Day Range Raw Data'!$B:$B,0)),"")</f>
        <v/>
      </c>
      <c r="I592" t="str">
        <f t="array" ref="I592">IFERROR(INDEX('Day Range Raw Data'!M:M,Match($A592,'Day Range Raw Data'!$B:$B,0)),"")</f>
        <v/>
      </c>
      <c r="J592" t="str">
        <f t="array" ref="J592">IFERROR(INDEX('Day Range Raw Data'!N:N,Match($A592,'Day Range Raw Data'!$B:$B,0)),"")</f>
        <v/>
      </c>
      <c r="K592" t="str">
        <f t="array" ref="K592">IFERROR(INDEX('Day Range Raw Data'!R:R,Match($A592,'Day Range Raw Data'!$B:$B,0)),"")</f>
        <v/>
      </c>
      <c r="L592" t="str">
        <f t="array" ref="L592">IFERROR(INDEX('Day Range Raw Data'!S:S,Match($A592,'Day Range Raw Data'!$B:$B,0)),"")</f>
        <v/>
      </c>
      <c r="M592" t="str">
        <f t="array" ref="M592">IFERROR(INDEX('Day Range Raw Data'!T:T,Match($A592,'Day Range Raw Data'!$B:$B,0)),"")</f>
        <v/>
      </c>
      <c r="N592" t="str">
        <f t="array" ref="N592">IFERROR(INDEX('Day Range Raw Data'!U:U,Match($A592,'Day Range Raw Data'!$B:$B,0)),"")</f>
        <v/>
      </c>
      <c r="O592" t="str">
        <f t="array" ref="O592">IFERROR(INDEX('Day Range Raw Data'!V:V,Match($A592,'Day Range Raw Data'!$B:$B,0)),"")</f>
        <v/>
      </c>
      <c r="P592" t="str">
        <f t="array" ref="P592">IFERROR(INDEX('Day Range Raw Data'!X:X,Match($A592,'Day Range Raw Data'!$B:$B,0)),"")</f>
        <v/>
      </c>
      <c r="Q592" t="str">
        <f t="shared" si="1"/>
        <v/>
      </c>
      <c r="R592" s="9" t="str">
        <f t="shared" si="2"/>
        <v/>
      </c>
      <c r="S592" s="14" t="str">
        <f t="shared" si="3"/>
        <v/>
      </c>
      <c r="T592" s="15" t="str">
        <f>IFERROR(__xludf.DUMMYFUNCTION("IF($A592="""","""",IFERROR(PERCENTRANK.INC(FILTER(Q:Q,$F:$F&lt;&gt;""""),Q592)*100,""""))"),"")</f>
        <v/>
      </c>
      <c r="U592" s="15" t="str">
        <f>IFERROR(__xludf.DUMMYFUNCTION("IF($A592="""","""",IFERROR(PERCENTRANK.INC(FILTER(R:R,$F:$F&lt;&gt;""""),R592)*100,""""))"),"")</f>
        <v/>
      </c>
      <c r="V592" s="15" t="str">
        <f>IFERROR(__xludf.DUMMYFUNCTION("IF($A592="""","""",IFERROR(PERCENTRANK.INC(FILTER(S:S,$F:$F&lt;&gt;""""),S592)*100,""""))"),"")</f>
        <v/>
      </c>
      <c r="W592" s="15" t="str">
        <f t="shared" si="5"/>
        <v/>
      </c>
    </row>
    <row r="593">
      <c r="B593" t="str">
        <f t="array" ref="B593">IFERROR(INDEX('Player Raw Data'!C:C,Match($A593,'Player Raw Data'!$B:$B,0)),"")</f>
        <v/>
      </c>
      <c r="C593" t="str">
        <f t="array" ref="C593">IFERROR(INDEX('Player Raw Data'!D:D,Match($A593,'Player Raw Data'!$B:$B,0)),"")</f>
        <v/>
      </c>
      <c r="D593" t="str">
        <f t="array" ref="D593">IFERROR(IF(A593=A592, INDEX('Player Raw Data'!E:E,Match($A593,'Player Raw Data'!$B:$B,0)+2),INDEX('Player Raw Data'!E:E,Match($A593,'Player Raw Data'!$B:$B,0))),"")</f>
        <v/>
      </c>
      <c r="E593" t="str">
        <f t="array" ref="E593">IFERROR(INDEX('Day Range Raw Data'!D:D,Match($A593,'Day Range Raw Data'!$B:$B,0)),"")</f>
        <v/>
      </c>
      <c r="F593" t="str">
        <f t="array" ref="F593">IFERROR(INDEX('Day Range Raw Data'!F:F,Match($A593,'Day Range Raw Data'!$B:$B,0)),"")</f>
        <v/>
      </c>
      <c r="G593" t="str">
        <f t="array" ref="G593">IFERROR(INDEX('Day Range Raw Data'!G:G,Match($A593,'Day Range Raw Data'!$B:$B,0)),"")</f>
        <v/>
      </c>
      <c r="H593" t="str">
        <f t="array" ref="H593">IFERROR(INDEX('Day Range Raw Data'!H:H,Match($A593,'Day Range Raw Data'!$B:$B,0)),"")</f>
        <v/>
      </c>
      <c r="I593" t="str">
        <f t="array" ref="I593">IFERROR(INDEX('Day Range Raw Data'!M:M,Match($A593,'Day Range Raw Data'!$B:$B,0)),"")</f>
        <v/>
      </c>
      <c r="J593" t="str">
        <f t="array" ref="J593">IFERROR(INDEX('Day Range Raw Data'!N:N,Match($A593,'Day Range Raw Data'!$B:$B,0)),"")</f>
        <v/>
      </c>
      <c r="K593" t="str">
        <f t="array" ref="K593">IFERROR(INDEX('Day Range Raw Data'!R:R,Match($A593,'Day Range Raw Data'!$B:$B,0)),"")</f>
        <v/>
      </c>
      <c r="L593" t="str">
        <f t="array" ref="L593">IFERROR(INDEX('Day Range Raw Data'!S:S,Match($A593,'Day Range Raw Data'!$B:$B,0)),"")</f>
        <v/>
      </c>
      <c r="M593" t="str">
        <f t="array" ref="M593">IFERROR(INDEX('Day Range Raw Data'!T:T,Match($A593,'Day Range Raw Data'!$B:$B,0)),"")</f>
        <v/>
      </c>
      <c r="N593" t="str">
        <f t="array" ref="N593">IFERROR(INDEX('Day Range Raw Data'!U:U,Match($A593,'Day Range Raw Data'!$B:$B,0)),"")</f>
        <v/>
      </c>
      <c r="O593" t="str">
        <f t="array" ref="O593">IFERROR(INDEX('Day Range Raw Data'!V:V,Match($A593,'Day Range Raw Data'!$B:$B,0)),"")</f>
        <v/>
      </c>
      <c r="P593" t="str">
        <f t="array" ref="P593">IFERROR(INDEX('Day Range Raw Data'!X:X,Match($A593,'Day Range Raw Data'!$B:$B,0)),"")</f>
        <v/>
      </c>
      <c r="Q593" t="str">
        <f t="shared" si="1"/>
        <v/>
      </c>
      <c r="R593" s="9" t="str">
        <f t="shared" si="2"/>
        <v/>
      </c>
      <c r="S593" s="14" t="str">
        <f t="shared" si="3"/>
        <v/>
      </c>
      <c r="T593" s="15" t="str">
        <f>IFERROR(__xludf.DUMMYFUNCTION("IF($A593="""","""",IFERROR(PERCENTRANK.INC(FILTER(Q:Q,$F:$F&lt;&gt;""""),Q593)*100,""""))"),"")</f>
        <v/>
      </c>
      <c r="U593" s="15" t="str">
        <f>IFERROR(__xludf.DUMMYFUNCTION("IF($A593="""","""",IFERROR(PERCENTRANK.INC(FILTER(R:R,$F:$F&lt;&gt;""""),R593)*100,""""))"),"")</f>
        <v/>
      </c>
      <c r="V593" s="15" t="str">
        <f>IFERROR(__xludf.DUMMYFUNCTION("IF($A593="""","""",IFERROR(PERCENTRANK.INC(FILTER(S:S,$F:$F&lt;&gt;""""),S593)*100,""""))"),"")</f>
        <v/>
      </c>
      <c r="W593" s="15" t="str">
        <f t="shared" si="5"/>
        <v/>
      </c>
    </row>
    <row r="594">
      <c r="B594" t="str">
        <f t="array" ref="B594">IFERROR(INDEX('Player Raw Data'!C:C,Match($A594,'Player Raw Data'!$B:$B,0)),"")</f>
        <v/>
      </c>
      <c r="C594" t="str">
        <f t="array" ref="C594">IFERROR(INDEX('Player Raw Data'!D:D,Match($A594,'Player Raw Data'!$B:$B,0)),"")</f>
        <v/>
      </c>
      <c r="D594" t="str">
        <f t="array" ref="D594">IFERROR(IF(A594=A593, INDEX('Player Raw Data'!E:E,Match($A594,'Player Raw Data'!$B:$B,0)+2),INDEX('Player Raw Data'!E:E,Match($A594,'Player Raw Data'!$B:$B,0))),"")</f>
        <v/>
      </c>
      <c r="E594" t="str">
        <f t="array" ref="E594">IFERROR(INDEX('Day Range Raw Data'!D:D,Match($A594,'Day Range Raw Data'!$B:$B,0)),"")</f>
        <v/>
      </c>
      <c r="F594" t="str">
        <f t="array" ref="F594">IFERROR(INDEX('Day Range Raw Data'!F:F,Match($A594,'Day Range Raw Data'!$B:$B,0)),"")</f>
        <v/>
      </c>
      <c r="G594" t="str">
        <f t="array" ref="G594">IFERROR(INDEX('Day Range Raw Data'!G:G,Match($A594,'Day Range Raw Data'!$B:$B,0)),"")</f>
        <v/>
      </c>
      <c r="H594" t="str">
        <f t="array" ref="H594">IFERROR(INDEX('Day Range Raw Data'!H:H,Match($A594,'Day Range Raw Data'!$B:$B,0)),"")</f>
        <v/>
      </c>
      <c r="I594" t="str">
        <f t="array" ref="I594">IFERROR(INDEX('Day Range Raw Data'!M:M,Match($A594,'Day Range Raw Data'!$B:$B,0)),"")</f>
        <v/>
      </c>
      <c r="J594" t="str">
        <f t="array" ref="J594">IFERROR(INDEX('Day Range Raw Data'!N:N,Match($A594,'Day Range Raw Data'!$B:$B,0)),"")</f>
        <v/>
      </c>
      <c r="K594" t="str">
        <f t="array" ref="K594">IFERROR(INDEX('Day Range Raw Data'!R:R,Match($A594,'Day Range Raw Data'!$B:$B,0)),"")</f>
        <v/>
      </c>
      <c r="L594" t="str">
        <f t="array" ref="L594">IFERROR(INDEX('Day Range Raw Data'!S:S,Match($A594,'Day Range Raw Data'!$B:$B,0)),"")</f>
        <v/>
      </c>
      <c r="M594" t="str">
        <f t="array" ref="M594">IFERROR(INDEX('Day Range Raw Data'!T:T,Match($A594,'Day Range Raw Data'!$B:$B,0)),"")</f>
        <v/>
      </c>
      <c r="N594" t="str">
        <f t="array" ref="N594">IFERROR(INDEX('Day Range Raw Data'!U:U,Match($A594,'Day Range Raw Data'!$B:$B,0)),"")</f>
        <v/>
      </c>
      <c r="O594" t="str">
        <f t="array" ref="O594">IFERROR(INDEX('Day Range Raw Data'!V:V,Match($A594,'Day Range Raw Data'!$B:$B,0)),"")</f>
        <v/>
      </c>
      <c r="P594" t="str">
        <f t="array" ref="P594">IFERROR(INDEX('Day Range Raw Data'!X:X,Match($A594,'Day Range Raw Data'!$B:$B,0)),"")</f>
        <v/>
      </c>
      <c r="Q594" t="str">
        <f t="shared" si="1"/>
        <v/>
      </c>
      <c r="R594" s="9" t="str">
        <f t="shared" si="2"/>
        <v/>
      </c>
      <c r="S594" s="14" t="str">
        <f t="shared" si="3"/>
        <v/>
      </c>
      <c r="T594" s="15" t="str">
        <f>IFERROR(__xludf.DUMMYFUNCTION("IF($A594="""","""",IFERROR(PERCENTRANK.INC(FILTER(Q:Q,$F:$F&lt;&gt;""""),Q594)*100,""""))"),"")</f>
        <v/>
      </c>
      <c r="U594" s="15" t="str">
        <f>IFERROR(__xludf.DUMMYFUNCTION("IF($A594="""","""",IFERROR(PERCENTRANK.INC(FILTER(R:R,$F:$F&lt;&gt;""""),R594)*100,""""))"),"")</f>
        <v/>
      </c>
      <c r="V594" s="15" t="str">
        <f>IFERROR(__xludf.DUMMYFUNCTION("IF($A594="""","""",IFERROR(PERCENTRANK.INC(FILTER(S:S,$F:$F&lt;&gt;""""),S594)*100,""""))"),"")</f>
        <v/>
      </c>
      <c r="W594" s="15" t="str">
        <f t="shared" si="5"/>
        <v/>
      </c>
    </row>
    <row r="595">
      <c r="B595" t="str">
        <f t="array" ref="B595">IFERROR(INDEX('Player Raw Data'!C:C,Match($A595,'Player Raw Data'!$B:$B,0)),"")</f>
        <v/>
      </c>
      <c r="C595" t="str">
        <f t="array" ref="C595">IFERROR(INDEX('Player Raw Data'!D:D,Match($A595,'Player Raw Data'!$B:$B,0)),"")</f>
        <v/>
      </c>
      <c r="D595" t="str">
        <f t="array" ref="D595">IFERROR(IF(A595=A594, INDEX('Player Raw Data'!E:E,Match($A595,'Player Raw Data'!$B:$B,0)+2),INDEX('Player Raw Data'!E:E,Match($A595,'Player Raw Data'!$B:$B,0))),"")</f>
        <v/>
      </c>
      <c r="E595" t="str">
        <f t="array" ref="E595">IFERROR(INDEX('Day Range Raw Data'!D:D,Match($A595,'Day Range Raw Data'!$B:$B,0)),"")</f>
        <v/>
      </c>
      <c r="F595" t="str">
        <f t="array" ref="F595">IFERROR(INDEX('Day Range Raw Data'!F:F,Match($A595,'Day Range Raw Data'!$B:$B,0)),"")</f>
        <v/>
      </c>
      <c r="G595" t="str">
        <f t="array" ref="G595">IFERROR(INDEX('Day Range Raw Data'!G:G,Match($A595,'Day Range Raw Data'!$B:$B,0)),"")</f>
        <v/>
      </c>
      <c r="H595" t="str">
        <f t="array" ref="H595">IFERROR(INDEX('Day Range Raw Data'!H:H,Match($A595,'Day Range Raw Data'!$B:$B,0)),"")</f>
        <v/>
      </c>
      <c r="I595" t="str">
        <f t="array" ref="I595">IFERROR(INDEX('Day Range Raw Data'!M:M,Match($A595,'Day Range Raw Data'!$B:$B,0)),"")</f>
        <v/>
      </c>
      <c r="J595" t="str">
        <f t="array" ref="J595">IFERROR(INDEX('Day Range Raw Data'!N:N,Match($A595,'Day Range Raw Data'!$B:$B,0)),"")</f>
        <v/>
      </c>
      <c r="K595" t="str">
        <f t="array" ref="K595">IFERROR(INDEX('Day Range Raw Data'!R:R,Match($A595,'Day Range Raw Data'!$B:$B,0)),"")</f>
        <v/>
      </c>
      <c r="L595" t="str">
        <f t="array" ref="L595">IFERROR(INDEX('Day Range Raw Data'!S:S,Match($A595,'Day Range Raw Data'!$B:$B,0)),"")</f>
        <v/>
      </c>
      <c r="M595" t="str">
        <f t="array" ref="M595">IFERROR(INDEX('Day Range Raw Data'!T:T,Match($A595,'Day Range Raw Data'!$B:$B,0)),"")</f>
        <v/>
      </c>
      <c r="N595" t="str">
        <f t="array" ref="N595">IFERROR(INDEX('Day Range Raw Data'!U:U,Match($A595,'Day Range Raw Data'!$B:$B,0)),"")</f>
        <v/>
      </c>
      <c r="O595" t="str">
        <f t="array" ref="O595">IFERROR(INDEX('Day Range Raw Data'!V:V,Match($A595,'Day Range Raw Data'!$B:$B,0)),"")</f>
        <v/>
      </c>
      <c r="P595" t="str">
        <f t="array" ref="P595">IFERROR(INDEX('Day Range Raw Data'!X:X,Match($A595,'Day Range Raw Data'!$B:$B,0)),"")</f>
        <v/>
      </c>
      <c r="Q595" t="str">
        <f t="shared" si="1"/>
        <v/>
      </c>
      <c r="R595" s="9" t="str">
        <f t="shared" si="2"/>
        <v/>
      </c>
      <c r="S595" s="14" t="str">
        <f t="shared" si="3"/>
        <v/>
      </c>
      <c r="T595" s="15" t="str">
        <f>IFERROR(__xludf.DUMMYFUNCTION("IF($A595="""","""",IFERROR(PERCENTRANK.INC(FILTER(Q:Q,$F:$F&lt;&gt;""""),Q595)*100,""""))"),"")</f>
        <v/>
      </c>
      <c r="U595" s="15" t="str">
        <f>IFERROR(__xludf.DUMMYFUNCTION("IF($A595="""","""",IFERROR(PERCENTRANK.INC(FILTER(R:R,$F:$F&lt;&gt;""""),R595)*100,""""))"),"")</f>
        <v/>
      </c>
      <c r="V595" s="15" t="str">
        <f>IFERROR(__xludf.DUMMYFUNCTION("IF($A595="""","""",IFERROR(PERCENTRANK.INC(FILTER(S:S,$F:$F&lt;&gt;""""),S595)*100,""""))"),"")</f>
        <v/>
      </c>
      <c r="W595" s="15" t="str">
        <f t="shared" si="5"/>
        <v/>
      </c>
    </row>
    <row r="596">
      <c r="B596" t="str">
        <f t="array" ref="B596">IFERROR(INDEX('Player Raw Data'!C:C,Match($A596,'Player Raw Data'!$B:$B,0)),"")</f>
        <v/>
      </c>
      <c r="C596" t="str">
        <f t="array" ref="C596">IFERROR(INDEX('Player Raw Data'!D:D,Match($A596,'Player Raw Data'!$B:$B,0)),"")</f>
        <v/>
      </c>
      <c r="D596" t="str">
        <f t="array" ref="D596">IFERROR(IF(A596=A595, INDEX('Player Raw Data'!E:E,Match($A596,'Player Raw Data'!$B:$B,0)+2),INDEX('Player Raw Data'!E:E,Match($A596,'Player Raw Data'!$B:$B,0))),"")</f>
        <v/>
      </c>
      <c r="E596" t="str">
        <f t="array" ref="E596">IFERROR(INDEX('Day Range Raw Data'!D:D,Match($A596,'Day Range Raw Data'!$B:$B,0)),"")</f>
        <v/>
      </c>
      <c r="F596" t="str">
        <f t="array" ref="F596">IFERROR(INDEX('Day Range Raw Data'!F:F,Match($A596,'Day Range Raw Data'!$B:$B,0)),"")</f>
        <v/>
      </c>
      <c r="G596" t="str">
        <f t="array" ref="G596">IFERROR(INDEX('Day Range Raw Data'!G:G,Match($A596,'Day Range Raw Data'!$B:$B,0)),"")</f>
        <v/>
      </c>
      <c r="H596" t="str">
        <f t="array" ref="H596">IFERROR(INDEX('Day Range Raw Data'!H:H,Match($A596,'Day Range Raw Data'!$B:$B,0)),"")</f>
        <v/>
      </c>
      <c r="I596" t="str">
        <f t="array" ref="I596">IFERROR(INDEX('Day Range Raw Data'!M:M,Match($A596,'Day Range Raw Data'!$B:$B,0)),"")</f>
        <v/>
      </c>
      <c r="J596" t="str">
        <f t="array" ref="J596">IFERROR(INDEX('Day Range Raw Data'!N:N,Match($A596,'Day Range Raw Data'!$B:$B,0)),"")</f>
        <v/>
      </c>
      <c r="K596" t="str">
        <f t="array" ref="K596">IFERROR(INDEX('Day Range Raw Data'!R:R,Match($A596,'Day Range Raw Data'!$B:$B,0)),"")</f>
        <v/>
      </c>
      <c r="L596" t="str">
        <f t="array" ref="L596">IFERROR(INDEX('Day Range Raw Data'!S:S,Match($A596,'Day Range Raw Data'!$B:$B,0)),"")</f>
        <v/>
      </c>
      <c r="M596" t="str">
        <f t="array" ref="M596">IFERROR(INDEX('Day Range Raw Data'!T:T,Match($A596,'Day Range Raw Data'!$B:$B,0)),"")</f>
        <v/>
      </c>
      <c r="N596" t="str">
        <f t="array" ref="N596">IFERROR(INDEX('Day Range Raw Data'!U:U,Match($A596,'Day Range Raw Data'!$B:$B,0)),"")</f>
        <v/>
      </c>
      <c r="O596" t="str">
        <f t="array" ref="O596">IFERROR(INDEX('Day Range Raw Data'!V:V,Match($A596,'Day Range Raw Data'!$B:$B,0)),"")</f>
        <v/>
      </c>
      <c r="P596" t="str">
        <f t="array" ref="P596">IFERROR(INDEX('Day Range Raw Data'!X:X,Match($A596,'Day Range Raw Data'!$B:$B,0)),"")</f>
        <v/>
      </c>
      <c r="Q596" t="str">
        <f t="shared" si="1"/>
        <v/>
      </c>
      <c r="R596" s="9" t="str">
        <f t="shared" si="2"/>
        <v/>
      </c>
      <c r="S596" s="14" t="str">
        <f t="shared" si="3"/>
        <v/>
      </c>
      <c r="T596" s="15" t="str">
        <f>IFERROR(__xludf.DUMMYFUNCTION("IF($A596="""","""",IFERROR(PERCENTRANK.INC(FILTER(Q:Q,$F:$F&lt;&gt;""""),Q596)*100,""""))"),"")</f>
        <v/>
      </c>
      <c r="U596" s="15" t="str">
        <f>IFERROR(__xludf.DUMMYFUNCTION("IF($A596="""","""",IFERROR(PERCENTRANK.INC(FILTER(R:R,$F:$F&lt;&gt;""""),R596)*100,""""))"),"")</f>
        <v/>
      </c>
      <c r="V596" s="15" t="str">
        <f>IFERROR(__xludf.DUMMYFUNCTION("IF($A596="""","""",IFERROR(PERCENTRANK.INC(FILTER(S:S,$F:$F&lt;&gt;""""),S596)*100,""""))"),"")</f>
        <v/>
      </c>
      <c r="W596" s="15" t="str">
        <f t="shared" si="5"/>
        <v/>
      </c>
    </row>
    <row r="597">
      <c r="B597" t="str">
        <f t="array" ref="B597">IFERROR(INDEX('Player Raw Data'!C:C,Match($A597,'Player Raw Data'!$B:$B,0)),"")</f>
        <v/>
      </c>
      <c r="C597" t="str">
        <f t="array" ref="C597">IFERROR(INDEX('Player Raw Data'!D:D,Match($A597,'Player Raw Data'!$B:$B,0)),"")</f>
        <v/>
      </c>
      <c r="D597" t="str">
        <f t="array" ref="D597">IFERROR(IF(A597=A596, INDEX('Player Raw Data'!E:E,Match($A597,'Player Raw Data'!$B:$B,0)+2),INDEX('Player Raw Data'!E:E,Match($A597,'Player Raw Data'!$B:$B,0))),"")</f>
        <v/>
      </c>
      <c r="E597" t="str">
        <f t="array" ref="E597">IFERROR(INDEX('Day Range Raw Data'!D:D,Match($A597,'Day Range Raw Data'!$B:$B,0)),"")</f>
        <v/>
      </c>
      <c r="F597" t="str">
        <f t="array" ref="F597">IFERROR(INDEX('Day Range Raw Data'!F:F,Match($A597,'Day Range Raw Data'!$B:$B,0)),"")</f>
        <v/>
      </c>
      <c r="G597" t="str">
        <f t="array" ref="G597">IFERROR(INDEX('Day Range Raw Data'!G:G,Match($A597,'Day Range Raw Data'!$B:$B,0)),"")</f>
        <v/>
      </c>
      <c r="H597" t="str">
        <f t="array" ref="H597">IFERROR(INDEX('Day Range Raw Data'!H:H,Match($A597,'Day Range Raw Data'!$B:$B,0)),"")</f>
        <v/>
      </c>
      <c r="I597" t="str">
        <f t="array" ref="I597">IFERROR(INDEX('Day Range Raw Data'!M:M,Match($A597,'Day Range Raw Data'!$B:$B,0)),"")</f>
        <v/>
      </c>
      <c r="J597" t="str">
        <f t="array" ref="J597">IFERROR(INDEX('Day Range Raw Data'!N:N,Match($A597,'Day Range Raw Data'!$B:$B,0)),"")</f>
        <v/>
      </c>
      <c r="K597" t="str">
        <f t="array" ref="K597">IFERROR(INDEX('Day Range Raw Data'!R:R,Match($A597,'Day Range Raw Data'!$B:$B,0)),"")</f>
        <v/>
      </c>
      <c r="L597" t="str">
        <f t="array" ref="L597">IFERROR(INDEX('Day Range Raw Data'!S:S,Match($A597,'Day Range Raw Data'!$B:$B,0)),"")</f>
        <v/>
      </c>
      <c r="M597" t="str">
        <f t="array" ref="M597">IFERROR(INDEX('Day Range Raw Data'!T:T,Match($A597,'Day Range Raw Data'!$B:$B,0)),"")</f>
        <v/>
      </c>
      <c r="N597" t="str">
        <f t="array" ref="N597">IFERROR(INDEX('Day Range Raw Data'!U:U,Match($A597,'Day Range Raw Data'!$B:$B,0)),"")</f>
        <v/>
      </c>
      <c r="O597" t="str">
        <f t="array" ref="O597">IFERROR(INDEX('Day Range Raw Data'!V:V,Match($A597,'Day Range Raw Data'!$B:$B,0)),"")</f>
        <v/>
      </c>
      <c r="P597" t="str">
        <f t="array" ref="P597">IFERROR(INDEX('Day Range Raw Data'!X:X,Match($A597,'Day Range Raw Data'!$B:$B,0)),"")</f>
        <v/>
      </c>
      <c r="Q597" t="str">
        <f t="shared" si="1"/>
        <v/>
      </c>
      <c r="R597" s="9" t="str">
        <f t="shared" si="2"/>
        <v/>
      </c>
      <c r="S597" s="14" t="str">
        <f t="shared" si="3"/>
        <v/>
      </c>
      <c r="T597" s="15" t="str">
        <f>IFERROR(__xludf.DUMMYFUNCTION("IF($A597="""","""",IFERROR(PERCENTRANK.INC(FILTER(Q:Q,$F:$F&lt;&gt;""""),Q597)*100,""""))"),"")</f>
        <v/>
      </c>
      <c r="U597" s="15" t="str">
        <f>IFERROR(__xludf.DUMMYFUNCTION("IF($A597="""","""",IFERROR(PERCENTRANK.INC(FILTER(R:R,$F:$F&lt;&gt;""""),R597)*100,""""))"),"")</f>
        <v/>
      </c>
      <c r="V597" s="15" t="str">
        <f>IFERROR(__xludf.DUMMYFUNCTION("IF($A597="""","""",IFERROR(PERCENTRANK.INC(FILTER(S:S,$F:$F&lt;&gt;""""),S597)*100,""""))"),"")</f>
        <v/>
      </c>
      <c r="W597" s="15" t="str">
        <f t="shared" si="5"/>
        <v/>
      </c>
    </row>
    <row r="598">
      <c r="B598" t="str">
        <f t="array" ref="B598">IFERROR(INDEX('Player Raw Data'!C:C,Match($A598,'Player Raw Data'!$B:$B,0)),"")</f>
        <v/>
      </c>
      <c r="C598" t="str">
        <f t="array" ref="C598">IFERROR(INDEX('Player Raw Data'!D:D,Match($A598,'Player Raw Data'!$B:$B,0)),"")</f>
        <v/>
      </c>
      <c r="D598" t="str">
        <f t="array" ref="D598">IFERROR(IF(A598=A597, INDEX('Player Raw Data'!E:E,Match($A598,'Player Raw Data'!$B:$B,0)+2),INDEX('Player Raw Data'!E:E,Match($A598,'Player Raw Data'!$B:$B,0))),"")</f>
        <v/>
      </c>
      <c r="E598" t="str">
        <f t="array" ref="E598">IFERROR(INDEX('Day Range Raw Data'!D:D,Match($A598,'Day Range Raw Data'!$B:$B,0)),"")</f>
        <v/>
      </c>
      <c r="F598" t="str">
        <f t="array" ref="F598">IFERROR(INDEX('Day Range Raw Data'!F:F,Match($A598,'Day Range Raw Data'!$B:$B,0)),"")</f>
        <v/>
      </c>
      <c r="G598" t="str">
        <f t="array" ref="G598">IFERROR(INDEX('Day Range Raw Data'!G:G,Match($A598,'Day Range Raw Data'!$B:$B,0)),"")</f>
        <v/>
      </c>
      <c r="H598" t="str">
        <f t="array" ref="H598">IFERROR(INDEX('Day Range Raw Data'!H:H,Match($A598,'Day Range Raw Data'!$B:$B,0)),"")</f>
        <v/>
      </c>
      <c r="I598" t="str">
        <f t="array" ref="I598">IFERROR(INDEX('Day Range Raw Data'!M:M,Match($A598,'Day Range Raw Data'!$B:$B,0)),"")</f>
        <v/>
      </c>
      <c r="J598" t="str">
        <f t="array" ref="J598">IFERROR(INDEX('Day Range Raw Data'!N:N,Match($A598,'Day Range Raw Data'!$B:$B,0)),"")</f>
        <v/>
      </c>
      <c r="K598" t="str">
        <f t="array" ref="K598">IFERROR(INDEX('Day Range Raw Data'!R:R,Match($A598,'Day Range Raw Data'!$B:$B,0)),"")</f>
        <v/>
      </c>
      <c r="L598" t="str">
        <f t="array" ref="L598">IFERROR(INDEX('Day Range Raw Data'!S:S,Match($A598,'Day Range Raw Data'!$B:$B,0)),"")</f>
        <v/>
      </c>
      <c r="M598" t="str">
        <f t="array" ref="M598">IFERROR(INDEX('Day Range Raw Data'!T:T,Match($A598,'Day Range Raw Data'!$B:$B,0)),"")</f>
        <v/>
      </c>
      <c r="N598" t="str">
        <f t="array" ref="N598">IFERROR(INDEX('Day Range Raw Data'!U:U,Match($A598,'Day Range Raw Data'!$B:$B,0)),"")</f>
        <v/>
      </c>
      <c r="O598" t="str">
        <f t="array" ref="O598">IFERROR(INDEX('Day Range Raw Data'!V:V,Match($A598,'Day Range Raw Data'!$B:$B,0)),"")</f>
        <v/>
      </c>
      <c r="P598" t="str">
        <f t="array" ref="P598">IFERROR(INDEX('Day Range Raw Data'!X:X,Match($A598,'Day Range Raw Data'!$B:$B,0)),"")</f>
        <v/>
      </c>
      <c r="Q598" t="str">
        <f t="shared" si="1"/>
        <v/>
      </c>
      <c r="R598" s="9" t="str">
        <f t="shared" si="2"/>
        <v/>
      </c>
      <c r="S598" s="14" t="str">
        <f t="shared" si="3"/>
        <v/>
      </c>
      <c r="T598" s="15" t="str">
        <f>IFERROR(__xludf.DUMMYFUNCTION("IF($A598="""","""",IFERROR(PERCENTRANK.INC(FILTER(Q:Q,$F:$F&lt;&gt;""""),Q598)*100,""""))"),"")</f>
        <v/>
      </c>
      <c r="U598" s="15" t="str">
        <f>IFERROR(__xludf.DUMMYFUNCTION("IF($A598="""","""",IFERROR(PERCENTRANK.INC(FILTER(R:R,$F:$F&lt;&gt;""""),R598)*100,""""))"),"")</f>
        <v/>
      </c>
      <c r="V598" s="15" t="str">
        <f>IFERROR(__xludf.DUMMYFUNCTION("IF($A598="""","""",IFERROR(PERCENTRANK.INC(FILTER(S:S,$F:$F&lt;&gt;""""),S598)*100,""""))"),"")</f>
        <v/>
      </c>
      <c r="W598" s="15" t="str">
        <f t="shared" si="5"/>
        <v/>
      </c>
    </row>
    <row r="599">
      <c r="B599" t="str">
        <f t="array" ref="B599">IFERROR(INDEX('Player Raw Data'!C:C,Match($A599,'Player Raw Data'!$B:$B,0)),"")</f>
        <v/>
      </c>
      <c r="C599" t="str">
        <f t="array" ref="C599">IFERROR(INDEX('Player Raw Data'!D:D,Match($A599,'Player Raw Data'!$B:$B,0)),"")</f>
        <v/>
      </c>
      <c r="D599" t="str">
        <f t="array" ref="D599">IFERROR(IF(A599=A598, INDEX('Player Raw Data'!E:E,Match($A599,'Player Raw Data'!$B:$B,0)+2),INDEX('Player Raw Data'!E:E,Match($A599,'Player Raw Data'!$B:$B,0))),"")</f>
        <v/>
      </c>
      <c r="E599" t="str">
        <f t="array" ref="E599">IFERROR(INDEX('Day Range Raw Data'!D:D,Match($A599,'Day Range Raw Data'!$B:$B,0)),"")</f>
        <v/>
      </c>
      <c r="F599" t="str">
        <f t="array" ref="F599">IFERROR(INDEX('Day Range Raw Data'!F:F,Match($A599,'Day Range Raw Data'!$B:$B,0)),"")</f>
        <v/>
      </c>
      <c r="G599" t="str">
        <f t="array" ref="G599">IFERROR(INDEX('Day Range Raw Data'!G:G,Match($A599,'Day Range Raw Data'!$B:$B,0)),"")</f>
        <v/>
      </c>
      <c r="H599" t="str">
        <f t="array" ref="H599">IFERROR(INDEX('Day Range Raw Data'!H:H,Match($A599,'Day Range Raw Data'!$B:$B,0)),"")</f>
        <v/>
      </c>
      <c r="I599" t="str">
        <f t="array" ref="I599">IFERROR(INDEX('Day Range Raw Data'!M:M,Match($A599,'Day Range Raw Data'!$B:$B,0)),"")</f>
        <v/>
      </c>
      <c r="J599" t="str">
        <f t="array" ref="J599">IFERROR(INDEX('Day Range Raw Data'!N:N,Match($A599,'Day Range Raw Data'!$B:$B,0)),"")</f>
        <v/>
      </c>
      <c r="K599" t="str">
        <f t="array" ref="K599">IFERROR(INDEX('Day Range Raw Data'!R:R,Match($A599,'Day Range Raw Data'!$B:$B,0)),"")</f>
        <v/>
      </c>
      <c r="L599" t="str">
        <f t="array" ref="L599">IFERROR(INDEX('Day Range Raw Data'!S:S,Match($A599,'Day Range Raw Data'!$B:$B,0)),"")</f>
        <v/>
      </c>
      <c r="M599" t="str">
        <f t="array" ref="M599">IFERROR(INDEX('Day Range Raw Data'!T:T,Match($A599,'Day Range Raw Data'!$B:$B,0)),"")</f>
        <v/>
      </c>
      <c r="N599" t="str">
        <f t="array" ref="N599">IFERROR(INDEX('Day Range Raw Data'!U:U,Match($A599,'Day Range Raw Data'!$B:$B,0)),"")</f>
        <v/>
      </c>
      <c r="O599" t="str">
        <f t="array" ref="O599">IFERROR(INDEX('Day Range Raw Data'!V:V,Match($A599,'Day Range Raw Data'!$B:$B,0)),"")</f>
        <v/>
      </c>
      <c r="P599" t="str">
        <f t="array" ref="P599">IFERROR(INDEX('Day Range Raw Data'!X:X,Match($A599,'Day Range Raw Data'!$B:$B,0)),"")</f>
        <v/>
      </c>
      <c r="Q599" t="str">
        <f t="shared" si="1"/>
        <v/>
      </c>
      <c r="R599" s="9" t="str">
        <f t="shared" si="2"/>
        <v/>
      </c>
      <c r="S599" s="14" t="str">
        <f t="shared" si="3"/>
        <v/>
      </c>
      <c r="T599" s="15" t="str">
        <f>IFERROR(__xludf.DUMMYFUNCTION("IF($A599="""","""",IFERROR(PERCENTRANK.INC(FILTER(Q:Q,$F:$F&lt;&gt;""""),Q599)*100,""""))"),"")</f>
        <v/>
      </c>
      <c r="U599" s="15" t="str">
        <f>IFERROR(__xludf.DUMMYFUNCTION("IF($A599="""","""",IFERROR(PERCENTRANK.INC(FILTER(R:R,$F:$F&lt;&gt;""""),R599)*100,""""))"),"")</f>
        <v/>
      </c>
      <c r="V599" s="15" t="str">
        <f>IFERROR(__xludf.DUMMYFUNCTION("IF($A599="""","""",IFERROR(PERCENTRANK.INC(FILTER(S:S,$F:$F&lt;&gt;""""),S599)*100,""""))"),"")</f>
        <v/>
      </c>
      <c r="W599" s="15" t="str">
        <f t="shared" si="5"/>
        <v/>
      </c>
    </row>
    <row r="600">
      <c r="B600" t="str">
        <f t="array" ref="B600">IFERROR(INDEX('Player Raw Data'!C:C,Match($A600,'Player Raw Data'!$B:$B,0)),"")</f>
        <v/>
      </c>
      <c r="C600" t="str">
        <f t="array" ref="C600">IFERROR(INDEX('Player Raw Data'!D:D,Match($A600,'Player Raw Data'!$B:$B,0)),"")</f>
        <v/>
      </c>
      <c r="D600" t="str">
        <f t="array" ref="D600">IFERROR(IF(A600=A599, INDEX('Player Raw Data'!E:E,Match($A600,'Player Raw Data'!$B:$B,0)+2),INDEX('Player Raw Data'!E:E,Match($A600,'Player Raw Data'!$B:$B,0))),"")</f>
        <v/>
      </c>
      <c r="E600" t="str">
        <f t="array" ref="E600">IFERROR(INDEX('Day Range Raw Data'!D:D,Match($A600,'Day Range Raw Data'!$B:$B,0)),"")</f>
        <v/>
      </c>
      <c r="F600" t="str">
        <f t="array" ref="F600">IFERROR(INDEX('Day Range Raw Data'!F:F,Match($A600,'Day Range Raw Data'!$B:$B,0)),"")</f>
        <v/>
      </c>
      <c r="G600" t="str">
        <f t="array" ref="G600">IFERROR(INDEX('Day Range Raw Data'!G:G,Match($A600,'Day Range Raw Data'!$B:$B,0)),"")</f>
        <v/>
      </c>
      <c r="H600" t="str">
        <f t="array" ref="H600">IFERROR(INDEX('Day Range Raw Data'!H:H,Match($A600,'Day Range Raw Data'!$B:$B,0)),"")</f>
        <v/>
      </c>
      <c r="I600" t="str">
        <f t="array" ref="I600">IFERROR(INDEX('Day Range Raw Data'!M:M,Match($A600,'Day Range Raw Data'!$B:$B,0)),"")</f>
        <v/>
      </c>
      <c r="J600" t="str">
        <f t="array" ref="J600">IFERROR(INDEX('Day Range Raw Data'!N:N,Match($A600,'Day Range Raw Data'!$B:$B,0)),"")</f>
        <v/>
      </c>
      <c r="K600" t="str">
        <f t="array" ref="K600">IFERROR(INDEX('Day Range Raw Data'!R:R,Match($A600,'Day Range Raw Data'!$B:$B,0)),"")</f>
        <v/>
      </c>
      <c r="L600" t="str">
        <f t="array" ref="L600">IFERROR(INDEX('Day Range Raw Data'!S:S,Match($A600,'Day Range Raw Data'!$B:$B,0)),"")</f>
        <v/>
      </c>
      <c r="M600" t="str">
        <f t="array" ref="M600">IFERROR(INDEX('Day Range Raw Data'!T:T,Match($A600,'Day Range Raw Data'!$B:$B,0)),"")</f>
        <v/>
      </c>
      <c r="N600" t="str">
        <f t="array" ref="N600">IFERROR(INDEX('Day Range Raw Data'!U:U,Match($A600,'Day Range Raw Data'!$B:$B,0)),"")</f>
        <v/>
      </c>
      <c r="O600" t="str">
        <f t="array" ref="O600">IFERROR(INDEX('Day Range Raw Data'!V:V,Match($A600,'Day Range Raw Data'!$B:$B,0)),"")</f>
        <v/>
      </c>
      <c r="P600" t="str">
        <f t="array" ref="P600">IFERROR(INDEX('Day Range Raw Data'!X:X,Match($A600,'Day Range Raw Data'!$B:$B,0)),"")</f>
        <v/>
      </c>
      <c r="Q600" t="str">
        <f t="shared" si="1"/>
        <v/>
      </c>
      <c r="R600" s="9" t="str">
        <f t="shared" si="2"/>
        <v/>
      </c>
      <c r="S600" s="14" t="str">
        <f t="shared" si="3"/>
        <v/>
      </c>
      <c r="T600" s="15" t="str">
        <f>IFERROR(__xludf.DUMMYFUNCTION("IF($A600="""","""",IFERROR(PERCENTRANK.INC(FILTER(Q:Q,$F:$F&lt;&gt;""""),Q600)*100,""""))"),"")</f>
        <v/>
      </c>
      <c r="U600" s="15" t="str">
        <f>IFERROR(__xludf.DUMMYFUNCTION("IF($A600="""","""",IFERROR(PERCENTRANK.INC(FILTER(R:R,$F:$F&lt;&gt;""""),R600)*100,""""))"),"")</f>
        <v/>
      </c>
      <c r="V600" s="15" t="str">
        <f>IFERROR(__xludf.DUMMYFUNCTION("IF($A600="""","""",IFERROR(PERCENTRANK.INC(FILTER(S:S,$F:$F&lt;&gt;""""),S600)*100,""""))"),"")</f>
        <v/>
      </c>
      <c r="W600" s="15" t="str">
        <f t="shared" si="5"/>
        <v/>
      </c>
    </row>
    <row r="601">
      <c r="B601" t="str">
        <f t="array" ref="B601">IFERROR(INDEX('Player Raw Data'!C:C,Match($A601,'Player Raw Data'!$B:$B,0)),"")</f>
        <v/>
      </c>
      <c r="C601" t="str">
        <f t="array" ref="C601">IFERROR(INDEX('Player Raw Data'!D:D,Match($A601,'Player Raw Data'!$B:$B,0)),"")</f>
        <v/>
      </c>
      <c r="D601" t="str">
        <f t="array" ref="D601">IFERROR(IF(A601=A600, INDEX('Player Raw Data'!E:E,Match($A601,'Player Raw Data'!$B:$B,0)+2),INDEX('Player Raw Data'!E:E,Match($A601,'Player Raw Data'!$B:$B,0))),"")</f>
        <v/>
      </c>
      <c r="E601" t="str">
        <f t="array" ref="E601">IFERROR(INDEX('Day Range Raw Data'!D:D,Match($A601,'Day Range Raw Data'!$B:$B,0)),"")</f>
        <v/>
      </c>
      <c r="F601" t="str">
        <f t="array" ref="F601">IFERROR(INDEX('Day Range Raw Data'!F:F,Match($A601,'Day Range Raw Data'!$B:$B,0)),"")</f>
        <v/>
      </c>
      <c r="G601" t="str">
        <f t="array" ref="G601">IFERROR(INDEX('Day Range Raw Data'!G:G,Match($A601,'Day Range Raw Data'!$B:$B,0)),"")</f>
        <v/>
      </c>
      <c r="H601" t="str">
        <f t="array" ref="H601">IFERROR(INDEX('Day Range Raw Data'!H:H,Match($A601,'Day Range Raw Data'!$B:$B,0)),"")</f>
        <v/>
      </c>
      <c r="I601" t="str">
        <f t="array" ref="I601">IFERROR(INDEX('Day Range Raw Data'!M:M,Match($A601,'Day Range Raw Data'!$B:$B,0)),"")</f>
        <v/>
      </c>
      <c r="J601" t="str">
        <f t="array" ref="J601">IFERROR(INDEX('Day Range Raw Data'!N:N,Match($A601,'Day Range Raw Data'!$B:$B,0)),"")</f>
        <v/>
      </c>
      <c r="K601" t="str">
        <f t="array" ref="K601">IFERROR(INDEX('Day Range Raw Data'!R:R,Match($A601,'Day Range Raw Data'!$B:$B,0)),"")</f>
        <v/>
      </c>
      <c r="L601" t="str">
        <f t="array" ref="L601">IFERROR(INDEX('Day Range Raw Data'!S:S,Match($A601,'Day Range Raw Data'!$B:$B,0)),"")</f>
        <v/>
      </c>
      <c r="M601" t="str">
        <f t="array" ref="M601">IFERROR(INDEX('Day Range Raw Data'!T:T,Match($A601,'Day Range Raw Data'!$B:$B,0)),"")</f>
        <v/>
      </c>
      <c r="N601" t="str">
        <f t="array" ref="N601">IFERROR(INDEX('Day Range Raw Data'!U:U,Match($A601,'Day Range Raw Data'!$B:$B,0)),"")</f>
        <v/>
      </c>
      <c r="O601" t="str">
        <f t="array" ref="O601">IFERROR(INDEX('Day Range Raw Data'!V:V,Match($A601,'Day Range Raw Data'!$B:$B,0)),"")</f>
        <v/>
      </c>
      <c r="P601" t="str">
        <f t="array" ref="P601">IFERROR(INDEX('Day Range Raw Data'!X:X,Match($A601,'Day Range Raw Data'!$B:$B,0)),"")</f>
        <v/>
      </c>
      <c r="Q601" t="str">
        <f t="shared" si="1"/>
        <v/>
      </c>
      <c r="R601" s="9" t="str">
        <f t="shared" si="2"/>
        <v/>
      </c>
      <c r="S601" s="14" t="str">
        <f t="shared" si="3"/>
        <v/>
      </c>
      <c r="T601" s="15" t="str">
        <f>IFERROR(__xludf.DUMMYFUNCTION("IF($A601="""","""",IFERROR(PERCENTRANK.INC(FILTER(Q:Q,$F:$F&lt;&gt;""""),Q601)*100,""""))"),"")</f>
        <v/>
      </c>
      <c r="U601" s="15" t="str">
        <f>IFERROR(__xludf.DUMMYFUNCTION("IF($A601="""","""",IFERROR(PERCENTRANK.INC(FILTER(R:R,$F:$F&lt;&gt;""""),R601)*100,""""))"),"")</f>
        <v/>
      </c>
      <c r="V601" s="15" t="str">
        <f>IFERROR(__xludf.DUMMYFUNCTION("IF($A601="""","""",IFERROR(PERCENTRANK.INC(FILTER(S:S,$F:$F&lt;&gt;""""),S601)*100,""""))"),"")</f>
        <v/>
      </c>
      <c r="W601" s="15" t="str">
        <f t="shared" si="5"/>
        <v/>
      </c>
    </row>
    <row r="602">
      <c r="B602" t="str">
        <f t="array" ref="B602">IFERROR(INDEX('Player Raw Data'!C:C,Match($A602,'Player Raw Data'!$B:$B,0)),"")</f>
        <v/>
      </c>
      <c r="C602" t="str">
        <f t="array" ref="C602">IFERROR(INDEX('Player Raw Data'!D:D,Match($A602,'Player Raw Data'!$B:$B,0)),"")</f>
        <v/>
      </c>
      <c r="D602" t="str">
        <f t="array" ref="D602">IFERROR(IF(A602=A601, INDEX('Player Raw Data'!E:E,Match($A602,'Player Raw Data'!$B:$B,0)+2),INDEX('Player Raw Data'!E:E,Match($A602,'Player Raw Data'!$B:$B,0))),"")</f>
        <v/>
      </c>
      <c r="E602" t="str">
        <f t="array" ref="E602">IFERROR(INDEX('Day Range Raw Data'!D:D,Match($A602,'Day Range Raw Data'!$B:$B,0)),"")</f>
        <v/>
      </c>
      <c r="F602" t="str">
        <f t="array" ref="F602">IFERROR(INDEX('Day Range Raw Data'!F:F,Match($A602,'Day Range Raw Data'!$B:$B,0)),"")</f>
        <v/>
      </c>
      <c r="G602" t="str">
        <f t="array" ref="G602">IFERROR(INDEX('Day Range Raw Data'!G:G,Match($A602,'Day Range Raw Data'!$B:$B,0)),"")</f>
        <v/>
      </c>
      <c r="H602" t="str">
        <f t="array" ref="H602">IFERROR(INDEX('Day Range Raw Data'!H:H,Match($A602,'Day Range Raw Data'!$B:$B,0)),"")</f>
        <v/>
      </c>
      <c r="I602" t="str">
        <f t="array" ref="I602">IFERROR(INDEX('Day Range Raw Data'!M:M,Match($A602,'Day Range Raw Data'!$B:$B,0)),"")</f>
        <v/>
      </c>
      <c r="J602" t="str">
        <f t="array" ref="J602">IFERROR(INDEX('Day Range Raw Data'!N:N,Match($A602,'Day Range Raw Data'!$B:$B,0)),"")</f>
        <v/>
      </c>
      <c r="K602" t="str">
        <f t="array" ref="K602">IFERROR(INDEX('Day Range Raw Data'!R:R,Match($A602,'Day Range Raw Data'!$B:$B,0)),"")</f>
        <v/>
      </c>
      <c r="L602" t="str">
        <f t="array" ref="L602">IFERROR(INDEX('Day Range Raw Data'!S:S,Match($A602,'Day Range Raw Data'!$B:$B,0)),"")</f>
        <v/>
      </c>
      <c r="M602" t="str">
        <f t="array" ref="M602">IFERROR(INDEX('Day Range Raw Data'!T:T,Match($A602,'Day Range Raw Data'!$B:$B,0)),"")</f>
        <v/>
      </c>
      <c r="N602" t="str">
        <f t="array" ref="N602">IFERROR(INDEX('Day Range Raw Data'!U:U,Match($A602,'Day Range Raw Data'!$B:$B,0)),"")</f>
        <v/>
      </c>
      <c r="O602" t="str">
        <f t="array" ref="O602">IFERROR(INDEX('Day Range Raw Data'!V:V,Match($A602,'Day Range Raw Data'!$B:$B,0)),"")</f>
        <v/>
      </c>
      <c r="P602" t="str">
        <f t="array" ref="P602">IFERROR(INDEX('Day Range Raw Data'!X:X,Match($A602,'Day Range Raw Data'!$B:$B,0)),"")</f>
        <v/>
      </c>
      <c r="Q602" t="str">
        <f t="shared" si="1"/>
        <v/>
      </c>
      <c r="R602" s="9" t="str">
        <f t="shared" si="2"/>
        <v/>
      </c>
      <c r="S602" s="14" t="str">
        <f t="shared" si="3"/>
        <v/>
      </c>
      <c r="T602" s="15" t="str">
        <f>IFERROR(__xludf.DUMMYFUNCTION("IF($A602="""","""",IFERROR(PERCENTRANK.INC(FILTER(Q:Q,$F:$F&lt;&gt;""""),Q602)*100,""""))"),"")</f>
        <v/>
      </c>
      <c r="U602" s="15" t="str">
        <f>IFERROR(__xludf.DUMMYFUNCTION("IF($A602="""","""",IFERROR(PERCENTRANK.INC(FILTER(R:R,$F:$F&lt;&gt;""""),R602)*100,""""))"),"")</f>
        <v/>
      </c>
      <c r="V602" s="15" t="str">
        <f>IFERROR(__xludf.DUMMYFUNCTION("IF($A602="""","""",IFERROR(PERCENTRANK.INC(FILTER(S:S,$F:$F&lt;&gt;""""),S602)*100,""""))"),"")</f>
        <v/>
      </c>
      <c r="W602" s="15" t="str">
        <f t="shared" si="5"/>
        <v/>
      </c>
    </row>
    <row r="603">
      <c r="B603" t="str">
        <f t="array" ref="B603">IFERROR(INDEX('Player Raw Data'!C:C,Match($A603,'Player Raw Data'!$B:$B,0)),"")</f>
        <v/>
      </c>
      <c r="C603" t="str">
        <f t="array" ref="C603">IFERROR(INDEX('Player Raw Data'!D:D,Match($A603,'Player Raw Data'!$B:$B,0)),"")</f>
        <v/>
      </c>
      <c r="D603" t="str">
        <f t="array" ref="D603">IFERROR(IF(A603=A602, INDEX('Player Raw Data'!E:E,Match($A603,'Player Raw Data'!$B:$B,0)+2),INDEX('Player Raw Data'!E:E,Match($A603,'Player Raw Data'!$B:$B,0))),"")</f>
        <v/>
      </c>
      <c r="E603" t="str">
        <f t="array" ref="E603">IFERROR(INDEX('Day Range Raw Data'!D:D,Match($A603,'Day Range Raw Data'!$B:$B,0)),"")</f>
        <v/>
      </c>
      <c r="F603" t="str">
        <f t="array" ref="F603">IFERROR(INDEX('Day Range Raw Data'!F:F,Match($A603,'Day Range Raw Data'!$B:$B,0)),"")</f>
        <v/>
      </c>
      <c r="G603" t="str">
        <f t="array" ref="G603">IFERROR(INDEX('Day Range Raw Data'!G:G,Match($A603,'Day Range Raw Data'!$B:$B,0)),"")</f>
        <v/>
      </c>
      <c r="H603" t="str">
        <f t="array" ref="H603">IFERROR(INDEX('Day Range Raw Data'!H:H,Match($A603,'Day Range Raw Data'!$B:$B,0)),"")</f>
        <v/>
      </c>
      <c r="I603" t="str">
        <f t="array" ref="I603">IFERROR(INDEX('Day Range Raw Data'!M:M,Match($A603,'Day Range Raw Data'!$B:$B,0)),"")</f>
        <v/>
      </c>
      <c r="J603" t="str">
        <f t="array" ref="J603">IFERROR(INDEX('Day Range Raw Data'!N:N,Match($A603,'Day Range Raw Data'!$B:$B,0)),"")</f>
        <v/>
      </c>
      <c r="K603" t="str">
        <f t="array" ref="K603">IFERROR(INDEX('Day Range Raw Data'!R:R,Match($A603,'Day Range Raw Data'!$B:$B,0)),"")</f>
        <v/>
      </c>
      <c r="L603" t="str">
        <f t="array" ref="L603">IFERROR(INDEX('Day Range Raw Data'!S:S,Match($A603,'Day Range Raw Data'!$B:$B,0)),"")</f>
        <v/>
      </c>
      <c r="M603" t="str">
        <f t="array" ref="M603">IFERROR(INDEX('Day Range Raw Data'!T:T,Match($A603,'Day Range Raw Data'!$B:$B,0)),"")</f>
        <v/>
      </c>
      <c r="N603" t="str">
        <f t="array" ref="N603">IFERROR(INDEX('Day Range Raw Data'!U:U,Match($A603,'Day Range Raw Data'!$B:$B,0)),"")</f>
        <v/>
      </c>
      <c r="O603" t="str">
        <f t="array" ref="O603">IFERROR(INDEX('Day Range Raw Data'!V:V,Match($A603,'Day Range Raw Data'!$B:$B,0)),"")</f>
        <v/>
      </c>
      <c r="P603" t="str">
        <f t="array" ref="P603">IFERROR(INDEX('Day Range Raw Data'!X:X,Match($A603,'Day Range Raw Data'!$B:$B,0)),"")</f>
        <v/>
      </c>
      <c r="Q603" t="str">
        <f t="shared" si="1"/>
        <v/>
      </c>
      <c r="R603" s="9" t="str">
        <f t="shared" si="2"/>
        <v/>
      </c>
      <c r="S603" s="14" t="str">
        <f t="shared" si="3"/>
        <v/>
      </c>
      <c r="T603" s="15" t="str">
        <f>IFERROR(__xludf.DUMMYFUNCTION("IF($A603="""","""",IFERROR(PERCENTRANK.INC(FILTER(Q:Q,$F:$F&lt;&gt;""""),Q603)*100,""""))"),"")</f>
        <v/>
      </c>
      <c r="U603" s="15" t="str">
        <f>IFERROR(__xludf.DUMMYFUNCTION("IF($A603="""","""",IFERROR(PERCENTRANK.INC(FILTER(R:R,$F:$F&lt;&gt;""""),R603)*100,""""))"),"")</f>
        <v/>
      </c>
      <c r="V603" s="15" t="str">
        <f>IFERROR(__xludf.DUMMYFUNCTION("IF($A603="""","""",IFERROR(PERCENTRANK.INC(FILTER(S:S,$F:$F&lt;&gt;""""),S603)*100,""""))"),"")</f>
        <v/>
      </c>
      <c r="W603" s="15" t="str">
        <f t="shared" si="5"/>
        <v/>
      </c>
    </row>
    <row r="604">
      <c r="B604" t="str">
        <f t="array" ref="B604">IFERROR(INDEX('Player Raw Data'!C:C,Match($A604,'Player Raw Data'!$B:$B,0)),"")</f>
        <v/>
      </c>
      <c r="C604" t="str">
        <f t="array" ref="C604">IFERROR(INDEX('Player Raw Data'!D:D,Match($A604,'Player Raw Data'!$B:$B,0)),"")</f>
        <v/>
      </c>
      <c r="D604" t="str">
        <f t="array" ref="D604">IFERROR(IF(A604=A603, INDEX('Player Raw Data'!E:E,Match($A604,'Player Raw Data'!$B:$B,0)+2),INDEX('Player Raw Data'!E:E,Match($A604,'Player Raw Data'!$B:$B,0))),"")</f>
        <v/>
      </c>
      <c r="E604" t="str">
        <f t="array" ref="E604">IFERROR(INDEX('Day Range Raw Data'!D:D,Match($A604,'Day Range Raw Data'!$B:$B,0)),"")</f>
        <v/>
      </c>
      <c r="F604" t="str">
        <f t="array" ref="F604">IFERROR(INDEX('Day Range Raw Data'!F:F,Match($A604,'Day Range Raw Data'!$B:$B,0)),"")</f>
        <v/>
      </c>
      <c r="G604" t="str">
        <f t="array" ref="G604">IFERROR(INDEX('Day Range Raw Data'!G:G,Match($A604,'Day Range Raw Data'!$B:$B,0)),"")</f>
        <v/>
      </c>
      <c r="H604" t="str">
        <f t="array" ref="H604">IFERROR(INDEX('Day Range Raw Data'!H:H,Match($A604,'Day Range Raw Data'!$B:$B,0)),"")</f>
        <v/>
      </c>
      <c r="I604" t="str">
        <f t="array" ref="I604">IFERROR(INDEX('Day Range Raw Data'!M:M,Match($A604,'Day Range Raw Data'!$B:$B,0)),"")</f>
        <v/>
      </c>
      <c r="J604" t="str">
        <f t="array" ref="J604">IFERROR(INDEX('Day Range Raw Data'!N:N,Match($A604,'Day Range Raw Data'!$B:$B,0)),"")</f>
        <v/>
      </c>
      <c r="K604" t="str">
        <f t="array" ref="K604">IFERROR(INDEX('Day Range Raw Data'!R:R,Match($A604,'Day Range Raw Data'!$B:$B,0)),"")</f>
        <v/>
      </c>
      <c r="L604" t="str">
        <f t="array" ref="L604">IFERROR(INDEX('Day Range Raw Data'!S:S,Match($A604,'Day Range Raw Data'!$B:$B,0)),"")</f>
        <v/>
      </c>
      <c r="M604" t="str">
        <f t="array" ref="M604">IFERROR(INDEX('Day Range Raw Data'!T:T,Match($A604,'Day Range Raw Data'!$B:$B,0)),"")</f>
        <v/>
      </c>
      <c r="N604" t="str">
        <f t="array" ref="N604">IFERROR(INDEX('Day Range Raw Data'!U:U,Match($A604,'Day Range Raw Data'!$B:$B,0)),"")</f>
        <v/>
      </c>
      <c r="O604" t="str">
        <f t="array" ref="O604">IFERROR(INDEX('Day Range Raw Data'!V:V,Match($A604,'Day Range Raw Data'!$B:$B,0)),"")</f>
        <v/>
      </c>
      <c r="P604" t="str">
        <f t="array" ref="P604">IFERROR(INDEX('Day Range Raw Data'!X:X,Match($A604,'Day Range Raw Data'!$B:$B,0)),"")</f>
        <v/>
      </c>
      <c r="Q604" t="str">
        <f t="shared" si="1"/>
        <v/>
      </c>
      <c r="R604" s="9" t="str">
        <f t="shared" si="2"/>
        <v/>
      </c>
      <c r="S604" s="14" t="str">
        <f t="shared" si="3"/>
        <v/>
      </c>
      <c r="T604" s="15" t="str">
        <f>IFERROR(__xludf.DUMMYFUNCTION("IF($A604="""","""",IFERROR(PERCENTRANK.INC(FILTER(Q:Q,$F:$F&lt;&gt;""""),Q604)*100,""""))"),"")</f>
        <v/>
      </c>
      <c r="U604" s="15" t="str">
        <f>IFERROR(__xludf.DUMMYFUNCTION("IF($A604="""","""",IFERROR(PERCENTRANK.INC(FILTER(R:R,$F:$F&lt;&gt;""""),R604)*100,""""))"),"")</f>
        <v/>
      </c>
      <c r="V604" s="15" t="str">
        <f>IFERROR(__xludf.DUMMYFUNCTION("IF($A604="""","""",IFERROR(PERCENTRANK.INC(FILTER(S:S,$F:$F&lt;&gt;""""),S604)*100,""""))"),"")</f>
        <v/>
      </c>
      <c r="W604" s="15" t="str">
        <f t="shared" si="5"/>
        <v/>
      </c>
    </row>
    <row r="605">
      <c r="B605" t="str">
        <f t="array" ref="B605">IFERROR(INDEX('Player Raw Data'!C:C,Match($A605,'Player Raw Data'!$B:$B,0)),"")</f>
        <v/>
      </c>
      <c r="C605" t="str">
        <f t="array" ref="C605">IFERROR(INDEX('Player Raw Data'!D:D,Match($A605,'Player Raw Data'!$B:$B,0)),"")</f>
        <v/>
      </c>
      <c r="D605" t="str">
        <f t="array" ref="D605">IFERROR(IF(A605=A604, INDEX('Player Raw Data'!E:E,Match($A605,'Player Raw Data'!$B:$B,0)+2),INDEX('Player Raw Data'!E:E,Match($A605,'Player Raw Data'!$B:$B,0))),"")</f>
        <v/>
      </c>
      <c r="E605" t="str">
        <f t="array" ref="E605">IFERROR(INDEX('Day Range Raw Data'!D:D,Match($A605,'Day Range Raw Data'!$B:$B,0)),"")</f>
        <v/>
      </c>
      <c r="F605" t="str">
        <f t="array" ref="F605">IFERROR(INDEX('Day Range Raw Data'!F:F,Match($A605,'Day Range Raw Data'!$B:$B,0)),"")</f>
        <v/>
      </c>
      <c r="G605" t="str">
        <f t="array" ref="G605">IFERROR(INDEX('Day Range Raw Data'!G:G,Match($A605,'Day Range Raw Data'!$B:$B,0)),"")</f>
        <v/>
      </c>
      <c r="H605" t="str">
        <f t="array" ref="H605">IFERROR(INDEX('Day Range Raw Data'!H:H,Match($A605,'Day Range Raw Data'!$B:$B,0)),"")</f>
        <v/>
      </c>
      <c r="I605" t="str">
        <f t="array" ref="I605">IFERROR(INDEX('Day Range Raw Data'!M:M,Match($A605,'Day Range Raw Data'!$B:$B,0)),"")</f>
        <v/>
      </c>
      <c r="J605" t="str">
        <f t="array" ref="J605">IFERROR(INDEX('Day Range Raw Data'!N:N,Match($A605,'Day Range Raw Data'!$B:$B,0)),"")</f>
        <v/>
      </c>
      <c r="K605" t="str">
        <f t="array" ref="K605">IFERROR(INDEX('Day Range Raw Data'!R:R,Match($A605,'Day Range Raw Data'!$B:$B,0)),"")</f>
        <v/>
      </c>
      <c r="L605" t="str">
        <f t="array" ref="L605">IFERROR(INDEX('Day Range Raw Data'!S:S,Match($A605,'Day Range Raw Data'!$B:$B,0)),"")</f>
        <v/>
      </c>
      <c r="M605" t="str">
        <f t="array" ref="M605">IFERROR(INDEX('Day Range Raw Data'!T:T,Match($A605,'Day Range Raw Data'!$B:$B,0)),"")</f>
        <v/>
      </c>
      <c r="N605" t="str">
        <f t="array" ref="N605">IFERROR(INDEX('Day Range Raw Data'!U:U,Match($A605,'Day Range Raw Data'!$B:$B,0)),"")</f>
        <v/>
      </c>
      <c r="O605" t="str">
        <f t="array" ref="O605">IFERROR(INDEX('Day Range Raw Data'!V:V,Match($A605,'Day Range Raw Data'!$B:$B,0)),"")</f>
        <v/>
      </c>
      <c r="P605" t="str">
        <f t="array" ref="P605">IFERROR(INDEX('Day Range Raw Data'!X:X,Match($A605,'Day Range Raw Data'!$B:$B,0)),"")</f>
        <v/>
      </c>
      <c r="Q605" t="str">
        <f t="shared" si="1"/>
        <v/>
      </c>
      <c r="R605" s="9" t="str">
        <f t="shared" si="2"/>
        <v/>
      </c>
      <c r="S605" s="14" t="str">
        <f t="shared" si="3"/>
        <v/>
      </c>
      <c r="T605" s="15" t="str">
        <f>IFERROR(__xludf.DUMMYFUNCTION("IF($A605="""","""",IFERROR(PERCENTRANK.INC(FILTER(Q:Q,$F:$F&lt;&gt;""""),Q605)*100,""""))"),"")</f>
        <v/>
      </c>
      <c r="U605" s="15" t="str">
        <f>IFERROR(__xludf.DUMMYFUNCTION("IF($A605="""","""",IFERROR(PERCENTRANK.INC(FILTER(R:R,$F:$F&lt;&gt;""""),R605)*100,""""))"),"")</f>
        <v/>
      </c>
      <c r="V605" s="15" t="str">
        <f>IFERROR(__xludf.DUMMYFUNCTION("IF($A605="""","""",IFERROR(PERCENTRANK.INC(FILTER(S:S,$F:$F&lt;&gt;""""),S605)*100,""""))"),"")</f>
        <v/>
      </c>
      <c r="W605" s="15" t="str">
        <f t="shared" si="5"/>
        <v/>
      </c>
    </row>
    <row r="606">
      <c r="B606" t="str">
        <f t="array" ref="B606">IFERROR(INDEX('Player Raw Data'!C:C,Match($A606,'Player Raw Data'!$B:$B,0)),"")</f>
        <v/>
      </c>
      <c r="C606" t="str">
        <f t="array" ref="C606">IFERROR(INDEX('Player Raw Data'!D:D,Match($A606,'Player Raw Data'!$B:$B,0)),"")</f>
        <v/>
      </c>
      <c r="D606" t="str">
        <f t="array" ref="D606">IFERROR(IF(A606=A605, INDEX('Player Raw Data'!E:E,Match($A606,'Player Raw Data'!$B:$B,0)+2),INDEX('Player Raw Data'!E:E,Match($A606,'Player Raw Data'!$B:$B,0))),"")</f>
        <v/>
      </c>
      <c r="E606" t="str">
        <f t="array" ref="E606">IFERROR(INDEX('Day Range Raw Data'!D:D,Match($A606,'Day Range Raw Data'!$B:$B,0)),"")</f>
        <v/>
      </c>
      <c r="F606" t="str">
        <f t="array" ref="F606">IFERROR(INDEX('Day Range Raw Data'!F:F,Match($A606,'Day Range Raw Data'!$B:$B,0)),"")</f>
        <v/>
      </c>
      <c r="G606" t="str">
        <f t="array" ref="G606">IFERROR(INDEX('Day Range Raw Data'!G:G,Match($A606,'Day Range Raw Data'!$B:$B,0)),"")</f>
        <v/>
      </c>
      <c r="H606" t="str">
        <f t="array" ref="H606">IFERROR(INDEX('Day Range Raw Data'!H:H,Match($A606,'Day Range Raw Data'!$B:$B,0)),"")</f>
        <v/>
      </c>
      <c r="I606" t="str">
        <f t="array" ref="I606">IFERROR(INDEX('Day Range Raw Data'!M:M,Match($A606,'Day Range Raw Data'!$B:$B,0)),"")</f>
        <v/>
      </c>
      <c r="J606" t="str">
        <f t="array" ref="J606">IFERROR(INDEX('Day Range Raw Data'!N:N,Match($A606,'Day Range Raw Data'!$B:$B,0)),"")</f>
        <v/>
      </c>
      <c r="K606" t="str">
        <f t="array" ref="K606">IFERROR(INDEX('Day Range Raw Data'!R:R,Match($A606,'Day Range Raw Data'!$B:$B,0)),"")</f>
        <v/>
      </c>
      <c r="L606" t="str">
        <f t="array" ref="L606">IFERROR(INDEX('Day Range Raw Data'!S:S,Match($A606,'Day Range Raw Data'!$B:$B,0)),"")</f>
        <v/>
      </c>
      <c r="M606" t="str">
        <f t="array" ref="M606">IFERROR(INDEX('Day Range Raw Data'!T:T,Match($A606,'Day Range Raw Data'!$B:$B,0)),"")</f>
        <v/>
      </c>
      <c r="N606" t="str">
        <f t="array" ref="N606">IFERROR(INDEX('Day Range Raw Data'!U:U,Match($A606,'Day Range Raw Data'!$B:$B,0)),"")</f>
        <v/>
      </c>
      <c r="O606" t="str">
        <f t="array" ref="O606">IFERROR(INDEX('Day Range Raw Data'!V:V,Match($A606,'Day Range Raw Data'!$B:$B,0)),"")</f>
        <v/>
      </c>
      <c r="P606" t="str">
        <f t="array" ref="P606">IFERROR(INDEX('Day Range Raw Data'!X:X,Match($A606,'Day Range Raw Data'!$B:$B,0)),"")</f>
        <v/>
      </c>
      <c r="Q606" t="str">
        <f t="shared" si="1"/>
        <v/>
      </c>
      <c r="R606" s="9" t="str">
        <f t="shared" si="2"/>
        <v/>
      </c>
      <c r="S606" s="14" t="str">
        <f t="shared" si="3"/>
        <v/>
      </c>
      <c r="T606" s="15" t="str">
        <f>IFERROR(__xludf.DUMMYFUNCTION("IF($A606="""","""",IFERROR(PERCENTRANK.INC(FILTER(Q:Q,$F:$F&lt;&gt;""""),Q606)*100,""""))"),"")</f>
        <v/>
      </c>
      <c r="U606" s="15" t="str">
        <f>IFERROR(__xludf.DUMMYFUNCTION("IF($A606="""","""",IFERROR(PERCENTRANK.INC(FILTER(R:R,$F:$F&lt;&gt;""""),R606)*100,""""))"),"")</f>
        <v/>
      </c>
      <c r="V606" s="15" t="str">
        <f>IFERROR(__xludf.DUMMYFUNCTION("IF($A606="""","""",IFERROR(PERCENTRANK.INC(FILTER(S:S,$F:$F&lt;&gt;""""),S606)*100,""""))"),"")</f>
        <v/>
      </c>
      <c r="W606" s="15" t="str">
        <f t="shared" si="5"/>
        <v/>
      </c>
    </row>
    <row r="607">
      <c r="B607" t="str">
        <f t="array" ref="B607">IFERROR(INDEX('Player Raw Data'!C:C,Match($A607,'Player Raw Data'!$B:$B,0)),"")</f>
        <v/>
      </c>
      <c r="C607" t="str">
        <f t="array" ref="C607">IFERROR(INDEX('Player Raw Data'!D:D,Match($A607,'Player Raw Data'!$B:$B,0)),"")</f>
        <v/>
      </c>
      <c r="D607" t="str">
        <f t="array" ref="D607">IFERROR(IF(A607=A606, INDEX('Player Raw Data'!E:E,Match($A607,'Player Raw Data'!$B:$B,0)+2),INDEX('Player Raw Data'!E:E,Match($A607,'Player Raw Data'!$B:$B,0))),"")</f>
        <v/>
      </c>
      <c r="E607" t="str">
        <f t="array" ref="E607">IFERROR(INDEX('Day Range Raw Data'!D:D,Match($A607,'Day Range Raw Data'!$B:$B,0)),"")</f>
        <v/>
      </c>
      <c r="F607" t="str">
        <f t="array" ref="F607">IFERROR(INDEX('Day Range Raw Data'!F:F,Match($A607,'Day Range Raw Data'!$B:$B,0)),"")</f>
        <v/>
      </c>
      <c r="G607" t="str">
        <f t="array" ref="G607">IFERROR(INDEX('Day Range Raw Data'!G:G,Match($A607,'Day Range Raw Data'!$B:$B,0)),"")</f>
        <v/>
      </c>
      <c r="H607" t="str">
        <f t="array" ref="H607">IFERROR(INDEX('Day Range Raw Data'!H:H,Match($A607,'Day Range Raw Data'!$B:$B,0)),"")</f>
        <v/>
      </c>
      <c r="I607" t="str">
        <f t="array" ref="I607">IFERROR(INDEX('Day Range Raw Data'!M:M,Match($A607,'Day Range Raw Data'!$B:$B,0)),"")</f>
        <v/>
      </c>
      <c r="J607" t="str">
        <f t="array" ref="J607">IFERROR(INDEX('Day Range Raw Data'!N:N,Match($A607,'Day Range Raw Data'!$B:$B,0)),"")</f>
        <v/>
      </c>
      <c r="K607" t="str">
        <f t="array" ref="K607">IFERROR(INDEX('Day Range Raw Data'!R:R,Match($A607,'Day Range Raw Data'!$B:$B,0)),"")</f>
        <v/>
      </c>
      <c r="L607" t="str">
        <f t="array" ref="L607">IFERROR(INDEX('Day Range Raw Data'!S:S,Match($A607,'Day Range Raw Data'!$B:$B,0)),"")</f>
        <v/>
      </c>
      <c r="M607" t="str">
        <f t="array" ref="M607">IFERROR(INDEX('Day Range Raw Data'!T:T,Match($A607,'Day Range Raw Data'!$B:$B,0)),"")</f>
        <v/>
      </c>
      <c r="N607" t="str">
        <f t="array" ref="N607">IFERROR(INDEX('Day Range Raw Data'!U:U,Match($A607,'Day Range Raw Data'!$B:$B,0)),"")</f>
        <v/>
      </c>
      <c r="O607" t="str">
        <f t="array" ref="O607">IFERROR(INDEX('Day Range Raw Data'!V:V,Match($A607,'Day Range Raw Data'!$B:$B,0)),"")</f>
        <v/>
      </c>
      <c r="P607" t="str">
        <f t="array" ref="P607">IFERROR(INDEX('Day Range Raw Data'!X:X,Match($A607,'Day Range Raw Data'!$B:$B,0)),"")</f>
        <v/>
      </c>
      <c r="Q607" t="str">
        <f t="shared" si="1"/>
        <v/>
      </c>
      <c r="R607" s="9" t="str">
        <f t="shared" si="2"/>
        <v/>
      </c>
      <c r="S607" s="14" t="str">
        <f t="shared" si="3"/>
        <v/>
      </c>
      <c r="T607" s="15" t="str">
        <f>IFERROR(__xludf.DUMMYFUNCTION("IF($A607="""","""",IFERROR(PERCENTRANK.INC(FILTER(Q:Q,$F:$F&lt;&gt;""""),Q607)*100,""""))"),"")</f>
        <v/>
      </c>
      <c r="U607" s="15" t="str">
        <f>IFERROR(__xludf.DUMMYFUNCTION("IF($A607="""","""",IFERROR(PERCENTRANK.INC(FILTER(R:R,$F:$F&lt;&gt;""""),R607)*100,""""))"),"")</f>
        <v/>
      </c>
      <c r="V607" s="15" t="str">
        <f>IFERROR(__xludf.DUMMYFUNCTION("IF($A607="""","""",IFERROR(PERCENTRANK.INC(FILTER(S:S,$F:$F&lt;&gt;""""),S607)*100,""""))"),"")</f>
        <v/>
      </c>
      <c r="W607" s="15" t="str">
        <f t="shared" si="5"/>
        <v/>
      </c>
    </row>
    <row r="608">
      <c r="B608" t="str">
        <f t="array" ref="B608">IFERROR(INDEX('Player Raw Data'!C:C,Match($A608,'Player Raw Data'!$B:$B,0)),"")</f>
        <v/>
      </c>
      <c r="C608" t="str">
        <f t="array" ref="C608">IFERROR(INDEX('Player Raw Data'!D:D,Match($A608,'Player Raw Data'!$B:$B,0)),"")</f>
        <v/>
      </c>
      <c r="D608" t="str">
        <f t="array" ref="D608">IFERROR(IF(A608=A607, INDEX('Player Raw Data'!E:E,Match($A608,'Player Raw Data'!$B:$B,0)+2),INDEX('Player Raw Data'!E:E,Match($A608,'Player Raw Data'!$B:$B,0))),"")</f>
        <v/>
      </c>
      <c r="E608" t="str">
        <f t="array" ref="E608">IFERROR(INDEX('Day Range Raw Data'!D:D,Match($A608,'Day Range Raw Data'!$B:$B,0)),"")</f>
        <v/>
      </c>
      <c r="F608" t="str">
        <f t="array" ref="F608">IFERROR(INDEX('Day Range Raw Data'!F:F,Match($A608,'Day Range Raw Data'!$B:$B,0)),"")</f>
        <v/>
      </c>
      <c r="G608" t="str">
        <f t="array" ref="G608">IFERROR(INDEX('Day Range Raw Data'!G:G,Match($A608,'Day Range Raw Data'!$B:$B,0)),"")</f>
        <v/>
      </c>
      <c r="H608" t="str">
        <f t="array" ref="H608">IFERROR(INDEX('Day Range Raw Data'!H:H,Match($A608,'Day Range Raw Data'!$B:$B,0)),"")</f>
        <v/>
      </c>
      <c r="I608" t="str">
        <f t="array" ref="I608">IFERROR(INDEX('Day Range Raw Data'!M:M,Match($A608,'Day Range Raw Data'!$B:$B,0)),"")</f>
        <v/>
      </c>
      <c r="J608" t="str">
        <f t="array" ref="J608">IFERROR(INDEX('Day Range Raw Data'!N:N,Match($A608,'Day Range Raw Data'!$B:$B,0)),"")</f>
        <v/>
      </c>
      <c r="K608" t="str">
        <f t="array" ref="K608">IFERROR(INDEX('Day Range Raw Data'!R:R,Match($A608,'Day Range Raw Data'!$B:$B,0)),"")</f>
        <v/>
      </c>
      <c r="L608" t="str">
        <f t="array" ref="L608">IFERROR(INDEX('Day Range Raw Data'!S:S,Match($A608,'Day Range Raw Data'!$B:$B,0)),"")</f>
        <v/>
      </c>
      <c r="M608" t="str">
        <f t="array" ref="M608">IFERROR(INDEX('Day Range Raw Data'!T:T,Match($A608,'Day Range Raw Data'!$B:$B,0)),"")</f>
        <v/>
      </c>
      <c r="N608" t="str">
        <f t="array" ref="N608">IFERROR(INDEX('Day Range Raw Data'!U:U,Match($A608,'Day Range Raw Data'!$B:$B,0)),"")</f>
        <v/>
      </c>
      <c r="O608" t="str">
        <f t="array" ref="O608">IFERROR(INDEX('Day Range Raw Data'!V:V,Match($A608,'Day Range Raw Data'!$B:$B,0)),"")</f>
        <v/>
      </c>
      <c r="P608" t="str">
        <f t="array" ref="P608">IFERROR(INDEX('Day Range Raw Data'!X:X,Match($A608,'Day Range Raw Data'!$B:$B,0)),"")</f>
        <v/>
      </c>
      <c r="Q608" t="str">
        <f t="shared" si="1"/>
        <v/>
      </c>
      <c r="R608" s="9" t="str">
        <f t="shared" si="2"/>
        <v/>
      </c>
      <c r="S608" s="14" t="str">
        <f t="shared" si="3"/>
        <v/>
      </c>
      <c r="T608" s="15" t="str">
        <f>IFERROR(__xludf.DUMMYFUNCTION("IF($A608="""","""",IFERROR(PERCENTRANK.INC(FILTER(Q:Q,$F:$F&lt;&gt;""""),Q608)*100,""""))"),"")</f>
        <v/>
      </c>
      <c r="U608" s="15" t="str">
        <f>IFERROR(__xludf.DUMMYFUNCTION("IF($A608="""","""",IFERROR(PERCENTRANK.INC(FILTER(R:R,$F:$F&lt;&gt;""""),R608)*100,""""))"),"")</f>
        <v/>
      </c>
      <c r="V608" s="15" t="str">
        <f>IFERROR(__xludf.DUMMYFUNCTION("IF($A608="""","""",IFERROR(PERCENTRANK.INC(FILTER(S:S,$F:$F&lt;&gt;""""),S608)*100,""""))"),"")</f>
        <v/>
      </c>
      <c r="W608" s="15" t="str">
        <f t="shared" si="5"/>
        <v/>
      </c>
    </row>
    <row r="609">
      <c r="B609" t="str">
        <f t="array" ref="B609">IFERROR(INDEX('Player Raw Data'!C:C,Match($A609,'Player Raw Data'!$B:$B,0)),"")</f>
        <v/>
      </c>
      <c r="C609" t="str">
        <f t="array" ref="C609">IFERROR(INDEX('Player Raw Data'!D:D,Match($A609,'Player Raw Data'!$B:$B,0)),"")</f>
        <v/>
      </c>
      <c r="D609" t="str">
        <f t="array" ref="D609">IFERROR(IF(A609=A608, INDEX('Player Raw Data'!E:E,Match($A609,'Player Raw Data'!$B:$B,0)+2),INDEX('Player Raw Data'!E:E,Match($A609,'Player Raw Data'!$B:$B,0))),"")</f>
        <v/>
      </c>
      <c r="E609" t="str">
        <f t="array" ref="E609">IFERROR(INDEX('Day Range Raw Data'!D:D,Match($A609,'Day Range Raw Data'!$B:$B,0)),"")</f>
        <v/>
      </c>
      <c r="F609" t="str">
        <f t="array" ref="F609">IFERROR(INDEX('Day Range Raw Data'!F:F,Match($A609,'Day Range Raw Data'!$B:$B,0)),"")</f>
        <v/>
      </c>
      <c r="G609" t="str">
        <f t="array" ref="G609">IFERROR(INDEX('Day Range Raw Data'!G:G,Match($A609,'Day Range Raw Data'!$B:$B,0)),"")</f>
        <v/>
      </c>
      <c r="H609" t="str">
        <f t="array" ref="H609">IFERROR(INDEX('Day Range Raw Data'!H:H,Match($A609,'Day Range Raw Data'!$B:$B,0)),"")</f>
        <v/>
      </c>
      <c r="I609" t="str">
        <f t="array" ref="I609">IFERROR(INDEX('Day Range Raw Data'!M:M,Match($A609,'Day Range Raw Data'!$B:$B,0)),"")</f>
        <v/>
      </c>
      <c r="J609" t="str">
        <f t="array" ref="J609">IFERROR(INDEX('Day Range Raw Data'!N:N,Match($A609,'Day Range Raw Data'!$B:$B,0)),"")</f>
        <v/>
      </c>
      <c r="K609" t="str">
        <f t="array" ref="K609">IFERROR(INDEX('Day Range Raw Data'!R:R,Match($A609,'Day Range Raw Data'!$B:$B,0)),"")</f>
        <v/>
      </c>
      <c r="L609" t="str">
        <f t="array" ref="L609">IFERROR(INDEX('Day Range Raw Data'!S:S,Match($A609,'Day Range Raw Data'!$B:$B,0)),"")</f>
        <v/>
      </c>
      <c r="M609" t="str">
        <f t="array" ref="M609">IFERROR(INDEX('Day Range Raw Data'!T:T,Match($A609,'Day Range Raw Data'!$B:$B,0)),"")</f>
        <v/>
      </c>
      <c r="N609" t="str">
        <f t="array" ref="N609">IFERROR(INDEX('Day Range Raw Data'!U:U,Match($A609,'Day Range Raw Data'!$B:$B,0)),"")</f>
        <v/>
      </c>
      <c r="O609" t="str">
        <f t="array" ref="O609">IFERROR(INDEX('Day Range Raw Data'!V:V,Match($A609,'Day Range Raw Data'!$B:$B,0)),"")</f>
        <v/>
      </c>
      <c r="P609" t="str">
        <f t="array" ref="P609">IFERROR(INDEX('Day Range Raw Data'!X:X,Match($A609,'Day Range Raw Data'!$B:$B,0)),"")</f>
        <v/>
      </c>
      <c r="Q609" t="str">
        <f t="shared" si="1"/>
        <v/>
      </c>
      <c r="R609" s="9" t="str">
        <f t="shared" si="2"/>
        <v/>
      </c>
      <c r="S609" s="14" t="str">
        <f t="shared" si="3"/>
        <v/>
      </c>
      <c r="T609" s="15" t="str">
        <f>IFERROR(__xludf.DUMMYFUNCTION("IF($A609="""","""",IFERROR(PERCENTRANK.INC(FILTER(Q:Q,$F:$F&lt;&gt;""""),Q609)*100,""""))"),"")</f>
        <v/>
      </c>
      <c r="U609" s="15" t="str">
        <f>IFERROR(__xludf.DUMMYFUNCTION("IF($A609="""","""",IFERROR(PERCENTRANK.INC(FILTER(R:R,$F:$F&lt;&gt;""""),R609)*100,""""))"),"")</f>
        <v/>
      </c>
      <c r="V609" s="15" t="str">
        <f>IFERROR(__xludf.DUMMYFUNCTION("IF($A609="""","""",IFERROR(PERCENTRANK.INC(FILTER(S:S,$F:$F&lt;&gt;""""),S609)*100,""""))"),"")</f>
        <v/>
      </c>
      <c r="W609" s="15" t="str">
        <f t="shared" si="5"/>
        <v/>
      </c>
    </row>
    <row r="610">
      <c r="B610" t="str">
        <f t="array" ref="B610">IFERROR(INDEX('Player Raw Data'!C:C,Match($A610,'Player Raw Data'!$B:$B,0)),"")</f>
        <v/>
      </c>
      <c r="C610" t="str">
        <f t="array" ref="C610">IFERROR(INDEX('Player Raw Data'!D:D,Match($A610,'Player Raw Data'!$B:$B,0)),"")</f>
        <v/>
      </c>
      <c r="D610" t="str">
        <f t="array" ref="D610">IFERROR(IF(A610=A609, INDEX('Player Raw Data'!E:E,Match($A610,'Player Raw Data'!$B:$B,0)+2),INDEX('Player Raw Data'!E:E,Match($A610,'Player Raw Data'!$B:$B,0))),"")</f>
        <v/>
      </c>
      <c r="E610" t="str">
        <f t="array" ref="E610">IFERROR(INDEX('Day Range Raw Data'!D:D,Match($A610,'Day Range Raw Data'!$B:$B,0)),"")</f>
        <v/>
      </c>
      <c r="F610" t="str">
        <f t="array" ref="F610">IFERROR(INDEX('Day Range Raw Data'!F:F,Match($A610,'Day Range Raw Data'!$B:$B,0)),"")</f>
        <v/>
      </c>
      <c r="G610" t="str">
        <f t="array" ref="G610">IFERROR(INDEX('Day Range Raw Data'!G:G,Match($A610,'Day Range Raw Data'!$B:$B,0)),"")</f>
        <v/>
      </c>
      <c r="H610" t="str">
        <f t="array" ref="H610">IFERROR(INDEX('Day Range Raw Data'!H:H,Match($A610,'Day Range Raw Data'!$B:$B,0)),"")</f>
        <v/>
      </c>
      <c r="I610" t="str">
        <f t="array" ref="I610">IFERROR(INDEX('Day Range Raw Data'!M:M,Match($A610,'Day Range Raw Data'!$B:$B,0)),"")</f>
        <v/>
      </c>
      <c r="J610" t="str">
        <f t="array" ref="J610">IFERROR(INDEX('Day Range Raw Data'!N:N,Match($A610,'Day Range Raw Data'!$B:$B,0)),"")</f>
        <v/>
      </c>
      <c r="K610" t="str">
        <f t="array" ref="K610">IFERROR(INDEX('Day Range Raw Data'!R:R,Match($A610,'Day Range Raw Data'!$B:$B,0)),"")</f>
        <v/>
      </c>
      <c r="L610" t="str">
        <f t="array" ref="L610">IFERROR(INDEX('Day Range Raw Data'!S:S,Match($A610,'Day Range Raw Data'!$B:$B,0)),"")</f>
        <v/>
      </c>
      <c r="M610" t="str">
        <f t="array" ref="M610">IFERROR(INDEX('Day Range Raw Data'!T:T,Match($A610,'Day Range Raw Data'!$B:$B,0)),"")</f>
        <v/>
      </c>
      <c r="N610" t="str">
        <f t="array" ref="N610">IFERROR(INDEX('Day Range Raw Data'!U:U,Match($A610,'Day Range Raw Data'!$B:$B,0)),"")</f>
        <v/>
      </c>
      <c r="O610" t="str">
        <f t="array" ref="O610">IFERROR(INDEX('Day Range Raw Data'!V:V,Match($A610,'Day Range Raw Data'!$B:$B,0)),"")</f>
        <v/>
      </c>
      <c r="P610" t="str">
        <f t="array" ref="P610">IFERROR(INDEX('Day Range Raw Data'!X:X,Match($A610,'Day Range Raw Data'!$B:$B,0)),"")</f>
        <v/>
      </c>
      <c r="Q610" t="str">
        <f t="shared" si="1"/>
        <v/>
      </c>
      <c r="R610" s="9" t="str">
        <f t="shared" si="2"/>
        <v/>
      </c>
      <c r="S610" s="14" t="str">
        <f t="shared" si="3"/>
        <v/>
      </c>
      <c r="T610" s="15" t="str">
        <f>IFERROR(__xludf.DUMMYFUNCTION("IF($A610="""","""",IFERROR(PERCENTRANK.INC(FILTER(Q:Q,$F:$F&lt;&gt;""""),Q610)*100,""""))"),"")</f>
        <v/>
      </c>
      <c r="U610" s="15" t="str">
        <f>IFERROR(__xludf.DUMMYFUNCTION("IF($A610="""","""",IFERROR(PERCENTRANK.INC(FILTER(R:R,$F:$F&lt;&gt;""""),R610)*100,""""))"),"")</f>
        <v/>
      </c>
      <c r="V610" s="15" t="str">
        <f>IFERROR(__xludf.DUMMYFUNCTION("IF($A610="""","""",IFERROR(PERCENTRANK.INC(FILTER(S:S,$F:$F&lt;&gt;""""),S610)*100,""""))"),"")</f>
        <v/>
      </c>
      <c r="W610" s="15" t="str">
        <f t="shared" si="5"/>
        <v/>
      </c>
    </row>
    <row r="611">
      <c r="B611" t="str">
        <f t="array" ref="B611">IFERROR(INDEX('Player Raw Data'!C:C,Match($A611,'Player Raw Data'!$B:$B,0)),"")</f>
        <v/>
      </c>
      <c r="C611" t="str">
        <f t="array" ref="C611">IFERROR(INDEX('Player Raw Data'!D:D,Match($A611,'Player Raw Data'!$B:$B,0)),"")</f>
        <v/>
      </c>
      <c r="D611" t="str">
        <f t="array" ref="D611">IFERROR(IF(A611=A610, INDEX('Player Raw Data'!E:E,Match($A611,'Player Raw Data'!$B:$B,0)+2),INDEX('Player Raw Data'!E:E,Match($A611,'Player Raw Data'!$B:$B,0))),"")</f>
        <v/>
      </c>
      <c r="E611" t="str">
        <f t="array" ref="E611">IFERROR(INDEX('Day Range Raw Data'!D:D,Match($A611,'Day Range Raw Data'!$B:$B,0)),"")</f>
        <v/>
      </c>
      <c r="F611" t="str">
        <f t="array" ref="F611">IFERROR(INDEX('Day Range Raw Data'!F:F,Match($A611,'Day Range Raw Data'!$B:$B,0)),"")</f>
        <v/>
      </c>
      <c r="G611" t="str">
        <f t="array" ref="G611">IFERROR(INDEX('Day Range Raw Data'!G:G,Match($A611,'Day Range Raw Data'!$B:$B,0)),"")</f>
        <v/>
      </c>
      <c r="H611" t="str">
        <f t="array" ref="H611">IFERROR(INDEX('Day Range Raw Data'!H:H,Match($A611,'Day Range Raw Data'!$B:$B,0)),"")</f>
        <v/>
      </c>
      <c r="I611" t="str">
        <f t="array" ref="I611">IFERROR(INDEX('Day Range Raw Data'!M:M,Match($A611,'Day Range Raw Data'!$B:$B,0)),"")</f>
        <v/>
      </c>
      <c r="J611" t="str">
        <f t="array" ref="J611">IFERROR(INDEX('Day Range Raw Data'!N:N,Match($A611,'Day Range Raw Data'!$B:$B,0)),"")</f>
        <v/>
      </c>
      <c r="K611" t="str">
        <f t="array" ref="K611">IFERROR(INDEX('Day Range Raw Data'!R:R,Match($A611,'Day Range Raw Data'!$B:$B,0)),"")</f>
        <v/>
      </c>
      <c r="L611" t="str">
        <f t="array" ref="L611">IFERROR(INDEX('Day Range Raw Data'!S:S,Match($A611,'Day Range Raw Data'!$B:$B,0)),"")</f>
        <v/>
      </c>
      <c r="M611" t="str">
        <f t="array" ref="M611">IFERROR(INDEX('Day Range Raw Data'!T:T,Match($A611,'Day Range Raw Data'!$B:$B,0)),"")</f>
        <v/>
      </c>
      <c r="N611" t="str">
        <f t="array" ref="N611">IFERROR(INDEX('Day Range Raw Data'!U:U,Match($A611,'Day Range Raw Data'!$B:$B,0)),"")</f>
        <v/>
      </c>
      <c r="O611" t="str">
        <f t="array" ref="O611">IFERROR(INDEX('Day Range Raw Data'!V:V,Match($A611,'Day Range Raw Data'!$B:$B,0)),"")</f>
        <v/>
      </c>
      <c r="P611" t="str">
        <f t="array" ref="P611">IFERROR(INDEX('Day Range Raw Data'!X:X,Match($A611,'Day Range Raw Data'!$B:$B,0)),"")</f>
        <v/>
      </c>
      <c r="Q611" t="str">
        <f t="shared" si="1"/>
        <v/>
      </c>
      <c r="R611" s="9" t="str">
        <f t="shared" si="2"/>
        <v/>
      </c>
      <c r="S611" s="14" t="str">
        <f t="shared" si="3"/>
        <v/>
      </c>
      <c r="T611" s="15" t="str">
        <f>IFERROR(__xludf.DUMMYFUNCTION("IF($A611="""","""",IFERROR(PERCENTRANK.INC(FILTER(Q:Q,$F:$F&lt;&gt;""""),Q611)*100,""""))"),"")</f>
        <v/>
      </c>
      <c r="U611" s="15" t="str">
        <f>IFERROR(__xludf.DUMMYFUNCTION("IF($A611="""","""",IFERROR(PERCENTRANK.INC(FILTER(R:R,$F:$F&lt;&gt;""""),R611)*100,""""))"),"")</f>
        <v/>
      </c>
      <c r="V611" s="15" t="str">
        <f>IFERROR(__xludf.DUMMYFUNCTION("IF($A611="""","""",IFERROR(PERCENTRANK.INC(FILTER(S:S,$F:$F&lt;&gt;""""),S611)*100,""""))"),"")</f>
        <v/>
      </c>
      <c r="W611" s="15" t="str">
        <f t="shared" si="5"/>
        <v/>
      </c>
    </row>
    <row r="612">
      <c r="B612" t="str">
        <f t="array" ref="B612">IFERROR(INDEX('Player Raw Data'!C:C,Match($A612,'Player Raw Data'!$B:$B,0)),"")</f>
        <v/>
      </c>
      <c r="C612" t="str">
        <f t="array" ref="C612">IFERROR(INDEX('Player Raw Data'!D:D,Match($A612,'Player Raw Data'!$B:$B,0)),"")</f>
        <v/>
      </c>
      <c r="D612" t="str">
        <f t="array" ref="D612">IFERROR(IF(A612=A611, INDEX('Player Raw Data'!E:E,Match($A612,'Player Raw Data'!$B:$B,0)+2),INDEX('Player Raw Data'!E:E,Match($A612,'Player Raw Data'!$B:$B,0))),"")</f>
        <v/>
      </c>
      <c r="E612" t="str">
        <f t="array" ref="E612">IFERROR(INDEX('Day Range Raw Data'!D:D,Match($A612,'Day Range Raw Data'!$B:$B,0)),"")</f>
        <v/>
      </c>
      <c r="F612" t="str">
        <f t="array" ref="F612">IFERROR(INDEX('Day Range Raw Data'!F:F,Match($A612,'Day Range Raw Data'!$B:$B,0)),"")</f>
        <v/>
      </c>
      <c r="G612" t="str">
        <f t="array" ref="G612">IFERROR(INDEX('Day Range Raw Data'!G:G,Match($A612,'Day Range Raw Data'!$B:$B,0)),"")</f>
        <v/>
      </c>
      <c r="H612" t="str">
        <f t="array" ref="H612">IFERROR(INDEX('Day Range Raw Data'!H:H,Match($A612,'Day Range Raw Data'!$B:$B,0)),"")</f>
        <v/>
      </c>
      <c r="I612" t="str">
        <f t="array" ref="I612">IFERROR(INDEX('Day Range Raw Data'!M:M,Match($A612,'Day Range Raw Data'!$B:$B,0)),"")</f>
        <v/>
      </c>
      <c r="J612" t="str">
        <f t="array" ref="J612">IFERROR(INDEX('Day Range Raw Data'!N:N,Match($A612,'Day Range Raw Data'!$B:$B,0)),"")</f>
        <v/>
      </c>
      <c r="K612" t="str">
        <f t="array" ref="K612">IFERROR(INDEX('Day Range Raw Data'!R:R,Match($A612,'Day Range Raw Data'!$B:$B,0)),"")</f>
        <v/>
      </c>
      <c r="L612" t="str">
        <f t="array" ref="L612">IFERROR(INDEX('Day Range Raw Data'!S:S,Match($A612,'Day Range Raw Data'!$B:$B,0)),"")</f>
        <v/>
      </c>
      <c r="M612" t="str">
        <f t="array" ref="M612">IFERROR(INDEX('Day Range Raw Data'!T:T,Match($A612,'Day Range Raw Data'!$B:$B,0)),"")</f>
        <v/>
      </c>
      <c r="N612" t="str">
        <f t="array" ref="N612">IFERROR(INDEX('Day Range Raw Data'!U:U,Match($A612,'Day Range Raw Data'!$B:$B,0)),"")</f>
        <v/>
      </c>
      <c r="O612" t="str">
        <f t="array" ref="O612">IFERROR(INDEX('Day Range Raw Data'!V:V,Match($A612,'Day Range Raw Data'!$B:$B,0)),"")</f>
        <v/>
      </c>
      <c r="P612" t="str">
        <f t="array" ref="P612">IFERROR(INDEX('Day Range Raw Data'!X:X,Match($A612,'Day Range Raw Data'!$B:$B,0)),"")</f>
        <v/>
      </c>
      <c r="Q612" t="str">
        <f t="shared" si="1"/>
        <v/>
      </c>
      <c r="R612" s="9" t="str">
        <f t="shared" si="2"/>
        <v/>
      </c>
      <c r="S612" s="14" t="str">
        <f t="shared" si="3"/>
        <v/>
      </c>
      <c r="T612" s="15" t="str">
        <f>IFERROR(__xludf.DUMMYFUNCTION("IF($A612="""","""",IFERROR(PERCENTRANK.INC(FILTER(Q:Q,$F:$F&lt;&gt;""""),Q612)*100,""""))"),"")</f>
        <v/>
      </c>
      <c r="U612" s="15" t="str">
        <f>IFERROR(__xludf.DUMMYFUNCTION("IF($A612="""","""",IFERROR(PERCENTRANK.INC(FILTER(R:R,$F:$F&lt;&gt;""""),R612)*100,""""))"),"")</f>
        <v/>
      </c>
      <c r="V612" s="15" t="str">
        <f>IFERROR(__xludf.DUMMYFUNCTION("IF($A612="""","""",IFERROR(PERCENTRANK.INC(FILTER(S:S,$F:$F&lt;&gt;""""),S612)*100,""""))"),"")</f>
        <v/>
      </c>
      <c r="W612" s="15" t="str">
        <f t="shared" si="5"/>
        <v/>
      </c>
    </row>
    <row r="613">
      <c r="B613" t="str">
        <f t="array" ref="B613">IFERROR(INDEX('Player Raw Data'!C:C,Match($A613,'Player Raw Data'!$B:$B,0)),"")</f>
        <v/>
      </c>
      <c r="C613" t="str">
        <f t="array" ref="C613">IFERROR(INDEX('Player Raw Data'!D:D,Match($A613,'Player Raw Data'!$B:$B,0)),"")</f>
        <v/>
      </c>
      <c r="D613" t="str">
        <f t="array" ref="D613">IFERROR(IF(A613=A612, INDEX('Player Raw Data'!E:E,Match($A613,'Player Raw Data'!$B:$B,0)+2),INDEX('Player Raw Data'!E:E,Match($A613,'Player Raw Data'!$B:$B,0))),"")</f>
        <v/>
      </c>
      <c r="E613" t="str">
        <f t="array" ref="E613">IFERROR(INDEX('Day Range Raw Data'!D:D,Match($A613,'Day Range Raw Data'!$B:$B,0)),"")</f>
        <v/>
      </c>
      <c r="F613" t="str">
        <f t="array" ref="F613">IFERROR(INDEX('Day Range Raw Data'!F:F,Match($A613,'Day Range Raw Data'!$B:$B,0)),"")</f>
        <v/>
      </c>
      <c r="G613" t="str">
        <f t="array" ref="G613">IFERROR(INDEX('Day Range Raw Data'!G:G,Match($A613,'Day Range Raw Data'!$B:$B,0)),"")</f>
        <v/>
      </c>
      <c r="H613" t="str">
        <f t="array" ref="H613">IFERROR(INDEX('Day Range Raw Data'!H:H,Match($A613,'Day Range Raw Data'!$B:$B,0)),"")</f>
        <v/>
      </c>
      <c r="I613" t="str">
        <f t="array" ref="I613">IFERROR(INDEX('Day Range Raw Data'!M:M,Match($A613,'Day Range Raw Data'!$B:$B,0)),"")</f>
        <v/>
      </c>
      <c r="J613" t="str">
        <f t="array" ref="J613">IFERROR(INDEX('Day Range Raw Data'!N:N,Match($A613,'Day Range Raw Data'!$B:$B,0)),"")</f>
        <v/>
      </c>
      <c r="K613" t="str">
        <f t="array" ref="K613">IFERROR(INDEX('Day Range Raw Data'!R:R,Match($A613,'Day Range Raw Data'!$B:$B,0)),"")</f>
        <v/>
      </c>
      <c r="L613" t="str">
        <f t="array" ref="L613">IFERROR(INDEX('Day Range Raw Data'!S:S,Match($A613,'Day Range Raw Data'!$B:$B,0)),"")</f>
        <v/>
      </c>
      <c r="M613" t="str">
        <f t="array" ref="M613">IFERROR(INDEX('Day Range Raw Data'!T:T,Match($A613,'Day Range Raw Data'!$B:$B,0)),"")</f>
        <v/>
      </c>
      <c r="N613" t="str">
        <f t="array" ref="N613">IFERROR(INDEX('Day Range Raw Data'!U:U,Match($A613,'Day Range Raw Data'!$B:$B,0)),"")</f>
        <v/>
      </c>
      <c r="O613" t="str">
        <f t="array" ref="O613">IFERROR(INDEX('Day Range Raw Data'!V:V,Match($A613,'Day Range Raw Data'!$B:$B,0)),"")</f>
        <v/>
      </c>
      <c r="P613" t="str">
        <f t="array" ref="P613">IFERROR(INDEX('Day Range Raw Data'!X:X,Match($A613,'Day Range Raw Data'!$B:$B,0)),"")</f>
        <v/>
      </c>
      <c r="Q613" t="str">
        <f t="shared" si="1"/>
        <v/>
      </c>
      <c r="R613" s="9" t="str">
        <f t="shared" si="2"/>
        <v/>
      </c>
      <c r="S613" s="14" t="str">
        <f t="shared" si="3"/>
        <v/>
      </c>
      <c r="T613" s="15" t="str">
        <f>IFERROR(__xludf.DUMMYFUNCTION("IF($A613="""","""",IFERROR(PERCENTRANK.INC(FILTER(Q:Q,$F:$F&lt;&gt;""""),Q613)*100,""""))"),"")</f>
        <v/>
      </c>
      <c r="U613" s="15" t="str">
        <f>IFERROR(__xludf.DUMMYFUNCTION("IF($A613="""","""",IFERROR(PERCENTRANK.INC(FILTER(R:R,$F:$F&lt;&gt;""""),R613)*100,""""))"),"")</f>
        <v/>
      </c>
      <c r="V613" s="15" t="str">
        <f>IFERROR(__xludf.DUMMYFUNCTION("IF($A613="""","""",IFERROR(PERCENTRANK.INC(FILTER(S:S,$F:$F&lt;&gt;""""),S613)*100,""""))"),"")</f>
        <v/>
      </c>
      <c r="W613" s="15" t="str">
        <f t="shared" si="5"/>
        <v/>
      </c>
    </row>
    <row r="614">
      <c r="B614" t="str">
        <f t="array" ref="B614">IFERROR(INDEX('Player Raw Data'!C:C,Match($A614,'Player Raw Data'!$B:$B,0)),"")</f>
        <v/>
      </c>
      <c r="C614" t="str">
        <f t="array" ref="C614">IFERROR(INDEX('Player Raw Data'!D:D,Match($A614,'Player Raw Data'!$B:$B,0)),"")</f>
        <v/>
      </c>
      <c r="D614" t="str">
        <f t="array" ref="D614">IFERROR(IF(A614=A613, INDEX('Player Raw Data'!E:E,Match($A614,'Player Raw Data'!$B:$B,0)+2),INDEX('Player Raw Data'!E:E,Match($A614,'Player Raw Data'!$B:$B,0))),"")</f>
        <v/>
      </c>
      <c r="E614" t="str">
        <f t="array" ref="E614">IFERROR(INDEX('Day Range Raw Data'!D:D,Match($A614,'Day Range Raw Data'!$B:$B,0)),"")</f>
        <v/>
      </c>
      <c r="F614" t="str">
        <f t="array" ref="F614">IFERROR(INDEX('Day Range Raw Data'!F:F,Match($A614,'Day Range Raw Data'!$B:$B,0)),"")</f>
        <v/>
      </c>
      <c r="G614" t="str">
        <f t="array" ref="G614">IFERROR(INDEX('Day Range Raw Data'!G:G,Match($A614,'Day Range Raw Data'!$B:$B,0)),"")</f>
        <v/>
      </c>
      <c r="H614" t="str">
        <f t="array" ref="H614">IFERROR(INDEX('Day Range Raw Data'!H:H,Match($A614,'Day Range Raw Data'!$B:$B,0)),"")</f>
        <v/>
      </c>
      <c r="I614" t="str">
        <f t="array" ref="I614">IFERROR(INDEX('Day Range Raw Data'!M:M,Match($A614,'Day Range Raw Data'!$B:$B,0)),"")</f>
        <v/>
      </c>
      <c r="J614" t="str">
        <f t="array" ref="J614">IFERROR(INDEX('Day Range Raw Data'!N:N,Match($A614,'Day Range Raw Data'!$B:$B,0)),"")</f>
        <v/>
      </c>
      <c r="K614" t="str">
        <f t="array" ref="K614">IFERROR(INDEX('Day Range Raw Data'!R:R,Match($A614,'Day Range Raw Data'!$B:$B,0)),"")</f>
        <v/>
      </c>
      <c r="L614" t="str">
        <f t="array" ref="L614">IFERROR(INDEX('Day Range Raw Data'!S:S,Match($A614,'Day Range Raw Data'!$B:$B,0)),"")</f>
        <v/>
      </c>
      <c r="M614" t="str">
        <f t="array" ref="M614">IFERROR(INDEX('Day Range Raw Data'!T:T,Match($A614,'Day Range Raw Data'!$B:$B,0)),"")</f>
        <v/>
      </c>
      <c r="N614" t="str">
        <f t="array" ref="N614">IFERROR(INDEX('Day Range Raw Data'!U:U,Match($A614,'Day Range Raw Data'!$B:$B,0)),"")</f>
        <v/>
      </c>
      <c r="O614" t="str">
        <f t="array" ref="O614">IFERROR(INDEX('Day Range Raw Data'!V:V,Match($A614,'Day Range Raw Data'!$B:$B,0)),"")</f>
        <v/>
      </c>
      <c r="P614" t="str">
        <f t="array" ref="P614">IFERROR(INDEX('Day Range Raw Data'!X:X,Match($A614,'Day Range Raw Data'!$B:$B,0)),"")</f>
        <v/>
      </c>
      <c r="Q614" t="str">
        <f t="shared" si="1"/>
        <v/>
      </c>
      <c r="R614" s="9" t="str">
        <f t="shared" si="2"/>
        <v/>
      </c>
      <c r="S614" s="14" t="str">
        <f t="shared" si="3"/>
        <v/>
      </c>
      <c r="T614" s="15" t="str">
        <f>IFERROR(__xludf.DUMMYFUNCTION("IF($A614="""","""",IFERROR(PERCENTRANK.INC(FILTER(Q:Q,$F:$F&lt;&gt;""""),Q614)*100,""""))"),"")</f>
        <v/>
      </c>
      <c r="U614" s="15" t="str">
        <f>IFERROR(__xludf.DUMMYFUNCTION("IF($A614="""","""",IFERROR(PERCENTRANK.INC(FILTER(R:R,$F:$F&lt;&gt;""""),R614)*100,""""))"),"")</f>
        <v/>
      </c>
      <c r="V614" s="15" t="str">
        <f>IFERROR(__xludf.DUMMYFUNCTION("IF($A614="""","""",IFERROR(PERCENTRANK.INC(FILTER(S:S,$F:$F&lt;&gt;""""),S614)*100,""""))"),"")</f>
        <v/>
      </c>
      <c r="W614" s="15" t="str">
        <f t="shared" si="5"/>
        <v/>
      </c>
    </row>
    <row r="615">
      <c r="B615" t="str">
        <f t="array" ref="B615">IFERROR(INDEX('Player Raw Data'!C:C,Match($A615,'Player Raw Data'!$B:$B,0)),"")</f>
        <v/>
      </c>
      <c r="C615" t="str">
        <f t="array" ref="C615">IFERROR(INDEX('Player Raw Data'!D:D,Match($A615,'Player Raw Data'!$B:$B,0)),"")</f>
        <v/>
      </c>
      <c r="D615" t="str">
        <f t="array" ref="D615">IFERROR(IF(A615=A614, INDEX('Player Raw Data'!E:E,Match($A615,'Player Raw Data'!$B:$B,0)+2),INDEX('Player Raw Data'!E:E,Match($A615,'Player Raw Data'!$B:$B,0))),"")</f>
        <v/>
      </c>
      <c r="E615" t="str">
        <f t="array" ref="E615">IFERROR(INDEX('Day Range Raw Data'!D:D,Match($A615,'Day Range Raw Data'!$B:$B,0)),"")</f>
        <v/>
      </c>
      <c r="F615" t="str">
        <f t="array" ref="F615">IFERROR(INDEX('Day Range Raw Data'!F:F,Match($A615,'Day Range Raw Data'!$B:$B,0)),"")</f>
        <v/>
      </c>
      <c r="G615" t="str">
        <f t="array" ref="G615">IFERROR(INDEX('Day Range Raw Data'!G:G,Match($A615,'Day Range Raw Data'!$B:$B,0)),"")</f>
        <v/>
      </c>
      <c r="H615" t="str">
        <f t="array" ref="H615">IFERROR(INDEX('Day Range Raw Data'!H:H,Match($A615,'Day Range Raw Data'!$B:$B,0)),"")</f>
        <v/>
      </c>
      <c r="I615" t="str">
        <f t="array" ref="I615">IFERROR(INDEX('Day Range Raw Data'!M:M,Match($A615,'Day Range Raw Data'!$B:$B,0)),"")</f>
        <v/>
      </c>
      <c r="J615" t="str">
        <f t="array" ref="J615">IFERROR(INDEX('Day Range Raw Data'!N:N,Match($A615,'Day Range Raw Data'!$B:$B,0)),"")</f>
        <v/>
      </c>
      <c r="K615" t="str">
        <f t="array" ref="K615">IFERROR(INDEX('Day Range Raw Data'!R:R,Match($A615,'Day Range Raw Data'!$B:$B,0)),"")</f>
        <v/>
      </c>
      <c r="L615" t="str">
        <f t="array" ref="L615">IFERROR(INDEX('Day Range Raw Data'!S:S,Match($A615,'Day Range Raw Data'!$B:$B,0)),"")</f>
        <v/>
      </c>
      <c r="M615" t="str">
        <f t="array" ref="M615">IFERROR(INDEX('Day Range Raw Data'!T:T,Match($A615,'Day Range Raw Data'!$B:$B,0)),"")</f>
        <v/>
      </c>
      <c r="N615" t="str">
        <f t="array" ref="N615">IFERROR(INDEX('Day Range Raw Data'!U:U,Match($A615,'Day Range Raw Data'!$B:$B,0)),"")</f>
        <v/>
      </c>
      <c r="O615" t="str">
        <f t="array" ref="O615">IFERROR(INDEX('Day Range Raw Data'!V:V,Match($A615,'Day Range Raw Data'!$B:$B,0)),"")</f>
        <v/>
      </c>
      <c r="P615" t="str">
        <f t="array" ref="P615">IFERROR(INDEX('Day Range Raw Data'!X:X,Match($A615,'Day Range Raw Data'!$B:$B,0)),"")</f>
        <v/>
      </c>
      <c r="Q615" t="str">
        <f t="shared" si="1"/>
        <v/>
      </c>
      <c r="R615" s="9" t="str">
        <f t="shared" si="2"/>
        <v/>
      </c>
      <c r="S615" s="14" t="str">
        <f t="shared" si="3"/>
        <v/>
      </c>
      <c r="T615" s="15" t="str">
        <f>IFERROR(__xludf.DUMMYFUNCTION("IF($A615="""","""",IFERROR(PERCENTRANK.INC(FILTER(Q:Q,$F:$F&lt;&gt;""""),Q615)*100,""""))"),"")</f>
        <v/>
      </c>
      <c r="U615" s="15" t="str">
        <f>IFERROR(__xludf.DUMMYFUNCTION("IF($A615="""","""",IFERROR(PERCENTRANK.INC(FILTER(R:R,$F:$F&lt;&gt;""""),R615)*100,""""))"),"")</f>
        <v/>
      </c>
      <c r="V615" s="15" t="str">
        <f>IFERROR(__xludf.DUMMYFUNCTION("IF($A615="""","""",IFERROR(PERCENTRANK.INC(FILTER(S:S,$F:$F&lt;&gt;""""),S615)*100,""""))"),"")</f>
        <v/>
      </c>
      <c r="W615" s="15" t="str">
        <f t="shared" si="5"/>
        <v/>
      </c>
    </row>
    <row r="616">
      <c r="B616" t="str">
        <f t="array" ref="B616">IFERROR(INDEX('Player Raw Data'!C:C,Match($A616,'Player Raw Data'!$B:$B,0)),"")</f>
        <v/>
      </c>
      <c r="C616" t="str">
        <f t="array" ref="C616">IFERROR(INDEX('Player Raw Data'!D:D,Match($A616,'Player Raw Data'!$B:$B,0)),"")</f>
        <v/>
      </c>
      <c r="D616" t="str">
        <f t="array" ref="D616">IFERROR(IF(A616=A615, INDEX('Player Raw Data'!E:E,Match($A616,'Player Raw Data'!$B:$B,0)+2),INDEX('Player Raw Data'!E:E,Match($A616,'Player Raw Data'!$B:$B,0))),"")</f>
        <v/>
      </c>
      <c r="E616" t="str">
        <f t="array" ref="E616">IFERROR(INDEX('Day Range Raw Data'!D:D,Match($A616,'Day Range Raw Data'!$B:$B,0)),"")</f>
        <v/>
      </c>
      <c r="F616" t="str">
        <f t="array" ref="F616">IFERROR(INDEX('Day Range Raw Data'!F:F,Match($A616,'Day Range Raw Data'!$B:$B,0)),"")</f>
        <v/>
      </c>
      <c r="G616" t="str">
        <f t="array" ref="G616">IFERROR(INDEX('Day Range Raw Data'!G:G,Match($A616,'Day Range Raw Data'!$B:$B,0)),"")</f>
        <v/>
      </c>
      <c r="H616" t="str">
        <f t="array" ref="H616">IFERROR(INDEX('Day Range Raw Data'!H:H,Match($A616,'Day Range Raw Data'!$B:$B,0)),"")</f>
        <v/>
      </c>
      <c r="I616" t="str">
        <f t="array" ref="I616">IFERROR(INDEX('Day Range Raw Data'!M:M,Match($A616,'Day Range Raw Data'!$B:$B,0)),"")</f>
        <v/>
      </c>
      <c r="J616" t="str">
        <f t="array" ref="J616">IFERROR(INDEX('Day Range Raw Data'!N:N,Match($A616,'Day Range Raw Data'!$B:$B,0)),"")</f>
        <v/>
      </c>
      <c r="K616" t="str">
        <f t="array" ref="K616">IFERROR(INDEX('Day Range Raw Data'!R:R,Match($A616,'Day Range Raw Data'!$B:$B,0)),"")</f>
        <v/>
      </c>
      <c r="L616" t="str">
        <f t="array" ref="L616">IFERROR(INDEX('Day Range Raw Data'!S:S,Match($A616,'Day Range Raw Data'!$B:$B,0)),"")</f>
        <v/>
      </c>
      <c r="M616" t="str">
        <f t="array" ref="M616">IFERROR(INDEX('Day Range Raw Data'!T:T,Match($A616,'Day Range Raw Data'!$B:$B,0)),"")</f>
        <v/>
      </c>
      <c r="N616" t="str">
        <f t="array" ref="N616">IFERROR(INDEX('Day Range Raw Data'!U:U,Match($A616,'Day Range Raw Data'!$B:$B,0)),"")</f>
        <v/>
      </c>
      <c r="O616" t="str">
        <f t="array" ref="O616">IFERROR(INDEX('Day Range Raw Data'!V:V,Match($A616,'Day Range Raw Data'!$B:$B,0)),"")</f>
        <v/>
      </c>
      <c r="P616" t="str">
        <f t="array" ref="P616">IFERROR(INDEX('Day Range Raw Data'!X:X,Match($A616,'Day Range Raw Data'!$B:$B,0)),"")</f>
        <v/>
      </c>
      <c r="Q616" t="str">
        <f t="shared" si="1"/>
        <v/>
      </c>
      <c r="R616" s="9" t="str">
        <f t="shared" si="2"/>
        <v/>
      </c>
      <c r="S616" s="14" t="str">
        <f t="shared" si="3"/>
        <v/>
      </c>
      <c r="T616" s="15" t="str">
        <f>IFERROR(__xludf.DUMMYFUNCTION("IF($A616="""","""",IFERROR(PERCENTRANK.INC(FILTER(Q:Q,$F:$F&lt;&gt;""""),Q616)*100,""""))"),"")</f>
        <v/>
      </c>
      <c r="U616" s="15" t="str">
        <f>IFERROR(__xludf.DUMMYFUNCTION("IF($A616="""","""",IFERROR(PERCENTRANK.INC(FILTER(R:R,$F:$F&lt;&gt;""""),R616)*100,""""))"),"")</f>
        <v/>
      </c>
      <c r="V616" s="15" t="str">
        <f>IFERROR(__xludf.DUMMYFUNCTION("IF($A616="""","""",IFERROR(PERCENTRANK.INC(FILTER(S:S,$F:$F&lt;&gt;""""),S616)*100,""""))"),"")</f>
        <v/>
      </c>
      <c r="W616" s="15" t="str">
        <f t="shared" si="5"/>
        <v/>
      </c>
    </row>
    <row r="617">
      <c r="B617" t="str">
        <f t="array" ref="B617">IFERROR(INDEX('Player Raw Data'!C:C,Match($A617,'Player Raw Data'!$B:$B,0)),"")</f>
        <v/>
      </c>
      <c r="C617" t="str">
        <f t="array" ref="C617">IFERROR(INDEX('Player Raw Data'!D:D,Match($A617,'Player Raw Data'!$B:$B,0)),"")</f>
        <v/>
      </c>
      <c r="D617" t="str">
        <f t="array" ref="D617">IFERROR(IF(A617=A616, INDEX('Player Raw Data'!E:E,Match($A617,'Player Raw Data'!$B:$B,0)+2),INDEX('Player Raw Data'!E:E,Match($A617,'Player Raw Data'!$B:$B,0))),"")</f>
        <v/>
      </c>
      <c r="E617" t="str">
        <f t="array" ref="E617">IFERROR(INDEX('Day Range Raw Data'!D:D,Match($A617,'Day Range Raw Data'!$B:$B,0)),"")</f>
        <v/>
      </c>
      <c r="F617" t="str">
        <f t="array" ref="F617">IFERROR(INDEX('Day Range Raw Data'!F:F,Match($A617,'Day Range Raw Data'!$B:$B,0)),"")</f>
        <v/>
      </c>
      <c r="G617" t="str">
        <f t="array" ref="G617">IFERROR(INDEX('Day Range Raw Data'!G:G,Match($A617,'Day Range Raw Data'!$B:$B,0)),"")</f>
        <v/>
      </c>
      <c r="H617" t="str">
        <f t="array" ref="H617">IFERROR(INDEX('Day Range Raw Data'!H:H,Match($A617,'Day Range Raw Data'!$B:$B,0)),"")</f>
        <v/>
      </c>
      <c r="I617" t="str">
        <f t="array" ref="I617">IFERROR(INDEX('Day Range Raw Data'!M:M,Match($A617,'Day Range Raw Data'!$B:$B,0)),"")</f>
        <v/>
      </c>
      <c r="J617" t="str">
        <f t="array" ref="J617">IFERROR(INDEX('Day Range Raw Data'!N:N,Match($A617,'Day Range Raw Data'!$B:$B,0)),"")</f>
        <v/>
      </c>
      <c r="K617" t="str">
        <f t="array" ref="K617">IFERROR(INDEX('Day Range Raw Data'!R:R,Match($A617,'Day Range Raw Data'!$B:$B,0)),"")</f>
        <v/>
      </c>
      <c r="L617" t="str">
        <f t="array" ref="L617">IFERROR(INDEX('Day Range Raw Data'!S:S,Match($A617,'Day Range Raw Data'!$B:$B,0)),"")</f>
        <v/>
      </c>
      <c r="M617" t="str">
        <f t="array" ref="M617">IFERROR(INDEX('Day Range Raw Data'!T:T,Match($A617,'Day Range Raw Data'!$B:$B,0)),"")</f>
        <v/>
      </c>
      <c r="N617" t="str">
        <f t="array" ref="N617">IFERROR(INDEX('Day Range Raw Data'!U:U,Match($A617,'Day Range Raw Data'!$B:$B,0)),"")</f>
        <v/>
      </c>
      <c r="O617" t="str">
        <f t="array" ref="O617">IFERROR(INDEX('Day Range Raw Data'!V:V,Match($A617,'Day Range Raw Data'!$B:$B,0)),"")</f>
        <v/>
      </c>
      <c r="P617" t="str">
        <f t="array" ref="P617">IFERROR(INDEX('Day Range Raw Data'!X:X,Match($A617,'Day Range Raw Data'!$B:$B,0)),"")</f>
        <v/>
      </c>
      <c r="Q617" t="str">
        <f t="shared" si="1"/>
        <v/>
      </c>
      <c r="R617" s="9" t="str">
        <f t="shared" si="2"/>
        <v/>
      </c>
      <c r="S617" s="14" t="str">
        <f t="shared" si="3"/>
        <v/>
      </c>
      <c r="T617" s="15" t="str">
        <f>IFERROR(__xludf.DUMMYFUNCTION("IF($A617="""","""",IFERROR(PERCENTRANK.INC(FILTER(Q:Q,$F:$F&lt;&gt;""""),Q617)*100,""""))"),"")</f>
        <v/>
      </c>
      <c r="U617" s="15" t="str">
        <f>IFERROR(__xludf.DUMMYFUNCTION("IF($A617="""","""",IFERROR(PERCENTRANK.INC(FILTER(R:R,$F:$F&lt;&gt;""""),R617)*100,""""))"),"")</f>
        <v/>
      </c>
      <c r="V617" s="15" t="str">
        <f>IFERROR(__xludf.DUMMYFUNCTION("IF($A617="""","""",IFERROR(PERCENTRANK.INC(FILTER(S:S,$F:$F&lt;&gt;""""),S617)*100,""""))"),"")</f>
        <v/>
      </c>
      <c r="W617" s="15" t="str">
        <f t="shared" si="5"/>
        <v/>
      </c>
    </row>
    <row r="618">
      <c r="B618" t="str">
        <f t="array" ref="B618">IFERROR(INDEX('Player Raw Data'!C:C,Match($A618,'Player Raw Data'!$B:$B,0)),"")</f>
        <v/>
      </c>
      <c r="C618" t="str">
        <f t="array" ref="C618">IFERROR(INDEX('Player Raw Data'!D:D,Match($A618,'Player Raw Data'!$B:$B,0)),"")</f>
        <v/>
      </c>
      <c r="D618" t="str">
        <f t="array" ref="D618">IFERROR(IF(A618=A617, INDEX('Player Raw Data'!E:E,Match($A618,'Player Raw Data'!$B:$B,0)+2),INDEX('Player Raw Data'!E:E,Match($A618,'Player Raw Data'!$B:$B,0))),"")</f>
        <v/>
      </c>
      <c r="E618" t="str">
        <f t="array" ref="E618">IFERROR(INDEX('Day Range Raw Data'!D:D,Match($A618,'Day Range Raw Data'!$B:$B,0)),"")</f>
        <v/>
      </c>
      <c r="F618" t="str">
        <f t="array" ref="F618">IFERROR(INDEX('Day Range Raw Data'!F:F,Match($A618,'Day Range Raw Data'!$B:$B,0)),"")</f>
        <v/>
      </c>
      <c r="G618" t="str">
        <f t="array" ref="G618">IFERROR(INDEX('Day Range Raw Data'!G:G,Match($A618,'Day Range Raw Data'!$B:$B,0)),"")</f>
        <v/>
      </c>
      <c r="H618" t="str">
        <f t="array" ref="H618">IFERROR(INDEX('Day Range Raw Data'!H:H,Match($A618,'Day Range Raw Data'!$B:$B,0)),"")</f>
        <v/>
      </c>
      <c r="I618" t="str">
        <f t="array" ref="I618">IFERROR(INDEX('Day Range Raw Data'!M:M,Match($A618,'Day Range Raw Data'!$B:$B,0)),"")</f>
        <v/>
      </c>
      <c r="J618" t="str">
        <f t="array" ref="J618">IFERROR(INDEX('Day Range Raw Data'!N:N,Match($A618,'Day Range Raw Data'!$B:$B,0)),"")</f>
        <v/>
      </c>
      <c r="K618" t="str">
        <f t="array" ref="K618">IFERROR(INDEX('Day Range Raw Data'!R:R,Match($A618,'Day Range Raw Data'!$B:$B,0)),"")</f>
        <v/>
      </c>
      <c r="L618" t="str">
        <f t="array" ref="L618">IFERROR(INDEX('Day Range Raw Data'!S:S,Match($A618,'Day Range Raw Data'!$B:$B,0)),"")</f>
        <v/>
      </c>
      <c r="M618" t="str">
        <f t="array" ref="M618">IFERROR(INDEX('Day Range Raw Data'!T:T,Match($A618,'Day Range Raw Data'!$B:$B,0)),"")</f>
        <v/>
      </c>
      <c r="N618" t="str">
        <f t="array" ref="N618">IFERROR(INDEX('Day Range Raw Data'!U:U,Match($A618,'Day Range Raw Data'!$B:$B,0)),"")</f>
        <v/>
      </c>
      <c r="O618" t="str">
        <f t="array" ref="O618">IFERROR(INDEX('Day Range Raw Data'!V:V,Match($A618,'Day Range Raw Data'!$B:$B,0)),"")</f>
        <v/>
      </c>
      <c r="P618" t="str">
        <f t="array" ref="P618">IFERROR(INDEX('Day Range Raw Data'!X:X,Match($A618,'Day Range Raw Data'!$B:$B,0)),"")</f>
        <v/>
      </c>
      <c r="Q618" t="str">
        <f t="shared" si="1"/>
        <v/>
      </c>
      <c r="R618" s="9" t="str">
        <f t="shared" si="2"/>
        <v/>
      </c>
      <c r="S618" s="14" t="str">
        <f t="shared" si="3"/>
        <v/>
      </c>
      <c r="T618" s="15" t="str">
        <f>IFERROR(__xludf.DUMMYFUNCTION("IF($A618="""","""",IFERROR(PERCENTRANK.INC(FILTER(Q:Q,$F:$F&lt;&gt;""""),Q618)*100,""""))"),"")</f>
        <v/>
      </c>
      <c r="U618" s="15" t="str">
        <f>IFERROR(__xludf.DUMMYFUNCTION("IF($A618="""","""",IFERROR(PERCENTRANK.INC(FILTER(R:R,$F:$F&lt;&gt;""""),R618)*100,""""))"),"")</f>
        <v/>
      </c>
      <c r="V618" s="15" t="str">
        <f>IFERROR(__xludf.DUMMYFUNCTION("IF($A618="""","""",IFERROR(PERCENTRANK.INC(FILTER(S:S,$F:$F&lt;&gt;""""),S618)*100,""""))"),"")</f>
        <v/>
      </c>
      <c r="W618" s="15" t="str">
        <f t="shared" si="5"/>
        <v/>
      </c>
    </row>
    <row r="619">
      <c r="B619" t="str">
        <f t="array" ref="B619">IFERROR(INDEX('Player Raw Data'!C:C,Match($A619,'Player Raw Data'!$B:$B,0)),"")</f>
        <v/>
      </c>
      <c r="C619" t="str">
        <f t="array" ref="C619">IFERROR(INDEX('Player Raw Data'!D:D,Match($A619,'Player Raw Data'!$B:$B,0)),"")</f>
        <v/>
      </c>
      <c r="D619" t="str">
        <f t="array" ref="D619">IFERROR(IF(A619=A618, INDEX('Player Raw Data'!E:E,Match($A619,'Player Raw Data'!$B:$B,0)+2),INDEX('Player Raw Data'!E:E,Match($A619,'Player Raw Data'!$B:$B,0))),"")</f>
        <v/>
      </c>
      <c r="E619" t="str">
        <f t="array" ref="E619">IFERROR(INDEX('Day Range Raw Data'!D:D,Match($A619,'Day Range Raw Data'!$B:$B,0)),"")</f>
        <v/>
      </c>
      <c r="F619" t="str">
        <f t="array" ref="F619">IFERROR(INDEX('Day Range Raw Data'!F:F,Match($A619,'Day Range Raw Data'!$B:$B,0)),"")</f>
        <v/>
      </c>
      <c r="G619" t="str">
        <f t="array" ref="G619">IFERROR(INDEX('Day Range Raw Data'!G:G,Match($A619,'Day Range Raw Data'!$B:$B,0)),"")</f>
        <v/>
      </c>
      <c r="H619" t="str">
        <f t="array" ref="H619">IFERROR(INDEX('Day Range Raw Data'!H:H,Match($A619,'Day Range Raw Data'!$B:$B,0)),"")</f>
        <v/>
      </c>
      <c r="I619" t="str">
        <f t="array" ref="I619">IFERROR(INDEX('Day Range Raw Data'!M:M,Match($A619,'Day Range Raw Data'!$B:$B,0)),"")</f>
        <v/>
      </c>
      <c r="J619" t="str">
        <f t="array" ref="J619">IFERROR(INDEX('Day Range Raw Data'!N:N,Match($A619,'Day Range Raw Data'!$B:$B,0)),"")</f>
        <v/>
      </c>
      <c r="K619" t="str">
        <f t="array" ref="K619">IFERROR(INDEX('Day Range Raw Data'!R:R,Match($A619,'Day Range Raw Data'!$B:$B,0)),"")</f>
        <v/>
      </c>
      <c r="L619" t="str">
        <f t="array" ref="L619">IFERROR(INDEX('Day Range Raw Data'!S:S,Match($A619,'Day Range Raw Data'!$B:$B,0)),"")</f>
        <v/>
      </c>
      <c r="M619" t="str">
        <f t="array" ref="M619">IFERROR(INDEX('Day Range Raw Data'!T:T,Match($A619,'Day Range Raw Data'!$B:$B,0)),"")</f>
        <v/>
      </c>
      <c r="N619" t="str">
        <f t="array" ref="N619">IFERROR(INDEX('Day Range Raw Data'!U:U,Match($A619,'Day Range Raw Data'!$B:$B,0)),"")</f>
        <v/>
      </c>
      <c r="O619" t="str">
        <f t="array" ref="O619">IFERROR(INDEX('Day Range Raw Data'!V:V,Match($A619,'Day Range Raw Data'!$B:$B,0)),"")</f>
        <v/>
      </c>
      <c r="P619" t="str">
        <f t="array" ref="P619">IFERROR(INDEX('Day Range Raw Data'!X:X,Match($A619,'Day Range Raw Data'!$B:$B,0)),"")</f>
        <v/>
      </c>
      <c r="Q619" t="str">
        <f t="shared" si="1"/>
        <v/>
      </c>
      <c r="R619" s="9" t="str">
        <f t="shared" si="2"/>
        <v/>
      </c>
      <c r="S619" s="14" t="str">
        <f t="shared" si="3"/>
        <v/>
      </c>
      <c r="T619" s="15" t="str">
        <f>IFERROR(__xludf.DUMMYFUNCTION("IF($A619="""","""",IFERROR(PERCENTRANK.INC(FILTER(Q:Q,$F:$F&lt;&gt;""""),Q619)*100,""""))"),"")</f>
        <v/>
      </c>
      <c r="U619" s="15" t="str">
        <f>IFERROR(__xludf.DUMMYFUNCTION("IF($A619="""","""",IFERROR(PERCENTRANK.INC(FILTER(R:R,$F:$F&lt;&gt;""""),R619)*100,""""))"),"")</f>
        <v/>
      </c>
      <c r="V619" s="15" t="str">
        <f>IFERROR(__xludf.DUMMYFUNCTION("IF($A619="""","""",IFERROR(PERCENTRANK.INC(FILTER(S:S,$F:$F&lt;&gt;""""),S619)*100,""""))"),"")</f>
        <v/>
      </c>
      <c r="W619" s="15" t="str">
        <f t="shared" si="5"/>
        <v/>
      </c>
    </row>
    <row r="620">
      <c r="B620" t="str">
        <f t="array" ref="B620">IFERROR(INDEX('Player Raw Data'!C:C,Match($A620,'Player Raw Data'!$B:$B,0)),"")</f>
        <v/>
      </c>
      <c r="C620" t="str">
        <f t="array" ref="C620">IFERROR(INDEX('Player Raw Data'!D:D,Match($A620,'Player Raw Data'!$B:$B,0)),"")</f>
        <v/>
      </c>
      <c r="D620" t="str">
        <f t="array" ref="D620">IFERROR(IF(A620=A619, INDEX('Player Raw Data'!E:E,Match($A620,'Player Raw Data'!$B:$B,0)+2),INDEX('Player Raw Data'!E:E,Match($A620,'Player Raw Data'!$B:$B,0))),"")</f>
        <v/>
      </c>
      <c r="E620" t="str">
        <f t="array" ref="E620">IFERROR(INDEX('Day Range Raw Data'!D:D,Match($A620,'Day Range Raw Data'!$B:$B,0)),"")</f>
        <v/>
      </c>
      <c r="F620" t="str">
        <f t="array" ref="F620">IFERROR(INDEX('Day Range Raw Data'!F:F,Match($A620,'Day Range Raw Data'!$B:$B,0)),"")</f>
        <v/>
      </c>
      <c r="G620" t="str">
        <f t="array" ref="G620">IFERROR(INDEX('Day Range Raw Data'!G:G,Match($A620,'Day Range Raw Data'!$B:$B,0)),"")</f>
        <v/>
      </c>
      <c r="H620" t="str">
        <f t="array" ref="H620">IFERROR(INDEX('Day Range Raw Data'!H:H,Match($A620,'Day Range Raw Data'!$B:$B,0)),"")</f>
        <v/>
      </c>
      <c r="I620" t="str">
        <f t="array" ref="I620">IFERROR(INDEX('Day Range Raw Data'!M:M,Match($A620,'Day Range Raw Data'!$B:$B,0)),"")</f>
        <v/>
      </c>
      <c r="J620" t="str">
        <f t="array" ref="J620">IFERROR(INDEX('Day Range Raw Data'!N:N,Match($A620,'Day Range Raw Data'!$B:$B,0)),"")</f>
        <v/>
      </c>
      <c r="K620" t="str">
        <f t="array" ref="K620">IFERROR(INDEX('Day Range Raw Data'!R:R,Match($A620,'Day Range Raw Data'!$B:$B,0)),"")</f>
        <v/>
      </c>
      <c r="L620" t="str">
        <f t="array" ref="L620">IFERROR(INDEX('Day Range Raw Data'!S:S,Match($A620,'Day Range Raw Data'!$B:$B,0)),"")</f>
        <v/>
      </c>
      <c r="M620" t="str">
        <f t="array" ref="M620">IFERROR(INDEX('Day Range Raw Data'!T:T,Match($A620,'Day Range Raw Data'!$B:$B,0)),"")</f>
        <v/>
      </c>
      <c r="N620" t="str">
        <f t="array" ref="N620">IFERROR(INDEX('Day Range Raw Data'!U:U,Match($A620,'Day Range Raw Data'!$B:$B,0)),"")</f>
        <v/>
      </c>
      <c r="O620" t="str">
        <f t="array" ref="O620">IFERROR(INDEX('Day Range Raw Data'!V:V,Match($A620,'Day Range Raw Data'!$B:$B,0)),"")</f>
        <v/>
      </c>
      <c r="P620" t="str">
        <f t="array" ref="P620">IFERROR(INDEX('Day Range Raw Data'!X:X,Match($A620,'Day Range Raw Data'!$B:$B,0)),"")</f>
        <v/>
      </c>
      <c r="Q620" t="str">
        <f t="shared" si="1"/>
        <v/>
      </c>
      <c r="R620" s="9" t="str">
        <f t="shared" si="2"/>
        <v/>
      </c>
      <c r="S620" s="14" t="str">
        <f t="shared" si="3"/>
        <v/>
      </c>
      <c r="T620" s="15" t="str">
        <f>IFERROR(__xludf.DUMMYFUNCTION("IF($A620="""","""",IFERROR(PERCENTRANK.INC(FILTER(Q:Q,$F:$F&lt;&gt;""""),Q620)*100,""""))"),"")</f>
        <v/>
      </c>
      <c r="U620" s="15" t="str">
        <f>IFERROR(__xludf.DUMMYFUNCTION("IF($A620="""","""",IFERROR(PERCENTRANK.INC(FILTER(R:R,$F:$F&lt;&gt;""""),R620)*100,""""))"),"")</f>
        <v/>
      </c>
      <c r="V620" s="15" t="str">
        <f>IFERROR(__xludf.DUMMYFUNCTION("IF($A620="""","""",IFERROR(PERCENTRANK.INC(FILTER(S:S,$F:$F&lt;&gt;""""),S620)*100,""""))"),"")</f>
        <v/>
      </c>
      <c r="W620" s="15" t="str">
        <f t="shared" si="5"/>
        <v/>
      </c>
    </row>
    <row r="621">
      <c r="B621" t="str">
        <f t="array" ref="B621">IFERROR(INDEX('Player Raw Data'!C:C,Match($A621,'Player Raw Data'!$B:$B,0)),"")</f>
        <v/>
      </c>
      <c r="C621" t="str">
        <f t="array" ref="C621">IFERROR(INDEX('Player Raw Data'!D:D,Match($A621,'Player Raw Data'!$B:$B,0)),"")</f>
        <v/>
      </c>
      <c r="D621" t="str">
        <f t="array" ref="D621">IFERROR(IF(A621=A620, INDEX('Player Raw Data'!E:E,Match($A621,'Player Raw Data'!$B:$B,0)+2),INDEX('Player Raw Data'!E:E,Match($A621,'Player Raw Data'!$B:$B,0))),"")</f>
        <v/>
      </c>
      <c r="E621" t="str">
        <f t="array" ref="E621">IFERROR(INDEX('Day Range Raw Data'!D:D,Match($A621,'Day Range Raw Data'!$B:$B,0)),"")</f>
        <v/>
      </c>
      <c r="F621" t="str">
        <f t="array" ref="F621">IFERROR(INDEX('Day Range Raw Data'!F:F,Match($A621,'Day Range Raw Data'!$B:$B,0)),"")</f>
        <v/>
      </c>
      <c r="G621" t="str">
        <f t="array" ref="G621">IFERROR(INDEX('Day Range Raw Data'!G:G,Match($A621,'Day Range Raw Data'!$B:$B,0)),"")</f>
        <v/>
      </c>
      <c r="H621" t="str">
        <f t="array" ref="H621">IFERROR(INDEX('Day Range Raw Data'!H:H,Match($A621,'Day Range Raw Data'!$B:$B,0)),"")</f>
        <v/>
      </c>
      <c r="I621" t="str">
        <f t="array" ref="I621">IFERROR(INDEX('Day Range Raw Data'!M:M,Match($A621,'Day Range Raw Data'!$B:$B,0)),"")</f>
        <v/>
      </c>
      <c r="J621" t="str">
        <f t="array" ref="J621">IFERROR(INDEX('Day Range Raw Data'!N:N,Match($A621,'Day Range Raw Data'!$B:$B,0)),"")</f>
        <v/>
      </c>
      <c r="K621" t="str">
        <f t="array" ref="K621">IFERROR(INDEX('Day Range Raw Data'!R:R,Match($A621,'Day Range Raw Data'!$B:$B,0)),"")</f>
        <v/>
      </c>
      <c r="L621" t="str">
        <f t="array" ref="L621">IFERROR(INDEX('Day Range Raw Data'!S:S,Match($A621,'Day Range Raw Data'!$B:$B,0)),"")</f>
        <v/>
      </c>
      <c r="M621" t="str">
        <f t="array" ref="M621">IFERROR(INDEX('Day Range Raw Data'!T:T,Match($A621,'Day Range Raw Data'!$B:$B,0)),"")</f>
        <v/>
      </c>
      <c r="N621" t="str">
        <f t="array" ref="N621">IFERROR(INDEX('Day Range Raw Data'!U:U,Match($A621,'Day Range Raw Data'!$B:$B,0)),"")</f>
        <v/>
      </c>
      <c r="O621" t="str">
        <f t="array" ref="O621">IFERROR(INDEX('Day Range Raw Data'!V:V,Match($A621,'Day Range Raw Data'!$B:$B,0)),"")</f>
        <v/>
      </c>
      <c r="P621" t="str">
        <f t="array" ref="P621">IFERROR(INDEX('Day Range Raw Data'!X:X,Match($A621,'Day Range Raw Data'!$B:$B,0)),"")</f>
        <v/>
      </c>
      <c r="Q621" t="str">
        <f t="shared" si="1"/>
        <v/>
      </c>
      <c r="R621" s="9" t="str">
        <f t="shared" si="2"/>
        <v/>
      </c>
      <c r="S621" s="14" t="str">
        <f t="shared" si="3"/>
        <v/>
      </c>
      <c r="T621" s="15" t="str">
        <f>IFERROR(__xludf.DUMMYFUNCTION("IF($A621="""","""",IFERROR(PERCENTRANK.INC(FILTER(Q:Q,$F:$F&lt;&gt;""""),Q621)*100,""""))"),"")</f>
        <v/>
      </c>
      <c r="U621" s="15" t="str">
        <f>IFERROR(__xludf.DUMMYFUNCTION("IF($A621="""","""",IFERROR(PERCENTRANK.INC(FILTER(R:R,$F:$F&lt;&gt;""""),R621)*100,""""))"),"")</f>
        <v/>
      </c>
      <c r="V621" s="15" t="str">
        <f>IFERROR(__xludf.DUMMYFUNCTION("IF($A621="""","""",IFERROR(PERCENTRANK.INC(FILTER(S:S,$F:$F&lt;&gt;""""),S621)*100,""""))"),"")</f>
        <v/>
      </c>
      <c r="W621" s="15" t="str">
        <f t="shared" si="5"/>
        <v/>
      </c>
    </row>
    <row r="622">
      <c r="B622" t="str">
        <f t="array" ref="B622">IFERROR(INDEX('Player Raw Data'!C:C,Match($A622,'Player Raw Data'!$B:$B,0)),"")</f>
        <v/>
      </c>
      <c r="C622" t="str">
        <f t="array" ref="C622">IFERROR(INDEX('Player Raw Data'!D:D,Match($A622,'Player Raw Data'!$B:$B,0)),"")</f>
        <v/>
      </c>
      <c r="D622" t="str">
        <f t="array" ref="D622">IFERROR(IF(A622=A621, INDEX('Player Raw Data'!E:E,Match($A622,'Player Raw Data'!$B:$B,0)+2),INDEX('Player Raw Data'!E:E,Match($A622,'Player Raw Data'!$B:$B,0))),"")</f>
        <v/>
      </c>
      <c r="E622" t="str">
        <f t="array" ref="E622">IFERROR(INDEX('Day Range Raw Data'!D:D,Match($A622,'Day Range Raw Data'!$B:$B,0)),"")</f>
        <v/>
      </c>
      <c r="F622" t="str">
        <f t="array" ref="F622">IFERROR(INDEX('Day Range Raw Data'!F:F,Match($A622,'Day Range Raw Data'!$B:$B,0)),"")</f>
        <v/>
      </c>
      <c r="G622" t="str">
        <f t="array" ref="G622">IFERROR(INDEX('Day Range Raw Data'!G:G,Match($A622,'Day Range Raw Data'!$B:$B,0)),"")</f>
        <v/>
      </c>
      <c r="H622" t="str">
        <f t="array" ref="H622">IFERROR(INDEX('Day Range Raw Data'!H:H,Match($A622,'Day Range Raw Data'!$B:$B,0)),"")</f>
        <v/>
      </c>
      <c r="I622" t="str">
        <f t="array" ref="I622">IFERROR(INDEX('Day Range Raw Data'!M:M,Match($A622,'Day Range Raw Data'!$B:$B,0)),"")</f>
        <v/>
      </c>
      <c r="J622" t="str">
        <f t="array" ref="J622">IFERROR(INDEX('Day Range Raw Data'!N:N,Match($A622,'Day Range Raw Data'!$B:$B,0)),"")</f>
        <v/>
      </c>
      <c r="K622" t="str">
        <f t="array" ref="K622">IFERROR(INDEX('Day Range Raw Data'!R:R,Match($A622,'Day Range Raw Data'!$B:$B,0)),"")</f>
        <v/>
      </c>
      <c r="L622" t="str">
        <f t="array" ref="L622">IFERROR(INDEX('Day Range Raw Data'!S:S,Match($A622,'Day Range Raw Data'!$B:$B,0)),"")</f>
        <v/>
      </c>
      <c r="M622" t="str">
        <f t="array" ref="M622">IFERROR(INDEX('Day Range Raw Data'!T:T,Match($A622,'Day Range Raw Data'!$B:$B,0)),"")</f>
        <v/>
      </c>
      <c r="N622" t="str">
        <f t="array" ref="N622">IFERROR(INDEX('Day Range Raw Data'!U:U,Match($A622,'Day Range Raw Data'!$B:$B,0)),"")</f>
        <v/>
      </c>
      <c r="O622" t="str">
        <f t="array" ref="O622">IFERROR(INDEX('Day Range Raw Data'!V:V,Match($A622,'Day Range Raw Data'!$B:$B,0)),"")</f>
        <v/>
      </c>
      <c r="P622" t="str">
        <f t="array" ref="P622">IFERROR(INDEX('Day Range Raw Data'!X:X,Match($A622,'Day Range Raw Data'!$B:$B,0)),"")</f>
        <v/>
      </c>
      <c r="Q622" t="str">
        <f t="shared" si="1"/>
        <v/>
      </c>
      <c r="R622" s="9" t="str">
        <f t="shared" si="2"/>
        <v/>
      </c>
      <c r="S622" s="14" t="str">
        <f t="shared" si="3"/>
        <v/>
      </c>
      <c r="T622" s="15" t="str">
        <f>IFERROR(__xludf.DUMMYFUNCTION("IF($A622="""","""",IFERROR(PERCENTRANK.INC(FILTER(Q:Q,$F:$F&lt;&gt;""""),Q622)*100,""""))"),"")</f>
        <v/>
      </c>
      <c r="U622" s="15" t="str">
        <f>IFERROR(__xludf.DUMMYFUNCTION("IF($A622="""","""",IFERROR(PERCENTRANK.INC(FILTER(R:R,$F:$F&lt;&gt;""""),R622)*100,""""))"),"")</f>
        <v/>
      </c>
      <c r="V622" s="15" t="str">
        <f>IFERROR(__xludf.DUMMYFUNCTION("IF($A622="""","""",IFERROR(PERCENTRANK.INC(FILTER(S:S,$F:$F&lt;&gt;""""),S622)*100,""""))"),"")</f>
        <v/>
      </c>
      <c r="W622" s="15" t="str">
        <f t="shared" si="5"/>
        <v/>
      </c>
    </row>
    <row r="623">
      <c r="B623" t="str">
        <f t="array" ref="B623">IFERROR(INDEX('Player Raw Data'!C:C,Match($A623,'Player Raw Data'!$B:$B,0)),"")</f>
        <v/>
      </c>
      <c r="C623" t="str">
        <f t="array" ref="C623">IFERROR(INDEX('Player Raw Data'!D:D,Match($A623,'Player Raw Data'!$B:$B,0)),"")</f>
        <v/>
      </c>
      <c r="D623" t="str">
        <f t="array" ref="D623">IFERROR(IF(A623=A622, INDEX('Player Raw Data'!E:E,Match($A623,'Player Raw Data'!$B:$B,0)+2),INDEX('Player Raw Data'!E:E,Match($A623,'Player Raw Data'!$B:$B,0))),"")</f>
        <v/>
      </c>
      <c r="E623" t="str">
        <f t="array" ref="E623">IFERROR(INDEX('Day Range Raw Data'!D:D,Match($A623,'Day Range Raw Data'!$B:$B,0)),"")</f>
        <v/>
      </c>
      <c r="F623" t="str">
        <f t="array" ref="F623">IFERROR(INDEX('Day Range Raw Data'!F:F,Match($A623,'Day Range Raw Data'!$B:$B,0)),"")</f>
        <v/>
      </c>
      <c r="G623" t="str">
        <f t="array" ref="G623">IFERROR(INDEX('Day Range Raw Data'!G:G,Match($A623,'Day Range Raw Data'!$B:$B,0)),"")</f>
        <v/>
      </c>
      <c r="H623" t="str">
        <f t="array" ref="H623">IFERROR(INDEX('Day Range Raw Data'!H:H,Match($A623,'Day Range Raw Data'!$B:$B,0)),"")</f>
        <v/>
      </c>
      <c r="I623" t="str">
        <f t="array" ref="I623">IFERROR(INDEX('Day Range Raw Data'!M:M,Match($A623,'Day Range Raw Data'!$B:$B,0)),"")</f>
        <v/>
      </c>
      <c r="J623" t="str">
        <f t="array" ref="J623">IFERROR(INDEX('Day Range Raw Data'!N:N,Match($A623,'Day Range Raw Data'!$B:$B,0)),"")</f>
        <v/>
      </c>
      <c r="K623" t="str">
        <f t="array" ref="K623">IFERROR(INDEX('Day Range Raw Data'!R:R,Match($A623,'Day Range Raw Data'!$B:$B,0)),"")</f>
        <v/>
      </c>
      <c r="L623" t="str">
        <f t="array" ref="L623">IFERROR(INDEX('Day Range Raw Data'!S:S,Match($A623,'Day Range Raw Data'!$B:$B,0)),"")</f>
        <v/>
      </c>
      <c r="M623" t="str">
        <f t="array" ref="M623">IFERROR(INDEX('Day Range Raw Data'!T:T,Match($A623,'Day Range Raw Data'!$B:$B,0)),"")</f>
        <v/>
      </c>
      <c r="N623" t="str">
        <f t="array" ref="N623">IFERROR(INDEX('Day Range Raw Data'!U:U,Match($A623,'Day Range Raw Data'!$B:$B,0)),"")</f>
        <v/>
      </c>
      <c r="O623" t="str">
        <f t="array" ref="O623">IFERROR(INDEX('Day Range Raw Data'!V:V,Match($A623,'Day Range Raw Data'!$B:$B,0)),"")</f>
        <v/>
      </c>
      <c r="P623" t="str">
        <f t="array" ref="P623">IFERROR(INDEX('Day Range Raw Data'!X:X,Match($A623,'Day Range Raw Data'!$B:$B,0)),"")</f>
        <v/>
      </c>
      <c r="Q623" t="str">
        <f t="shared" si="1"/>
        <v/>
      </c>
      <c r="R623" s="9" t="str">
        <f t="shared" si="2"/>
        <v/>
      </c>
      <c r="S623" s="14" t="str">
        <f t="shared" si="3"/>
        <v/>
      </c>
      <c r="T623" s="15" t="str">
        <f>IFERROR(__xludf.DUMMYFUNCTION("IF($A623="""","""",IFERROR(PERCENTRANK.INC(FILTER(Q:Q,$F:$F&lt;&gt;""""),Q623)*100,""""))"),"")</f>
        <v/>
      </c>
      <c r="U623" s="15" t="str">
        <f>IFERROR(__xludf.DUMMYFUNCTION("IF($A623="""","""",IFERROR(PERCENTRANK.INC(FILTER(R:R,$F:$F&lt;&gt;""""),R623)*100,""""))"),"")</f>
        <v/>
      </c>
      <c r="V623" s="15" t="str">
        <f>IFERROR(__xludf.DUMMYFUNCTION("IF($A623="""","""",IFERROR(PERCENTRANK.INC(FILTER(S:S,$F:$F&lt;&gt;""""),S623)*100,""""))"),"")</f>
        <v/>
      </c>
      <c r="W623" s="15" t="str">
        <f t="shared" si="5"/>
        <v/>
      </c>
    </row>
    <row r="624">
      <c r="B624" t="str">
        <f t="array" ref="B624">IFERROR(INDEX('Player Raw Data'!C:C,Match($A624,'Player Raw Data'!$B:$B,0)),"")</f>
        <v/>
      </c>
      <c r="C624" t="str">
        <f t="array" ref="C624">IFERROR(INDEX('Player Raw Data'!D:D,Match($A624,'Player Raw Data'!$B:$B,0)),"")</f>
        <v/>
      </c>
      <c r="D624" t="str">
        <f t="array" ref="D624">IFERROR(IF(A624=A623, INDEX('Player Raw Data'!E:E,Match($A624,'Player Raw Data'!$B:$B,0)+2),INDEX('Player Raw Data'!E:E,Match($A624,'Player Raw Data'!$B:$B,0))),"")</f>
        <v/>
      </c>
      <c r="E624" t="str">
        <f t="array" ref="E624">IFERROR(INDEX('Day Range Raw Data'!D:D,Match($A624,'Day Range Raw Data'!$B:$B,0)),"")</f>
        <v/>
      </c>
      <c r="F624" t="str">
        <f t="array" ref="F624">IFERROR(INDEX('Day Range Raw Data'!F:F,Match($A624,'Day Range Raw Data'!$B:$B,0)),"")</f>
        <v/>
      </c>
      <c r="G624" t="str">
        <f t="array" ref="G624">IFERROR(INDEX('Day Range Raw Data'!G:G,Match($A624,'Day Range Raw Data'!$B:$B,0)),"")</f>
        <v/>
      </c>
      <c r="H624" t="str">
        <f t="array" ref="H624">IFERROR(INDEX('Day Range Raw Data'!H:H,Match($A624,'Day Range Raw Data'!$B:$B,0)),"")</f>
        <v/>
      </c>
      <c r="I624" t="str">
        <f t="array" ref="I624">IFERROR(INDEX('Day Range Raw Data'!M:M,Match($A624,'Day Range Raw Data'!$B:$B,0)),"")</f>
        <v/>
      </c>
      <c r="J624" t="str">
        <f t="array" ref="J624">IFERROR(INDEX('Day Range Raw Data'!N:N,Match($A624,'Day Range Raw Data'!$B:$B,0)),"")</f>
        <v/>
      </c>
      <c r="K624" t="str">
        <f t="array" ref="K624">IFERROR(INDEX('Day Range Raw Data'!R:R,Match($A624,'Day Range Raw Data'!$B:$B,0)),"")</f>
        <v/>
      </c>
      <c r="L624" t="str">
        <f t="array" ref="L624">IFERROR(INDEX('Day Range Raw Data'!S:S,Match($A624,'Day Range Raw Data'!$B:$B,0)),"")</f>
        <v/>
      </c>
      <c r="M624" t="str">
        <f t="array" ref="M624">IFERROR(INDEX('Day Range Raw Data'!T:T,Match($A624,'Day Range Raw Data'!$B:$B,0)),"")</f>
        <v/>
      </c>
      <c r="N624" t="str">
        <f t="array" ref="N624">IFERROR(INDEX('Day Range Raw Data'!U:U,Match($A624,'Day Range Raw Data'!$B:$B,0)),"")</f>
        <v/>
      </c>
      <c r="O624" t="str">
        <f t="array" ref="O624">IFERROR(INDEX('Day Range Raw Data'!V:V,Match($A624,'Day Range Raw Data'!$B:$B,0)),"")</f>
        <v/>
      </c>
      <c r="P624" t="str">
        <f t="array" ref="P624">IFERROR(INDEX('Day Range Raw Data'!X:X,Match($A624,'Day Range Raw Data'!$B:$B,0)),"")</f>
        <v/>
      </c>
      <c r="Q624" t="str">
        <f t="shared" si="1"/>
        <v/>
      </c>
      <c r="R624" s="9" t="str">
        <f t="shared" si="2"/>
        <v/>
      </c>
      <c r="S624" s="14" t="str">
        <f t="shared" si="3"/>
        <v/>
      </c>
      <c r="T624" s="15" t="str">
        <f>IFERROR(__xludf.DUMMYFUNCTION("IF($A624="""","""",IFERROR(PERCENTRANK.INC(FILTER(Q:Q,$F:$F&lt;&gt;""""),Q624)*100,""""))"),"")</f>
        <v/>
      </c>
      <c r="U624" s="15" t="str">
        <f>IFERROR(__xludf.DUMMYFUNCTION("IF($A624="""","""",IFERROR(PERCENTRANK.INC(FILTER(R:R,$F:$F&lt;&gt;""""),R624)*100,""""))"),"")</f>
        <v/>
      </c>
      <c r="V624" s="15" t="str">
        <f>IFERROR(__xludf.DUMMYFUNCTION("IF($A624="""","""",IFERROR(PERCENTRANK.INC(FILTER(S:S,$F:$F&lt;&gt;""""),S624)*100,""""))"),"")</f>
        <v/>
      </c>
      <c r="W624" s="15" t="str">
        <f t="shared" si="5"/>
        <v/>
      </c>
    </row>
    <row r="625">
      <c r="B625" t="str">
        <f t="array" ref="B625">IFERROR(INDEX('Player Raw Data'!C:C,Match($A625,'Player Raw Data'!$B:$B,0)),"")</f>
        <v/>
      </c>
      <c r="C625" t="str">
        <f t="array" ref="C625">IFERROR(INDEX('Player Raw Data'!D:D,Match($A625,'Player Raw Data'!$B:$B,0)),"")</f>
        <v/>
      </c>
      <c r="D625" t="str">
        <f t="array" ref="D625">IFERROR(IF(A625=A624, INDEX('Player Raw Data'!E:E,Match($A625,'Player Raw Data'!$B:$B,0)+2),INDEX('Player Raw Data'!E:E,Match($A625,'Player Raw Data'!$B:$B,0))),"")</f>
        <v/>
      </c>
      <c r="E625" t="str">
        <f t="array" ref="E625">IFERROR(INDEX('Day Range Raw Data'!D:D,Match($A625,'Day Range Raw Data'!$B:$B,0)),"")</f>
        <v/>
      </c>
      <c r="F625" t="str">
        <f t="array" ref="F625">IFERROR(INDEX('Day Range Raw Data'!F:F,Match($A625,'Day Range Raw Data'!$B:$B,0)),"")</f>
        <v/>
      </c>
      <c r="G625" t="str">
        <f t="array" ref="G625">IFERROR(INDEX('Day Range Raw Data'!G:G,Match($A625,'Day Range Raw Data'!$B:$B,0)),"")</f>
        <v/>
      </c>
      <c r="H625" t="str">
        <f t="array" ref="H625">IFERROR(INDEX('Day Range Raw Data'!H:H,Match($A625,'Day Range Raw Data'!$B:$B,0)),"")</f>
        <v/>
      </c>
      <c r="I625" t="str">
        <f t="array" ref="I625">IFERROR(INDEX('Day Range Raw Data'!M:M,Match($A625,'Day Range Raw Data'!$B:$B,0)),"")</f>
        <v/>
      </c>
      <c r="J625" t="str">
        <f t="array" ref="J625">IFERROR(INDEX('Day Range Raw Data'!N:N,Match($A625,'Day Range Raw Data'!$B:$B,0)),"")</f>
        <v/>
      </c>
      <c r="K625" t="str">
        <f t="array" ref="K625">IFERROR(INDEX('Day Range Raw Data'!R:R,Match($A625,'Day Range Raw Data'!$B:$B,0)),"")</f>
        <v/>
      </c>
      <c r="L625" t="str">
        <f t="array" ref="L625">IFERROR(INDEX('Day Range Raw Data'!S:S,Match($A625,'Day Range Raw Data'!$B:$B,0)),"")</f>
        <v/>
      </c>
      <c r="M625" t="str">
        <f t="array" ref="M625">IFERROR(INDEX('Day Range Raw Data'!T:T,Match($A625,'Day Range Raw Data'!$B:$B,0)),"")</f>
        <v/>
      </c>
      <c r="N625" t="str">
        <f t="array" ref="N625">IFERROR(INDEX('Day Range Raw Data'!U:U,Match($A625,'Day Range Raw Data'!$B:$B,0)),"")</f>
        <v/>
      </c>
      <c r="O625" t="str">
        <f t="array" ref="O625">IFERROR(INDEX('Day Range Raw Data'!V:V,Match($A625,'Day Range Raw Data'!$B:$B,0)),"")</f>
        <v/>
      </c>
      <c r="P625" t="str">
        <f t="array" ref="P625">IFERROR(INDEX('Day Range Raw Data'!X:X,Match($A625,'Day Range Raw Data'!$B:$B,0)),"")</f>
        <v/>
      </c>
      <c r="Q625" t="str">
        <f t="shared" si="1"/>
        <v/>
      </c>
      <c r="R625" s="9" t="str">
        <f t="shared" si="2"/>
        <v/>
      </c>
      <c r="S625" s="14" t="str">
        <f t="shared" si="3"/>
        <v/>
      </c>
      <c r="T625" s="15" t="str">
        <f>IFERROR(__xludf.DUMMYFUNCTION("IF($A625="""","""",IFERROR(PERCENTRANK.INC(FILTER(Q:Q,$F:$F&lt;&gt;""""),Q625)*100,""""))"),"")</f>
        <v/>
      </c>
      <c r="U625" s="15" t="str">
        <f>IFERROR(__xludf.DUMMYFUNCTION("IF($A625="""","""",IFERROR(PERCENTRANK.INC(FILTER(R:R,$F:$F&lt;&gt;""""),R625)*100,""""))"),"")</f>
        <v/>
      </c>
      <c r="V625" s="15" t="str">
        <f>IFERROR(__xludf.DUMMYFUNCTION("IF($A625="""","""",IFERROR(PERCENTRANK.INC(FILTER(S:S,$F:$F&lt;&gt;""""),S625)*100,""""))"),"")</f>
        <v/>
      </c>
      <c r="W625" s="15" t="str">
        <f t="shared" si="5"/>
        <v/>
      </c>
    </row>
    <row r="626">
      <c r="B626" t="str">
        <f t="array" ref="B626">IFERROR(INDEX('Player Raw Data'!C:C,Match($A626,'Player Raw Data'!$B:$B,0)),"")</f>
        <v/>
      </c>
      <c r="C626" t="str">
        <f t="array" ref="C626">IFERROR(INDEX('Player Raw Data'!D:D,Match($A626,'Player Raw Data'!$B:$B,0)),"")</f>
        <v/>
      </c>
      <c r="D626" t="str">
        <f t="array" ref="D626">IFERROR(IF(A626=A625, INDEX('Player Raw Data'!E:E,Match($A626,'Player Raw Data'!$B:$B,0)+2),INDEX('Player Raw Data'!E:E,Match($A626,'Player Raw Data'!$B:$B,0))),"")</f>
        <v/>
      </c>
      <c r="E626" t="str">
        <f t="array" ref="E626">IFERROR(INDEX('Day Range Raw Data'!D:D,Match($A626,'Day Range Raw Data'!$B:$B,0)),"")</f>
        <v/>
      </c>
      <c r="F626" t="str">
        <f t="array" ref="F626">IFERROR(INDEX('Day Range Raw Data'!F:F,Match($A626,'Day Range Raw Data'!$B:$B,0)),"")</f>
        <v/>
      </c>
      <c r="G626" t="str">
        <f t="array" ref="G626">IFERROR(INDEX('Day Range Raw Data'!G:G,Match($A626,'Day Range Raw Data'!$B:$B,0)),"")</f>
        <v/>
      </c>
      <c r="H626" t="str">
        <f t="array" ref="H626">IFERROR(INDEX('Day Range Raw Data'!H:H,Match($A626,'Day Range Raw Data'!$B:$B,0)),"")</f>
        <v/>
      </c>
      <c r="I626" t="str">
        <f t="array" ref="I626">IFERROR(INDEX('Day Range Raw Data'!M:M,Match($A626,'Day Range Raw Data'!$B:$B,0)),"")</f>
        <v/>
      </c>
      <c r="J626" t="str">
        <f t="array" ref="J626">IFERROR(INDEX('Day Range Raw Data'!N:N,Match($A626,'Day Range Raw Data'!$B:$B,0)),"")</f>
        <v/>
      </c>
      <c r="K626" t="str">
        <f t="array" ref="K626">IFERROR(INDEX('Day Range Raw Data'!R:R,Match($A626,'Day Range Raw Data'!$B:$B,0)),"")</f>
        <v/>
      </c>
      <c r="L626" t="str">
        <f t="array" ref="L626">IFERROR(INDEX('Day Range Raw Data'!S:S,Match($A626,'Day Range Raw Data'!$B:$B,0)),"")</f>
        <v/>
      </c>
      <c r="M626" t="str">
        <f t="array" ref="M626">IFERROR(INDEX('Day Range Raw Data'!T:T,Match($A626,'Day Range Raw Data'!$B:$B,0)),"")</f>
        <v/>
      </c>
      <c r="N626" t="str">
        <f t="array" ref="N626">IFERROR(INDEX('Day Range Raw Data'!U:U,Match($A626,'Day Range Raw Data'!$B:$B,0)),"")</f>
        <v/>
      </c>
      <c r="O626" t="str">
        <f t="array" ref="O626">IFERROR(INDEX('Day Range Raw Data'!V:V,Match($A626,'Day Range Raw Data'!$B:$B,0)),"")</f>
        <v/>
      </c>
      <c r="P626" t="str">
        <f t="array" ref="P626">IFERROR(INDEX('Day Range Raw Data'!X:X,Match($A626,'Day Range Raw Data'!$B:$B,0)),"")</f>
        <v/>
      </c>
      <c r="Q626" t="str">
        <f t="shared" si="1"/>
        <v/>
      </c>
      <c r="R626" s="9" t="str">
        <f t="shared" si="2"/>
        <v/>
      </c>
      <c r="S626" s="14" t="str">
        <f t="shared" si="3"/>
        <v/>
      </c>
      <c r="T626" s="15" t="str">
        <f>IFERROR(__xludf.DUMMYFUNCTION("IF($A626="""","""",IFERROR(PERCENTRANK.INC(FILTER(Q:Q,$F:$F&lt;&gt;""""),Q626)*100,""""))"),"")</f>
        <v/>
      </c>
      <c r="U626" s="15" t="str">
        <f>IFERROR(__xludf.DUMMYFUNCTION("IF($A626="""","""",IFERROR(PERCENTRANK.INC(FILTER(R:R,$F:$F&lt;&gt;""""),R626)*100,""""))"),"")</f>
        <v/>
      </c>
      <c r="V626" s="15" t="str">
        <f>IFERROR(__xludf.DUMMYFUNCTION("IF($A626="""","""",IFERROR(PERCENTRANK.INC(FILTER(S:S,$F:$F&lt;&gt;""""),S626)*100,""""))"),"")</f>
        <v/>
      </c>
      <c r="W626" s="15" t="str">
        <f t="shared" si="5"/>
        <v/>
      </c>
    </row>
    <row r="627">
      <c r="B627" t="str">
        <f t="array" ref="B627">IFERROR(INDEX('Player Raw Data'!C:C,Match($A627,'Player Raw Data'!$B:$B,0)),"")</f>
        <v/>
      </c>
      <c r="C627" t="str">
        <f t="array" ref="C627">IFERROR(INDEX('Player Raw Data'!D:D,Match($A627,'Player Raw Data'!$B:$B,0)),"")</f>
        <v/>
      </c>
      <c r="D627" t="str">
        <f t="array" ref="D627">IFERROR(IF(A627=A626, INDEX('Player Raw Data'!E:E,Match($A627,'Player Raw Data'!$B:$B,0)+2),INDEX('Player Raw Data'!E:E,Match($A627,'Player Raw Data'!$B:$B,0))),"")</f>
        <v/>
      </c>
      <c r="E627" t="str">
        <f t="array" ref="E627">IFERROR(INDEX('Day Range Raw Data'!D:D,Match($A627,'Day Range Raw Data'!$B:$B,0)),"")</f>
        <v/>
      </c>
      <c r="F627" t="str">
        <f t="array" ref="F627">IFERROR(INDEX('Day Range Raw Data'!F:F,Match($A627,'Day Range Raw Data'!$B:$B,0)),"")</f>
        <v/>
      </c>
      <c r="G627" t="str">
        <f t="array" ref="G627">IFERROR(INDEX('Day Range Raw Data'!G:G,Match($A627,'Day Range Raw Data'!$B:$B,0)),"")</f>
        <v/>
      </c>
      <c r="H627" t="str">
        <f t="array" ref="H627">IFERROR(INDEX('Day Range Raw Data'!H:H,Match($A627,'Day Range Raw Data'!$B:$B,0)),"")</f>
        <v/>
      </c>
      <c r="I627" t="str">
        <f t="array" ref="I627">IFERROR(INDEX('Day Range Raw Data'!M:M,Match($A627,'Day Range Raw Data'!$B:$B,0)),"")</f>
        <v/>
      </c>
      <c r="J627" t="str">
        <f t="array" ref="J627">IFERROR(INDEX('Day Range Raw Data'!N:N,Match($A627,'Day Range Raw Data'!$B:$B,0)),"")</f>
        <v/>
      </c>
      <c r="K627" t="str">
        <f t="array" ref="K627">IFERROR(INDEX('Day Range Raw Data'!R:R,Match($A627,'Day Range Raw Data'!$B:$B,0)),"")</f>
        <v/>
      </c>
      <c r="L627" t="str">
        <f t="array" ref="L627">IFERROR(INDEX('Day Range Raw Data'!S:S,Match($A627,'Day Range Raw Data'!$B:$B,0)),"")</f>
        <v/>
      </c>
      <c r="M627" t="str">
        <f t="array" ref="M627">IFERROR(INDEX('Day Range Raw Data'!T:T,Match($A627,'Day Range Raw Data'!$B:$B,0)),"")</f>
        <v/>
      </c>
      <c r="N627" t="str">
        <f t="array" ref="N627">IFERROR(INDEX('Day Range Raw Data'!U:U,Match($A627,'Day Range Raw Data'!$B:$B,0)),"")</f>
        <v/>
      </c>
      <c r="O627" t="str">
        <f t="array" ref="O627">IFERROR(INDEX('Day Range Raw Data'!V:V,Match($A627,'Day Range Raw Data'!$B:$B,0)),"")</f>
        <v/>
      </c>
      <c r="P627" t="str">
        <f t="array" ref="P627">IFERROR(INDEX('Day Range Raw Data'!X:X,Match($A627,'Day Range Raw Data'!$B:$B,0)),"")</f>
        <v/>
      </c>
      <c r="Q627" t="str">
        <f t="shared" si="1"/>
        <v/>
      </c>
      <c r="R627" s="9" t="str">
        <f t="shared" si="2"/>
        <v/>
      </c>
      <c r="S627" s="14" t="str">
        <f t="shared" si="3"/>
        <v/>
      </c>
      <c r="T627" s="15" t="str">
        <f>IFERROR(__xludf.DUMMYFUNCTION("IF($A627="""","""",IFERROR(PERCENTRANK.INC(FILTER(Q:Q,$F:$F&lt;&gt;""""),Q627)*100,""""))"),"")</f>
        <v/>
      </c>
      <c r="U627" s="15" t="str">
        <f>IFERROR(__xludf.DUMMYFUNCTION("IF($A627="""","""",IFERROR(PERCENTRANK.INC(FILTER(R:R,$F:$F&lt;&gt;""""),R627)*100,""""))"),"")</f>
        <v/>
      </c>
      <c r="V627" s="15" t="str">
        <f>IFERROR(__xludf.DUMMYFUNCTION("IF($A627="""","""",IFERROR(PERCENTRANK.INC(FILTER(S:S,$F:$F&lt;&gt;""""),S627)*100,""""))"),"")</f>
        <v/>
      </c>
      <c r="W627" s="15" t="str">
        <f t="shared" si="5"/>
        <v/>
      </c>
    </row>
    <row r="628">
      <c r="B628" t="str">
        <f t="array" ref="B628">IFERROR(INDEX('Player Raw Data'!C:C,Match($A628,'Player Raw Data'!$B:$B,0)),"")</f>
        <v/>
      </c>
      <c r="C628" t="str">
        <f t="array" ref="C628">IFERROR(INDEX('Player Raw Data'!D:D,Match($A628,'Player Raw Data'!$B:$B,0)),"")</f>
        <v/>
      </c>
      <c r="D628" t="str">
        <f t="array" ref="D628">IFERROR(IF(A628=A627, INDEX('Player Raw Data'!E:E,Match($A628,'Player Raw Data'!$B:$B,0)+2),INDEX('Player Raw Data'!E:E,Match($A628,'Player Raw Data'!$B:$B,0))),"")</f>
        <v/>
      </c>
      <c r="E628" t="str">
        <f t="array" ref="E628">IFERROR(INDEX('Day Range Raw Data'!D:D,Match($A628,'Day Range Raw Data'!$B:$B,0)),"")</f>
        <v/>
      </c>
      <c r="F628" t="str">
        <f t="array" ref="F628">IFERROR(INDEX('Day Range Raw Data'!F:F,Match($A628,'Day Range Raw Data'!$B:$B,0)),"")</f>
        <v/>
      </c>
      <c r="G628" t="str">
        <f t="array" ref="G628">IFERROR(INDEX('Day Range Raw Data'!G:G,Match($A628,'Day Range Raw Data'!$B:$B,0)),"")</f>
        <v/>
      </c>
      <c r="H628" t="str">
        <f t="array" ref="H628">IFERROR(INDEX('Day Range Raw Data'!H:H,Match($A628,'Day Range Raw Data'!$B:$B,0)),"")</f>
        <v/>
      </c>
      <c r="I628" t="str">
        <f t="array" ref="I628">IFERROR(INDEX('Day Range Raw Data'!M:M,Match($A628,'Day Range Raw Data'!$B:$B,0)),"")</f>
        <v/>
      </c>
      <c r="J628" t="str">
        <f t="array" ref="J628">IFERROR(INDEX('Day Range Raw Data'!N:N,Match($A628,'Day Range Raw Data'!$B:$B,0)),"")</f>
        <v/>
      </c>
      <c r="K628" t="str">
        <f t="array" ref="K628">IFERROR(INDEX('Day Range Raw Data'!R:R,Match($A628,'Day Range Raw Data'!$B:$B,0)),"")</f>
        <v/>
      </c>
      <c r="L628" t="str">
        <f t="array" ref="L628">IFERROR(INDEX('Day Range Raw Data'!S:S,Match($A628,'Day Range Raw Data'!$B:$B,0)),"")</f>
        <v/>
      </c>
      <c r="M628" t="str">
        <f t="array" ref="M628">IFERROR(INDEX('Day Range Raw Data'!T:T,Match($A628,'Day Range Raw Data'!$B:$B,0)),"")</f>
        <v/>
      </c>
      <c r="N628" t="str">
        <f t="array" ref="N628">IFERROR(INDEX('Day Range Raw Data'!U:U,Match($A628,'Day Range Raw Data'!$B:$B,0)),"")</f>
        <v/>
      </c>
      <c r="O628" t="str">
        <f t="array" ref="O628">IFERROR(INDEX('Day Range Raw Data'!V:V,Match($A628,'Day Range Raw Data'!$B:$B,0)),"")</f>
        <v/>
      </c>
      <c r="P628" t="str">
        <f t="array" ref="P628">IFERROR(INDEX('Day Range Raw Data'!X:X,Match($A628,'Day Range Raw Data'!$B:$B,0)),"")</f>
        <v/>
      </c>
      <c r="Q628" t="str">
        <f t="shared" si="1"/>
        <v/>
      </c>
      <c r="R628" s="9" t="str">
        <f t="shared" si="2"/>
        <v/>
      </c>
      <c r="S628" s="14" t="str">
        <f t="shared" si="3"/>
        <v/>
      </c>
      <c r="T628" s="15" t="str">
        <f>IFERROR(__xludf.DUMMYFUNCTION("IF($A628="""","""",IFERROR(PERCENTRANK.INC(FILTER(Q:Q,$F:$F&lt;&gt;""""),Q628)*100,""""))"),"")</f>
        <v/>
      </c>
      <c r="U628" s="15" t="str">
        <f>IFERROR(__xludf.DUMMYFUNCTION("IF($A628="""","""",IFERROR(PERCENTRANK.INC(FILTER(R:R,$F:$F&lt;&gt;""""),R628)*100,""""))"),"")</f>
        <v/>
      </c>
      <c r="V628" s="15" t="str">
        <f>IFERROR(__xludf.DUMMYFUNCTION("IF($A628="""","""",IFERROR(PERCENTRANK.INC(FILTER(S:S,$F:$F&lt;&gt;""""),S628)*100,""""))"),"")</f>
        <v/>
      </c>
      <c r="W628" s="15" t="str">
        <f t="shared" si="5"/>
        <v/>
      </c>
    </row>
    <row r="629">
      <c r="B629" t="str">
        <f t="array" ref="B629">IFERROR(INDEX('Player Raw Data'!C:C,Match($A629,'Player Raw Data'!$B:$B,0)),"")</f>
        <v/>
      </c>
      <c r="C629" t="str">
        <f t="array" ref="C629">IFERROR(INDEX('Player Raw Data'!D:D,Match($A629,'Player Raw Data'!$B:$B,0)),"")</f>
        <v/>
      </c>
      <c r="D629" t="str">
        <f t="array" ref="D629">IFERROR(IF(A629=A628, INDEX('Player Raw Data'!E:E,Match($A629,'Player Raw Data'!$B:$B,0)+2),INDEX('Player Raw Data'!E:E,Match($A629,'Player Raw Data'!$B:$B,0))),"")</f>
        <v/>
      </c>
      <c r="E629" t="str">
        <f t="array" ref="E629">IFERROR(INDEX('Day Range Raw Data'!D:D,Match($A629,'Day Range Raw Data'!$B:$B,0)),"")</f>
        <v/>
      </c>
      <c r="F629" t="str">
        <f t="array" ref="F629">IFERROR(INDEX('Day Range Raw Data'!F:F,Match($A629,'Day Range Raw Data'!$B:$B,0)),"")</f>
        <v/>
      </c>
      <c r="G629" t="str">
        <f t="array" ref="G629">IFERROR(INDEX('Day Range Raw Data'!G:G,Match($A629,'Day Range Raw Data'!$B:$B,0)),"")</f>
        <v/>
      </c>
      <c r="H629" t="str">
        <f t="array" ref="H629">IFERROR(INDEX('Day Range Raw Data'!H:H,Match($A629,'Day Range Raw Data'!$B:$B,0)),"")</f>
        <v/>
      </c>
      <c r="I629" t="str">
        <f t="array" ref="I629">IFERROR(INDEX('Day Range Raw Data'!M:M,Match($A629,'Day Range Raw Data'!$B:$B,0)),"")</f>
        <v/>
      </c>
      <c r="J629" t="str">
        <f t="array" ref="J629">IFERROR(INDEX('Day Range Raw Data'!N:N,Match($A629,'Day Range Raw Data'!$B:$B,0)),"")</f>
        <v/>
      </c>
      <c r="K629" t="str">
        <f t="array" ref="K629">IFERROR(INDEX('Day Range Raw Data'!R:R,Match($A629,'Day Range Raw Data'!$B:$B,0)),"")</f>
        <v/>
      </c>
      <c r="L629" t="str">
        <f t="array" ref="L629">IFERROR(INDEX('Day Range Raw Data'!S:S,Match($A629,'Day Range Raw Data'!$B:$B,0)),"")</f>
        <v/>
      </c>
      <c r="M629" t="str">
        <f t="array" ref="M629">IFERROR(INDEX('Day Range Raw Data'!T:T,Match($A629,'Day Range Raw Data'!$B:$B,0)),"")</f>
        <v/>
      </c>
      <c r="N629" t="str">
        <f t="array" ref="N629">IFERROR(INDEX('Day Range Raw Data'!U:U,Match($A629,'Day Range Raw Data'!$B:$B,0)),"")</f>
        <v/>
      </c>
      <c r="O629" t="str">
        <f t="array" ref="O629">IFERROR(INDEX('Day Range Raw Data'!V:V,Match($A629,'Day Range Raw Data'!$B:$B,0)),"")</f>
        <v/>
      </c>
      <c r="P629" t="str">
        <f t="array" ref="P629">IFERROR(INDEX('Day Range Raw Data'!X:X,Match($A629,'Day Range Raw Data'!$B:$B,0)),"")</f>
        <v/>
      </c>
      <c r="Q629" t="str">
        <f t="shared" si="1"/>
        <v/>
      </c>
      <c r="R629" s="9" t="str">
        <f t="shared" si="2"/>
        <v/>
      </c>
      <c r="S629" s="14" t="str">
        <f t="shared" si="3"/>
        <v/>
      </c>
      <c r="T629" s="15" t="str">
        <f>IFERROR(__xludf.DUMMYFUNCTION("IF($A629="""","""",IFERROR(PERCENTRANK.INC(FILTER(Q:Q,$F:$F&lt;&gt;""""),Q629)*100,""""))"),"")</f>
        <v/>
      </c>
      <c r="U629" s="15" t="str">
        <f>IFERROR(__xludf.DUMMYFUNCTION("IF($A629="""","""",IFERROR(PERCENTRANK.INC(FILTER(R:R,$F:$F&lt;&gt;""""),R629)*100,""""))"),"")</f>
        <v/>
      </c>
      <c r="V629" s="15" t="str">
        <f>IFERROR(__xludf.DUMMYFUNCTION("IF($A629="""","""",IFERROR(PERCENTRANK.INC(FILTER(S:S,$F:$F&lt;&gt;""""),S629)*100,""""))"),"")</f>
        <v/>
      </c>
      <c r="W629" s="15" t="str">
        <f t="shared" si="5"/>
        <v/>
      </c>
    </row>
    <row r="630">
      <c r="B630" t="str">
        <f t="array" ref="B630">IFERROR(INDEX('Player Raw Data'!C:C,Match($A630,'Player Raw Data'!$B:$B,0)),"")</f>
        <v/>
      </c>
      <c r="C630" t="str">
        <f t="array" ref="C630">IFERROR(INDEX('Player Raw Data'!D:D,Match($A630,'Player Raw Data'!$B:$B,0)),"")</f>
        <v/>
      </c>
      <c r="D630" t="str">
        <f t="array" ref="D630">IFERROR(IF(A630=A629, INDEX('Player Raw Data'!E:E,Match($A630,'Player Raw Data'!$B:$B,0)+2),INDEX('Player Raw Data'!E:E,Match($A630,'Player Raw Data'!$B:$B,0))),"")</f>
        <v/>
      </c>
      <c r="E630" t="str">
        <f t="array" ref="E630">IFERROR(INDEX('Day Range Raw Data'!D:D,Match($A630,'Day Range Raw Data'!$B:$B,0)),"")</f>
        <v/>
      </c>
      <c r="F630" t="str">
        <f t="array" ref="F630">IFERROR(INDEX('Day Range Raw Data'!F:F,Match($A630,'Day Range Raw Data'!$B:$B,0)),"")</f>
        <v/>
      </c>
      <c r="G630" t="str">
        <f t="array" ref="G630">IFERROR(INDEX('Day Range Raw Data'!G:G,Match($A630,'Day Range Raw Data'!$B:$B,0)),"")</f>
        <v/>
      </c>
      <c r="H630" t="str">
        <f t="array" ref="H630">IFERROR(INDEX('Day Range Raw Data'!H:H,Match($A630,'Day Range Raw Data'!$B:$B,0)),"")</f>
        <v/>
      </c>
      <c r="I630" t="str">
        <f t="array" ref="I630">IFERROR(INDEX('Day Range Raw Data'!M:M,Match($A630,'Day Range Raw Data'!$B:$B,0)),"")</f>
        <v/>
      </c>
      <c r="J630" t="str">
        <f t="array" ref="J630">IFERROR(INDEX('Day Range Raw Data'!N:N,Match($A630,'Day Range Raw Data'!$B:$B,0)),"")</f>
        <v/>
      </c>
      <c r="K630" t="str">
        <f t="array" ref="K630">IFERROR(INDEX('Day Range Raw Data'!R:R,Match($A630,'Day Range Raw Data'!$B:$B,0)),"")</f>
        <v/>
      </c>
      <c r="L630" t="str">
        <f t="array" ref="L630">IFERROR(INDEX('Day Range Raw Data'!S:S,Match($A630,'Day Range Raw Data'!$B:$B,0)),"")</f>
        <v/>
      </c>
      <c r="M630" t="str">
        <f t="array" ref="M630">IFERROR(INDEX('Day Range Raw Data'!T:T,Match($A630,'Day Range Raw Data'!$B:$B,0)),"")</f>
        <v/>
      </c>
      <c r="N630" t="str">
        <f t="array" ref="N630">IFERROR(INDEX('Day Range Raw Data'!U:U,Match($A630,'Day Range Raw Data'!$B:$B,0)),"")</f>
        <v/>
      </c>
      <c r="O630" t="str">
        <f t="array" ref="O630">IFERROR(INDEX('Day Range Raw Data'!V:V,Match($A630,'Day Range Raw Data'!$B:$B,0)),"")</f>
        <v/>
      </c>
      <c r="P630" t="str">
        <f t="array" ref="P630">IFERROR(INDEX('Day Range Raw Data'!X:X,Match($A630,'Day Range Raw Data'!$B:$B,0)),"")</f>
        <v/>
      </c>
      <c r="Q630" t="str">
        <f t="shared" si="1"/>
        <v/>
      </c>
      <c r="R630" s="9" t="str">
        <f t="shared" si="2"/>
        <v/>
      </c>
      <c r="S630" s="14" t="str">
        <f t="shared" si="3"/>
        <v/>
      </c>
      <c r="T630" s="15" t="str">
        <f>IFERROR(__xludf.DUMMYFUNCTION("IF($A630="""","""",IFERROR(PERCENTRANK.INC(FILTER(Q:Q,$F:$F&lt;&gt;""""),Q630)*100,""""))"),"")</f>
        <v/>
      </c>
      <c r="U630" s="15" t="str">
        <f>IFERROR(__xludf.DUMMYFUNCTION("IF($A630="""","""",IFERROR(PERCENTRANK.INC(FILTER(R:R,$F:$F&lt;&gt;""""),R630)*100,""""))"),"")</f>
        <v/>
      </c>
      <c r="V630" s="15" t="str">
        <f>IFERROR(__xludf.DUMMYFUNCTION("IF($A630="""","""",IFERROR(PERCENTRANK.INC(FILTER(S:S,$F:$F&lt;&gt;""""),S630)*100,""""))"),"")</f>
        <v/>
      </c>
      <c r="W630" s="15" t="str">
        <f t="shared" si="5"/>
        <v/>
      </c>
    </row>
    <row r="631">
      <c r="B631" t="str">
        <f t="array" ref="B631">IFERROR(INDEX('Player Raw Data'!C:C,Match($A631,'Player Raw Data'!$B:$B,0)),"")</f>
        <v/>
      </c>
      <c r="C631" t="str">
        <f t="array" ref="C631">IFERROR(INDEX('Player Raw Data'!D:D,Match($A631,'Player Raw Data'!$B:$B,0)),"")</f>
        <v/>
      </c>
      <c r="D631" t="str">
        <f t="array" ref="D631">IFERROR(IF(A631=A630, INDEX('Player Raw Data'!E:E,Match($A631,'Player Raw Data'!$B:$B,0)+2),INDEX('Player Raw Data'!E:E,Match($A631,'Player Raw Data'!$B:$B,0))),"")</f>
        <v/>
      </c>
      <c r="E631" t="str">
        <f t="array" ref="E631">IFERROR(INDEX('Day Range Raw Data'!D:D,Match($A631,'Day Range Raw Data'!$B:$B,0)),"")</f>
        <v/>
      </c>
      <c r="F631" t="str">
        <f t="array" ref="F631">IFERROR(INDEX('Day Range Raw Data'!F:F,Match($A631,'Day Range Raw Data'!$B:$B,0)),"")</f>
        <v/>
      </c>
      <c r="G631" t="str">
        <f t="array" ref="G631">IFERROR(INDEX('Day Range Raw Data'!G:G,Match($A631,'Day Range Raw Data'!$B:$B,0)),"")</f>
        <v/>
      </c>
      <c r="H631" t="str">
        <f t="array" ref="H631">IFERROR(INDEX('Day Range Raw Data'!H:H,Match($A631,'Day Range Raw Data'!$B:$B,0)),"")</f>
        <v/>
      </c>
      <c r="I631" t="str">
        <f t="array" ref="I631">IFERROR(INDEX('Day Range Raw Data'!M:M,Match($A631,'Day Range Raw Data'!$B:$B,0)),"")</f>
        <v/>
      </c>
      <c r="J631" t="str">
        <f t="array" ref="J631">IFERROR(INDEX('Day Range Raw Data'!N:N,Match($A631,'Day Range Raw Data'!$B:$B,0)),"")</f>
        <v/>
      </c>
      <c r="K631" t="str">
        <f t="array" ref="K631">IFERROR(INDEX('Day Range Raw Data'!R:R,Match($A631,'Day Range Raw Data'!$B:$B,0)),"")</f>
        <v/>
      </c>
      <c r="L631" t="str">
        <f t="array" ref="L631">IFERROR(INDEX('Day Range Raw Data'!S:S,Match($A631,'Day Range Raw Data'!$B:$B,0)),"")</f>
        <v/>
      </c>
      <c r="M631" t="str">
        <f t="array" ref="M631">IFERROR(INDEX('Day Range Raw Data'!T:T,Match($A631,'Day Range Raw Data'!$B:$B,0)),"")</f>
        <v/>
      </c>
      <c r="N631" t="str">
        <f t="array" ref="N631">IFERROR(INDEX('Day Range Raw Data'!U:U,Match($A631,'Day Range Raw Data'!$B:$B,0)),"")</f>
        <v/>
      </c>
      <c r="O631" t="str">
        <f t="array" ref="O631">IFERROR(INDEX('Day Range Raw Data'!V:V,Match($A631,'Day Range Raw Data'!$B:$B,0)),"")</f>
        <v/>
      </c>
      <c r="P631" t="str">
        <f t="array" ref="P631">IFERROR(INDEX('Day Range Raw Data'!X:X,Match($A631,'Day Range Raw Data'!$B:$B,0)),"")</f>
        <v/>
      </c>
      <c r="Q631" t="str">
        <f t="shared" si="1"/>
        <v/>
      </c>
      <c r="R631" s="9" t="str">
        <f t="shared" si="2"/>
        <v/>
      </c>
      <c r="S631" s="14" t="str">
        <f t="shared" si="3"/>
        <v/>
      </c>
      <c r="T631" s="15" t="str">
        <f>IFERROR(__xludf.DUMMYFUNCTION("IF($A631="""","""",IFERROR(PERCENTRANK.INC(FILTER(Q:Q,$F:$F&lt;&gt;""""),Q631)*100,""""))"),"")</f>
        <v/>
      </c>
      <c r="U631" s="15" t="str">
        <f>IFERROR(__xludf.DUMMYFUNCTION("IF($A631="""","""",IFERROR(PERCENTRANK.INC(FILTER(R:R,$F:$F&lt;&gt;""""),R631)*100,""""))"),"")</f>
        <v/>
      </c>
      <c r="V631" s="15" t="str">
        <f>IFERROR(__xludf.DUMMYFUNCTION("IF($A631="""","""",IFERROR(PERCENTRANK.INC(FILTER(S:S,$F:$F&lt;&gt;""""),S631)*100,""""))"),"")</f>
        <v/>
      </c>
      <c r="W631" s="15" t="str">
        <f t="shared" si="5"/>
        <v/>
      </c>
    </row>
    <row r="632">
      <c r="B632" t="str">
        <f t="array" ref="B632">IFERROR(INDEX('Player Raw Data'!C:C,Match($A632,'Player Raw Data'!$B:$B,0)),"")</f>
        <v/>
      </c>
      <c r="C632" t="str">
        <f t="array" ref="C632">IFERROR(INDEX('Player Raw Data'!D:D,Match($A632,'Player Raw Data'!$B:$B,0)),"")</f>
        <v/>
      </c>
      <c r="D632" t="str">
        <f t="array" ref="D632">IFERROR(IF(A632=A631, INDEX('Player Raw Data'!E:E,Match($A632,'Player Raw Data'!$B:$B,0)+2),INDEX('Player Raw Data'!E:E,Match($A632,'Player Raw Data'!$B:$B,0))),"")</f>
        <v/>
      </c>
      <c r="E632" t="str">
        <f t="array" ref="E632">IFERROR(INDEX('Day Range Raw Data'!D:D,Match($A632,'Day Range Raw Data'!$B:$B,0)),"")</f>
        <v/>
      </c>
      <c r="F632" t="str">
        <f t="array" ref="F632">IFERROR(INDEX('Day Range Raw Data'!F:F,Match($A632,'Day Range Raw Data'!$B:$B,0)),"")</f>
        <v/>
      </c>
      <c r="G632" t="str">
        <f t="array" ref="G632">IFERROR(INDEX('Day Range Raw Data'!G:G,Match($A632,'Day Range Raw Data'!$B:$B,0)),"")</f>
        <v/>
      </c>
      <c r="H632" t="str">
        <f t="array" ref="H632">IFERROR(INDEX('Day Range Raw Data'!H:H,Match($A632,'Day Range Raw Data'!$B:$B,0)),"")</f>
        <v/>
      </c>
      <c r="I632" t="str">
        <f t="array" ref="I632">IFERROR(INDEX('Day Range Raw Data'!M:M,Match($A632,'Day Range Raw Data'!$B:$B,0)),"")</f>
        <v/>
      </c>
      <c r="J632" t="str">
        <f t="array" ref="J632">IFERROR(INDEX('Day Range Raw Data'!N:N,Match($A632,'Day Range Raw Data'!$B:$B,0)),"")</f>
        <v/>
      </c>
      <c r="K632" t="str">
        <f t="array" ref="K632">IFERROR(INDEX('Day Range Raw Data'!R:R,Match($A632,'Day Range Raw Data'!$B:$B,0)),"")</f>
        <v/>
      </c>
      <c r="L632" t="str">
        <f t="array" ref="L632">IFERROR(INDEX('Day Range Raw Data'!S:S,Match($A632,'Day Range Raw Data'!$B:$B,0)),"")</f>
        <v/>
      </c>
      <c r="M632" t="str">
        <f t="array" ref="M632">IFERROR(INDEX('Day Range Raw Data'!T:T,Match($A632,'Day Range Raw Data'!$B:$B,0)),"")</f>
        <v/>
      </c>
      <c r="N632" t="str">
        <f t="array" ref="N632">IFERROR(INDEX('Day Range Raw Data'!U:U,Match($A632,'Day Range Raw Data'!$B:$B,0)),"")</f>
        <v/>
      </c>
      <c r="O632" t="str">
        <f t="array" ref="O632">IFERROR(INDEX('Day Range Raw Data'!V:V,Match($A632,'Day Range Raw Data'!$B:$B,0)),"")</f>
        <v/>
      </c>
      <c r="P632" t="str">
        <f t="array" ref="P632">IFERROR(INDEX('Day Range Raw Data'!X:X,Match($A632,'Day Range Raw Data'!$B:$B,0)),"")</f>
        <v/>
      </c>
      <c r="Q632" t="str">
        <f t="shared" si="1"/>
        <v/>
      </c>
      <c r="R632" s="9" t="str">
        <f t="shared" si="2"/>
        <v/>
      </c>
      <c r="S632" s="14" t="str">
        <f t="shared" si="3"/>
        <v/>
      </c>
      <c r="T632" s="15" t="str">
        <f>IFERROR(__xludf.DUMMYFUNCTION("IF($A632="""","""",IFERROR(PERCENTRANK.INC(FILTER(Q:Q,$F:$F&lt;&gt;""""),Q632)*100,""""))"),"")</f>
        <v/>
      </c>
      <c r="U632" s="15" t="str">
        <f>IFERROR(__xludf.DUMMYFUNCTION("IF($A632="""","""",IFERROR(PERCENTRANK.INC(FILTER(R:R,$F:$F&lt;&gt;""""),R632)*100,""""))"),"")</f>
        <v/>
      </c>
      <c r="V632" s="15" t="str">
        <f>IFERROR(__xludf.DUMMYFUNCTION("IF($A632="""","""",IFERROR(PERCENTRANK.INC(FILTER(S:S,$F:$F&lt;&gt;""""),S632)*100,""""))"),"")</f>
        <v/>
      </c>
      <c r="W632" s="15" t="str">
        <f t="shared" si="5"/>
        <v/>
      </c>
    </row>
    <row r="633">
      <c r="B633" t="str">
        <f t="array" ref="B633">IFERROR(INDEX('Player Raw Data'!C:C,Match($A633,'Player Raw Data'!$B:$B,0)),"")</f>
        <v/>
      </c>
      <c r="C633" t="str">
        <f t="array" ref="C633">IFERROR(INDEX('Player Raw Data'!D:D,Match($A633,'Player Raw Data'!$B:$B,0)),"")</f>
        <v/>
      </c>
      <c r="D633" t="str">
        <f t="array" ref="D633">IFERROR(IF(A633=A632, INDEX('Player Raw Data'!E:E,Match($A633,'Player Raw Data'!$B:$B,0)+2),INDEX('Player Raw Data'!E:E,Match($A633,'Player Raw Data'!$B:$B,0))),"")</f>
        <v/>
      </c>
      <c r="E633" t="str">
        <f t="array" ref="E633">IFERROR(INDEX('Day Range Raw Data'!D:D,Match($A633,'Day Range Raw Data'!$B:$B,0)),"")</f>
        <v/>
      </c>
      <c r="F633" t="str">
        <f t="array" ref="F633">IFERROR(INDEX('Day Range Raw Data'!F:F,Match($A633,'Day Range Raw Data'!$B:$B,0)),"")</f>
        <v/>
      </c>
      <c r="G633" t="str">
        <f t="array" ref="G633">IFERROR(INDEX('Day Range Raw Data'!G:G,Match($A633,'Day Range Raw Data'!$B:$B,0)),"")</f>
        <v/>
      </c>
      <c r="H633" t="str">
        <f t="array" ref="H633">IFERROR(INDEX('Day Range Raw Data'!H:H,Match($A633,'Day Range Raw Data'!$B:$B,0)),"")</f>
        <v/>
      </c>
      <c r="I633" t="str">
        <f t="array" ref="I633">IFERROR(INDEX('Day Range Raw Data'!M:M,Match($A633,'Day Range Raw Data'!$B:$B,0)),"")</f>
        <v/>
      </c>
      <c r="J633" t="str">
        <f t="array" ref="J633">IFERROR(INDEX('Day Range Raw Data'!N:N,Match($A633,'Day Range Raw Data'!$B:$B,0)),"")</f>
        <v/>
      </c>
      <c r="K633" t="str">
        <f t="array" ref="K633">IFERROR(INDEX('Day Range Raw Data'!R:R,Match($A633,'Day Range Raw Data'!$B:$B,0)),"")</f>
        <v/>
      </c>
      <c r="L633" t="str">
        <f t="array" ref="L633">IFERROR(INDEX('Day Range Raw Data'!S:S,Match($A633,'Day Range Raw Data'!$B:$B,0)),"")</f>
        <v/>
      </c>
      <c r="M633" t="str">
        <f t="array" ref="M633">IFERROR(INDEX('Day Range Raw Data'!T:T,Match($A633,'Day Range Raw Data'!$B:$B,0)),"")</f>
        <v/>
      </c>
      <c r="N633" t="str">
        <f t="array" ref="N633">IFERROR(INDEX('Day Range Raw Data'!U:U,Match($A633,'Day Range Raw Data'!$B:$B,0)),"")</f>
        <v/>
      </c>
      <c r="O633" t="str">
        <f t="array" ref="O633">IFERROR(INDEX('Day Range Raw Data'!V:V,Match($A633,'Day Range Raw Data'!$B:$B,0)),"")</f>
        <v/>
      </c>
      <c r="P633" t="str">
        <f t="array" ref="P633">IFERROR(INDEX('Day Range Raw Data'!X:X,Match($A633,'Day Range Raw Data'!$B:$B,0)),"")</f>
        <v/>
      </c>
      <c r="Q633" t="str">
        <f t="shared" si="1"/>
        <v/>
      </c>
      <c r="R633" s="9" t="str">
        <f t="shared" si="2"/>
        <v/>
      </c>
      <c r="S633" s="14" t="str">
        <f t="shared" si="3"/>
        <v/>
      </c>
      <c r="T633" s="15" t="str">
        <f>IFERROR(__xludf.DUMMYFUNCTION("IF($A633="""","""",IFERROR(PERCENTRANK.INC(FILTER(Q:Q,$F:$F&lt;&gt;""""),Q633)*100,""""))"),"")</f>
        <v/>
      </c>
      <c r="U633" s="15" t="str">
        <f>IFERROR(__xludf.DUMMYFUNCTION("IF($A633="""","""",IFERROR(PERCENTRANK.INC(FILTER(R:R,$F:$F&lt;&gt;""""),R633)*100,""""))"),"")</f>
        <v/>
      </c>
      <c r="V633" s="15" t="str">
        <f>IFERROR(__xludf.DUMMYFUNCTION("IF($A633="""","""",IFERROR(PERCENTRANK.INC(FILTER(S:S,$F:$F&lt;&gt;""""),S633)*100,""""))"),"")</f>
        <v/>
      </c>
      <c r="W633" s="15" t="str">
        <f t="shared" si="5"/>
        <v/>
      </c>
    </row>
    <row r="634">
      <c r="B634" t="str">
        <f t="array" ref="B634">IFERROR(INDEX('Player Raw Data'!C:C,Match($A634,'Player Raw Data'!$B:$B,0)),"")</f>
        <v/>
      </c>
      <c r="C634" t="str">
        <f t="array" ref="C634">IFERROR(INDEX('Player Raw Data'!D:D,Match($A634,'Player Raw Data'!$B:$B,0)),"")</f>
        <v/>
      </c>
      <c r="D634" t="str">
        <f t="array" ref="D634">IFERROR(IF(A634=A633, INDEX('Player Raw Data'!E:E,Match($A634,'Player Raw Data'!$B:$B,0)+2),INDEX('Player Raw Data'!E:E,Match($A634,'Player Raw Data'!$B:$B,0))),"")</f>
        <v/>
      </c>
      <c r="E634" t="str">
        <f t="array" ref="E634">IFERROR(INDEX('Day Range Raw Data'!D:D,Match($A634,'Day Range Raw Data'!$B:$B,0)),"")</f>
        <v/>
      </c>
      <c r="F634" t="str">
        <f t="array" ref="F634">IFERROR(INDEX('Day Range Raw Data'!F:F,Match($A634,'Day Range Raw Data'!$B:$B,0)),"")</f>
        <v/>
      </c>
      <c r="G634" t="str">
        <f t="array" ref="G634">IFERROR(INDEX('Day Range Raw Data'!G:G,Match($A634,'Day Range Raw Data'!$B:$B,0)),"")</f>
        <v/>
      </c>
      <c r="H634" t="str">
        <f t="array" ref="H634">IFERROR(INDEX('Day Range Raw Data'!H:H,Match($A634,'Day Range Raw Data'!$B:$B,0)),"")</f>
        <v/>
      </c>
      <c r="I634" t="str">
        <f t="array" ref="I634">IFERROR(INDEX('Day Range Raw Data'!M:M,Match($A634,'Day Range Raw Data'!$B:$B,0)),"")</f>
        <v/>
      </c>
      <c r="J634" t="str">
        <f t="array" ref="J634">IFERROR(INDEX('Day Range Raw Data'!N:N,Match($A634,'Day Range Raw Data'!$B:$B,0)),"")</f>
        <v/>
      </c>
      <c r="K634" t="str">
        <f t="array" ref="K634">IFERROR(INDEX('Day Range Raw Data'!R:R,Match($A634,'Day Range Raw Data'!$B:$B,0)),"")</f>
        <v/>
      </c>
      <c r="L634" t="str">
        <f t="array" ref="L634">IFERROR(INDEX('Day Range Raw Data'!S:S,Match($A634,'Day Range Raw Data'!$B:$B,0)),"")</f>
        <v/>
      </c>
      <c r="M634" t="str">
        <f t="array" ref="M634">IFERROR(INDEX('Day Range Raw Data'!T:T,Match($A634,'Day Range Raw Data'!$B:$B,0)),"")</f>
        <v/>
      </c>
      <c r="N634" t="str">
        <f t="array" ref="N634">IFERROR(INDEX('Day Range Raw Data'!U:U,Match($A634,'Day Range Raw Data'!$B:$B,0)),"")</f>
        <v/>
      </c>
      <c r="O634" t="str">
        <f t="array" ref="O634">IFERROR(INDEX('Day Range Raw Data'!V:V,Match($A634,'Day Range Raw Data'!$B:$B,0)),"")</f>
        <v/>
      </c>
      <c r="P634" t="str">
        <f t="array" ref="P634">IFERROR(INDEX('Day Range Raw Data'!X:X,Match($A634,'Day Range Raw Data'!$B:$B,0)),"")</f>
        <v/>
      </c>
      <c r="Q634" t="str">
        <f t="shared" si="1"/>
        <v/>
      </c>
      <c r="R634" s="9" t="str">
        <f t="shared" si="2"/>
        <v/>
      </c>
      <c r="S634" s="14" t="str">
        <f t="shared" si="3"/>
        <v/>
      </c>
      <c r="T634" s="15" t="str">
        <f>IFERROR(__xludf.DUMMYFUNCTION("IF($A634="""","""",IFERROR(PERCENTRANK.INC(FILTER(Q:Q,$F:$F&lt;&gt;""""),Q634)*100,""""))"),"")</f>
        <v/>
      </c>
      <c r="U634" s="15" t="str">
        <f>IFERROR(__xludf.DUMMYFUNCTION("IF($A634="""","""",IFERROR(PERCENTRANK.INC(FILTER(R:R,$F:$F&lt;&gt;""""),R634)*100,""""))"),"")</f>
        <v/>
      </c>
      <c r="V634" s="15" t="str">
        <f>IFERROR(__xludf.DUMMYFUNCTION("IF($A634="""","""",IFERROR(PERCENTRANK.INC(FILTER(S:S,$F:$F&lt;&gt;""""),S634)*100,""""))"),"")</f>
        <v/>
      </c>
      <c r="W634" s="15" t="str">
        <f t="shared" si="5"/>
        <v/>
      </c>
    </row>
    <row r="635">
      <c r="B635" t="str">
        <f t="array" ref="B635">IFERROR(INDEX('Player Raw Data'!C:C,Match($A635,'Player Raw Data'!$B:$B,0)),"")</f>
        <v/>
      </c>
      <c r="C635" t="str">
        <f t="array" ref="C635">IFERROR(INDEX('Player Raw Data'!D:D,Match($A635,'Player Raw Data'!$B:$B,0)),"")</f>
        <v/>
      </c>
      <c r="D635" t="str">
        <f t="array" ref="D635">IFERROR(IF(A635=A634, INDEX('Player Raw Data'!E:E,Match($A635,'Player Raw Data'!$B:$B,0)+2),INDEX('Player Raw Data'!E:E,Match($A635,'Player Raw Data'!$B:$B,0))),"")</f>
        <v/>
      </c>
      <c r="E635" t="str">
        <f t="array" ref="E635">IFERROR(INDEX('Day Range Raw Data'!D:D,Match($A635,'Day Range Raw Data'!$B:$B,0)),"")</f>
        <v/>
      </c>
      <c r="F635" t="str">
        <f t="array" ref="F635">IFERROR(INDEX('Day Range Raw Data'!F:F,Match($A635,'Day Range Raw Data'!$B:$B,0)),"")</f>
        <v/>
      </c>
      <c r="G635" t="str">
        <f t="array" ref="G635">IFERROR(INDEX('Day Range Raw Data'!G:G,Match($A635,'Day Range Raw Data'!$B:$B,0)),"")</f>
        <v/>
      </c>
      <c r="H635" t="str">
        <f t="array" ref="H635">IFERROR(INDEX('Day Range Raw Data'!H:H,Match($A635,'Day Range Raw Data'!$B:$B,0)),"")</f>
        <v/>
      </c>
      <c r="I635" t="str">
        <f t="array" ref="I635">IFERROR(INDEX('Day Range Raw Data'!M:M,Match($A635,'Day Range Raw Data'!$B:$B,0)),"")</f>
        <v/>
      </c>
      <c r="J635" t="str">
        <f t="array" ref="J635">IFERROR(INDEX('Day Range Raw Data'!N:N,Match($A635,'Day Range Raw Data'!$B:$B,0)),"")</f>
        <v/>
      </c>
      <c r="K635" t="str">
        <f t="array" ref="K635">IFERROR(INDEX('Day Range Raw Data'!R:R,Match($A635,'Day Range Raw Data'!$B:$B,0)),"")</f>
        <v/>
      </c>
      <c r="L635" t="str">
        <f t="array" ref="L635">IFERROR(INDEX('Day Range Raw Data'!S:S,Match($A635,'Day Range Raw Data'!$B:$B,0)),"")</f>
        <v/>
      </c>
      <c r="M635" t="str">
        <f t="array" ref="M635">IFERROR(INDEX('Day Range Raw Data'!T:T,Match($A635,'Day Range Raw Data'!$B:$B,0)),"")</f>
        <v/>
      </c>
      <c r="N635" t="str">
        <f t="array" ref="N635">IFERROR(INDEX('Day Range Raw Data'!U:U,Match($A635,'Day Range Raw Data'!$B:$B,0)),"")</f>
        <v/>
      </c>
      <c r="O635" t="str">
        <f t="array" ref="O635">IFERROR(INDEX('Day Range Raw Data'!V:V,Match($A635,'Day Range Raw Data'!$B:$B,0)),"")</f>
        <v/>
      </c>
      <c r="P635" t="str">
        <f t="array" ref="P635">IFERROR(INDEX('Day Range Raw Data'!X:X,Match($A635,'Day Range Raw Data'!$B:$B,0)),"")</f>
        <v/>
      </c>
      <c r="Q635" t="str">
        <f t="shared" si="1"/>
        <v/>
      </c>
      <c r="R635" s="9" t="str">
        <f t="shared" si="2"/>
        <v/>
      </c>
      <c r="S635" s="14" t="str">
        <f t="shared" si="3"/>
        <v/>
      </c>
      <c r="T635" s="15" t="str">
        <f>IFERROR(__xludf.DUMMYFUNCTION("IF($A635="""","""",IFERROR(PERCENTRANK.INC(FILTER(Q:Q,$F:$F&lt;&gt;""""),Q635)*100,""""))"),"")</f>
        <v/>
      </c>
      <c r="U635" s="15" t="str">
        <f>IFERROR(__xludf.DUMMYFUNCTION("IF($A635="""","""",IFERROR(PERCENTRANK.INC(FILTER(R:R,$F:$F&lt;&gt;""""),R635)*100,""""))"),"")</f>
        <v/>
      </c>
      <c r="V635" s="15" t="str">
        <f>IFERROR(__xludf.DUMMYFUNCTION("IF($A635="""","""",IFERROR(PERCENTRANK.INC(FILTER(S:S,$F:$F&lt;&gt;""""),S635)*100,""""))"),"")</f>
        <v/>
      </c>
      <c r="W635" s="15" t="str">
        <f t="shared" si="5"/>
        <v/>
      </c>
    </row>
    <row r="636">
      <c r="B636" t="str">
        <f t="array" ref="B636">IFERROR(INDEX('Player Raw Data'!C:C,Match($A636,'Player Raw Data'!$B:$B,0)),"")</f>
        <v/>
      </c>
      <c r="C636" t="str">
        <f t="array" ref="C636">IFERROR(INDEX('Player Raw Data'!D:D,Match($A636,'Player Raw Data'!$B:$B,0)),"")</f>
        <v/>
      </c>
      <c r="D636" t="str">
        <f t="array" ref="D636">IFERROR(IF(A636=A635, INDEX('Player Raw Data'!E:E,Match($A636,'Player Raw Data'!$B:$B,0)+2),INDEX('Player Raw Data'!E:E,Match($A636,'Player Raw Data'!$B:$B,0))),"")</f>
        <v/>
      </c>
      <c r="E636" t="str">
        <f t="array" ref="E636">IFERROR(INDEX('Day Range Raw Data'!D:D,Match($A636,'Day Range Raw Data'!$B:$B,0)),"")</f>
        <v/>
      </c>
      <c r="F636" t="str">
        <f t="array" ref="F636">IFERROR(INDEX('Day Range Raw Data'!F:F,Match($A636,'Day Range Raw Data'!$B:$B,0)),"")</f>
        <v/>
      </c>
      <c r="G636" t="str">
        <f t="array" ref="G636">IFERROR(INDEX('Day Range Raw Data'!G:G,Match($A636,'Day Range Raw Data'!$B:$B,0)),"")</f>
        <v/>
      </c>
      <c r="H636" t="str">
        <f t="array" ref="H636">IFERROR(INDEX('Day Range Raw Data'!H:H,Match($A636,'Day Range Raw Data'!$B:$B,0)),"")</f>
        <v/>
      </c>
      <c r="I636" t="str">
        <f t="array" ref="I636">IFERROR(INDEX('Day Range Raw Data'!M:M,Match($A636,'Day Range Raw Data'!$B:$B,0)),"")</f>
        <v/>
      </c>
      <c r="J636" t="str">
        <f t="array" ref="J636">IFERROR(INDEX('Day Range Raw Data'!N:N,Match($A636,'Day Range Raw Data'!$B:$B,0)),"")</f>
        <v/>
      </c>
      <c r="K636" t="str">
        <f t="array" ref="K636">IFERROR(INDEX('Day Range Raw Data'!R:R,Match($A636,'Day Range Raw Data'!$B:$B,0)),"")</f>
        <v/>
      </c>
      <c r="L636" t="str">
        <f t="array" ref="L636">IFERROR(INDEX('Day Range Raw Data'!S:S,Match($A636,'Day Range Raw Data'!$B:$B,0)),"")</f>
        <v/>
      </c>
      <c r="M636" t="str">
        <f t="array" ref="M636">IFERROR(INDEX('Day Range Raw Data'!T:T,Match($A636,'Day Range Raw Data'!$B:$B,0)),"")</f>
        <v/>
      </c>
      <c r="N636" t="str">
        <f t="array" ref="N636">IFERROR(INDEX('Day Range Raw Data'!U:U,Match($A636,'Day Range Raw Data'!$B:$B,0)),"")</f>
        <v/>
      </c>
      <c r="O636" t="str">
        <f t="array" ref="O636">IFERROR(INDEX('Day Range Raw Data'!V:V,Match($A636,'Day Range Raw Data'!$B:$B,0)),"")</f>
        <v/>
      </c>
      <c r="P636" t="str">
        <f t="array" ref="P636">IFERROR(INDEX('Day Range Raw Data'!X:X,Match($A636,'Day Range Raw Data'!$B:$B,0)),"")</f>
        <v/>
      </c>
      <c r="Q636" t="str">
        <f t="shared" si="1"/>
        <v/>
      </c>
      <c r="R636" s="9" t="str">
        <f t="shared" si="2"/>
        <v/>
      </c>
      <c r="S636" s="14" t="str">
        <f t="shared" si="3"/>
        <v/>
      </c>
      <c r="T636" s="15" t="str">
        <f>IFERROR(__xludf.DUMMYFUNCTION("IF($A636="""","""",IFERROR(PERCENTRANK.INC(FILTER(Q:Q,$F:$F&lt;&gt;""""),Q636)*100,""""))"),"")</f>
        <v/>
      </c>
      <c r="U636" s="15" t="str">
        <f>IFERROR(__xludf.DUMMYFUNCTION("IF($A636="""","""",IFERROR(PERCENTRANK.INC(FILTER(R:R,$F:$F&lt;&gt;""""),R636)*100,""""))"),"")</f>
        <v/>
      </c>
      <c r="V636" s="15" t="str">
        <f>IFERROR(__xludf.DUMMYFUNCTION("IF($A636="""","""",IFERROR(PERCENTRANK.INC(FILTER(S:S,$F:$F&lt;&gt;""""),S636)*100,""""))"),"")</f>
        <v/>
      </c>
      <c r="W636" s="15" t="str">
        <f t="shared" si="5"/>
        <v/>
      </c>
    </row>
    <row r="637">
      <c r="B637" t="str">
        <f t="array" ref="B637">IFERROR(INDEX('Player Raw Data'!C:C,Match($A637,'Player Raw Data'!$B:$B,0)),"")</f>
        <v/>
      </c>
      <c r="C637" t="str">
        <f t="array" ref="C637">IFERROR(INDEX('Player Raw Data'!D:D,Match($A637,'Player Raw Data'!$B:$B,0)),"")</f>
        <v/>
      </c>
      <c r="D637" t="str">
        <f t="array" ref="D637">IFERROR(IF(A637=A636, INDEX('Player Raw Data'!E:E,Match($A637,'Player Raw Data'!$B:$B,0)+2),INDEX('Player Raw Data'!E:E,Match($A637,'Player Raw Data'!$B:$B,0))),"")</f>
        <v/>
      </c>
      <c r="E637" t="str">
        <f t="array" ref="E637">IFERROR(INDEX('Day Range Raw Data'!D:D,Match($A637,'Day Range Raw Data'!$B:$B,0)),"")</f>
        <v/>
      </c>
      <c r="F637" t="str">
        <f t="array" ref="F637">IFERROR(INDEX('Day Range Raw Data'!F:F,Match($A637,'Day Range Raw Data'!$B:$B,0)),"")</f>
        <v/>
      </c>
      <c r="G637" t="str">
        <f t="array" ref="G637">IFERROR(INDEX('Day Range Raw Data'!G:G,Match($A637,'Day Range Raw Data'!$B:$B,0)),"")</f>
        <v/>
      </c>
      <c r="H637" t="str">
        <f t="array" ref="H637">IFERROR(INDEX('Day Range Raw Data'!H:H,Match($A637,'Day Range Raw Data'!$B:$B,0)),"")</f>
        <v/>
      </c>
      <c r="I637" t="str">
        <f t="array" ref="I637">IFERROR(INDEX('Day Range Raw Data'!M:M,Match($A637,'Day Range Raw Data'!$B:$B,0)),"")</f>
        <v/>
      </c>
      <c r="J637" t="str">
        <f t="array" ref="J637">IFERROR(INDEX('Day Range Raw Data'!N:N,Match($A637,'Day Range Raw Data'!$B:$B,0)),"")</f>
        <v/>
      </c>
      <c r="K637" t="str">
        <f t="array" ref="K637">IFERROR(INDEX('Day Range Raw Data'!R:R,Match($A637,'Day Range Raw Data'!$B:$B,0)),"")</f>
        <v/>
      </c>
      <c r="L637" t="str">
        <f t="array" ref="L637">IFERROR(INDEX('Day Range Raw Data'!S:S,Match($A637,'Day Range Raw Data'!$B:$B,0)),"")</f>
        <v/>
      </c>
      <c r="M637" t="str">
        <f t="array" ref="M637">IFERROR(INDEX('Day Range Raw Data'!T:T,Match($A637,'Day Range Raw Data'!$B:$B,0)),"")</f>
        <v/>
      </c>
      <c r="N637" t="str">
        <f t="array" ref="N637">IFERROR(INDEX('Day Range Raw Data'!U:U,Match($A637,'Day Range Raw Data'!$B:$B,0)),"")</f>
        <v/>
      </c>
      <c r="O637" t="str">
        <f t="array" ref="O637">IFERROR(INDEX('Day Range Raw Data'!V:V,Match($A637,'Day Range Raw Data'!$B:$B,0)),"")</f>
        <v/>
      </c>
      <c r="P637" t="str">
        <f t="array" ref="P637">IFERROR(INDEX('Day Range Raw Data'!X:X,Match($A637,'Day Range Raw Data'!$B:$B,0)),"")</f>
        <v/>
      </c>
      <c r="Q637" t="str">
        <f t="shared" si="1"/>
        <v/>
      </c>
      <c r="R637" s="9" t="str">
        <f t="shared" si="2"/>
        <v/>
      </c>
      <c r="S637" s="14" t="str">
        <f t="shared" si="3"/>
        <v/>
      </c>
      <c r="T637" s="15" t="str">
        <f>IFERROR(__xludf.DUMMYFUNCTION("IF($A637="""","""",IFERROR(PERCENTRANK.INC(FILTER(Q:Q,$F:$F&lt;&gt;""""),Q637)*100,""""))"),"")</f>
        <v/>
      </c>
      <c r="U637" s="15" t="str">
        <f>IFERROR(__xludf.DUMMYFUNCTION("IF($A637="""","""",IFERROR(PERCENTRANK.INC(FILTER(R:R,$F:$F&lt;&gt;""""),R637)*100,""""))"),"")</f>
        <v/>
      </c>
      <c r="V637" s="15" t="str">
        <f>IFERROR(__xludf.DUMMYFUNCTION("IF($A637="""","""",IFERROR(PERCENTRANK.INC(FILTER(S:S,$F:$F&lt;&gt;""""),S637)*100,""""))"),"")</f>
        <v/>
      </c>
      <c r="W637" s="15" t="str">
        <f t="shared" si="5"/>
        <v/>
      </c>
    </row>
    <row r="638">
      <c r="B638" t="str">
        <f t="array" ref="B638">IFERROR(INDEX('Player Raw Data'!C:C,Match($A638,'Player Raw Data'!$B:$B,0)),"")</f>
        <v/>
      </c>
      <c r="C638" t="str">
        <f t="array" ref="C638">IFERROR(INDEX('Player Raw Data'!D:D,Match($A638,'Player Raw Data'!$B:$B,0)),"")</f>
        <v/>
      </c>
      <c r="D638" t="str">
        <f t="array" ref="D638">IFERROR(IF(A638=A637, INDEX('Player Raw Data'!E:E,Match($A638,'Player Raw Data'!$B:$B,0)+2),INDEX('Player Raw Data'!E:E,Match($A638,'Player Raw Data'!$B:$B,0))),"")</f>
        <v/>
      </c>
      <c r="E638" t="str">
        <f t="array" ref="E638">IFERROR(INDEX('Day Range Raw Data'!D:D,Match($A638,'Day Range Raw Data'!$B:$B,0)),"")</f>
        <v/>
      </c>
      <c r="F638" t="str">
        <f t="array" ref="F638">IFERROR(INDEX('Day Range Raw Data'!F:F,Match($A638,'Day Range Raw Data'!$B:$B,0)),"")</f>
        <v/>
      </c>
      <c r="G638" t="str">
        <f t="array" ref="G638">IFERROR(INDEX('Day Range Raw Data'!G:G,Match($A638,'Day Range Raw Data'!$B:$B,0)),"")</f>
        <v/>
      </c>
      <c r="H638" t="str">
        <f t="array" ref="H638">IFERROR(INDEX('Day Range Raw Data'!H:H,Match($A638,'Day Range Raw Data'!$B:$B,0)),"")</f>
        <v/>
      </c>
      <c r="I638" t="str">
        <f t="array" ref="I638">IFERROR(INDEX('Day Range Raw Data'!M:M,Match($A638,'Day Range Raw Data'!$B:$B,0)),"")</f>
        <v/>
      </c>
      <c r="J638" t="str">
        <f t="array" ref="J638">IFERROR(INDEX('Day Range Raw Data'!N:N,Match($A638,'Day Range Raw Data'!$B:$B,0)),"")</f>
        <v/>
      </c>
      <c r="K638" t="str">
        <f t="array" ref="K638">IFERROR(INDEX('Day Range Raw Data'!R:R,Match($A638,'Day Range Raw Data'!$B:$B,0)),"")</f>
        <v/>
      </c>
      <c r="L638" t="str">
        <f t="array" ref="L638">IFERROR(INDEX('Day Range Raw Data'!S:S,Match($A638,'Day Range Raw Data'!$B:$B,0)),"")</f>
        <v/>
      </c>
      <c r="M638" t="str">
        <f t="array" ref="M638">IFERROR(INDEX('Day Range Raw Data'!T:T,Match($A638,'Day Range Raw Data'!$B:$B,0)),"")</f>
        <v/>
      </c>
      <c r="N638" t="str">
        <f t="array" ref="N638">IFERROR(INDEX('Day Range Raw Data'!U:U,Match($A638,'Day Range Raw Data'!$B:$B,0)),"")</f>
        <v/>
      </c>
      <c r="O638" t="str">
        <f t="array" ref="O638">IFERROR(INDEX('Day Range Raw Data'!V:V,Match($A638,'Day Range Raw Data'!$B:$B,0)),"")</f>
        <v/>
      </c>
      <c r="P638" t="str">
        <f t="array" ref="P638">IFERROR(INDEX('Day Range Raw Data'!X:X,Match($A638,'Day Range Raw Data'!$B:$B,0)),"")</f>
        <v/>
      </c>
      <c r="Q638" t="str">
        <f t="shared" si="1"/>
        <v/>
      </c>
      <c r="R638" s="9" t="str">
        <f t="shared" si="2"/>
        <v/>
      </c>
      <c r="S638" s="14" t="str">
        <f t="shared" si="3"/>
        <v/>
      </c>
      <c r="T638" s="15" t="str">
        <f>IFERROR(__xludf.DUMMYFUNCTION("IF($A638="""","""",IFERROR(PERCENTRANK.INC(FILTER(Q:Q,$F:$F&lt;&gt;""""),Q638)*100,""""))"),"")</f>
        <v/>
      </c>
      <c r="U638" s="15" t="str">
        <f>IFERROR(__xludf.DUMMYFUNCTION("IF($A638="""","""",IFERROR(PERCENTRANK.INC(FILTER(R:R,$F:$F&lt;&gt;""""),R638)*100,""""))"),"")</f>
        <v/>
      </c>
      <c r="V638" s="15" t="str">
        <f>IFERROR(__xludf.DUMMYFUNCTION("IF($A638="""","""",IFERROR(PERCENTRANK.INC(FILTER(S:S,$F:$F&lt;&gt;""""),S638)*100,""""))"),"")</f>
        <v/>
      </c>
      <c r="W638" s="15" t="str">
        <f t="shared" si="5"/>
        <v/>
      </c>
    </row>
    <row r="639">
      <c r="B639" t="str">
        <f t="array" ref="B639">IFERROR(INDEX('Player Raw Data'!C:C,Match($A639,'Player Raw Data'!$B:$B,0)),"")</f>
        <v/>
      </c>
      <c r="C639" t="str">
        <f t="array" ref="C639">IFERROR(INDEX('Player Raw Data'!D:D,Match($A639,'Player Raw Data'!$B:$B,0)),"")</f>
        <v/>
      </c>
      <c r="D639" t="str">
        <f t="array" ref="D639">IFERROR(IF(A639=A638, INDEX('Player Raw Data'!E:E,Match($A639,'Player Raw Data'!$B:$B,0)+2),INDEX('Player Raw Data'!E:E,Match($A639,'Player Raw Data'!$B:$B,0))),"")</f>
        <v/>
      </c>
      <c r="E639" t="str">
        <f t="array" ref="E639">IFERROR(INDEX('Day Range Raw Data'!D:D,Match($A639,'Day Range Raw Data'!$B:$B,0)),"")</f>
        <v/>
      </c>
      <c r="F639" t="str">
        <f t="array" ref="F639">IFERROR(INDEX('Day Range Raw Data'!F:F,Match($A639,'Day Range Raw Data'!$B:$B,0)),"")</f>
        <v/>
      </c>
      <c r="G639" t="str">
        <f t="array" ref="G639">IFERROR(INDEX('Day Range Raw Data'!G:G,Match($A639,'Day Range Raw Data'!$B:$B,0)),"")</f>
        <v/>
      </c>
      <c r="H639" t="str">
        <f t="array" ref="H639">IFERROR(INDEX('Day Range Raw Data'!H:H,Match($A639,'Day Range Raw Data'!$B:$B,0)),"")</f>
        <v/>
      </c>
      <c r="I639" t="str">
        <f t="array" ref="I639">IFERROR(INDEX('Day Range Raw Data'!M:M,Match($A639,'Day Range Raw Data'!$B:$B,0)),"")</f>
        <v/>
      </c>
      <c r="J639" t="str">
        <f t="array" ref="J639">IFERROR(INDEX('Day Range Raw Data'!N:N,Match($A639,'Day Range Raw Data'!$B:$B,0)),"")</f>
        <v/>
      </c>
      <c r="K639" t="str">
        <f t="array" ref="K639">IFERROR(INDEX('Day Range Raw Data'!R:R,Match($A639,'Day Range Raw Data'!$B:$B,0)),"")</f>
        <v/>
      </c>
      <c r="L639" t="str">
        <f t="array" ref="L639">IFERROR(INDEX('Day Range Raw Data'!S:S,Match($A639,'Day Range Raw Data'!$B:$B,0)),"")</f>
        <v/>
      </c>
      <c r="M639" t="str">
        <f t="array" ref="M639">IFERROR(INDEX('Day Range Raw Data'!T:T,Match($A639,'Day Range Raw Data'!$B:$B,0)),"")</f>
        <v/>
      </c>
      <c r="N639" t="str">
        <f t="array" ref="N639">IFERROR(INDEX('Day Range Raw Data'!U:U,Match($A639,'Day Range Raw Data'!$B:$B,0)),"")</f>
        <v/>
      </c>
      <c r="O639" t="str">
        <f t="array" ref="O639">IFERROR(INDEX('Day Range Raw Data'!V:V,Match($A639,'Day Range Raw Data'!$B:$B,0)),"")</f>
        <v/>
      </c>
      <c r="P639" t="str">
        <f t="array" ref="P639">IFERROR(INDEX('Day Range Raw Data'!X:X,Match($A639,'Day Range Raw Data'!$B:$B,0)),"")</f>
        <v/>
      </c>
      <c r="Q639" t="str">
        <f t="shared" si="1"/>
        <v/>
      </c>
      <c r="R639" s="9" t="str">
        <f t="shared" si="2"/>
        <v/>
      </c>
      <c r="S639" s="14" t="str">
        <f t="shared" si="3"/>
        <v/>
      </c>
      <c r="T639" s="15" t="str">
        <f>IFERROR(__xludf.DUMMYFUNCTION("IF($A639="""","""",IFERROR(PERCENTRANK.INC(FILTER(Q:Q,$F:$F&lt;&gt;""""),Q639)*100,""""))"),"")</f>
        <v/>
      </c>
      <c r="U639" s="15" t="str">
        <f>IFERROR(__xludf.DUMMYFUNCTION("IF($A639="""","""",IFERROR(PERCENTRANK.INC(FILTER(R:R,$F:$F&lt;&gt;""""),R639)*100,""""))"),"")</f>
        <v/>
      </c>
      <c r="V639" s="15" t="str">
        <f>IFERROR(__xludf.DUMMYFUNCTION("IF($A639="""","""",IFERROR(PERCENTRANK.INC(FILTER(S:S,$F:$F&lt;&gt;""""),S639)*100,""""))"),"")</f>
        <v/>
      </c>
      <c r="W639" s="15" t="str">
        <f t="shared" si="5"/>
        <v/>
      </c>
    </row>
    <row r="640">
      <c r="B640" t="str">
        <f t="array" ref="B640">IFERROR(INDEX('Player Raw Data'!C:C,Match($A640,'Player Raw Data'!$B:$B,0)),"")</f>
        <v/>
      </c>
      <c r="C640" t="str">
        <f t="array" ref="C640">IFERROR(INDEX('Player Raw Data'!D:D,Match($A640,'Player Raw Data'!$B:$B,0)),"")</f>
        <v/>
      </c>
      <c r="D640" t="str">
        <f t="array" ref="D640">IFERROR(IF(A640=A639, INDEX('Player Raw Data'!E:E,Match($A640,'Player Raw Data'!$B:$B,0)+2),INDEX('Player Raw Data'!E:E,Match($A640,'Player Raw Data'!$B:$B,0))),"")</f>
        <v/>
      </c>
      <c r="E640" t="str">
        <f t="array" ref="E640">IFERROR(INDEX('Day Range Raw Data'!D:D,Match($A640,'Day Range Raw Data'!$B:$B,0)),"")</f>
        <v/>
      </c>
      <c r="F640" t="str">
        <f t="array" ref="F640">IFERROR(INDEX('Day Range Raw Data'!F:F,Match($A640,'Day Range Raw Data'!$B:$B,0)),"")</f>
        <v/>
      </c>
      <c r="G640" t="str">
        <f t="array" ref="G640">IFERROR(INDEX('Day Range Raw Data'!G:G,Match($A640,'Day Range Raw Data'!$B:$B,0)),"")</f>
        <v/>
      </c>
      <c r="H640" t="str">
        <f t="array" ref="H640">IFERROR(INDEX('Day Range Raw Data'!H:H,Match($A640,'Day Range Raw Data'!$B:$B,0)),"")</f>
        <v/>
      </c>
      <c r="I640" t="str">
        <f t="array" ref="I640">IFERROR(INDEX('Day Range Raw Data'!M:M,Match($A640,'Day Range Raw Data'!$B:$B,0)),"")</f>
        <v/>
      </c>
      <c r="J640" t="str">
        <f t="array" ref="J640">IFERROR(INDEX('Day Range Raw Data'!N:N,Match($A640,'Day Range Raw Data'!$B:$B,0)),"")</f>
        <v/>
      </c>
      <c r="K640" t="str">
        <f t="array" ref="K640">IFERROR(INDEX('Day Range Raw Data'!R:R,Match($A640,'Day Range Raw Data'!$B:$B,0)),"")</f>
        <v/>
      </c>
      <c r="L640" t="str">
        <f t="array" ref="L640">IFERROR(INDEX('Day Range Raw Data'!S:S,Match($A640,'Day Range Raw Data'!$B:$B,0)),"")</f>
        <v/>
      </c>
      <c r="M640" t="str">
        <f t="array" ref="M640">IFERROR(INDEX('Day Range Raw Data'!T:T,Match($A640,'Day Range Raw Data'!$B:$B,0)),"")</f>
        <v/>
      </c>
      <c r="N640" t="str">
        <f t="array" ref="N640">IFERROR(INDEX('Day Range Raw Data'!U:U,Match($A640,'Day Range Raw Data'!$B:$B,0)),"")</f>
        <v/>
      </c>
      <c r="O640" t="str">
        <f t="array" ref="O640">IFERROR(INDEX('Day Range Raw Data'!V:V,Match($A640,'Day Range Raw Data'!$B:$B,0)),"")</f>
        <v/>
      </c>
      <c r="P640" t="str">
        <f t="array" ref="P640">IFERROR(INDEX('Day Range Raw Data'!X:X,Match($A640,'Day Range Raw Data'!$B:$B,0)),"")</f>
        <v/>
      </c>
      <c r="Q640" t="str">
        <f t="shared" si="1"/>
        <v/>
      </c>
      <c r="R640" s="9" t="str">
        <f t="shared" si="2"/>
        <v/>
      </c>
      <c r="S640" s="14" t="str">
        <f t="shared" si="3"/>
        <v/>
      </c>
      <c r="T640" s="15" t="str">
        <f>IFERROR(__xludf.DUMMYFUNCTION("IF($A640="""","""",IFERROR(PERCENTRANK.INC(FILTER(Q:Q,$F:$F&lt;&gt;""""),Q640)*100,""""))"),"")</f>
        <v/>
      </c>
      <c r="U640" s="15" t="str">
        <f>IFERROR(__xludf.DUMMYFUNCTION("IF($A640="""","""",IFERROR(PERCENTRANK.INC(FILTER(R:R,$F:$F&lt;&gt;""""),R640)*100,""""))"),"")</f>
        <v/>
      </c>
      <c r="V640" s="15" t="str">
        <f>IFERROR(__xludf.DUMMYFUNCTION("IF($A640="""","""",IFERROR(PERCENTRANK.INC(FILTER(S:S,$F:$F&lt;&gt;""""),S640)*100,""""))"),"")</f>
        <v/>
      </c>
      <c r="W640" s="15" t="str">
        <f t="shared" si="5"/>
        <v/>
      </c>
    </row>
    <row r="641">
      <c r="B641" t="str">
        <f t="array" ref="B641">IFERROR(INDEX('Player Raw Data'!C:C,Match($A641,'Player Raw Data'!$B:$B,0)),"")</f>
        <v/>
      </c>
      <c r="C641" t="str">
        <f t="array" ref="C641">IFERROR(INDEX('Player Raw Data'!D:D,Match($A641,'Player Raw Data'!$B:$B,0)),"")</f>
        <v/>
      </c>
      <c r="D641" t="str">
        <f t="array" ref="D641">IFERROR(IF(A641=A640, INDEX('Player Raw Data'!E:E,Match($A641,'Player Raw Data'!$B:$B,0)+2),INDEX('Player Raw Data'!E:E,Match($A641,'Player Raw Data'!$B:$B,0))),"")</f>
        <v/>
      </c>
      <c r="E641" t="str">
        <f t="array" ref="E641">IFERROR(INDEX('Day Range Raw Data'!D:D,Match($A641,'Day Range Raw Data'!$B:$B,0)),"")</f>
        <v/>
      </c>
      <c r="F641" t="str">
        <f t="array" ref="F641">IFERROR(INDEX('Day Range Raw Data'!F:F,Match($A641,'Day Range Raw Data'!$B:$B,0)),"")</f>
        <v/>
      </c>
      <c r="G641" t="str">
        <f t="array" ref="G641">IFERROR(INDEX('Day Range Raw Data'!G:G,Match($A641,'Day Range Raw Data'!$B:$B,0)),"")</f>
        <v/>
      </c>
      <c r="H641" t="str">
        <f t="array" ref="H641">IFERROR(INDEX('Day Range Raw Data'!H:H,Match($A641,'Day Range Raw Data'!$B:$B,0)),"")</f>
        <v/>
      </c>
      <c r="I641" t="str">
        <f t="array" ref="I641">IFERROR(INDEX('Day Range Raw Data'!M:M,Match($A641,'Day Range Raw Data'!$B:$B,0)),"")</f>
        <v/>
      </c>
      <c r="J641" t="str">
        <f t="array" ref="J641">IFERROR(INDEX('Day Range Raw Data'!N:N,Match($A641,'Day Range Raw Data'!$B:$B,0)),"")</f>
        <v/>
      </c>
      <c r="K641" t="str">
        <f t="array" ref="K641">IFERROR(INDEX('Day Range Raw Data'!R:R,Match($A641,'Day Range Raw Data'!$B:$B,0)),"")</f>
        <v/>
      </c>
      <c r="L641" t="str">
        <f t="array" ref="L641">IFERROR(INDEX('Day Range Raw Data'!S:S,Match($A641,'Day Range Raw Data'!$B:$B,0)),"")</f>
        <v/>
      </c>
      <c r="M641" t="str">
        <f t="array" ref="M641">IFERROR(INDEX('Day Range Raw Data'!T:T,Match($A641,'Day Range Raw Data'!$B:$B,0)),"")</f>
        <v/>
      </c>
      <c r="N641" t="str">
        <f t="array" ref="N641">IFERROR(INDEX('Day Range Raw Data'!U:U,Match($A641,'Day Range Raw Data'!$B:$B,0)),"")</f>
        <v/>
      </c>
      <c r="O641" t="str">
        <f t="array" ref="O641">IFERROR(INDEX('Day Range Raw Data'!V:V,Match($A641,'Day Range Raw Data'!$B:$B,0)),"")</f>
        <v/>
      </c>
      <c r="P641" t="str">
        <f t="array" ref="P641">IFERROR(INDEX('Day Range Raw Data'!X:X,Match($A641,'Day Range Raw Data'!$B:$B,0)),"")</f>
        <v/>
      </c>
      <c r="Q641" t="str">
        <f t="shared" si="1"/>
        <v/>
      </c>
      <c r="R641" s="9" t="str">
        <f t="shared" si="2"/>
        <v/>
      </c>
      <c r="S641" s="14" t="str">
        <f t="shared" si="3"/>
        <v/>
      </c>
      <c r="T641" s="15" t="str">
        <f>IFERROR(__xludf.DUMMYFUNCTION("IF($A641="""","""",IFERROR(PERCENTRANK.INC(FILTER(Q:Q,$F:$F&lt;&gt;""""),Q641)*100,""""))"),"")</f>
        <v/>
      </c>
      <c r="U641" s="15" t="str">
        <f>IFERROR(__xludf.DUMMYFUNCTION("IF($A641="""","""",IFERROR(PERCENTRANK.INC(FILTER(R:R,$F:$F&lt;&gt;""""),R641)*100,""""))"),"")</f>
        <v/>
      </c>
      <c r="V641" s="15" t="str">
        <f>IFERROR(__xludf.DUMMYFUNCTION("IF($A641="""","""",IFERROR(PERCENTRANK.INC(FILTER(S:S,$F:$F&lt;&gt;""""),S641)*100,""""))"),"")</f>
        <v/>
      </c>
      <c r="W641" s="15" t="str">
        <f t="shared" si="5"/>
        <v/>
      </c>
    </row>
    <row r="642">
      <c r="B642" t="str">
        <f t="array" ref="B642">IFERROR(INDEX('Player Raw Data'!C:C,Match($A642,'Player Raw Data'!$B:$B,0)),"")</f>
        <v/>
      </c>
      <c r="C642" t="str">
        <f t="array" ref="C642">IFERROR(INDEX('Player Raw Data'!D:D,Match($A642,'Player Raw Data'!$B:$B,0)),"")</f>
        <v/>
      </c>
      <c r="D642" t="str">
        <f t="array" ref="D642">IFERROR(IF(A642=A641, INDEX('Player Raw Data'!E:E,Match($A642,'Player Raw Data'!$B:$B,0)+2),INDEX('Player Raw Data'!E:E,Match($A642,'Player Raw Data'!$B:$B,0))),"")</f>
        <v/>
      </c>
      <c r="E642" t="str">
        <f t="array" ref="E642">IFERROR(INDEX('Day Range Raw Data'!D:D,Match($A642,'Day Range Raw Data'!$B:$B,0)),"")</f>
        <v/>
      </c>
      <c r="F642" t="str">
        <f t="array" ref="F642">IFERROR(INDEX('Day Range Raw Data'!F:F,Match($A642,'Day Range Raw Data'!$B:$B,0)),"")</f>
        <v/>
      </c>
      <c r="G642" t="str">
        <f t="array" ref="G642">IFERROR(INDEX('Day Range Raw Data'!G:G,Match($A642,'Day Range Raw Data'!$B:$B,0)),"")</f>
        <v/>
      </c>
      <c r="H642" t="str">
        <f t="array" ref="H642">IFERROR(INDEX('Day Range Raw Data'!H:H,Match($A642,'Day Range Raw Data'!$B:$B,0)),"")</f>
        <v/>
      </c>
      <c r="I642" t="str">
        <f t="array" ref="I642">IFERROR(INDEX('Day Range Raw Data'!M:M,Match($A642,'Day Range Raw Data'!$B:$B,0)),"")</f>
        <v/>
      </c>
      <c r="J642" t="str">
        <f t="array" ref="J642">IFERROR(INDEX('Day Range Raw Data'!N:N,Match($A642,'Day Range Raw Data'!$B:$B,0)),"")</f>
        <v/>
      </c>
      <c r="K642" t="str">
        <f t="array" ref="K642">IFERROR(INDEX('Day Range Raw Data'!R:R,Match($A642,'Day Range Raw Data'!$B:$B,0)),"")</f>
        <v/>
      </c>
      <c r="L642" t="str">
        <f t="array" ref="L642">IFERROR(INDEX('Day Range Raw Data'!S:S,Match($A642,'Day Range Raw Data'!$B:$B,0)),"")</f>
        <v/>
      </c>
      <c r="M642" t="str">
        <f t="array" ref="M642">IFERROR(INDEX('Day Range Raw Data'!T:T,Match($A642,'Day Range Raw Data'!$B:$B,0)),"")</f>
        <v/>
      </c>
      <c r="N642" t="str">
        <f t="array" ref="N642">IFERROR(INDEX('Day Range Raw Data'!U:U,Match($A642,'Day Range Raw Data'!$B:$B,0)),"")</f>
        <v/>
      </c>
      <c r="O642" t="str">
        <f t="array" ref="O642">IFERROR(INDEX('Day Range Raw Data'!V:V,Match($A642,'Day Range Raw Data'!$B:$B,0)),"")</f>
        <v/>
      </c>
      <c r="P642" t="str">
        <f t="array" ref="P642">IFERROR(INDEX('Day Range Raw Data'!X:X,Match($A642,'Day Range Raw Data'!$B:$B,0)),"")</f>
        <v/>
      </c>
      <c r="Q642" t="str">
        <f t="shared" si="1"/>
        <v/>
      </c>
      <c r="R642" s="9" t="str">
        <f t="shared" si="2"/>
        <v/>
      </c>
      <c r="S642" s="14" t="str">
        <f t="shared" si="3"/>
        <v/>
      </c>
      <c r="T642" s="15" t="str">
        <f>IFERROR(__xludf.DUMMYFUNCTION("IF($A642="""","""",IFERROR(PERCENTRANK.INC(FILTER(Q:Q,$F:$F&lt;&gt;""""),Q642)*100,""""))"),"")</f>
        <v/>
      </c>
      <c r="U642" s="15" t="str">
        <f>IFERROR(__xludf.DUMMYFUNCTION("IF($A642="""","""",IFERROR(PERCENTRANK.INC(FILTER(R:R,$F:$F&lt;&gt;""""),R642)*100,""""))"),"")</f>
        <v/>
      </c>
      <c r="V642" s="15" t="str">
        <f>IFERROR(__xludf.DUMMYFUNCTION("IF($A642="""","""",IFERROR(PERCENTRANK.INC(FILTER(S:S,$F:$F&lt;&gt;""""),S642)*100,""""))"),"")</f>
        <v/>
      </c>
      <c r="W642" s="15" t="str">
        <f t="shared" si="5"/>
        <v/>
      </c>
    </row>
    <row r="643">
      <c r="B643" t="str">
        <f t="array" ref="B643">IFERROR(INDEX('Player Raw Data'!C:C,Match($A643,'Player Raw Data'!$B:$B,0)),"")</f>
        <v/>
      </c>
      <c r="C643" t="str">
        <f t="array" ref="C643">IFERROR(INDEX('Player Raw Data'!D:D,Match($A643,'Player Raw Data'!$B:$B,0)),"")</f>
        <v/>
      </c>
      <c r="D643" t="str">
        <f t="array" ref="D643">IFERROR(IF(A643=A642, INDEX('Player Raw Data'!E:E,Match($A643,'Player Raw Data'!$B:$B,0)+2),INDEX('Player Raw Data'!E:E,Match($A643,'Player Raw Data'!$B:$B,0))),"")</f>
        <v/>
      </c>
      <c r="E643" t="str">
        <f t="array" ref="E643">IFERROR(INDEX('Day Range Raw Data'!D:D,Match($A643,'Day Range Raw Data'!$B:$B,0)),"")</f>
        <v/>
      </c>
      <c r="F643" t="str">
        <f t="array" ref="F643">IFERROR(INDEX('Day Range Raw Data'!F:F,Match($A643,'Day Range Raw Data'!$B:$B,0)),"")</f>
        <v/>
      </c>
      <c r="G643" t="str">
        <f t="array" ref="G643">IFERROR(INDEX('Day Range Raw Data'!G:G,Match($A643,'Day Range Raw Data'!$B:$B,0)),"")</f>
        <v/>
      </c>
      <c r="H643" t="str">
        <f t="array" ref="H643">IFERROR(INDEX('Day Range Raw Data'!H:H,Match($A643,'Day Range Raw Data'!$B:$B,0)),"")</f>
        <v/>
      </c>
      <c r="I643" t="str">
        <f t="array" ref="I643">IFERROR(INDEX('Day Range Raw Data'!M:M,Match($A643,'Day Range Raw Data'!$B:$B,0)),"")</f>
        <v/>
      </c>
      <c r="J643" t="str">
        <f t="array" ref="J643">IFERROR(INDEX('Day Range Raw Data'!N:N,Match($A643,'Day Range Raw Data'!$B:$B,0)),"")</f>
        <v/>
      </c>
      <c r="K643" t="str">
        <f t="array" ref="K643">IFERROR(INDEX('Day Range Raw Data'!R:R,Match($A643,'Day Range Raw Data'!$B:$B,0)),"")</f>
        <v/>
      </c>
      <c r="L643" t="str">
        <f t="array" ref="L643">IFERROR(INDEX('Day Range Raw Data'!S:S,Match($A643,'Day Range Raw Data'!$B:$B,0)),"")</f>
        <v/>
      </c>
      <c r="M643" t="str">
        <f t="array" ref="M643">IFERROR(INDEX('Day Range Raw Data'!T:T,Match($A643,'Day Range Raw Data'!$B:$B,0)),"")</f>
        <v/>
      </c>
      <c r="N643" t="str">
        <f t="array" ref="N643">IFERROR(INDEX('Day Range Raw Data'!U:U,Match($A643,'Day Range Raw Data'!$B:$B,0)),"")</f>
        <v/>
      </c>
      <c r="O643" t="str">
        <f t="array" ref="O643">IFERROR(INDEX('Day Range Raw Data'!V:V,Match($A643,'Day Range Raw Data'!$B:$B,0)),"")</f>
        <v/>
      </c>
      <c r="P643" t="str">
        <f t="array" ref="P643">IFERROR(INDEX('Day Range Raw Data'!X:X,Match($A643,'Day Range Raw Data'!$B:$B,0)),"")</f>
        <v/>
      </c>
      <c r="Q643" t="str">
        <f t="shared" si="1"/>
        <v/>
      </c>
      <c r="R643" s="9" t="str">
        <f t="shared" si="2"/>
        <v/>
      </c>
      <c r="S643" s="14" t="str">
        <f t="shared" si="3"/>
        <v/>
      </c>
      <c r="T643" s="15" t="str">
        <f>IFERROR(__xludf.DUMMYFUNCTION("IF($A643="""","""",IFERROR(PERCENTRANK.INC(FILTER(Q:Q,$F:$F&lt;&gt;""""),Q643)*100,""""))"),"")</f>
        <v/>
      </c>
      <c r="U643" s="15" t="str">
        <f>IFERROR(__xludf.DUMMYFUNCTION("IF($A643="""","""",IFERROR(PERCENTRANK.INC(FILTER(R:R,$F:$F&lt;&gt;""""),R643)*100,""""))"),"")</f>
        <v/>
      </c>
      <c r="V643" s="15" t="str">
        <f>IFERROR(__xludf.DUMMYFUNCTION("IF($A643="""","""",IFERROR(PERCENTRANK.INC(FILTER(S:S,$F:$F&lt;&gt;""""),S643)*100,""""))"),"")</f>
        <v/>
      </c>
      <c r="W643" s="15" t="str">
        <f t="shared" si="5"/>
        <v/>
      </c>
    </row>
    <row r="644">
      <c r="B644" t="str">
        <f t="array" ref="B644">IFERROR(INDEX('Player Raw Data'!C:C,Match($A644,'Player Raw Data'!$B:$B,0)),"")</f>
        <v/>
      </c>
      <c r="C644" t="str">
        <f t="array" ref="C644">IFERROR(INDEX('Player Raw Data'!D:D,Match($A644,'Player Raw Data'!$B:$B,0)),"")</f>
        <v/>
      </c>
      <c r="D644" t="str">
        <f t="array" ref="D644">IFERROR(IF(A644=A643, INDEX('Player Raw Data'!E:E,Match($A644,'Player Raw Data'!$B:$B,0)+2),INDEX('Player Raw Data'!E:E,Match($A644,'Player Raw Data'!$B:$B,0))),"")</f>
        <v/>
      </c>
      <c r="E644" t="str">
        <f t="array" ref="E644">IFERROR(INDEX('Day Range Raw Data'!D:D,Match($A644,'Day Range Raw Data'!$B:$B,0)),"")</f>
        <v/>
      </c>
      <c r="F644" t="str">
        <f t="array" ref="F644">IFERROR(INDEX('Day Range Raw Data'!F:F,Match($A644,'Day Range Raw Data'!$B:$B,0)),"")</f>
        <v/>
      </c>
      <c r="G644" t="str">
        <f t="array" ref="G644">IFERROR(INDEX('Day Range Raw Data'!G:G,Match($A644,'Day Range Raw Data'!$B:$B,0)),"")</f>
        <v/>
      </c>
      <c r="H644" t="str">
        <f t="array" ref="H644">IFERROR(INDEX('Day Range Raw Data'!H:H,Match($A644,'Day Range Raw Data'!$B:$B,0)),"")</f>
        <v/>
      </c>
      <c r="I644" t="str">
        <f t="array" ref="I644">IFERROR(INDEX('Day Range Raw Data'!M:M,Match($A644,'Day Range Raw Data'!$B:$B,0)),"")</f>
        <v/>
      </c>
      <c r="J644" t="str">
        <f t="array" ref="J644">IFERROR(INDEX('Day Range Raw Data'!N:N,Match($A644,'Day Range Raw Data'!$B:$B,0)),"")</f>
        <v/>
      </c>
      <c r="K644" t="str">
        <f t="array" ref="K644">IFERROR(INDEX('Day Range Raw Data'!R:R,Match($A644,'Day Range Raw Data'!$B:$B,0)),"")</f>
        <v/>
      </c>
      <c r="L644" t="str">
        <f t="array" ref="L644">IFERROR(INDEX('Day Range Raw Data'!S:S,Match($A644,'Day Range Raw Data'!$B:$B,0)),"")</f>
        <v/>
      </c>
      <c r="M644" t="str">
        <f t="array" ref="M644">IFERROR(INDEX('Day Range Raw Data'!T:T,Match($A644,'Day Range Raw Data'!$B:$B,0)),"")</f>
        <v/>
      </c>
      <c r="N644" t="str">
        <f t="array" ref="N644">IFERROR(INDEX('Day Range Raw Data'!U:U,Match($A644,'Day Range Raw Data'!$B:$B,0)),"")</f>
        <v/>
      </c>
      <c r="O644" t="str">
        <f t="array" ref="O644">IFERROR(INDEX('Day Range Raw Data'!V:V,Match($A644,'Day Range Raw Data'!$B:$B,0)),"")</f>
        <v/>
      </c>
      <c r="P644" t="str">
        <f t="array" ref="P644">IFERROR(INDEX('Day Range Raw Data'!X:X,Match($A644,'Day Range Raw Data'!$B:$B,0)),"")</f>
        <v/>
      </c>
      <c r="Q644" t="str">
        <f t="shared" si="1"/>
        <v/>
      </c>
      <c r="R644" s="9" t="str">
        <f t="shared" si="2"/>
        <v/>
      </c>
      <c r="S644" s="14" t="str">
        <f t="shared" si="3"/>
        <v/>
      </c>
      <c r="T644" s="15" t="str">
        <f>IFERROR(__xludf.DUMMYFUNCTION("IF($A644="""","""",IFERROR(PERCENTRANK.INC(FILTER(Q:Q,$F:$F&lt;&gt;""""),Q644)*100,""""))"),"")</f>
        <v/>
      </c>
      <c r="U644" s="15" t="str">
        <f>IFERROR(__xludf.DUMMYFUNCTION("IF($A644="""","""",IFERROR(PERCENTRANK.INC(FILTER(R:R,$F:$F&lt;&gt;""""),R644)*100,""""))"),"")</f>
        <v/>
      </c>
      <c r="V644" s="15" t="str">
        <f>IFERROR(__xludf.DUMMYFUNCTION("IF($A644="""","""",IFERROR(PERCENTRANK.INC(FILTER(S:S,$F:$F&lt;&gt;""""),S644)*100,""""))"),"")</f>
        <v/>
      </c>
      <c r="W644" s="15" t="str">
        <f t="shared" si="5"/>
        <v/>
      </c>
    </row>
    <row r="645">
      <c r="B645" t="str">
        <f t="array" ref="B645">IFERROR(INDEX('Player Raw Data'!C:C,Match($A645,'Player Raw Data'!$B:$B,0)),"")</f>
        <v/>
      </c>
      <c r="C645" t="str">
        <f t="array" ref="C645">IFERROR(INDEX('Player Raw Data'!D:D,Match($A645,'Player Raw Data'!$B:$B,0)),"")</f>
        <v/>
      </c>
      <c r="D645" t="str">
        <f t="array" ref="D645">IFERROR(IF(A645=A644, INDEX('Player Raw Data'!E:E,Match($A645,'Player Raw Data'!$B:$B,0)+2),INDEX('Player Raw Data'!E:E,Match($A645,'Player Raw Data'!$B:$B,0))),"")</f>
        <v/>
      </c>
      <c r="E645" t="str">
        <f t="array" ref="E645">IFERROR(INDEX('Day Range Raw Data'!D:D,Match($A645,'Day Range Raw Data'!$B:$B,0)),"")</f>
        <v/>
      </c>
      <c r="F645" t="str">
        <f t="array" ref="F645">IFERROR(INDEX('Day Range Raw Data'!F:F,Match($A645,'Day Range Raw Data'!$B:$B,0)),"")</f>
        <v/>
      </c>
      <c r="G645" t="str">
        <f t="array" ref="G645">IFERROR(INDEX('Day Range Raw Data'!G:G,Match($A645,'Day Range Raw Data'!$B:$B,0)),"")</f>
        <v/>
      </c>
      <c r="H645" t="str">
        <f t="array" ref="H645">IFERROR(INDEX('Day Range Raw Data'!H:H,Match($A645,'Day Range Raw Data'!$B:$B,0)),"")</f>
        <v/>
      </c>
      <c r="I645" t="str">
        <f t="array" ref="I645">IFERROR(INDEX('Day Range Raw Data'!M:M,Match($A645,'Day Range Raw Data'!$B:$B,0)),"")</f>
        <v/>
      </c>
      <c r="J645" t="str">
        <f t="array" ref="J645">IFERROR(INDEX('Day Range Raw Data'!N:N,Match($A645,'Day Range Raw Data'!$B:$B,0)),"")</f>
        <v/>
      </c>
      <c r="K645" t="str">
        <f t="array" ref="K645">IFERROR(INDEX('Day Range Raw Data'!R:R,Match($A645,'Day Range Raw Data'!$B:$B,0)),"")</f>
        <v/>
      </c>
      <c r="L645" t="str">
        <f t="array" ref="L645">IFERROR(INDEX('Day Range Raw Data'!S:S,Match($A645,'Day Range Raw Data'!$B:$B,0)),"")</f>
        <v/>
      </c>
      <c r="M645" t="str">
        <f t="array" ref="M645">IFERROR(INDEX('Day Range Raw Data'!T:T,Match($A645,'Day Range Raw Data'!$B:$B,0)),"")</f>
        <v/>
      </c>
      <c r="N645" t="str">
        <f t="array" ref="N645">IFERROR(INDEX('Day Range Raw Data'!U:U,Match($A645,'Day Range Raw Data'!$B:$B,0)),"")</f>
        <v/>
      </c>
      <c r="O645" t="str">
        <f t="array" ref="O645">IFERROR(INDEX('Day Range Raw Data'!V:V,Match($A645,'Day Range Raw Data'!$B:$B,0)),"")</f>
        <v/>
      </c>
      <c r="P645" t="str">
        <f t="array" ref="P645">IFERROR(INDEX('Day Range Raw Data'!X:X,Match($A645,'Day Range Raw Data'!$B:$B,0)),"")</f>
        <v/>
      </c>
      <c r="Q645" t="str">
        <f t="shared" si="1"/>
        <v/>
      </c>
      <c r="R645" s="9" t="str">
        <f t="shared" si="2"/>
        <v/>
      </c>
      <c r="S645" s="14" t="str">
        <f t="shared" si="3"/>
        <v/>
      </c>
      <c r="T645" s="15" t="str">
        <f>IFERROR(__xludf.DUMMYFUNCTION("IF($A645="""","""",IFERROR(PERCENTRANK.INC(FILTER(Q:Q,$F:$F&lt;&gt;""""),Q645)*100,""""))"),"")</f>
        <v/>
      </c>
      <c r="U645" s="15" t="str">
        <f>IFERROR(__xludf.DUMMYFUNCTION("IF($A645="""","""",IFERROR(PERCENTRANK.INC(FILTER(R:R,$F:$F&lt;&gt;""""),R645)*100,""""))"),"")</f>
        <v/>
      </c>
      <c r="V645" s="15" t="str">
        <f>IFERROR(__xludf.DUMMYFUNCTION("IF($A645="""","""",IFERROR(PERCENTRANK.INC(FILTER(S:S,$F:$F&lt;&gt;""""),S645)*100,""""))"),"")</f>
        <v/>
      </c>
      <c r="W645" s="15" t="str">
        <f t="shared" si="5"/>
        <v/>
      </c>
    </row>
    <row r="646">
      <c r="B646" t="str">
        <f t="array" ref="B646">IFERROR(INDEX('Player Raw Data'!C:C,Match($A646,'Player Raw Data'!$B:$B,0)),"")</f>
        <v/>
      </c>
      <c r="C646" t="str">
        <f t="array" ref="C646">IFERROR(INDEX('Player Raw Data'!D:D,Match($A646,'Player Raw Data'!$B:$B,0)),"")</f>
        <v/>
      </c>
      <c r="D646" t="str">
        <f t="array" ref="D646">IFERROR(IF(A646=A645, INDEX('Player Raw Data'!E:E,Match($A646,'Player Raw Data'!$B:$B,0)+2),INDEX('Player Raw Data'!E:E,Match($A646,'Player Raw Data'!$B:$B,0))),"")</f>
        <v/>
      </c>
      <c r="E646" t="str">
        <f t="array" ref="E646">IFERROR(INDEX('Day Range Raw Data'!D:D,Match($A646,'Day Range Raw Data'!$B:$B,0)),"")</f>
        <v/>
      </c>
      <c r="F646" t="str">
        <f t="array" ref="F646">IFERROR(INDEX('Day Range Raw Data'!F:F,Match($A646,'Day Range Raw Data'!$B:$B,0)),"")</f>
        <v/>
      </c>
      <c r="G646" t="str">
        <f t="array" ref="G646">IFERROR(INDEX('Day Range Raw Data'!G:G,Match($A646,'Day Range Raw Data'!$B:$B,0)),"")</f>
        <v/>
      </c>
      <c r="H646" t="str">
        <f t="array" ref="H646">IFERROR(INDEX('Day Range Raw Data'!H:H,Match($A646,'Day Range Raw Data'!$B:$B,0)),"")</f>
        <v/>
      </c>
      <c r="I646" t="str">
        <f t="array" ref="I646">IFERROR(INDEX('Day Range Raw Data'!M:M,Match($A646,'Day Range Raw Data'!$B:$B,0)),"")</f>
        <v/>
      </c>
      <c r="J646" t="str">
        <f t="array" ref="J646">IFERROR(INDEX('Day Range Raw Data'!N:N,Match($A646,'Day Range Raw Data'!$B:$B,0)),"")</f>
        <v/>
      </c>
      <c r="K646" t="str">
        <f t="array" ref="K646">IFERROR(INDEX('Day Range Raw Data'!R:R,Match($A646,'Day Range Raw Data'!$B:$B,0)),"")</f>
        <v/>
      </c>
      <c r="L646" t="str">
        <f t="array" ref="L646">IFERROR(INDEX('Day Range Raw Data'!S:S,Match($A646,'Day Range Raw Data'!$B:$B,0)),"")</f>
        <v/>
      </c>
      <c r="M646" t="str">
        <f t="array" ref="M646">IFERROR(INDEX('Day Range Raw Data'!T:T,Match($A646,'Day Range Raw Data'!$B:$B,0)),"")</f>
        <v/>
      </c>
      <c r="N646" t="str">
        <f t="array" ref="N646">IFERROR(INDEX('Day Range Raw Data'!U:U,Match($A646,'Day Range Raw Data'!$B:$B,0)),"")</f>
        <v/>
      </c>
      <c r="O646" t="str">
        <f t="array" ref="O646">IFERROR(INDEX('Day Range Raw Data'!V:V,Match($A646,'Day Range Raw Data'!$B:$B,0)),"")</f>
        <v/>
      </c>
      <c r="P646" t="str">
        <f t="array" ref="P646">IFERROR(INDEX('Day Range Raw Data'!X:X,Match($A646,'Day Range Raw Data'!$B:$B,0)),"")</f>
        <v/>
      </c>
      <c r="Q646" t="str">
        <f t="shared" si="1"/>
        <v/>
      </c>
      <c r="R646" s="9" t="str">
        <f t="shared" si="2"/>
        <v/>
      </c>
      <c r="S646" s="14" t="str">
        <f t="shared" si="3"/>
        <v/>
      </c>
      <c r="T646" s="15" t="str">
        <f>IFERROR(__xludf.DUMMYFUNCTION("IF($A646="""","""",IFERROR(PERCENTRANK.INC(FILTER(Q:Q,$F:$F&lt;&gt;""""),Q646)*100,""""))"),"")</f>
        <v/>
      </c>
      <c r="U646" s="15" t="str">
        <f>IFERROR(__xludf.DUMMYFUNCTION("IF($A646="""","""",IFERROR(PERCENTRANK.INC(FILTER(R:R,$F:$F&lt;&gt;""""),R646)*100,""""))"),"")</f>
        <v/>
      </c>
      <c r="V646" s="15" t="str">
        <f>IFERROR(__xludf.DUMMYFUNCTION("IF($A646="""","""",IFERROR(PERCENTRANK.INC(FILTER(S:S,$F:$F&lt;&gt;""""),S646)*100,""""))"),"")</f>
        <v/>
      </c>
      <c r="W646" s="15" t="str">
        <f t="shared" si="5"/>
        <v/>
      </c>
    </row>
    <row r="647">
      <c r="B647" t="str">
        <f t="array" ref="B647">IFERROR(INDEX('Player Raw Data'!C:C,Match($A647,'Player Raw Data'!$B:$B,0)),"")</f>
        <v/>
      </c>
      <c r="C647" t="str">
        <f t="array" ref="C647">IFERROR(INDEX('Player Raw Data'!D:D,Match($A647,'Player Raw Data'!$B:$B,0)),"")</f>
        <v/>
      </c>
      <c r="D647" t="str">
        <f t="array" ref="D647">IFERROR(IF(A647=A646, INDEX('Player Raw Data'!E:E,Match($A647,'Player Raw Data'!$B:$B,0)+2),INDEX('Player Raw Data'!E:E,Match($A647,'Player Raw Data'!$B:$B,0))),"")</f>
        <v/>
      </c>
      <c r="E647" t="str">
        <f t="array" ref="E647">IFERROR(INDEX('Day Range Raw Data'!D:D,Match($A647,'Day Range Raw Data'!$B:$B,0)),"")</f>
        <v/>
      </c>
      <c r="F647" t="str">
        <f t="array" ref="F647">IFERROR(INDEX('Day Range Raw Data'!F:F,Match($A647,'Day Range Raw Data'!$B:$B,0)),"")</f>
        <v/>
      </c>
      <c r="G647" t="str">
        <f t="array" ref="G647">IFERROR(INDEX('Day Range Raw Data'!G:G,Match($A647,'Day Range Raw Data'!$B:$B,0)),"")</f>
        <v/>
      </c>
      <c r="H647" t="str">
        <f t="array" ref="H647">IFERROR(INDEX('Day Range Raw Data'!H:H,Match($A647,'Day Range Raw Data'!$B:$B,0)),"")</f>
        <v/>
      </c>
      <c r="I647" t="str">
        <f t="array" ref="I647">IFERROR(INDEX('Day Range Raw Data'!M:M,Match($A647,'Day Range Raw Data'!$B:$B,0)),"")</f>
        <v/>
      </c>
      <c r="J647" t="str">
        <f t="array" ref="J647">IFERROR(INDEX('Day Range Raw Data'!N:N,Match($A647,'Day Range Raw Data'!$B:$B,0)),"")</f>
        <v/>
      </c>
      <c r="K647" t="str">
        <f t="array" ref="K647">IFERROR(INDEX('Day Range Raw Data'!R:R,Match($A647,'Day Range Raw Data'!$B:$B,0)),"")</f>
        <v/>
      </c>
      <c r="L647" t="str">
        <f t="array" ref="L647">IFERROR(INDEX('Day Range Raw Data'!S:S,Match($A647,'Day Range Raw Data'!$B:$B,0)),"")</f>
        <v/>
      </c>
      <c r="M647" t="str">
        <f t="array" ref="M647">IFERROR(INDEX('Day Range Raw Data'!T:T,Match($A647,'Day Range Raw Data'!$B:$B,0)),"")</f>
        <v/>
      </c>
      <c r="N647" t="str">
        <f t="array" ref="N647">IFERROR(INDEX('Day Range Raw Data'!U:U,Match($A647,'Day Range Raw Data'!$B:$B,0)),"")</f>
        <v/>
      </c>
      <c r="O647" t="str">
        <f t="array" ref="O647">IFERROR(INDEX('Day Range Raw Data'!V:V,Match($A647,'Day Range Raw Data'!$B:$B,0)),"")</f>
        <v/>
      </c>
      <c r="P647" t="str">
        <f t="array" ref="P647">IFERROR(INDEX('Day Range Raw Data'!X:X,Match($A647,'Day Range Raw Data'!$B:$B,0)),"")</f>
        <v/>
      </c>
      <c r="Q647" t="str">
        <f t="shared" si="1"/>
        <v/>
      </c>
      <c r="R647" s="9" t="str">
        <f t="shared" si="2"/>
        <v/>
      </c>
      <c r="S647" s="14" t="str">
        <f t="shared" si="3"/>
        <v/>
      </c>
      <c r="T647" s="15" t="str">
        <f>IFERROR(__xludf.DUMMYFUNCTION("IF($A647="""","""",IFERROR(PERCENTRANK.INC(FILTER(Q:Q,$F:$F&lt;&gt;""""),Q647)*100,""""))"),"")</f>
        <v/>
      </c>
      <c r="U647" s="15" t="str">
        <f>IFERROR(__xludf.DUMMYFUNCTION("IF($A647="""","""",IFERROR(PERCENTRANK.INC(FILTER(R:R,$F:$F&lt;&gt;""""),R647)*100,""""))"),"")</f>
        <v/>
      </c>
      <c r="V647" s="15" t="str">
        <f>IFERROR(__xludf.DUMMYFUNCTION("IF($A647="""","""",IFERROR(PERCENTRANK.INC(FILTER(S:S,$F:$F&lt;&gt;""""),S647)*100,""""))"),"")</f>
        <v/>
      </c>
      <c r="W647" s="15" t="str">
        <f t="shared" si="5"/>
        <v/>
      </c>
    </row>
    <row r="648">
      <c r="B648" t="str">
        <f t="array" ref="B648">IFERROR(INDEX('Player Raw Data'!C:C,Match($A648,'Player Raw Data'!$B:$B,0)),"")</f>
        <v/>
      </c>
      <c r="C648" t="str">
        <f t="array" ref="C648">IFERROR(INDEX('Player Raw Data'!D:D,Match($A648,'Player Raw Data'!$B:$B,0)),"")</f>
        <v/>
      </c>
      <c r="D648" t="str">
        <f t="array" ref="D648">IFERROR(IF(A648=A647, INDEX('Player Raw Data'!E:E,Match($A648,'Player Raw Data'!$B:$B,0)+2),INDEX('Player Raw Data'!E:E,Match($A648,'Player Raw Data'!$B:$B,0))),"")</f>
        <v/>
      </c>
      <c r="E648" t="str">
        <f t="array" ref="E648">IFERROR(INDEX('Day Range Raw Data'!D:D,Match($A648,'Day Range Raw Data'!$B:$B,0)),"")</f>
        <v/>
      </c>
      <c r="F648" t="str">
        <f t="array" ref="F648">IFERROR(INDEX('Day Range Raw Data'!F:F,Match($A648,'Day Range Raw Data'!$B:$B,0)),"")</f>
        <v/>
      </c>
      <c r="G648" t="str">
        <f t="array" ref="G648">IFERROR(INDEX('Day Range Raw Data'!G:G,Match($A648,'Day Range Raw Data'!$B:$B,0)),"")</f>
        <v/>
      </c>
      <c r="H648" t="str">
        <f t="array" ref="H648">IFERROR(INDEX('Day Range Raw Data'!H:H,Match($A648,'Day Range Raw Data'!$B:$B,0)),"")</f>
        <v/>
      </c>
      <c r="I648" t="str">
        <f t="array" ref="I648">IFERROR(INDEX('Day Range Raw Data'!M:M,Match($A648,'Day Range Raw Data'!$B:$B,0)),"")</f>
        <v/>
      </c>
      <c r="J648" t="str">
        <f t="array" ref="J648">IFERROR(INDEX('Day Range Raw Data'!N:N,Match($A648,'Day Range Raw Data'!$B:$B,0)),"")</f>
        <v/>
      </c>
      <c r="K648" t="str">
        <f t="array" ref="K648">IFERROR(INDEX('Day Range Raw Data'!R:R,Match($A648,'Day Range Raw Data'!$B:$B,0)),"")</f>
        <v/>
      </c>
      <c r="L648" t="str">
        <f t="array" ref="L648">IFERROR(INDEX('Day Range Raw Data'!S:S,Match($A648,'Day Range Raw Data'!$B:$B,0)),"")</f>
        <v/>
      </c>
      <c r="M648" t="str">
        <f t="array" ref="M648">IFERROR(INDEX('Day Range Raw Data'!T:T,Match($A648,'Day Range Raw Data'!$B:$B,0)),"")</f>
        <v/>
      </c>
      <c r="N648" t="str">
        <f t="array" ref="N648">IFERROR(INDEX('Day Range Raw Data'!U:U,Match($A648,'Day Range Raw Data'!$B:$B,0)),"")</f>
        <v/>
      </c>
      <c r="O648" t="str">
        <f t="array" ref="O648">IFERROR(INDEX('Day Range Raw Data'!V:V,Match($A648,'Day Range Raw Data'!$B:$B,0)),"")</f>
        <v/>
      </c>
      <c r="P648" t="str">
        <f t="array" ref="P648">IFERROR(INDEX('Day Range Raw Data'!X:X,Match($A648,'Day Range Raw Data'!$B:$B,0)),"")</f>
        <v/>
      </c>
      <c r="Q648" t="str">
        <f t="shared" si="1"/>
        <v/>
      </c>
      <c r="R648" s="9" t="str">
        <f t="shared" si="2"/>
        <v/>
      </c>
      <c r="S648" s="14" t="str">
        <f t="shared" si="3"/>
        <v/>
      </c>
      <c r="T648" s="15" t="str">
        <f>IFERROR(__xludf.DUMMYFUNCTION("IF($A648="""","""",IFERROR(PERCENTRANK.INC(FILTER(Q:Q,$F:$F&lt;&gt;""""),Q648)*100,""""))"),"")</f>
        <v/>
      </c>
      <c r="U648" s="15" t="str">
        <f>IFERROR(__xludf.DUMMYFUNCTION("IF($A648="""","""",IFERROR(PERCENTRANK.INC(FILTER(R:R,$F:$F&lt;&gt;""""),R648)*100,""""))"),"")</f>
        <v/>
      </c>
      <c r="V648" s="15" t="str">
        <f>IFERROR(__xludf.DUMMYFUNCTION("IF($A648="""","""",IFERROR(PERCENTRANK.INC(FILTER(S:S,$F:$F&lt;&gt;""""),S648)*100,""""))"),"")</f>
        <v/>
      </c>
      <c r="W648" s="15" t="str">
        <f t="shared" si="5"/>
        <v/>
      </c>
    </row>
    <row r="649">
      <c r="B649" t="str">
        <f t="array" ref="B649">IFERROR(INDEX('Player Raw Data'!C:C,Match($A649,'Player Raw Data'!$B:$B,0)),"")</f>
        <v/>
      </c>
      <c r="C649" t="str">
        <f t="array" ref="C649">IFERROR(INDEX('Player Raw Data'!D:D,Match($A649,'Player Raw Data'!$B:$B,0)),"")</f>
        <v/>
      </c>
      <c r="D649" t="str">
        <f t="array" ref="D649">IFERROR(IF(A649=A648, INDEX('Player Raw Data'!E:E,Match($A649,'Player Raw Data'!$B:$B,0)+2),INDEX('Player Raw Data'!E:E,Match($A649,'Player Raw Data'!$B:$B,0))),"")</f>
        <v/>
      </c>
      <c r="E649" t="str">
        <f t="array" ref="E649">IFERROR(INDEX('Day Range Raw Data'!D:D,Match($A649,'Day Range Raw Data'!$B:$B,0)),"")</f>
        <v/>
      </c>
      <c r="F649" t="str">
        <f t="array" ref="F649">IFERROR(INDEX('Day Range Raw Data'!F:F,Match($A649,'Day Range Raw Data'!$B:$B,0)),"")</f>
        <v/>
      </c>
      <c r="G649" t="str">
        <f t="array" ref="G649">IFERROR(INDEX('Day Range Raw Data'!G:G,Match($A649,'Day Range Raw Data'!$B:$B,0)),"")</f>
        <v/>
      </c>
      <c r="H649" t="str">
        <f t="array" ref="H649">IFERROR(INDEX('Day Range Raw Data'!H:H,Match($A649,'Day Range Raw Data'!$B:$B,0)),"")</f>
        <v/>
      </c>
      <c r="I649" t="str">
        <f t="array" ref="I649">IFERROR(INDEX('Day Range Raw Data'!M:M,Match($A649,'Day Range Raw Data'!$B:$B,0)),"")</f>
        <v/>
      </c>
      <c r="J649" t="str">
        <f t="array" ref="J649">IFERROR(INDEX('Day Range Raw Data'!N:N,Match($A649,'Day Range Raw Data'!$B:$B,0)),"")</f>
        <v/>
      </c>
      <c r="K649" t="str">
        <f t="array" ref="K649">IFERROR(INDEX('Day Range Raw Data'!R:R,Match($A649,'Day Range Raw Data'!$B:$B,0)),"")</f>
        <v/>
      </c>
      <c r="L649" t="str">
        <f t="array" ref="L649">IFERROR(INDEX('Day Range Raw Data'!S:S,Match($A649,'Day Range Raw Data'!$B:$B,0)),"")</f>
        <v/>
      </c>
      <c r="M649" t="str">
        <f t="array" ref="M649">IFERROR(INDEX('Day Range Raw Data'!T:T,Match($A649,'Day Range Raw Data'!$B:$B,0)),"")</f>
        <v/>
      </c>
      <c r="N649" t="str">
        <f t="array" ref="N649">IFERROR(INDEX('Day Range Raw Data'!U:U,Match($A649,'Day Range Raw Data'!$B:$B,0)),"")</f>
        <v/>
      </c>
      <c r="O649" t="str">
        <f t="array" ref="O649">IFERROR(INDEX('Day Range Raw Data'!V:V,Match($A649,'Day Range Raw Data'!$B:$B,0)),"")</f>
        <v/>
      </c>
      <c r="P649" t="str">
        <f t="array" ref="P649">IFERROR(INDEX('Day Range Raw Data'!X:X,Match($A649,'Day Range Raw Data'!$B:$B,0)),"")</f>
        <v/>
      </c>
      <c r="Q649" t="str">
        <f t="shared" si="1"/>
        <v/>
      </c>
      <c r="R649" s="9" t="str">
        <f t="shared" si="2"/>
        <v/>
      </c>
      <c r="S649" s="14" t="str">
        <f t="shared" si="3"/>
        <v/>
      </c>
      <c r="T649" s="15" t="str">
        <f>IFERROR(__xludf.DUMMYFUNCTION("IF($A649="""","""",IFERROR(PERCENTRANK.INC(FILTER(Q:Q,$F:$F&lt;&gt;""""),Q649)*100,""""))"),"")</f>
        <v/>
      </c>
      <c r="U649" s="15" t="str">
        <f>IFERROR(__xludf.DUMMYFUNCTION("IF($A649="""","""",IFERROR(PERCENTRANK.INC(FILTER(R:R,$F:$F&lt;&gt;""""),R649)*100,""""))"),"")</f>
        <v/>
      </c>
      <c r="V649" s="15" t="str">
        <f>IFERROR(__xludf.DUMMYFUNCTION("IF($A649="""","""",IFERROR(PERCENTRANK.INC(FILTER(S:S,$F:$F&lt;&gt;""""),S649)*100,""""))"),"")</f>
        <v/>
      </c>
      <c r="W649" s="15" t="str">
        <f t="shared" si="5"/>
        <v/>
      </c>
    </row>
    <row r="650">
      <c r="B650" t="str">
        <f t="array" ref="B650">IFERROR(INDEX('Player Raw Data'!C:C,Match($A650,'Player Raw Data'!$B:$B,0)),"")</f>
        <v/>
      </c>
      <c r="C650" t="str">
        <f t="array" ref="C650">IFERROR(INDEX('Player Raw Data'!D:D,Match($A650,'Player Raw Data'!$B:$B,0)),"")</f>
        <v/>
      </c>
      <c r="D650" t="str">
        <f t="array" ref="D650">IFERROR(IF(A650=A649, INDEX('Player Raw Data'!E:E,Match($A650,'Player Raw Data'!$B:$B,0)+2),INDEX('Player Raw Data'!E:E,Match($A650,'Player Raw Data'!$B:$B,0))),"")</f>
        <v/>
      </c>
      <c r="E650" t="str">
        <f t="array" ref="E650">IFERROR(INDEX('Day Range Raw Data'!D:D,Match($A650,'Day Range Raw Data'!$B:$B,0)),"")</f>
        <v/>
      </c>
      <c r="F650" t="str">
        <f t="array" ref="F650">IFERROR(INDEX('Day Range Raw Data'!F:F,Match($A650,'Day Range Raw Data'!$B:$B,0)),"")</f>
        <v/>
      </c>
      <c r="G650" t="str">
        <f t="array" ref="G650">IFERROR(INDEX('Day Range Raw Data'!G:G,Match($A650,'Day Range Raw Data'!$B:$B,0)),"")</f>
        <v/>
      </c>
      <c r="H650" t="str">
        <f t="array" ref="H650">IFERROR(INDEX('Day Range Raw Data'!H:H,Match($A650,'Day Range Raw Data'!$B:$B,0)),"")</f>
        <v/>
      </c>
      <c r="I650" t="str">
        <f t="array" ref="I650">IFERROR(INDEX('Day Range Raw Data'!M:M,Match($A650,'Day Range Raw Data'!$B:$B,0)),"")</f>
        <v/>
      </c>
      <c r="J650" t="str">
        <f t="array" ref="J650">IFERROR(INDEX('Day Range Raw Data'!N:N,Match($A650,'Day Range Raw Data'!$B:$B,0)),"")</f>
        <v/>
      </c>
      <c r="K650" t="str">
        <f t="array" ref="K650">IFERROR(INDEX('Day Range Raw Data'!R:R,Match($A650,'Day Range Raw Data'!$B:$B,0)),"")</f>
        <v/>
      </c>
      <c r="L650" t="str">
        <f t="array" ref="L650">IFERROR(INDEX('Day Range Raw Data'!S:S,Match($A650,'Day Range Raw Data'!$B:$B,0)),"")</f>
        <v/>
      </c>
      <c r="M650" t="str">
        <f t="array" ref="M650">IFERROR(INDEX('Day Range Raw Data'!T:T,Match($A650,'Day Range Raw Data'!$B:$B,0)),"")</f>
        <v/>
      </c>
      <c r="N650" t="str">
        <f t="array" ref="N650">IFERROR(INDEX('Day Range Raw Data'!U:U,Match($A650,'Day Range Raw Data'!$B:$B,0)),"")</f>
        <v/>
      </c>
      <c r="O650" t="str">
        <f t="array" ref="O650">IFERROR(INDEX('Day Range Raw Data'!V:V,Match($A650,'Day Range Raw Data'!$B:$B,0)),"")</f>
        <v/>
      </c>
      <c r="P650" t="str">
        <f t="array" ref="P650">IFERROR(INDEX('Day Range Raw Data'!X:X,Match($A650,'Day Range Raw Data'!$B:$B,0)),"")</f>
        <v/>
      </c>
      <c r="Q650" t="str">
        <f t="shared" si="1"/>
        <v/>
      </c>
      <c r="R650" s="9" t="str">
        <f t="shared" si="2"/>
        <v/>
      </c>
      <c r="S650" s="14" t="str">
        <f t="shared" si="3"/>
        <v/>
      </c>
      <c r="T650" s="15" t="str">
        <f>IFERROR(__xludf.DUMMYFUNCTION("IF($A650="""","""",IFERROR(PERCENTRANK.INC(FILTER(Q:Q,$F:$F&lt;&gt;""""),Q650)*100,""""))"),"")</f>
        <v/>
      </c>
      <c r="U650" s="15" t="str">
        <f>IFERROR(__xludf.DUMMYFUNCTION("IF($A650="""","""",IFERROR(PERCENTRANK.INC(FILTER(R:R,$F:$F&lt;&gt;""""),R650)*100,""""))"),"")</f>
        <v/>
      </c>
      <c r="V650" s="15" t="str">
        <f>IFERROR(__xludf.DUMMYFUNCTION("IF($A650="""","""",IFERROR(PERCENTRANK.INC(FILTER(S:S,$F:$F&lt;&gt;""""),S650)*100,""""))"),"")</f>
        <v/>
      </c>
      <c r="W650" s="15" t="str">
        <f t="shared" si="5"/>
        <v/>
      </c>
    </row>
    <row r="651">
      <c r="B651" t="str">
        <f t="array" ref="B651">IFERROR(INDEX('Player Raw Data'!C:C,Match($A651,'Player Raw Data'!$B:$B,0)),"")</f>
        <v/>
      </c>
      <c r="C651" t="str">
        <f t="array" ref="C651">IFERROR(INDEX('Player Raw Data'!D:D,Match($A651,'Player Raw Data'!$B:$B,0)),"")</f>
        <v/>
      </c>
      <c r="D651" t="str">
        <f t="array" ref="D651">IFERROR(IF(A651=A650, INDEX('Player Raw Data'!E:E,Match($A651,'Player Raw Data'!$B:$B,0)+2),INDEX('Player Raw Data'!E:E,Match($A651,'Player Raw Data'!$B:$B,0))),"")</f>
        <v/>
      </c>
      <c r="E651" t="str">
        <f t="array" ref="E651">IFERROR(INDEX('Day Range Raw Data'!D:D,Match($A651,'Day Range Raw Data'!$B:$B,0)),"")</f>
        <v/>
      </c>
      <c r="F651" t="str">
        <f t="array" ref="F651">IFERROR(INDEX('Day Range Raw Data'!F:F,Match($A651,'Day Range Raw Data'!$B:$B,0)),"")</f>
        <v/>
      </c>
      <c r="G651" t="str">
        <f t="array" ref="G651">IFERROR(INDEX('Day Range Raw Data'!G:G,Match($A651,'Day Range Raw Data'!$B:$B,0)),"")</f>
        <v/>
      </c>
      <c r="H651" t="str">
        <f t="array" ref="H651">IFERROR(INDEX('Day Range Raw Data'!H:H,Match($A651,'Day Range Raw Data'!$B:$B,0)),"")</f>
        <v/>
      </c>
      <c r="I651" t="str">
        <f t="array" ref="I651">IFERROR(INDEX('Day Range Raw Data'!M:M,Match($A651,'Day Range Raw Data'!$B:$B,0)),"")</f>
        <v/>
      </c>
      <c r="J651" t="str">
        <f t="array" ref="J651">IFERROR(INDEX('Day Range Raw Data'!N:N,Match($A651,'Day Range Raw Data'!$B:$B,0)),"")</f>
        <v/>
      </c>
      <c r="K651" t="str">
        <f t="array" ref="K651">IFERROR(INDEX('Day Range Raw Data'!R:R,Match($A651,'Day Range Raw Data'!$B:$B,0)),"")</f>
        <v/>
      </c>
      <c r="L651" t="str">
        <f t="array" ref="L651">IFERROR(INDEX('Day Range Raw Data'!S:S,Match($A651,'Day Range Raw Data'!$B:$B,0)),"")</f>
        <v/>
      </c>
      <c r="M651" t="str">
        <f t="array" ref="M651">IFERROR(INDEX('Day Range Raw Data'!T:T,Match($A651,'Day Range Raw Data'!$B:$B,0)),"")</f>
        <v/>
      </c>
      <c r="N651" t="str">
        <f t="array" ref="N651">IFERROR(INDEX('Day Range Raw Data'!U:U,Match($A651,'Day Range Raw Data'!$B:$B,0)),"")</f>
        <v/>
      </c>
      <c r="O651" t="str">
        <f t="array" ref="O651">IFERROR(INDEX('Day Range Raw Data'!V:V,Match($A651,'Day Range Raw Data'!$B:$B,0)),"")</f>
        <v/>
      </c>
      <c r="P651" t="str">
        <f t="array" ref="P651">IFERROR(INDEX('Day Range Raw Data'!X:X,Match($A651,'Day Range Raw Data'!$B:$B,0)),"")</f>
        <v/>
      </c>
      <c r="Q651" t="str">
        <f t="shared" si="1"/>
        <v/>
      </c>
      <c r="R651" s="9" t="str">
        <f t="shared" si="2"/>
        <v/>
      </c>
      <c r="S651" s="14" t="str">
        <f t="shared" si="3"/>
        <v/>
      </c>
      <c r="T651" s="15" t="str">
        <f>IFERROR(__xludf.DUMMYFUNCTION("IF($A651="""","""",IFERROR(PERCENTRANK.INC(FILTER(Q:Q,$F:$F&lt;&gt;""""),Q651)*100,""""))"),"")</f>
        <v/>
      </c>
      <c r="U651" s="15" t="str">
        <f>IFERROR(__xludf.DUMMYFUNCTION("IF($A651="""","""",IFERROR(PERCENTRANK.INC(FILTER(R:R,$F:$F&lt;&gt;""""),R651)*100,""""))"),"")</f>
        <v/>
      </c>
      <c r="V651" s="15" t="str">
        <f>IFERROR(__xludf.DUMMYFUNCTION("IF($A651="""","""",IFERROR(PERCENTRANK.INC(FILTER(S:S,$F:$F&lt;&gt;""""),S651)*100,""""))"),"")</f>
        <v/>
      </c>
      <c r="W651" s="15" t="str">
        <f t="shared" si="5"/>
        <v/>
      </c>
    </row>
    <row r="652">
      <c r="B652" t="str">
        <f t="array" ref="B652">IFERROR(INDEX('Player Raw Data'!C:C,Match($A652,'Player Raw Data'!$B:$B,0)),"")</f>
        <v/>
      </c>
      <c r="C652" t="str">
        <f t="array" ref="C652">IFERROR(INDEX('Player Raw Data'!D:D,Match($A652,'Player Raw Data'!$B:$B,0)),"")</f>
        <v/>
      </c>
      <c r="D652" t="str">
        <f t="array" ref="D652">IFERROR(IF(A652=A651, INDEX('Player Raw Data'!E:E,Match($A652,'Player Raw Data'!$B:$B,0)+2),INDEX('Player Raw Data'!E:E,Match($A652,'Player Raw Data'!$B:$B,0))),"")</f>
        <v/>
      </c>
      <c r="E652" t="str">
        <f t="array" ref="E652">IFERROR(INDEX('Day Range Raw Data'!D:D,Match($A652,'Day Range Raw Data'!$B:$B,0)),"")</f>
        <v/>
      </c>
      <c r="F652" t="str">
        <f t="array" ref="F652">IFERROR(INDEX('Day Range Raw Data'!F:F,Match($A652,'Day Range Raw Data'!$B:$B,0)),"")</f>
        <v/>
      </c>
      <c r="G652" t="str">
        <f t="array" ref="G652">IFERROR(INDEX('Day Range Raw Data'!G:G,Match($A652,'Day Range Raw Data'!$B:$B,0)),"")</f>
        <v/>
      </c>
      <c r="H652" t="str">
        <f t="array" ref="H652">IFERROR(INDEX('Day Range Raw Data'!H:H,Match($A652,'Day Range Raw Data'!$B:$B,0)),"")</f>
        <v/>
      </c>
      <c r="I652" t="str">
        <f t="array" ref="I652">IFERROR(INDEX('Day Range Raw Data'!M:M,Match($A652,'Day Range Raw Data'!$B:$B,0)),"")</f>
        <v/>
      </c>
      <c r="J652" t="str">
        <f t="array" ref="J652">IFERROR(INDEX('Day Range Raw Data'!N:N,Match($A652,'Day Range Raw Data'!$B:$B,0)),"")</f>
        <v/>
      </c>
      <c r="K652" t="str">
        <f t="array" ref="K652">IFERROR(INDEX('Day Range Raw Data'!R:R,Match($A652,'Day Range Raw Data'!$B:$B,0)),"")</f>
        <v/>
      </c>
      <c r="L652" t="str">
        <f t="array" ref="L652">IFERROR(INDEX('Day Range Raw Data'!S:S,Match($A652,'Day Range Raw Data'!$B:$B,0)),"")</f>
        <v/>
      </c>
      <c r="M652" t="str">
        <f t="array" ref="M652">IFERROR(INDEX('Day Range Raw Data'!T:T,Match($A652,'Day Range Raw Data'!$B:$B,0)),"")</f>
        <v/>
      </c>
      <c r="N652" t="str">
        <f t="array" ref="N652">IFERROR(INDEX('Day Range Raw Data'!U:U,Match($A652,'Day Range Raw Data'!$B:$B,0)),"")</f>
        <v/>
      </c>
      <c r="O652" t="str">
        <f t="array" ref="O652">IFERROR(INDEX('Day Range Raw Data'!V:V,Match($A652,'Day Range Raw Data'!$B:$B,0)),"")</f>
        <v/>
      </c>
      <c r="P652" t="str">
        <f t="array" ref="P652">IFERROR(INDEX('Day Range Raw Data'!X:X,Match($A652,'Day Range Raw Data'!$B:$B,0)),"")</f>
        <v/>
      </c>
      <c r="Q652" t="str">
        <f t="shared" si="1"/>
        <v/>
      </c>
      <c r="R652" s="9" t="str">
        <f t="shared" si="2"/>
        <v/>
      </c>
      <c r="S652" s="14" t="str">
        <f t="shared" si="3"/>
        <v/>
      </c>
      <c r="T652" s="15" t="str">
        <f>IFERROR(__xludf.DUMMYFUNCTION("IF($A652="""","""",IFERROR(PERCENTRANK.INC(FILTER(Q:Q,$F:$F&lt;&gt;""""),Q652)*100,""""))"),"")</f>
        <v/>
      </c>
      <c r="U652" s="15" t="str">
        <f>IFERROR(__xludf.DUMMYFUNCTION("IF($A652="""","""",IFERROR(PERCENTRANK.INC(FILTER(R:R,$F:$F&lt;&gt;""""),R652)*100,""""))"),"")</f>
        <v/>
      </c>
      <c r="V652" s="15" t="str">
        <f>IFERROR(__xludf.DUMMYFUNCTION("IF($A652="""","""",IFERROR(PERCENTRANK.INC(FILTER(S:S,$F:$F&lt;&gt;""""),S652)*100,""""))"),"")</f>
        <v/>
      </c>
      <c r="W652" s="15" t="str">
        <f t="shared" si="5"/>
        <v/>
      </c>
    </row>
    <row r="653">
      <c r="B653" t="str">
        <f t="array" ref="B653">IFERROR(INDEX('Player Raw Data'!C:C,Match($A653,'Player Raw Data'!$B:$B,0)),"")</f>
        <v/>
      </c>
      <c r="C653" t="str">
        <f t="array" ref="C653">IFERROR(INDEX('Player Raw Data'!D:D,Match($A653,'Player Raw Data'!$B:$B,0)),"")</f>
        <v/>
      </c>
      <c r="D653" t="str">
        <f t="array" ref="D653">IFERROR(IF(A653=A652, INDEX('Player Raw Data'!E:E,Match($A653,'Player Raw Data'!$B:$B,0)+2),INDEX('Player Raw Data'!E:E,Match($A653,'Player Raw Data'!$B:$B,0))),"")</f>
        <v/>
      </c>
      <c r="E653" t="str">
        <f t="array" ref="E653">IFERROR(INDEX('Day Range Raw Data'!D:D,Match($A653,'Day Range Raw Data'!$B:$B,0)),"")</f>
        <v/>
      </c>
      <c r="F653" t="str">
        <f t="array" ref="F653">IFERROR(INDEX('Day Range Raw Data'!F:F,Match($A653,'Day Range Raw Data'!$B:$B,0)),"")</f>
        <v/>
      </c>
      <c r="G653" t="str">
        <f t="array" ref="G653">IFERROR(INDEX('Day Range Raw Data'!G:G,Match($A653,'Day Range Raw Data'!$B:$B,0)),"")</f>
        <v/>
      </c>
      <c r="H653" t="str">
        <f t="array" ref="H653">IFERROR(INDEX('Day Range Raw Data'!H:H,Match($A653,'Day Range Raw Data'!$B:$B,0)),"")</f>
        <v/>
      </c>
      <c r="I653" t="str">
        <f t="array" ref="I653">IFERROR(INDEX('Day Range Raw Data'!M:M,Match($A653,'Day Range Raw Data'!$B:$B,0)),"")</f>
        <v/>
      </c>
      <c r="J653" t="str">
        <f t="array" ref="J653">IFERROR(INDEX('Day Range Raw Data'!N:N,Match($A653,'Day Range Raw Data'!$B:$B,0)),"")</f>
        <v/>
      </c>
      <c r="K653" t="str">
        <f t="array" ref="K653">IFERROR(INDEX('Day Range Raw Data'!R:R,Match($A653,'Day Range Raw Data'!$B:$B,0)),"")</f>
        <v/>
      </c>
      <c r="L653" t="str">
        <f t="array" ref="L653">IFERROR(INDEX('Day Range Raw Data'!S:S,Match($A653,'Day Range Raw Data'!$B:$B,0)),"")</f>
        <v/>
      </c>
      <c r="M653" t="str">
        <f t="array" ref="M653">IFERROR(INDEX('Day Range Raw Data'!T:T,Match($A653,'Day Range Raw Data'!$B:$B,0)),"")</f>
        <v/>
      </c>
      <c r="N653" t="str">
        <f t="array" ref="N653">IFERROR(INDEX('Day Range Raw Data'!U:U,Match($A653,'Day Range Raw Data'!$B:$B,0)),"")</f>
        <v/>
      </c>
      <c r="O653" t="str">
        <f t="array" ref="O653">IFERROR(INDEX('Day Range Raw Data'!V:V,Match($A653,'Day Range Raw Data'!$B:$B,0)),"")</f>
        <v/>
      </c>
      <c r="P653" t="str">
        <f t="array" ref="P653">IFERROR(INDEX('Day Range Raw Data'!X:X,Match($A653,'Day Range Raw Data'!$B:$B,0)),"")</f>
        <v/>
      </c>
      <c r="Q653" t="str">
        <f t="shared" si="1"/>
        <v/>
      </c>
      <c r="R653" s="9" t="str">
        <f t="shared" si="2"/>
        <v/>
      </c>
      <c r="S653" s="14" t="str">
        <f t="shared" si="3"/>
        <v/>
      </c>
      <c r="T653" s="15" t="str">
        <f>IFERROR(__xludf.DUMMYFUNCTION("IF($A653="""","""",IFERROR(PERCENTRANK.INC(FILTER(Q:Q,$F:$F&lt;&gt;""""),Q653)*100,""""))"),"")</f>
        <v/>
      </c>
      <c r="U653" s="15" t="str">
        <f>IFERROR(__xludf.DUMMYFUNCTION("IF($A653="""","""",IFERROR(PERCENTRANK.INC(FILTER(R:R,$F:$F&lt;&gt;""""),R653)*100,""""))"),"")</f>
        <v/>
      </c>
      <c r="V653" s="15" t="str">
        <f>IFERROR(__xludf.DUMMYFUNCTION("IF($A653="""","""",IFERROR(PERCENTRANK.INC(FILTER(S:S,$F:$F&lt;&gt;""""),S653)*100,""""))"),"")</f>
        <v/>
      </c>
      <c r="W653" s="15" t="str">
        <f t="shared" si="5"/>
        <v/>
      </c>
    </row>
    <row r="654">
      <c r="B654" t="str">
        <f t="array" ref="B654">IFERROR(INDEX('Player Raw Data'!C:C,Match($A654,'Player Raw Data'!$B:$B,0)),"")</f>
        <v/>
      </c>
      <c r="C654" t="str">
        <f t="array" ref="C654">IFERROR(INDEX('Player Raw Data'!D:D,Match($A654,'Player Raw Data'!$B:$B,0)),"")</f>
        <v/>
      </c>
      <c r="D654" t="str">
        <f t="array" ref="D654">IFERROR(IF(A654=A653, INDEX('Player Raw Data'!E:E,Match($A654,'Player Raw Data'!$B:$B,0)+2),INDEX('Player Raw Data'!E:E,Match($A654,'Player Raw Data'!$B:$B,0))),"")</f>
        <v/>
      </c>
      <c r="E654" t="str">
        <f t="array" ref="E654">IFERROR(INDEX('Day Range Raw Data'!D:D,Match($A654,'Day Range Raw Data'!$B:$B,0)),"")</f>
        <v/>
      </c>
      <c r="F654" t="str">
        <f t="array" ref="F654">IFERROR(INDEX('Day Range Raw Data'!F:F,Match($A654,'Day Range Raw Data'!$B:$B,0)),"")</f>
        <v/>
      </c>
      <c r="G654" t="str">
        <f t="array" ref="G654">IFERROR(INDEX('Day Range Raw Data'!G:G,Match($A654,'Day Range Raw Data'!$B:$B,0)),"")</f>
        <v/>
      </c>
      <c r="H654" t="str">
        <f t="array" ref="H654">IFERROR(INDEX('Day Range Raw Data'!H:H,Match($A654,'Day Range Raw Data'!$B:$B,0)),"")</f>
        <v/>
      </c>
      <c r="I654" t="str">
        <f t="array" ref="I654">IFERROR(INDEX('Day Range Raw Data'!M:M,Match($A654,'Day Range Raw Data'!$B:$B,0)),"")</f>
        <v/>
      </c>
      <c r="J654" t="str">
        <f t="array" ref="J654">IFERROR(INDEX('Day Range Raw Data'!N:N,Match($A654,'Day Range Raw Data'!$B:$B,0)),"")</f>
        <v/>
      </c>
      <c r="K654" t="str">
        <f t="array" ref="K654">IFERROR(INDEX('Day Range Raw Data'!R:R,Match($A654,'Day Range Raw Data'!$B:$B,0)),"")</f>
        <v/>
      </c>
      <c r="L654" t="str">
        <f t="array" ref="L654">IFERROR(INDEX('Day Range Raw Data'!S:S,Match($A654,'Day Range Raw Data'!$B:$B,0)),"")</f>
        <v/>
      </c>
      <c r="M654" t="str">
        <f t="array" ref="M654">IFERROR(INDEX('Day Range Raw Data'!T:T,Match($A654,'Day Range Raw Data'!$B:$B,0)),"")</f>
        <v/>
      </c>
      <c r="N654" t="str">
        <f t="array" ref="N654">IFERROR(INDEX('Day Range Raw Data'!U:U,Match($A654,'Day Range Raw Data'!$B:$B,0)),"")</f>
        <v/>
      </c>
      <c r="O654" t="str">
        <f t="array" ref="O654">IFERROR(INDEX('Day Range Raw Data'!V:V,Match($A654,'Day Range Raw Data'!$B:$B,0)),"")</f>
        <v/>
      </c>
      <c r="P654" t="str">
        <f t="array" ref="P654">IFERROR(INDEX('Day Range Raw Data'!X:X,Match($A654,'Day Range Raw Data'!$B:$B,0)),"")</f>
        <v/>
      </c>
      <c r="Q654" t="str">
        <f t="shared" si="1"/>
        <v/>
      </c>
      <c r="R654" s="9" t="str">
        <f t="shared" si="2"/>
        <v/>
      </c>
      <c r="S654" s="14" t="str">
        <f t="shared" si="3"/>
        <v/>
      </c>
      <c r="T654" s="15" t="str">
        <f>IFERROR(__xludf.DUMMYFUNCTION("IF($A654="""","""",IFERROR(PERCENTRANK.INC(FILTER(Q:Q,$F:$F&lt;&gt;""""),Q654)*100,""""))"),"")</f>
        <v/>
      </c>
      <c r="U654" s="15" t="str">
        <f>IFERROR(__xludf.DUMMYFUNCTION("IF($A654="""","""",IFERROR(PERCENTRANK.INC(FILTER(R:R,$F:$F&lt;&gt;""""),R654)*100,""""))"),"")</f>
        <v/>
      </c>
      <c r="V654" s="15" t="str">
        <f>IFERROR(__xludf.DUMMYFUNCTION("IF($A654="""","""",IFERROR(PERCENTRANK.INC(FILTER(S:S,$F:$F&lt;&gt;""""),S654)*100,""""))"),"")</f>
        <v/>
      </c>
      <c r="W654" s="15" t="str">
        <f t="shared" si="5"/>
        <v/>
      </c>
    </row>
    <row r="655">
      <c r="B655" t="str">
        <f t="array" ref="B655">IFERROR(INDEX('Player Raw Data'!C:C,Match($A655,'Player Raw Data'!$B:$B,0)),"")</f>
        <v/>
      </c>
      <c r="C655" t="str">
        <f t="array" ref="C655">IFERROR(INDEX('Player Raw Data'!D:D,Match($A655,'Player Raw Data'!$B:$B,0)),"")</f>
        <v/>
      </c>
      <c r="D655" t="str">
        <f t="array" ref="D655">IFERROR(IF(A655=A654, INDEX('Player Raw Data'!E:E,Match($A655,'Player Raw Data'!$B:$B,0)+2),INDEX('Player Raw Data'!E:E,Match($A655,'Player Raw Data'!$B:$B,0))),"")</f>
        <v/>
      </c>
      <c r="E655" t="str">
        <f t="array" ref="E655">IFERROR(INDEX('Day Range Raw Data'!D:D,Match($A655,'Day Range Raw Data'!$B:$B,0)),"")</f>
        <v/>
      </c>
      <c r="F655" t="str">
        <f t="array" ref="F655">IFERROR(INDEX('Day Range Raw Data'!F:F,Match($A655,'Day Range Raw Data'!$B:$B,0)),"")</f>
        <v/>
      </c>
      <c r="G655" t="str">
        <f t="array" ref="G655">IFERROR(INDEX('Day Range Raw Data'!G:G,Match($A655,'Day Range Raw Data'!$B:$B,0)),"")</f>
        <v/>
      </c>
      <c r="H655" t="str">
        <f t="array" ref="H655">IFERROR(INDEX('Day Range Raw Data'!H:H,Match($A655,'Day Range Raw Data'!$B:$B,0)),"")</f>
        <v/>
      </c>
      <c r="I655" t="str">
        <f t="array" ref="I655">IFERROR(INDEX('Day Range Raw Data'!M:M,Match($A655,'Day Range Raw Data'!$B:$B,0)),"")</f>
        <v/>
      </c>
      <c r="J655" t="str">
        <f t="array" ref="J655">IFERROR(INDEX('Day Range Raw Data'!N:N,Match($A655,'Day Range Raw Data'!$B:$B,0)),"")</f>
        <v/>
      </c>
      <c r="K655" t="str">
        <f t="array" ref="K655">IFERROR(INDEX('Day Range Raw Data'!R:R,Match($A655,'Day Range Raw Data'!$B:$B,0)),"")</f>
        <v/>
      </c>
      <c r="L655" t="str">
        <f t="array" ref="L655">IFERROR(INDEX('Day Range Raw Data'!S:S,Match($A655,'Day Range Raw Data'!$B:$B,0)),"")</f>
        <v/>
      </c>
      <c r="M655" t="str">
        <f t="array" ref="M655">IFERROR(INDEX('Day Range Raw Data'!T:T,Match($A655,'Day Range Raw Data'!$B:$B,0)),"")</f>
        <v/>
      </c>
      <c r="N655" t="str">
        <f t="array" ref="N655">IFERROR(INDEX('Day Range Raw Data'!U:U,Match($A655,'Day Range Raw Data'!$B:$B,0)),"")</f>
        <v/>
      </c>
      <c r="O655" t="str">
        <f t="array" ref="O655">IFERROR(INDEX('Day Range Raw Data'!V:V,Match($A655,'Day Range Raw Data'!$B:$B,0)),"")</f>
        <v/>
      </c>
      <c r="P655" t="str">
        <f t="array" ref="P655">IFERROR(INDEX('Day Range Raw Data'!X:X,Match($A655,'Day Range Raw Data'!$B:$B,0)),"")</f>
        <v/>
      </c>
      <c r="Q655" t="str">
        <f t="shared" si="1"/>
        <v/>
      </c>
      <c r="R655" s="9" t="str">
        <f t="shared" si="2"/>
        <v/>
      </c>
      <c r="S655" s="14" t="str">
        <f t="shared" si="3"/>
        <v/>
      </c>
      <c r="T655" s="15" t="str">
        <f>IFERROR(__xludf.DUMMYFUNCTION("IF($A655="""","""",IFERROR(PERCENTRANK.INC(FILTER(Q:Q,$F:$F&lt;&gt;""""),Q655)*100,""""))"),"")</f>
        <v/>
      </c>
      <c r="U655" s="15" t="str">
        <f>IFERROR(__xludf.DUMMYFUNCTION("IF($A655="""","""",IFERROR(PERCENTRANK.INC(FILTER(R:R,$F:$F&lt;&gt;""""),R655)*100,""""))"),"")</f>
        <v/>
      </c>
      <c r="V655" s="15" t="str">
        <f>IFERROR(__xludf.DUMMYFUNCTION("IF($A655="""","""",IFERROR(PERCENTRANK.INC(FILTER(S:S,$F:$F&lt;&gt;""""),S655)*100,""""))"),"")</f>
        <v/>
      </c>
      <c r="W655" s="15" t="str">
        <f t="shared" si="5"/>
        <v/>
      </c>
    </row>
    <row r="656">
      <c r="B656" t="str">
        <f t="array" ref="B656">IFERROR(INDEX('Player Raw Data'!C:C,Match($A656,'Player Raw Data'!$B:$B,0)),"")</f>
        <v/>
      </c>
      <c r="C656" t="str">
        <f t="array" ref="C656">IFERROR(INDEX('Player Raw Data'!D:D,Match($A656,'Player Raw Data'!$B:$B,0)),"")</f>
        <v/>
      </c>
      <c r="D656" t="str">
        <f t="array" ref="D656">IFERROR(IF(A656=A655, INDEX('Player Raw Data'!E:E,Match($A656,'Player Raw Data'!$B:$B,0)+2),INDEX('Player Raw Data'!E:E,Match($A656,'Player Raw Data'!$B:$B,0))),"")</f>
        <v/>
      </c>
      <c r="E656" t="str">
        <f t="array" ref="E656">IFERROR(INDEX('Day Range Raw Data'!D:D,Match($A656,'Day Range Raw Data'!$B:$B,0)),"")</f>
        <v/>
      </c>
      <c r="F656" t="str">
        <f t="array" ref="F656">IFERROR(INDEX('Day Range Raw Data'!F:F,Match($A656,'Day Range Raw Data'!$B:$B,0)),"")</f>
        <v/>
      </c>
      <c r="G656" t="str">
        <f t="array" ref="G656">IFERROR(INDEX('Day Range Raw Data'!G:G,Match($A656,'Day Range Raw Data'!$B:$B,0)),"")</f>
        <v/>
      </c>
      <c r="H656" t="str">
        <f t="array" ref="H656">IFERROR(INDEX('Day Range Raw Data'!H:H,Match($A656,'Day Range Raw Data'!$B:$B,0)),"")</f>
        <v/>
      </c>
      <c r="I656" t="str">
        <f t="array" ref="I656">IFERROR(INDEX('Day Range Raw Data'!M:M,Match($A656,'Day Range Raw Data'!$B:$B,0)),"")</f>
        <v/>
      </c>
      <c r="J656" t="str">
        <f t="array" ref="J656">IFERROR(INDEX('Day Range Raw Data'!N:N,Match($A656,'Day Range Raw Data'!$B:$B,0)),"")</f>
        <v/>
      </c>
      <c r="K656" t="str">
        <f t="array" ref="K656">IFERROR(INDEX('Day Range Raw Data'!R:R,Match($A656,'Day Range Raw Data'!$B:$B,0)),"")</f>
        <v/>
      </c>
      <c r="L656" t="str">
        <f t="array" ref="L656">IFERROR(INDEX('Day Range Raw Data'!S:S,Match($A656,'Day Range Raw Data'!$B:$B,0)),"")</f>
        <v/>
      </c>
      <c r="M656" t="str">
        <f t="array" ref="M656">IFERROR(INDEX('Day Range Raw Data'!T:T,Match($A656,'Day Range Raw Data'!$B:$B,0)),"")</f>
        <v/>
      </c>
      <c r="N656" t="str">
        <f t="array" ref="N656">IFERROR(INDEX('Day Range Raw Data'!U:U,Match($A656,'Day Range Raw Data'!$B:$B,0)),"")</f>
        <v/>
      </c>
      <c r="O656" t="str">
        <f t="array" ref="O656">IFERROR(INDEX('Day Range Raw Data'!V:V,Match($A656,'Day Range Raw Data'!$B:$B,0)),"")</f>
        <v/>
      </c>
      <c r="P656" t="str">
        <f t="array" ref="P656">IFERROR(INDEX('Day Range Raw Data'!X:X,Match($A656,'Day Range Raw Data'!$B:$B,0)),"")</f>
        <v/>
      </c>
      <c r="Q656" t="str">
        <f t="shared" si="1"/>
        <v/>
      </c>
      <c r="R656" s="9" t="str">
        <f t="shared" si="2"/>
        <v/>
      </c>
      <c r="S656" s="14" t="str">
        <f t="shared" si="3"/>
        <v/>
      </c>
      <c r="T656" s="15" t="str">
        <f>IFERROR(__xludf.DUMMYFUNCTION("IF($A656="""","""",IFERROR(PERCENTRANK.INC(FILTER(Q:Q,$F:$F&lt;&gt;""""),Q656)*100,""""))"),"")</f>
        <v/>
      </c>
      <c r="U656" s="15" t="str">
        <f>IFERROR(__xludf.DUMMYFUNCTION("IF($A656="""","""",IFERROR(PERCENTRANK.INC(FILTER(R:R,$F:$F&lt;&gt;""""),R656)*100,""""))"),"")</f>
        <v/>
      </c>
      <c r="V656" s="15" t="str">
        <f>IFERROR(__xludf.DUMMYFUNCTION("IF($A656="""","""",IFERROR(PERCENTRANK.INC(FILTER(S:S,$F:$F&lt;&gt;""""),S656)*100,""""))"),"")</f>
        <v/>
      </c>
      <c r="W656" s="15" t="str">
        <f t="shared" si="5"/>
        <v/>
      </c>
    </row>
    <row r="657">
      <c r="B657" t="str">
        <f t="array" ref="B657">IFERROR(INDEX('Player Raw Data'!C:C,Match($A657,'Player Raw Data'!$B:$B,0)),"")</f>
        <v/>
      </c>
      <c r="C657" t="str">
        <f t="array" ref="C657">IFERROR(INDEX('Player Raw Data'!D:D,Match($A657,'Player Raw Data'!$B:$B,0)),"")</f>
        <v/>
      </c>
      <c r="D657" t="str">
        <f t="array" ref="D657">IFERROR(IF(A657=A656, INDEX('Player Raw Data'!E:E,Match($A657,'Player Raw Data'!$B:$B,0)+2),INDEX('Player Raw Data'!E:E,Match($A657,'Player Raw Data'!$B:$B,0))),"")</f>
        <v/>
      </c>
      <c r="E657" t="str">
        <f t="array" ref="E657">IFERROR(INDEX('Day Range Raw Data'!D:D,Match($A657,'Day Range Raw Data'!$B:$B,0)),"")</f>
        <v/>
      </c>
      <c r="F657" t="str">
        <f t="array" ref="F657">IFERROR(INDEX('Day Range Raw Data'!F:F,Match($A657,'Day Range Raw Data'!$B:$B,0)),"")</f>
        <v/>
      </c>
      <c r="G657" t="str">
        <f t="array" ref="G657">IFERROR(INDEX('Day Range Raw Data'!G:G,Match($A657,'Day Range Raw Data'!$B:$B,0)),"")</f>
        <v/>
      </c>
      <c r="H657" t="str">
        <f t="array" ref="H657">IFERROR(INDEX('Day Range Raw Data'!H:H,Match($A657,'Day Range Raw Data'!$B:$B,0)),"")</f>
        <v/>
      </c>
      <c r="I657" t="str">
        <f t="array" ref="I657">IFERROR(INDEX('Day Range Raw Data'!M:M,Match($A657,'Day Range Raw Data'!$B:$B,0)),"")</f>
        <v/>
      </c>
      <c r="J657" t="str">
        <f t="array" ref="J657">IFERROR(INDEX('Day Range Raw Data'!N:N,Match($A657,'Day Range Raw Data'!$B:$B,0)),"")</f>
        <v/>
      </c>
      <c r="K657" t="str">
        <f t="array" ref="K657">IFERROR(INDEX('Day Range Raw Data'!R:R,Match($A657,'Day Range Raw Data'!$B:$B,0)),"")</f>
        <v/>
      </c>
      <c r="L657" t="str">
        <f t="array" ref="L657">IFERROR(INDEX('Day Range Raw Data'!S:S,Match($A657,'Day Range Raw Data'!$B:$B,0)),"")</f>
        <v/>
      </c>
      <c r="M657" t="str">
        <f t="array" ref="M657">IFERROR(INDEX('Day Range Raw Data'!T:T,Match($A657,'Day Range Raw Data'!$B:$B,0)),"")</f>
        <v/>
      </c>
      <c r="N657" t="str">
        <f t="array" ref="N657">IFERROR(INDEX('Day Range Raw Data'!U:U,Match($A657,'Day Range Raw Data'!$B:$B,0)),"")</f>
        <v/>
      </c>
      <c r="O657" t="str">
        <f t="array" ref="O657">IFERROR(INDEX('Day Range Raw Data'!V:V,Match($A657,'Day Range Raw Data'!$B:$B,0)),"")</f>
        <v/>
      </c>
      <c r="P657" t="str">
        <f t="array" ref="P657">IFERROR(INDEX('Day Range Raw Data'!X:X,Match($A657,'Day Range Raw Data'!$B:$B,0)),"")</f>
        <v/>
      </c>
      <c r="Q657" t="str">
        <f t="shared" si="1"/>
        <v/>
      </c>
      <c r="R657" s="9" t="str">
        <f t="shared" si="2"/>
        <v/>
      </c>
      <c r="S657" s="14" t="str">
        <f t="shared" si="3"/>
        <v/>
      </c>
      <c r="T657" s="15" t="str">
        <f>IFERROR(__xludf.DUMMYFUNCTION("IF($A657="""","""",IFERROR(PERCENTRANK.INC(FILTER(Q:Q,$F:$F&lt;&gt;""""),Q657)*100,""""))"),"")</f>
        <v/>
      </c>
      <c r="U657" s="15" t="str">
        <f>IFERROR(__xludf.DUMMYFUNCTION("IF($A657="""","""",IFERROR(PERCENTRANK.INC(FILTER(R:R,$F:$F&lt;&gt;""""),R657)*100,""""))"),"")</f>
        <v/>
      </c>
      <c r="V657" s="15" t="str">
        <f>IFERROR(__xludf.DUMMYFUNCTION("IF($A657="""","""",IFERROR(PERCENTRANK.INC(FILTER(S:S,$F:$F&lt;&gt;""""),S657)*100,""""))"),"")</f>
        <v/>
      </c>
      <c r="W657" s="15" t="str">
        <f t="shared" si="5"/>
        <v/>
      </c>
    </row>
    <row r="658">
      <c r="B658" t="str">
        <f t="array" ref="B658">IFERROR(INDEX('Player Raw Data'!C:C,Match($A658,'Player Raw Data'!$B:$B,0)),"")</f>
        <v/>
      </c>
      <c r="C658" t="str">
        <f t="array" ref="C658">IFERROR(INDEX('Player Raw Data'!D:D,Match($A658,'Player Raw Data'!$B:$B,0)),"")</f>
        <v/>
      </c>
      <c r="D658" t="str">
        <f t="array" ref="D658">IFERROR(IF(A658=A657, INDEX('Player Raw Data'!E:E,Match($A658,'Player Raw Data'!$B:$B,0)+2),INDEX('Player Raw Data'!E:E,Match($A658,'Player Raw Data'!$B:$B,0))),"")</f>
        <v/>
      </c>
      <c r="E658" t="str">
        <f t="array" ref="E658">IFERROR(INDEX('Day Range Raw Data'!D:D,Match($A658,'Day Range Raw Data'!$B:$B,0)),"")</f>
        <v/>
      </c>
      <c r="F658" t="str">
        <f t="array" ref="F658">IFERROR(INDEX('Day Range Raw Data'!F:F,Match($A658,'Day Range Raw Data'!$B:$B,0)),"")</f>
        <v/>
      </c>
      <c r="G658" t="str">
        <f t="array" ref="G658">IFERROR(INDEX('Day Range Raw Data'!G:G,Match($A658,'Day Range Raw Data'!$B:$B,0)),"")</f>
        <v/>
      </c>
      <c r="H658" t="str">
        <f t="array" ref="H658">IFERROR(INDEX('Day Range Raw Data'!H:H,Match($A658,'Day Range Raw Data'!$B:$B,0)),"")</f>
        <v/>
      </c>
      <c r="I658" t="str">
        <f t="array" ref="I658">IFERROR(INDEX('Day Range Raw Data'!M:M,Match($A658,'Day Range Raw Data'!$B:$B,0)),"")</f>
        <v/>
      </c>
      <c r="J658" t="str">
        <f t="array" ref="J658">IFERROR(INDEX('Day Range Raw Data'!N:N,Match($A658,'Day Range Raw Data'!$B:$B,0)),"")</f>
        <v/>
      </c>
      <c r="K658" t="str">
        <f t="array" ref="K658">IFERROR(INDEX('Day Range Raw Data'!R:R,Match($A658,'Day Range Raw Data'!$B:$B,0)),"")</f>
        <v/>
      </c>
      <c r="L658" t="str">
        <f t="array" ref="L658">IFERROR(INDEX('Day Range Raw Data'!S:S,Match($A658,'Day Range Raw Data'!$B:$B,0)),"")</f>
        <v/>
      </c>
      <c r="M658" t="str">
        <f t="array" ref="M658">IFERROR(INDEX('Day Range Raw Data'!T:T,Match($A658,'Day Range Raw Data'!$B:$B,0)),"")</f>
        <v/>
      </c>
      <c r="N658" t="str">
        <f t="array" ref="N658">IFERROR(INDEX('Day Range Raw Data'!U:U,Match($A658,'Day Range Raw Data'!$B:$B,0)),"")</f>
        <v/>
      </c>
      <c r="O658" t="str">
        <f t="array" ref="O658">IFERROR(INDEX('Day Range Raw Data'!V:V,Match($A658,'Day Range Raw Data'!$B:$B,0)),"")</f>
        <v/>
      </c>
      <c r="P658" t="str">
        <f t="array" ref="P658">IFERROR(INDEX('Day Range Raw Data'!X:X,Match($A658,'Day Range Raw Data'!$B:$B,0)),"")</f>
        <v/>
      </c>
      <c r="Q658" t="str">
        <f t="shared" si="1"/>
        <v/>
      </c>
      <c r="R658" s="9" t="str">
        <f t="shared" si="2"/>
        <v/>
      </c>
      <c r="S658" s="14" t="str">
        <f t="shared" si="3"/>
        <v/>
      </c>
      <c r="T658" s="15" t="str">
        <f>IFERROR(__xludf.DUMMYFUNCTION("IF($A658="""","""",IFERROR(PERCENTRANK.INC(FILTER(Q:Q,$F:$F&lt;&gt;""""),Q658)*100,""""))"),"")</f>
        <v/>
      </c>
      <c r="U658" s="15" t="str">
        <f>IFERROR(__xludf.DUMMYFUNCTION("IF($A658="""","""",IFERROR(PERCENTRANK.INC(FILTER(R:R,$F:$F&lt;&gt;""""),R658)*100,""""))"),"")</f>
        <v/>
      </c>
      <c r="V658" s="15" t="str">
        <f>IFERROR(__xludf.DUMMYFUNCTION("IF($A658="""","""",IFERROR(PERCENTRANK.INC(FILTER(S:S,$F:$F&lt;&gt;""""),S658)*100,""""))"),"")</f>
        <v/>
      </c>
      <c r="W658" s="15" t="str">
        <f t="shared" si="5"/>
        <v/>
      </c>
    </row>
    <row r="659">
      <c r="B659" t="str">
        <f t="array" ref="B659">IFERROR(INDEX('Player Raw Data'!C:C,Match($A659,'Player Raw Data'!$B:$B,0)),"")</f>
        <v/>
      </c>
      <c r="C659" t="str">
        <f t="array" ref="C659">IFERROR(INDEX('Player Raw Data'!D:D,Match($A659,'Player Raw Data'!$B:$B,0)),"")</f>
        <v/>
      </c>
      <c r="D659" t="str">
        <f t="array" ref="D659">IFERROR(IF(A659=A658, INDEX('Player Raw Data'!E:E,Match($A659,'Player Raw Data'!$B:$B,0)+2),INDEX('Player Raw Data'!E:E,Match($A659,'Player Raw Data'!$B:$B,0))),"")</f>
        <v/>
      </c>
      <c r="E659" t="str">
        <f t="array" ref="E659">IFERROR(INDEX('Day Range Raw Data'!D:D,Match($A659,'Day Range Raw Data'!$B:$B,0)),"")</f>
        <v/>
      </c>
      <c r="F659" t="str">
        <f t="array" ref="F659">IFERROR(INDEX('Day Range Raw Data'!F:F,Match($A659,'Day Range Raw Data'!$B:$B,0)),"")</f>
        <v/>
      </c>
      <c r="G659" t="str">
        <f t="array" ref="G659">IFERROR(INDEX('Day Range Raw Data'!G:G,Match($A659,'Day Range Raw Data'!$B:$B,0)),"")</f>
        <v/>
      </c>
      <c r="H659" t="str">
        <f t="array" ref="H659">IFERROR(INDEX('Day Range Raw Data'!H:H,Match($A659,'Day Range Raw Data'!$B:$B,0)),"")</f>
        <v/>
      </c>
      <c r="I659" t="str">
        <f t="array" ref="I659">IFERROR(INDEX('Day Range Raw Data'!M:M,Match($A659,'Day Range Raw Data'!$B:$B,0)),"")</f>
        <v/>
      </c>
      <c r="J659" t="str">
        <f t="array" ref="J659">IFERROR(INDEX('Day Range Raw Data'!N:N,Match($A659,'Day Range Raw Data'!$B:$B,0)),"")</f>
        <v/>
      </c>
      <c r="K659" t="str">
        <f t="array" ref="K659">IFERROR(INDEX('Day Range Raw Data'!R:R,Match($A659,'Day Range Raw Data'!$B:$B,0)),"")</f>
        <v/>
      </c>
      <c r="L659" t="str">
        <f t="array" ref="L659">IFERROR(INDEX('Day Range Raw Data'!S:S,Match($A659,'Day Range Raw Data'!$B:$B,0)),"")</f>
        <v/>
      </c>
      <c r="M659" t="str">
        <f t="array" ref="M659">IFERROR(INDEX('Day Range Raw Data'!T:T,Match($A659,'Day Range Raw Data'!$B:$B,0)),"")</f>
        <v/>
      </c>
      <c r="N659" t="str">
        <f t="array" ref="N659">IFERROR(INDEX('Day Range Raw Data'!U:U,Match($A659,'Day Range Raw Data'!$B:$B,0)),"")</f>
        <v/>
      </c>
      <c r="O659" t="str">
        <f t="array" ref="O659">IFERROR(INDEX('Day Range Raw Data'!V:V,Match($A659,'Day Range Raw Data'!$B:$B,0)),"")</f>
        <v/>
      </c>
      <c r="P659" t="str">
        <f t="array" ref="P659">IFERROR(INDEX('Day Range Raw Data'!X:X,Match($A659,'Day Range Raw Data'!$B:$B,0)),"")</f>
        <v/>
      </c>
      <c r="Q659" t="str">
        <f t="shared" si="1"/>
        <v/>
      </c>
      <c r="R659" s="9" t="str">
        <f t="shared" si="2"/>
        <v/>
      </c>
      <c r="S659" s="14" t="str">
        <f t="shared" si="3"/>
        <v/>
      </c>
      <c r="T659" s="15" t="str">
        <f>IFERROR(__xludf.DUMMYFUNCTION("IF($A659="""","""",IFERROR(PERCENTRANK.INC(FILTER(Q:Q,$F:$F&lt;&gt;""""),Q659)*100,""""))"),"")</f>
        <v/>
      </c>
      <c r="U659" s="15" t="str">
        <f>IFERROR(__xludf.DUMMYFUNCTION("IF($A659="""","""",IFERROR(PERCENTRANK.INC(FILTER(R:R,$F:$F&lt;&gt;""""),R659)*100,""""))"),"")</f>
        <v/>
      </c>
      <c r="V659" s="15" t="str">
        <f>IFERROR(__xludf.DUMMYFUNCTION("IF($A659="""","""",IFERROR(PERCENTRANK.INC(FILTER(S:S,$F:$F&lt;&gt;""""),S659)*100,""""))"),"")</f>
        <v/>
      </c>
      <c r="W659" s="15" t="str">
        <f t="shared" si="5"/>
        <v/>
      </c>
    </row>
    <row r="660">
      <c r="B660" t="str">
        <f t="array" ref="B660">IFERROR(INDEX('Player Raw Data'!C:C,Match($A660,'Player Raw Data'!$B:$B,0)),"")</f>
        <v/>
      </c>
      <c r="C660" t="str">
        <f t="array" ref="C660">IFERROR(INDEX('Player Raw Data'!D:D,Match($A660,'Player Raw Data'!$B:$B,0)),"")</f>
        <v/>
      </c>
      <c r="D660" t="str">
        <f t="array" ref="D660">IFERROR(IF(A660=A659, INDEX('Player Raw Data'!E:E,Match($A660,'Player Raw Data'!$B:$B,0)+2),INDEX('Player Raw Data'!E:E,Match($A660,'Player Raw Data'!$B:$B,0))),"")</f>
        <v/>
      </c>
      <c r="E660" t="str">
        <f t="array" ref="E660">IFERROR(INDEX('Day Range Raw Data'!D:D,Match($A660,'Day Range Raw Data'!$B:$B,0)),"")</f>
        <v/>
      </c>
      <c r="F660" t="str">
        <f t="array" ref="F660">IFERROR(INDEX('Day Range Raw Data'!F:F,Match($A660,'Day Range Raw Data'!$B:$B,0)),"")</f>
        <v/>
      </c>
      <c r="G660" t="str">
        <f t="array" ref="G660">IFERROR(INDEX('Day Range Raw Data'!G:G,Match($A660,'Day Range Raw Data'!$B:$B,0)),"")</f>
        <v/>
      </c>
      <c r="H660" t="str">
        <f t="array" ref="H660">IFERROR(INDEX('Day Range Raw Data'!H:H,Match($A660,'Day Range Raw Data'!$B:$B,0)),"")</f>
        <v/>
      </c>
      <c r="I660" t="str">
        <f t="array" ref="I660">IFERROR(INDEX('Day Range Raw Data'!M:M,Match($A660,'Day Range Raw Data'!$B:$B,0)),"")</f>
        <v/>
      </c>
      <c r="J660" t="str">
        <f t="array" ref="J660">IFERROR(INDEX('Day Range Raw Data'!N:N,Match($A660,'Day Range Raw Data'!$B:$B,0)),"")</f>
        <v/>
      </c>
      <c r="K660" t="str">
        <f t="array" ref="K660">IFERROR(INDEX('Day Range Raw Data'!R:R,Match($A660,'Day Range Raw Data'!$B:$B,0)),"")</f>
        <v/>
      </c>
      <c r="L660" t="str">
        <f t="array" ref="L660">IFERROR(INDEX('Day Range Raw Data'!S:S,Match($A660,'Day Range Raw Data'!$B:$B,0)),"")</f>
        <v/>
      </c>
      <c r="M660" t="str">
        <f t="array" ref="M660">IFERROR(INDEX('Day Range Raw Data'!T:T,Match($A660,'Day Range Raw Data'!$B:$B,0)),"")</f>
        <v/>
      </c>
      <c r="N660" t="str">
        <f t="array" ref="N660">IFERROR(INDEX('Day Range Raw Data'!U:U,Match($A660,'Day Range Raw Data'!$B:$B,0)),"")</f>
        <v/>
      </c>
      <c r="O660" t="str">
        <f t="array" ref="O660">IFERROR(INDEX('Day Range Raw Data'!V:V,Match($A660,'Day Range Raw Data'!$B:$B,0)),"")</f>
        <v/>
      </c>
      <c r="P660" t="str">
        <f t="array" ref="P660">IFERROR(INDEX('Day Range Raw Data'!X:X,Match($A660,'Day Range Raw Data'!$B:$B,0)),"")</f>
        <v/>
      </c>
      <c r="Q660" t="str">
        <f t="shared" si="1"/>
        <v/>
      </c>
      <c r="R660" s="9" t="str">
        <f t="shared" si="2"/>
        <v/>
      </c>
      <c r="S660" s="14" t="str">
        <f t="shared" si="3"/>
        <v/>
      </c>
      <c r="T660" s="15" t="str">
        <f>IFERROR(__xludf.DUMMYFUNCTION("IF($A660="""","""",IFERROR(PERCENTRANK.INC(FILTER(Q:Q,$F:$F&lt;&gt;""""),Q660)*100,""""))"),"")</f>
        <v/>
      </c>
      <c r="U660" s="15" t="str">
        <f>IFERROR(__xludf.DUMMYFUNCTION("IF($A660="""","""",IFERROR(PERCENTRANK.INC(FILTER(R:R,$F:$F&lt;&gt;""""),R660)*100,""""))"),"")</f>
        <v/>
      </c>
      <c r="V660" s="15" t="str">
        <f>IFERROR(__xludf.DUMMYFUNCTION("IF($A660="""","""",IFERROR(PERCENTRANK.INC(FILTER(S:S,$F:$F&lt;&gt;""""),S660)*100,""""))"),"")</f>
        <v/>
      </c>
      <c r="W660" s="15" t="str">
        <f t="shared" si="5"/>
        <v/>
      </c>
    </row>
    <row r="661">
      <c r="B661" t="str">
        <f t="array" ref="B661">IFERROR(INDEX('Player Raw Data'!C:C,Match($A661,'Player Raw Data'!$B:$B,0)),"")</f>
        <v/>
      </c>
      <c r="C661" t="str">
        <f t="array" ref="C661">IFERROR(INDEX('Player Raw Data'!D:D,Match($A661,'Player Raw Data'!$B:$B,0)),"")</f>
        <v/>
      </c>
      <c r="D661" t="str">
        <f t="array" ref="D661">IFERROR(IF(A661=A660, INDEX('Player Raw Data'!E:E,Match($A661,'Player Raw Data'!$B:$B,0)+2),INDEX('Player Raw Data'!E:E,Match($A661,'Player Raw Data'!$B:$B,0))),"")</f>
        <v/>
      </c>
      <c r="E661" t="str">
        <f t="array" ref="E661">IFERROR(INDEX('Day Range Raw Data'!D:D,Match($A661,'Day Range Raw Data'!$B:$B,0)),"")</f>
        <v/>
      </c>
      <c r="F661" t="str">
        <f t="array" ref="F661">IFERROR(INDEX('Day Range Raw Data'!F:F,Match($A661,'Day Range Raw Data'!$B:$B,0)),"")</f>
        <v/>
      </c>
      <c r="G661" t="str">
        <f t="array" ref="G661">IFERROR(INDEX('Day Range Raw Data'!G:G,Match($A661,'Day Range Raw Data'!$B:$B,0)),"")</f>
        <v/>
      </c>
      <c r="H661" t="str">
        <f t="array" ref="H661">IFERROR(INDEX('Day Range Raw Data'!H:H,Match($A661,'Day Range Raw Data'!$B:$B,0)),"")</f>
        <v/>
      </c>
      <c r="I661" t="str">
        <f t="array" ref="I661">IFERROR(INDEX('Day Range Raw Data'!M:M,Match($A661,'Day Range Raw Data'!$B:$B,0)),"")</f>
        <v/>
      </c>
      <c r="J661" t="str">
        <f t="array" ref="J661">IFERROR(INDEX('Day Range Raw Data'!N:N,Match($A661,'Day Range Raw Data'!$B:$B,0)),"")</f>
        <v/>
      </c>
      <c r="K661" t="str">
        <f t="array" ref="K661">IFERROR(INDEX('Day Range Raw Data'!R:R,Match($A661,'Day Range Raw Data'!$B:$B,0)),"")</f>
        <v/>
      </c>
      <c r="L661" t="str">
        <f t="array" ref="L661">IFERROR(INDEX('Day Range Raw Data'!S:S,Match($A661,'Day Range Raw Data'!$B:$B,0)),"")</f>
        <v/>
      </c>
      <c r="M661" t="str">
        <f t="array" ref="M661">IFERROR(INDEX('Day Range Raw Data'!T:T,Match($A661,'Day Range Raw Data'!$B:$B,0)),"")</f>
        <v/>
      </c>
      <c r="N661" t="str">
        <f t="array" ref="N661">IFERROR(INDEX('Day Range Raw Data'!U:U,Match($A661,'Day Range Raw Data'!$B:$B,0)),"")</f>
        <v/>
      </c>
      <c r="O661" t="str">
        <f t="array" ref="O661">IFERROR(INDEX('Day Range Raw Data'!V:V,Match($A661,'Day Range Raw Data'!$B:$B,0)),"")</f>
        <v/>
      </c>
      <c r="P661" t="str">
        <f t="array" ref="P661">IFERROR(INDEX('Day Range Raw Data'!X:X,Match($A661,'Day Range Raw Data'!$B:$B,0)),"")</f>
        <v/>
      </c>
      <c r="Q661" t="str">
        <f t="shared" si="1"/>
        <v/>
      </c>
      <c r="R661" s="9" t="str">
        <f t="shared" si="2"/>
        <v/>
      </c>
      <c r="S661" s="14" t="str">
        <f t="shared" si="3"/>
        <v/>
      </c>
      <c r="T661" s="15" t="str">
        <f>IFERROR(__xludf.DUMMYFUNCTION("IF($A661="""","""",IFERROR(PERCENTRANK.INC(FILTER(Q:Q,$F:$F&lt;&gt;""""),Q661)*100,""""))"),"")</f>
        <v/>
      </c>
      <c r="U661" s="15" t="str">
        <f>IFERROR(__xludf.DUMMYFUNCTION("IF($A661="""","""",IFERROR(PERCENTRANK.INC(FILTER(R:R,$F:$F&lt;&gt;""""),R661)*100,""""))"),"")</f>
        <v/>
      </c>
      <c r="V661" s="15" t="str">
        <f>IFERROR(__xludf.DUMMYFUNCTION("IF($A661="""","""",IFERROR(PERCENTRANK.INC(FILTER(S:S,$F:$F&lt;&gt;""""),S661)*100,""""))"),"")</f>
        <v/>
      </c>
      <c r="W661" s="15" t="str">
        <f t="shared" si="5"/>
        <v/>
      </c>
    </row>
    <row r="662">
      <c r="B662" t="str">
        <f t="array" ref="B662">IFERROR(INDEX('Player Raw Data'!C:C,Match($A662,'Player Raw Data'!$B:$B,0)),"")</f>
        <v/>
      </c>
      <c r="C662" t="str">
        <f t="array" ref="C662">IFERROR(INDEX('Player Raw Data'!D:D,Match($A662,'Player Raw Data'!$B:$B,0)),"")</f>
        <v/>
      </c>
      <c r="D662" t="str">
        <f t="array" ref="D662">IFERROR(IF(A662=A661, INDEX('Player Raw Data'!E:E,Match($A662,'Player Raw Data'!$B:$B,0)+2),INDEX('Player Raw Data'!E:E,Match($A662,'Player Raw Data'!$B:$B,0))),"")</f>
        <v/>
      </c>
      <c r="E662" t="str">
        <f t="array" ref="E662">IFERROR(INDEX('Day Range Raw Data'!D:D,Match($A662,'Day Range Raw Data'!$B:$B,0)),"")</f>
        <v/>
      </c>
      <c r="F662" t="str">
        <f t="array" ref="F662">IFERROR(INDEX('Day Range Raw Data'!F:F,Match($A662,'Day Range Raw Data'!$B:$B,0)),"")</f>
        <v/>
      </c>
      <c r="G662" t="str">
        <f t="array" ref="G662">IFERROR(INDEX('Day Range Raw Data'!G:G,Match($A662,'Day Range Raw Data'!$B:$B,0)),"")</f>
        <v/>
      </c>
      <c r="H662" t="str">
        <f t="array" ref="H662">IFERROR(INDEX('Day Range Raw Data'!H:H,Match($A662,'Day Range Raw Data'!$B:$B,0)),"")</f>
        <v/>
      </c>
      <c r="I662" t="str">
        <f t="array" ref="I662">IFERROR(INDEX('Day Range Raw Data'!M:M,Match($A662,'Day Range Raw Data'!$B:$B,0)),"")</f>
        <v/>
      </c>
      <c r="J662" t="str">
        <f t="array" ref="J662">IFERROR(INDEX('Day Range Raw Data'!N:N,Match($A662,'Day Range Raw Data'!$B:$B,0)),"")</f>
        <v/>
      </c>
      <c r="K662" t="str">
        <f t="array" ref="K662">IFERROR(INDEX('Day Range Raw Data'!R:R,Match($A662,'Day Range Raw Data'!$B:$B,0)),"")</f>
        <v/>
      </c>
      <c r="L662" t="str">
        <f t="array" ref="L662">IFERROR(INDEX('Day Range Raw Data'!S:S,Match($A662,'Day Range Raw Data'!$B:$B,0)),"")</f>
        <v/>
      </c>
      <c r="M662" t="str">
        <f t="array" ref="M662">IFERROR(INDEX('Day Range Raw Data'!T:T,Match($A662,'Day Range Raw Data'!$B:$B,0)),"")</f>
        <v/>
      </c>
      <c r="N662" t="str">
        <f t="array" ref="N662">IFERROR(INDEX('Day Range Raw Data'!U:U,Match($A662,'Day Range Raw Data'!$B:$B,0)),"")</f>
        <v/>
      </c>
      <c r="O662" t="str">
        <f t="array" ref="O662">IFERROR(INDEX('Day Range Raw Data'!V:V,Match($A662,'Day Range Raw Data'!$B:$B,0)),"")</f>
        <v/>
      </c>
      <c r="P662" t="str">
        <f t="array" ref="P662">IFERROR(INDEX('Day Range Raw Data'!X:X,Match($A662,'Day Range Raw Data'!$B:$B,0)),"")</f>
        <v/>
      </c>
      <c r="Q662" t="str">
        <f t="shared" si="1"/>
        <v/>
      </c>
      <c r="R662" s="9" t="str">
        <f t="shared" si="2"/>
        <v/>
      </c>
      <c r="S662" s="14" t="str">
        <f t="shared" si="3"/>
        <v/>
      </c>
      <c r="T662" s="15" t="str">
        <f>IFERROR(__xludf.DUMMYFUNCTION("IF($A662="""","""",IFERROR(PERCENTRANK.INC(FILTER(Q:Q,$F:$F&lt;&gt;""""),Q662)*100,""""))"),"")</f>
        <v/>
      </c>
      <c r="U662" s="15" t="str">
        <f>IFERROR(__xludf.DUMMYFUNCTION("IF($A662="""","""",IFERROR(PERCENTRANK.INC(FILTER(R:R,$F:$F&lt;&gt;""""),R662)*100,""""))"),"")</f>
        <v/>
      </c>
      <c r="V662" s="15" t="str">
        <f>IFERROR(__xludf.DUMMYFUNCTION("IF($A662="""","""",IFERROR(PERCENTRANK.INC(FILTER(S:S,$F:$F&lt;&gt;""""),S662)*100,""""))"),"")</f>
        <v/>
      </c>
      <c r="W662" s="15" t="str">
        <f t="shared" si="5"/>
        <v/>
      </c>
    </row>
    <row r="663">
      <c r="B663" t="str">
        <f t="array" ref="B663">IFERROR(INDEX('Player Raw Data'!C:C,Match($A663,'Player Raw Data'!$B:$B,0)),"")</f>
        <v/>
      </c>
      <c r="C663" t="str">
        <f t="array" ref="C663">IFERROR(INDEX('Player Raw Data'!D:D,Match($A663,'Player Raw Data'!$B:$B,0)),"")</f>
        <v/>
      </c>
      <c r="D663" t="str">
        <f t="array" ref="D663">IFERROR(IF(A663=A662, INDEX('Player Raw Data'!E:E,Match($A663,'Player Raw Data'!$B:$B,0)+2),INDEX('Player Raw Data'!E:E,Match($A663,'Player Raw Data'!$B:$B,0))),"")</f>
        <v/>
      </c>
      <c r="E663" t="str">
        <f t="array" ref="E663">IFERROR(INDEX('Day Range Raw Data'!D:D,Match($A663,'Day Range Raw Data'!$B:$B,0)),"")</f>
        <v/>
      </c>
      <c r="F663" t="str">
        <f t="array" ref="F663">IFERROR(INDEX('Day Range Raw Data'!F:F,Match($A663,'Day Range Raw Data'!$B:$B,0)),"")</f>
        <v/>
      </c>
      <c r="G663" t="str">
        <f t="array" ref="G663">IFERROR(INDEX('Day Range Raw Data'!G:G,Match($A663,'Day Range Raw Data'!$B:$B,0)),"")</f>
        <v/>
      </c>
      <c r="H663" t="str">
        <f t="array" ref="H663">IFERROR(INDEX('Day Range Raw Data'!H:H,Match($A663,'Day Range Raw Data'!$B:$B,0)),"")</f>
        <v/>
      </c>
      <c r="I663" t="str">
        <f t="array" ref="I663">IFERROR(INDEX('Day Range Raw Data'!M:M,Match($A663,'Day Range Raw Data'!$B:$B,0)),"")</f>
        <v/>
      </c>
      <c r="J663" t="str">
        <f t="array" ref="J663">IFERROR(INDEX('Day Range Raw Data'!N:N,Match($A663,'Day Range Raw Data'!$B:$B,0)),"")</f>
        <v/>
      </c>
      <c r="K663" t="str">
        <f t="array" ref="K663">IFERROR(INDEX('Day Range Raw Data'!R:R,Match($A663,'Day Range Raw Data'!$B:$B,0)),"")</f>
        <v/>
      </c>
      <c r="L663" t="str">
        <f t="array" ref="L663">IFERROR(INDEX('Day Range Raw Data'!S:S,Match($A663,'Day Range Raw Data'!$B:$B,0)),"")</f>
        <v/>
      </c>
      <c r="M663" t="str">
        <f t="array" ref="M663">IFERROR(INDEX('Day Range Raw Data'!T:T,Match($A663,'Day Range Raw Data'!$B:$B,0)),"")</f>
        <v/>
      </c>
      <c r="N663" t="str">
        <f t="array" ref="N663">IFERROR(INDEX('Day Range Raw Data'!U:U,Match($A663,'Day Range Raw Data'!$B:$B,0)),"")</f>
        <v/>
      </c>
      <c r="O663" t="str">
        <f t="array" ref="O663">IFERROR(INDEX('Day Range Raw Data'!V:V,Match($A663,'Day Range Raw Data'!$B:$B,0)),"")</f>
        <v/>
      </c>
      <c r="P663" t="str">
        <f t="array" ref="P663">IFERROR(INDEX('Day Range Raw Data'!X:X,Match($A663,'Day Range Raw Data'!$B:$B,0)),"")</f>
        <v/>
      </c>
      <c r="Q663" t="str">
        <f t="shared" si="1"/>
        <v/>
      </c>
      <c r="R663" s="9" t="str">
        <f t="shared" si="2"/>
        <v/>
      </c>
      <c r="S663" s="14" t="str">
        <f t="shared" si="3"/>
        <v/>
      </c>
      <c r="T663" s="15" t="str">
        <f>IFERROR(__xludf.DUMMYFUNCTION("IF($A663="""","""",IFERROR(PERCENTRANK.INC(FILTER(Q:Q,$F:$F&lt;&gt;""""),Q663)*100,""""))"),"")</f>
        <v/>
      </c>
      <c r="U663" s="15" t="str">
        <f>IFERROR(__xludf.DUMMYFUNCTION("IF($A663="""","""",IFERROR(PERCENTRANK.INC(FILTER(R:R,$F:$F&lt;&gt;""""),R663)*100,""""))"),"")</f>
        <v/>
      </c>
      <c r="V663" s="15" t="str">
        <f>IFERROR(__xludf.DUMMYFUNCTION("IF($A663="""","""",IFERROR(PERCENTRANK.INC(FILTER(S:S,$F:$F&lt;&gt;""""),S663)*100,""""))"),"")</f>
        <v/>
      </c>
      <c r="W663" s="15" t="str">
        <f t="shared" si="5"/>
        <v/>
      </c>
    </row>
    <row r="664">
      <c r="B664" t="str">
        <f t="array" ref="B664">IFERROR(INDEX('Player Raw Data'!C:C,Match($A664,'Player Raw Data'!$B:$B,0)),"")</f>
        <v/>
      </c>
      <c r="C664" t="str">
        <f t="array" ref="C664">IFERROR(INDEX('Player Raw Data'!D:D,Match($A664,'Player Raw Data'!$B:$B,0)),"")</f>
        <v/>
      </c>
      <c r="D664" t="str">
        <f t="array" ref="D664">IFERROR(IF(A664=A663, INDEX('Player Raw Data'!E:E,Match($A664,'Player Raw Data'!$B:$B,0)+2),INDEX('Player Raw Data'!E:E,Match($A664,'Player Raw Data'!$B:$B,0))),"")</f>
        <v/>
      </c>
      <c r="E664" t="str">
        <f t="array" ref="E664">IFERROR(INDEX('Day Range Raw Data'!D:D,Match($A664,'Day Range Raw Data'!$B:$B,0)),"")</f>
        <v/>
      </c>
      <c r="F664" t="str">
        <f t="array" ref="F664">IFERROR(INDEX('Day Range Raw Data'!F:F,Match($A664,'Day Range Raw Data'!$B:$B,0)),"")</f>
        <v/>
      </c>
      <c r="G664" t="str">
        <f t="array" ref="G664">IFERROR(INDEX('Day Range Raw Data'!G:G,Match($A664,'Day Range Raw Data'!$B:$B,0)),"")</f>
        <v/>
      </c>
      <c r="H664" t="str">
        <f t="array" ref="H664">IFERROR(INDEX('Day Range Raw Data'!H:H,Match($A664,'Day Range Raw Data'!$B:$B,0)),"")</f>
        <v/>
      </c>
      <c r="I664" t="str">
        <f t="array" ref="I664">IFERROR(INDEX('Day Range Raw Data'!M:M,Match($A664,'Day Range Raw Data'!$B:$B,0)),"")</f>
        <v/>
      </c>
      <c r="J664" t="str">
        <f t="array" ref="J664">IFERROR(INDEX('Day Range Raw Data'!N:N,Match($A664,'Day Range Raw Data'!$B:$B,0)),"")</f>
        <v/>
      </c>
      <c r="K664" t="str">
        <f t="array" ref="K664">IFERROR(INDEX('Day Range Raw Data'!R:R,Match($A664,'Day Range Raw Data'!$B:$B,0)),"")</f>
        <v/>
      </c>
      <c r="L664" t="str">
        <f t="array" ref="L664">IFERROR(INDEX('Day Range Raw Data'!S:S,Match($A664,'Day Range Raw Data'!$B:$B,0)),"")</f>
        <v/>
      </c>
      <c r="M664" t="str">
        <f t="array" ref="M664">IFERROR(INDEX('Day Range Raw Data'!T:T,Match($A664,'Day Range Raw Data'!$B:$B,0)),"")</f>
        <v/>
      </c>
      <c r="N664" t="str">
        <f t="array" ref="N664">IFERROR(INDEX('Day Range Raw Data'!U:U,Match($A664,'Day Range Raw Data'!$B:$B,0)),"")</f>
        <v/>
      </c>
      <c r="O664" t="str">
        <f t="array" ref="O664">IFERROR(INDEX('Day Range Raw Data'!V:V,Match($A664,'Day Range Raw Data'!$B:$B,0)),"")</f>
        <v/>
      </c>
      <c r="P664" t="str">
        <f t="array" ref="P664">IFERROR(INDEX('Day Range Raw Data'!X:X,Match($A664,'Day Range Raw Data'!$B:$B,0)),"")</f>
        <v/>
      </c>
      <c r="Q664" t="str">
        <f t="shared" si="1"/>
        <v/>
      </c>
      <c r="R664" s="9" t="str">
        <f t="shared" si="2"/>
        <v/>
      </c>
      <c r="S664" s="14" t="str">
        <f t="shared" si="3"/>
        <v/>
      </c>
      <c r="T664" s="15" t="str">
        <f>IFERROR(__xludf.DUMMYFUNCTION("IF($A664="""","""",IFERROR(PERCENTRANK.INC(FILTER(Q:Q,$F:$F&lt;&gt;""""),Q664)*100,""""))"),"")</f>
        <v/>
      </c>
      <c r="U664" s="15" t="str">
        <f>IFERROR(__xludf.DUMMYFUNCTION("IF($A664="""","""",IFERROR(PERCENTRANK.INC(FILTER(R:R,$F:$F&lt;&gt;""""),R664)*100,""""))"),"")</f>
        <v/>
      </c>
      <c r="V664" s="15" t="str">
        <f>IFERROR(__xludf.DUMMYFUNCTION("IF($A664="""","""",IFERROR(PERCENTRANK.INC(FILTER(S:S,$F:$F&lt;&gt;""""),S664)*100,""""))"),"")</f>
        <v/>
      </c>
      <c r="W664" s="15" t="str">
        <f t="shared" si="5"/>
        <v/>
      </c>
    </row>
    <row r="665">
      <c r="B665" t="str">
        <f t="array" ref="B665">IFERROR(INDEX('Player Raw Data'!C:C,Match($A665,'Player Raw Data'!$B:$B,0)),"")</f>
        <v/>
      </c>
      <c r="C665" t="str">
        <f t="array" ref="C665">IFERROR(INDEX('Player Raw Data'!D:D,Match($A665,'Player Raw Data'!$B:$B,0)),"")</f>
        <v/>
      </c>
      <c r="D665" t="str">
        <f t="array" ref="D665">IFERROR(IF(A665=A664, INDEX('Player Raw Data'!E:E,Match($A665,'Player Raw Data'!$B:$B,0)+2),INDEX('Player Raw Data'!E:E,Match($A665,'Player Raw Data'!$B:$B,0))),"")</f>
        <v/>
      </c>
      <c r="E665" t="str">
        <f t="array" ref="E665">IFERROR(INDEX('Day Range Raw Data'!D:D,Match($A665,'Day Range Raw Data'!$B:$B,0)),"")</f>
        <v/>
      </c>
      <c r="F665" t="str">
        <f t="array" ref="F665">IFERROR(INDEX('Day Range Raw Data'!F:F,Match($A665,'Day Range Raw Data'!$B:$B,0)),"")</f>
        <v/>
      </c>
      <c r="G665" t="str">
        <f t="array" ref="G665">IFERROR(INDEX('Day Range Raw Data'!G:G,Match($A665,'Day Range Raw Data'!$B:$B,0)),"")</f>
        <v/>
      </c>
      <c r="H665" t="str">
        <f t="array" ref="H665">IFERROR(INDEX('Day Range Raw Data'!H:H,Match($A665,'Day Range Raw Data'!$B:$B,0)),"")</f>
        <v/>
      </c>
      <c r="I665" t="str">
        <f t="array" ref="I665">IFERROR(INDEX('Day Range Raw Data'!M:M,Match($A665,'Day Range Raw Data'!$B:$B,0)),"")</f>
        <v/>
      </c>
      <c r="J665" t="str">
        <f t="array" ref="J665">IFERROR(INDEX('Day Range Raw Data'!N:N,Match($A665,'Day Range Raw Data'!$B:$B,0)),"")</f>
        <v/>
      </c>
      <c r="K665" t="str">
        <f t="array" ref="K665">IFERROR(INDEX('Day Range Raw Data'!R:R,Match($A665,'Day Range Raw Data'!$B:$B,0)),"")</f>
        <v/>
      </c>
      <c r="L665" t="str">
        <f t="array" ref="L665">IFERROR(INDEX('Day Range Raw Data'!S:S,Match($A665,'Day Range Raw Data'!$B:$B,0)),"")</f>
        <v/>
      </c>
      <c r="M665" t="str">
        <f t="array" ref="M665">IFERROR(INDEX('Day Range Raw Data'!T:T,Match($A665,'Day Range Raw Data'!$B:$B,0)),"")</f>
        <v/>
      </c>
      <c r="N665" t="str">
        <f t="array" ref="N665">IFERROR(INDEX('Day Range Raw Data'!U:U,Match($A665,'Day Range Raw Data'!$B:$B,0)),"")</f>
        <v/>
      </c>
      <c r="O665" t="str">
        <f t="array" ref="O665">IFERROR(INDEX('Day Range Raw Data'!V:V,Match($A665,'Day Range Raw Data'!$B:$B,0)),"")</f>
        <v/>
      </c>
      <c r="P665" t="str">
        <f t="array" ref="P665">IFERROR(INDEX('Day Range Raw Data'!X:X,Match($A665,'Day Range Raw Data'!$B:$B,0)),"")</f>
        <v/>
      </c>
      <c r="Q665" t="str">
        <f t="shared" si="1"/>
        <v/>
      </c>
      <c r="R665" s="9" t="str">
        <f t="shared" si="2"/>
        <v/>
      </c>
      <c r="S665" s="14" t="str">
        <f t="shared" si="3"/>
        <v/>
      </c>
      <c r="T665" s="15" t="str">
        <f>IFERROR(__xludf.DUMMYFUNCTION("IF($A665="""","""",IFERROR(PERCENTRANK.INC(FILTER(Q:Q,$F:$F&lt;&gt;""""),Q665)*100,""""))"),"")</f>
        <v/>
      </c>
      <c r="U665" s="15" t="str">
        <f>IFERROR(__xludf.DUMMYFUNCTION("IF($A665="""","""",IFERROR(PERCENTRANK.INC(FILTER(R:R,$F:$F&lt;&gt;""""),R665)*100,""""))"),"")</f>
        <v/>
      </c>
      <c r="V665" s="15" t="str">
        <f>IFERROR(__xludf.DUMMYFUNCTION("IF($A665="""","""",IFERROR(PERCENTRANK.INC(FILTER(S:S,$F:$F&lt;&gt;""""),S665)*100,""""))"),"")</f>
        <v/>
      </c>
      <c r="W665" s="15" t="str">
        <f t="shared" si="5"/>
        <v/>
      </c>
    </row>
    <row r="666">
      <c r="B666" t="str">
        <f t="array" ref="B666">IFERROR(INDEX('Player Raw Data'!C:C,Match($A666,'Player Raw Data'!$B:$B,0)),"")</f>
        <v/>
      </c>
      <c r="C666" t="str">
        <f t="array" ref="C666">IFERROR(INDEX('Player Raw Data'!D:D,Match($A666,'Player Raw Data'!$B:$B,0)),"")</f>
        <v/>
      </c>
      <c r="D666" t="str">
        <f t="array" ref="D666">IFERROR(IF(A666=A665, INDEX('Player Raw Data'!E:E,Match($A666,'Player Raw Data'!$B:$B,0)+2),INDEX('Player Raw Data'!E:E,Match($A666,'Player Raw Data'!$B:$B,0))),"")</f>
        <v/>
      </c>
      <c r="E666" t="str">
        <f t="array" ref="E666">IFERROR(INDEX('Day Range Raw Data'!D:D,Match($A666,'Day Range Raw Data'!$B:$B,0)),"")</f>
        <v/>
      </c>
      <c r="F666" t="str">
        <f t="array" ref="F666">IFERROR(INDEX('Day Range Raw Data'!F:F,Match($A666,'Day Range Raw Data'!$B:$B,0)),"")</f>
        <v/>
      </c>
      <c r="G666" t="str">
        <f t="array" ref="G666">IFERROR(INDEX('Day Range Raw Data'!G:G,Match($A666,'Day Range Raw Data'!$B:$B,0)),"")</f>
        <v/>
      </c>
      <c r="H666" t="str">
        <f t="array" ref="H666">IFERROR(INDEX('Day Range Raw Data'!H:H,Match($A666,'Day Range Raw Data'!$B:$B,0)),"")</f>
        <v/>
      </c>
      <c r="I666" t="str">
        <f t="array" ref="I666">IFERROR(INDEX('Day Range Raw Data'!M:M,Match($A666,'Day Range Raw Data'!$B:$B,0)),"")</f>
        <v/>
      </c>
      <c r="J666" t="str">
        <f t="array" ref="J666">IFERROR(INDEX('Day Range Raw Data'!N:N,Match($A666,'Day Range Raw Data'!$B:$B,0)),"")</f>
        <v/>
      </c>
      <c r="K666" t="str">
        <f t="array" ref="K666">IFERROR(INDEX('Day Range Raw Data'!R:R,Match($A666,'Day Range Raw Data'!$B:$B,0)),"")</f>
        <v/>
      </c>
      <c r="L666" t="str">
        <f t="array" ref="L666">IFERROR(INDEX('Day Range Raw Data'!S:S,Match($A666,'Day Range Raw Data'!$B:$B,0)),"")</f>
        <v/>
      </c>
      <c r="M666" t="str">
        <f t="array" ref="M666">IFERROR(INDEX('Day Range Raw Data'!T:T,Match($A666,'Day Range Raw Data'!$B:$B,0)),"")</f>
        <v/>
      </c>
      <c r="N666" t="str">
        <f t="array" ref="N666">IFERROR(INDEX('Day Range Raw Data'!U:U,Match($A666,'Day Range Raw Data'!$B:$B,0)),"")</f>
        <v/>
      </c>
      <c r="O666" t="str">
        <f t="array" ref="O666">IFERROR(INDEX('Day Range Raw Data'!V:V,Match($A666,'Day Range Raw Data'!$B:$B,0)),"")</f>
        <v/>
      </c>
      <c r="P666" t="str">
        <f t="array" ref="P666">IFERROR(INDEX('Day Range Raw Data'!X:X,Match($A666,'Day Range Raw Data'!$B:$B,0)),"")</f>
        <v/>
      </c>
      <c r="Q666" t="str">
        <f t="shared" si="1"/>
        <v/>
      </c>
      <c r="R666" s="9" t="str">
        <f t="shared" si="2"/>
        <v/>
      </c>
      <c r="S666" s="14" t="str">
        <f t="shared" si="3"/>
        <v/>
      </c>
      <c r="T666" s="15" t="str">
        <f>IFERROR(__xludf.DUMMYFUNCTION("IF($A666="""","""",IFERROR(PERCENTRANK.INC(FILTER(Q:Q,$F:$F&lt;&gt;""""),Q666)*100,""""))"),"")</f>
        <v/>
      </c>
      <c r="U666" s="15" t="str">
        <f>IFERROR(__xludf.DUMMYFUNCTION("IF($A666="""","""",IFERROR(PERCENTRANK.INC(FILTER(R:R,$F:$F&lt;&gt;""""),R666)*100,""""))"),"")</f>
        <v/>
      </c>
      <c r="V666" s="15" t="str">
        <f>IFERROR(__xludf.DUMMYFUNCTION("IF($A666="""","""",IFERROR(PERCENTRANK.INC(FILTER(S:S,$F:$F&lt;&gt;""""),S666)*100,""""))"),"")</f>
        <v/>
      </c>
      <c r="W666" s="15" t="str">
        <f t="shared" si="5"/>
        <v/>
      </c>
    </row>
    <row r="667">
      <c r="B667" t="str">
        <f t="array" ref="B667">IFERROR(INDEX('Player Raw Data'!C:C,Match($A667,'Player Raw Data'!$B:$B,0)),"")</f>
        <v/>
      </c>
      <c r="C667" t="str">
        <f t="array" ref="C667">IFERROR(INDEX('Player Raw Data'!D:D,Match($A667,'Player Raw Data'!$B:$B,0)),"")</f>
        <v/>
      </c>
      <c r="D667" t="str">
        <f t="array" ref="D667">IFERROR(IF(A667=A666, INDEX('Player Raw Data'!E:E,Match($A667,'Player Raw Data'!$B:$B,0)+2),INDEX('Player Raw Data'!E:E,Match($A667,'Player Raw Data'!$B:$B,0))),"")</f>
        <v/>
      </c>
      <c r="E667" t="str">
        <f t="array" ref="E667">IFERROR(INDEX('Day Range Raw Data'!D:D,Match($A667,'Day Range Raw Data'!$B:$B,0)),"")</f>
        <v/>
      </c>
      <c r="F667" t="str">
        <f t="array" ref="F667">IFERROR(INDEX('Day Range Raw Data'!F:F,Match($A667,'Day Range Raw Data'!$B:$B,0)),"")</f>
        <v/>
      </c>
      <c r="G667" t="str">
        <f t="array" ref="G667">IFERROR(INDEX('Day Range Raw Data'!G:G,Match($A667,'Day Range Raw Data'!$B:$B,0)),"")</f>
        <v/>
      </c>
      <c r="H667" t="str">
        <f t="array" ref="H667">IFERROR(INDEX('Day Range Raw Data'!H:H,Match($A667,'Day Range Raw Data'!$B:$B,0)),"")</f>
        <v/>
      </c>
      <c r="I667" t="str">
        <f t="array" ref="I667">IFERROR(INDEX('Day Range Raw Data'!M:M,Match($A667,'Day Range Raw Data'!$B:$B,0)),"")</f>
        <v/>
      </c>
      <c r="J667" t="str">
        <f t="array" ref="J667">IFERROR(INDEX('Day Range Raw Data'!N:N,Match($A667,'Day Range Raw Data'!$B:$B,0)),"")</f>
        <v/>
      </c>
      <c r="K667" t="str">
        <f t="array" ref="K667">IFERROR(INDEX('Day Range Raw Data'!R:R,Match($A667,'Day Range Raw Data'!$B:$B,0)),"")</f>
        <v/>
      </c>
      <c r="L667" t="str">
        <f t="array" ref="L667">IFERROR(INDEX('Day Range Raw Data'!S:S,Match($A667,'Day Range Raw Data'!$B:$B,0)),"")</f>
        <v/>
      </c>
      <c r="M667" t="str">
        <f t="array" ref="M667">IFERROR(INDEX('Day Range Raw Data'!T:T,Match($A667,'Day Range Raw Data'!$B:$B,0)),"")</f>
        <v/>
      </c>
      <c r="N667" t="str">
        <f t="array" ref="N667">IFERROR(INDEX('Day Range Raw Data'!U:U,Match($A667,'Day Range Raw Data'!$B:$B,0)),"")</f>
        <v/>
      </c>
      <c r="O667" t="str">
        <f t="array" ref="O667">IFERROR(INDEX('Day Range Raw Data'!V:V,Match($A667,'Day Range Raw Data'!$B:$B,0)),"")</f>
        <v/>
      </c>
      <c r="P667" t="str">
        <f t="array" ref="P667">IFERROR(INDEX('Day Range Raw Data'!X:X,Match($A667,'Day Range Raw Data'!$B:$B,0)),"")</f>
        <v/>
      </c>
      <c r="Q667" t="str">
        <f t="shared" si="1"/>
        <v/>
      </c>
      <c r="R667" s="9" t="str">
        <f t="shared" si="2"/>
        <v/>
      </c>
      <c r="S667" s="14" t="str">
        <f t="shared" si="3"/>
        <v/>
      </c>
      <c r="T667" s="15" t="str">
        <f>IFERROR(__xludf.DUMMYFUNCTION("IF($A667="""","""",IFERROR(PERCENTRANK.INC(FILTER(Q:Q,$F:$F&lt;&gt;""""),Q667)*100,""""))"),"")</f>
        <v/>
      </c>
      <c r="U667" s="15" t="str">
        <f>IFERROR(__xludf.DUMMYFUNCTION("IF($A667="""","""",IFERROR(PERCENTRANK.INC(FILTER(R:R,$F:$F&lt;&gt;""""),R667)*100,""""))"),"")</f>
        <v/>
      </c>
      <c r="V667" s="15" t="str">
        <f>IFERROR(__xludf.DUMMYFUNCTION("IF($A667="""","""",IFERROR(PERCENTRANK.INC(FILTER(S:S,$F:$F&lt;&gt;""""),S667)*100,""""))"),"")</f>
        <v/>
      </c>
      <c r="W667" s="15" t="str">
        <f t="shared" si="5"/>
        <v/>
      </c>
    </row>
    <row r="668">
      <c r="B668" t="str">
        <f t="array" ref="B668">IFERROR(INDEX('Player Raw Data'!C:C,Match($A668,'Player Raw Data'!$B:$B,0)),"")</f>
        <v/>
      </c>
      <c r="C668" t="str">
        <f t="array" ref="C668">IFERROR(INDEX('Player Raw Data'!D:D,Match($A668,'Player Raw Data'!$B:$B,0)),"")</f>
        <v/>
      </c>
      <c r="D668" t="str">
        <f t="array" ref="D668">IFERROR(IF(A668=A667, INDEX('Player Raw Data'!E:E,Match($A668,'Player Raw Data'!$B:$B,0)+2),INDEX('Player Raw Data'!E:E,Match($A668,'Player Raw Data'!$B:$B,0))),"")</f>
        <v/>
      </c>
      <c r="E668" t="str">
        <f t="array" ref="E668">IFERROR(INDEX('Day Range Raw Data'!D:D,Match($A668,'Day Range Raw Data'!$B:$B,0)),"")</f>
        <v/>
      </c>
      <c r="F668" t="str">
        <f t="array" ref="F668">IFERROR(INDEX('Day Range Raw Data'!F:F,Match($A668,'Day Range Raw Data'!$B:$B,0)),"")</f>
        <v/>
      </c>
      <c r="G668" t="str">
        <f t="array" ref="G668">IFERROR(INDEX('Day Range Raw Data'!G:G,Match($A668,'Day Range Raw Data'!$B:$B,0)),"")</f>
        <v/>
      </c>
      <c r="H668" t="str">
        <f t="array" ref="H668">IFERROR(INDEX('Day Range Raw Data'!H:H,Match($A668,'Day Range Raw Data'!$B:$B,0)),"")</f>
        <v/>
      </c>
      <c r="I668" t="str">
        <f t="array" ref="I668">IFERROR(INDEX('Day Range Raw Data'!M:M,Match($A668,'Day Range Raw Data'!$B:$B,0)),"")</f>
        <v/>
      </c>
      <c r="J668" t="str">
        <f t="array" ref="J668">IFERROR(INDEX('Day Range Raw Data'!N:N,Match($A668,'Day Range Raw Data'!$B:$B,0)),"")</f>
        <v/>
      </c>
      <c r="K668" t="str">
        <f t="array" ref="K668">IFERROR(INDEX('Day Range Raw Data'!R:R,Match($A668,'Day Range Raw Data'!$B:$B,0)),"")</f>
        <v/>
      </c>
      <c r="L668" t="str">
        <f t="array" ref="L668">IFERROR(INDEX('Day Range Raw Data'!S:S,Match($A668,'Day Range Raw Data'!$B:$B,0)),"")</f>
        <v/>
      </c>
      <c r="M668" t="str">
        <f t="array" ref="M668">IFERROR(INDEX('Day Range Raw Data'!T:T,Match($A668,'Day Range Raw Data'!$B:$B,0)),"")</f>
        <v/>
      </c>
      <c r="N668" t="str">
        <f t="array" ref="N668">IFERROR(INDEX('Day Range Raw Data'!U:U,Match($A668,'Day Range Raw Data'!$B:$B,0)),"")</f>
        <v/>
      </c>
      <c r="O668" t="str">
        <f t="array" ref="O668">IFERROR(INDEX('Day Range Raw Data'!V:V,Match($A668,'Day Range Raw Data'!$B:$B,0)),"")</f>
        <v/>
      </c>
      <c r="P668" t="str">
        <f t="array" ref="P668">IFERROR(INDEX('Day Range Raw Data'!X:X,Match($A668,'Day Range Raw Data'!$B:$B,0)),"")</f>
        <v/>
      </c>
      <c r="Q668" t="str">
        <f t="shared" si="1"/>
        <v/>
      </c>
      <c r="R668" s="9" t="str">
        <f t="shared" si="2"/>
        <v/>
      </c>
      <c r="S668" s="14" t="str">
        <f t="shared" si="3"/>
        <v/>
      </c>
      <c r="T668" s="15" t="str">
        <f>IFERROR(__xludf.DUMMYFUNCTION("IF($A668="""","""",IFERROR(PERCENTRANK.INC(FILTER(Q:Q,$F:$F&lt;&gt;""""),Q668)*100,""""))"),"")</f>
        <v/>
      </c>
      <c r="U668" s="15" t="str">
        <f>IFERROR(__xludf.DUMMYFUNCTION("IF($A668="""","""",IFERROR(PERCENTRANK.INC(FILTER(R:R,$F:$F&lt;&gt;""""),R668)*100,""""))"),"")</f>
        <v/>
      </c>
      <c r="V668" s="15" t="str">
        <f>IFERROR(__xludf.DUMMYFUNCTION("IF($A668="""","""",IFERROR(PERCENTRANK.INC(FILTER(S:S,$F:$F&lt;&gt;""""),S668)*100,""""))"),"")</f>
        <v/>
      </c>
      <c r="W668" s="15" t="str">
        <f t="shared" si="5"/>
        <v/>
      </c>
    </row>
    <row r="669">
      <c r="B669" t="str">
        <f t="array" ref="B669">IFERROR(INDEX('Player Raw Data'!C:C,Match($A669,'Player Raw Data'!$B:$B,0)),"")</f>
        <v/>
      </c>
      <c r="C669" t="str">
        <f t="array" ref="C669">IFERROR(INDEX('Player Raw Data'!D:D,Match($A669,'Player Raw Data'!$B:$B,0)),"")</f>
        <v/>
      </c>
      <c r="D669" t="str">
        <f t="array" ref="D669">IFERROR(IF(A669=A668, INDEX('Player Raw Data'!E:E,Match($A669,'Player Raw Data'!$B:$B,0)+2),INDEX('Player Raw Data'!E:E,Match($A669,'Player Raw Data'!$B:$B,0))),"")</f>
        <v/>
      </c>
      <c r="E669" t="str">
        <f t="array" ref="E669">IFERROR(INDEX('Day Range Raw Data'!D:D,Match($A669,'Day Range Raw Data'!$B:$B,0)),"")</f>
        <v/>
      </c>
      <c r="F669" t="str">
        <f t="array" ref="F669">IFERROR(INDEX('Day Range Raw Data'!F:F,Match($A669,'Day Range Raw Data'!$B:$B,0)),"")</f>
        <v/>
      </c>
      <c r="G669" t="str">
        <f t="array" ref="G669">IFERROR(INDEX('Day Range Raw Data'!G:G,Match($A669,'Day Range Raw Data'!$B:$B,0)),"")</f>
        <v/>
      </c>
      <c r="H669" t="str">
        <f t="array" ref="H669">IFERROR(INDEX('Day Range Raw Data'!H:H,Match($A669,'Day Range Raw Data'!$B:$B,0)),"")</f>
        <v/>
      </c>
      <c r="I669" t="str">
        <f t="array" ref="I669">IFERROR(INDEX('Day Range Raw Data'!M:M,Match($A669,'Day Range Raw Data'!$B:$B,0)),"")</f>
        <v/>
      </c>
      <c r="J669" t="str">
        <f t="array" ref="J669">IFERROR(INDEX('Day Range Raw Data'!N:N,Match($A669,'Day Range Raw Data'!$B:$B,0)),"")</f>
        <v/>
      </c>
      <c r="K669" t="str">
        <f t="array" ref="K669">IFERROR(INDEX('Day Range Raw Data'!R:R,Match($A669,'Day Range Raw Data'!$B:$B,0)),"")</f>
        <v/>
      </c>
      <c r="L669" t="str">
        <f t="array" ref="L669">IFERROR(INDEX('Day Range Raw Data'!S:S,Match($A669,'Day Range Raw Data'!$B:$B,0)),"")</f>
        <v/>
      </c>
      <c r="M669" t="str">
        <f t="array" ref="M669">IFERROR(INDEX('Day Range Raw Data'!T:T,Match($A669,'Day Range Raw Data'!$B:$B,0)),"")</f>
        <v/>
      </c>
      <c r="N669" t="str">
        <f t="array" ref="N669">IFERROR(INDEX('Day Range Raw Data'!U:U,Match($A669,'Day Range Raw Data'!$B:$B,0)),"")</f>
        <v/>
      </c>
      <c r="O669" t="str">
        <f t="array" ref="O669">IFERROR(INDEX('Day Range Raw Data'!V:V,Match($A669,'Day Range Raw Data'!$B:$B,0)),"")</f>
        <v/>
      </c>
      <c r="P669" t="str">
        <f t="array" ref="P669">IFERROR(INDEX('Day Range Raw Data'!X:X,Match($A669,'Day Range Raw Data'!$B:$B,0)),"")</f>
        <v/>
      </c>
      <c r="Q669" t="str">
        <f t="shared" si="1"/>
        <v/>
      </c>
      <c r="R669" s="9" t="str">
        <f t="shared" si="2"/>
        <v/>
      </c>
      <c r="S669" s="14" t="str">
        <f t="shared" si="3"/>
        <v/>
      </c>
      <c r="T669" s="15" t="str">
        <f>IFERROR(__xludf.DUMMYFUNCTION("IF($A669="""","""",IFERROR(PERCENTRANK.INC(FILTER(Q:Q,$F:$F&lt;&gt;""""),Q669)*100,""""))"),"")</f>
        <v/>
      </c>
      <c r="U669" s="15" t="str">
        <f>IFERROR(__xludf.DUMMYFUNCTION("IF($A669="""","""",IFERROR(PERCENTRANK.INC(FILTER(R:R,$F:$F&lt;&gt;""""),R669)*100,""""))"),"")</f>
        <v/>
      </c>
      <c r="V669" s="15" t="str">
        <f>IFERROR(__xludf.DUMMYFUNCTION("IF($A669="""","""",IFERROR(PERCENTRANK.INC(FILTER(S:S,$F:$F&lt;&gt;""""),S669)*100,""""))"),"")</f>
        <v/>
      </c>
      <c r="W669" s="15" t="str">
        <f t="shared" si="5"/>
        <v/>
      </c>
    </row>
    <row r="670">
      <c r="B670" t="str">
        <f t="array" ref="B670">IFERROR(INDEX('Player Raw Data'!C:C,Match($A670,'Player Raw Data'!$B:$B,0)),"")</f>
        <v/>
      </c>
      <c r="C670" t="str">
        <f t="array" ref="C670">IFERROR(INDEX('Player Raw Data'!D:D,Match($A670,'Player Raw Data'!$B:$B,0)),"")</f>
        <v/>
      </c>
      <c r="D670" t="str">
        <f t="array" ref="D670">IFERROR(IF(A670=A669, INDEX('Player Raw Data'!E:E,Match($A670,'Player Raw Data'!$B:$B,0)+2),INDEX('Player Raw Data'!E:E,Match($A670,'Player Raw Data'!$B:$B,0))),"")</f>
        <v/>
      </c>
      <c r="E670" t="str">
        <f t="array" ref="E670">IFERROR(INDEX('Day Range Raw Data'!D:D,Match($A670,'Day Range Raw Data'!$B:$B,0)),"")</f>
        <v/>
      </c>
      <c r="F670" t="str">
        <f t="array" ref="F670">IFERROR(INDEX('Day Range Raw Data'!F:F,Match($A670,'Day Range Raw Data'!$B:$B,0)),"")</f>
        <v/>
      </c>
      <c r="G670" t="str">
        <f t="array" ref="G670">IFERROR(INDEX('Day Range Raw Data'!G:G,Match($A670,'Day Range Raw Data'!$B:$B,0)),"")</f>
        <v/>
      </c>
      <c r="H670" t="str">
        <f t="array" ref="H670">IFERROR(INDEX('Day Range Raw Data'!H:H,Match($A670,'Day Range Raw Data'!$B:$B,0)),"")</f>
        <v/>
      </c>
      <c r="I670" t="str">
        <f t="array" ref="I670">IFERROR(INDEX('Day Range Raw Data'!M:M,Match($A670,'Day Range Raw Data'!$B:$B,0)),"")</f>
        <v/>
      </c>
      <c r="J670" t="str">
        <f t="array" ref="J670">IFERROR(INDEX('Day Range Raw Data'!N:N,Match($A670,'Day Range Raw Data'!$B:$B,0)),"")</f>
        <v/>
      </c>
      <c r="K670" t="str">
        <f t="array" ref="K670">IFERROR(INDEX('Day Range Raw Data'!R:R,Match($A670,'Day Range Raw Data'!$B:$B,0)),"")</f>
        <v/>
      </c>
      <c r="L670" t="str">
        <f t="array" ref="L670">IFERROR(INDEX('Day Range Raw Data'!S:S,Match($A670,'Day Range Raw Data'!$B:$B,0)),"")</f>
        <v/>
      </c>
      <c r="M670" t="str">
        <f t="array" ref="M670">IFERROR(INDEX('Day Range Raw Data'!T:T,Match($A670,'Day Range Raw Data'!$B:$B,0)),"")</f>
        <v/>
      </c>
      <c r="N670" t="str">
        <f t="array" ref="N670">IFERROR(INDEX('Day Range Raw Data'!U:U,Match($A670,'Day Range Raw Data'!$B:$B,0)),"")</f>
        <v/>
      </c>
      <c r="O670" t="str">
        <f t="array" ref="O670">IFERROR(INDEX('Day Range Raw Data'!V:V,Match($A670,'Day Range Raw Data'!$B:$B,0)),"")</f>
        <v/>
      </c>
      <c r="P670" t="str">
        <f t="array" ref="P670">IFERROR(INDEX('Day Range Raw Data'!X:X,Match($A670,'Day Range Raw Data'!$B:$B,0)),"")</f>
        <v/>
      </c>
      <c r="Q670" t="str">
        <f t="shared" si="1"/>
        <v/>
      </c>
      <c r="R670" s="9" t="str">
        <f t="shared" si="2"/>
        <v/>
      </c>
      <c r="S670" s="14" t="str">
        <f t="shared" si="3"/>
        <v/>
      </c>
      <c r="T670" s="15" t="str">
        <f>IFERROR(__xludf.DUMMYFUNCTION("IF($A670="""","""",IFERROR(PERCENTRANK.INC(FILTER(Q:Q,$F:$F&lt;&gt;""""),Q670)*100,""""))"),"")</f>
        <v/>
      </c>
      <c r="U670" s="15" t="str">
        <f>IFERROR(__xludf.DUMMYFUNCTION("IF($A670="""","""",IFERROR(PERCENTRANK.INC(FILTER(R:R,$F:$F&lt;&gt;""""),R670)*100,""""))"),"")</f>
        <v/>
      </c>
      <c r="V670" s="15" t="str">
        <f>IFERROR(__xludf.DUMMYFUNCTION("IF($A670="""","""",IFERROR(PERCENTRANK.INC(FILTER(S:S,$F:$F&lt;&gt;""""),S670)*100,""""))"),"")</f>
        <v/>
      </c>
      <c r="W670" s="15" t="str">
        <f t="shared" si="5"/>
        <v/>
      </c>
    </row>
    <row r="671">
      <c r="B671" t="str">
        <f t="array" ref="B671">IFERROR(INDEX('Player Raw Data'!C:C,Match($A671,'Player Raw Data'!$B:$B,0)),"")</f>
        <v/>
      </c>
      <c r="C671" t="str">
        <f t="array" ref="C671">IFERROR(INDEX('Player Raw Data'!D:D,Match($A671,'Player Raw Data'!$B:$B,0)),"")</f>
        <v/>
      </c>
      <c r="D671" t="str">
        <f t="array" ref="D671">IFERROR(IF(A671=A670, INDEX('Player Raw Data'!E:E,Match($A671,'Player Raw Data'!$B:$B,0)+2),INDEX('Player Raw Data'!E:E,Match($A671,'Player Raw Data'!$B:$B,0))),"")</f>
        <v/>
      </c>
      <c r="E671" t="str">
        <f t="array" ref="E671">IFERROR(INDEX('Day Range Raw Data'!D:D,Match($A671,'Day Range Raw Data'!$B:$B,0)),"")</f>
        <v/>
      </c>
      <c r="F671" t="str">
        <f t="array" ref="F671">IFERROR(INDEX('Day Range Raw Data'!F:F,Match($A671,'Day Range Raw Data'!$B:$B,0)),"")</f>
        <v/>
      </c>
      <c r="G671" t="str">
        <f t="array" ref="G671">IFERROR(INDEX('Day Range Raw Data'!G:G,Match($A671,'Day Range Raw Data'!$B:$B,0)),"")</f>
        <v/>
      </c>
      <c r="H671" t="str">
        <f t="array" ref="H671">IFERROR(INDEX('Day Range Raw Data'!H:H,Match($A671,'Day Range Raw Data'!$B:$B,0)),"")</f>
        <v/>
      </c>
      <c r="I671" t="str">
        <f t="array" ref="I671">IFERROR(INDEX('Day Range Raw Data'!M:M,Match($A671,'Day Range Raw Data'!$B:$B,0)),"")</f>
        <v/>
      </c>
      <c r="J671" t="str">
        <f t="array" ref="J671">IFERROR(INDEX('Day Range Raw Data'!N:N,Match($A671,'Day Range Raw Data'!$B:$B,0)),"")</f>
        <v/>
      </c>
      <c r="K671" t="str">
        <f t="array" ref="K671">IFERROR(INDEX('Day Range Raw Data'!R:R,Match($A671,'Day Range Raw Data'!$B:$B,0)),"")</f>
        <v/>
      </c>
      <c r="L671" t="str">
        <f t="array" ref="L671">IFERROR(INDEX('Day Range Raw Data'!S:S,Match($A671,'Day Range Raw Data'!$B:$B,0)),"")</f>
        <v/>
      </c>
      <c r="M671" t="str">
        <f t="array" ref="M671">IFERROR(INDEX('Day Range Raw Data'!T:T,Match($A671,'Day Range Raw Data'!$B:$B,0)),"")</f>
        <v/>
      </c>
      <c r="N671" t="str">
        <f t="array" ref="N671">IFERROR(INDEX('Day Range Raw Data'!U:U,Match($A671,'Day Range Raw Data'!$B:$B,0)),"")</f>
        <v/>
      </c>
      <c r="O671" t="str">
        <f t="array" ref="O671">IFERROR(INDEX('Day Range Raw Data'!V:V,Match($A671,'Day Range Raw Data'!$B:$B,0)),"")</f>
        <v/>
      </c>
      <c r="P671" t="str">
        <f t="array" ref="P671">IFERROR(INDEX('Day Range Raw Data'!X:X,Match($A671,'Day Range Raw Data'!$B:$B,0)),"")</f>
        <v/>
      </c>
      <c r="Q671" t="str">
        <f t="shared" si="1"/>
        <v/>
      </c>
      <c r="R671" s="9" t="str">
        <f t="shared" si="2"/>
        <v/>
      </c>
      <c r="S671" s="14" t="str">
        <f t="shared" si="3"/>
        <v/>
      </c>
      <c r="T671" s="15" t="str">
        <f>IFERROR(__xludf.DUMMYFUNCTION("IF($A671="""","""",IFERROR(PERCENTRANK.INC(FILTER(Q:Q,$F:$F&lt;&gt;""""),Q671)*100,""""))"),"")</f>
        <v/>
      </c>
      <c r="U671" s="15" t="str">
        <f>IFERROR(__xludf.DUMMYFUNCTION("IF($A671="""","""",IFERROR(PERCENTRANK.INC(FILTER(R:R,$F:$F&lt;&gt;""""),R671)*100,""""))"),"")</f>
        <v/>
      </c>
      <c r="V671" s="15" t="str">
        <f>IFERROR(__xludf.DUMMYFUNCTION("IF($A671="""","""",IFERROR(PERCENTRANK.INC(FILTER(S:S,$F:$F&lt;&gt;""""),S671)*100,""""))"),"")</f>
        <v/>
      </c>
      <c r="W671" s="15" t="str">
        <f t="shared" si="5"/>
        <v/>
      </c>
    </row>
    <row r="672">
      <c r="B672" t="str">
        <f t="array" ref="B672">IFERROR(INDEX('Player Raw Data'!C:C,Match($A672,'Player Raw Data'!$B:$B,0)),"")</f>
        <v/>
      </c>
      <c r="C672" t="str">
        <f t="array" ref="C672">IFERROR(INDEX('Player Raw Data'!D:D,Match($A672,'Player Raw Data'!$B:$B,0)),"")</f>
        <v/>
      </c>
      <c r="D672" t="str">
        <f t="array" ref="D672">IFERROR(IF(A672=A671, INDEX('Player Raw Data'!E:E,Match($A672,'Player Raw Data'!$B:$B,0)+2),INDEX('Player Raw Data'!E:E,Match($A672,'Player Raw Data'!$B:$B,0))),"")</f>
        <v/>
      </c>
      <c r="E672" t="str">
        <f t="array" ref="E672">IFERROR(INDEX('Day Range Raw Data'!D:D,Match($A672,'Day Range Raw Data'!$B:$B,0)),"")</f>
        <v/>
      </c>
      <c r="F672" t="str">
        <f t="array" ref="F672">IFERROR(INDEX('Day Range Raw Data'!F:F,Match($A672,'Day Range Raw Data'!$B:$B,0)),"")</f>
        <v/>
      </c>
      <c r="G672" t="str">
        <f t="array" ref="G672">IFERROR(INDEX('Day Range Raw Data'!G:G,Match($A672,'Day Range Raw Data'!$B:$B,0)),"")</f>
        <v/>
      </c>
      <c r="H672" t="str">
        <f t="array" ref="H672">IFERROR(INDEX('Day Range Raw Data'!H:H,Match($A672,'Day Range Raw Data'!$B:$B,0)),"")</f>
        <v/>
      </c>
      <c r="I672" t="str">
        <f t="array" ref="I672">IFERROR(INDEX('Day Range Raw Data'!M:M,Match($A672,'Day Range Raw Data'!$B:$B,0)),"")</f>
        <v/>
      </c>
      <c r="J672" t="str">
        <f t="array" ref="J672">IFERROR(INDEX('Day Range Raw Data'!N:N,Match($A672,'Day Range Raw Data'!$B:$B,0)),"")</f>
        <v/>
      </c>
      <c r="K672" t="str">
        <f t="array" ref="K672">IFERROR(INDEX('Day Range Raw Data'!R:R,Match($A672,'Day Range Raw Data'!$B:$B,0)),"")</f>
        <v/>
      </c>
      <c r="L672" t="str">
        <f t="array" ref="L672">IFERROR(INDEX('Day Range Raw Data'!S:S,Match($A672,'Day Range Raw Data'!$B:$B,0)),"")</f>
        <v/>
      </c>
      <c r="M672" t="str">
        <f t="array" ref="M672">IFERROR(INDEX('Day Range Raw Data'!T:T,Match($A672,'Day Range Raw Data'!$B:$B,0)),"")</f>
        <v/>
      </c>
      <c r="N672" t="str">
        <f t="array" ref="N672">IFERROR(INDEX('Day Range Raw Data'!U:U,Match($A672,'Day Range Raw Data'!$B:$B,0)),"")</f>
        <v/>
      </c>
      <c r="O672" t="str">
        <f t="array" ref="O672">IFERROR(INDEX('Day Range Raw Data'!V:V,Match($A672,'Day Range Raw Data'!$B:$B,0)),"")</f>
        <v/>
      </c>
      <c r="P672" t="str">
        <f t="array" ref="P672">IFERROR(INDEX('Day Range Raw Data'!X:X,Match($A672,'Day Range Raw Data'!$B:$B,0)),"")</f>
        <v/>
      </c>
      <c r="Q672" t="str">
        <f t="shared" si="1"/>
        <v/>
      </c>
      <c r="R672" s="9" t="str">
        <f t="shared" si="2"/>
        <v/>
      </c>
      <c r="S672" s="14" t="str">
        <f t="shared" si="3"/>
        <v/>
      </c>
      <c r="T672" s="15" t="str">
        <f>IFERROR(__xludf.DUMMYFUNCTION("IF($A672="""","""",IFERROR(PERCENTRANK.INC(FILTER(Q:Q,$F:$F&lt;&gt;""""),Q672)*100,""""))"),"")</f>
        <v/>
      </c>
      <c r="U672" s="15" t="str">
        <f>IFERROR(__xludf.DUMMYFUNCTION("IF($A672="""","""",IFERROR(PERCENTRANK.INC(FILTER(R:R,$F:$F&lt;&gt;""""),R672)*100,""""))"),"")</f>
        <v/>
      </c>
      <c r="V672" s="15" t="str">
        <f>IFERROR(__xludf.DUMMYFUNCTION("IF($A672="""","""",IFERROR(PERCENTRANK.INC(FILTER(S:S,$F:$F&lt;&gt;""""),S672)*100,""""))"),"")</f>
        <v/>
      </c>
      <c r="W672" s="15" t="str">
        <f t="shared" si="5"/>
        <v/>
      </c>
    </row>
    <row r="673">
      <c r="B673" t="str">
        <f t="array" ref="B673">IFERROR(INDEX('Player Raw Data'!C:C,Match($A673,'Player Raw Data'!$B:$B,0)),"")</f>
        <v/>
      </c>
      <c r="C673" t="str">
        <f t="array" ref="C673">IFERROR(INDEX('Player Raw Data'!D:D,Match($A673,'Player Raw Data'!$B:$B,0)),"")</f>
        <v/>
      </c>
      <c r="D673" t="str">
        <f t="array" ref="D673">IFERROR(IF(A673=A672, INDEX('Player Raw Data'!E:E,Match($A673,'Player Raw Data'!$B:$B,0)+2),INDEX('Player Raw Data'!E:E,Match($A673,'Player Raw Data'!$B:$B,0))),"")</f>
        <v/>
      </c>
      <c r="E673" t="str">
        <f t="array" ref="E673">IFERROR(INDEX('Day Range Raw Data'!D:D,Match($A673,'Day Range Raw Data'!$B:$B,0)),"")</f>
        <v/>
      </c>
      <c r="F673" t="str">
        <f t="array" ref="F673">IFERROR(INDEX('Day Range Raw Data'!F:F,Match($A673,'Day Range Raw Data'!$B:$B,0)),"")</f>
        <v/>
      </c>
      <c r="G673" t="str">
        <f t="array" ref="G673">IFERROR(INDEX('Day Range Raw Data'!G:G,Match($A673,'Day Range Raw Data'!$B:$B,0)),"")</f>
        <v/>
      </c>
      <c r="H673" t="str">
        <f t="array" ref="H673">IFERROR(INDEX('Day Range Raw Data'!H:H,Match($A673,'Day Range Raw Data'!$B:$B,0)),"")</f>
        <v/>
      </c>
      <c r="I673" t="str">
        <f t="array" ref="I673">IFERROR(INDEX('Day Range Raw Data'!M:M,Match($A673,'Day Range Raw Data'!$B:$B,0)),"")</f>
        <v/>
      </c>
      <c r="J673" t="str">
        <f t="array" ref="J673">IFERROR(INDEX('Day Range Raw Data'!N:N,Match($A673,'Day Range Raw Data'!$B:$B,0)),"")</f>
        <v/>
      </c>
      <c r="K673" t="str">
        <f t="array" ref="K673">IFERROR(INDEX('Day Range Raw Data'!R:R,Match($A673,'Day Range Raw Data'!$B:$B,0)),"")</f>
        <v/>
      </c>
      <c r="L673" t="str">
        <f t="array" ref="L673">IFERROR(INDEX('Day Range Raw Data'!S:S,Match($A673,'Day Range Raw Data'!$B:$B,0)),"")</f>
        <v/>
      </c>
      <c r="M673" t="str">
        <f t="array" ref="M673">IFERROR(INDEX('Day Range Raw Data'!T:T,Match($A673,'Day Range Raw Data'!$B:$B,0)),"")</f>
        <v/>
      </c>
      <c r="N673" t="str">
        <f t="array" ref="N673">IFERROR(INDEX('Day Range Raw Data'!U:U,Match($A673,'Day Range Raw Data'!$B:$B,0)),"")</f>
        <v/>
      </c>
      <c r="O673" t="str">
        <f t="array" ref="O673">IFERROR(INDEX('Day Range Raw Data'!V:V,Match($A673,'Day Range Raw Data'!$B:$B,0)),"")</f>
        <v/>
      </c>
      <c r="P673" t="str">
        <f t="array" ref="P673">IFERROR(INDEX('Day Range Raw Data'!X:X,Match($A673,'Day Range Raw Data'!$B:$B,0)),"")</f>
        <v/>
      </c>
      <c r="Q673" t="str">
        <f t="shared" si="1"/>
        <v/>
      </c>
      <c r="R673" s="9" t="str">
        <f t="shared" si="2"/>
        <v/>
      </c>
      <c r="S673" s="14" t="str">
        <f t="shared" si="3"/>
        <v/>
      </c>
      <c r="T673" s="15" t="str">
        <f>IFERROR(__xludf.DUMMYFUNCTION("IF($A673="""","""",IFERROR(PERCENTRANK.INC(FILTER(Q:Q,$F:$F&lt;&gt;""""),Q673)*100,""""))"),"")</f>
        <v/>
      </c>
      <c r="U673" s="15" t="str">
        <f>IFERROR(__xludf.DUMMYFUNCTION("IF($A673="""","""",IFERROR(PERCENTRANK.INC(FILTER(R:R,$F:$F&lt;&gt;""""),R673)*100,""""))"),"")</f>
        <v/>
      </c>
      <c r="V673" s="15" t="str">
        <f>IFERROR(__xludf.DUMMYFUNCTION("IF($A673="""","""",IFERROR(PERCENTRANK.INC(FILTER(S:S,$F:$F&lt;&gt;""""),S673)*100,""""))"),"")</f>
        <v/>
      </c>
      <c r="W673" s="15" t="str">
        <f t="shared" si="5"/>
        <v/>
      </c>
    </row>
    <row r="674">
      <c r="B674" t="str">
        <f t="array" ref="B674">IFERROR(INDEX('Player Raw Data'!C:C,Match($A674,'Player Raw Data'!$B:$B,0)),"")</f>
        <v/>
      </c>
      <c r="C674" t="str">
        <f t="array" ref="C674">IFERROR(INDEX('Player Raw Data'!D:D,Match($A674,'Player Raw Data'!$B:$B,0)),"")</f>
        <v/>
      </c>
      <c r="D674" t="str">
        <f t="array" ref="D674">IFERROR(IF(A674=A673, INDEX('Player Raw Data'!E:E,Match($A674,'Player Raw Data'!$B:$B,0)+2),INDEX('Player Raw Data'!E:E,Match($A674,'Player Raw Data'!$B:$B,0))),"")</f>
        <v/>
      </c>
      <c r="E674" t="str">
        <f t="array" ref="E674">IFERROR(INDEX('Day Range Raw Data'!D:D,Match($A674,'Day Range Raw Data'!$B:$B,0)),"")</f>
        <v/>
      </c>
      <c r="F674" t="str">
        <f t="array" ref="F674">IFERROR(INDEX('Day Range Raw Data'!F:F,Match($A674,'Day Range Raw Data'!$B:$B,0)),"")</f>
        <v/>
      </c>
      <c r="G674" t="str">
        <f t="array" ref="G674">IFERROR(INDEX('Day Range Raw Data'!G:G,Match($A674,'Day Range Raw Data'!$B:$B,0)),"")</f>
        <v/>
      </c>
      <c r="H674" t="str">
        <f t="array" ref="H674">IFERROR(INDEX('Day Range Raw Data'!H:H,Match($A674,'Day Range Raw Data'!$B:$B,0)),"")</f>
        <v/>
      </c>
      <c r="I674" t="str">
        <f t="array" ref="I674">IFERROR(INDEX('Day Range Raw Data'!M:M,Match($A674,'Day Range Raw Data'!$B:$B,0)),"")</f>
        <v/>
      </c>
      <c r="J674" t="str">
        <f t="array" ref="J674">IFERROR(INDEX('Day Range Raw Data'!N:N,Match($A674,'Day Range Raw Data'!$B:$B,0)),"")</f>
        <v/>
      </c>
      <c r="K674" t="str">
        <f t="array" ref="K674">IFERROR(INDEX('Day Range Raw Data'!R:R,Match($A674,'Day Range Raw Data'!$B:$B,0)),"")</f>
        <v/>
      </c>
      <c r="L674" t="str">
        <f t="array" ref="L674">IFERROR(INDEX('Day Range Raw Data'!S:S,Match($A674,'Day Range Raw Data'!$B:$B,0)),"")</f>
        <v/>
      </c>
      <c r="M674" t="str">
        <f t="array" ref="M674">IFERROR(INDEX('Day Range Raw Data'!T:T,Match($A674,'Day Range Raw Data'!$B:$B,0)),"")</f>
        <v/>
      </c>
      <c r="N674" t="str">
        <f t="array" ref="N674">IFERROR(INDEX('Day Range Raw Data'!U:U,Match($A674,'Day Range Raw Data'!$B:$B,0)),"")</f>
        <v/>
      </c>
      <c r="O674" t="str">
        <f t="array" ref="O674">IFERROR(INDEX('Day Range Raw Data'!V:V,Match($A674,'Day Range Raw Data'!$B:$B,0)),"")</f>
        <v/>
      </c>
      <c r="P674" t="str">
        <f t="array" ref="P674">IFERROR(INDEX('Day Range Raw Data'!X:X,Match($A674,'Day Range Raw Data'!$B:$B,0)),"")</f>
        <v/>
      </c>
      <c r="Q674" t="str">
        <f t="shared" si="1"/>
        <v/>
      </c>
      <c r="R674" s="9" t="str">
        <f t="shared" si="2"/>
        <v/>
      </c>
      <c r="S674" s="14" t="str">
        <f t="shared" si="3"/>
        <v/>
      </c>
      <c r="T674" s="15" t="str">
        <f>IFERROR(__xludf.DUMMYFUNCTION("IF($A674="""","""",IFERROR(PERCENTRANK.INC(FILTER(Q:Q,$F:$F&lt;&gt;""""),Q674)*100,""""))"),"")</f>
        <v/>
      </c>
      <c r="U674" s="15" t="str">
        <f>IFERROR(__xludf.DUMMYFUNCTION("IF($A674="""","""",IFERROR(PERCENTRANK.INC(FILTER(R:R,$F:$F&lt;&gt;""""),R674)*100,""""))"),"")</f>
        <v/>
      </c>
      <c r="V674" s="15" t="str">
        <f>IFERROR(__xludf.DUMMYFUNCTION("IF($A674="""","""",IFERROR(PERCENTRANK.INC(FILTER(S:S,$F:$F&lt;&gt;""""),S674)*100,""""))"),"")</f>
        <v/>
      </c>
      <c r="W674" s="15" t="str">
        <f t="shared" si="5"/>
        <v/>
      </c>
    </row>
    <row r="675">
      <c r="B675" t="str">
        <f t="array" ref="B675">IFERROR(INDEX('Player Raw Data'!C:C,Match($A675,'Player Raw Data'!$B:$B,0)),"")</f>
        <v/>
      </c>
      <c r="C675" t="str">
        <f t="array" ref="C675">IFERROR(INDEX('Player Raw Data'!D:D,Match($A675,'Player Raw Data'!$B:$B,0)),"")</f>
        <v/>
      </c>
      <c r="D675" t="str">
        <f t="array" ref="D675">IFERROR(IF(A675=A674, INDEX('Player Raw Data'!E:E,Match($A675,'Player Raw Data'!$B:$B,0)+2),INDEX('Player Raw Data'!E:E,Match($A675,'Player Raw Data'!$B:$B,0))),"")</f>
        <v/>
      </c>
      <c r="E675" t="str">
        <f t="array" ref="E675">IFERROR(INDEX('Day Range Raw Data'!D:D,Match($A675,'Day Range Raw Data'!$B:$B,0)),"")</f>
        <v/>
      </c>
      <c r="F675" t="str">
        <f t="array" ref="F675">IFERROR(INDEX('Day Range Raw Data'!F:F,Match($A675,'Day Range Raw Data'!$B:$B,0)),"")</f>
        <v/>
      </c>
      <c r="G675" t="str">
        <f t="array" ref="G675">IFERROR(INDEX('Day Range Raw Data'!G:G,Match($A675,'Day Range Raw Data'!$B:$B,0)),"")</f>
        <v/>
      </c>
      <c r="H675" t="str">
        <f t="array" ref="H675">IFERROR(INDEX('Day Range Raw Data'!H:H,Match($A675,'Day Range Raw Data'!$B:$B,0)),"")</f>
        <v/>
      </c>
      <c r="I675" t="str">
        <f t="array" ref="I675">IFERROR(INDEX('Day Range Raw Data'!M:M,Match($A675,'Day Range Raw Data'!$B:$B,0)),"")</f>
        <v/>
      </c>
      <c r="J675" t="str">
        <f t="array" ref="J675">IFERROR(INDEX('Day Range Raw Data'!N:N,Match($A675,'Day Range Raw Data'!$B:$B,0)),"")</f>
        <v/>
      </c>
      <c r="K675" t="str">
        <f t="array" ref="K675">IFERROR(INDEX('Day Range Raw Data'!R:R,Match($A675,'Day Range Raw Data'!$B:$B,0)),"")</f>
        <v/>
      </c>
      <c r="L675" t="str">
        <f t="array" ref="L675">IFERROR(INDEX('Day Range Raw Data'!S:S,Match($A675,'Day Range Raw Data'!$B:$B,0)),"")</f>
        <v/>
      </c>
      <c r="M675" t="str">
        <f t="array" ref="M675">IFERROR(INDEX('Day Range Raw Data'!T:T,Match($A675,'Day Range Raw Data'!$B:$B,0)),"")</f>
        <v/>
      </c>
      <c r="N675" t="str">
        <f t="array" ref="N675">IFERROR(INDEX('Day Range Raw Data'!U:U,Match($A675,'Day Range Raw Data'!$B:$B,0)),"")</f>
        <v/>
      </c>
      <c r="O675" t="str">
        <f t="array" ref="O675">IFERROR(INDEX('Day Range Raw Data'!V:V,Match($A675,'Day Range Raw Data'!$B:$B,0)),"")</f>
        <v/>
      </c>
      <c r="P675" t="str">
        <f t="array" ref="P675">IFERROR(INDEX('Day Range Raw Data'!X:X,Match($A675,'Day Range Raw Data'!$B:$B,0)),"")</f>
        <v/>
      </c>
      <c r="Q675" t="str">
        <f t="shared" si="1"/>
        <v/>
      </c>
      <c r="R675" s="9" t="str">
        <f t="shared" si="2"/>
        <v/>
      </c>
      <c r="S675" s="14" t="str">
        <f t="shared" si="3"/>
        <v/>
      </c>
      <c r="T675" s="15" t="str">
        <f>IFERROR(__xludf.DUMMYFUNCTION("IF($A675="""","""",IFERROR(PERCENTRANK.INC(FILTER(Q:Q,$F:$F&lt;&gt;""""),Q675)*100,""""))"),"")</f>
        <v/>
      </c>
      <c r="U675" s="15" t="str">
        <f>IFERROR(__xludf.DUMMYFUNCTION("IF($A675="""","""",IFERROR(PERCENTRANK.INC(FILTER(R:R,$F:$F&lt;&gt;""""),R675)*100,""""))"),"")</f>
        <v/>
      </c>
      <c r="V675" s="15" t="str">
        <f>IFERROR(__xludf.DUMMYFUNCTION("IF($A675="""","""",IFERROR(PERCENTRANK.INC(FILTER(S:S,$F:$F&lt;&gt;""""),S675)*100,""""))"),"")</f>
        <v/>
      </c>
      <c r="W675" s="15" t="str">
        <f t="shared" si="5"/>
        <v/>
      </c>
    </row>
    <row r="676">
      <c r="B676" t="str">
        <f t="array" ref="B676">IFERROR(INDEX('Player Raw Data'!C:C,Match($A676,'Player Raw Data'!$B:$B,0)),"")</f>
        <v/>
      </c>
      <c r="C676" t="str">
        <f t="array" ref="C676">IFERROR(INDEX('Player Raw Data'!D:D,Match($A676,'Player Raw Data'!$B:$B,0)),"")</f>
        <v/>
      </c>
      <c r="D676" t="str">
        <f t="array" ref="D676">IFERROR(IF(A676=A675, INDEX('Player Raw Data'!E:E,Match($A676,'Player Raw Data'!$B:$B,0)+2),INDEX('Player Raw Data'!E:E,Match($A676,'Player Raw Data'!$B:$B,0))),"")</f>
        <v/>
      </c>
      <c r="E676" t="str">
        <f t="array" ref="E676">IFERROR(INDEX('Day Range Raw Data'!D:D,Match($A676,'Day Range Raw Data'!$B:$B,0)),"")</f>
        <v/>
      </c>
      <c r="F676" t="str">
        <f t="array" ref="F676">IFERROR(INDEX('Day Range Raw Data'!F:F,Match($A676,'Day Range Raw Data'!$B:$B,0)),"")</f>
        <v/>
      </c>
      <c r="G676" t="str">
        <f t="array" ref="G676">IFERROR(INDEX('Day Range Raw Data'!G:G,Match($A676,'Day Range Raw Data'!$B:$B,0)),"")</f>
        <v/>
      </c>
      <c r="H676" t="str">
        <f t="array" ref="H676">IFERROR(INDEX('Day Range Raw Data'!H:H,Match($A676,'Day Range Raw Data'!$B:$B,0)),"")</f>
        <v/>
      </c>
      <c r="I676" t="str">
        <f t="array" ref="I676">IFERROR(INDEX('Day Range Raw Data'!M:M,Match($A676,'Day Range Raw Data'!$B:$B,0)),"")</f>
        <v/>
      </c>
      <c r="J676" t="str">
        <f t="array" ref="J676">IFERROR(INDEX('Day Range Raw Data'!N:N,Match($A676,'Day Range Raw Data'!$B:$B,0)),"")</f>
        <v/>
      </c>
      <c r="K676" t="str">
        <f t="array" ref="K676">IFERROR(INDEX('Day Range Raw Data'!R:R,Match($A676,'Day Range Raw Data'!$B:$B,0)),"")</f>
        <v/>
      </c>
      <c r="L676" t="str">
        <f t="array" ref="L676">IFERROR(INDEX('Day Range Raw Data'!S:S,Match($A676,'Day Range Raw Data'!$B:$B,0)),"")</f>
        <v/>
      </c>
      <c r="M676" t="str">
        <f t="array" ref="M676">IFERROR(INDEX('Day Range Raw Data'!T:T,Match($A676,'Day Range Raw Data'!$B:$B,0)),"")</f>
        <v/>
      </c>
      <c r="N676" t="str">
        <f t="array" ref="N676">IFERROR(INDEX('Day Range Raw Data'!U:U,Match($A676,'Day Range Raw Data'!$B:$B,0)),"")</f>
        <v/>
      </c>
      <c r="O676" t="str">
        <f t="array" ref="O676">IFERROR(INDEX('Day Range Raw Data'!V:V,Match($A676,'Day Range Raw Data'!$B:$B,0)),"")</f>
        <v/>
      </c>
      <c r="P676" t="str">
        <f t="array" ref="P676">IFERROR(INDEX('Day Range Raw Data'!X:X,Match($A676,'Day Range Raw Data'!$B:$B,0)),"")</f>
        <v/>
      </c>
      <c r="Q676" t="str">
        <f t="shared" si="1"/>
        <v/>
      </c>
      <c r="R676" s="9" t="str">
        <f t="shared" si="2"/>
        <v/>
      </c>
      <c r="S676" s="14" t="str">
        <f t="shared" si="3"/>
        <v/>
      </c>
      <c r="T676" s="15" t="str">
        <f>IFERROR(__xludf.DUMMYFUNCTION("IF($A676="""","""",IFERROR(PERCENTRANK.INC(FILTER(Q:Q,$F:$F&lt;&gt;""""),Q676)*100,""""))"),"")</f>
        <v/>
      </c>
      <c r="U676" s="15" t="str">
        <f>IFERROR(__xludf.DUMMYFUNCTION("IF($A676="""","""",IFERROR(PERCENTRANK.INC(FILTER(R:R,$F:$F&lt;&gt;""""),R676)*100,""""))"),"")</f>
        <v/>
      </c>
      <c r="V676" s="15" t="str">
        <f>IFERROR(__xludf.DUMMYFUNCTION("IF($A676="""","""",IFERROR(PERCENTRANK.INC(FILTER(S:S,$F:$F&lt;&gt;""""),S676)*100,""""))"),"")</f>
        <v/>
      </c>
      <c r="W676" s="15" t="str">
        <f t="shared" si="5"/>
        <v/>
      </c>
    </row>
    <row r="677">
      <c r="B677" t="str">
        <f t="array" ref="B677">IFERROR(INDEX('Player Raw Data'!C:C,Match($A677,'Player Raw Data'!$B:$B,0)),"")</f>
        <v/>
      </c>
      <c r="C677" t="str">
        <f t="array" ref="C677">IFERROR(INDEX('Player Raw Data'!D:D,Match($A677,'Player Raw Data'!$B:$B,0)),"")</f>
        <v/>
      </c>
      <c r="D677" t="str">
        <f t="array" ref="D677">IFERROR(IF(A677=A676, INDEX('Player Raw Data'!E:E,Match($A677,'Player Raw Data'!$B:$B,0)+2),INDEX('Player Raw Data'!E:E,Match($A677,'Player Raw Data'!$B:$B,0))),"")</f>
        <v/>
      </c>
      <c r="E677" t="str">
        <f t="array" ref="E677">IFERROR(INDEX('Day Range Raw Data'!D:D,Match($A677,'Day Range Raw Data'!$B:$B,0)),"")</f>
        <v/>
      </c>
      <c r="F677" t="str">
        <f t="array" ref="F677">IFERROR(INDEX('Day Range Raw Data'!F:F,Match($A677,'Day Range Raw Data'!$B:$B,0)),"")</f>
        <v/>
      </c>
      <c r="G677" t="str">
        <f t="array" ref="G677">IFERROR(INDEX('Day Range Raw Data'!G:G,Match($A677,'Day Range Raw Data'!$B:$B,0)),"")</f>
        <v/>
      </c>
      <c r="H677" t="str">
        <f t="array" ref="H677">IFERROR(INDEX('Day Range Raw Data'!H:H,Match($A677,'Day Range Raw Data'!$B:$B,0)),"")</f>
        <v/>
      </c>
      <c r="I677" t="str">
        <f t="array" ref="I677">IFERROR(INDEX('Day Range Raw Data'!M:M,Match($A677,'Day Range Raw Data'!$B:$B,0)),"")</f>
        <v/>
      </c>
      <c r="J677" t="str">
        <f t="array" ref="J677">IFERROR(INDEX('Day Range Raw Data'!N:N,Match($A677,'Day Range Raw Data'!$B:$B,0)),"")</f>
        <v/>
      </c>
      <c r="K677" t="str">
        <f t="array" ref="K677">IFERROR(INDEX('Day Range Raw Data'!R:R,Match($A677,'Day Range Raw Data'!$B:$B,0)),"")</f>
        <v/>
      </c>
      <c r="L677" t="str">
        <f t="array" ref="L677">IFERROR(INDEX('Day Range Raw Data'!S:S,Match($A677,'Day Range Raw Data'!$B:$B,0)),"")</f>
        <v/>
      </c>
      <c r="M677" t="str">
        <f t="array" ref="M677">IFERROR(INDEX('Day Range Raw Data'!T:T,Match($A677,'Day Range Raw Data'!$B:$B,0)),"")</f>
        <v/>
      </c>
      <c r="N677" t="str">
        <f t="array" ref="N677">IFERROR(INDEX('Day Range Raw Data'!U:U,Match($A677,'Day Range Raw Data'!$B:$B,0)),"")</f>
        <v/>
      </c>
      <c r="O677" t="str">
        <f t="array" ref="O677">IFERROR(INDEX('Day Range Raw Data'!V:V,Match($A677,'Day Range Raw Data'!$B:$B,0)),"")</f>
        <v/>
      </c>
      <c r="P677" t="str">
        <f t="array" ref="P677">IFERROR(INDEX('Day Range Raw Data'!X:X,Match($A677,'Day Range Raw Data'!$B:$B,0)),"")</f>
        <v/>
      </c>
      <c r="Q677" t="str">
        <f t="shared" si="1"/>
        <v/>
      </c>
      <c r="R677" s="9" t="str">
        <f t="shared" si="2"/>
        <v/>
      </c>
      <c r="S677" s="14" t="str">
        <f t="shared" si="3"/>
        <v/>
      </c>
      <c r="T677" s="15" t="str">
        <f>IFERROR(__xludf.DUMMYFUNCTION("IF($A677="""","""",IFERROR(PERCENTRANK.INC(FILTER(Q:Q,$F:$F&lt;&gt;""""),Q677)*100,""""))"),"")</f>
        <v/>
      </c>
      <c r="U677" s="15" t="str">
        <f>IFERROR(__xludf.DUMMYFUNCTION("IF($A677="""","""",IFERROR(PERCENTRANK.INC(FILTER(R:R,$F:$F&lt;&gt;""""),R677)*100,""""))"),"")</f>
        <v/>
      </c>
      <c r="V677" s="15" t="str">
        <f>IFERROR(__xludf.DUMMYFUNCTION("IF($A677="""","""",IFERROR(PERCENTRANK.INC(FILTER(S:S,$F:$F&lt;&gt;""""),S677)*100,""""))"),"")</f>
        <v/>
      </c>
      <c r="W677" s="15" t="str">
        <f t="shared" si="5"/>
        <v/>
      </c>
    </row>
    <row r="678">
      <c r="B678" t="str">
        <f t="array" ref="B678">IFERROR(INDEX('Player Raw Data'!C:C,Match($A678,'Player Raw Data'!$B:$B,0)),"")</f>
        <v/>
      </c>
      <c r="C678" t="str">
        <f t="array" ref="C678">IFERROR(INDEX('Player Raw Data'!D:D,Match($A678,'Player Raw Data'!$B:$B,0)),"")</f>
        <v/>
      </c>
      <c r="D678" t="str">
        <f t="array" ref="D678">IFERROR(IF(A678=A677, INDEX('Player Raw Data'!E:E,Match($A678,'Player Raw Data'!$B:$B,0)+2),INDEX('Player Raw Data'!E:E,Match($A678,'Player Raw Data'!$B:$B,0))),"")</f>
        <v/>
      </c>
      <c r="E678" t="str">
        <f t="array" ref="E678">IFERROR(INDEX('Day Range Raw Data'!D:D,Match($A678,'Day Range Raw Data'!$B:$B,0)),"")</f>
        <v/>
      </c>
      <c r="F678" t="str">
        <f t="array" ref="F678">IFERROR(INDEX('Day Range Raw Data'!F:F,Match($A678,'Day Range Raw Data'!$B:$B,0)),"")</f>
        <v/>
      </c>
      <c r="G678" t="str">
        <f t="array" ref="G678">IFERROR(INDEX('Day Range Raw Data'!G:G,Match($A678,'Day Range Raw Data'!$B:$B,0)),"")</f>
        <v/>
      </c>
      <c r="H678" t="str">
        <f t="array" ref="H678">IFERROR(INDEX('Day Range Raw Data'!H:H,Match($A678,'Day Range Raw Data'!$B:$B,0)),"")</f>
        <v/>
      </c>
      <c r="I678" t="str">
        <f t="array" ref="I678">IFERROR(INDEX('Day Range Raw Data'!M:M,Match($A678,'Day Range Raw Data'!$B:$B,0)),"")</f>
        <v/>
      </c>
      <c r="J678" t="str">
        <f t="array" ref="J678">IFERROR(INDEX('Day Range Raw Data'!N:N,Match($A678,'Day Range Raw Data'!$B:$B,0)),"")</f>
        <v/>
      </c>
      <c r="K678" t="str">
        <f t="array" ref="K678">IFERROR(INDEX('Day Range Raw Data'!R:R,Match($A678,'Day Range Raw Data'!$B:$B,0)),"")</f>
        <v/>
      </c>
      <c r="L678" t="str">
        <f t="array" ref="L678">IFERROR(INDEX('Day Range Raw Data'!S:S,Match($A678,'Day Range Raw Data'!$B:$B,0)),"")</f>
        <v/>
      </c>
      <c r="M678" t="str">
        <f t="array" ref="M678">IFERROR(INDEX('Day Range Raw Data'!T:T,Match($A678,'Day Range Raw Data'!$B:$B,0)),"")</f>
        <v/>
      </c>
      <c r="N678" t="str">
        <f t="array" ref="N678">IFERROR(INDEX('Day Range Raw Data'!U:U,Match($A678,'Day Range Raw Data'!$B:$B,0)),"")</f>
        <v/>
      </c>
      <c r="O678" t="str">
        <f t="array" ref="O678">IFERROR(INDEX('Day Range Raw Data'!V:V,Match($A678,'Day Range Raw Data'!$B:$B,0)),"")</f>
        <v/>
      </c>
      <c r="P678" t="str">
        <f t="array" ref="P678">IFERROR(INDEX('Day Range Raw Data'!X:X,Match($A678,'Day Range Raw Data'!$B:$B,0)),"")</f>
        <v/>
      </c>
      <c r="Q678" t="str">
        <f t="shared" si="1"/>
        <v/>
      </c>
      <c r="R678" s="9" t="str">
        <f t="shared" si="2"/>
        <v/>
      </c>
      <c r="S678" s="14" t="str">
        <f t="shared" si="3"/>
        <v/>
      </c>
      <c r="T678" s="15" t="str">
        <f>IFERROR(__xludf.DUMMYFUNCTION("IF($A678="""","""",IFERROR(PERCENTRANK.INC(FILTER(Q:Q,$F:$F&lt;&gt;""""),Q678)*100,""""))"),"")</f>
        <v/>
      </c>
      <c r="U678" s="15" t="str">
        <f>IFERROR(__xludf.DUMMYFUNCTION("IF($A678="""","""",IFERROR(PERCENTRANK.INC(FILTER(R:R,$F:$F&lt;&gt;""""),R678)*100,""""))"),"")</f>
        <v/>
      </c>
      <c r="V678" s="15" t="str">
        <f>IFERROR(__xludf.DUMMYFUNCTION("IF($A678="""","""",IFERROR(PERCENTRANK.INC(FILTER(S:S,$F:$F&lt;&gt;""""),S678)*100,""""))"),"")</f>
        <v/>
      </c>
      <c r="W678" s="15" t="str">
        <f t="shared" si="5"/>
        <v/>
      </c>
    </row>
    <row r="679">
      <c r="B679" t="str">
        <f t="array" ref="B679">IFERROR(INDEX('Player Raw Data'!C:C,Match($A679,'Player Raw Data'!$B:$B,0)),"")</f>
        <v/>
      </c>
      <c r="C679" t="str">
        <f t="array" ref="C679">IFERROR(INDEX('Player Raw Data'!D:D,Match($A679,'Player Raw Data'!$B:$B,0)),"")</f>
        <v/>
      </c>
      <c r="D679" t="str">
        <f t="array" ref="D679">IFERROR(IF(A679=A678, INDEX('Player Raw Data'!E:E,Match($A679,'Player Raw Data'!$B:$B,0)+2),INDEX('Player Raw Data'!E:E,Match($A679,'Player Raw Data'!$B:$B,0))),"")</f>
        <v/>
      </c>
      <c r="E679" t="str">
        <f t="array" ref="E679">IFERROR(INDEX('Day Range Raw Data'!D:D,Match($A679,'Day Range Raw Data'!$B:$B,0)),"")</f>
        <v/>
      </c>
      <c r="F679" t="str">
        <f t="array" ref="F679">IFERROR(INDEX('Day Range Raw Data'!F:F,Match($A679,'Day Range Raw Data'!$B:$B,0)),"")</f>
        <v/>
      </c>
      <c r="G679" t="str">
        <f t="array" ref="G679">IFERROR(INDEX('Day Range Raw Data'!G:G,Match($A679,'Day Range Raw Data'!$B:$B,0)),"")</f>
        <v/>
      </c>
      <c r="H679" t="str">
        <f t="array" ref="H679">IFERROR(INDEX('Day Range Raw Data'!H:H,Match($A679,'Day Range Raw Data'!$B:$B,0)),"")</f>
        <v/>
      </c>
      <c r="I679" t="str">
        <f t="array" ref="I679">IFERROR(INDEX('Day Range Raw Data'!M:M,Match($A679,'Day Range Raw Data'!$B:$B,0)),"")</f>
        <v/>
      </c>
      <c r="J679" t="str">
        <f t="array" ref="J679">IFERROR(INDEX('Day Range Raw Data'!N:N,Match($A679,'Day Range Raw Data'!$B:$B,0)),"")</f>
        <v/>
      </c>
      <c r="K679" t="str">
        <f t="array" ref="K679">IFERROR(INDEX('Day Range Raw Data'!R:R,Match($A679,'Day Range Raw Data'!$B:$B,0)),"")</f>
        <v/>
      </c>
      <c r="L679" t="str">
        <f t="array" ref="L679">IFERROR(INDEX('Day Range Raw Data'!S:S,Match($A679,'Day Range Raw Data'!$B:$B,0)),"")</f>
        <v/>
      </c>
      <c r="M679" t="str">
        <f t="array" ref="M679">IFERROR(INDEX('Day Range Raw Data'!T:T,Match($A679,'Day Range Raw Data'!$B:$B,0)),"")</f>
        <v/>
      </c>
      <c r="N679" t="str">
        <f t="array" ref="N679">IFERROR(INDEX('Day Range Raw Data'!U:U,Match($A679,'Day Range Raw Data'!$B:$B,0)),"")</f>
        <v/>
      </c>
      <c r="O679" t="str">
        <f t="array" ref="O679">IFERROR(INDEX('Day Range Raw Data'!V:V,Match($A679,'Day Range Raw Data'!$B:$B,0)),"")</f>
        <v/>
      </c>
      <c r="P679" t="str">
        <f t="array" ref="P679">IFERROR(INDEX('Day Range Raw Data'!X:X,Match($A679,'Day Range Raw Data'!$B:$B,0)),"")</f>
        <v/>
      </c>
      <c r="Q679" t="str">
        <f t="shared" si="1"/>
        <v/>
      </c>
      <c r="R679" s="9" t="str">
        <f t="shared" si="2"/>
        <v/>
      </c>
      <c r="S679" s="14" t="str">
        <f t="shared" si="3"/>
        <v/>
      </c>
      <c r="T679" s="15" t="str">
        <f>IFERROR(__xludf.DUMMYFUNCTION("IF($A679="""","""",IFERROR(PERCENTRANK.INC(FILTER(Q:Q,$F:$F&lt;&gt;""""),Q679)*100,""""))"),"")</f>
        <v/>
      </c>
      <c r="U679" s="15" t="str">
        <f>IFERROR(__xludf.DUMMYFUNCTION("IF($A679="""","""",IFERROR(PERCENTRANK.INC(FILTER(R:R,$F:$F&lt;&gt;""""),R679)*100,""""))"),"")</f>
        <v/>
      </c>
      <c r="V679" s="15" t="str">
        <f>IFERROR(__xludf.DUMMYFUNCTION("IF($A679="""","""",IFERROR(PERCENTRANK.INC(FILTER(S:S,$F:$F&lt;&gt;""""),S679)*100,""""))"),"")</f>
        <v/>
      </c>
      <c r="W679" s="15" t="str">
        <f t="shared" si="5"/>
        <v/>
      </c>
    </row>
    <row r="680">
      <c r="B680" t="str">
        <f t="array" ref="B680">IFERROR(INDEX('Player Raw Data'!C:C,Match($A680,'Player Raw Data'!$B:$B,0)),"")</f>
        <v/>
      </c>
      <c r="C680" t="str">
        <f t="array" ref="C680">IFERROR(INDEX('Player Raw Data'!D:D,Match($A680,'Player Raw Data'!$B:$B,0)),"")</f>
        <v/>
      </c>
      <c r="D680" t="str">
        <f t="array" ref="D680">IFERROR(IF(A680=A679, INDEX('Player Raw Data'!E:E,Match($A680,'Player Raw Data'!$B:$B,0)+2),INDEX('Player Raw Data'!E:E,Match($A680,'Player Raw Data'!$B:$B,0))),"")</f>
        <v/>
      </c>
      <c r="E680" t="str">
        <f t="array" ref="E680">IFERROR(INDEX('Day Range Raw Data'!D:D,Match($A680,'Day Range Raw Data'!$B:$B,0)),"")</f>
        <v/>
      </c>
      <c r="F680" t="str">
        <f t="array" ref="F680">IFERROR(INDEX('Day Range Raw Data'!F:F,Match($A680,'Day Range Raw Data'!$B:$B,0)),"")</f>
        <v/>
      </c>
      <c r="G680" t="str">
        <f t="array" ref="G680">IFERROR(INDEX('Day Range Raw Data'!G:G,Match($A680,'Day Range Raw Data'!$B:$B,0)),"")</f>
        <v/>
      </c>
      <c r="H680" t="str">
        <f t="array" ref="H680">IFERROR(INDEX('Day Range Raw Data'!H:H,Match($A680,'Day Range Raw Data'!$B:$B,0)),"")</f>
        <v/>
      </c>
      <c r="I680" t="str">
        <f t="array" ref="I680">IFERROR(INDEX('Day Range Raw Data'!M:M,Match($A680,'Day Range Raw Data'!$B:$B,0)),"")</f>
        <v/>
      </c>
      <c r="J680" t="str">
        <f t="array" ref="J680">IFERROR(INDEX('Day Range Raw Data'!N:N,Match($A680,'Day Range Raw Data'!$B:$B,0)),"")</f>
        <v/>
      </c>
      <c r="K680" t="str">
        <f t="array" ref="K680">IFERROR(INDEX('Day Range Raw Data'!R:R,Match($A680,'Day Range Raw Data'!$B:$B,0)),"")</f>
        <v/>
      </c>
      <c r="L680" t="str">
        <f t="array" ref="L680">IFERROR(INDEX('Day Range Raw Data'!S:S,Match($A680,'Day Range Raw Data'!$B:$B,0)),"")</f>
        <v/>
      </c>
      <c r="M680" t="str">
        <f t="array" ref="M680">IFERROR(INDEX('Day Range Raw Data'!T:T,Match($A680,'Day Range Raw Data'!$B:$B,0)),"")</f>
        <v/>
      </c>
      <c r="N680" t="str">
        <f t="array" ref="N680">IFERROR(INDEX('Day Range Raw Data'!U:U,Match($A680,'Day Range Raw Data'!$B:$B,0)),"")</f>
        <v/>
      </c>
      <c r="O680" t="str">
        <f t="array" ref="O680">IFERROR(INDEX('Day Range Raw Data'!V:V,Match($A680,'Day Range Raw Data'!$B:$B,0)),"")</f>
        <v/>
      </c>
      <c r="P680" t="str">
        <f t="array" ref="P680">IFERROR(INDEX('Day Range Raw Data'!X:X,Match($A680,'Day Range Raw Data'!$B:$B,0)),"")</f>
        <v/>
      </c>
      <c r="Q680" t="str">
        <f t="shared" si="1"/>
        <v/>
      </c>
      <c r="R680" s="9" t="str">
        <f t="shared" si="2"/>
        <v/>
      </c>
      <c r="S680" s="14" t="str">
        <f t="shared" si="3"/>
        <v/>
      </c>
      <c r="T680" s="15" t="str">
        <f>IFERROR(__xludf.DUMMYFUNCTION("IF($A680="""","""",IFERROR(PERCENTRANK.INC(FILTER(Q:Q,$F:$F&lt;&gt;""""),Q680)*100,""""))"),"")</f>
        <v/>
      </c>
      <c r="U680" s="15" t="str">
        <f>IFERROR(__xludf.DUMMYFUNCTION("IF($A680="""","""",IFERROR(PERCENTRANK.INC(FILTER(R:R,$F:$F&lt;&gt;""""),R680)*100,""""))"),"")</f>
        <v/>
      </c>
      <c r="V680" s="15" t="str">
        <f>IFERROR(__xludf.DUMMYFUNCTION("IF($A680="""","""",IFERROR(PERCENTRANK.INC(FILTER(S:S,$F:$F&lt;&gt;""""),S680)*100,""""))"),"")</f>
        <v/>
      </c>
      <c r="W680" s="15" t="str">
        <f t="shared" si="5"/>
        <v/>
      </c>
    </row>
    <row r="681">
      <c r="B681" t="str">
        <f t="array" ref="B681">IFERROR(INDEX('Player Raw Data'!C:C,Match($A681,'Player Raw Data'!$B:$B,0)),"")</f>
        <v/>
      </c>
      <c r="C681" t="str">
        <f t="array" ref="C681">IFERROR(INDEX('Player Raw Data'!D:D,Match($A681,'Player Raw Data'!$B:$B,0)),"")</f>
        <v/>
      </c>
      <c r="D681" t="str">
        <f t="array" ref="D681">IFERROR(IF(A681=A680, INDEX('Player Raw Data'!E:E,Match($A681,'Player Raw Data'!$B:$B,0)+2),INDEX('Player Raw Data'!E:E,Match($A681,'Player Raw Data'!$B:$B,0))),"")</f>
        <v/>
      </c>
      <c r="E681" t="str">
        <f t="array" ref="E681">IFERROR(INDEX('Day Range Raw Data'!D:D,Match($A681,'Day Range Raw Data'!$B:$B,0)),"")</f>
        <v/>
      </c>
      <c r="F681" t="str">
        <f t="array" ref="F681">IFERROR(INDEX('Day Range Raw Data'!F:F,Match($A681,'Day Range Raw Data'!$B:$B,0)),"")</f>
        <v/>
      </c>
      <c r="G681" t="str">
        <f t="array" ref="G681">IFERROR(INDEX('Day Range Raw Data'!G:G,Match($A681,'Day Range Raw Data'!$B:$B,0)),"")</f>
        <v/>
      </c>
      <c r="H681" t="str">
        <f t="array" ref="H681">IFERROR(INDEX('Day Range Raw Data'!H:H,Match($A681,'Day Range Raw Data'!$B:$B,0)),"")</f>
        <v/>
      </c>
      <c r="I681" t="str">
        <f t="array" ref="I681">IFERROR(INDEX('Day Range Raw Data'!M:M,Match($A681,'Day Range Raw Data'!$B:$B,0)),"")</f>
        <v/>
      </c>
      <c r="J681" t="str">
        <f t="array" ref="J681">IFERROR(INDEX('Day Range Raw Data'!N:N,Match($A681,'Day Range Raw Data'!$B:$B,0)),"")</f>
        <v/>
      </c>
      <c r="K681" t="str">
        <f t="array" ref="K681">IFERROR(INDEX('Day Range Raw Data'!R:R,Match($A681,'Day Range Raw Data'!$B:$B,0)),"")</f>
        <v/>
      </c>
      <c r="L681" t="str">
        <f t="array" ref="L681">IFERROR(INDEX('Day Range Raw Data'!S:S,Match($A681,'Day Range Raw Data'!$B:$B,0)),"")</f>
        <v/>
      </c>
      <c r="M681" t="str">
        <f t="array" ref="M681">IFERROR(INDEX('Day Range Raw Data'!T:T,Match($A681,'Day Range Raw Data'!$B:$B,0)),"")</f>
        <v/>
      </c>
      <c r="N681" t="str">
        <f t="array" ref="N681">IFERROR(INDEX('Day Range Raw Data'!U:U,Match($A681,'Day Range Raw Data'!$B:$B,0)),"")</f>
        <v/>
      </c>
      <c r="O681" t="str">
        <f t="array" ref="O681">IFERROR(INDEX('Day Range Raw Data'!V:V,Match($A681,'Day Range Raw Data'!$B:$B,0)),"")</f>
        <v/>
      </c>
      <c r="P681" t="str">
        <f t="array" ref="P681">IFERROR(INDEX('Day Range Raw Data'!X:X,Match($A681,'Day Range Raw Data'!$B:$B,0)),"")</f>
        <v/>
      </c>
      <c r="Q681" t="str">
        <f t="shared" si="1"/>
        <v/>
      </c>
      <c r="R681" s="9" t="str">
        <f t="shared" si="2"/>
        <v/>
      </c>
      <c r="S681" s="14" t="str">
        <f t="shared" si="3"/>
        <v/>
      </c>
      <c r="T681" s="15" t="str">
        <f>IFERROR(__xludf.DUMMYFUNCTION("IF($A681="""","""",IFERROR(PERCENTRANK.INC(FILTER(Q:Q,$F:$F&lt;&gt;""""),Q681)*100,""""))"),"")</f>
        <v/>
      </c>
      <c r="U681" s="15" t="str">
        <f>IFERROR(__xludf.DUMMYFUNCTION("IF($A681="""","""",IFERROR(PERCENTRANK.INC(FILTER(R:R,$F:$F&lt;&gt;""""),R681)*100,""""))"),"")</f>
        <v/>
      </c>
      <c r="V681" s="15" t="str">
        <f>IFERROR(__xludf.DUMMYFUNCTION("IF($A681="""","""",IFERROR(PERCENTRANK.INC(FILTER(S:S,$F:$F&lt;&gt;""""),S681)*100,""""))"),"")</f>
        <v/>
      </c>
      <c r="W681" s="15" t="str">
        <f t="shared" si="5"/>
        <v/>
      </c>
    </row>
    <row r="682">
      <c r="B682" t="str">
        <f t="array" ref="B682">IFERROR(INDEX('Player Raw Data'!C:C,Match($A682,'Player Raw Data'!$B:$B,0)),"")</f>
        <v/>
      </c>
      <c r="C682" t="str">
        <f t="array" ref="C682">IFERROR(INDEX('Player Raw Data'!D:D,Match($A682,'Player Raw Data'!$B:$B,0)),"")</f>
        <v/>
      </c>
      <c r="D682" t="str">
        <f t="array" ref="D682">IFERROR(IF(A682=A681, INDEX('Player Raw Data'!E:E,Match($A682,'Player Raw Data'!$B:$B,0)+2),INDEX('Player Raw Data'!E:E,Match($A682,'Player Raw Data'!$B:$B,0))),"")</f>
        <v/>
      </c>
      <c r="E682" t="str">
        <f t="array" ref="E682">IFERROR(INDEX('Day Range Raw Data'!D:D,Match($A682,'Day Range Raw Data'!$B:$B,0)),"")</f>
        <v/>
      </c>
      <c r="F682" t="str">
        <f t="array" ref="F682">IFERROR(INDEX('Day Range Raw Data'!F:F,Match($A682,'Day Range Raw Data'!$B:$B,0)),"")</f>
        <v/>
      </c>
      <c r="G682" t="str">
        <f t="array" ref="G682">IFERROR(INDEX('Day Range Raw Data'!G:G,Match($A682,'Day Range Raw Data'!$B:$B,0)),"")</f>
        <v/>
      </c>
      <c r="H682" t="str">
        <f t="array" ref="H682">IFERROR(INDEX('Day Range Raw Data'!H:H,Match($A682,'Day Range Raw Data'!$B:$B,0)),"")</f>
        <v/>
      </c>
      <c r="I682" t="str">
        <f t="array" ref="I682">IFERROR(INDEX('Day Range Raw Data'!M:M,Match($A682,'Day Range Raw Data'!$B:$B,0)),"")</f>
        <v/>
      </c>
      <c r="J682" t="str">
        <f t="array" ref="J682">IFERROR(INDEX('Day Range Raw Data'!N:N,Match($A682,'Day Range Raw Data'!$B:$B,0)),"")</f>
        <v/>
      </c>
      <c r="K682" t="str">
        <f t="array" ref="K682">IFERROR(INDEX('Day Range Raw Data'!R:R,Match($A682,'Day Range Raw Data'!$B:$B,0)),"")</f>
        <v/>
      </c>
      <c r="L682" t="str">
        <f t="array" ref="L682">IFERROR(INDEX('Day Range Raw Data'!S:S,Match($A682,'Day Range Raw Data'!$B:$B,0)),"")</f>
        <v/>
      </c>
      <c r="M682" t="str">
        <f t="array" ref="M682">IFERROR(INDEX('Day Range Raw Data'!T:T,Match($A682,'Day Range Raw Data'!$B:$B,0)),"")</f>
        <v/>
      </c>
      <c r="N682" t="str">
        <f t="array" ref="N682">IFERROR(INDEX('Day Range Raw Data'!U:U,Match($A682,'Day Range Raw Data'!$B:$B,0)),"")</f>
        <v/>
      </c>
      <c r="O682" t="str">
        <f t="array" ref="O682">IFERROR(INDEX('Day Range Raw Data'!V:V,Match($A682,'Day Range Raw Data'!$B:$B,0)),"")</f>
        <v/>
      </c>
      <c r="P682" t="str">
        <f t="array" ref="P682">IFERROR(INDEX('Day Range Raw Data'!X:X,Match($A682,'Day Range Raw Data'!$B:$B,0)),"")</f>
        <v/>
      </c>
      <c r="Q682" t="str">
        <f t="shared" si="1"/>
        <v/>
      </c>
      <c r="R682" s="9" t="str">
        <f t="shared" si="2"/>
        <v/>
      </c>
      <c r="S682" s="14" t="str">
        <f t="shared" si="3"/>
        <v/>
      </c>
      <c r="T682" s="15" t="str">
        <f>IFERROR(__xludf.DUMMYFUNCTION("IF($A682="""","""",IFERROR(PERCENTRANK.INC(FILTER(Q:Q,$F:$F&lt;&gt;""""),Q682)*100,""""))"),"")</f>
        <v/>
      </c>
      <c r="U682" s="15" t="str">
        <f>IFERROR(__xludf.DUMMYFUNCTION("IF($A682="""","""",IFERROR(PERCENTRANK.INC(FILTER(R:R,$F:$F&lt;&gt;""""),R682)*100,""""))"),"")</f>
        <v/>
      </c>
      <c r="V682" s="15" t="str">
        <f>IFERROR(__xludf.DUMMYFUNCTION("IF($A682="""","""",IFERROR(PERCENTRANK.INC(FILTER(S:S,$F:$F&lt;&gt;""""),S682)*100,""""))"),"")</f>
        <v/>
      </c>
      <c r="W682" s="15" t="str">
        <f t="shared" si="5"/>
        <v/>
      </c>
    </row>
    <row r="683">
      <c r="B683" t="str">
        <f t="array" ref="B683">IFERROR(INDEX('Player Raw Data'!C:C,Match($A683,'Player Raw Data'!$B:$B,0)),"")</f>
        <v/>
      </c>
      <c r="C683" t="str">
        <f t="array" ref="C683">IFERROR(INDEX('Player Raw Data'!D:D,Match($A683,'Player Raw Data'!$B:$B,0)),"")</f>
        <v/>
      </c>
      <c r="D683" t="str">
        <f t="array" ref="D683">IFERROR(IF(A683=A682, INDEX('Player Raw Data'!E:E,Match($A683,'Player Raw Data'!$B:$B,0)+2),INDEX('Player Raw Data'!E:E,Match($A683,'Player Raw Data'!$B:$B,0))),"")</f>
        <v/>
      </c>
      <c r="E683" t="str">
        <f t="array" ref="E683">IFERROR(INDEX('Day Range Raw Data'!D:D,Match($A683,'Day Range Raw Data'!$B:$B,0)),"")</f>
        <v/>
      </c>
      <c r="F683" t="str">
        <f t="array" ref="F683">IFERROR(INDEX('Day Range Raw Data'!F:F,Match($A683,'Day Range Raw Data'!$B:$B,0)),"")</f>
        <v/>
      </c>
      <c r="G683" t="str">
        <f t="array" ref="G683">IFERROR(INDEX('Day Range Raw Data'!G:G,Match($A683,'Day Range Raw Data'!$B:$B,0)),"")</f>
        <v/>
      </c>
      <c r="H683" t="str">
        <f t="array" ref="H683">IFERROR(INDEX('Day Range Raw Data'!H:H,Match($A683,'Day Range Raw Data'!$B:$B,0)),"")</f>
        <v/>
      </c>
      <c r="I683" t="str">
        <f t="array" ref="I683">IFERROR(INDEX('Day Range Raw Data'!M:M,Match($A683,'Day Range Raw Data'!$B:$B,0)),"")</f>
        <v/>
      </c>
      <c r="J683" t="str">
        <f t="array" ref="J683">IFERROR(INDEX('Day Range Raw Data'!N:N,Match($A683,'Day Range Raw Data'!$B:$B,0)),"")</f>
        <v/>
      </c>
      <c r="K683" t="str">
        <f t="array" ref="K683">IFERROR(INDEX('Day Range Raw Data'!R:R,Match($A683,'Day Range Raw Data'!$B:$B,0)),"")</f>
        <v/>
      </c>
      <c r="L683" t="str">
        <f t="array" ref="L683">IFERROR(INDEX('Day Range Raw Data'!S:S,Match($A683,'Day Range Raw Data'!$B:$B,0)),"")</f>
        <v/>
      </c>
      <c r="M683" t="str">
        <f t="array" ref="M683">IFERROR(INDEX('Day Range Raw Data'!T:T,Match($A683,'Day Range Raw Data'!$B:$B,0)),"")</f>
        <v/>
      </c>
      <c r="N683" t="str">
        <f t="array" ref="N683">IFERROR(INDEX('Day Range Raw Data'!U:U,Match($A683,'Day Range Raw Data'!$B:$B,0)),"")</f>
        <v/>
      </c>
      <c r="O683" t="str">
        <f t="array" ref="O683">IFERROR(INDEX('Day Range Raw Data'!V:V,Match($A683,'Day Range Raw Data'!$B:$B,0)),"")</f>
        <v/>
      </c>
      <c r="P683" t="str">
        <f t="array" ref="P683">IFERROR(INDEX('Day Range Raw Data'!X:X,Match($A683,'Day Range Raw Data'!$B:$B,0)),"")</f>
        <v/>
      </c>
      <c r="Q683" t="str">
        <f t="shared" si="1"/>
        <v/>
      </c>
      <c r="R683" s="9" t="str">
        <f t="shared" si="2"/>
        <v/>
      </c>
      <c r="S683" s="14" t="str">
        <f t="shared" si="3"/>
        <v/>
      </c>
      <c r="T683" s="15" t="str">
        <f>IFERROR(__xludf.DUMMYFUNCTION("IF($A683="""","""",IFERROR(PERCENTRANK.INC(FILTER(Q:Q,$F:$F&lt;&gt;""""),Q683)*100,""""))"),"")</f>
        <v/>
      </c>
      <c r="U683" s="15" t="str">
        <f>IFERROR(__xludf.DUMMYFUNCTION("IF($A683="""","""",IFERROR(PERCENTRANK.INC(FILTER(R:R,$F:$F&lt;&gt;""""),R683)*100,""""))"),"")</f>
        <v/>
      </c>
      <c r="V683" s="15" t="str">
        <f>IFERROR(__xludf.DUMMYFUNCTION("IF($A683="""","""",IFERROR(PERCENTRANK.INC(FILTER(S:S,$F:$F&lt;&gt;""""),S683)*100,""""))"),"")</f>
        <v/>
      </c>
      <c r="W683" s="15" t="str">
        <f t="shared" si="5"/>
        <v/>
      </c>
    </row>
    <row r="684">
      <c r="B684" t="str">
        <f t="array" ref="B684">IFERROR(INDEX('Player Raw Data'!C:C,Match($A684,'Player Raw Data'!$B:$B,0)),"")</f>
        <v/>
      </c>
      <c r="C684" t="str">
        <f t="array" ref="C684">IFERROR(INDEX('Player Raw Data'!D:D,Match($A684,'Player Raw Data'!$B:$B,0)),"")</f>
        <v/>
      </c>
      <c r="D684" t="str">
        <f t="array" ref="D684">IFERROR(IF(A684=A683, INDEX('Player Raw Data'!E:E,Match($A684,'Player Raw Data'!$B:$B,0)+2),INDEX('Player Raw Data'!E:E,Match($A684,'Player Raw Data'!$B:$B,0))),"")</f>
        <v/>
      </c>
      <c r="E684" t="str">
        <f t="array" ref="E684">IFERROR(INDEX('Day Range Raw Data'!D:D,Match($A684,'Day Range Raw Data'!$B:$B,0)),"")</f>
        <v/>
      </c>
      <c r="F684" t="str">
        <f t="array" ref="F684">IFERROR(INDEX('Day Range Raw Data'!F:F,Match($A684,'Day Range Raw Data'!$B:$B,0)),"")</f>
        <v/>
      </c>
      <c r="G684" t="str">
        <f t="array" ref="G684">IFERROR(INDEX('Day Range Raw Data'!G:G,Match($A684,'Day Range Raw Data'!$B:$B,0)),"")</f>
        <v/>
      </c>
      <c r="H684" t="str">
        <f t="array" ref="H684">IFERROR(INDEX('Day Range Raw Data'!H:H,Match($A684,'Day Range Raw Data'!$B:$B,0)),"")</f>
        <v/>
      </c>
      <c r="I684" t="str">
        <f t="array" ref="I684">IFERROR(INDEX('Day Range Raw Data'!M:M,Match($A684,'Day Range Raw Data'!$B:$B,0)),"")</f>
        <v/>
      </c>
      <c r="J684" t="str">
        <f t="array" ref="J684">IFERROR(INDEX('Day Range Raw Data'!N:N,Match($A684,'Day Range Raw Data'!$B:$B,0)),"")</f>
        <v/>
      </c>
      <c r="K684" t="str">
        <f t="array" ref="K684">IFERROR(INDEX('Day Range Raw Data'!R:R,Match($A684,'Day Range Raw Data'!$B:$B,0)),"")</f>
        <v/>
      </c>
      <c r="L684" t="str">
        <f t="array" ref="L684">IFERROR(INDEX('Day Range Raw Data'!S:S,Match($A684,'Day Range Raw Data'!$B:$B,0)),"")</f>
        <v/>
      </c>
      <c r="M684" t="str">
        <f t="array" ref="M684">IFERROR(INDEX('Day Range Raw Data'!T:T,Match($A684,'Day Range Raw Data'!$B:$B,0)),"")</f>
        <v/>
      </c>
      <c r="N684" t="str">
        <f t="array" ref="N684">IFERROR(INDEX('Day Range Raw Data'!U:U,Match($A684,'Day Range Raw Data'!$B:$B,0)),"")</f>
        <v/>
      </c>
      <c r="O684" t="str">
        <f t="array" ref="O684">IFERROR(INDEX('Day Range Raw Data'!V:V,Match($A684,'Day Range Raw Data'!$B:$B,0)),"")</f>
        <v/>
      </c>
      <c r="P684" t="str">
        <f t="array" ref="P684">IFERROR(INDEX('Day Range Raw Data'!X:X,Match($A684,'Day Range Raw Data'!$B:$B,0)),"")</f>
        <v/>
      </c>
      <c r="Q684" t="str">
        <f t="shared" si="1"/>
        <v/>
      </c>
      <c r="R684" s="9" t="str">
        <f t="shared" si="2"/>
        <v/>
      </c>
      <c r="S684" s="14" t="str">
        <f t="shared" si="3"/>
        <v/>
      </c>
      <c r="T684" s="15" t="str">
        <f>IFERROR(__xludf.DUMMYFUNCTION("IF($A684="""","""",IFERROR(PERCENTRANK.INC(FILTER(Q:Q,$F:$F&lt;&gt;""""),Q684)*100,""""))"),"")</f>
        <v/>
      </c>
      <c r="U684" s="15" t="str">
        <f>IFERROR(__xludf.DUMMYFUNCTION("IF($A684="""","""",IFERROR(PERCENTRANK.INC(FILTER(R:R,$F:$F&lt;&gt;""""),R684)*100,""""))"),"")</f>
        <v/>
      </c>
      <c r="V684" s="15" t="str">
        <f>IFERROR(__xludf.DUMMYFUNCTION("IF($A684="""","""",IFERROR(PERCENTRANK.INC(FILTER(S:S,$F:$F&lt;&gt;""""),S684)*100,""""))"),"")</f>
        <v/>
      </c>
      <c r="W684" s="15" t="str">
        <f t="shared" si="5"/>
        <v/>
      </c>
    </row>
    <row r="685">
      <c r="B685" t="str">
        <f t="array" ref="B685">IFERROR(INDEX('Player Raw Data'!C:C,Match($A685,'Player Raw Data'!$B:$B,0)),"")</f>
        <v/>
      </c>
      <c r="C685" t="str">
        <f t="array" ref="C685">IFERROR(INDEX('Player Raw Data'!D:D,Match($A685,'Player Raw Data'!$B:$B,0)),"")</f>
        <v/>
      </c>
      <c r="D685" t="str">
        <f t="array" ref="D685">IFERROR(IF(A685=A684, INDEX('Player Raw Data'!E:E,Match($A685,'Player Raw Data'!$B:$B,0)+2),INDEX('Player Raw Data'!E:E,Match($A685,'Player Raw Data'!$B:$B,0))),"")</f>
        <v/>
      </c>
      <c r="E685" t="str">
        <f t="array" ref="E685">IFERROR(INDEX('Day Range Raw Data'!D:D,Match($A685,'Day Range Raw Data'!$B:$B,0)),"")</f>
        <v/>
      </c>
      <c r="F685" t="str">
        <f t="array" ref="F685">IFERROR(INDEX('Day Range Raw Data'!F:F,Match($A685,'Day Range Raw Data'!$B:$B,0)),"")</f>
        <v/>
      </c>
      <c r="G685" t="str">
        <f t="array" ref="G685">IFERROR(INDEX('Day Range Raw Data'!G:G,Match($A685,'Day Range Raw Data'!$B:$B,0)),"")</f>
        <v/>
      </c>
      <c r="H685" t="str">
        <f t="array" ref="H685">IFERROR(INDEX('Day Range Raw Data'!H:H,Match($A685,'Day Range Raw Data'!$B:$B,0)),"")</f>
        <v/>
      </c>
      <c r="I685" t="str">
        <f t="array" ref="I685">IFERROR(INDEX('Day Range Raw Data'!M:M,Match($A685,'Day Range Raw Data'!$B:$B,0)),"")</f>
        <v/>
      </c>
      <c r="J685" t="str">
        <f t="array" ref="J685">IFERROR(INDEX('Day Range Raw Data'!N:N,Match($A685,'Day Range Raw Data'!$B:$B,0)),"")</f>
        <v/>
      </c>
      <c r="K685" t="str">
        <f t="array" ref="K685">IFERROR(INDEX('Day Range Raw Data'!R:R,Match($A685,'Day Range Raw Data'!$B:$B,0)),"")</f>
        <v/>
      </c>
      <c r="L685" t="str">
        <f t="array" ref="L685">IFERROR(INDEX('Day Range Raw Data'!S:S,Match($A685,'Day Range Raw Data'!$B:$B,0)),"")</f>
        <v/>
      </c>
      <c r="M685" t="str">
        <f t="array" ref="M685">IFERROR(INDEX('Day Range Raw Data'!T:T,Match($A685,'Day Range Raw Data'!$B:$B,0)),"")</f>
        <v/>
      </c>
      <c r="N685" t="str">
        <f t="array" ref="N685">IFERROR(INDEX('Day Range Raw Data'!U:U,Match($A685,'Day Range Raw Data'!$B:$B,0)),"")</f>
        <v/>
      </c>
      <c r="O685" t="str">
        <f t="array" ref="O685">IFERROR(INDEX('Day Range Raw Data'!V:V,Match($A685,'Day Range Raw Data'!$B:$B,0)),"")</f>
        <v/>
      </c>
      <c r="P685" t="str">
        <f t="array" ref="P685">IFERROR(INDEX('Day Range Raw Data'!X:X,Match($A685,'Day Range Raw Data'!$B:$B,0)),"")</f>
        <v/>
      </c>
      <c r="Q685" t="str">
        <f t="shared" si="1"/>
        <v/>
      </c>
      <c r="R685" s="9" t="str">
        <f t="shared" si="2"/>
        <v/>
      </c>
      <c r="S685" s="14" t="str">
        <f t="shared" si="3"/>
        <v/>
      </c>
      <c r="T685" s="15" t="str">
        <f>IFERROR(__xludf.DUMMYFUNCTION("IF($A685="""","""",IFERROR(PERCENTRANK.INC(FILTER(Q:Q,$F:$F&lt;&gt;""""),Q685)*100,""""))"),"")</f>
        <v/>
      </c>
      <c r="U685" s="15" t="str">
        <f>IFERROR(__xludf.DUMMYFUNCTION("IF($A685="""","""",IFERROR(PERCENTRANK.INC(FILTER(R:R,$F:$F&lt;&gt;""""),R685)*100,""""))"),"")</f>
        <v/>
      </c>
      <c r="V685" s="15" t="str">
        <f>IFERROR(__xludf.DUMMYFUNCTION("IF($A685="""","""",IFERROR(PERCENTRANK.INC(FILTER(S:S,$F:$F&lt;&gt;""""),S685)*100,""""))"),"")</f>
        <v/>
      </c>
      <c r="W685" s="15" t="str">
        <f t="shared" si="5"/>
        <v/>
      </c>
    </row>
    <row r="686">
      <c r="B686" t="str">
        <f t="array" ref="B686">IFERROR(INDEX('Player Raw Data'!C:C,Match($A686,'Player Raw Data'!$B:$B,0)),"")</f>
        <v/>
      </c>
      <c r="C686" t="str">
        <f t="array" ref="C686">IFERROR(INDEX('Player Raw Data'!D:D,Match($A686,'Player Raw Data'!$B:$B,0)),"")</f>
        <v/>
      </c>
      <c r="D686" t="str">
        <f t="array" ref="D686">IFERROR(IF(A686=A685, INDEX('Player Raw Data'!E:E,Match($A686,'Player Raw Data'!$B:$B,0)+2),INDEX('Player Raw Data'!E:E,Match($A686,'Player Raw Data'!$B:$B,0))),"")</f>
        <v/>
      </c>
      <c r="E686" t="str">
        <f t="array" ref="E686">IFERROR(INDEX('Day Range Raw Data'!D:D,Match($A686,'Day Range Raw Data'!$B:$B,0)),"")</f>
        <v/>
      </c>
      <c r="F686" t="str">
        <f t="array" ref="F686">IFERROR(INDEX('Day Range Raw Data'!F:F,Match($A686,'Day Range Raw Data'!$B:$B,0)),"")</f>
        <v/>
      </c>
      <c r="G686" t="str">
        <f t="array" ref="G686">IFERROR(INDEX('Day Range Raw Data'!G:G,Match($A686,'Day Range Raw Data'!$B:$B,0)),"")</f>
        <v/>
      </c>
      <c r="H686" t="str">
        <f t="array" ref="H686">IFERROR(INDEX('Day Range Raw Data'!H:H,Match($A686,'Day Range Raw Data'!$B:$B,0)),"")</f>
        <v/>
      </c>
      <c r="I686" t="str">
        <f t="array" ref="I686">IFERROR(INDEX('Day Range Raw Data'!M:M,Match($A686,'Day Range Raw Data'!$B:$B,0)),"")</f>
        <v/>
      </c>
      <c r="J686" t="str">
        <f t="array" ref="J686">IFERROR(INDEX('Day Range Raw Data'!N:N,Match($A686,'Day Range Raw Data'!$B:$B,0)),"")</f>
        <v/>
      </c>
      <c r="K686" t="str">
        <f t="array" ref="K686">IFERROR(INDEX('Day Range Raw Data'!R:R,Match($A686,'Day Range Raw Data'!$B:$B,0)),"")</f>
        <v/>
      </c>
      <c r="L686" t="str">
        <f t="array" ref="L686">IFERROR(INDEX('Day Range Raw Data'!S:S,Match($A686,'Day Range Raw Data'!$B:$B,0)),"")</f>
        <v/>
      </c>
      <c r="M686" t="str">
        <f t="array" ref="M686">IFERROR(INDEX('Day Range Raw Data'!T:T,Match($A686,'Day Range Raw Data'!$B:$B,0)),"")</f>
        <v/>
      </c>
      <c r="N686" t="str">
        <f t="array" ref="N686">IFERROR(INDEX('Day Range Raw Data'!U:U,Match($A686,'Day Range Raw Data'!$B:$B,0)),"")</f>
        <v/>
      </c>
      <c r="O686" t="str">
        <f t="array" ref="O686">IFERROR(INDEX('Day Range Raw Data'!V:V,Match($A686,'Day Range Raw Data'!$B:$B,0)),"")</f>
        <v/>
      </c>
      <c r="P686" t="str">
        <f t="array" ref="P686">IFERROR(INDEX('Day Range Raw Data'!X:X,Match($A686,'Day Range Raw Data'!$B:$B,0)),"")</f>
        <v/>
      </c>
      <c r="Q686" t="str">
        <f t="shared" si="1"/>
        <v/>
      </c>
      <c r="R686" s="9" t="str">
        <f t="shared" si="2"/>
        <v/>
      </c>
      <c r="S686" s="14" t="str">
        <f t="shared" si="3"/>
        <v/>
      </c>
      <c r="T686" s="15" t="str">
        <f>IFERROR(__xludf.DUMMYFUNCTION("IF($A686="""","""",IFERROR(PERCENTRANK.INC(FILTER(Q:Q,$F:$F&lt;&gt;""""),Q686)*100,""""))"),"")</f>
        <v/>
      </c>
      <c r="U686" s="15" t="str">
        <f>IFERROR(__xludf.DUMMYFUNCTION("IF($A686="""","""",IFERROR(PERCENTRANK.INC(FILTER(R:R,$F:$F&lt;&gt;""""),R686)*100,""""))"),"")</f>
        <v/>
      </c>
      <c r="V686" s="15" t="str">
        <f>IFERROR(__xludf.DUMMYFUNCTION("IF($A686="""","""",IFERROR(PERCENTRANK.INC(FILTER(S:S,$F:$F&lt;&gt;""""),S686)*100,""""))"),"")</f>
        <v/>
      </c>
      <c r="W686" s="15" t="str">
        <f t="shared" si="5"/>
        <v/>
      </c>
    </row>
    <row r="687">
      <c r="B687" t="str">
        <f t="array" ref="B687">IFERROR(INDEX('Player Raw Data'!C:C,Match($A687,'Player Raw Data'!$B:$B,0)),"")</f>
        <v/>
      </c>
      <c r="C687" t="str">
        <f t="array" ref="C687">IFERROR(INDEX('Player Raw Data'!D:D,Match($A687,'Player Raw Data'!$B:$B,0)),"")</f>
        <v/>
      </c>
      <c r="D687" t="str">
        <f t="array" ref="D687">IFERROR(IF(A687=A686, INDEX('Player Raw Data'!E:E,Match($A687,'Player Raw Data'!$B:$B,0)+2),INDEX('Player Raw Data'!E:E,Match($A687,'Player Raw Data'!$B:$B,0))),"")</f>
        <v/>
      </c>
      <c r="E687" t="str">
        <f t="array" ref="E687">IFERROR(INDEX('Day Range Raw Data'!D:D,Match($A687,'Day Range Raw Data'!$B:$B,0)),"")</f>
        <v/>
      </c>
      <c r="F687" t="str">
        <f t="array" ref="F687">IFERROR(INDEX('Day Range Raw Data'!F:F,Match($A687,'Day Range Raw Data'!$B:$B,0)),"")</f>
        <v/>
      </c>
      <c r="G687" t="str">
        <f t="array" ref="G687">IFERROR(INDEX('Day Range Raw Data'!G:G,Match($A687,'Day Range Raw Data'!$B:$B,0)),"")</f>
        <v/>
      </c>
      <c r="H687" t="str">
        <f t="array" ref="H687">IFERROR(INDEX('Day Range Raw Data'!H:H,Match($A687,'Day Range Raw Data'!$B:$B,0)),"")</f>
        <v/>
      </c>
      <c r="I687" t="str">
        <f t="array" ref="I687">IFERROR(INDEX('Day Range Raw Data'!M:M,Match($A687,'Day Range Raw Data'!$B:$B,0)),"")</f>
        <v/>
      </c>
      <c r="J687" t="str">
        <f t="array" ref="J687">IFERROR(INDEX('Day Range Raw Data'!N:N,Match($A687,'Day Range Raw Data'!$B:$B,0)),"")</f>
        <v/>
      </c>
      <c r="K687" t="str">
        <f t="array" ref="K687">IFERROR(INDEX('Day Range Raw Data'!R:R,Match($A687,'Day Range Raw Data'!$B:$B,0)),"")</f>
        <v/>
      </c>
      <c r="L687" t="str">
        <f t="array" ref="L687">IFERROR(INDEX('Day Range Raw Data'!S:S,Match($A687,'Day Range Raw Data'!$B:$B,0)),"")</f>
        <v/>
      </c>
      <c r="M687" t="str">
        <f t="array" ref="M687">IFERROR(INDEX('Day Range Raw Data'!T:T,Match($A687,'Day Range Raw Data'!$B:$B,0)),"")</f>
        <v/>
      </c>
      <c r="N687" t="str">
        <f t="array" ref="N687">IFERROR(INDEX('Day Range Raw Data'!U:U,Match($A687,'Day Range Raw Data'!$B:$B,0)),"")</f>
        <v/>
      </c>
      <c r="O687" t="str">
        <f t="array" ref="O687">IFERROR(INDEX('Day Range Raw Data'!V:V,Match($A687,'Day Range Raw Data'!$B:$B,0)),"")</f>
        <v/>
      </c>
      <c r="P687" t="str">
        <f t="array" ref="P687">IFERROR(INDEX('Day Range Raw Data'!X:X,Match($A687,'Day Range Raw Data'!$B:$B,0)),"")</f>
        <v/>
      </c>
      <c r="Q687" t="str">
        <f t="shared" si="1"/>
        <v/>
      </c>
      <c r="R687" s="9" t="str">
        <f t="shared" si="2"/>
        <v/>
      </c>
      <c r="S687" s="14" t="str">
        <f t="shared" si="3"/>
        <v/>
      </c>
      <c r="T687" s="15" t="str">
        <f>IFERROR(__xludf.DUMMYFUNCTION("IF($A687="""","""",IFERROR(PERCENTRANK.INC(FILTER(Q:Q,$F:$F&lt;&gt;""""),Q687)*100,""""))"),"")</f>
        <v/>
      </c>
      <c r="U687" s="15" t="str">
        <f>IFERROR(__xludf.DUMMYFUNCTION("IF($A687="""","""",IFERROR(PERCENTRANK.INC(FILTER(R:R,$F:$F&lt;&gt;""""),R687)*100,""""))"),"")</f>
        <v/>
      </c>
      <c r="V687" s="15" t="str">
        <f>IFERROR(__xludf.DUMMYFUNCTION("IF($A687="""","""",IFERROR(PERCENTRANK.INC(FILTER(S:S,$F:$F&lt;&gt;""""),S687)*100,""""))"),"")</f>
        <v/>
      </c>
      <c r="W687" s="15" t="str">
        <f t="shared" si="5"/>
        <v/>
      </c>
    </row>
    <row r="688">
      <c r="B688" t="str">
        <f t="array" ref="B688">IFERROR(INDEX('Player Raw Data'!C:C,Match($A688,'Player Raw Data'!$B:$B,0)),"")</f>
        <v/>
      </c>
      <c r="C688" t="str">
        <f t="array" ref="C688">IFERROR(INDEX('Player Raw Data'!D:D,Match($A688,'Player Raw Data'!$B:$B,0)),"")</f>
        <v/>
      </c>
      <c r="D688" t="str">
        <f t="array" ref="D688">IFERROR(IF(A688=A687, INDEX('Player Raw Data'!E:E,Match($A688,'Player Raw Data'!$B:$B,0)+2),INDEX('Player Raw Data'!E:E,Match($A688,'Player Raw Data'!$B:$B,0))),"")</f>
        <v/>
      </c>
      <c r="E688" t="str">
        <f t="array" ref="E688">IFERROR(INDEX('Day Range Raw Data'!D:D,Match($A688,'Day Range Raw Data'!$B:$B,0)),"")</f>
        <v/>
      </c>
      <c r="F688" t="str">
        <f t="array" ref="F688">IFERROR(INDEX('Day Range Raw Data'!F:F,Match($A688,'Day Range Raw Data'!$B:$B,0)),"")</f>
        <v/>
      </c>
      <c r="G688" t="str">
        <f t="array" ref="G688">IFERROR(INDEX('Day Range Raw Data'!G:G,Match($A688,'Day Range Raw Data'!$B:$B,0)),"")</f>
        <v/>
      </c>
      <c r="H688" t="str">
        <f t="array" ref="H688">IFERROR(INDEX('Day Range Raw Data'!H:H,Match($A688,'Day Range Raw Data'!$B:$B,0)),"")</f>
        <v/>
      </c>
      <c r="I688" t="str">
        <f t="array" ref="I688">IFERROR(INDEX('Day Range Raw Data'!M:M,Match($A688,'Day Range Raw Data'!$B:$B,0)),"")</f>
        <v/>
      </c>
      <c r="J688" t="str">
        <f t="array" ref="J688">IFERROR(INDEX('Day Range Raw Data'!N:N,Match($A688,'Day Range Raw Data'!$B:$B,0)),"")</f>
        <v/>
      </c>
      <c r="K688" t="str">
        <f t="array" ref="K688">IFERROR(INDEX('Day Range Raw Data'!R:R,Match($A688,'Day Range Raw Data'!$B:$B,0)),"")</f>
        <v/>
      </c>
      <c r="L688" t="str">
        <f t="array" ref="L688">IFERROR(INDEX('Day Range Raw Data'!S:S,Match($A688,'Day Range Raw Data'!$B:$B,0)),"")</f>
        <v/>
      </c>
      <c r="M688" t="str">
        <f t="array" ref="M688">IFERROR(INDEX('Day Range Raw Data'!T:T,Match($A688,'Day Range Raw Data'!$B:$B,0)),"")</f>
        <v/>
      </c>
      <c r="N688" t="str">
        <f t="array" ref="N688">IFERROR(INDEX('Day Range Raw Data'!U:U,Match($A688,'Day Range Raw Data'!$B:$B,0)),"")</f>
        <v/>
      </c>
      <c r="O688" t="str">
        <f t="array" ref="O688">IFERROR(INDEX('Day Range Raw Data'!V:V,Match($A688,'Day Range Raw Data'!$B:$B,0)),"")</f>
        <v/>
      </c>
      <c r="P688" t="str">
        <f t="array" ref="P688">IFERROR(INDEX('Day Range Raw Data'!X:X,Match($A688,'Day Range Raw Data'!$B:$B,0)),"")</f>
        <v/>
      </c>
      <c r="Q688" t="str">
        <f t="shared" si="1"/>
        <v/>
      </c>
      <c r="R688" s="9" t="str">
        <f t="shared" si="2"/>
        <v/>
      </c>
      <c r="S688" s="14" t="str">
        <f t="shared" si="3"/>
        <v/>
      </c>
      <c r="T688" s="15" t="str">
        <f>IFERROR(__xludf.DUMMYFUNCTION("IF($A688="""","""",IFERROR(PERCENTRANK.INC(FILTER(Q:Q,$F:$F&lt;&gt;""""),Q688)*100,""""))"),"")</f>
        <v/>
      </c>
      <c r="U688" s="15" t="str">
        <f>IFERROR(__xludf.DUMMYFUNCTION("IF($A688="""","""",IFERROR(PERCENTRANK.INC(FILTER(R:R,$F:$F&lt;&gt;""""),R688)*100,""""))"),"")</f>
        <v/>
      </c>
      <c r="V688" s="15" t="str">
        <f>IFERROR(__xludf.DUMMYFUNCTION("IF($A688="""","""",IFERROR(PERCENTRANK.INC(FILTER(S:S,$F:$F&lt;&gt;""""),S688)*100,""""))"),"")</f>
        <v/>
      </c>
      <c r="W688" s="15" t="str">
        <f t="shared" si="5"/>
        <v/>
      </c>
    </row>
    <row r="689">
      <c r="B689" t="str">
        <f t="array" ref="B689">IFERROR(INDEX('Player Raw Data'!C:C,Match($A689,'Player Raw Data'!$B:$B,0)),"")</f>
        <v/>
      </c>
      <c r="C689" t="str">
        <f t="array" ref="C689">IFERROR(INDEX('Player Raw Data'!D:D,Match($A689,'Player Raw Data'!$B:$B,0)),"")</f>
        <v/>
      </c>
      <c r="D689" t="str">
        <f t="array" ref="D689">IFERROR(IF(A689=A688, INDEX('Player Raw Data'!E:E,Match($A689,'Player Raw Data'!$B:$B,0)+2),INDEX('Player Raw Data'!E:E,Match($A689,'Player Raw Data'!$B:$B,0))),"")</f>
        <v/>
      </c>
      <c r="E689" t="str">
        <f t="array" ref="E689">IFERROR(INDEX('Day Range Raw Data'!D:D,Match($A689,'Day Range Raw Data'!$B:$B,0)),"")</f>
        <v/>
      </c>
      <c r="F689" t="str">
        <f t="array" ref="F689">IFERROR(INDEX('Day Range Raw Data'!F:F,Match($A689,'Day Range Raw Data'!$B:$B,0)),"")</f>
        <v/>
      </c>
      <c r="G689" t="str">
        <f t="array" ref="G689">IFERROR(INDEX('Day Range Raw Data'!G:G,Match($A689,'Day Range Raw Data'!$B:$B,0)),"")</f>
        <v/>
      </c>
      <c r="H689" t="str">
        <f t="array" ref="H689">IFERROR(INDEX('Day Range Raw Data'!H:H,Match($A689,'Day Range Raw Data'!$B:$B,0)),"")</f>
        <v/>
      </c>
      <c r="I689" t="str">
        <f t="array" ref="I689">IFERROR(INDEX('Day Range Raw Data'!M:M,Match($A689,'Day Range Raw Data'!$B:$B,0)),"")</f>
        <v/>
      </c>
      <c r="J689" t="str">
        <f t="array" ref="J689">IFERROR(INDEX('Day Range Raw Data'!N:N,Match($A689,'Day Range Raw Data'!$B:$B,0)),"")</f>
        <v/>
      </c>
      <c r="K689" t="str">
        <f t="array" ref="K689">IFERROR(INDEX('Day Range Raw Data'!R:R,Match($A689,'Day Range Raw Data'!$B:$B,0)),"")</f>
        <v/>
      </c>
      <c r="L689" t="str">
        <f t="array" ref="L689">IFERROR(INDEX('Day Range Raw Data'!S:S,Match($A689,'Day Range Raw Data'!$B:$B,0)),"")</f>
        <v/>
      </c>
      <c r="M689" t="str">
        <f t="array" ref="M689">IFERROR(INDEX('Day Range Raw Data'!T:T,Match($A689,'Day Range Raw Data'!$B:$B,0)),"")</f>
        <v/>
      </c>
      <c r="N689" t="str">
        <f t="array" ref="N689">IFERROR(INDEX('Day Range Raw Data'!U:U,Match($A689,'Day Range Raw Data'!$B:$B,0)),"")</f>
        <v/>
      </c>
      <c r="O689" t="str">
        <f t="array" ref="O689">IFERROR(INDEX('Day Range Raw Data'!V:V,Match($A689,'Day Range Raw Data'!$B:$B,0)),"")</f>
        <v/>
      </c>
      <c r="P689" t="str">
        <f t="array" ref="P689">IFERROR(INDEX('Day Range Raw Data'!X:X,Match($A689,'Day Range Raw Data'!$B:$B,0)),"")</f>
        <v/>
      </c>
      <c r="Q689" t="str">
        <f t="shared" si="1"/>
        <v/>
      </c>
      <c r="R689" s="9" t="str">
        <f t="shared" si="2"/>
        <v/>
      </c>
      <c r="S689" s="14" t="str">
        <f t="shared" si="3"/>
        <v/>
      </c>
      <c r="T689" s="15" t="str">
        <f>IFERROR(__xludf.DUMMYFUNCTION("IF($A689="""","""",IFERROR(PERCENTRANK.INC(FILTER(Q:Q,$F:$F&lt;&gt;""""),Q689)*100,""""))"),"")</f>
        <v/>
      </c>
      <c r="U689" s="15" t="str">
        <f>IFERROR(__xludf.DUMMYFUNCTION("IF($A689="""","""",IFERROR(PERCENTRANK.INC(FILTER(R:R,$F:$F&lt;&gt;""""),R689)*100,""""))"),"")</f>
        <v/>
      </c>
      <c r="V689" s="15" t="str">
        <f>IFERROR(__xludf.DUMMYFUNCTION("IF($A689="""","""",IFERROR(PERCENTRANK.INC(FILTER(S:S,$F:$F&lt;&gt;""""),S689)*100,""""))"),"")</f>
        <v/>
      </c>
      <c r="W689" s="15" t="str">
        <f t="shared" si="5"/>
        <v/>
      </c>
    </row>
    <row r="690">
      <c r="B690" t="str">
        <f t="array" ref="B690">IFERROR(INDEX('Player Raw Data'!C:C,Match($A690,'Player Raw Data'!$B:$B,0)),"")</f>
        <v/>
      </c>
      <c r="C690" t="str">
        <f t="array" ref="C690">IFERROR(INDEX('Player Raw Data'!D:D,Match($A690,'Player Raw Data'!$B:$B,0)),"")</f>
        <v/>
      </c>
      <c r="D690" t="str">
        <f t="array" ref="D690">IFERROR(IF(A690=A689, INDEX('Player Raw Data'!E:E,Match($A690,'Player Raw Data'!$B:$B,0)+2),INDEX('Player Raw Data'!E:E,Match($A690,'Player Raw Data'!$B:$B,0))),"")</f>
        <v/>
      </c>
      <c r="E690" t="str">
        <f t="array" ref="E690">IFERROR(INDEX('Day Range Raw Data'!D:D,Match($A690,'Day Range Raw Data'!$B:$B,0)),"")</f>
        <v/>
      </c>
      <c r="F690" t="str">
        <f t="array" ref="F690">IFERROR(INDEX('Day Range Raw Data'!F:F,Match($A690,'Day Range Raw Data'!$B:$B,0)),"")</f>
        <v/>
      </c>
      <c r="G690" t="str">
        <f t="array" ref="G690">IFERROR(INDEX('Day Range Raw Data'!G:G,Match($A690,'Day Range Raw Data'!$B:$B,0)),"")</f>
        <v/>
      </c>
      <c r="H690" t="str">
        <f t="array" ref="H690">IFERROR(INDEX('Day Range Raw Data'!H:H,Match($A690,'Day Range Raw Data'!$B:$B,0)),"")</f>
        <v/>
      </c>
      <c r="I690" t="str">
        <f t="array" ref="I690">IFERROR(INDEX('Day Range Raw Data'!M:M,Match($A690,'Day Range Raw Data'!$B:$B,0)),"")</f>
        <v/>
      </c>
      <c r="J690" t="str">
        <f t="array" ref="J690">IFERROR(INDEX('Day Range Raw Data'!N:N,Match($A690,'Day Range Raw Data'!$B:$B,0)),"")</f>
        <v/>
      </c>
      <c r="K690" t="str">
        <f t="array" ref="K690">IFERROR(INDEX('Day Range Raw Data'!R:R,Match($A690,'Day Range Raw Data'!$B:$B,0)),"")</f>
        <v/>
      </c>
      <c r="L690" t="str">
        <f t="array" ref="L690">IFERROR(INDEX('Day Range Raw Data'!S:S,Match($A690,'Day Range Raw Data'!$B:$B,0)),"")</f>
        <v/>
      </c>
      <c r="M690" t="str">
        <f t="array" ref="M690">IFERROR(INDEX('Day Range Raw Data'!T:T,Match($A690,'Day Range Raw Data'!$B:$B,0)),"")</f>
        <v/>
      </c>
      <c r="N690" t="str">
        <f t="array" ref="N690">IFERROR(INDEX('Day Range Raw Data'!U:U,Match($A690,'Day Range Raw Data'!$B:$B,0)),"")</f>
        <v/>
      </c>
      <c r="O690" t="str">
        <f t="array" ref="O690">IFERROR(INDEX('Day Range Raw Data'!V:V,Match($A690,'Day Range Raw Data'!$B:$B,0)),"")</f>
        <v/>
      </c>
      <c r="P690" t="str">
        <f t="array" ref="P690">IFERROR(INDEX('Day Range Raw Data'!X:X,Match($A690,'Day Range Raw Data'!$B:$B,0)),"")</f>
        <v/>
      </c>
      <c r="Q690" t="str">
        <f t="shared" si="1"/>
        <v/>
      </c>
      <c r="R690" s="9" t="str">
        <f t="shared" si="2"/>
        <v/>
      </c>
      <c r="S690" s="14" t="str">
        <f t="shared" si="3"/>
        <v/>
      </c>
      <c r="T690" s="15" t="str">
        <f>IFERROR(__xludf.DUMMYFUNCTION("IF($A690="""","""",IFERROR(PERCENTRANK.INC(FILTER(Q:Q,$F:$F&lt;&gt;""""),Q690)*100,""""))"),"")</f>
        <v/>
      </c>
      <c r="U690" s="15" t="str">
        <f>IFERROR(__xludf.DUMMYFUNCTION("IF($A690="""","""",IFERROR(PERCENTRANK.INC(FILTER(R:R,$F:$F&lt;&gt;""""),R690)*100,""""))"),"")</f>
        <v/>
      </c>
      <c r="V690" s="15" t="str">
        <f>IFERROR(__xludf.DUMMYFUNCTION("IF($A690="""","""",IFERROR(PERCENTRANK.INC(FILTER(S:S,$F:$F&lt;&gt;""""),S690)*100,""""))"),"")</f>
        <v/>
      </c>
      <c r="W690" s="15" t="str">
        <f t="shared" si="5"/>
        <v/>
      </c>
    </row>
    <row r="691">
      <c r="B691" t="str">
        <f t="array" ref="B691">IFERROR(INDEX('Player Raw Data'!C:C,Match($A691,'Player Raw Data'!$B:$B,0)),"")</f>
        <v/>
      </c>
      <c r="C691" t="str">
        <f t="array" ref="C691">IFERROR(INDEX('Player Raw Data'!D:D,Match($A691,'Player Raw Data'!$B:$B,0)),"")</f>
        <v/>
      </c>
      <c r="D691" t="str">
        <f t="array" ref="D691">IFERROR(IF(A691=A690, INDEX('Player Raw Data'!E:E,Match($A691,'Player Raw Data'!$B:$B,0)+2),INDEX('Player Raw Data'!E:E,Match($A691,'Player Raw Data'!$B:$B,0))),"")</f>
        <v/>
      </c>
      <c r="E691" t="str">
        <f t="array" ref="E691">IFERROR(INDEX('Day Range Raw Data'!D:D,Match($A691,'Day Range Raw Data'!$B:$B,0)),"")</f>
        <v/>
      </c>
      <c r="F691" t="str">
        <f t="array" ref="F691">IFERROR(INDEX('Day Range Raw Data'!F:F,Match($A691,'Day Range Raw Data'!$B:$B,0)),"")</f>
        <v/>
      </c>
      <c r="G691" t="str">
        <f t="array" ref="G691">IFERROR(INDEX('Day Range Raw Data'!G:G,Match($A691,'Day Range Raw Data'!$B:$B,0)),"")</f>
        <v/>
      </c>
      <c r="H691" t="str">
        <f t="array" ref="H691">IFERROR(INDEX('Day Range Raw Data'!H:H,Match($A691,'Day Range Raw Data'!$B:$B,0)),"")</f>
        <v/>
      </c>
      <c r="I691" t="str">
        <f t="array" ref="I691">IFERROR(INDEX('Day Range Raw Data'!M:M,Match($A691,'Day Range Raw Data'!$B:$B,0)),"")</f>
        <v/>
      </c>
      <c r="J691" t="str">
        <f t="array" ref="J691">IFERROR(INDEX('Day Range Raw Data'!N:N,Match($A691,'Day Range Raw Data'!$B:$B,0)),"")</f>
        <v/>
      </c>
      <c r="K691" t="str">
        <f t="array" ref="K691">IFERROR(INDEX('Day Range Raw Data'!R:R,Match($A691,'Day Range Raw Data'!$B:$B,0)),"")</f>
        <v/>
      </c>
      <c r="L691" t="str">
        <f t="array" ref="L691">IFERROR(INDEX('Day Range Raw Data'!S:S,Match($A691,'Day Range Raw Data'!$B:$B,0)),"")</f>
        <v/>
      </c>
      <c r="M691" t="str">
        <f t="array" ref="M691">IFERROR(INDEX('Day Range Raw Data'!T:T,Match($A691,'Day Range Raw Data'!$B:$B,0)),"")</f>
        <v/>
      </c>
      <c r="N691" t="str">
        <f t="array" ref="N691">IFERROR(INDEX('Day Range Raw Data'!U:U,Match($A691,'Day Range Raw Data'!$B:$B,0)),"")</f>
        <v/>
      </c>
      <c r="O691" t="str">
        <f t="array" ref="O691">IFERROR(INDEX('Day Range Raw Data'!V:V,Match($A691,'Day Range Raw Data'!$B:$B,0)),"")</f>
        <v/>
      </c>
      <c r="P691" t="str">
        <f t="array" ref="P691">IFERROR(INDEX('Day Range Raw Data'!X:X,Match($A691,'Day Range Raw Data'!$B:$B,0)),"")</f>
        <v/>
      </c>
      <c r="Q691" t="str">
        <f t="shared" si="1"/>
        <v/>
      </c>
      <c r="R691" s="9" t="str">
        <f t="shared" si="2"/>
        <v/>
      </c>
      <c r="S691" s="14" t="str">
        <f t="shared" si="3"/>
        <v/>
      </c>
      <c r="T691" s="15" t="str">
        <f>IFERROR(__xludf.DUMMYFUNCTION("IF($A691="""","""",IFERROR(PERCENTRANK.INC(FILTER(Q:Q,$F:$F&lt;&gt;""""),Q691)*100,""""))"),"")</f>
        <v/>
      </c>
      <c r="U691" s="15" t="str">
        <f>IFERROR(__xludf.DUMMYFUNCTION("IF($A691="""","""",IFERROR(PERCENTRANK.INC(FILTER(R:R,$F:$F&lt;&gt;""""),R691)*100,""""))"),"")</f>
        <v/>
      </c>
      <c r="V691" s="15" t="str">
        <f>IFERROR(__xludf.DUMMYFUNCTION("IF($A691="""","""",IFERROR(PERCENTRANK.INC(FILTER(S:S,$F:$F&lt;&gt;""""),S691)*100,""""))"),"")</f>
        <v/>
      </c>
      <c r="W691" s="15" t="str">
        <f t="shared" si="5"/>
        <v/>
      </c>
    </row>
    <row r="692">
      <c r="B692" t="str">
        <f t="array" ref="B692">IFERROR(INDEX('Player Raw Data'!C:C,Match($A692,'Player Raw Data'!$B:$B,0)),"")</f>
        <v/>
      </c>
      <c r="C692" t="str">
        <f t="array" ref="C692">IFERROR(INDEX('Player Raw Data'!D:D,Match($A692,'Player Raw Data'!$B:$B,0)),"")</f>
        <v/>
      </c>
      <c r="D692" t="str">
        <f t="array" ref="D692">IFERROR(IF(A692=A691, INDEX('Player Raw Data'!E:E,Match($A692,'Player Raw Data'!$B:$B,0)+2),INDEX('Player Raw Data'!E:E,Match($A692,'Player Raw Data'!$B:$B,0))),"")</f>
        <v/>
      </c>
      <c r="E692" t="str">
        <f t="array" ref="E692">IFERROR(INDEX('Day Range Raw Data'!D:D,Match($A692,'Day Range Raw Data'!$B:$B,0)),"")</f>
        <v/>
      </c>
      <c r="F692" t="str">
        <f t="array" ref="F692">IFERROR(INDEX('Day Range Raw Data'!F:F,Match($A692,'Day Range Raw Data'!$B:$B,0)),"")</f>
        <v/>
      </c>
      <c r="G692" t="str">
        <f t="array" ref="G692">IFERROR(INDEX('Day Range Raw Data'!G:G,Match($A692,'Day Range Raw Data'!$B:$B,0)),"")</f>
        <v/>
      </c>
      <c r="H692" t="str">
        <f t="array" ref="H692">IFERROR(INDEX('Day Range Raw Data'!H:H,Match($A692,'Day Range Raw Data'!$B:$B,0)),"")</f>
        <v/>
      </c>
      <c r="I692" t="str">
        <f t="array" ref="I692">IFERROR(INDEX('Day Range Raw Data'!M:M,Match($A692,'Day Range Raw Data'!$B:$B,0)),"")</f>
        <v/>
      </c>
      <c r="J692" t="str">
        <f t="array" ref="J692">IFERROR(INDEX('Day Range Raw Data'!N:N,Match($A692,'Day Range Raw Data'!$B:$B,0)),"")</f>
        <v/>
      </c>
      <c r="K692" t="str">
        <f t="array" ref="K692">IFERROR(INDEX('Day Range Raw Data'!R:R,Match($A692,'Day Range Raw Data'!$B:$B,0)),"")</f>
        <v/>
      </c>
      <c r="L692" t="str">
        <f t="array" ref="L692">IFERROR(INDEX('Day Range Raw Data'!S:S,Match($A692,'Day Range Raw Data'!$B:$B,0)),"")</f>
        <v/>
      </c>
      <c r="M692" t="str">
        <f t="array" ref="M692">IFERROR(INDEX('Day Range Raw Data'!T:T,Match($A692,'Day Range Raw Data'!$B:$B,0)),"")</f>
        <v/>
      </c>
      <c r="N692" t="str">
        <f t="array" ref="N692">IFERROR(INDEX('Day Range Raw Data'!U:U,Match($A692,'Day Range Raw Data'!$B:$B,0)),"")</f>
        <v/>
      </c>
      <c r="O692" t="str">
        <f t="array" ref="O692">IFERROR(INDEX('Day Range Raw Data'!V:V,Match($A692,'Day Range Raw Data'!$B:$B,0)),"")</f>
        <v/>
      </c>
      <c r="P692" t="str">
        <f t="array" ref="P692">IFERROR(INDEX('Day Range Raw Data'!X:X,Match($A692,'Day Range Raw Data'!$B:$B,0)),"")</f>
        <v/>
      </c>
      <c r="Q692" t="str">
        <f t="shared" si="1"/>
        <v/>
      </c>
      <c r="R692" s="9" t="str">
        <f t="shared" si="2"/>
        <v/>
      </c>
      <c r="S692" s="14" t="str">
        <f t="shared" si="3"/>
        <v/>
      </c>
      <c r="T692" s="15" t="str">
        <f>IFERROR(__xludf.DUMMYFUNCTION("IF($A692="""","""",IFERROR(PERCENTRANK.INC(FILTER(Q:Q,$F:$F&lt;&gt;""""),Q692)*100,""""))"),"")</f>
        <v/>
      </c>
      <c r="U692" s="15" t="str">
        <f>IFERROR(__xludf.DUMMYFUNCTION("IF($A692="""","""",IFERROR(PERCENTRANK.INC(FILTER(R:R,$F:$F&lt;&gt;""""),R692)*100,""""))"),"")</f>
        <v/>
      </c>
      <c r="V692" s="15" t="str">
        <f>IFERROR(__xludf.DUMMYFUNCTION("IF($A692="""","""",IFERROR(PERCENTRANK.INC(FILTER(S:S,$F:$F&lt;&gt;""""),S692)*100,""""))"),"")</f>
        <v/>
      </c>
      <c r="W692" s="15" t="str">
        <f t="shared" si="5"/>
        <v/>
      </c>
    </row>
    <row r="693">
      <c r="B693" t="str">
        <f t="array" ref="B693">IFERROR(INDEX('Player Raw Data'!C:C,Match($A693,'Player Raw Data'!$B:$B,0)),"")</f>
        <v/>
      </c>
      <c r="C693" t="str">
        <f t="array" ref="C693">IFERROR(INDEX('Player Raw Data'!D:D,Match($A693,'Player Raw Data'!$B:$B,0)),"")</f>
        <v/>
      </c>
      <c r="D693" t="str">
        <f t="array" ref="D693">IFERROR(IF(A693=A692, INDEX('Player Raw Data'!E:E,Match($A693,'Player Raw Data'!$B:$B,0)+2),INDEX('Player Raw Data'!E:E,Match($A693,'Player Raw Data'!$B:$B,0))),"")</f>
        <v/>
      </c>
      <c r="E693" t="str">
        <f t="array" ref="E693">IFERROR(INDEX('Day Range Raw Data'!D:D,Match($A693,'Day Range Raw Data'!$B:$B,0)),"")</f>
        <v/>
      </c>
      <c r="F693" t="str">
        <f t="array" ref="F693">IFERROR(INDEX('Day Range Raw Data'!F:F,Match($A693,'Day Range Raw Data'!$B:$B,0)),"")</f>
        <v/>
      </c>
      <c r="G693" t="str">
        <f t="array" ref="G693">IFERROR(INDEX('Day Range Raw Data'!G:G,Match($A693,'Day Range Raw Data'!$B:$B,0)),"")</f>
        <v/>
      </c>
      <c r="H693" t="str">
        <f t="array" ref="H693">IFERROR(INDEX('Day Range Raw Data'!H:H,Match($A693,'Day Range Raw Data'!$B:$B,0)),"")</f>
        <v/>
      </c>
      <c r="I693" t="str">
        <f t="array" ref="I693">IFERROR(INDEX('Day Range Raw Data'!M:M,Match($A693,'Day Range Raw Data'!$B:$B,0)),"")</f>
        <v/>
      </c>
      <c r="J693" t="str">
        <f t="array" ref="J693">IFERROR(INDEX('Day Range Raw Data'!N:N,Match($A693,'Day Range Raw Data'!$B:$B,0)),"")</f>
        <v/>
      </c>
      <c r="K693" t="str">
        <f t="array" ref="K693">IFERROR(INDEX('Day Range Raw Data'!R:R,Match($A693,'Day Range Raw Data'!$B:$B,0)),"")</f>
        <v/>
      </c>
      <c r="L693" t="str">
        <f t="array" ref="L693">IFERROR(INDEX('Day Range Raw Data'!S:S,Match($A693,'Day Range Raw Data'!$B:$B,0)),"")</f>
        <v/>
      </c>
      <c r="M693" t="str">
        <f t="array" ref="M693">IFERROR(INDEX('Day Range Raw Data'!T:T,Match($A693,'Day Range Raw Data'!$B:$B,0)),"")</f>
        <v/>
      </c>
      <c r="N693" t="str">
        <f t="array" ref="N693">IFERROR(INDEX('Day Range Raw Data'!U:U,Match($A693,'Day Range Raw Data'!$B:$B,0)),"")</f>
        <v/>
      </c>
      <c r="O693" t="str">
        <f t="array" ref="O693">IFERROR(INDEX('Day Range Raw Data'!V:V,Match($A693,'Day Range Raw Data'!$B:$B,0)),"")</f>
        <v/>
      </c>
      <c r="P693" t="str">
        <f t="array" ref="P693">IFERROR(INDEX('Day Range Raw Data'!X:X,Match($A693,'Day Range Raw Data'!$B:$B,0)),"")</f>
        <v/>
      </c>
      <c r="Q693" t="str">
        <f t="shared" si="1"/>
        <v/>
      </c>
      <c r="R693" s="9" t="str">
        <f t="shared" si="2"/>
        <v/>
      </c>
      <c r="S693" s="14" t="str">
        <f t="shared" si="3"/>
        <v/>
      </c>
      <c r="T693" s="15" t="str">
        <f>IFERROR(__xludf.DUMMYFUNCTION("IF($A693="""","""",IFERROR(PERCENTRANK.INC(FILTER(Q:Q,$F:$F&lt;&gt;""""),Q693)*100,""""))"),"")</f>
        <v/>
      </c>
      <c r="U693" s="15" t="str">
        <f>IFERROR(__xludf.DUMMYFUNCTION("IF($A693="""","""",IFERROR(PERCENTRANK.INC(FILTER(R:R,$F:$F&lt;&gt;""""),R693)*100,""""))"),"")</f>
        <v/>
      </c>
      <c r="V693" s="15" t="str">
        <f>IFERROR(__xludf.DUMMYFUNCTION("IF($A693="""","""",IFERROR(PERCENTRANK.INC(FILTER(S:S,$F:$F&lt;&gt;""""),S693)*100,""""))"),"")</f>
        <v/>
      </c>
      <c r="W693" s="15" t="str">
        <f t="shared" si="5"/>
        <v/>
      </c>
    </row>
    <row r="694">
      <c r="B694" t="str">
        <f t="array" ref="B694">IFERROR(INDEX('Player Raw Data'!C:C,Match($A694,'Player Raw Data'!$B:$B,0)),"")</f>
        <v/>
      </c>
      <c r="C694" t="str">
        <f t="array" ref="C694">IFERROR(INDEX('Player Raw Data'!D:D,Match($A694,'Player Raw Data'!$B:$B,0)),"")</f>
        <v/>
      </c>
      <c r="D694" t="str">
        <f t="array" ref="D694">IFERROR(IF(A694=A693, INDEX('Player Raw Data'!E:E,Match($A694,'Player Raw Data'!$B:$B,0)+2),INDEX('Player Raw Data'!E:E,Match($A694,'Player Raw Data'!$B:$B,0))),"")</f>
        <v/>
      </c>
      <c r="E694" t="str">
        <f t="array" ref="E694">IFERROR(INDEX('Day Range Raw Data'!D:D,Match($A694,'Day Range Raw Data'!$B:$B,0)),"")</f>
        <v/>
      </c>
      <c r="F694" t="str">
        <f t="array" ref="F694">IFERROR(INDEX('Day Range Raw Data'!F:F,Match($A694,'Day Range Raw Data'!$B:$B,0)),"")</f>
        <v/>
      </c>
      <c r="G694" t="str">
        <f t="array" ref="G694">IFERROR(INDEX('Day Range Raw Data'!G:G,Match($A694,'Day Range Raw Data'!$B:$B,0)),"")</f>
        <v/>
      </c>
      <c r="H694" t="str">
        <f t="array" ref="H694">IFERROR(INDEX('Day Range Raw Data'!H:H,Match($A694,'Day Range Raw Data'!$B:$B,0)),"")</f>
        <v/>
      </c>
      <c r="I694" t="str">
        <f t="array" ref="I694">IFERROR(INDEX('Day Range Raw Data'!M:M,Match($A694,'Day Range Raw Data'!$B:$B,0)),"")</f>
        <v/>
      </c>
      <c r="J694" t="str">
        <f t="array" ref="J694">IFERROR(INDEX('Day Range Raw Data'!N:N,Match($A694,'Day Range Raw Data'!$B:$B,0)),"")</f>
        <v/>
      </c>
      <c r="K694" t="str">
        <f t="array" ref="K694">IFERROR(INDEX('Day Range Raw Data'!R:R,Match($A694,'Day Range Raw Data'!$B:$B,0)),"")</f>
        <v/>
      </c>
      <c r="L694" t="str">
        <f t="array" ref="L694">IFERROR(INDEX('Day Range Raw Data'!S:S,Match($A694,'Day Range Raw Data'!$B:$B,0)),"")</f>
        <v/>
      </c>
      <c r="M694" t="str">
        <f t="array" ref="M694">IFERROR(INDEX('Day Range Raw Data'!T:T,Match($A694,'Day Range Raw Data'!$B:$B,0)),"")</f>
        <v/>
      </c>
      <c r="N694" t="str">
        <f t="array" ref="N694">IFERROR(INDEX('Day Range Raw Data'!U:U,Match($A694,'Day Range Raw Data'!$B:$B,0)),"")</f>
        <v/>
      </c>
      <c r="O694" t="str">
        <f t="array" ref="O694">IFERROR(INDEX('Day Range Raw Data'!V:V,Match($A694,'Day Range Raw Data'!$B:$B,0)),"")</f>
        <v/>
      </c>
      <c r="P694" t="str">
        <f t="array" ref="P694">IFERROR(INDEX('Day Range Raw Data'!X:X,Match($A694,'Day Range Raw Data'!$B:$B,0)),"")</f>
        <v/>
      </c>
      <c r="Q694" t="str">
        <f t="shared" si="1"/>
        <v/>
      </c>
      <c r="R694" s="9" t="str">
        <f t="shared" si="2"/>
        <v/>
      </c>
      <c r="S694" s="14" t="str">
        <f t="shared" si="3"/>
        <v/>
      </c>
      <c r="T694" s="15" t="str">
        <f>IFERROR(__xludf.DUMMYFUNCTION("IF($A694="""","""",IFERROR(PERCENTRANK.INC(FILTER(Q:Q,$F:$F&lt;&gt;""""),Q694)*100,""""))"),"")</f>
        <v/>
      </c>
      <c r="U694" s="15" t="str">
        <f>IFERROR(__xludf.DUMMYFUNCTION("IF($A694="""","""",IFERROR(PERCENTRANK.INC(FILTER(R:R,$F:$F&lt;&gt;""""),R694)*100,""""))"),"")</f>
        <v/>
      </c>
      <c r="V694" s="15" t="str">
        <f>IFERROR(__xludf.DUMMYFUNCTION("IF($A694="""","""",IFERROR(PERCENTRANK.INC(FILTER(S:S,$F:$F&lt;&gt;""""),S694)*100,""""))"),"")</f>
        <v/>
      </c>
      <c r="W694" s="15" t="str">
        <f t="shared" si="5"/>
        <v/>
      </c>
    </row>
    <row r="695">
      <c r="B695" t="str">
        <f t="array" ref="B695">IFERROR(INDEX('Player Raw Data'!C:C,Match($A695,'Player Raw Data'!$B:$B,0)),"")</f>
        <v/>
      </c>
      <c r="C695" t="str">
        <f t="array" ref="C695">IFERROR(INDEX('Player Raw Data'!D:D,Match($A695,'Player Raw Data'!$B:$B,0)),"")</f>
        <v/>
      </c>
      <c r="D695" t="str">
        <f t="array" ref="D695">IFERROR(IF(A695=A694, INDEX('Player Raw Data'!E:E,Match($A695,'Player Raw Data'!$B:$B,0)+2),INDEX('Player Raw Data'!E:E,Match($A695,'Player Raw Data'!$B:$B,0))),"")</f>
        <v/>
      </c>
      <c r="E695" t="str">
        <f t="array" ref="E695">IFERROR(INDEX('Day Range Raw Data'!D:D,Match($A695,'Day Range Raw Data'!$B:$B,0)),"")</f>
        <v/>
      </c>
      <c r="F695" t="str">
        <f t="array" ref="F695">IFERROR(INDEX('Day Range Raw Data'!F:F,Match($A695,'Day Range Raw Data'!$B:$B,0)),"")</f>
        <v/>
      </c>
      <c r="G695" t="str">
        <f t="array" ref="G695">IFERROR(INDEX('Day Range Raw Data'!G:G,Match($A695,'Day Range Raw Data'!$B:$B,0)),"")</f>
        <v/>
      </c>
      <c r="H695" t="str">
        <f t="array" ref="H695">IFERROR(INDEX('Day Range Raw Data'!H:H,Match($A695,'Day Range Raw Data'!$B:$B,0)),"")</f>
        <v/>
      </c>
      <c r="I695" t="str">
        <f t="array" ref="I695">IFERROR(INDEX('Day Range Raw Data'!M:M,Match($A695,'Day Range Raw Data'!$B:$B,0)),"")</f>
        <v/>
      </c>
      <c r="J695" t="str">
        <f t="array" ref="J695">IFERROR(INDEX('Day Range Raw Data'!N:N,Match($A695,'Day Range Raw Data'!$B:$B,0)),"")</f>
        <v/>
      </c>
      <c r="K695" t="str">
        <f t="array" ref="K695">IFERROR(INDEX('Day Range Raw Data'!R:R,Match($A695,'Day Range Raw Data'!$B:$B,0)),"")</f>
        <v/>
      </c>
      <c r="L695" t="str">
        <f t="array" ref="L695">IFERROR(INDEX('Day Range Raw Data'!S:S,Match($A695,'Day Range Raw Data'!$B:$B,0)),"")</f>
        <v/>
      </c>
      <c r="M695" t="str">
        <f t="array" ref="M695">IFERROR(INDEX('Day Range Raw Data'!T:T,Match($A695,'Day Range Raw Data'!$B:$B,0)),"")</f>
        <v/>
      </c>
      <c r="N695" t="str">
        <f t="array" ref="N695">IFERROR(INDEX('Day Range Raw Data'!U:U,Match($A695,'Day Range Raw Data'!$B:$B,0)),"")</f>
        <v/>
      </c>
      <c r="O695" t="str">
        <f t="array" ref="O695">IFERROR(INDEX('Day Range Raw Data'!V:V,Match($A695,'Day Range Raw Data'!$B:$B,0)),"")</f>
        <v/>
      </c>
      <c r="P695" t="str">
        <f t="array" ref="P695">IFERROR(INDEX('Day Range Raw Data'!X:X,Match($A695,'Day Range Raw Data'!$B:$B,0)),"")</f>
        <v/>
      </c>
      <c r="Q695" t="str">
        <f t="shared" si="1"/>
        <v/>
      </c>
      <c r="R695" s="9" t="str">
        <f t="shared" si="2"/>
        <v/>
      </c>
      <c r="S695" s="14" t="str">
        <f t="shared" si="3"/>
        <v/>
      </c>
      <c r="T695" s="15" t="str">
        <f>IFERROR(__xludf.DUMMYFUNCTION("IF($A695="""","""",IFERROR(PERCENTRANK.INC(FILTER(Q:Q,$F:$F&lt;&gt;""""),Q695)*100,""""))"),"")</f>
        <v/>
      </c>
      <c r="U695" s="15" t="str">
        <f>IFERROR(__xludf.DUMMYFUNCTION("IF($A695="""","""",IFERROR(PERCENTRANK.INC(FILTER(R:R,$F:$F&lt;&gt;""""),R695)*100,""""))"),"")</f>
        <v/>
      </c>
      <c r="V695" s="15" t="str">
        <f>IFERROR(__xludf.DUMMYFUNCTION("IF($A695="""","""",IFERROR(PERCENTRANK.INC(FILTER(S:S,$F:$F&lt;&gt;""""),S695)*100,""""))"),"")</f>
        <v/>
      </c>
      <c r="W695" s="15" t="str">
        <f t="shared" si="5"/>
        <v/>
      </c>
    </row>
    <row r="696">
      <c r="B696" t="str">
        <f t="array" ref="B696">IFERROR(INDEX('Player Raw Data'!C:C,Match($A696,'Player Raw Data'!$B:$B,0)),"")</f>
        <v/>
      </c>
      <c r="C696" t="str">
        <f t="array" ref="C696">IFERROR(INDEX('Player Raw Data'!D:D,Match($A696,'Player Raw Data'!$B:$B,0)),"")</f>
        <v/>
      </c>
      <c r="D696" t="str">
        <f t="array" ref="D696">IFERROR(IF(A696=A695, INDEX('Player Raw Data'!E:E,Match($A696,'Player Raw Data'!$B:$B,0)+2),INDEX('Player Raw Data'!E:E,Match($A696,'Player Raw Data'!$B:$B,0))),"")</f>
        <v/>
      </c>
      <c r="E696" t="str">
        <f t="array" ref="E696">IFERROR(INDEX('Day Range Raw Data'!D:D,Match($A696,'Day Range Raw Data'!$B:$B,0)),"")</f>
        <v/>
      </c>
      <c r="F696" t="str">
        <f t="array" ref="F696">IFERROR(INDEX('Day Range Raw Data'!F:F,Match($A696,'Day Range Raw Data'!$B:$B,0)),"")</f>
        <v/>
      </c>
      <c r="G696" t="str">
        <f t="array" ref="G696">IFERROR(INDEX('Day Range Raw Data'!G:G,Match($A696,'Day Range Raw Data'!$B:$B,0)),"")</f>
        <v/>
      </c>
      <c r="H696" t="str">
        <f t="array" ref="H696">IFERROR(INDEX('Day Range Raw Data'!H:H,Match($A696,'Day Range Raw Data'!$B:$B,0)),"")</f>
        <v/>
      </c>
      <c r="I696" t="str">
        <f t="array" ref="I696">IFERROR(INDEX('Day Range Raw Data'!M:M,Match($A696,'Day Range Raw Data'!$B:$B,0)),"")</f>
        <v/>
      </c>
      <c r="J696" t="str">
        <f t="array" ref="J696">IFERROR(INDEX('Day Range Raw Data'!N:N,Match($A696,'Day Range Raw Data'!$B:$B,0)),"")</f>
        <v/>
      </c>
      <c r="K696" t="str">
        <f t="array" ref="K696">IFERROR(INDEX('Day Range Raw Data'!R:R,Match($A696,'Day Range Raw Data'!$B:$B,0)),"")</f>
        <v/>
      </c>
      <c r="L696" t="str">
        <f t="array" ref="L696">IFERROR(INDEX('Day Range Raw Data'!S:S,Match($A696,'Day Range Raw Data'!$B:$B,0)),"")</f>
        <v/>
      </c>
      <c r="M696" t="str">
        <f t="array" ref="M696">IFERROR(INDEX('Day Range Raw Data'!T:T,Match($A696,'Day Range Raw Data'!$B:$B,0)),"")</f>
        <v/>
      </c>
      <c r="N696" t="str">
        <f t="array" ref="N696">IFERROR(INDEX('Day Range Raw Data'!U:U,Match($A696,'Day Range Raw Data'!$B:$B,0)),"")</f>
        <v/>
      </c>
      <c r="O696" t="str">
        <f t="array" ref="O696">IFERROR(INDEX('Day Range Raw Data'!V:V,Match($A696,'Day Range Raw Data'!$B:$B,0)),"")</f>
        <v/>
      </c>
      <c r="P696" t="str">
        <f t="array" ref="P696">IFERROR(INDEX('Day Range Raw Data'!X:X,Match($A696,'Day Range Raw Data'!$B:$B,0)),"")</f>
        <v/>
      </c>
      <c r="Q696" t="str">
        <f t="shared" si="1"/>
        <v/>
      </c>
      <c r="R696" s="9" t="str">
        <f t="shared" si="2"/>
        <v/>
      </c>
      <c r="S696" s="14" t="str">
        <f t="shared" si="3"/>
        <v/>
      </c>
      <c r="T696" s="15" t="str">
        <f>IFERROR(__xludf.DUMMYFUNCTION("IF($A696="""","""",IFERROR(PERCENTRANK.INC(FILTER(Q:Q,$F:$F&lt;&gt;""""),Q696)*100,""""))"),"")</f>
        <v/>
      </c>
      <c r="U696" s="15" t="str">
        <f>IFERROR(__xludf.DUMMYFUNCTION("IF($A696="""","""",IFERROR(PERCENTRANK.INC(FILTER(R:R,$F:$F&lt;&gt;""""),R696)*100,""""))"),"")</f>
        <v/>
      </c>
      <c r="V696" s="15" t="str">
        <f>IFERROR(__xludf.DUMMYFUNCTION("IF($A696="""","""",IFERROR(PERCENTRANK.INC(FILTER(S:S,$F:$F&lt;&gt;""""),S696)*100,""""))"),"")</f>
        <v/>
      </c>
      <c r="W696" s="15" t="str">
        <f t="shared" si="5"/>
        <v/>
      </c>
    </row>
    <row r="697">
      <c r="B697" t="str">
        <f t="array" ref="B697">IFERROR(INDEX('Player Raw Data'!C:C,Match($A697,'Player Raw Data'!$B:$B,0)),"")</f>
        <v/>
      </c>
      <c r="C697" t="str">
        <f t="array" ref="C697">IFERROR(INDEX('Player Raw Data'!D:D,Match($A697,'Player Raw Data'!$B:$B,0)),"")</f>
        <v/>
      </c>
      <c r="D697" t="str">
        <f t="array" ref="D697">IFERROR(IF(A697=A696, INDEX('Player Raw Data'!E:E,Match($A697,'Player Raw Data'!$B:$B,0)+2),INDEX('Player Raw Data'!E:E,Match($A697,'Player Raw Data'!$B:$B,0))),"")</f>
        <v/>
      </c>
      <c r="E697" t="str">
        <f t="array" ref="E697">IFERROR(INDEX('Day Range Raw Data'!D:D,Match($A697,'Day Range Raw Data'!$B:$B,0)),"")</f>
        <v/>
      </c>
      <c r="F697" t="str">
        <f t="array" ref="F697">IFERROR(INDEX('Day Range Raw Data'!F:F,Match($A697,'Day Range Raw Data'!$B:$B,0)),"")</f>
        <v/>
      </c>
      <c r="G697" t="str">
        <f t="array" ref="G697">IFERROR(INDEX('Day Range Raw Data'!G:G,Match($A697,'Day Range Raw Data'!$B:$B,0)),"")</f>
        <v/>
      </c>
      <c r="H697" t="str">
        <f t="array" ref="H697">IFERROR(INDEX('Day Range Raw Data'!H:H,Match($A697,'Day Range Raw Data'!$B:$B,0)),"")</f>
        <v/>
      </c>
      <c r="I697" t="str">
        <f t="array" ref="I697">IFERROR(INDEX('Day Range Raw Data'!M:M,Match($A697,'Day Range Raw Data'!$B:$B,0)),"")</f>
        <v/>
      </c>
      <c r="J697" t="str">
        <f t="array" ref="J697">IFERROR(INDEX('Day Range Raw Data'!N:N,Match($A697,'Day Range Raw Data'!$B:$B,0)),"")</f>
        <v/>
      </c>
      <c r="K697" t="str">
        <f t="array" ref="K697">IFERROR(INDEX('Day Range Raw Data'!R:R,Match($A697,'Day Range Raw Data'!$B:$B,0)),"")</f>
        <v/>
      </c>
      <c r="L697" t="str">
        <f t="array" ref="L697">IFERROR(INDEX('Day Range Raw Data'!S:S,Match($A697,'Day Range Raw Data'!$B:$B,0)),"")</f>
        <v/>
      </c>
      <c r="M697" t="str">
        <f t="array" ref="M697">IFERROR(INDEX('Day Range Raw Data'!T:T,Match($A697,'Day Range Raw Data'!$B:$B,0)),"")</f>
        <v/>
      </c>
      <c r="N697" t="str">
        <f t="array" ref="N697">IFERROR(INDEX('Day Range Raw Data'!U:U,Match($A697,'Day Range Raw Data'!$B:$B,0)),"")</f>
        <v/>
      </c>
      <c r="O697" t="str">
        <f t="array" ref="O697">IFERROR(INDEX('Day Range Raw Data'!V:V,Match($A697,'Day Range Raw Data'!$B:$B,0)),"")</f>
        <v/>
      </c>
      <c r="P697" t="str">
        <f t="array" ref="P697">IFERROR(INDEX('Day Range Raw Data'!X:X,Match($A697,'Day Range Raw Data'!$B:$B,0)),"")</f>
        <v/>
      </c>
      <c r="Q697" t="str">
        <f t="shared" si="1"/>
        <v/>
      </c>
      <c r="R697" s="9" t="str">
        <f t="shared" si="2"/>
        <v/>
      </c>
      <c r="S697" s="14" t="str">
        <f t="shared" si="3"/>
        <v/>
      </c>
      <c r="T697" s="15" t="str">
        <f>IFERROR(__xludf.DUMMYFUNCTION("IF($A697="""","""",IFERROR(PERCENTRANK.INC(FILTER(Q:Q,$F:$F&lt;&gt;""""),Q697)*100,""""))"),"")</f>
        <v/>
      </c>
      <c r="U697" s="15" t="str">
        <f>IFERROR(__xludf.DUMMYFUNCTION("IF($A697="""","""",IFERROR(PERCENTRANK.INC(FILTER(R:R,$F:$F&lt;&gt;""""),R697)*100,""""))"),"")</f>
        <v/>
      </c>
      <c r="V697" s="15" t="str">
        <f>IFERROR(__xludf.DUMMYFUNCTION("IF($A697="""","""",IFERROR(PERCENTRANK.INC(FILTER(S:S,$F:$F&lt;&gt;""""),S697)*100,""""))"),"")</f>
        <v/>
      </c>
      <c r="W697" s="15" t="str">
        <f t="shared" si="5"/>
        <v/>
      </c>
    </row>
    <row r="698">
      <c r="B698" t="str">
        <f t="array" ref="B698">IFERROR(INDEX('Player Raw Data'!C:C,Match($A698,'Player Raw Data'!$B:$B,0)),"")</f>
        <v/>
      </c>
      <c r="C698" t="str">
        <f t="array" ref="C698">IFERROR(INDEX('Player Raw Data'!D:D,Match($A698,'Player Raw Data'!$B:$B,0)),"")</f>
        <v/>
      </c>
      <c r="D698" t="str">
        <f t="array" ref="D698">IFERROR(IF(A698=A697, INDEX('Player Raw Data'!E:E,Match($A698,'Player Raw Data'!$B:$B,0)+2),INDEX('Player Raw Data'!E:E,Match($A698,'Player Raw Data'!$B:$B,0))),"")</f>
        <v/>
      </c>
      <c r="E698" t="str">
        <f t="array" ref="E698">IFERROR(INDEX('Day Range Raw Data'!D:D,Match($A698,'Day Range Raw Data'!$B:$B,0)),"")</f>
        <v/>
      </c>
      <c r="F698" t="str">
        <f t="array" ref="F698">IFERROR(INDEX('Day Range Raw Data'!F:F,Match($A698,'Day Range Raw Data'!$B:$B,0)),"")</f>
        <v/>
      </c>
      <c r="G698" t="str">
        <f t="array" ref="G698">IFERROR(INDEX('Day Range Raw Data'!G:G,Match($A698,'Day Range Raw Data'!$B:$B,0)),"")</f>
        <v/>
      </c>
      <c r="H698" t="str">
        <f t="array" ref="H698">IFERROR(INDEX('Day Range Raw Data'!H:H,Match($A698,'Day Range Raw Data'!$B:$B,0)),"")</f>
        <v/>
      </c>
      <c r="I698" t="str">
        <f t="array" ref="I698">IFERROR(INDEX('Day Range Raw Data'!M:M,Match($A698,'Day Range Raw Data'!$B:$B,0)),"")</f>
        <v/>
      </c>
      <c r="J698" t="str">
        <f t="array" ref="J698">IFERROR(INDEX('Day Range Raw Data'!N:N,Match($A698,'Day Range Raw Data'!$B:$B,0)),"")</f>
        <v/>
      </c>
      <c r="K698" t="str">
        <f t="array" ref="K698">IFERROR(INDEX('Day Range Raw Data'!R:R,Match($A698,'Day Range Raw Data'!$B:$B,0)),"")</f>
        <v/>
      </c>
      <c r="L698" t="str">
        <f t="array" ref="L698">IFERROR(INDEX('Day Range Raw Data'!S:S,Match($A698,'Day Range Raw Data'!$B:$B,0)),"")</f>
        <v/>
      </c>
      <c r="M698" t="str">
        <f t="array" ref="M698">IFERROR(INDEX('Day Range Raw Data'!T:T,Match($A698,'Day Range Raw Data'!$B:$B,0)),"")</f>
        <v/>
      </c>
      <c r="N698" t="str">
        <f t="array" ref="N698">IFERROR(INDEX('Day Range Raw Data'!U:U,Match($A698,'Day Range Raw Data'!$B:$B,0)),"")</f>
        <v/>
      </c>
      <c r="O698" t="str">
        <f t="array" ref="O698">IFERROR(INDEX('Day Range Raw Data'!V:V,Match($A698,'Day Range Raw Data'!$B:$B,0)),"")</f>
        <v/>
      </c>
      <c r="P698" t="str">
        <f t="array" ref="P698">IFERROR(INDEX('Day Range Raw Data'!X:X,Match($A698,'Day Range Raw Data'!$B:$B,0)),"")</f>
        <v/>
      </c>
      <c r="Q698" t="str">
        <f t="shared" si="1"/>
        <v/>
      </c>
      <c r="R698" s="9" t="str">
        <f t="shared" si="2"/>
        <v/>
      </c>
      <c r="S698" s="14" t="str">
        <f t="shared" si="3"/>
        <v/>
      </c>
      <c r="T698" s="15" t="str">
        <f>IFERROR(__xludf.DUMMYFUNCTION("IF($A698="""","""",IFERROR(PERCENTRANK.INC(FILTER(Q:Q,$F:$F&lt;&gt;""""),Q698)*100,""""))"),"")</f>
        <v/>
      </c>
      <c r="U698" s="15" t="str">
        <f>IFERROR(__xludf.DUMMYFUNCTION("IF($A698="""","""",IFERROR(PERCENTRANK.INC(FILTER(R:R,$F:$F&lt;&gt;""""),R698)*100,""""))"),"")</f>
        <v/>
      </c>
      <c r="V698" s="15" t="str">
        <f>IFERROR(__xludf.DUMMYFUNCTION("IF($A698="""","""",IFERROR(PERCENTRANK.INC(FILTER(S:S,$F:$F&lt;&gt;""""),S698)*100,""""))"),"")</f>
        <v/>
      </c>
      <c r="W698" s="15" t="str">
        <f t="shared" si="5"/>
        <v/>
      </c>
    </row>
    <row r="699">
      <c r="B699" t="str">
        <f t="array" ref="B699">IFERROR(INDEX('Player Raw Data'!C:C,Match($A699,'Player Raw Data'!$B:$B,0)),"")</f>
        <v/>
      </c>
      <c r="C699" t="str">
        <f t="array" ref="C699">IFERROR(INDEX('Player Raw Data'!D:D,Match($A699,'Player Raw Data'!$B:$B,0)),"")</f>
        <v/>
      </c>
      <c r="D699" t="str">
        <f t="array" ref="D699">IFERROR(IF(A699=A698, INDEX('Player Raw Data'!E:E,Match($A699,'Player Raw Data'!$B:$B,0)+2),INDEX('Player Raw Data'!E:E,Match($A699,'Player Raw Data'!$B:$B,0))),"")</f>
        <v/>
      </c>
      <c r="E699" t="str">
        <f t="array" ref="E699">IFERROR(INDEX('Day Range Raw Data'!D:D,Match($A699,'Day Range Raw Data'!$B:$B,0)),"")</f>
        <v/>
      </c>
      <c r="F699" t="str">
        <f t="array" ref="F699">IFERROR(INDEX('Day Range Raw Data'!F:F,Match($A699,'Day Range Raw Data'!$B:$B,0)),"")</f>
        <v/>
      </c>
      <c r="G699" t="str">
        <f t="array" ref="G699">IFERROR(INDEX('Day Range Raw Data'!G:G,Match($A699,'Day Range Raw Data'!$B:$B,0)),"")</f>
        <v/>
      </c>
      <c r="H699" t="str">
        <f t="array" ref="H699">IFERROR(INDEX('Day Range Raw Data'!H:H,Match($A699,'Day Range Raw Data'!$B:$B,0)),"")</f>
        <v/>
      </c>
      <c r="I699" t="str">
        <f t="array" ref="I699">IFERROR(INDEX('Day Range Raw Data'!M:M,Match($A699,'Day Range Raw Data'!$B:$B,0)),"")</f>
        <v/>
      </c>
      <c r="J699" t="str">
        <f t="array" ref="J699">IFERROR(INDEX('Day Range Raw Data'!N:N,Match($A699,'Day Range Raw Data'!$B:$B,0)),"")</f>
        <v/>
      </c>
      <c r="K699" t="str">
        <f t="array" ref="K699">IFERROR(INDEX('Day Range Raw Data'!R:R,Match($A699,'Day Range Raw Data'!$B:$B,0)),"")</f>
        <v/>
      </c>
      <c r="L699" t="str">
        <f t="array" ref="L699">IFERROR(INDEX('Day Range Raw Data'!S:S,Match($A699,'Day Range Raw Data'!$B:$B,0)),"")</f>
        <v/>
      </c>
      <c r="M699" t="str">
        <f t="array" ref="M699">IFERROR(INDEX('Day Range Raw Data'!T:T,Match($A699,'Day Range Raw Data'!$B:$B,0)),"")</f>
        <v/>
      </c>
      <c r="N699" t="str">
        <f t="array" ref="N699">IFERROR(INDEX('Day Range Raw Data'!U:U,Match($A699,'Day Range Raw Data'!$B:$B,0)),"")</f>
        <v/>
      </c>
      <c r="O699" t="str">
        <f t="array" ref="O699">IFERROR(INDEX('Day Range Raw Data'!V:V,Match($A699,'Day Range Raw Data'!$B:$B,0)),"")</f>
        <v/>
      </c>
      <c r="P699" t="str">
        <f t="array" ref="P699">IFERROR(INDEX('Day Range Raw Data'!X:X,Match($A699,'Day Range Raw Data'!$B:$B,0)),"")</f>
        <v/>
      </c>
      <c r="Q699" t="str">
        <f t="shared" si="1"/>
        <v/>
      </c>
      <c r="R699" s="9" t="str">
        <f t="shared" si="2"/>
        <v/>
      </c>
      <c r="S699" s="14" t="str">
        <f t="shared" si="3"/>
        <v/>
      </c>
      <c r="T699" s="15" t="str">
        <f>IFERROR(__xludf.DUMMYFUNCTION("IF($A699="""","""",IFERROR(PERCENTRANK.INC(FILTER(Q:Q,$F:$F&lt;&gt;""""),Q699)*100,""""))"),"")</f>
        <v/>
      </c>
      <c r="U699" s="15" t="str">
        <f>IFERROR(__xludf.DUMMYFUNCTION("IF($A699="""","""",IFERROR(PERCENTRANK.INC(FILTER(R:R,$F:$F&lt;&gt;""""),R699)*100,""""))"),"")</f>
        <v/>
      </c>
      <c r="V699" s="15" t="str">
        <f>IFERROR(__xludf.DUMMYFUNCTION("IF($A699="""","""",IFERROR(PERCENTRANK.INC(FILTER(S:S,$F:$F&lt;&gt;""""),S699)*100,""""))"),"")</f>
        <v/>
      </c>
      <c r="W699" s="15" t="str">
        <f t="shared" si="5"/>
        <v/>
      </c>
    </row>
    <row r="700">
      <c r="B700" t="str">
        <f t="array" ref="B700">IFERROR(INDEX('Player Raw Data'!C:C,Match($A700,'Player Raw Data'!$B:$B,0)),"")</f>
        <v/>
      </c>
      <c r="C700" t="str">
        <f t="array" ref="C700">IFERROR(INDEX('Player Raw Data'!D:D,Match($A700,'Player Raw Data'!$B:$B,0)),"")</f>
        <v/>
      </c>
      <c r="D700" t="str">
        <f t="array" ref="D700">IFERROR(IF(A700=A699, INDEX('Player Raw Data'!E:E,Match($A700,'Player Raw Data'!$B:$B,0)+2),INDEX('Player Raw Data'!E:E,Match($A700,'Player Raw Data'!$B:$B,0))),"")</f>
        <v/>
      </c>
      <c r="E700" t="str">
        <f t="array" ref="E700">IFERROR(INDEX('Day Range Raw Data'!D:D,Match($A700,'Day Range Raw Data'!$B:$B,0)),"")</f>
        <v/>
      </c>
      <c r="F700" t="str">
        <f t="array" ref="F700">IFERROR(INDEX('Day Range Raw Data'!F:F,Match($A700,'Day Range Raw Data'!$B:$B,0)),"")</f>
        <v/>
      </c>
      <c r="G700" t="str">
        <f t="array" ref="G700">IFERROR(INDEX('Day Range Raw Data'!G:G,Match($A700,'Day Range Raw Data'!$B:$B,0)),"")</f>
        <v/>
      </c>
      <c r="H700" t="str">
        <f t="array" ref="H700">IFERROR(INDEX('Day Range Raw Data'!H:H,Match($A700,'Day Range Raw Data'!$B:$B,0)),"")</f>
        <v/>
      </c>
      <c r="I700" t="str">
        <f t="array" ref="I700">IFERROR(INDEX('Day Range Raw Data'!M:M,Match($A700,'Day Range Raw Data'!$B:$B,0)),"")</f>
        <v/>
      </c>
      <c r="J700" t="str">
        <f t="array" ref="J700">IFERROR(INDEX('Day Range Raw Data'!N:N,Match($A700,'Day Range Raw Data'!$B:$B,0)),"")</f>
        <v/>
      </c>
      <c r="K700" t="str">
        <f t="array" ref="K700">IFERROR(INDEX('Day Range Raw Data'!R:R,Match($A700,'Day Range Raw Data'!$B:$B,0)),"")</f>
        <v/>
      </c>
      <c r="L700" t="str">
        <f t="array" ref="L700">IFERROR(INDEX('Day Range Raw Data'!S:S,Match($A700,'Day Range Raw Data'!$B:$B,0)),"")</f>
        <v/>
      </c>
      <c r="M700" t="str">
        <f t="array" ref="M700">IFERROR(INDEX('Day Range Raw Data'!T:T,Match($A700,'Day Range Raw Data'!$B:$B,0)),"")</f>
        <v/>
      </c>
      <c r="N700" t="str">
        <f t="array" ref="N700">IFERROR(INDEX('Day Range Raw Data'!U:U,Match($A700,'Day Range Raw Data'!$B:$B,0)),"")</f>
        <v/>
      </c>
      <c r="O700" t="str">
        <f t="array" ref="O700">IFERROR(INDEX('Day Range Raw Data'!V:V,Match($A700,'Day Range Raw Data'!$B:$B,0)),"")</f>
        <v/>
      </c>
      <c r="P700" t="str">
        <f t="array" ref="P700">IFERROR(INDEX('Day Range Raw Data'!X:X,Match($A700,'Day Range Raw Data'!$B:$B,0)),"")</f>
        <v/>
      </c>
      <c r="Q700" t="str">
        <f t="shared" si="1"/>
        <v/>
      </c>
      <c r="R700" s="9" t="str">
        <f t="shared" si="2"/>
        <v/>
      </c>
      <c r="S700" s="14" t="str">
        <f t="shared" si="3"/>
        <v/>
      </c>
      <c r="T700" s="15" t="str">
        <f>IFERROR(__xludf.DUMMYFUNCTION("IF($A700="""","""",IFERROR(PERCENTRANK.INC(FILTER(Q:Q,$F:$F&lt;&gt;""""),Q700)*100,""""))"),"")</f>
        <v/>
      </c>
      <c r="U700" s="15" t="str">
        <f>IFERROR(__xludf.DUMMYFUNCTION("IF($A700="""","""",IFERROR(PERCENTRANK.INC(FILTER(R:R,$F:$F&lt;&gt;""""),R700)*100,""""))"),"")</f>
        <v/>
      </c>
      <c r="V700" s="15" t="str">
        <f>IFERROR(__xludf.DUMMYFUNCTION("IF($A700="""","""",IFERROR(PERCENTRANK.INC(FILTER(S:S,$F:$F&lt;&gt;""""),S700)*100,""""))"),"")</f>
        <v/>
      </c>
      <c r="W700" s="15" t="str">
        <f t="shared" si="5"/>
        <v/>
      </c>
    </row>
    <row r="701">
      <c r="B701" t="str">
        <f t="array" ref="B701">IFERROR(INDEX('Player Raw Data'!C:C,Match($A701,'Player Raw Data'!$B:$B,0)),"")</f>
        <v/>
      </c>
      <c r="C701" t="str">
        <f t="array" ref="C701">IFERROR(INDEX('Player Raw Data'!D:D,Match($A701,'Player Raw Data'!$B:$B,0)),"")</f>
        <v/>
      </c>
      <c r="D701" t="str">
        <f t="array" ref="D701">IFERROR(IF(A701=A700, INDEX('Player Raw Data'!E:E,Match($A701,'Player Raw Data'!$B:$B,0)+2),INDEX('Player Raw Data'!E:E,Match($A701,'Player Raw Data'!$B:$B,0))),"")</f>
        <v/>
      </c>
      <c r="E701" t="str">
        <f t="array" ref="E701">IFERROR(INDEX('Day Range Raw Data'!D:D,Match($A701,'Day Range Raw Data'!$B:$B,0)),"")</f>
        <v/>
      </c>
      <c r="F701" t="str">
        <f t="array" ref="F701">IFERROR(INDEX('Day Range Raw Data'!F:F,Match($A701,'Day Range Raw Data'!$B:$B,0)),"")</f>
        <v/>
      </c>
      <c r="G701" t="str">
        <f t="array" ref="G701">IFERROR(INDEX('Day Range Raw Data'!G:G,Match($A701,'Day Range Raw Data'!$B:$B,0)),"")</f>
        <v/>
      </c>
      <c r="H701" t="str">
        <f t="array" ref="H701">IFERROR(INDEX('Day Range Raw Data'!H:H,Match($A701,'Day Range Raw Data'!$B:$B,0)),"")</f>
        <v/>
      </c>
      <c r="I701" t="str">
        <f t="array" ref="I701">IFERROR(INDEX('Day Range Raw Data'!M:M,Match($A701,'Day Range Raw Data'!$B:$B,0)),"")</f>
        <v/>
      </c>
      <c r="J701" t="str">
        <f t="array" ref="J701">IFERROR(INDEX('Day Range Raw Data'!N:N,Match($A701,'Day Range Raw Data'!$B:$B,0)),"")</f>
        <v/>
      </c>
      <c r="K701" t="str">
        <f t="array" ref="K701">IFERROR(INDEX('Day Range Raw Data'!R:R,Match($A701,'Day Range Raw Data'!$B:$B,0)),"")</f>
        <v/>
      </c>
      <c r="L701" t="str">
        <f t="array" ref="L701">IFERROR(INDEX('Day Range Raw Data'!S:S,Match($A701,'Day Range Raw Data'!$B:$B,0)),"")</f>
        <v/>
      </c>
      <c r="M701" t="str">
        <f t="array" ref="M701">IFERROR(INDEX('Day Range Raw Data'!T:T,Match($A701,'Day Range Raw Data'!$B:$B,0)),"")</f>
        <v/>
      </c>
      <c r="N701" t="str">
        <f t="array" ref="N701">IFERROR(INDEX('Day Range Raw Data'!U:U,Match($A701,'Day Range Raw Data'!$B:$B,0)),"")</f>
        <v/>
      </c>
      <c r="O701" t="str">
        <f t="array" ref="O701">IFERROR(INDEX('Day Range Raw Data'!V:V,Match($A701,'Day Range Raw Data'!$B:$B,0)),"")</f>
        <v/>
      </c>
      <c r="P701" t="str">
        <f t="array" ref="P701">IFERROR(INDEX('Day Range Raw Data'!X:X,Match($A701,'Day Range Raw Data'!$B:$B,0)),"")</f>
        <v/>
      </c>
      <c r="Q701" t="str">
        <f t="shared" si="1"/>
        <v/>
      </c>
      <c r="R701" s="9" t="str">
        <f t="shared" si="2"/>
        <v/>
      </c>
      <c r="S701" s="14" t="str">
        <f t="shared" si="3"/>
        <v/>
      </c>
      <c r="T701" s="15" t="str">
        <f>IFERROR(__xludf.DUMMYFUNCTION("IF($A701="""","""",IFERROR(PERCENTRANK.INC(FILTER(Q:Q,$F:$F&lt;&gt;""""),Q701)*100,""""))"),"")</f>
        <v/>
      </c>
      <c r="U701" s="15" t="str">
        <f>IFERROR(__xludf.DUMMYFUNCTION("IF($A701="""","""",IFERROR(PERCENTRANK.INC(FILTER(R:R,$F:$F&lt;&gt;""""),R701)*100,""""))"),"")</f>
        <v/>
      </c>
      <c r="V701" s="15" t="str">
        <f>IFERROR(__xludf.DUMMYFUNCTION("IF($A701="""","""",IFERROR(PERCENTRANK.INC(FILTER(S:S,$F:$F&lt;&gt;""""),S701)*100,""""))"),"")</f>
        <v/>
      </c>
      <c r="W701" s="15" t="str">
        <f t="shared" si="5"/>
        <v/>
      </c>
    </row>
    <row r="702">
      <c r="B702" t="str">
        <f t="array" ref="B702">IFERROR(INDEX('Player Raw Data'!C:C,Match($A702,'Player Raw Data'!$B:$B,0)),"")</f>
        <v/>
      </c>
      <c r="C702" t="str">
        <f t="array" ref="C702">IFERROR(INDEX('Player Raw Data'!D:D,Match($A702,'Player Raw Data'!$B:$B,0)),"")</f>
        <v/>
      </c>
      <c r="D702" t="str">
        <f t="array" ref="D702">IFERROR(IF(A702=A701, INDEX('Player Raw Data'!E:E,Match($A702,'Player Raw Data'!$B:$B,0)+2),INDEX('Player Raw Data'!E:E,Match($A702,'Player Raw Data'!$B:$B,0))),"")</f>
        <v/>
      </c>
      <c r="E702" t="str">
        <f t="array" ref="E702">IFERROR(INDEX('Day Range Raw Data'!D:D,Match($A702,'Day Range Raw Data'!$B:$B,0)),"")</f>
        <v/>
      </c>
      <c r="F702" t="str">
        <f t="array" ref="F702">IFERROR(INDEX('Day Range Raw Data'!F:F,Match($A702,'Day Range Raw Data'!$B:$B,0)),"")</f>
        <v/>
      </c>
      <c r="G702" t="str">
        <f t="array" ref="G702">IFERROR(INDEX('Day Range Raw Data'!G:G,Match($A702,'Day Range Raw Data'!$B:$B,0)),"")</f>
        <v/>
      </c>
      <c r="H702" t="str">
        <f t="array" ref="H702">IFERROR(INDEX('Day Range Raw Data'!H:H,Match($A702,'Day Range Raw Data'!$B:$B,0)),"")</f>
        <v/>
      </c>
      <c r="I702" t="str">
        <f t="array" ref="I702">IFERROR(INDEX('Day Range Raw Data'!M:M,Match($A702,'Day Range Raw Data'!$B:$B,0)),"")</f>
        <v/>
      </c>
      <c r="J702" t="str">
        <f t="array" ref="J702">IFERROR(INDEX('Day Range Raw Data'!N:N,Match($A702,'Day Range Raw Data'!$B:$B,0)),"")</f>
        <v/>
      </c>
      <c r="K702" t="str">
        <f t="array" ref="K702">IFERROR(INDEX('Day Range Raw Data'!R:R,Match($A702,'Day Range Raw Data'!$B:$B,0)),"")</f>
        <v/>
      </c>
      <c r="L702" t="str">
        <f t="array" ref="L702">IFERROR(INDEX('Day Range Raw Data'!S:S,Match($A702,'Day Range Raw Data'!$B:$B,0)),"")</f>
        <v/>
      </c>
      <c r="M702" t="str">
        <f t="array" ref="M702">IFERROR(INDEX('Day Range Raw Data'!T:T,Match($A702,'Day Range Raw Data'!$B:$B,0)),"")</f>
        <v/>
      </c>
      <c r="N702" t="str">
        <f t="array" ref="N702">IFERROR(INDEX('Day Range Raw Data'!U:U,Match($A702,'Day Range Raw Data'!$B:$B,0)),"")</f>
        <v/>
      </c>
      <c r="O702" t="str">
        <f t="array" ref="O702">IFERROR(INDEX('Day Range Raw Data'!V:V,Match($A702,'Day Range Raw Data'!$B:$B,0)),"")</f>
        <v/>
      </c>
      <c r="P702" t="str">
        <f t="array" ref="P702">IFERROR(INDEX('Day Range Raw Data'!X:X,Match($A702,'Day Range Raw Data'!$B:$B,0)),"")</f>
        <v/>
      </c>
      <c r="Q702" t="str">
        <f t="shared" si="1"/>
        <v/>
      </c>
      <c r="R702" s="9" t="str">
        <f t="shared" si="2"/>
        <v/>
      </c>
      <c r="S702" s="14" t="str">
        <f t="shared" si="3"/>
        <v/>
      </c>
      <c r="T702" s="15" t="str">
        <f>IFERROR(__xludf.DUMMYFUNCTION("IF($A702="""","""",IFERROR(PERCENTRANK.INC(FILTER(Q:Q,$F:$F&lt;&gt;""""),Q702)*100,""""))"),"")</f>
        <v/>
      </c>
      <c r="U702" s="15" t="str">
        <f>IFERROR(__xludf.DUMMYFUNCTION("IF($A702="""","""",IFERROR(PERCENTRANK.INC(FILTER(R:R,$F:$F&lt;&gt;""""),R702)*100,""""))"),"")</f>
        <v/>
      </c>
      <c r="V702" s="15" t="str">
        <f>IFERROR(__xludf.DUMMYFUNCTION("IF($A702="""","""",IFERROR(PERCENTRANK.INC(FILTER(S:S,$F:$F&lt;&gt;""""),S702)*100,""""))"),"")</f>
        <v/>
      </c>
      <c r="W702" s="15" t="str">
        <f t="shared" si="5"/>
        <v/>
      </c>
    </row>
    <row r="703">
      <c r="B703" t="str">
        <f t="array" ref="B703">IFERROR(INDEX('Player Raw Data'!C:C,Match($A703,'Player Raw Data'!$B:$B,0)),"")</f>
        <v/>
      </c>
      <c r="C703" t="str">
        <f t="array" ref="C703">IFERROR(INDEX('Player Raw Data'!D:D,Match($A703,'Player Raw Data'!$B:$B,0)),"")</f>
        <v/>
      </c>
      <c r="D703" t="str">
        <f t="array" ref="D703">IFERROR(IF(A703=A702, INDEX('Player Raw Data'!E:E,Match($A703,'Player Raw Data'!$B:$B,0)+2),INDEX('Player Raw Data'!E:E,Match($A703,'Player Raw Data'!$B:$B,0))),"")</f>
        <v/>
      </c>
      <c r="E703" t="str">
        <f t="array" ref="E703">IFERROR(INDEX('Day Range Raw Data'!D:D,Match($A703,'Day Range Raw Data'!$B:$B,0)),"")</f>
        <v/>
      </c>
      <c r="F703" t="str">
        <f t="array" ref="F703">IFERROR(INDEX('Day Range Raw Data'!F:F,Match($A703,'Day Range Raw Data'!$B:$B,0)),"")</f>
        <v/>
      </c>
      <c r="G703" t="str">
        <f t="array" ref="G703">IFERROR(INDEX('Day Range Raw Data'!G:G,Match($A703,'Day Range Raw Data'!$B:$B,0)),"")</f>
        <v/>
      </c>
      <c r="H703" t="str">
        <f t="array" ref="H703">IFERROR(INDEX('Day Range Raw Data'!H:H,Match($A703,'Day Range Raw Data'!$B:$B,0)),"")</f>
        <v/>
      </c>
      <c r="I703" t="str">
        <f t="array" ref="I703">IFERROR(INDEX('Day Range Raw Data'!M:M,Match($A703,'Day Range Raw Data'!$B:$B,0)),"")</f>
        <v/>
      </c>
      <c r="J703" t="str">
        <f t="array" ref="J703">IFERROR(INDEX('Day Range Raw Data'!N:N,Match($A703,'Day Range Raw Data'!$B:$B,0)),"")</f>
        <v/>
      </c>
      <c r="K703" t="str">
        <f t="array" ref="K703">IFERROR(INDEX('Day Range Raw Data'!R:R,Match($A703,'Day Range Raw Data'!$B:$B,0)),"")</f>
        <v/>
      </c>
      <c r="L703" t="str">
        <f t="array" ref="L703">IFERROR(INDEX('Day Range Raw Data'!S:S,Match($A703,'Day Range Raw Data'!$B:$B,0)),"")</f>
        <v/>
      </c>
      <c r="M703" t="str">
        <f t="array" ref="M703">IFERROR(INDEX('Day Range Raw Data'!T:T,Match($A703,'Day Range Raw Data'!$B:$B,0)),"")</f>
        <v/>
      </c>
      <c r="N703" t="str">
        <f t="array" ref="N703">IFERROR(INDEX('Day Range Raw Data'!U:U,Match($A703,'Day Range Raw Data'!$B:$B,0)),"")</f>
        <v/>
      </c>
      <c r="O703" t="str">
        <f t="array" ref="O703">IFERROR(INDEX('Day Range Raw Data'!V:V,Match($A703,'Day Range Raw Data'!$B:$B,0)),"")</f>
        <v/>
      </c>
      <c r="P703" t="str">
        <f t="array" ref="P703">IFERROR(INDEX('Day Range Raw Data'!X:X,Match($A703,'Day Range Raw Data'!$B:$B,0)),"")</f>
        <v/>
      </c>
      <c r="Q703" t="str">
        <f t="shared" si="1"/>
        <v/>
      </c>
      <c r="R703" s="9" t="str">
        <f t="shared" si="2"/>
        <v/>
      </c>
      <c r="S703" s="14" t="str">
        <f t="shared" si="3"/>
        <v/>
      </c>
      <c r="T703" s="15" t="str">
        <f>IFERROR(__xludf.DUMMYFUNCTION("IF($A703="""","""",IFERROR(PERCENTRANK.INC(FILTER(Q:Q,$F:$F&lt;&gt;""""),Q703)*100,""""))"),"")</f>
        <v/>
      </c>
      <c r="U703" s="15" t="str">
        <f>IFERROR(__xludf.DUMMYFUNCTION("IF($A703="""","""",IFERROR(PERCENTRANK.INC(FILTER(R:R,$F:$F&lt;&gt;""""),R703)*100,""""))"),"")</f>
        <v/>
      </c>
      <c r="V703" s="15" t="str">
        <f>IFERROR(__xludf.DUMMYFUNCTION("IF($A703="""","""",IFERROR(PERCENTRANK.INC(FILTER(S:S,$F:$F&lt;&gt;""""),S703)*100,""""))"),"")</f>
        <v/>
      </c>
      <c r="W703" s="15" t="str">
        <f t="shared" si="5"/>
        <v/>
      </c>
    </row>
    <row r="704">
      <c r="B704" t="str">
        <f t="array" ref="B704">IFERROR(INDEX('Player Raw Data'!C:C,Match($A704,'Player Raw Data'!$B:$B,0)),"")</f>
        <v/>
      </c>
      <c r="C704" t="str">
        <f t="array" ref="C704">IFERROR(INDEX('Player Raw Data'!D:D,Match($A704,'Player Raw Data'!$B:$B,0)),"")</f>
        <v/>
      </c>
      <c r="D704" t="str">
        <f t="array" ref="D704">IFERROR(IF(A704=A703, INDEX('Player Raw Data'!E:E,Match($A704,'Player Raw Data'!$B:$B,0)+2),INDEX('Player Raw Data'!E:E,Match($A704,'Player Raw Data'!$B:$B,0))),"")</f>
        <v/>
      </c>
      <c r="E704" t="str">
        <f t="array" ref="E704">IFERROR(INDEX('Day Range Raw Data'!D:D,Match($A704,'Day Range Raw Data'!$B:$B,0)),"")</f>
        <v/>
      </c>
      <c r="F704" t="str">
        <f t="array" ref="F704">IFERROR(INDEX('Day Range Raw Data'!F:F,Match($A704,'Day Range Raw Data'!$B:$B,0)),"")</f>
        <v/>
      </c>
      <c r="G704" t="str">
        <f t="array" ref="G704">IFERROR(INDEX('Day Range Raw Data'!G:G,Match($A704,'Day Range Raw Data'!$B:$B,0)),"")</f>
        <v/>
      </c>
      <c r="H704" t="str">
        <f t="array" ref="H704">IFERROR(INDEX('Day Range Raw Data'!H:H,Match($A704,'Day Range Raw Data'!$B:$B,0)),"")</f>
        <v/>
      </c>
      <c r="I704" t="str">
        <f t="array" ref="I704">IFERROR(INDEX('Day Range Raw Data'!M:M,Match($A704,'Day Range Raw Data'!$B:$B,0)),"")</f>
        <v/>
      </c>
      <c r="J704" t="str">
        <f t="array" ref="J704">IFERROR(INDEX('Day Range Raw Data'!N:N,Match($A704,'Day Range Raw Data'!$B:$B,0)),"")</f>
        <v/>
      </c>
      <c r="K704" t="str">
        <f t="array" ref="K704">IFERROR(INDEX('Day Range Raw Data'!R:R,Match($A704,'Day Range Raw Data'!$B:$B,0)),"")</f>
        <v/>
      </c>
      <c r="L704" t="str">
        <f t="array" ref="L704">IFERROR(INDEX('Day Range Raw Data'!S:S,Match($A704,'Day Range Raw Data'!$B:$B,0)),"")</f>
        <v/>
      </c>
      <c r="M704" t="str">
        <f t="array" ref="M704">IFERROR(INDEX('Day Range Raw Data'!T:T,Match($A704,'Day Range Raw Data'!$B:$B,0)),"")</f>
        <v/>
      </c>
      <c r="N704" t="str">
        <f t="array" ref="N704">IFERROR(INDEX('Day Range Raw Data'!U:U,Match($A704,'Day Range Raw Data'!$B:$B,0)),"")</f>
        <v/>
      </c>
      <c r="O704" t="str">
        <f t="array" ref="O704">IFERROR(INDEX('Day Range Raw Data'!V:V,Match($A704,'Day Range Raw Data'!$B:$B,0)),"")</f>
        <v/>
      </c>
      <c r="P704" t="str">
        <f t="array" ref="P704">IFERROR(INDEX('Day Range Raw Data'!X:X,Match($A704,'Day Range Raw Data'!$B:$B,0)),"")</f>
        <v/>
      </c>
      <c r="Q704" t="str">
        <f t="shared" si="1"/>
        <v/>
      </c>
      <c r="R704" s="9" t="str">
        <f t="shared" si="2"/>
        <v/>
      </c>
      <c r="S704" s="14" t="str">
        <f t="shared" si="3"/>
        <v/>
      </c>
      <c r="T704" s="15" t="str">
        <f>IFERROR(__xludf.DUMMYFUNCTION("IF($A704="""","""",IFERROR(PERCENTRANK.INC(FILTER(Q:Q,$F:$F&lt;&gt;""""),Q704)*100,""""))"),"")</f>
        <v/>
      </c>
      <c r="U704" s="15" t="str">
        <f>IFERROR(__xludf.DUMMYFUNCTION("IF($A704="""","""",IFERROR(PERCENTRANK.INC(FILTER(R:R,$F:$F&lt;&gt;""""),R704)*100,""""))"),"")</f>
        <v/>
      </c>
      <c r="V704" s="15" t="str">
        <f>IFERROR(__xludf.DUMMYFUNCTION("IF($A704="""","""",IFERROR(PERCENTRANK.INC(FILTER(S:S,$F:$F&lt;&gt;""""),S704)*100,""""))"),"")</f>
        <v/>
      </c>
      <c r="W704" s="15" t="str">
        <f t="shared" si="5"/>
        <v/>
      </c>
    </row>
    <row r="705">
      <c r="B705" t="str">
        <f t="array" ref="B705">IFERROR(INDEX('Player Raw Data'!C:C,Match($A705,'Player Raw Data'!$B:$B,0)),"")</f>
        <v/>
      </c>
      <c r="C705" t="str">
        <f t="array" ref="C705">IFERROR(INDEX('Player Raw Data'!D:D,Match($A705,'Player Raw Data'!$B:$B,0)),"")</f>
        <v/>
      </c>
      <c r="D705" t="str">
        <f t="array" ref="D705">IFERROR(IF(A705=A704, INDEX('Player Raw Data'!E:E,Match($A705,'Player Raw Data'!$B:$B,0)+2),INDEX('Player Raw Data'!E:E,Match($A705,'Player Raw Data'!$B:$B,0))),"")</f>
        <v/>
      </c>
      <c r="E705" t="str">
        <f t="array" ref="E705">IFERROR(INDEX('Day Range Raw Data'!D:D,Match($A705,'Day Range Raw Data'!$B:$B,0)),"")</f>
        <v/>
      </c>
      <c r="F705" t="str">
        <f t="array" ref="F705">IFERROR(INDEX('Day Range Raw Data'!F:F,Match($A705,'Day Range Raw Data'!$B:$B,0)),"")</f>
        <v/>
      </c>
      <c r="G705" t="str">
        <f t="array" ref="G705">IFERROR(INDEX('Day Range Raw Data'!G:G,Match($A705,'Day Range Raw Data'!$B:$B,0)),"")</f>
        <v/>
      </c>
      <c r="H705" t="str">
        <f t="array" ref="H705">IFERROR(INDEX('Day Range Raw Data'!H:H,Match($A705,'Day Range Raw Data'!$B:$B,0)),"")</f>
        <v/>
      </c>
      <c r="I705" t="str">
        <f t="array" ref="I705">IFERROR(INDEX('Day Range Raw Data'!M:M,Match($A705,'Day Range Raw Data'!$B:$B,0)),"")</f>
        <v/>
      </c>
      <c r="J705" t="str">
        <f t="array" ref="J705">IFERROR(INDEX('Day Range Raw Data'!N:N,Match($A705,'Day Range Raw Data'!$B:$B,0)),"")</f>
        <v/>
      </c>
      <c r="K705" t="str">
        <f t="array" ref="K705">IFERROR(INDEX('Day Range Raw Data'!R:R,Match($A705,'Day Range Raw Data'!$B:$B,0)),"")</f>
        <v/>
      </c>
      <c r="L705" t="str">
        <f t="array" ref="L705">IFERROR(INDEX('Day Range Raw Data'!S:S,Match($A705,'Day Range Raw Data'!$B:$B,0)),"")</f>
        <v/>
      </c>
      <c r="M705" t="str">
        <f t="array" ref="M705">IFERROR(INDEX('Day Range Raw Data'!T:T,Match($A705,'Day Range Raw Data'!$B:$B,0)),"")</f>
        <v/>
      </c>
      <c r="N705" t="str">
        <f t="array" ref="N705">IFERROR(INDEX('Day Range Raw Data'!U:U,Match($A705,'Day Range Raw Data'!$B:$B,0)),"")</f>
        <v/>
      </c>
      <c r="O705" t="str">
        <f t="array" ref="O705">IFERROR(INDEX('Day Range Raw Data'!V:V,Match($A705,'Day Range Raw Data'!$B:$B,0)),"")</f>
        <v/>
      </c>
      <c r="P705" t="str">
        <f t="array" ref="P705">IFERROR(INDEX('Day Range Raw Data'!X:X,Match($A705,'Day Range Raw Data'!$B:$B,0)),"")</f>
        <v/>
      </c>
      <c r="Q705" t="str">
        <f t="shared" si="1"/>
        <v/>
      </c>
      <c r="R705" s="9" t="str">
        <f t="shared" si="2"/>
        <v/>
      </c>
      <c r="S705" s="14" t="str">
        <f t="shared" si="3"/>
        <v/>
      </c>
      <c r="T705" s="15" t="str">
        <f>IFERROR(__xludf.DUMMYFUNCTION("IF($A705="""","""",IFERROR(PERCENTRANK.INC(FILTER(Q:Q,$F:$F&lt;&gt;""""),Q705)*100,""""))"),"")</f>
        <v/>
      </c>
      <c r="U705" s="15" t="str">
        <f>IFERROR(__xludf.DUMMYFUNCTION("IF($A705="""","""",IFERROR(PERCENTRANK.INC(FILTER(R:R,$F:$F&lt;&gt;""""),R705)*100,""""))"),"")</f>
        <v/>
      </c>
      <c r="V705" s="15" t="str">
        <f>IFERROR(__xludf.DUMMYFUNCTION("IF($A705="""","""",IFERROR(PERCENTRANK.INC(FILTER(S:S,$F:$F&lt;&gt;""""),S705)*100,""""))"),"")</f>
        <v/>
      </c>
      <c r="W705" s="15" t="str">
        <f t="shared" si="5"/>
        <v/>
      </c>
    </row>
    <row r="706">
      <c r="B706" t="str">
        <f t="array" ref="B706">IFERROR(INDEX('Player Raw Data'!C:C,Match($A706,'Player Raw Data'!$B:$B,0)),"")</f>
        <v/>
      </c>
      <c r="C706" t="str">
        <f t="array" ref="C706">IFERROR(INDEX('Player Raw Data'!D:D,Match($A706,'Player Raw Data'!$B:$B,0)),"")</f>
        <v/>
      </c>
      <c r="D706" t="str">
        <f t="array" ref="D706">IFERROR(IF(A706=A705, INDEX('Player Raw Data'!E:E,Match($A706,'Player Raw Data'!$B:$B,0)+2),INDEX('Player Raw Data'!E:E,Match($A706,'Player Raw Data'!$B:$B,0))),"")</f>
        <v/>
      </c>
      <c r="E706" t="str">
        <f t="array" ref="E706">IFERROR(INDEX('Day Range Raw Data'!D:D,Match($A706,'Day Range Raw Data'!$B:$B,0)),"")</f>
        <v/>
      </c>
      <c r="F706" t="str">
        <f t="array" ref="F706">IFERROR(INDEX('Day Range Raw Data'!F:F,Match($A706,'Day Range Raw Data'!$B:$B,0)),"")</f>
        <v/>
      </c>
      <c r="G706" t="str">
        <f t="array" ref="G706">IFERROR(INDEX('Day Range Raw Data'!G:G,Match($A706,'Day Range Raw Data'!$B:$B,0)),"")</f>
        <v/>
      </c>
      <c r="H706" t="str">
        <f t="array" ref="H706">IFERROR(INDEX('Day Range Raw Data'!H:H,Match($A706,'Day Range Raw Data'!$B:$B,0)),"")</f>
        <v/>
      </c>
      <c r="I706" t="str">
        <f t="array" ref="I706">IFERROR(INDEX('Day Range Raw Data'!M:M,Match($A706,'Day Range Raw Data'!$B:$B,0)),"")</f>
        <v/>
      </c>
      <c r="J706" t="str">
        <f t="array" ref="J706">IFERROR(INDEX('Day Range Raw Data'!N:N,Match($A706,'Day Range Raw Data'!$B:$B,0)),"")</f>
        <v/>
      </c>
      <c r="K706" t="str">
        <f t="array" ref="K706">IFERROR(INDEX('Day Range Raw Data'!R:R,Match($A706,'Day Range Raw Data'!$B:$B,0)),"")</f>
        <v/>
      </c>
      <c r="L706" t="str">
        <f t="array" ref="L706">IFERROR(INDEX('Day Range Raw Data'!S:S,Match($A706,'Day Range Raw Data'!$B:$B,0)),"")</f>
        <v/>
      </c>
      <c r="M706" t="str">
        <f t="array" ref="M706">IFERROR(INDEX('Day Range Raw Data'!T:T,Match($A706,'Day Range Raw Data'!$B:$B,0)),"")</f>
        <v/>
      </c>
      <c r="N706" t="str">
        <f t="array" ref="N706">IFERROR(INDEX('Day Range Raw Data'!U:U,Match($A706,'Day Range Raw Data'!$B:$B,0)),"")</f>
        <v/>
      </c>
      <c r="O706" t="str">
        <f t="array" ref="O706">IFERROR(INDEX('Day Range Raw Data'!V:V,Match($A706,'Day Range Raw Data'!$B:$B,0)),"")</f>
        <v/>
      </c>
      <c r="P706" t="str">
        <f t="array" ref="P706">IFERROR(INDEX('Day Range Raw Data'!X:X,Match($A706,'Day Range Raw Data'!$B:$B,0)),"")</f>
        <v/>
      </c>
      <c r="Q706" t="str">
        <f t="shared" si="1"/>
        <v/>
      </c>
      <c r="R706" s="9" t="str">
        <f t="shared" si="2"/>
        <v/>
      </c>
      <c r="S706" s="14" t="str">
        <f t="shared" si="3"/>
        <v/>
      </c>
      <c r="T706" s="15" t="str">
        <f>IFERROR(__xludf.DUMMYFUNCTION("IF($A706="""","""",IFERROR(PERCENTRANK.INC(FILTER(Q:Q,$F:$F&lt;&gt;""""),Q706)*100,""""))"),"")</f>
        <v/>
      </c>
      <c r="U706" s="15" t="str">
        <f>IFERROR(__xludf.DUMMYFUNCTION("IF($A706="""","""",IFERROR(PERCENTRANK.INC(FILTER(R:R,$F:$F&lt;&gt;""""),R706)*100,""""))"),"")</f>
        <v/>
      </c>
      <c r="V706" s="15" t="str">
        <f>IFERROR(__xludf.DUMMYFUNCTION("IF($A706="""","""",IFERROR(PERCENTRANK.INC(FILTER(S:S,$F:$F&lt;&gt;""""),S706)*100,""""))"),"")</f>
        <v/>
      </c>
      <c r="W706" s="15" t="str">
        <f t="shared" si="5"/>
        <v/>
      </c>
    </row>
    <row r="707">
      <c r="B707" t="str">
        <f t="array" ref="B707">IFERROR(INDEX('Player Raw Data'!C:C,Match($A707,'Player Raw Data'!$B:$B,0)),"")</f>
        <v/>
      </c>
      <c r="C707" t="str">
        <f t="array" ref="C707">IFERROR(INDEX('Player Raw Data'!D:D,Match($A707,'Player Raw Data'!$B:$B,0)),"")</f>
        <v/>
      </c>
      <c r="D707" t="str">
        <f t="array" ref="D707">IFERROR(IF(A707=A706, INDEX('Player Raw Data'!E:E,Match($A707,'Player Raw Data'!$B:$B,0)+2),INDEX('Player Raw Data'!E:E,Match($A707,'Player Raw Data'!$B:$B,0))),"")</f>
        <v/>
      </c>
      <c r="E707" t="str">
        <f t="array" ref="E707">IFERROR(INDEX('Day Range Raw Data'!D:D,Match($A707,'Day Range Raw Data'!$B:$B,0)),"")</f>
        <v/>
      </c>
      <c r="F707" t="str">
        <f t="array" ref="F707">IFERROR(INDEX('Day Range Raw Data'!F:F,Match($A707,'Day Range Raw Data'!$B:$B,0)),"")</f>
        <v/>
      </c>
      <c r="G707" t="str">
        <f t="array" ref="G707">IFERROR(INDEX('Day Range Raw Data'!G:G,Match($A707,'Day Range Raw Data'!$B:$B,0)),"")</f>
        <v/>
      </c>
      <c r="H707" t="str">
        <f t="array" ref="H707">IFERROR(INDEX('Day Range Raw Data'!H:H,Match($A707,'Day Range Raw Data'!$B:$B,0)),"")</f>
        <v/>
      </c>
      <c r="I707" t="str">
        <f t="array" ref="I707">IFERROR(INDEX('Day Range Raw Data'!M:M,Match($A707,'Day Range Raw Data'!$B:$B,0)),"")</f>
        <v/>
      </c>
      <c r="J707" t="str">
        <f t="array" ref="J707">IFERROR(INDEX('Day Range Raw Data'!N:N,Match($A707,'Day Range Raw Data'!$B:$B,0)),"")</f>
        <v/>
      </c>
      <c r="K707" t="str">
        <f t="array" ref="K707">IFERROR(INDEX('Day Range Raw Data'!R:R,Match($A707,'Day Range Raw Data'!$B:$B,0)),"")</f>
        <v/>
      </c>
      <c r="L707" t="str">
        <f t="array" ref="L707">IFERROR(INDEX('Day Range Raw Data'!S:S,Match($A707,'Day Range Raw Data'!$B:$B,0)),"")</f>
        <v/>
      </c>
      <c r="M707" t="str">
        <f t="array" ref="M707">IFERROR(INDEX('Day Range Raw Data'!T:T,Match($A707,'Day Range Raw Data'!$B:$B,0)),"")</f>
        <v/>
      </c>
      <c r="N707" t="str">
        <f t="array" ref="N707">IFERROR(INDEX('Day Range Raw Data'!U:U,Match($A707,'Day Range Raw Data'!$B:$B,0)),"")</f>
        <v/>
      </c>
      <c r="O707" t="str">
        <f t="array" ref="O707">IFERROR(INDEX('Day Range Raw Data'!V:V,Match($A707,'Day Range Raw Data'!$B:$B,0)),"")</f>
        <v/>
      </c>
      <c r="P707" t="str">
        <f t="array" ref="P707">IFERROR(INDEX('Day Range Raw Data'!X:X,Match($A707,'Day Range Raw Data'!$B:$B,0)),"")</f>
        <v/>
      </c>
      <c r="Q707" t="str">
        <f t="shared" si="1"/>
        <v/>
      </c>
      <c r="R707" s="9" t="str">
        <f t="shared" si="2"/>
        <v/>
      </c>
      <c r="S707" s="14" t="str">
        <f t="shared" si="3"/>
        <v/>
      </c>
      <c r="T707" s="15" t="str">
        <f>IFERROR(__xludf.DUMMYFUNCTION("IF($A707="""","""",IFERROR(PERCENTRANK.INC(FILTER(Q:Q,$F:$F&lt;&gt;""""),Q707)*100,""""))"),"")</f>
        <v/>
      </c>
      <c r="U707" s="15" t="str">
        <f>IFERROR(__xludf.DUMMYFUNCTION("IF($A707="""","""",IFERROR(PERCENTRANK.INC(FILTER(R:R,$F:$F&lt;&gt;""""),R707)*100,""""))"),"")</f>
        <v/>
      </c>
      <c r="V707" s="15" t="str">
        <f>IFERROR(__xludf.DUMMYFUNCTION("IF($A707="""","""",IFERROR(PERCENTRANK.INC(FILTER(S:S,$F:$F&lt;&gt;""""),S707)*100,""""))"),"")</f>
        <v/>
      </c>
      <c r="W707" s="15" t="str">
        <f t="shared" si="5"/>
        <v/>
      </c>
    </row>
    <row r="708">
      <c r="B708" t="str">
        <f t="array" ref="B708">IFERROR(INDEX('Player Raw Data'!C:C,Match($A708,'Player Raw Data'!$B:$B,0)),"")</f>
        <v/>
      </c>
      <c r="C708" t="str">
        <f t="array" ref="C708">IFERROR(INDEX('Player Raw Data'!D:D,Match($A708,'Player Raw Data'!$B:$B,0)),"")</f>
        <v/>
      </c>
      <c r="D708" t="str">
        <f t="array" ref="D708">IFERROR(IF(A708=A707, INDEX('Player Raw Data'!E:E,Match($A708,'Player Raw Data'!$B:$B,0)+2),INDEX('Player Raw Data'!E:E,Match($A708,'Player Raw Data'!$B:$B,0))),"")</f>
        <v/>
      </c>
      <c r="E708" t="str">
        <f t="array" ref="E708">IFERROR(INDEX('Day Range Raw Data'!D:D,Match($A708,'Day Range Raw Data'!$B:$B,0)),"")</f>
        <v/>
      </c>
      <c r="F708" t="str">
        <f t="array" ref="F708">IFERROR(INDEX('Day Range Raw Data'!F:F,Match($A708,'Day Range Raw Data'!$B:$B,0)),"")</f>
        <v/>
      </c>
      <c r="G708" t="str">
        <f t="array" ref="G708">IFERROR(INDEX('Day Range Raw Data'!G:G,Match($A708,'Day Range Raw Data'!$B:$B,0)),"")</f>
        <v/>
      </c>
      <c r="H708" t="str">
        <f t="array" ref="H708">IFERROR(INDEX('Day Range Raw Data'!H:H,Match($A708,'Day Range Raw Data'!$B:$B,0)),"")</f>
        <v/>
      </c>
      <c r="I708" t="str">
        <f t="array" ref="I708">IFERROR(INDEX('Day Range Raw Data'!M:M,Match($A708,'Day Range Raw Data'!$B:$B,0)),"")</f>
        <v/>
      </c>
      <c r="J708" t="str">
        <f t="array" ref="J708">IFERROR(INDEX('Day Range Raw Data'!N:N,Match($A708,'Day Range Raw Data'!$B:$B,0)),"")</f>
        <v/>
      </c>
      <c r="K708" t="str">
        <f t="array" ref="K708">IFERROR(INDEX('Day Range Raw Data'!R:R,Match($A708,'Day Range Raw Data'!$B:$B,0)),"")</f>
        <v/>
      </c>
      <c r="L708" t="str">
        <f t="array" ref="L708">IFERROR(INDEX('Day Range Raw Data'!S:S,Match($A708,'Day Range Raw Data'!$B:$B,0)),"")</f>
        <v/>
      </c>
      <c r="M708" t="str">
        <f t="array" ref="M708">IFERROR(INDEX('Day Range Raw Data'!T:T,Match($A708,'Day Range Raw Data'!$B:$B,0)),"")</f>
        <v/>
      </c>
      <c r="N708" t="str">
        <f t="array" ref="N708">IFERROR(INDEX('Day Range Raw Data'!U:U,Match($A708,'Day Range Raw Data'!$B:$B,0)),"")</f>
        <v/>
      </c>
      <c r="O708" t="str">
        <f t="array" ref="O708">IFERROR(INDEX('Day Range Raw Data'!V:V,Match($A708,'Day Range Raw Data'!$B:$B,0)),"")</f>
        <v/>
      </c>
      <c r="P708" t="str">
        <f t="array" ref="P708">IFERROR(INDEX('Day Range Raw Data'!X:X,Match($A708,'Day Range Raw Data'!$B:$B,0)),"")</f>
        <v/>
      </c>
      <c r="Q708" t="str">
        <f t="shared" si="1"/>
        <v/>
      </c>
      <c r="R708" s="9" t="str">
        <f t="shared" si="2"/>
        <v/>
      </c>
      <c r="S708" s="14" t="str">
        <f t="shared" si="3"/>
        <v/>
      </c>
      <c r="T708" s="15" t="str">
        <f>IFERROR(__xludf.DUMMYFUNCTION("IF($A708="""","""",IFERROR(PERCENTRANK.INC(FILTER(Q:Q,$F:$F&lt;&gt;""""),Q708)*100,""""))"),"")</f>
        <v/>
      </c>
      <c r="U708" s="15" t="str">
        <f>IFERROR(__xludf.DUMMYFUNCTION("IF($A708="""","""",IFERROR(PERCENTRANK.INC(FILTER(R:R,$F:$F&lt;&gt;""""),R708)*100,""""))"),"")</f>
        <v/>
      </c>
      <c r="V708" s="15" t="str">
        <f>IFERROR(__xludf.DUMMYFUNCTION("IF($A708="""","""",IFERROR(PERCENTRANK.INC(FILTER(S:S,$F:$F&lt;&gt;""""),S708)*100,""""))"),"")</f>
        <v/>
      </c>
      <c r="W708" s="15" t="str">
        <f t="shared" si="5"/>
        <v/>
      </c>
    </row>
    <row r="709">
      <c r="B709" t="str">
        <f t="array" ref="B709">IFERROR(INDEX('Player Raw Data'!C:C,Match($A709,'Player Raw Data'!$B:$B,0)),"")</f>
        <v/>
      </c>
      <c r="C709" t="str">
        <f t="array" ref="C709">IFERROR(INDEX('Player Raw Data'!D:D,Match($A709,'Player Raw Data'!$B:$B,0)),"")</f>
        <v/>
      </c>
      <c r="D709" t="str">
        <f t="array" ref="D709">IFERROR(IF(A709=A708, INDEX('Player Raw Data'!E:E,Match($A709,'Player Raw Data'!$B:$B,0)+2),INDEX('Player Raw Data'!E:E,Match($A709,'Player Raw Data'!$B:$B,0))),"")</f>
        <v/>
      </c>
      <c r="E709" t="str">
        <f t="array" ref="E709">IFERROR(INDEX('Day Range Raw Data'!D:D,Match($A709,'Day Range Raw Data'!$B:$B,0)),"")</f>
        <v/>
      </c>
      <c r="F709" t="str">
        <f t="array" ref="F709">IFERROR(INDEX('Day Range Raw Data'!F:F,Match($A709,'Day Range Raw Data'!$B:$B,0)),"")</f>
        <v/>
      </c>
      <c r="G709" t="str">
        <f t="array" ref="G709">IFERROR(INDEX('Day Range Raw Data'!G:G,Match($A709,'Day Range Raw Data'!$B:$B,0)),"")</f>
        <v/>
      </c>
      <c r="H709" t="str">
        <f t="array" ref="H709">IFERROR(INDEX('Day Range Raw Data'!H:H,Match($A709,'Day Range Raw Data'!$B:$B,0)),"")</f>
        <v/>
      </c>
      <c r="I709" t="str">
        <f t="array" ref="I709">IFERROR(INDEX('Day Range Raw Data'!M:M,Match($A709,'Day Range Raw Data'!$B:$B,0)),"")</f>
        <v/>
      </c>
      <c r="J709" t="str">
        <f t="array" ref="J709">IFERROR(INDEX('Day Range Raw Data'!N:N,Match($A709,'Day Range Raw Data'!$B:$B,0)),"")</f>
        <v/>
      </c>
      <c r="K709" t="str">
        <f t="array" ref="K709">IFERROR(INDEX('Day Range Raw Data'!R:R,Match($A709,'Day Range Raw Data'!$B:$B,0)),"")</f>
        <v/>
      </c>
      <c r="L709" t="str">
        <f t="array" ref="L709">IFERROR(INDEX('Day Range Raw Data'!S:S,Match($A709,'Day Range Raw Data'!$B:$B,0)),"")</f>
        <v/>
      </c>
      <c r="M709" t="str">
        <f t="array" ref="M709">IFERROR(INDEX('Day Range Raw Data'!T:T,Match($A709,'Day Range Raw Data'!$B:$B,0)),"")</f>
        <v/>
      </c>
      <c r="N709" t="str">
        <f t="array" ref="N709">IFERROR(INDEX('Day Range Raw Data'!U:U,Match($A709,'Day Range Raw Data'!$B:$B,0)),"")</f>
        <v/>
      </c>
      <c r="O709" t="str">
        <f t="array" ref="O709">IFERROR(INDEX('Day Range Raw Data'!V:V,Match($A709,'Day Range Raw Data'!$B:$B,0)),"")</f>
        <v/>
      </c>
      <c r="P709" t="str">
        <f t="array" ref="P709">IFERROR(INDEX('Day Range Raw Data'!X:X,Match($A709,'Day Range Raw Data'!$B:$B,0)),"")</f>
        <v/>
      </c>
      <c r="Q709" t="str">
        <f t="shared" si="1"/>
        <v/>
      </c>
      <c r="R709" s="9" t="str">
        <f t="shared" si="2"/>
        <v/>
      </c>
      <c r="S709" s="14" t="str">
        <f t="shared" si="3"/>
        <v/>
      </c>
      <c r="T709" s="15" t="str">
        <f>IFERROR(__xludf.DUMMYFUNCTION("IF($A709="""","""",IFERROR(PERCENTRANK.INC(FILTER(Q:Q,$F:$F&lt;&gt;""""),Q709)*100,""""))"),"")</f>
        <v/>
      </c>
      <c r="U709" s="15" t="str">
        <f>IFERROR(__xludf.DUMMYFUNCTION("IF($A709="""","""",IFERROR(PERCENTRANK.INC(FILTER(R:R,$F:$F&lt;&gt;""""),R709)*100,""""))"),"")</f>
        <v/>
      </c>
      <c r="V709" s="15" t="str">
        <f>IFERROR(__xludf.DUMMYFUNCTION("IF($A709="""","""",IFERROR(PERCENTRANK.INC(FILTER(S:S,$F:$F&lt;&gt;""""),S709)*100,""""))"),"")</f>
        <v/>
      </c>
      <c r="W709" s="15" t="str">
        <f t="shared" si="5"/>
        <v/>
      </c>
    </row>
    <row r="710">
      <c r="B710" t="str">
        <f t="array" ref="B710">IFERROR(INDEX('Player Raw Data'!C:C,Match($A710,'Player Raw Data'!$B:$B,0)),"")</f>
        <v/>
      </c>
      <c r="C710" t="str">
        <f t="array" ref="C710">IFERROR(INDEX('Player Raw Data'!D:D,Match($A710,'Player Raw Data'!$B:$B,0)),"")</f>
        <v/>
      </c>
      <c r="D710" t="str">
        <f t="array" ref="D710">IFERROR(IF(A710=A709, INDEX('Player Raw Data'!E:E,Match($A710,'Player Raw Data'!$B:$B,0)+2),INDEX('Player Raw Data'!E:E,Match($A710,'Player Raw Data'!$B:$B,0))),"")</f>
        <v/>
      </c>
      <c r="E710" t="str">
        <f t="array" ref="E710">IFERROR(INDEX('Day Range Raw Data'!D:D,Match($A710,'Day Range Raw Data'!$B:$B,0)),"")</f>
        <v/>
      </c>
      <c r="F710" t="str">
        <f t="array" ref="F710">IFERROR(INDEX('Day Range Raw Data'!F:F,Match($A710,'Day Range Raw Data'!$B:$B,0)),"")</f>
        <v/>
      </c>
      <c r="G710" t="str">
        <f t="array" ref="G710">IFERROR(INDEX('Day Range Raw Data'!G:G,Match($A710,'Day Range Raw Data'!$B:$B,0)),"")</f>
        <v/>
      </c>
      <c r="H710" t="str">
        <f t="array" ref="H710">IFERROR(INDEX('Day Range Raw Data'!H:H,Match($A710,'Day Range Raw Data'!$B:$B,0)),"")</f>
        <v/>
      </c>
      <c r="I710" t="str">
        <f t="array" ref="I710">IFERROR(INDEX('Day Range Raw Data'!M:M,Match($A710,'Day Range Raw Data'!$B:$B,0)),"")</f>
        <v/>
      </c>
      <c r="J710" t="str">
        <f t="array" ref="J710">IFERROR(INDEX('Day Range Raw Data'!N:N,Match($A710,'Day Range Raw Data'!$B:$B,0)),"")</f>
        <v/>
      </c>
      <c r="K710" t="str">
        <f t="array" ref="K710">IFERROR(INDEX('Day Range Raw Data'!R:R,Match($A710,'Day Range Raw Data'!$B:$B,0)),"")</f>
        <v/>
      </c>
      <c r="L710" t="str">
        <f t="array" ref="L710">IFERROR(INDEX('Day Range Raw Data'!S:S,Match($A710,'Day Range Raw Data'!$B:$B,0)),"")</f>
        <v/>
      </c>
      <c r="M710" t="str">
        <f t="array" ref="M710">IFERROR(INDEX('Day Range Raw Data'!T:T,Match($A710,'Day Range Raw Data'!$B:$B,0)),"")</f>
        <v/>
      </c>
      <c r="N710" t="str">
        <f t="array" ref="N710">IFERROR(INDEX('Day Range Raw Data'!U:U,Match($A710,'Day Range Raw Data'!$B:$B,0)),"")</f>
        <v/>
      </c>
      <c r="O710" t="str">
        <f t="array" ref="O710">IFERROR(INDEX('Day Range Raw Data'!V:V,Match($A710,'Day Range Raw Data'!$B:$B,0)),"")</f>
        <v/>
      </c>
      <c r="P710" t="str">
        <f t="array" ref="P710">IFERROR(INDEX('Day Range Raw Data'!X:X,Match($A710,'Day Range Raw Data'!$B:$B,0)),"")</f>
        <v/>
      </c>
      <c r="Q710" t="str">
        <f t="shared" si="1"/>
        <v/>
      </c>
      <c r="R710" s="9" t="str">
        <f t="shared" si="2"/>
        <v/>
      </c>
      <c r="S710" s="14" t="str">
        <f t="shared" si="3"/>
        <v/>
      </c>
      <c r="T710" s="15" t="str">
        <f>IFERROR(__xludf.DUMMYFUNCTION("IF($A710="""","""",IFERROR(PERCENTRANK.INC(FILTER(Q:Q,$F:$F&lt;&gt;""""),Q710)*100,""""))"),"")</f>
        <v/>
      </c>
      <c r="U710" s="15" t="str">
        <f>IFERROR(__xludf.DUMMYFUNCTION("IF($A710="""","""",IFERROR(PERCENTRANK.INC(FILTER(R:R,$F:$F&lt;&gt;""""),R710)*100,""""))"),"")</f>
        <v/>
      </c>
      <c r="V710" s="15" t="str">
        <f>IFERROR(__xludf.DUMMYFUNCTION("IF($A710="""","""",IFERROR(PERCENTRANK.INC(FILTER(S:S,$F:$F&lt;&gt;""""),S710)*100,""""))"),"")</f>
        <v/>
      </c>
      <c r="W710" s="15" t="str">
        <f t="shared" si="5"/>
        <v/>
      </c>
    </row>
    <row r="711">
      <c r="B711" t="str">
        <f t="array" ref="B711">IFERROR(INDEX('Player Raw Data'!C:C,Match($A711,'Player Raw Data'!$B:$B,0)),"")</f>
        <v/>
      </c>
      <c r="C711" t="str">
        <f t="array" ref="C711">IFERROR(INDEX('Player Raw Data'!D:D,Match($A711,'Player Raw Data'!$B:$B,0)),"")</f>
        <v/>
      </c>
      <c r="D711" t="str">
        <f t="array" ref="D711">IFERROR(IF(A711=A710, INDEX('Player Raw Data'!E:E,Match($A711,'Player Raw Data'!$B:$B,0)+2),INDEX('Player Raw Data'!E:E,Match($A711,'Player Raw Data'!$B:$B,0))),"")</f>
        <v/>
      </c>
      <c r="E711" t="str">
        <f t="array" ref="E711">IFERROR(INDEX('Day Range Raw Data'!D:D,Match($A711,'Day Range Raw Data'!$B:$B,0)),"")</f>
        <v/>
      </c>
      <c r="F711" t="str">
        <f t="array" ref="F711">IFERROR(INDEX('Day Range Raw Data'!F:F,Match($A711,'Day Range Raw Data'!$B:$B,0)),"")</f>
        <v/>
      </c>
      <c r="G711" t="str">
        <f t="array" ref="G711">IFERROR(INDEX('Day Range Raw Data'!G:G,Match($A711,'Day Range Raw Data'!$B:$B,0)),"")</f>
        <v/>
      </c>
      <c r="H711" t="str">
        <f t="array" ref="H711">IFERROR(INDEX('Day Range Raw Data'!H:H,Match($A711,'Day Range Raw Data'!$B:$B,0)),"")</f>
        <v/>
      </c>
      <c r="I711" t="str">
        <f t="array" ref="I711">IFERROR(INDEX('Day Range Raw Data'!M:M,Match($A711,'Day Range Raw Data'!$B:$B,0)),"")</f>
        <v/>
      </c>
      <c r="J711" t="str">
        <f t="array" ref="J711">IFERROR(INDEX('Day Range Raw Data'!N:N,Match($A711,'Day Range Raw Data'!$B:$B,0)),"")</f>
        <v/>
      </c>
      <c r="K711" t="str">
        <f t="array" ref="K711">IFERROR(INDEX('Day Range Raw Data'!R:R,Match($A711,'Day Range Raw Data'!$B:$B,0)),"")</f>
        <v/>
      </c>
      <c r="L711" t="str">
        <f t="array" ref="L711">IFERROR(INDEX('Day Range Raw Data'!S:S,Match($A711,'Day Range Raw Data'!$B:$B,0)),"")</f>
        <v/>
      </c>
      <c r="M711" t="str">
        <f t="array" ref="M711">IFERROR(INDEX('Day Range Raw Data'!T:T,Match($A711,'Day Range Raw Data'!$B:$B,0)),"")</f>
        <v/>
      </c>
      <c r="N711" t="str">
        <f t="array" ref="N711">IFERROR(INDEX('Day Range Raw Data'!U:U,Match($A711,'Day Range Raw Data'!$B:$B,0)),"")</f>
        <v/>
      </c>
      <c r="O711" t="str">
        <f t="array" ref="O711">IFERROR(INDEX('Day Range Raw Data'!V:V,Match($A711,'Day Range Raw Data'!$B:$B,0)),"")</f>
        <v/>
      </c>
      <c r="P711" t="str">
        <f t="array" ref="P711">IFERROR(INDEX('Day Range Raw Data'!X:X,Match($A711,'Day Range Raw Data'!$B:$B,0)),"")</f>
        <v/>
      </c>
      <c r="Q711" t="str">
        <f t="shared" si="1"/>
        <v/>
      </c>
      <c r="R711" s="9" t="str">
        <f t="shared" si="2"/>
        <v/>
      </c>
      <c r="S711" s="14" t="str">
        <f t="shared" si="3"/>
        <v/>
      </c>
      <c r="T711" s="15" t="str">
        <f>IFERROR(__xludf.DUMMYFUNCTION("IF($A711="""","""",IFERROR(PERCENTRANK.INC(FILTER(Q:Q,$F:$F&lt;&gt;""""),Q711)*100,""""))"),"")</f>
        <v/>
      </c>
      <c r="U711" s="15" t="str">
        <f>IFERROR(__xludf.DUMMYFUNCTION("IF($A711="""","""",IFERROR(PERCENTRANK.INC(FILTER(R:R,$F:$F&lt;&gt;""""),R711)*100,""""))"),"")</f>
        <v/>
      </c>
      <c r="V711" s="15" t="str">
        <f>IFERROR(__xludf.DUMMYFUNCTION("IF($A711="""","""",IFERROR(PERCENTRANK.INC(FILTER(S:S,$F:$F&lt;&gt;""""),S711)*100,""""))"),"")</f>
        <v/>
      </c>
      <c r="W711" s="15" t="str">
        <f t="shared" si="5"/>
        <v/>
      </c>
    </row>
    <row r="712">
      <c r="B712" t="str">
        <f t="array" ref="B712">IFERROR(INDEX('Player Raw Data'!C:C,Match($A712,'Player Raw Data'!$B:$B,0)),"")</f>
        <v/>
      </c>
      <c r="C712" t="str">
        <f t="array" ref="C712">IFERROR(INDEX('Player Raw Data'!D:D,Match($A712,'Player Raw Data'!$B:$B,0)),"")</f>
        <v/>
      </c>
      <c r="D712" t="str">
        <f t="array" ref="D712">IFERROR(IF(A712=A711, INDEX('Player Raw Data'!E:E,Match($A712,'Player Raw Data'!$B:$B,0)+2),INDEX('Player Raw Data'!E:E,Match($A712,'Player Raw Data'!$B:$B,0))),"")</f>
        <v/>
      </c>
      <c r="E712" t="str">
        <f t="array" ref="E712">IFERROR(INDEX('Day Range Raw Data'!D:D,Match($A712,'Day Range Raw Data'!$B:$B,0)),"")</f>
        <v/>
      </c>
      <c r="F712" t="str">
        <f t="array" ref="F712">IFERROR(INDEX('Day Range Raw Data'!F:F,Match($A712,'Day Range Raw Data'!$B:$B,0)),"")</f>
        <v/>
      </c>
      <c r="G712" t="str">
        <f t="array" ref="G712">IFERROR(INDEX('Day Range Raw Data'!G:G,Match($A712,'Day Range Raw Data'!$B:$B,0)),"")</f>
        <v/>
      </c>
      <c r="H712" t="str">
        <f t="array" ref="H712">IFERROR(INDEX('Day Range Raw Data'!H:H,Match($A712,'Day Range Raw Data'!$B:$B,0)),"")</f>
        <v/>
      </c>
      <c r="I712" t="str">
        <f t="array" ref="I712">IFERROR(INDEX('Day Range Raw Data'!M:M,Match($A712,'Day Range Raw Data'!$B:$B,0)),"")</f>
        <v/>
      </c>
      <c r="J712" t="str">
        <f t="array" ref="J712">IFERROR(INDEX('Day Range Raw Data'!N:N,Match($A712,'Day Range Raw Data'!$B:$B,0)),"")</f>
        <v/>
      </c>
      <c r="K712" t="str">
        <f t="array" ref="K712">IFERROR(INDEX('Day Range Raw Data'!R:R,Match($A712,'Day Range Raw Data'!$B:$B,0)),"")</f>
        <v/>
      </c>
      <c r="L712" t="str">
        <f t="array" ref="L712">IFERROR(INDEX('Day Range Raw Data'!S:S,Match($A712,'Day Range Raw Data'!$B:$B,0)),"")</f>
        <v/>
      </c>
      <c r="M712" t="str">
        <f t="array" ref="M712">IFERROR(INDEX('Day Range Raw Data'!T:T,Match($A712,'Day Range Raw Data'!$B:$B,0)),"")</f>
        <v/>
      </c>
      <c r="N712" t="str">
        <f t="array" ref="N712">IFERROR(INDEX('Day Range Raw Data'!U:U,Match($A712,'Day Range Raw Data'!$B:$B,0)),"")</f>
        <v/>
      </c>
      <c r="O712" t="str">
        <f t="array" ref="O712">IFERROR(INDEX('Day Range Raw Data'!V:V,Match($A712,'Day Range Raw Data'!$B:$B,0)),"")</f>
        <v/>
      </c>
      <c r="P712" t="str">
        <f t="array" ref="P712">IFERROR(INDEX('Day Range Raw Data'!X:X,Match($A712,'Day Range Raw Data'!$B:$B,0)),"")</f>
        <v/>
      </c>
      <c r="Q712" t="str">
        <f t="shared" si="1"/>
        <v/>
      </c>
      <c r="R712" s="9" t="str">
        <f t="shared" si="2"/>
        <v/>
      </c>
      <c r="S712" s="14" t="str">
        <f t="shared" si="3"/>
        <v/>
      </c>
      <c r="T712" s="15" t="str">
        <f>IFERROR(__xludf.DUMMYFUNCTION("IF($A712="""","""",IFERROR(PERCENTRANK.INC(FILTER(Q:Q,$F:$F&lt;&gt;""""),Q712)*100,""""))"),"")</f>
        <v/>
      </c>
      <c r="U712" s="15" t="str">
        <f>IFERROR(__xludf.DUMMYFUNCTION("IF($A712="""","""",IFERROR(PERCENTRANK.INC(FILTER(R:R,$F:$F&lt;&gt;""""),R712)*100,""""))"),"")</f>
        <v/>
      </c>
      <c r="V712" s="15" t="str">
        <f>IFERROR(__xludf.DUMMYFUNCTION("IF($A712="""","""",IFERROR(PERCENTRANK.INC(FILTER(S:S,$F:$F&lt;&gt;""""),S712)*100,""""))"),"")</f>
        <v/>
      </c>
      <c r="W712" s="15" t="str">
        <f t="shared" si="5"/>
        <v/>
      </c>
    </row>
    <row r="713">
      <c r="B713" t="str">
        <f t="array" ref="B713">IFERROR(INDEX('Player Raw Data'!C:C,Match($A713,'Player Raw Data'!$B:$B,0)),"")</f>
        <v/>
      </c>
      <c r="C713" t="str">
        <f t="array" ref="C713">IFERROR(INDEX('Player Raw Data'!D:D,Match($A713,'Player Raw Data'!$B:$B,0)),"")</f>
        <v/>
      </c>
      <c r="D713" t="str">
        <f t="array" ref="D713">IFERROR(IF(A713=A712, INDEX('Player Raw Data'!E:E,Match($A713,'Player Raw Data'!$B:$B,0)+2),INDEX('Player Raw Data'!E:E,Match($A713,'Player Raw Data'!$B:$B,0))),"")</f>
        <v/>
      </c>
      <c r="E713" t="str">
        <f t="array" ref="E713">IFERROR(INDEX('Day Range Raw Data'!D:D,Match($A713,'Day Range Raw Data'!$B:$B,0)),"")</f>
        <v/>
      </c>
      <c r="F713" t="str">
        <f t="array" ref="F713">IFERROR(INDEX('Day Range Raw Data'!F:F,Match($A713,'Day Range Raw Data'!$B:$B,0)),"")</f>
        <v/>
      </c>
      <c r="G713" t="str">
        <f t="array" ref="G713">IFERROR(INDEX('Day Range Raw Data'!G:G,Match($A713,'Day Range Raw Data'!$B:$B,0)),"")</f>
        <v/>
      </c>
      <c r="H713" t="str">
        <f t="array" ref="H713">IFERROR(INDEX('Day Range Raw Data'!H:H,Match($A713,'Day Range Raw Data'!$B:$B,0)),"")</f>
        <v/>
      </c>
      <c r="I713" t="str">
        <f t="array" ref="I713">IFERROR(INDEX('Day Range Raw Data'!M:M,Match($A713,'Day Range Raw Data'!$B:$B,0)),"")</f>
        <v/>
      </c>
      <c r="J713" t="str">
        <f t="array" ref="J713">IFERROR(INDEX('Day Range Raw Data'!N:N,Match($A713,'Day Range Raw Data'!$B:$B,0)),"")</f>
        <v/>
      </c>
      <c r="K713" t="str">
        <f t="array" ref="K713">IFERROR(INDEX('Day Range Raw Data'!R:R,Match($A713,'Day Range Raw Data'!$B:$B,0)),"")</f>
        <v/>
      </c>
      <c r="L713" t="str">
        <f t="array" ref="L713">IFERROR(INDEX('Day Range Raw Data'!S:S,Match($A713,'Day Range Raw Data'!$B:$B,0)),"")</f>
        <v/>
      </c>
      <c r="M713" t="str">
        <f t="array" ref="M713">IFERROR(INDEX('Day Range Raw Data'!T:T,Match($A713,'Day Range Raw Data'!$B:$B,0)),"")</f>
        <v/>
      </c>
      <c r="N713" t="str">
        <f t="array" ref="N713">IFERROR(INDEX('Day Range Raw Data'!U:U,Match($A713,'Day Range Raw Data'!$B:$B,0)),"")</f>
        <v/>
      </c>
      <c r="O713" t="str">
        <f t="array" ref="O713">IFERROR(INDEX('Day Range Raw Data'!V:V,Match($A713,'Day Range Raw Data'!$B:$B,0)),"")</f>
        <v/>
      </c>
      <c r="P713" t="str">
        <f t="array" ref="P713">IFERROR(INDEX('Day Range Raw Data'!X:X,Match($A713,'Day Range Raw Data'!$B:$B,0)),"")</f>
        <v/>
      </c>
      <c r="Q713" t="str">
        <f t="shared" si="1"/>
        <v/>
      </c>
      <c r="R713" s="9" t="str">
        <f t="shared" si="2"/>
        <v/>
      </c>
      <c r="S713" s="14" t="str">
        <f t="shared" si="3"/>
        <v/>
      </c>
      <c r="T713" s="15" t="str">
        <f>IFERROR(__xludf.DUMMYFUNCTION("IF($A713="""","""",IFERROR(PERCENTRANK.INC(FILTER(Q:Q,$F:$F&lt;&gt;""""),Q713)*100,""""))"),"")</f>
        <v/>
      </c>
      <c r="U713" s="15" t="str">
        <f>IFERROR(__xludf.DUMMYFUNCTION("IF($A713="""","""",IFERROR(PERCENTRANK.INC(FILTER(R:R,$F:$F&lt;&gt;""""),R713)*100,""""))"),"")</f>
        <v/>
      </c>
      <c r="V713" s="15" t="str">
        <f>IFERROR(__xludf.DUMMYFUNCTION("IF($A713="""","""",IFERROR(PERCENTRANK.INC(FILTER(S:S,$F:$F&lt;&gt;""""),S713)*100,""""))"),"")</f>
        <v/>
      </c>
      <c r="W713" s="15" t="str">
        <f t="shared" si="5"/>
        <v/>
      </c>
    </row>
    <row r="714">
      <c r="B714" t="str">
        <f t="array" ref="B714">IFERROR(INDEX('Player Raw Data'!C:C,Match($A714,'Player Raw Data'!$B:$B,0)),"")</f>
        <v/>
      </c>
      <c r="C714" t="str">
        <f t="array" ref="C714">IFERROR(INDEX('Player Raw Data'!D:D,Match($A714,'Player Raw Data'!$B:$B,0)),"")</f>
        <v/>
      </c>
      <c r="D714" t="str">
        <f t="array" ref="D714">IFERROR(IF(A714=A713, INDEX('Player Raw Data'!E:E,Match($A714,'Player Raw Data'!$B:$B,0)+2),INDEX('Player Raw Data'!E:E,Match($A714,'Player Raw Data'!$B:$B,0))),"")</f>
        <v/>
      </c>
      <c r="E714" t="str">
        <f t="array" ref="E714">IFERROR(INDEX('Day Range Raw Data'!D:D,Match($A714,'Day Range Raw Data'!$B:$B,0)),"")</f>
        <v/>
      </c>
      <c r="F714" t="str">
        <f t="array" ref="F714">IFERROR(INDEX('Day Range Raw Data'!F:F,Match($A714,'Day Range Raw Data'!$B:$B,0)),"")</f>
        <v/>
      </c>
      <c r="G714" t="str">
        <f t="array" ref="G714">IFERROR(INDEX('Day Range Raw Data'!G:G,Match($A714,'Day Range Raw Data'!$B:$B,0)),"")</f>
        <v/>
      </c>
      <c r="H714" t="str">
        <f t="array" ref="H714">IFERROR(INDEX('Day Range Raw Data'!H:H,Match($A714,'Day Range Raw Data'!$B:$B,0)),"")</f>
        <v/>
      </c>
      <c r="I714" t="str">
        <f t="array" ref="I714">IFERROR(INDEX('Day Range Raw Data'!M:M,Match($A714,'Day Range Raw Data'!$B:$B,0)),"")</f>
        <v/>
      </c>
      <c r="J714" t="str">
        <f t="array" ref="J714">IFERROR(INDEX('Day Range Raw Data'!N:N,Match($A714,'Day Range Raw Data'!$B:$B,0)),"")</f>
        <v/>
      </c>
      <c r="K714" t="str">
        <f t="array" ref="K714">IFERROR(INDEX('Day Range Raw Data'!R:R,Match($A714,'Day Range Raw Data'!$B:$B,0)),"")</f>
        <v/>
      </c>
      <c r="L714" t="str">
        <f t="array" ref="L714">IFERROR(INDEX('Day Range Raw Data'!S:S,Match($A714,'Day Range Raw Data'!$B:$B,0)),"")</f>
        <v/>
      </c>
      <c r="M714" t="str">
        <f t="array" ref="M714">IFERROR(INDEX('Day Range Raw Data'!T:T,Match($A714,'Day Range Raw Data'!$B:$B,0)),"")</f>
        <v/>
      </c>
      <c r="N714" t="str">
        <f t="array" ref="N714">IFERROR(INDEX('Day Range Raw Data'!U:U,Match($A714,'Day Range Raw Data'!$B:$B,0)),"")</f>
        <v/>
      </c>
      <c r="O714" t="str">
        <f t="array" ref="O714">IFERROR(INDEX('Day Range Raw Data'!V:V,Match($A714,'Day Range Raw Data'!$B:$B,0)),"")</f>
        <v/>
      </c>
      <c r="P714" t="str">
        <f t="array" ref="P714">IFERROR(INDEX('Day Range Raw Data'!X:X,Match($A714,'Day Range Raw Data'!$B:$B,0)),"")</f>
        <v/>
      </c>
      <c r="Q714" t="str">
        <f t="shared" si="1"/>
        <v/>
      </c>
      <c r="R714" s="9" t="str">
        <f t="shared" si="2"/>
        <v/>
      </c>
      <c r="S714" s="14" t="str">
        <f t="shared" si="3"/>
        <v/>
      </c>
      <c r="T714" s="15" t="str">
        <f>IFERROR(__xludf.DUMMYFUNCTION("IF($A714="""","""",IFERROR(PERCENTRANK.INC(FILTER(Q:Q,$F:$F&lt;&gt;""""),Q714)*100,""""))"),"")</f>
        <v/>
      </c>
      <c r="U714" s="15" t="str">
        <f>IFERROR(__xludf.DUMMYFUNCTION("IF($A714="""","""",IFERROR(PERCENTRANK.INC(FILTER(R:R,$F:$F&lt;&gt;""""),R714)*100,""""))"),"")</f>
        <v/>
      </c>
      <c r="V714" s="15" t="str">
        <f>IFERROR(__xludf.DUMMYFUNCTION("IF($A714="""","""",IFERROR(PERCENTRANK.INC(FILTER(S:S,$F:$F&lt;&gt;""""),S714)*100,""""))"),"")</f>
        <v/>
      </c>
      <c r="W714" s="15" t="str">
        <f t="shared" si="5"/>
        <v/>
      </c>
    </row>
    <row r="715">
      <c r="B715" t="str">
        <f t="array" ref="B715">IFERROR(INDEX('Player Raw Data'!C:C,Match($A715,'Player Raw Data'!$B:$B,0)),"")</f>
        <v/>
      </c>
      <c r="C715" t="str">
        <f t="array" ref="C715">IFERROR(INDEX('Player Raw Data'!D:D,Match($A715,'Player Raw Data'!$B:$B,0)),"")</f>
        <v/>
      </c>
      <c r="D715" t="str">
        <f t="array" ref="D715">IFERROR(IF(A715=A714, INDEX('Player Raw Data'!E:E,Match($A715,'Player Raw Data'!$B:$B,0)+2),INDEX('Player Raw Data'!E:E,Match($A715,'Player Raw Data'!$B:$B,0))),"")</f>
        <v/>
      </c>
      <c r="E715" t="str">
        <f t="array" ref="E715">IFERROR(INDEX('Day Range Raw Data'!D:D,Match($A715,'Day Range Raw Data'!$B:$B,0)),"")</f>
        <v/>
      </c>
      <c r="F715" t="str">
        <f t="array" ref="F715">IFERROR(INDEX('Day Range Raw Data'!F:F,Match($A715,'Day Range Raw Data'!$B:$B,0)),"")</f>
        <v/>
      </c>
      <c r="G715" t="str">
        <f t="array" ref="G715">IFERROR(INDEX('Day Range Raw Data'!G:G,Match($A715,'Day Range Raw Data'!$B:$B,0)),"")</f>
        <v/>
      </c>
      <c r="H715" t="str">
        <f t="array" ref="H715">IFERROR(INDEX('Day Range Raw Data'!H:H,Match($A715,'Day Range Raw Data'!$B:$B,0)),"")</f>
        <v/>
      </c>
      <c r="I715" t="str">
        <f t="array" ref="I715">IFERROR(INDEX('Day Range Raw Data'!M:M,Match($A715,'Day Range Raw Data'!$B:$B,0)),"")</f>
        <v/>
      </c>
      <c r="J715" t="str">
        <f t="array" ref="J715">IFERROR(INDEX('Day Range Raw Data'!N:N,Match($A715,'Day Range Raw Data'!$B:$B,0)),"")</f>
        <v/>
      </c>
      <c r="K715" t="str">
        <f t="array" ref="K715">IFERROR(INDEX('Day Range Raw Data'!R:R,Match($A715,'Day Range Raw Data'!$B:$B,0)),"")</f>
        <v/>
      </c>
      <c r="L715" t="str">
        <f t="array" ref="L715">IFERROR(INDEX('Day Range Raw Data'!S:S,Match($A715,'Day Range Raw Data'!$B:$B,0)),"")</f>
        <v/>
      </c>
      <c r="M715" t="str">
        <f t="array" ref="M715">IFERROR(INDEX('Day Range Raw Data'!T:T,Match($A715,'Day Range Raw Data'!$B:$B,0)),"")</f>
        <v/>
      </c>
      <c r="N715" t="str">
        <f t="array" ref="N715">IFERROR(INDEX('Day Range Raw Data'!U:U,Match($A715,'Day Range Raw Data'!$B:$B,0)),"")</f>
        <v/>
      </c>
      <c r="O715" t="str">
        <f t="array" ref="O715">IFERROR(INDEX('Day Range Raw Data'!V:V,Match($A715,'Day Range Raw Data'!$B:$B,0)),"")</f>
        <v/>
      </c>
      <c r="P715" t="str">
        <f t="array" ref="P715">IFERROR(INDEX('Day Range Raw Data'!X:X,Match($A715,'Day Range Raw Data'!$B:$B,0)),"")</f>
        <v/>
      </c>
      <c r="Q715" t="str">
        <f t="shared" si="1"/>
        <v/>
      </c>
      <c r="R715" s="9" t="str">
        <f t="shared" si="2"/>
        <v/>
      </c>
      <c r="S715" s="14" t="str">
        <f t="shared" si="3"/>
        <v/>
      </c>
      <c r="T715" s="15" t="str">
        <f>IFERROR(__xludf.DUMMYFUNCTION("IF($A715="""","""",IFERROR(PERCENTRANK.INC(FILTER(Q:Q,$F:$F&lt;&gt;""""),Q715)*100,""""))"),"")</f>
        <v/>
      </c>
      <c r="U715" s="15" t="str">
        <f>IFERROR(__xludf.DUMMYFUNCTION("IF($A715="""","""",IFERROR(PERCENTRANK.INC(FILTER(R:R,$F:$F&lt;&gt;""""),R715)*100,""""))"),"")</f>
        <v/>
      </c>
      <c r="V715" s="15" t="str">
        <f>IFERROR(__xludf.DUMMYFUNCTION("IF($A715="""","""",IFERROR(PERCENTRANK.INC(FILTER(S:S,$F:$F&lt;&gt;""""),S715)*100,""""))"),"")</f>
        <v/>
      </c>
      <c r="W715" s="15" t="str">
        <f t="shared" si="5"/>
        <v/>
      </c>
    </row>
    <row r="716">
      <c r="B716" t="str">
        <f t="array" ref="B716">IFERROR(INDEX('Player Raw Data'!C:C,Match($A716,'Player Raw Data'!$B:$B,0)),"")</f>
        <v/>
      </c>
      <c r="C716" t="str">
        <f t="array" ref="C716">IFERROR(INDEX('Player Raw Data'!D:D,Match($A716,'Player Raw Data'!$B:$B,0)),"")</f>
        <v/>
      </c>
      <c r="D716" t="str">
        <f t="array" ref="D716">IFERROR(IF(A716=A715, INDEX('Player Raw Data'!E:E,Match($A716,'Player Raw Data'!$B:$B,0)+2),INDEX('Player Raw Data'!E:E,Match($A716,'Player Raw Data'!$B:$B,0))),"")</f>
        <v/>
      </c>
      <c r="E716" t="str">
        <f t="array" ref="E716">IFERROR(INDEX('Day Range Raw Data'!D:D,Match($A716,'Day Range Raw Data'!$B:$B,0)),"")</f>
        <v/>
      </c>
      <c r="F716" t="str">
        <f t="array" ref="F716">IFERROR(INDEX('Day Range Raw Data'!F:F,Match($A716,'Day Range Raw Data'!$B:$B,0)),"")</f>
        <v/>
      </c>
      <c r="G716" t="str">
        <f t="array" ref="G716">IFERROR(INDEX('Day Range Raw Data'!G:G,Match($A716,'Day Range Raw Data'!$B:$B,0)),"")</f>
        <v/>
      </c>
      <c r="H716" t="str">
        <f t="array" ref="H716">IFERROR(INDEX('Day Range Raw Data'!H:H,Match($A716,'Day Range Raw Data'!$B:$B,0)),"")</f>
        <v/>
      </c>
      <c r="I716" t="str">
        <f t="array" ref="I716">IFERROR(INDEX('Day Range Raw Data'!M:M,Match($A716,'Day Range Raw Data'!$B:$B,0)),"")</f>
        <v/>
      </c>
      <c r="J716" t="str">
        <f t="array" ref="J716">IFERROR(INDEX('Day Range Raw Data'!N:N,Match($A716,'Day Range Raw Data'!$B:$B,0)),"")</f>
        <v/>
      </c>
      <c r="K716" t="str">
        <f t="array" ref="K716">IFERROR(INDEX('Day Range Raw Data'!R:R,Match($A716,'Day Range Raw Data'!$B:$B,0)),"")</f>
        <v/>
      </c>
      <c r="L716" t="str">
        <f t="array" ref="L716">IFERROR(INDEX('Day Range Raw Data'!S:S,Match($A716,'Day Range Raw Data'!$B:$B,0)),"")</f>
        <v/>
      </c>
      <c r="M716" t="str">
        <f t="array" ref="M716">IFERROR(INDEX('Day Range Raw Data'!T:T,Match($A716,'Day Range Raw Data'!$B:$B,0)),"")</f>
        <v/>
      </c>
      <c r="N716" t="str">
        <f t="array" ref="N716">IFERROR(INDEX('Day Range Raw Data'!U:U,Match($A716,'Day Range Raw Data'!$B:$B,0)),"")</f>
        <v/>
      </c>
      <c r="O716" t="str">
        <f t="array" ref="O716">IFERROR(INDEX('Day Range Raw Data'!V:V,Match($A716,'Day Range Raw Data'!$B:$B,0)),"")</f>
        <v/>
      </c>
      <c r="P716" t="str">
        <f t="array" ref="P716">IFERROR(INDEX('Day Range Raw Data'!X:X,Match($A716,'Day Range Raw Data'!$B:$B,0)),"")</f>
        <v/>
      </c>
      <c r="Q716" t="str">
        <f t="shared" si="1"/>
        <v/>
      </c>
      <c r="R716" s="9" t="str">
        <f t="shared" si="2"/>
        <v/>
      </c>
      <c r="S716" s="14" t="str">
        <f t="shared" si="3"/>
        <v/>
      </c>
      <c r="T716" s="15" t="str">
        <f>IFERROR(__xludf.DUMMYFUNCTION("IF($A716="""","""",IFERROR(PERCENTRANK.INC(FILTER(Q:Q,$F:$F&lt;&gt;""""),Q716)*100,""""))"),"")</f>
        <v/>
      </c>
      <c r="U716" s="15" t="str">
        <f>IFERROR(__xludf.DUMMYFUNCTION("IF($A716="""","""",IFERROR(PERCENTRANK.INC(FILTER(R:R,$F:$F&lt;&gt;""""),R716)*100,""""))"),"")</f>
        <v/>
      </c>
      <c r="V716" s="15" t="str">
        <f>IFERROR(__xludf.DUMMYFUNCTION("IF($A716="""","""",IFERROR(PERCENTRANK.INC(FILTER(S:S,$F:$F&lt;&gt;""""),S716)*100,""""))"),"")</f>
        <v/>
      </c>
      <c r="W716" s="15" t="str">
        <f t="shared" si="5"/>
        <v/>
      </c>
    </row>
    <row r="717">
      <c r="B717" t="str">
        <f t="array" ref="B717">IFERROR(INDEX('Player Raw Data'!C:C,Match($A717,'Player Raw Data'!$B:$B,0)),"")</f>
        <v/>
      </c>
      <c r="C717" t="str">
        <f t="array" ref="C717">IFERROR(INDEX('Player Raw Data'!D:D,Match($A717,'Player Raw Data'!$B:$B,0)),"")</f>
        <v/>
      </c>
      <c r="D717" t="str">
        <f t="array" ref="D717">IFERROR(IF(A717=A716, INDEX('Player Raw Data'!E:E,Match($A717,'Player Raw Data'!$B:$B,0)+2),INDEX('Player Raw Data'!E:E,Match($A717,'Player Raw Data'!$B:$B,0))),"")</f>
        <v/>
      </c>
      <c r="E717" t="str">
        <f t="array" ref="E717">IFERROR(INDEX('Day Range Raw Data'!D:D,Match($A717,'Day Range Raw Data'!$B:$B,0)),"")</f>
        <v/>
      </c>
      <c r="F717" t="str">
        <f t="array" ref="F717">IFERROR(INDEX('Day Range Raw Data'!F:F,Match($A717,'Day Range Raw Data'!$B:$B,0)),"")</f>
        <v/>
      </c>
      <c r="G717" t="str">
        <f t="array" ref="G717">IFERROR(INDEX('Day Range Raw Data'!G:G,Match($A717,'Day Range Raw Data'!$B:$B,0)),"")</f>
        <v/>
      </c>
      <c r="H717" t="str">
        <f t="array" ref="H717">IFERROR(INDEX('Day Range Raw Data'!H:H,Match($A717,'Day Range Raw Data'!$B:$B,0)),"")</f>
        <v/>
      </c>
      <c r="I717" t="str">
        <f t="array" ref="I717">IFERROR(INDEX('Day Range Raw Data'!M:M,Match($A717,'Day Range Raw Data'!$B:$B,0)),"")</f>
        <v/>
      </c>
      <c r="J717" t="str">
        <f t="array" ref="J717">IFERROR(INDEX('Day Range Raw Data'!N:N,Match($A717,'Day Range Raw Data'!$B:$B,0)),"")</f>
        <v/>
      </c>
      <c r="K717" t="str">
        <f t="array" ref="K717">IFERROR(INDEX('Day Range Raw Data'!R:R,Match($A717,'Day Range Raw Data'!$B:$B,0)),"")</f>
        <v/>
      </c>
      <c r="L717" t="str">
        <f t="array" ref="L717">IFERROR(INDEX('Day Range Raw Data'!S:S,Match($A717,'Day Range Raw Data'!$B:$B,0)),"")</f>
        <v/>
      </c>
      <c r="M717" t="str">
        <f t="array" ref="M717">IFERROR(INDEX('Day Range Raw Data'!T:T,Match($A717,'Day Range Raw Data'!$B:$B,0)),"")</f>
        <v/>
      </c>
      <c r="N717" t="str">
        <f t="array" ref="N717">IFERROR(INDEX('Day Range Raw Data'!U:U,Match($A717,'Day Range Raw Data'!$B:$B,0)),"")</f>
        <v/>
      </c>
      <c r="O717" t="str">
        <f t="array" ref="O717">IFERROR(INDEX('Day Range Raw Data'!V:V,Match($A717,'Day Range Raw Data'!$B:$B,0)),"")</f>
        <v/>
      </c>
      <c r="P717" t="str">
        <f t="array" ref="P717">IFERROR(INDEX('Day Range Raw Data'!X:X,Match($A717,'Day Range Raw Data'!$B:$B,0)),"")</f>
        <v/>
      </c>
      <c r="Q717" t="str">
        <f t="shared" si="1"/>
        <v/>
      </c>
      <c r="R717" s="9" t="str">
        <f t="shared" si="2"/>
        <v/>
      </c>
      <c r="S717" s="14" t="str">
        <f t="shared" si="3"/>
        <v/>
      </c>
      <c r="T717" s="15" t="str">
        <f>IFERROR(__xludf.DUMMYFUNCTION("IF($A717="""","""",IFERROR(PERCENTRANK.INC(FILTER(Q:Q,$F:$F&lt;&gt;""""),Q717)*100,""""))"),"")</f>
        <v/>
      </c>
      <c r="U717" s="15" t="str">
        <f>IFERROR(__xludf.DUMMYFUNCTION("IF($A717="""","""",IFERROR(PERCENTRANK.INC(FILTER(R:R,$F:$F&lt;&gt;""""),R717)*100,""""))"),"")</f>
        <v/>
      </c>
      <c r="V717" s="15" t="str">
        <f>IFERROR(__xludf.DUMMYFUNCTION("IF($A717="""","""",IFERROR(PERCENTRANK.INC(FILTER(S:S,$F:$F&lt;&gt;""""),S717)*100,""""))"),"")</f>
        <v/>
      </c>
      <c r="W717" s="15" t="str">
        <f t="shared" si="5"/>
        <v/>
      </c>
    </row>
    <row r="718">
      <c r="B718" t="str">
        <f t="array" ref="B718">IFERROR(INDEX('Player Raw Data'!C:C,Match($A718,'Player Raw Data'!$B:$B,0)),"")</f>
        <v/>
      </c>
      <c r="C718" t="str">
        <f t="array" ref="C718">IFERROR(INDEX('Player Raw Data'!D:D,Match($A718,'Player Raw Data'!$B:$B,0)),"")</f>
        <v/>
      </c>
      <c r="D718" t="str">
        <f t="array" ref="D718">IFERROR(IF(A718=A717, INDEX('Player Raw Data'!E:E,Match($A718,'Player Raw Data'!$B:$B,0)+2),INDEX('Player Raw Data'!E:E,Match($A718,'Player Raw Data'!$B:$B,0))),"")</f>
        <v/>
      </c>
      <c r="E718" t="str">
        <f t="array" ref="E718">IFERROR(INDEX('Day Range Raw Data'!D:D,Match($A718,'Day Range Raw Data'!$B:$B,0)),"")</f>
        <v/>
      </c>
      <c r="F718" t="str">
        <f t="array" ref="F718">IFERROR(INDEX('Day Range Raw Data'!F:F,Match($A718,'Day Range Raw Data'!$B:$B,0)),"")</f>
        <v/>
      </c>
      <c r="G718" t="str">
        <f t="array" ref="G718">IFERROR(INDEX('Day Range Raw Data'!G:G,Match($A718,'Day Range Raw Data'!$B:$B,0)),"")</f>
        <v/>
      </c>
      <c r="H718" t="str">
        <f t="array" ref="H718">IFERROR(INDEX('Day Range Raw Data'!H:H,Match($A718,'Day Range Raw Data'!$B:$B,0)),"")</f>
        <v/>
      </c>
      <c r="I718" t="str">
        <f t="array" ref="I718">IFERROR(INDEX('Day Range Raw Data'!M:M,Match($A718,'Day Range Raw Data'!$B:$B,0)),"")</f>
        <v/>
      </c>
      <c r="J718" t="str">
        <f t="array" ref="J718">IFERROR(INDEX('Day Range Raw Data'!N:N,Match($A718,'Day Range Raw Data'!$B:$B,0)),"")</f>
        <v/>
      </c>
      <c r="K718" t="str">
        <f t="array" ref="K718">IFERROR(INDEX('Day Range Raw Data'!R:R,Match($A718,'Day Range Raw Data'!$B:$B,0)),"")</f>
        <v/>
      </c>
      <c r="L718" t="str">
        <f t="array" ref="L718">IFERROR(INDEX('Day Range Raw Data'!S:S,Match($A718,'Day Range Raw Data'!$B:$B,0)),"")</f>
        <v/>
      </c>
      <c r="M718" t="str">
        <f t="array" ref="M718">IFERROR(INDEX('Day Range Raw Data'!T:T,Match($A718,'Day Range Raw Data'!$B:$B,0)),"")</f>
        <v/>
      </c>
      <c r="N718" t="str">
        <f t="array" ref="N718">IFERROR(INDEX('Day Range Raw Data'!U:U,Match($A718,'Day Range Raw Data'!$B:$B,0)),"")</f>
        <v/>
      </c>
      <c r="O718" t="str">
        <f t="array" ref="O718">IFERROR(INDEX('Day Range Raw Data'!V:V,Match($A718,'Day Range Raw Data'!$B:$B,0)),"")</f>
        <v/>
      </c>
      <c r="P718" t="str">
        <f t="array" ref="P718">IFERROR(INDEX('Day Range Raw Data'!X:X,Match($A718,'Day Range Raw Data'!$B:$B,0)),"")</f>
        <v/>
      </c>
      <c r="Q718" t="str">
        <f t="shared" si="1"/>
        <v/>
      </c>
      <c r="R718" s="9" t="str">
        <f t="shared" si="2"/>
        <v/>
      </c>
      <c r="S718" s="14" t="str">
        <f t="shared" si="3"/>
        <v/>
      </c>
      <c r="T718" s="15" t="str">
        <f>IFERROR(__xludf.DUMMYFUNCTION("IF($A718="""","""",IFERROR(PERCENTRANK.INC(FILTER(Q:Q,$F:$F&lt;&gt;""""),Q718)*100,""""))"),"")</f>
        <v/>
      </c>
      <c r="U718" s="15" t="str">
        <f>IFERROR(__xludf.DUMMYFUNCTION("IF($A718="""","""",IFERROR(PERCENTRANK.INC(FILTER(R:R,$F:$F&lt;&gt;""""),R718)*100,""""))"),"")</f>
        <v/>
      </c>
      <c r="V718" s="15" t="str">
        <f>IFERROR(__xludf.DUMMYFUNCTION("IF($A718="""","""",IFERROR(PERCENTRANK.INC(FILTER(S:S,$F:$F&lt;&gt;""""),S718)*100,""""))"),"")</f>
        <v/>
      </c>
      <c r="W718" s="15" t="str">
        <f t="shared" si="5"/>
        <v/>
      </c>
    </row>
    <row r="719">
      <c r="B719" t="str">
        <f t="array" ref="B719">IFERROR(INDEX('Player Raw Data'!C:C,Match($A719,'Player Raw Data'!$B:$B,0)),"")</f>
        <v/>
      </c>
      <c r="C719" t="str">
        <f t="array" ref="C719">IFERROR(INDEX('Player Raw Data'!D:D,Match($A719,'Player Raw Data'!$B:$B,0)),"")</f>
        <v/>
      </c>
      <c r="D719" t="str">
        <f t="array" ref="D719">IFERROR(IF(A719=A718, INDEX('Player Raw Data'!E:E,Match($A719,'Player Raw Data'!$B:$B,0)+2),INDEX('Player Raw Data'!E:E,Match($A719,'Player Raw Data'!$B:$B,0))),"")</f>
        <v/>
      </c>
      <c r="E719" t="str">
        <f t="array" ref="E719">IFERROR(INDEX('Day Range Raw Data'!D:D,Match($A719,'Day Range Raw Data'!$B:$B,0)),"")</f>
        <v/>
      </c>
      <c r="F719" t="str">
        <f t="array" ref="F719">IFERROR(INDEX('Day Range Raw Data'!F:F,Match($A719,'Day Range Raw Data'!$B:$B,0)),"")</f>
        <v/>
      </c>
      <c r="G719" t="str">
        <f t="array" ref="G719">IFERROR(INDEX('Day Range Raw Data'!G:G,Match($A719,'Day Range Raw Data'!$B:$B,0)),"")</f>
        <v/>
      </c>
      <c r="H719" t="str">
        <f t="array" ref="H719">IFERROR(INDEX('Day Range Raw Data'!H:H,Match($A719,'Day Range Raw Data'!$B:$B,0)),"")</f>
        <v/>
      </c>
      <c r="I719" t="str">
        <f t="array" ref="I719">IFERROR(INDEX('Day Range Raw Data'!M:M,Match($A719,'Day Range Raw Data'!$B:$B,0)),"")</f>
        <v/>
      </c>
      <c r="J719" t="str">
        <f t="array" ref="J719">IFERROR(INDEX('Day Range Raw Data'!N:N,Match($A719,'Day Range Raw Data'!$B:$B,0)),"")</f>
        <v/>
      </c>
      <c r="K719" t="str">
        <f t="array" ref="K719">IFERROR(INDEX('Day Range Raw Data'!R:R,Match($A719,'Day Range Raw Data'!$B:$B,0)),"")</f>
        <v/>
      </c>
      <c r="L719" t="str">
        <f t="array" ref="L719">IFERROR(INDEX('Day Range Raw Data'!S:S,Match($A719,'Day Range Raw Data'!$B:$B,0)),"")</f>
        <v/>
      </c>
      <c r="M719" t="str">
        <f t="array" ref="M719">IFERROR(INDEX('Day Range Raw Data'!T:T,Match($A719,'Day Range Raw Data'!$B:$B,0)),"")</f>
        <v/>
      </c>
      <c r="N719" t="str">
        <f t="array" ref="N719">IFERROR(INDEX('Day Range Raw Data'!U:U,Match($A719,'Day Range Raw Data'!$B:$B,0)),"")</f>
        <v/>
      </c>
      <c r="O719" t="str">
        <f t="array" ref="O719">IFERROR(INDEX('Day Range Raw Data'!V:V,Match($A719,'Day Range Raw Data'!$B:$B,0)),"")</f>
        <v/>
      </c>
      <c r="P719" t="str">
        <f t="array" ref="P719">IFERROR(INDEX('Day Range Raw Data'!X:X,Match($A719,'Day Range Raw Data'!$B:$B,0)),"")</f>
        <v/>
      </c>
      <c r="Q719" t="str">
        <f t="shared" si="1"/>
        <v/>
      </c>
      <c r="R719" s="9" t="str">
        <f t="shared" si="2"/>
        <v/>
      </c>
      <c r="S719" s="14" t="str">
        <f t="shared" si="3"/>
        <v/>
      </c>
      <c r="T719" s="15" t="str">
        <f>IFERROR(__xludf.DUMMYFUNCTION("IF($A719="""","""",IFERROR(PERCENTRANK.INC(FILTER(Q:Q,$F:$F&lt;&gt;""""),Q719)*100,""""))"),"")</f>
        <v/>
      </c>
      <c r="U719" s="15" t="str">
        <f>IFERROR(__xludf.DUMMYFUNCTION("IF($A719="""","""",IFERROR(PERCENTRANK.INC(FILTER(R:R,$F:$F&lt;&gt;""""),R719)*100,""""))"),"")</f>
        <v/>
      </c>
      <c r="V719" s="15" t="str">
        <f>IFERROR(__xludf.DUMMYFUNCTION("IF($A719="""","""",IFERROR(PERCENTRANK.INC(FILTER(S:S,$F:$F&lt;&gt;""""),S719)*100,""""))"),"")</f>
        <v/>
      </c>
      <c r="W719" s="15" t="str">
        <f t="shared" si="5"/>
        <v/>
      </c>
    </row>
    <row r="720">
      <c r="B720" t="str">
        <f t="array" ref="B720">IFERROR(INDEX('Player Raw Data'!C:C,Match($A720,'Player Raw Data'!$B:$B,0)),"")</f>
        <v/>
      </c>
      <c r="C720" t="str">
        <f t="array" ref="C720">IFERROR(INDEX('Player Raw Data'!D:D,Match($A720,'Player Raw Data'!$B:$B,0)),"")</f>
        <v/>
      </c>
      <c r="D720" t="str">
        <f t="array" ref="D720">IFERROR(IF(A720=A719, INDEX('Player Raw Data'!E:E,Match($A720,'Player Raw Data'!$B:$B,0)+2),INDEX('Player Raw Data'!E:E,Match($A720,'Player Raw Data'!$B:$B,0))),"")</f>
        <v/>
      </c>
      <c r="E720" t="str">
        <f t="array" ref="E720">IFERROR(INDEX('Day Range Raw Data'!D:D,Match($A720,'Day Range Raw Data'!$B:$B,0)),"")</f>
        <v/>
      </c>
      <c r="F720" t="str">
        <f t="array" ref="F720">IFERROR(INDEX('Day Range Raw Data'!F:F,Match($A720,'Day Range Raw Data'!$B:$B,0)),"")</f>
        <v/>
      </c>
      <c r="G720" t="str">
        <f t="array" ref="G720">IFERROR(INDEX('Day Range Raw Data'!G:G,Match($A720,'Day Range Raw Data'!$B:$B,0)),"")</f>
        <v/>
      </c>
      <c r="H720" t="str">
        <f t="array" ref="H720">IFERROR(INDEX('Day Range Raw Data'!H:H,Match($A720,'Day Range Raw Data'!$B:$B,0)),"")</f>
        <v/>
      </c>
      <c r="I720" t="str">
        <f t="array" ref="I720">IFERROR(INDEX('Day Range Raw Data'!M:M,Match($A720,'Day Range Raw Data'!$B:$B,0)),"")</f>
        <v/>
      </c>
      <c r="J720" t="str">
        <f t="array" ref="J720">IFERROR(INDEX('Day Range Raw Data'!N:N,Match($A720,'Day Range Raw Data'!$B:$B,0)),"")</f>
        <v/>
      </c>
      <c r="K720" t="str">
        <f t="array" ref="K720">IFERROR(INDEX('Day Range Raw Data'!R:R,Match($A720,'Day Range Raw Data'!$B:$B,0)),"")</f>
        <v/>
      </c>
      <c r="L720" t="str">
        <f t="array" ref="L720">IFERROR(INDEX('Day Range Raw Data'!S:S,Match($A720,'Day Range Raw Data'!$B:$B,0)),"")</f>
        <v/>
      </c>
      <c r="M720" t="str">
        <f t="array" ref="M720">IFERROR(INDEX('Day Range Raw Data'!T:T,Match($A720,'Day Range Raw Data'!$B:$B,0)),"")</f>
        <v/>
      </c>
      <c r="N720" t="str">
        <f t="array" ref="N720">IFERROR(INDEX('Day Range Raw Data'!U:U,Match($A720,'Day Range Raw Data'!$B:$B,0)),"")</f>
        <v/>
      </c>
      <c r="O720" t="str">
        <f t="array" ref="O720">IFERROR(INDEX('Day Range Raw Data'!V:V,Match($A720,'Day Range Raw Data'!$B:$B,0)),"")</f>
        <v/>
      </c>
      <c r="P720" t="str">
        <f t="array" ref="P720">IFERROR(INDEX('Day Range Raw Data'!X:X,Match($A720,'Day Range Raw Data'!$B:$B,0)),"")</f>
        <v/>
      </c>
      <c r="Q720" t="str">
        <f t="shared" si="1"/>
        <v/>
      </c>
      <c r="R720" s="9" t="str">
        <f t="shared" si="2"/>
        <v/>
      </c>
      <c r="S720" s="14" t="str">
        <f t="shared" si="3"/>
        <v/>
      </c>
      <c r="T720" s="15" t="str">
        <f>IFERROR(__xludf.DUMMYFUNCTION("IF($A720="""","""",IFERROR(PERCENTRANK.INC(FILTER(Q:Q,$F:$F&lt;&gt;""""),Q720)*100,""""))"),"")</f>
        <v/>
      </c>
      <c r="U720" s="15" t="str">
        <f>IFERROR(__xludf.DUMMYFUNCTION("IF($A720="""","""",IFERROR(PERCENTRANK.INC(FILTER(R:R,$F:$F&lt;&gt;""""),R720)*100,""""))"),"")</f>
        <v/>
      </c>
      <c r="V720" s="15" t="str">
        <f>IFERROR(__xludf.DUMMYFUNCTION("IF($A720="""","""",IFERROR(PERCENTRANK.INC(FILTER(S:S,$F:$F&lt;&gt;""""),S720)*100,""""))"),"")</f>
        <v/>
      </c>
      <c r="W720" s="15" t="str">
        <f t="shared" si="5"/>
        <v/>
      </c>
    </row>
    <row r="721">
      <c r="B721" t="str">
        <f t="array" ref="B721">IFERROR(INDEX('Player Raw Data'!C:C,Match($A721,'Player Raw Data'!$B:$B,0)),"")</f>
        <v/>
      </c>
      <c r="C721" t="str">
        <f t="array" ref="C721">IFERROR(INDEX('Player Raw Data'!D:D,Match($A721,'Player Raw Data'!$B:$B,0)),"")</f>
        <v/>
      </c>
      <c r="D721" t="str">
        <f t="array" ref="D721">IFERROR(IF(A721=A720, INDEX('Player Raw Data'!E:E,Match($A721,'Player Raw Data'!$B:$B,0)+2),INDEX('Player Raw Data'!E:E,Match($A721,'Player Raw Data'!$B:$B,0))),"")</f>
        <v/>
      </c>
      <c r="E721" t="str">
        <f t="array" ref="E721">IFERROR(INDEX('Day Range Raw Data'!D:D,Match($A721,'Day Range Raw Data'!$B:$B,0)),"")</f>
        <v/>
      </c>
      <c r="F721" t="str">
        <f t="array" ref="F721">IFERROR(INDEX('Day Range Raw Data'!F:F,Match($A721,'Day Range Raw Data'!$B:$B,0)),"")</f>
        <v/>
      </c>
      <c r="G721" t="str">
        <f t="array" ref="G721">IFERROR(INDEX('Day Range Raw Data'!G:G,Match($A721,'Day Range Raw Data'!$B:$B,0)),"")</f>
        <v/>
      </c>
      <c r="H721" t="str">
        <f t="array" ref="H721">IFERROR(INDEX('Day Range Raw Data'!H:H,Match($A721,'Day Range Raw Data'!$B:$B,0)),"")</f>
        <v/>
      </c>
      <c r="I721" t="str">
        <f t="array" ref="I721">IFERROR(INDEX('Day Range Raw Data'!M:M,Match($A721,'Day Range Raw Data'!$B:$B,0)),"")</f>
        <v/>
      </c>
      <c r="J721" t="str">
        <f t="array" ref="J721">IFERROR(INDEX('Day Range Raw Data'!N:N,Match($A721,'Day Range Raw Data'!$B:$B,0)),"")</f>
        <v/>
      </c>
      <c r="K721" t="str">
        <f t="array" ref="K721">IFERROR(INDEX('Day Range Raw Data'!R:R,Match($A721,'Day Range Raw Data'!$B:$B,0)),"")</f>
        <v/>
      </c>
      <c r="L721" t="str">
        <f t="array" ref="L721">IFERROR(INDEX('Day Range Raw Data'!S:S,Match($A721,'Day Range Raw Data'!$B:$B,0)),"")</f>
        <v/>
      </c>
      <c r="M721" t="str">
        <f t="array" ref="M721">IFERROR(INDEX('Day Range Raw Data'!T:T,Match($A721,'Day Range Raw Data'!$B:$B,0)),"")</f>
        <v/>
      </c>
      <c r="N721" t="str">
        <f t="array" ref="N721">IFERROR(INDEX('Day Range Raw Data'!U:U,Match($A721,'Day Range Raw Data'!$B:$B,0)),"")</f>
        <v/>
      </c>
      <c r="O721" t="str">
        <f t="array" ref="O721">IFERROR(INDEX('Day Range Raw Data'!V:V,Match($A721,'Day Range Raw Data'!$B:$B,0)),"")</f>
        <v/>
      </c>
      <c r="P721" t="str">
        <f t="array" ref="P721">IFERROR(INDEX('Day Range Raw Data'!X:X,Match($A721,'Day Range Raw Data'!$B:$B,0)),"")</f>
        <v/>
      </c>
      <c r="Q721" t="str">
        <f t="shared" si="1"/>
        <v/>
      </c>
      <c r="R721" s="9" t="str">
        <f t="shared" si="2"/>
        <v/>
      </c>
      <c r="S721" s="14" t="str">
        <f t="shared" si="3"/>
        <v/>
      </c>
      <c r="T721" s="15" t="str">
        <f>IFERROR(__xludf.DUMMYFUNCTION("IF($A721="""","""",IFERROR(PERCENTRANK.INC(FILTER(Q:Q,$F:$F&lt;&gt;""""),Q721)*100,""""))"),"")</f>
        <v/>
      </c>
      <c r="U721" s="15" t="str">
        <f>IFERROR(__xludf.DUMMYFUNCTION("IF($A721="""","""",IFERROR(PERCENTRANK.INC(FILTER(R:R,$F:$F&lt;&gt;""""),R721)*100,""""))"),"")</f>
        <v/>
      </c>
      <c r="V721" s="15" t="str">
        <f>IFERROR(__xludf.DUMMYFUNCTION("IF($A721="""","""",IFERROR(PERCENTRANK.INC(FILTER(S:S,$F:$F&lt;&gt;""""),S721)*100,""""))"),"")</f>
        <v/>
      </c>
      <c r="W721" s="15" t="str">
        <f t="shared" si="5"/>
        <v/>
      </c>
    </row>
    <row r="722">
      <c r="B722" t="str">
        <f t="array" ref="B722">IFERROR(INDEX('Player Raw Data'!C:C,Match($A722,'Player Raw Data'!$B:$B,0)),"")</f>
        <v/>
      </c>
      <c r="C722" t="str">
        <f t="array" ref="C722">IFERROR(INDEX('Player Raw Data'!D:D,Match($A722,'Player Raw Data'!$B:$B,0)),"")</f>
        <v/>
      </c>
      <c r="D722" t="str">
        <f t="array" ref="D722">IFERROR(IF(A722=A721, INDEX('Player Raw Data'!E:E,Match($A722,'Player Raw Data'!$B:$B,0)+2),INDEX('Player Raw Data'!E:E,Match($A722,'Player Raw Data'!$B:$B,0))),"")</f>
        <v/>
      </c>
      <c r="E722" t="str">
        <f t="array" ref="E722">IFERROR(INDEX('Day Range Raw Data'!D:D,Match($A722,'Day Range Raw Data'!$B:$B,0)),"")</f>
        <v/>
      </c>
      <c r="F722" t="str">
        <f t="array" ref="F722">IFERROR(INDEX('Day Range Raw Data'!F:F,Match($A722,'Day Range Raw Data'!$B:$B,0)),"")</f>
        <v/>
      </c>
      <c r="G722" t="str">
        <f t="array" ref="G722">IFERROR(INDEX('Day Range Raw Data'!G:G,Match($A722,'Day Range Raw Data'!$B:$B,0)),"")</f>
        <v/>
      </c>
      <c r="H722" t="str">
        <f t="array" ref="H722">IFERROR(INDEX('Day Range Raw Data'!H:H,Match($A722,'Day Range Raw Data'!$B:$B,0)),"")</f>
        <v/>
      </c>
      <c r="I722" t="str">
        <f t="array" ref="I722">IFERROR(INDEX('Day Range Raw Data'!M:M,Match($A722,'Day Range Raw Data'!$B:$B,0)),"")</f>
        <v/>
      </c>
      <c r="J722" t="str">
        <f t="array" ref="J722">IFERROR(INDEX('Day Range Raw Data'!N:N,Match($A722,'Day Range Raw Data'!$B:$B,0)),"")</f>
        <v/>
      </c>
      <c r="K722" t="str">
        <f t="array" ref="K722">IFERROR(INDEX('Day Range Raw Data'!R:R,Match($A722,'Day Range Raw Data'!$B:$B,0)),"")</f>
        <v/>
      </c>
      <c r="L722" t="str">
        <f t="array" ref="L722">IFERROR(INDEX('Day Range Raw Data'!S:S,Match($A722,'Day Range Raw Data'!$B:$B,0)),"")</f>
        <v/>
      </c>
      <c r="M722" t="str">
        <f t="array" ref="M722">IFERROR(INDEX('Day Range Raw Data'!T:T,Match($A722,'Day Range Raw Data'!$B:$B,0)),"")</f>
        <v/>
      </c>
      <c r="N722" t="str">
        <f t="array" ref="N722">IFERROR(INDEX('Day Range Raw Data'!U:U,Match($A722,'Day Range Raw Data'!$B:$B,0)),"")</f>
        <v/>
      </c>
      <c r="O722" t="str">
        <f t="array" ref="O722">IFERROR(INDEX('Day Range Raw Data'!V:V,Match($A722,'Day Range Raw Data'!$B:$B,0)),"")</f>
        <v/>
      </c>
      <c r="P722" t="str">
        <f t="array" ref="P722">IFERROR(INDEX('Day Range Raw Data'!X:X,Match($A722,'Day Range Raw Data'!$B:$B,0)),"")</f>
        <v/>
      </c>
      <c r="Q722" t="str">
        <f t="shared" si="1"/>
        <v/>
      </c>
      <c r="R722" s="9" t="str">
        <f t="shared" si="2"/>
        <v/>
      </c>
      <c r="S722" s="14" t="str">
        <f t="shared" si="3"/>
        <v/>
      </c>
      <c r="T722" s="15" t="str">
        <f>IFERROR(__xludf.DUMMYFUNCTION("IF($A722="""","""",IFERROR(PERCENTRANK.INC(FILTER(Q:Q,$F:$F&lt;&gt;""""),Q722)*100,""""))"),"")</f>
        <v/>
      </c>
      <c r="U722" s="15" t="str">
        <f>IFERROR(__xludf.DUMMYFUNCTION("IF($A722="""","""",IFERROR(PERCENTRANK.INC(FILTER(R:R,$F:$F&lt;&gt;""""),R722)*100,""""))"),"")</f>
        <v/>
      </c>
      <c r="V722" s="15" t="str">
        <f>IFERROR(__xludf.DUMMYFUNCTION("IF($A722="""","""",IFERROR(PERCENTRANK.INC(FILTER(S:S,$F:$F&lt;&gt;""""),S722)*100,""""))"),"")</f>
        <v/>
      </c>
      <c r="W722" s="15" t="str">
        <f t="shared" si="5"/>
        <v/>
      </c>
    </row>
    <row r="723">
      <c r="B723" t="str">
        <f t="array" ref="B723">IFERROR(INDEX('Player Raw Data'!C:C,Match($A723,'Player Raw Data'!$B:$B,0)),"")</f>
        <v/>
      </c>
      <c r="C723" t="str">
        <f t="array" ref="C723">IFERROR(INDEX('Player Raw Data'!D:D,Match($A723,'Player Raw Data'!$B:$B,0)),"")</f>
        <v/>
      </c>
      <c r="D723" t="str">
        <f t="array" ref="D723">IFERROR(IF(A723=A722, INDEX('Player Raw Data'!E:E,Match($A723,'Player Raw Data'!$B:$B,0)+2),INDEX('Player Raw Data'!E:E,Match($A723,'Player Raw Data'!$B:$B,0))),"")</f>
        <v/>
      </c>
      <c r="E723" t="str">
        <f t="array" ref="E723">IFERROR(INDEX('Day Range Raw Data'!D:D,Match($A723,'Day Range Raw Data'!$B:$B,0)),"")</f>
        <v/>
      </c>
      <c r="F723" t="str">
        <f t="array" ref="F723">IFERROR(INDEX('Day Range Raw Data'!F:F,Match($A723,'Day Range Raw Data'!$B:$B,0)),"")</f>
        <v/>
      </c>
      <c r="G723" t="str">
        <f t="array" ref="G723">IFERROR(INDEX('Day Range Raw Data'!G:G,Match($A723,'Day Range Raw Data'!$B:$B,0)),"")</f>
        <v/>
      </c>
      <c r="H723" t="str">
        <f t="array" ref="H723">IFERROR(INDEX('Day Range Raw Data'!H:H,Match($A723,'Day Range Raw Data'!$B:$B,0)),"")</f>
        <v/>
      </c>
      <c r="I723" t="str">
        <f t="array" ref="I723">IFERROR(INDEX('Day Range Raw Data'!M:M,Match($A723,'Day Range Raw Data'!$B:$B,0)),"")</f>
        <v/>
      </c>
      <c r="J723" t="str">
        <f t="array" ref="J723">IFERROR(INDEX('Day Range Raw Data'!N:N,Match($A723,'Day Range Raw Data'!$B:$B,0)),"")</f>
        <v/>
      </c>
      <c r="K723" t="str">
        <f t="array" ref="K723">IFERROR(INDEX('Day Range Raw Data'!R:R,Match($A723,'Day Range Raw Data'!$B:$B,0)),"")</f>
        <v/>
      </c>
      <c r="L723" t="str">
        <f t="array" ref="L723">IFERROR(INDEX('Day Range Raw Data'!S:S,Match($A723,'Day Range Raw Data'!$B:$B,0)),"")</f>
        <v/>
      </c>
      <c r="M723" t="str">
        <f t="array" ref="M723">IFERROR(INDEX('Day Range Raw Data'!T:T,Match($A723,'Day Range Raw Data'!$B:$B,0)),"")</f>
        <v/>
      </c>
      <c r="N723" t="str">
        <f t="array" ref="N723">IFERROR(INDEX('Day Range Raw Data'!U:U,Match($A723,'Day Range Raw Data'!$B:$B,0)),"")</f>
        <v/>
      </c>
      <c r="O723" t="str">
        <f t="array" ref="O723">IFERROR(INDEX('Day Range Raw Data'!V:V,Match($A723,'Day Range Raw Data'!$B:$B,0)),"")</f>
        <v/>
      </c>
      <c r="P723" t="str">
        <f t="array" ref="P723">IFERROR(INDEX('Day Range Raw Data'!X:X,Match($A723,'Day Range Raw Data'!$B:$B,0)),"")</f>
        <v/>
      </c>
      <c r="Q723" t="str">
        <f t="shared" si="1"/>
        <v/>
      </c>
      <c r="R723" s="9" t="str">
        <f t="shared" si="2"/>
        <v/>
      </c>
      <c r="S723" s="14" t="str">
        <f t="shared" si="3"/>
        <v/>
      </c>
      <c r="T723" s="15" t="str">
        <f>IFERROR(__xludf.DUMMYFUNCTION("IF($A723="""","""",IFERROR(PERCENTRANK.INC(FILTER(Q:Q,$F:$F&lt;&gt;""""),Q723)*100,""""))"),"")</f>
        <v/>
      </c>
      <c r="U723" s="15" t="str">
        <f>IFERROR(__xludf.DUMMYFUNCTION("IF($A723="""","""",IFERROR(PERCENTRANK.INC(FILTER(R:R,$F:$F&lt;&gt;""""),R723)*100,""""))"),"")</f>
        <v/>
      </c>
      <c r="V723" s="15" t="str">
        <f>IFERROR(__xludf.DUMMYFUNCTION("IF($A723="""","""",IFERROR(PERCENTRANK.INC(FILTER(S:S,$F:$F&lt;&gt;""""),S723)*100,""""))"),"")</f>
        <v/>
      </c>
      <c r="W723" s="15" t="str">
        <f t="shared" si="5"/>
        <v/>
      </c>
    </row>
    <row r="724">
      <c r="B724" t="str">
        <f t="array" ref="B724">IFERROR(INDEX('Player Raw Data'!C:C,Match($A724,'Player Raw Data'!$B:$B,0)),"")</f>
        <v/>
      </c>
      <c r="C724" t="str">
        <f t="array" ref="C724">IFERROR(INDEX('Player Raw Data'!D:D,Match($A724,'Player Raw Data'!$B:$B,0)),"")</f>
        <v/>
      </c>
      <c r="D724" t="str">
        <f t="array" ref="D724">IFERROR(IF(A724=A723, INDEX('Player Raw Data'!E:E,Match($A724,'Player Raw Data'!$B:$B,0)+2),INDEX('Player Raw Data'!E:E,Match($A724,'Player Raw Data'!$B:$B,0))),"")</f>
        <v/>
      </c>
      <c r="E724" t="str">
        <f t="array" ref="E724">IFERROR(INDEX('Day Range Raw Data'!D:D,Match($A724,'Day Range Raw Data'!$B:$B,0)),"")</f>
        <v/>
      </c>
      <c r="F724" t="str">
        <f t="array" ref="F724">IFERROR(INDEX('Day Range Raw Data'!F:F,Match($A724,'Day Range Raw Data'!$B:$B,0)),"")</f>
        <v/>
      </c>
      <c r="G724" t="str">
        <f t="array" ref="G724">IFERROR(INDEX('Day Range Raw Data'!G:G,Match($A724,'Day Range Raw Data'!$B:$B,0)),"")</f>
        <v/>
      </c>
      <c r="H724" t="str">
        <f t="array" ref="H724">IFERROR(INDEX('Day Range Raw Data'!H:H,Match($A724,'Day Range Raw Data'!$B:$B,0)),"")</f>
        <v/>
      </c>
      <c r="I724" t="str">
        <f t="array" ref="I724">IFERROR(INDEX('Day Range Raw Data'!M:M,Match($A724,'Day Range Raw Data'!$B:$B,0)),"")</f>
        <v/>
      </c>
      <c r="J724" t="str">
        <f t="array" ref="J724">IFERROR(INDEX('Day Range Raw Data'!N:N,Match($A724,'Day Range Raw Data'!$B:$B,0)),"")</f>
        <v/>
      </c>
      <c r="K724" t="str">
        <f t="array" ref="K724">IFERROR(INDEX('Day Range Raw Data'!R:R,Match($A724,'Day Range Raw Data'!$B:$B,0)),"")</f>
        <v/>
      </c>
      <c r="L724" t="str">
        <f t="array" ref="L724">IFERROR(INDEX('Day Range Raw Data'!S:S,Match($A724,'Day Range Raw Data'!$B:$B,0)),"")</f>
        <v/>
      </c>
      <c r="M724" t="str">
        <f t="array" ref="M724">IFERROR(INDEX('Day Range Raw Data'!T:T,Match($A724,'Day Range Raw Data'!$B:$B,0)),"")</f>
        <v/>
      </c>
      <c r="N724" t="str">
        <f t="array" ref="N724">IFERROR(INDEX('Day Range Raw Data'!U:U,Match($A724,'Day Range Raw Data'!$B:$B,0)),"")</f>
        <v/>
      </c>
      <c r="O724" t="str">
        <f t="array" ref="O724">IFERROR(INDEX('Day Range Raw Data'!V:V,Match($A724,'Day Range Raw Data'!$B:$B,0)),"")</f>
        <v/>
      </c>
      <c r="P724" t="str">
        <f t="array" ref="P724">IFERROR(INDEX('Day Range Raw Data'!X:X,Match($A724,'Day Range Raw Data'!$B:$B,0)),"")</f>
        <v/>
      </c>
      <c r="Q724" t="str">
        <f t="shared" si="1"/>
        <v/>
      </c>
      <c r="R724" s="9" t="str">
        <f t="shared" si="2"/>
        <v/>
      </c>
      <c r="S724" s="14" t="str">
        <f t="shared" si="3"/>
        <v/>
      </c>
      <c r="T724" s="15" t="str">
        <f>IFERROR(__xludf.DUMMYFUNCTION("IF($A724="""","""",IFERROR(PERCENTRANK.INC(FILTER(Q:Q,$F:$F&lt;&gt;""""),Q724)*100,""""))"),"")</f>
        <v/>
      </c>
      <c r="U724" s="15" t="str">
        <f>IFERROR(__xludf.DUMMYFUNCTION("IF($A724="""","""",IFERROR(PERCENTRANK.INC(FILTER(R:R,$F:$F&lt;&gt;""""),R724)*100,""""))"),"")</f>
        <v/>
      </c>
      <c r="V724" s="15" t="str">
        <f>IFERROR(__xludf.DUMMYFUNCTION("IF($A724="""","""",IFERROR(PERCENTRANK.INC(FILTER(S:S,$F:$F&lt;&gt;""""),S724)*100,""""))"),"")</f>
        <v/>
      </c>
      <c r="W724" s="15" t="str">
        <f t="shared" si="5"/>
        <v/>
      </c>
    </row>
    <row r="725">
      <c r="B725" t="str">
        <f t="array" ref="B725">IFERROR(INDEX('Player Raw Data'!C:C,Match($A725,'Player Raw Data'!$B:$B,0)),"")</f>
        <v/>
      </c>
      <c r="C725" t="str">
        <f t="array" ref="C725">IFERROR(INDEX('Player Raw Data'!D:D,Match($A725,'Player Raw Data'!$B:$B,0)),"")</f>
        <v/>
      </c>
      <c r="D725" t="str">
        <f t="array" ref="D725">IFERROR(IF(A725=A724, INDEX('Player Raw Data'!E:E,Match($A725,'Player Raw Data'!$B:$B,0)+2),INDEX('Player Raw Data'!E:E,Match($A725,'Player Raw Data'!$B:$B,0))),"")</f>
        <v/>
      </c>
      <c r="E725" t="str">
        <f t="array" ref="E725">IFERROR(INDEX('Day Range Raw Data'!D:D,Match($A725,'Day Range Raw Data'!$B:$B,0)),"")</f>
        <v/>
      </c>
      <c r="F725" t="str">
        <f t="array" ref="F725">IFERROR(INDEX('Day Range Raw Data'!F:F,Match($A725,'Day Range Raw Data'!$B:$B,0)),"")</f>
        <v/>
      </c>
      <c r="G725" t="str">
        <f t="array" ref="G725">IFERROR(INDEX('Day Range Raw Data'!G:G,Match($A725,'Day Range Raw Data'!$B:$B,0)),"")</f>
        <v/>
      </c>
      <c r="H725" t="str">
        <f t="array" ref="H725">IFERROR(INDEX('Day Range Raw Data'!H:H,Match($A725,'Day Range Raw Data'!$B:$B,0)),"")</f>
        <v/>
      </c>
      <c r="I725" t="str">
        <f t="array" ref="I725">IFERROR(INDEX('Day Range Raw Data'!M:M,Match($A725,'Day Range Raw Data'!$B:$B,0)),"")</f>
        <v/>
      </c>
      <c r="J725" t="str">
        <f t="array" ref="J725">IFERROR(INDEX('Day Range Raw Data'!N:N,Match($A725,'Day Range Raw Data'!$B:$B,0)),"")</f>
        <v/>
      </c>
      <c r="K725" t="str">
        <f t="array" ref="K725">IFERROR(INDEX('Day Range Raw Data'!R:R,Match($A725,'Day Range Raw Data'!$B:$B,0)),"")</f>
        <v/>
      </c>
      <c r="L725" t="str">
        <f t="array" ref="L725">IFERROR(INDEX('Day Range Raw Data'!S:S,Match($A725,'Day Range Raw Data'!$B:$B,0)),"")</f>
        <v/>
      </c>
      <c r="M725" t="str">
        <f t="array" ref="M725">IFERROR(INDEX('Day Range Raw Data'!T:T,Match($A725,'Day Range Raw Data'!$B:$B,0)),"")</f>
        <v/>
      </c>
      <c r="N725" t="str">
        <f t="array" ref="N725">IFERROR(INDEX('Day Range Raw Data'!U:U,Match($A725,'Day Range Raw Data'!$B:$B,0)),"")</f>
        <v/>
      </c>
      <c r="O725" t="str">
        <f t="array" ref="O725">IFERROR(INDEX('Day Range Raw Data'!V:V,Match($A725,'Day Range Raw Data'!$B:$B,0)),"")</f>
        <v/>
      </c>
      <c r="P725" t="str">
        <f t="array" ref="P725">IFERROR(INDEX('Day Range Raw Data'!X:X,Match($A725,'Day Range Raw Data'!$B:$B,0)),"")</f>
        <v/>
      </c>
      <c r="Q725" t="str">
        <f t="shared" si="1"/>
        <v/>
      </c>
      <c r="R725" s="9" t="str">
        <f t="shared" si="2"/>
        <v/>
      </c>
      <c r="S725" s="14" t="str">
        <f t="shared" si="3"/>
        <v/>
      </c>
      <c r="T725" s="15" t="str">
        <f>IFERROR(__xludf.DUMMYFUNCTION("IF($A725="""","""",IFERROR(PERCENTRANK.INC(FILTER(Q:Q,$F:$F&lt;&gt;""""),Q725)*100,""""))"),"")</f>
        <v/>
      </c>
      <c r="U725" s="15" t="str">
        <f>IFERROR(__xludf.DUMMYFUNCTION("IF($A725="""","""",IFERROR(PERCENTRANK.INC(FILTER(R:R,$F:$F&lt;&gt;""""),R725)*100,""""))"),"")</f>
        <v/>
      </c>
      <c r="V725" s="15" t="str">
        <f>IFERROR(__xludf.DUMMYFUNCTION("IF($A725="""","""",IFERROR(PERCENTRANK.INC(FILTER(S:S,$F:$F&lt;&gt;""""),S725)*100,""""))"),"")</f>
        <v/>
      </c>
      <c r="W725" s="15" t="str">
        <f t="shared" si="5"/>
        <v/>
      </c>
    </row>
    <row r="726">
      <c r="B726" t="str">
        <f t="array" ref="B726">IFERROR(INDEX('Player Raw Data'!C:C,Match($A726,'Player Raw Data'!$B:$B,0)),"")</f>
        <v/>
      </c>
      <c r="C726" t="str">
        <f t="array" ref="C726">IFERROR(INDEX('Player Raw Data'!D:D,Match($A726,'Player Raw Data'!$B:$B,0)),"")</f>
        <v/>
      </c>
      <c r="D726" t="str">
        <f t="array" ref="D726">IFERROR(IF(A726=A725, INDEX('Player Raw Data'!E:E,Match($A726,'Player Raw Data'!$B:$B,0)+2),INDEX('Player Raw Data'!E:E,Match($A726,'Player Raw Data'!$B:$B,0))),"")</f>
        <v/>
      </c>
      <c r="E726" t="str">
        <f t="array" ref="E726">IFERROR(INDEX('Day Range Raw Data'!D:D,Match($A726,'Day Range Raw Data'!$B:$B,0)),"")</f>
        <v/>
      </c>
      <c r="F726" t="str">
        <f t="array" ref="F726">IFERROR(INDEX('Day Range Raw Data'!F:F,Match($A726,'Day Range Raw Data'!$B:$B,0)),"")</f>
        <v/>
      </c>
      <c r="G726" t="str">
        <f t="array" ref="G726">IFERROR(INDEX('Day Range Raw Data'!G:G,Match($A726,'Day Range Raw Data'!$B:$B,0)),"")</f>
        <v/>
      </c>
      <c r="H726" t="str">
        <f t="array" ref="H726">IFERROR(INDEX('Day Range Raw Data'!H:H,Match($A726,'Day Range Raw Data'!$B:$B,0)),"")</f>
        <v/>
      </c>
      <c r="I726" t="str">
        <f t="array" ref="I726">IFERROR(INDEX('Day Range Raw Data'!M:M,Match($A726,'Day Range Raw Data'!$B:$B,0)),"")</f>
        <v/>
      </c>
      <c r="J726" t="str">
        <f t="array" ref="J726">IFERROR(INDEX('Day Range Raw Data'!N:N,Match($A726,'Day Range Raw Data'!$B:$B,0)),"")</f>
        <v/>
      </c>
      <c r="K726" t="str">
        <f t="array" ref="K726">IFERROR(INDEX('Day Range Raw Data'!R:R,Match($A726,'Day Range Raw Data'!$B:$B,0)),"")</f>
        <v/>
      </c>
      <c r="L726" t="str">
        <f t="array" ref="L726">IFERROR(INDEX('Day Range Raw Data'!S:S,Match($A726,'Day Range Raw Data'!$B:$B,0)),"")</f>
        <v/>
      </c>
      <c r="M726" t="str">
        <f t="array" ref="M726">IFERROR(INDEX('Day Range Raw Data'!T:T,Match($A726,'Day Range Raw Data'!$B:$B,0)),"")</f>
        <v/>
      </c>
      <c r="N726" t="str">
        <f t="array" ref="N726">IFERROR(INDEX('Day Range Raw Data'!U:U,Match($A726,'Day Range Raw Data'!$B:$B,0)),"")</f>
        <v/>
      </c>
      <c r="O726" t="str">
        <f t="array" ref="O726">IFERROR(INDEX('Day Range Raw Data'!V:V,Match($A726,'Day Range Raw Data'!$B:$B,0)),"")</f>
        <v/>
      </c>
      <c r="P726" t="str">
        <f t="array" ref="P726">IFERROR(INDEX('Day Range Raw Data'!X:X,Match($A726,'Day Range Raw Data'!$B:$B,0)),"")</f>
        <v/>
      </c>
      <c r="Q726" t="str">
        <f t="shared" si="1"/>
        <v/>
      </c>
      <c r="R726" s="9" t="str">
        <f t="shared" si="2"/>
        <v/>
      </c>
      <c r="S726" s="14" t="str">
        <f t="shared" si="3"/>
        <v/>
      </c>
      <c r="T726" s="15" t="str">
        <f>IFERROR(__xludf.DUMMYFUNCTION("IF($A726="""","""",IFERROR(PERCENTRANK.INC(FILTER(Q:Q,$F:$F&lt;&gt;""""),Q726)*100,""""))"),"")</f>
        <v/>
      </c>
      <c r="U726" s="15" t="str">
        <f>IFERROR(__xludf.DUMMYFUNCTION("IF($A726="""","""",IFERROR(PERCENTRANK.INC(FILTER(R:R,$F:$F&lt;&gt;""""),R726)*100,""""))"),"")</f>
        <v/>
      </c>
      <c r="V726" s="15" t="str">
        <f>IFERROR(__xludf.DUMMYFUNCTION("IF($A726="""","""",IFERROR(PERCENTRANK.INC(FILTER(S:S,$F:$F&lt;&gt;""""),S726)*100,""""))"),"")</f>
        <v/>
      </c>
      <c r="W726" s="15" t="str">
        <f t="shared" si="5"/>
        <v/>
      </c>
    </row>
    <row r="727">
      <c r="B727" t="str">
        <f t="array" ref="B727">IFERROR(INDEX('Player Raw Data'!C:C,Match($A727,'Player Raw Data'!$B:$B,0)),"")</f>
        <v/>
      </c>
      <c r="C727" t="str">
        <f t="array" ref="C727">IFERROR(INDEX('Player Raw Data'!D:D,Match($A727,'Player Raw Data'!$B:$B,0)),"")</f>
        <v/>
      </c>
      <c r="D727" t="str">
        <f t="array" ref="D727">IFERROR(IF(A727=A726, INDEX('Player Raw Data'!E:E,Match($A727,'Player Raw Data'!$B:$B,0)+2),INDEX('Player Raw Data'!E:E,Match($A727,'Player Raw Data'!$B:$B,0))),"")</f>
        <v/>
      </c>
      <c r="E727" t="str">
        <f t="array" ref="E727">IFERROR(INDEX('Day Range Raw Data'!D:D,Match($A727,'Day Range Raw Data'!$B:$B,0)),"")</f>
        <v/>
      </c>
      <c r="F727" t="str">
        <f t="array" ref="F727">IFERROR(INDEX('Day Range Raw Data'!F:F,Match($A727,'Day Range Raw Data'!$B:$B,0)),"")</f>
        <v/>
      </c>
      <c r="G727" t="str">
        <f t="array" ref="G727">IFERROR(INDEX('Day Range Raw Data'!G:G,Match($A727,'Day Range Raw Data'!$B:$B,0)),"")</f>
        <v/>
      </c>
      <c r="H727" t="str">
        <f t="array" ref="H727">IFERROR(INDEX('Day Range Raw Data'!H:H,Match($A727,'Day Range Raw Data'!$B:$B,0)),"")</f>
        <v/>
      </c>
      <c r="I727" t="str">
        <f t="array" ref="I727">IFERROR(INDEX('Day Range Raw Data'!M:M,Match($A727,'Day Range Raw Data'!$B:$B,0)),"")</f>
        <v/>
      </c>
      <c r="J727" t="str">
        <f t="array" ref="J727">IFERROR(INDEX('Day Range Raw Data'!N:N,Match($A727,'Day Range Raw Data'!$B:$B,0)),"")</f>
        <v/>
      </c>
      <c r="K727" t="str">
        <f t="array" ref="K727">IFERROR(INDEX('Day Range Raw Data'!R:R,Match($A727,'Day Range Raw Data'!$B:$B,0)),"")</f>
        <v/>
      </c>
      <c r="L727" t="str">
        <f t="array" ref="L727">IFERROR(INDEX('Day Range Raw Data'!S:S,Match($A727,'Day Range Raw Data'!$B:$B,0)),"")</f>
        <v/>
      </c>
      <c r="M727" t="str">
        <f t="array" ref="M727">IFERROR(INDEX('Day Range Raw Data'!T:T,Match($A727,'Day Range Raw Data'!$B:$B,0)),"")</f>
        <v/>
      </c>
      <c r="N727" t="str">
        <f t="array" ref="N727">IFERROR(INDEX('Day Range Raw Data'!U:U,Match($A727,'Day Range Raw Data'!$B:$B,0)),"")</f>
        <v/>
      </c>
      <c r="O727" t="str">
        <f t="array" ref="O727">IFERROR(INDEX('Day Range Raw Data'!V:V,Match($A727,'Day Range Raw Data'!$B:$B,0)),"")</f>
        <v/>
      </c>
      <c r="P727" t="str">
        <f t="array" ref="P727">IFERROR(INDEX('Day Range Raw Data'!X:X,Match($A727,'Day Range Raw Data'!$B:$B,0)),"")</f>
        <v/>
      </c>
      <c r="Q727" t="str">
        <f t="shared" si="1"/>
        <v/>
      </c>
      <c r="R727" s="9" t="str">
        <f t="shared" si="2"/>
        <v/>
      </c>
      <c r="S727" s="14" t="str">
        <f t="shared" si="3"/>
        <v/>
      </c>
      <c r="T727" s="15" t="str">
        <f>IFERROR(__xludf.DUMMYFUNCTION("IF($A727="""","""",IFERROR(PERCENTRANK.INC(FILTER(Q:Q,$F:$F&lt;&gt;""""),Q727)*100,""""))"),"")</f>
        <v/>
      </c>
      <c r="U727" s="15" t="str">
        <f>IFERROR(__xludf.DUMMYFUNCTION("IF($A727="""","""",IFERROR(PERCENTRANK.INC(FILTER(R:R,$F:$F&lt;&gt;""""),R727)*100,""""))"),"")</f>
        <v/>
      </c>
      <c r="V727" s="15" t="str">
        <f>IFERROR(__xludf.DUMMYFUNCTION("IF($A727="""","""",IFERROR(PERCENTRANK.INC(FILTER(S:S,$F:$F&lt;&gt;""""),S727)*100,""""))"),"")</f>
        <v/>
      </c>
      <c r="W727" s="15" t="str">
        <f t="shared" si="5"/>
        <v/>
      </c>
    </row>
    <row r="728">
      <c r="B728" t="str">
        <f t="array" ref="B728">IFERROR(INDEX('Player Raw Data'!C:C,Match($A728,'Player Raw Data'!$B:$B,0)),"")</f>
        <v/>
      </c>
      <c r="C728" t="str">
        <f t="array" ref="C728">IFERROR(INDEX('Player Raw Data'!D:D,Match($A728,'Player Raw Data'!$B:$B,0)),"")</f>
        <v/>
      </c>
      <c r="D728" t="str">
        <f t="array" ref="D728">IFERROR(IF(A728=A727, INDEX('Player Raw Data'!E:E,Match($A728,'Player Raw Data'!$B:$B,0)+2),INDEX('Player Raw Data'!E:E,Match($A728,'Player Raw Data'!$B:$B,0))),"")</f>
        <v/>
      </c>
      <c r="E728" t="str">
        <f t="array" ref="E728">IFERROR(INDEX('Day Range Raw Data'!D:D,Match($A728,'Day Range Raw Data'!$B:$B,0)),"")</f>
        <v/>
      </c>
      <c r="F728" t="str">
        <f t="array" ref="F728">IFERROR(INDEX('Day Range Raw Data'!F:F,Match($A728,'Day Range Raw Data'!$B:$B,0)),"")</f>
        <v/>
      </c>
      <c r="G728" t="str">
        <f t="array" ref="G728">IFERROR(INDEX('Day Range Raw Data'!G:G,Match($A728,'Day Range Raw Data'!$B:$B,0)),"")</f>
        <v/>
      </c>
      <c r="H728" t="str">
        <f t="array" ref="H728">IFERROR(INDEX('Day Range Raw Data'!H:H,Match($A728,'Day Range Raw Data'!$B:$B,0)),"")</f>
        <v/>
      </c>
      <c r="I728" t="str">
        <f t="array" ref="I728">IFERROR(INDEX('Day Range Raw Data'!M:M,Match($A728,'Day Range Raw Data'!$B:$B,0)),"")</f>
        <v/>
      </c>
      <c r="J728" t="str">
        <f t="array" ref="J728">IFERROR(INDEX('Day Range Raw Data'!N:N,Match($A728,'Day Range Raw Data'!$B:$B,0)),"")</f>
        <v/>
      </c>
      <c r="K728" t="str">
        <f t="array" ref="K728">IFERROR(INDEX('Day Range Raw Data'!R:R,Match($A728,'Day Range Raw Data'!$B:$B,0)),"")</f>
        <v/>
      </c>
      <c r="L728" t="str">
        <f t="array" ref="L728">IFERROR(INDEX('Day Range Raw Data'!S:S,Match($A728,'Day Range Raw Data'!$B:$B,0)),"")</f>
        <v/>
      </c>
      <c r="M728" t="str">
        <f t="array" ref="M728">IFERROR(INDEX('Day Range Raw Data'!T:T,Match($A728,'Day Range Raw Data'!$B:$B,0)),"")</f>
        <v/>
      </c>
      <c r="N728" t="str">
        <f t="array" ref="N728">IFERROR(INDEX('Day Range Raw Data'!U:U,Match($A728,'Day Range Raw Data'!$B:$B,0)),"")</f>
        <v/>
      </c>
      <c r="O728" t="str">
        <f t="array" ref="O728">IFERROR(INDEX('Day Range Raw Data'!V:V,Match($A728,'Day Range Raw Data'!$B:$B,0)),"")</f>
        <v/>
      </c>
      <c r="P728" t="str">
        <f t="array" ref="P728">IFERROR(INDEX('Day Range Raw Data'!X:X,Match($A728,'Day Range Raw Data'!$B:$B,0)),"")</f>
        <v/>
      </c>
      <c r="Q728" t="str">
        <f t="shared" si="1"/>
        <v/>
      </c>
      <c r="R728" s="9" t="str">
        <f t="shared" si="2"/>
        <v/>
      </c>
      <c r="S728" s="14" t="str">
        <f t="shared" si="3"/>
        <v/>
      </c>
      <c r="T728" s="15" t="str">
        <f>IFERROR(__xludf.DUMMYFUNCTION("IF($A728="""","""",IFERROR(PERCENTRANK.INC(FILTER(Q:Q,$F:$F&lt;&gt;""""),Q728)*100,""""))"),"")</f>
        <v/>
      </c>
      <c r="U728" s="15" t="str">
        <f>IFERROR(__xludf.DUMMYFUNCTION("IF($A728="""","""",IFERROR(PERCENTRANK.INC(FILTER(R:R,$F:$F&lt;&gt;""""),R728)*100,""""))"),"")</f>
        <v/>
      </c>
      <c r="V728" s="15" t="str">
        <f>IFERROR(__xludf.DUMMYFUNCTION("IF($A728="""","""",IFERROR(PERCENTRANK.INC(FILTER(S:S,$F:$F&lt;&gt;""""),S728)*100,""""))"),"")</f>
        <v/>
      </c>
      <c r="W728" s="15" t="str">
        <f t="shared" si="5"/>
        <v/>
      </c>
    </row>
    <row r="729">
      <c r="B729" t="str">
        <f t="array" ref="B729">IFERROR(INDEX('Player Raw Data'!C:C,Match($A729,'Player Raw Data'!$B:$B,0)),"")</f>
        <v/>
      </c>
      <c r="C729" t="str">
        <f t="array" ref="C729">IFERROR(INDEX('Player Raw Data'!D:D,Match($A729,'Player Raw Data'!$B:$B,0)),"")</f>
        <v/>
      </c>
      <c r="D729" t="str">
        <f t="array" ref="D729">IFERROR(IF(A729=A728, INDEX('Player Raw Data'!E:E,Match($A729,'Player Raw Data'!$B:$B,0)+2),INDEX('Player Raw Data'!E:E,Match($A729,'Player Raw Data'!$B:$B,0))),"")</f>
        <v/>
      </c>
      <c r="E729" t="str">
        <f t="array" ref="E729">IFERROR(INDEX('Day Range Raw Data'!D:D,Match($A729,'Day Range Raw Data'!$B:$B,0)),"")</f>
        <v/>
      </c>
      <c r="F729" t="str">
        <f t="array" ref="F729">IFERROR(INDEX('Day Range Raw Data'!F:F,Match($A729,'Day Range Raw Data'!$B:$B,0)),"")</f>
        <v/>
      </c>
      <c r="G729" t="str">
        <f t="array" ref="G729">IFERROR(INDEX('Day Range Raw Data'!G:G,Match($A729,'Day Range Raw Data'!$B:$B,0)),"")</f>
        <v/>
      </c>
      <c r="H729" t="str">
        <f t="array" ref="H729">IFERROR(INDEX('Day Range Raw Data'!H:H,Match($A729,'Day Range Raw Data'!$B:$B,0)),"")</f>
        <v/>
      </c>
      <c r="I729" t="str">
        <f t="array" ref="I729">IFERROR(INDEX('Day Range Raw Data'!M:M,Match($A729,'Day Range Raw Data'!$B:$B,0)),"")</f>
        <v/>
      </c>
      <c r="J729" t="str">
        <f t="array" ref="J729">IFERROR(INDEX('Day Range Raw Data'!N:N,Match($A729,'Day Range Raw Data'!$B:$B,0)),"")</f>
        <v/>
      </c>
      <c r="K729" t="str">
        <f t="array" ref="K729">IFERROR(INDEX('Day Range Raw Data'!R:R,Match($A729,'Day Range Raw Data'!$B:$B,0)),"")</f>
        <v/>
      </c>
      <c r="L729" t="str">
        <f t="array" ref="L729">IFERROR(INDEX('Day Range Raw Data'!S:S,Match($A729,'Day Range Raw Data'!$B:$B,0)),"")</f>
        <v/>
      </c>
      <c r="M729" t="str">
        <f t="array" ref="M729">IFERROR(INDEX('Day Range Raw Data'!T:T,Match($A729,'Day Range Raw Data'!$B:$B,0)),"")</f>
        <v/>
      </c>
      <c r="N729" t="str">
        <f t="array" ref="N729">IFERROR(INDEX('Day Range Raw Data'!U:U,Match($A729,'Day Range Raw Data'!$B:$B,0)),"")</f>
        <v/>
      </c>
      <c r="O729" t="str">
        <f t="array" ref="O729">IFERROR(INDEX('Day Range Raw Data'!V:V,Match($A729,'Day Range Raw Data'!$B:$B,0)),"")</f>
        <v/>
      </c>
      <c r="P729" t="str">
        <f t="array" ref="P729">IFERROR(INDEX('Day Range Raw Data'!X:X,Match($A729,'Day Range Raw Data'!$B:$B,0)),"")</f>
        <v/>
      </c>
      <c r="Q729" t="str">
        <f t="shared" si="1"/>
        <v/>
      </c>
      <c r="R729" s="9" t="str">
        <f t="shared" si="2"/>
        <v/>
      </c>
      <c r="S729" s="14" t="str">
        <f t="shared" si="3"/>
        <v/>
      </c>
      <c r="T729" s="15" t="str">
        <f>IFERROR(__xludf.DUMMYFUNCTION("IF($A729="""","""",IFERROR(PERCENTRANK.INC(FILTER(Q:Q,$F:$F&lt;&gt;""""),Q729)*100,""""))"),"")</f>
        <v/>
      </c>
      <c r="U729" s="15" t="str">
        <f>IFERROR(__xludf.DUMMYFUNCTION("IF($A729="""","""",IFERROR(PERCENTRANK.INC(FILTER(R:R,$F:$F&lt;&gt;""""),R729)*100,""""))"),"")</f>
        <v/>
      </c>
      <c r="V729" s="15" t="str">
        <f>IFERROR(__xludf.DUMMYFUNCTION("IF($A729="""","""",IFERROR(PERCENTRANK.INC(FILTER(S:S,$F:$F&lt;&gt;""""),S729)*100,""""))"),"")</f>
        <v/>
      </c>
      <c r="W729" s="15" t="str">
        <f t="shared" si="5"/>
        <v/>
      </c>
    </row>
    <row r="730">
      <c r="B730" t="str">
        <f t="array" ref="B730">IFERROR(INDEX('Player Raw Data'!C:C,Match($A730,'Player Raw Data'!$B:$B,0)),"")</f>
        <v/>
      </c>
      <c r="C730" t="str">
        <f t="array" ref="C730">IFERROR(INDEX('Player Raw Data'!D:D,Match($A730,'Player Raw Data'!$B:$B,0)),"")</f>
        <v/>
      </c>
      <c r="D730" t="str">
        <f t="array" ref="D730">IFERROR(IF(A730=A729, INDEX('Player Raw Data'!E:E,Match($A730,'Player Raw Data'!$B:$B,0)+2),INDEX('Player Raw Data'!E:E,Match($A730,'Player Raw Data'!$B:$B,0))),"")</f>
        <v/>
      </c>
      <c r="E730" t="str">
        <f t="array" ref="E730">IFERROR(INDEX('Day Range Raw Data'!D:D,Match($A730,'Day Range Raw Data'!$B:$B,0)),"")</f>
        <v/>
      </c>
      <c r="F730" t="str">
        <f t="array" ref="F730">IFERROR(INDEX('Day Range Raw Data'!F:F,Match($A730,'Day Range Raw Data'!$B:$B,0)),"")</f>
        <v/>
      </c>
      <c r="G730" t="str">
        <f t="array" ref="G730">IFERROR(INDEX('Day Range Raw Data'!G:G,Match($A730,'Day Range Raw Data'!$B:$B,0)),"")</f>
        <v/>
      </c>
      <c r="H730" t="str">
        <f t="array" ref="H730">IFERROR(INDEX('Day Range Raw Data'!H:H,Match($A730,'Day Range Raw Data'!$B:$B,0)),"")</f>
        <v/>
      </c>
      <c r="I730" t="str">
        <f t="array" ref="I730">IFERROR(INDEX('Day Range Raw Data'!M:M,Match($A730,'Day Range Raw Data'!$B:$B,0)),"")</f>
        <v/>
      </c>
      <c r="J730" t="str">
        <f t="array" ref="J730">IFERROR(INDEX('Day Range Raw Data'!N:N,Match($A730,'Day Range Raw Data'!$B:$B,0)),"")</f>
        <v/>
      </c>
      <c r="K730" t="str">
        <f t="array" ref="K730">IFERROR(INDEX('Day Range Raw Data'!R:R,Match($A730,'Day Range Raw Data'!$B:$B,0)),"")</f>
        <v/>
      </c>
      <c r="L730" t="str">
        <f t="array" ref="L730">IFERROR(INDEX('Day Range Raw Data'!S:S,Match($A730,'Day Range Raw Data'!$B:$B,0)),"")</f>
        <v/>
      </c>
      <c r="M730" t="str">
        <f t="array" ref="M730">IFERROR(INDEX('Day Range Raw Data'!T:T,Match($A730,'Day Range Raw Data'!$B:$B,0)),"")</f>
        <v/>
      </c>
      <c r="N730" t="str">
        <f t="array" ref="N730">IFERROR(INDEX('Day Range Raw Data'!U:U,Match($A730,'Day Range Raw Data'!$B:$B,0)),"")</f>
        <v/>
      </c>
      <c r="O730" t="str">
        <f t="array" ref="O730">IFERROR(INDEX('Day Range Raw Data'!V:V,Match($A730,'Day Range Raw Data'!$B:$B,0)),"")</f>
        <v/>
      </c>
      <c r="P730" t="str">
        <f t="array" ref="P730">IFERROR(INDEX('Day Range Raw Data'!X:X,Match($A730,'Day Range Raw Data'!$B:$B,0)),"")</f>
        <v/>
      </c>
      <c r="Q730" t="str">
        <f t="shared" si="1"/>
        <v/>
      </c>
      <c r="R730" s="9" t="str">
        <f t="shared" si="2"/>
        <v/>
      </c>
      <c r="S730" s="14" t="str">
        <f t="shared" si="3"/>
        <v/>
      </c>
      <c r="T730" s="15" t="str">
        <f>IFERROR(__xludf.DUMMYFUNCTION("IF($A730="""","""",IFERROR(PERCENTRANK.INC(FILTER(Q:Q,$F:$F&lt;&gt;""""),Q730)*100,""""))"),"")</f>
        <v/>
      </c>
      <c r="U730" s="15" t="str">
        <f>IFERROR(__xludf.DUMMYFUNCTION("IF($A730="""","""",IFERROR(PERCENTRANK.INC(FILTER(R:R,$F:$F&lt;&gt;""""),R730)*100,""""))"),"")</f>
        <v/>
      </c>
      <c r="V730" s="15" t="str">
        <f>IFERROR(__xludf.DUMMYFUNCTION("IF($A730="""","""",IFERROR(PERCENTRANK.INC(FILTER(S:S,$F:$F&lt;&gt;""""),S730)*100,""""))"),"")</f>
        <v/>
      </c>
      <c r="W730" s="15" t="str">
        <f t="shared" si="5"/>
        <v/>
      </c>
    </row>
    <row r="731">
      <c r="B731" t="str">
        <f t="array" ref="B731">IFERROR(INDEX('Player Raw Data'!C:C,Match($A731,'Player Raw Data'!$B:$B,0)),"")</f>
        <v/>
      </c>
      <c r="C731" t="str">
        <f t="array" ref="C731">IFERROR(INDEX('Player Raw Data'!D:D,Match($A731,'Player Raw Data'!$B:$B,0)),"")</f>
        <v/>
      </c>
      <c r="D731" t="str">
        <f t="array" ref="D731">IFERROR(IF(A731=A730, INDEX('Player Raw Data'!E:E,Match($A731,'Player Raw Data'!$B:$B,0)+2),INDEX('Player Raw Data'!E:E,Match($A731,'Player Raw Data'!$B:$B,0))),"")</f>
        <v/>
      </c>
      <c r="E731" t="str">
        <f t="array" ref="E731">IFERROR(INDEX('Day Range Raw Data'!D:D,Match($A731,'Day Range Raw Data'!$B:$B,0)),"")</f>
        <v/>
      </c>
      <c r="F731" t="str">
        <f t="array" ref="F731">IFERROR(INDEX('Day Range Raw Data'!F:F,Match($A731,'Day Range Raw Data'!$B:$B,0)),"")</f>
        <v/>
      </c>
      <c r="G731" t="str">
        <f t="array" ref="G731">IFERROR(INDEX('Day Range Raw Data'!G:G,Match($A731,'Day Range Raw Data'!$B:$B,0)),"")</f>
        <v/>
      </c>
      <c r="H731" t="str">
        <f t="array" ref="H731">IFERROR(INDEX('Day Range Raw Data'!H:H,Match($A731,'Day Range Raw Data'!$B:$B,0)),"")</f>
        <v/>
      </c>
      <c r="I731" t="str">
        <f t="array" ref="I731">IFERROR(INDEX('Day Range Raw Data'!M:M,Match($A731,'Day Range Raw Data'!$B:$B,0)),"")</f>
        <v/>
      </c>
      <c r="J731" t="str">
        <f t="array" ref="J731">IFERROR(INDEX('Day Range Raw Data'!N:N,Match($A731,'Day Range Raw Data'!$B:$B,0)),"")</f>
        <v/>
      </c>
      <c r="K731" t="str">
        <f t="array" ref="K731">IFERROR(INDEX('Day Range Raw Data'!R:R,Match($A731,'Day Range Raw Data'!$B:$B,0)),"")</f>
        <v/>
      </c>
      <c r="L731" t="str">
        <f t="array" ref="L731">IFERROR(INDEX('Day Range Raw Data'!S:S,Match($A731,'Day Range Raw Data'!$B:$B,0)),"")</f>
        <v/>
      </c>
      <c r="M731" t="str">
        <f t="array" ref="M731">IFERROR(INDEX('Day Range Raw Data'!T:T,Match($A731,'Day Range Raw Data'!$B:$B,0)),"")</f>
        <v/>
      </c>
      <c r="N731" t="str">
        <f t="array" ref="N731">IFERROR(INDEX('Day Range Raw Data'!U:U,Match($A731,'Day Range Raw Data'!$B:$B,0)),"")</f>
        <v/>
      </c>
      <c r="O731" t="str">
        <f t="array" ref="O731">IFERROR(INDEX('Day Range Raw Data'!V:V,Match($A731,'Day Range Raw Data'!$B:$B,0)),"")</f>
        <v/>
      </c>
      <c r="P731" t="str">
        <f t="array" ref="P731">IFERROR(INDEX('Day Range Raw Data'!X:X,Match($A731,'Day Range Raw Data'!$B:$B,0)),"")</f>
        <v/>
      </c>
      <c r="Q731" t="str">
        <f t="shared" si="1"/>
        <v/>
      </c>
      <c r="R731" s="9" t="str">
        <f t="shared" si="2"/>
        <v/>
      </c>
      <c r="S731" s="14" t="str">
        <f t="shared" si="3"/>
        <v/>
      </c>
      <c r="T731" s="15" t="str">
        <f>IFERROR(__xludf.DUMMYFUNCTION("IF($A731="""","""",IFERROR(PERCENTRANK.INC(FILTER(Q:Q,$F:$F&lt;&gt;""""),Q731)*100,""""))"),"")</f>
        <v/>
      </c>
      <c r="U731" s="15" t="str">
        <f>IFERROR(__xludf.DUMMYFUNCTION("IF($A731="""","""",IFERROR(PERCENTRANK.INC(FILTER(R:R,$F:$F&lt;&gt;""""),R731)*100,""""))"),"")</f>
        <v/>
      </c>
      <c r="V731" s="15" t="str">
        <f>IFERROR(__xludf.DUMMYFUNCTION("IF($A731="""","""",IFERROR(PERCENTRANK.INC(FILTER(S:S,$F:$F&lt;&gt;""""),S731)*100,""""))"),"")</f>
        <v/>
      </c>
      <c r="W731" s="15" t="str">
        <f t="shared" si="5"/>
        <v/>
      </c>
    </row>
    <row r="732">
      <c r="B732" t="str">
        <f t="array" ref="B732">IFERROR(INDEX('Player Raw Data'!C:C,Match($A732,'Player Raw Data'!$B:$B,0)),"")</f>
        <v/>
      </c>
      <c r="C732" t="str">
        <f t="array" ref="C732">IFERROR(INDEX('Player Raw Data'!D:D,Match($A732,'Player Raw Data'!$B:$B,0)),"")</f>
        <v/>
      </c>
      <c r="D732" t="str">
        <f t="array" ref="D732">IFERROR(IF(A732=A731, INDEX('Player Raw Data'!E:E,Match($A732,'Player Raw Data'!$B:$B,0)+2),INDEX('Player Raw Data'!E:E,Match($A732,'Player Raw Data'!$B:$B,0))),"")</f>
        <v/>
      </c>
      <c r="E732" t="str">
        <f t="array" ref="E732">IFERROR(INDEX('Day Range Raw Data'!D:D,Match($A732,'Day Range Raw Data'!$B:$B,0)),"")</f>
        <v/>
      </c>
      <c r="F732" t="str">
        <f t="array" ref="F732">IFERROR(INDEX('Day Range Raw Data'!F:F,Match($A732,'Day Range Raw Data'!$B:$B,0)),"")</f>
        <v/>
      </c>
      <c r="G732" t="str">
        <f t="array" ref="G732">IFERROR(INDEX('Day Range Raw Data'!G:G,Match($A732,'Day Range Raw Data'!$B:$B,0)),"")</f>
        <v/>
      </c>
      <c r="H732" t="str">
        <f t="array" ref="H732">IFERROR(INDEX('Day Range Raw Data'!H:H,Match($A732,'Day Range Raw Data'!$B:$B,0)),"")</f>
        <v/>
      </c>
      <c r="I732" t="str">
        <f t="array" ref="I732">IFERROR(INDEX('Day Range Raw Data'!M:M,Match($A732,'Day Range Raw Data'!$B:$B,0)),"")</f>
        <v/>
      </c>
      <c r="J732" t="str">
        <f t="array" ref="J732">IFERROR(INDEX('Day Range Raw Data'!N:N,Match($A732,'Day Range Raw Data'!$B:$B,0)),"")</f>
        <v/>
      </c>
      <c r="K732" t="str">
        <f t="array" ref="K732">IFERROR(INDEX('Day Range Raw Data'!R:R,Match($A732,'Day Range Raw Data'!$B:$B,0)),"")</f>
        <v/>
      </c>
      <c r="L732" t="str">
        <f t="array" ref="L732">IFERROR(INDEX('Day Range Raw Data'!S:S,Match($A732,'Day Range Raw Data'!$B:$B,0)),"")</f>
        <v/>
      </c>
      <c r="M732" t="str">
        <f t="array" ref="M732">IFERROR(INDEX('Day Range Raw Data'!T:T,Match($A732,'Day Range Raw Data'!$B:$B,0)),"")</f>
        <v/>
      </c>
      <c r="N732" t="str">
        <f t="array" ref="N732">IFERROR(INDEX('Day Range Raw Data'!U:U,Match($A732,'Day Range Raw Data'!$B:$B,0)),"")</f>
        <v/>
      </c>
      <c r="O732" t="str">
        <f t="array" ref="O732">IFERROR(INDEX('Day Range Raw Data'!V:V,Match($A732,'Day Range Raw Data'!$B:$B,0)),"")</f>
        <v/>
      </c>
      <c r="P732" t="str">
        <f t="array" ref="P732">IFERROR(INDEX('Day Range Raw Data'!X:X,Match($A732,'Day Range Raw Data'!$B:$B,0)),"")</f>
        <v/>
      </c>
      <c r="Q732" t="str">
        <f t="shared" si="1"/>
        <v/>
      </c>
      <c r="R732" s="9" t="str">
        <f t="shared" si="2"/>
        <v/>
      </c>
      <c r="S732" s="14" t="str">
        <f t="shared" si="3"/>
        <v/>
      </c>
      <c r="T732" s="15" t="str">
        <f>IFERROR(__xludf.DUMMYFUNCTION("IF($A732="""","""",IFERROR(PERCENTRANK.INC(FILTER(Q:Q,$F:$F&lt;&gt;""""),Q732)*100,""""))"),"")</f>
        <v/>
      </c>
      <c r="U732" s="15" t="str">
        <f>IFERROR(__xludf.DUMMYFUNCTION("IF($A732="""","""",IFERROR(PERCENTRANK.INC(FILTER(R:R,$F:$F&lt;&gt;""""),R732)*100,""""))"),"")</f>
        <v/>
      </c>
      <c r="V732" s="15" t="str">
        <f>IFERROR(__xludf.DUMMYFUNCTION("IF($A732="""","""",IFERROR(PERCENTRANK.INC(FILTER(S:S,$F:$F&lt;&gt;""""),S732)*100,""""))"),"")</f>
        <v/>
      </c>
      <c r="W732" s="15" t="str">
        <f t="shared" si="5"/>
        <v/>
      </c>
    </row>
    <row r="733">
      <c r="B733" t="str">
        <f t="array" ref="B733">IFERROR(INDEX('Player Raw Data'!C:C,Match($A733,'Player Raw Data'!$B:$B,0)),"")</f>
        <v/>
      </c>
      <c r="C733" t="str">
        <f t="array" ref="C733">IFERROR(INDEX('Player Raw Data'!D:D,Match($A733,'Player Raw Data'!$B:$B,0)),"")</f>
        <v/>
      </c>
      <c r="D733" t="str">
        <f t="array" ref="D733">IFERROR(IF(A733=A732, INDEX('Player Raw Data'!E:E,Match($A733,'Player Raw Data'!$B:$B,0)+2),INDEX('Player Raw Data'!E:E,Match($A733,'Player Raw Data'!$B:$B,0))),"")</f>
        <v/>
      </c>
      <c r="E733" t="str">
        <f t="array" ref="E733">IFERROR(INDEX('Day Range Raw Data'!D:D,Match($A733,'Day Range Raw Data'!$B:$B,0)),"")</f>
        <v/>
      </c>
      <c r="F733" t="str">
        <f t="array" ref="F733">IFERROR(INDEX('Day Range Raw Data'!F:F,Match($A733,'Day Range Raw Data'!$B:$B,0)),"")</f>
        <v/>
      </c>
      <c r="G733" t="str">
        <f t="array" ref="G733">IFERROR(INDEX('Day Range Raw Data'!G:G,Match($A733,'Day Range Raw Data'!$B:$B,0)),"")</f>
        <v/>
      </c>
      <c r="H733" t="str">
        <f t="array" ref="H733">IFERROR(INDEX('Day Range Raw Data'!H:H,Match($A733,'Day Range Raw Data'!$B:$B,0)),"")</f>
        <v/>
      </c>
      <c r="I733" t="str">
        <f t="array" ref="I733">IFERROR(INDEX('Day Range Raw Data'!M:M,Match($A733,'Day Range Raw Data'!$B:$B,0)),"")</f>
        <v/>
      </c>
      <c r="J733" t="str">
        <f t="array" ref="J733">IFERROR(INDEX('Day Range Raw Data'!N:N,Match($A733,'Day Range Raw Data'!$B:$B,0)),"")</f>
        <v/>
      </c>
      <c r="K733" t="str">
        <f t="array" ref="K733">IFERROR(INDEX('Day Range Raw Data'!R:R,Match($A733,'Day Range Raw Data'!$B:$B,0)),"")</f>
        <v/>
      </c>
      <c r="L733" t="str">
        <f t="array" ref="L733">IFERROR(INDEX('Day Range Raw Data'!S:S,Match($A733,'Day Range Raw Data'!$B:$B,0)),"")</f>
        <v/>
      </c>
      <c r="M733" t="str">
        <f t="array" ref="M733">IFERROR(INDEX('Day Range Raw Data'!T:T,Match($A733,'Day Range Raw Data'!$B:$B,0)),"")</f>
        <v/>
      </c>
      <c r="N733" t="str">
        <f t="array" ref="N733">IFERROR(INDEX('Day Range Raw Data'!U:U,Match($A733,'Day Range Raw Data'!$B:$B,0)),"")</f>
        <v/>
      </c>
      <c r="O733" t="str">
        <f t="array" ref="O733">IFERROR(INDEX('Day Range Raw Data'!V:V,Match($A733,'Day Range Raw Data'!$B:$B,0)),"")</f>
        <v/>
      </c>
      <c r="P733" t="str">
        <f t="array" ref="P733">IFERROR(INDEX('Day Range Raw Data'!X:X,Match($A733,'Day Range Raw Data'!$B:$B,0)),"")</f>
        <v/>
      </c>
      <c r="Q733" t="str">
        <f t="shared" si="1"/>
        <v/>
      </c>
      <c r="R733" s="9" t="str">
        <f t="shared" si="2"/>
        <v/>
      </c>
      <c r="S733" s="14" t="str">
        <f t="shared" si="3"/>
        <v/>
      </c>
      <c r="T733" s="15" t="str">
        <f>IFERROR(__xludf.DUMMYFUNCTION("IF($A733="""","""",IFERROR(PERCENTRANK.INC(FILTER(Q:Q,$F:$F&lt;&gt;""""),Q733)*100,""""))"),"")</f>
        <v/>
      </c>
      <c r="U733" s="15" t="str">
        <f>IFERROR(__xludf.DUMMYFUNCTION("IF($A733="""","""",IFERROR(PERCENTRANK.INC(FILTER(R:R,$F:$F&lt;&gt;""""),R733)*100,""""))"),"")</f>
        <v/>
      </c>
      <c r="V733" s="15" t="str">
        <f>IFERROR(__xludf.DUMMYFUNCTION("IF($A733="""","""",IFERROR(PERCENTRANK.INC(FILTER(S:S,$F:$F&lt;&gt;""""),S733)*100,""""))"),"")</f>
        <v/>
      </c>
      <c r="W733" s="15" t="str">
        <f t="shared" si="5"/>
        <v/>
      </c>
    </row>
    <row r="734">
      <c r="B734" t="str">
        <f t="array" ref="B734">IFERROR(INDEX('Player Raw Data'!C:C,Match($A734,'Player Raw Data'!$B:$B,0)),"")</f>
        <v/>
      </c>
      <c r="C734" t="str">
        <f t="array" ref="C734">IFERROR(INDEX('Player Raw Data'!D:D,Match($A734,'Player Raw Data'!$B:$B,0)),"")</f>
        <v/>
      </c>
      <c r="D734" t="str">
        <f t="array" ref="D734">IFERROR(IF(A734=A733, INDEX('Player Raw Data'!E:E,Match($A734,'Player Raw Data'!$B:$B,0)+2),INDEX('Player Raw Data'!E:E,Match($A734,'Player Raw Data'!$B:$B,0))),"")</f>
        <v/>
      </c>
      <c r="E734" t="str">
        <f t="array" ref="E734">IFERROR(INDEX('Day Range Raw Data'!D:D,Match($A734,'Day Range Raw Data'!$B:$B,0)),"")</f>
        <v/>
      </c>
      <c r="F734" t="str">
        <f t="array" ref="F734">IFERROR(INDEX('Day Range Raw Data'!F:F,Match($A734,'Day Range Raw Data'!$B:$B,0)),"")</f>
        <v/>
      </c>
      <c r="G734" t="str">
        <f t="array" ref="G734">IFERROR(INDEX('Day Range Raw Data'!G:G,Match($A734,'Day Range Raw Data'!$B:$B,0)),"")</f>
        <v/>
      </c>
      <c r="H734" t="str">
        <f t="array" ref="H734">IFERROR(INDEX('Day Range Raw Data'!H:H,Match($A734,'Day Range Raw Data'!$B:$B,0)),"")</f>
        <v/>
      </c>
      <c r="I734" t="str">
        <f t="array" ref="I734">IFERROR(INDEX('Day Range Raw Data'!M:M,Match($A734,'Day Range Raw Data'!$B:$B,0)),"")</f>
        <v/>
      </c>
      <c r="J734" t="str">
        <f t="array" ref="J734">IFERROR(INDEX('Day Range Raw Data'!N:N,Match($A734,'Day Range Raw Data'!$B:$B,0)),"")</f>
        <v/>
      </c>
      <c r="K734" t="str">
        <f t="array" ref="K734">IFERROR(INDEX('Day Range Raw Data'!R:R,Match($A734,'Day Range Raw Data'!$B:$B,0)),"")</f>
        <v/>
      </c>
      <c r="L734" t="str">
        <f t="array" ref="L734">IFERROR(INDEX('Day Range Raw Data'!S:S,Match($A734,'Day Range Raw Data'!$B:$B,0)),"")</f>
        <v/>
      </c>
      <c r="M734" t="str">
        <f t="array" ref="M734">IFERROR(INDEX('Day Range Raw Data'!T:T,Match($A734,'Day Range Raw Data'!$B:$B,0)),"")</f>
        <v/>
      </c>
      <c r="N734" t="str">
        <f t="array" ref="N734">IFERROR(INDEX('Day Range Raw Data'!U:U,Match($A734,'Day Range Raw Data'!$B:$B,0)),"")</f>
        <v/>
      </c>
      <c r="O734" t="str">
        <f t="array" ref="O734">IFERROR(INDEX('Day Range Raw Data'!V:V,Match($A734,'Day Range Raw Data'!$B:$B,0)),"")</f>
        <v/>
      </c>
      <c r="P734" t="str">
        <f t="array" ref="P734">IFERROR(INDEX('Day Range Raw Data'!X:X,Match($A734,'Day Range Raw Data'!$B:$B,0)),"")</f>
        <v/>
      </c>
      <c r="Q734" t="str">
        <f t="shared" si="1"/>
        <v/>
      </c>
      <c r="R734" s="9" t="str">
        <f t="shared" si="2"/>
        <v/>
      </c>
      <c r="S734" s="14" t="str">
        <f t="shared" si="3"/>
        <v/>
      </c>
      <c r="T734" s="15" t="str">
        <f>IFERROR(__xludf.DUMMYFUNCTION("IF($A734="""","""",IFERROR(PERCENTRANK.INC(FILTER(Q:Q,$F:$F&lt;&gt;""""),Q734)*100,""""))"),"")</f>
        <v/>
      </c>
      <c r="U734" s="15" t="str">
        <f>IFERROR(__xludf.DUMMYFUNCTION("IF($A734="""","""",IFERROR(PERCENTRANK.INC(FILTER(R:R,$F:$F&lt;&gt;""""),R734)*100,""""))"),"")</f>
        <v/>
      </c>
      <c r="V734" s="15" t="str">
        <f>IFERROR(__xludf.DUMMYFUNCTION("IF($A734="""","""",IFERROR(PERCENTRANK.INC(FILTER(S:S,$F:$F&lt;&gt;""""),S734)*100,""""))"),"")</f>
        <v/>
      </c>
      <c r="W734" s="15" t="str">
        <f t="shared" si="5"/>
        <v/>
      </c>
    </row>
    <row r="735">
      <c r="B735" t="str">
        <f t="array" ref="B735">IFERROR(INDEX('Player Raw Data'!C:C,Match($A735,'Player Raw Data'!$B:$B,0)),"")</f>
        <v/>
      </c>
      <c r="C735" t="str">
        <f t="array" ref="C735">IFERROR(INDEX('Player Raw Data'!D:D,Match($A735,'Player Raw Data'!$B:$B,0)),"")</f>
        <v/>
      </c>
      <c r="D735" t="str">
        <f t="array" ref="D735">IFERROR(IF(A735=A734, INDEX('Player Raw Data'!E:E,Match($A735,'Player Raw Data'!$B:$B,0)+2),INDEX('Player Raw Data'!E:E,Match($A735,'Player Raw Data'!$B:$B,0))),"")</f>
        <v/>
      </c>
      <c r="E735" t="str">
        <f t="array" ref="E735">IFERROR(INDEX('Day Range Raw Data'!D:D,Match($A735,'Day Range Raw Data'!$B:$B,0)),"")</f>
        <v/>
      </c>
      <c r="F735" t="str">
        <f t="array" ref="F735">IFERROR(INDEX('Day Range Raw Data'!F:F,Match($A735,'Day Range Raw Data'!$B:$B,0)),"")</f>
        <v/>
      </c>
      <c r="G735" t="str">
        <f t="array" ref="G735">IFERROR(INDEX('Day Range Raw Data'!G:G,Match($A735,'Day Range Raw Data'!$B:$B,0)),"")</f>
        <v/>
      </c>
      <c r="H735" t="str">
        <f t="array" ref="H735">IFERROR(INDEX('Day Range Raw Data'!H:H,Match($A735,'Day Range Raw Data'!$B:$B,0)),"")</f>
        <v/>
      </c>
      <c r="I735" t="str">
        <f t="array" ref="I735">IFERROR(INDEX('Day Range Raw Data'!M:M,Match($A735,'Day Range Raw Data'!$B:$B,0)),"")</f>
        <v/>
      </c>
      <c r="J735" t="str">
        <f t="array" ref="J735">IFERROR(INDEX('Day Range Raw Data'!N:N,Match($A735,'Day Range Raw Data'!$B:$B,0)),"")</f>
        <v/>
      </c>
      <c r="K735" t="str">
        <f t="array" ref="K735">IFERROR(INDEX('Day Range Raw Data'!R:R,Match($A735,'Day Range Raw Data'!$B:$B,0)),"")</f>
        <v/>
      </c>
      <c r="L735" t="str">
        <f t="array" ref="L735">IFERROR(INDEX('Day Range Raw Data'!S:S,Match($A735,'Day Range Raw Data'!$B:$B,0)),"")</f>
        <v/>
      </c>
      <c r="M735" t="str">
        <f t="array" ref="M735">IFERROR(INDEX('Day Range Raw Data'!T:T,Match($A735,'Day Range Raw Data'!$B:$B,0)),"")</f>
        <v/>
      </c>
      <c r="N735" t="str">
        <f t="array" ref="N735">IFERROR(INDEX('Day Range Raw Data'!U:U,Match($A735,'Day Range Raw Data'!$B:$B,0)),"")</f>
        <v/>
      </c>
      <c r="O735" t="str">
        <f t="array" ref="O735">IFERROR(INDEX('Day Range Raw Data'!V:V,Match($A735,'Day Range Raw Data'!$B:$B,0)),"")</f>
        <v/>
      </c>
      <c r="P735" t="str">
        <f t="array" ref="P735">IFERROR(INDEX('Day Range Raw Data'!X:X,Match($A735,'Day Range Raw Data'!$B:$B,0)),"")</f>
        <v/>
      </c>
      <c r="Q735" t="str">
        <f t="shared" si="1"/>
        <v/>
      </c>
      <c r="R735" s="9" t="str">
        <f t="shared" si="2"/>
        <v/>
      </c>
      <c r="S735" s="14" t="str">
        <f t="shared" si="3"/>
        <v/>
      </c>
      <c r="T735" s="15" t="str">
        <f>IFERROR(__xludf.DUMMYFUNCTION("IF($A735="""","""",IFERROR(PERCENTRANK.INC(FILTER(Q:Q,$F:$F&lt;&gt;""""),Q735)*100,""""))"),"")</f>
        <v/>
      </c>
      <c r="U735" s="15" t="str">
        <f>IFERROR(__xludf.DUMMYFUNCTION("IF($A735="""","""",IFERROR(PERCENTRANK.INC(FILTER(R:R,$F:$F&lt;&gt;""""),R735)*100,""""))"),"")</f>
        <v/>
      </c>
      <c r="V735" s="15" t="str">
        <f>IFERROR(__xludf.DUMMYFUNCTION("IF($A735="""","""",IFERROR(PERCENTRANK.INC(FILTER(S:S,$F:$F&lt;&gt;""""),S735)*100,""""))"),"")</f>
        <v/>
      </c>
      <c r="W735" s="15" t="str">
        <f t="shared" si="5"/>
        <v/>
      </c>
    </row>
    <row r="736">
      <c r="B736" t="str">
        <f t="array" ref="B736">IFERROR(INDEX('Player Raw Data'!C:C,Match($A736,'Player Raw Data'!$B:$B,0)),"")</f>
        <v/>
      </c>
      <c r="C736" t="str">
        <f t="array" ref="C736">IFERROR(INDEX('Player Raw Data'!D:D,Match($A736,'Player Raw Data'!$B:$B,0)),"")</f>
        <v/>
      </c>
      <c r="D736" t="str">
        <f t="array" ref="D736">IFERROR(IF(A736=A735, INDEX('Player Raw Data'!E:E,Match($A736,'Player Raw Data'!$B:$B,0)+2),INDEX('Player Raw Data'!E:E,Match($A736,'Player Raw Data'!$B:$B,0))),"")</f>
        <v/>
      </c>
      <c r="E736" t="str">
        <f t="array" ref="E736">IFERROR(INDEX('Day Range Raw Data'!D:D,Match($A736,'Day Range Raw Data'!$B:$B,0)),"")</f>
        <v/>
      </c>
      <c r="F736" t="str">
        <f t="array" ref="F736">IFERROR(INDEX('Day Range Raw Data'!F:F,Match($A736,'Day Range Raw Data'!$B:$B,0)),"")</f>
        <v/>
      </c>
      <c r="G736" t="str">
        <f t="array" ref="G736">IFERROR(INDEX('Day Range Raw Data'!G:G,Match($A736,'Day Range Raw Data'!$B:$B,0)),"")</f>
        <v/>
      </c>
      <c r="H736" t="str">
        <f t="array" ref="H736">IFERROR(INDEX('Day Range Raw Data'!H:H,Match($A736,'Day Range Raw Data'!$B:$B,0)),"")</f>
        <v/>
      </c>
      <c r="I736" t="str">
        <f t="array" ref="I736">IFERROR(INDEX('Day Range Raw Data'!M:M,Match($A736,'Day Range Raw Data'!$B:$B,0)),"")</f>
        <v/>
      </c>
      <c r="J736" t="str">
        <f t="array" ref="J736">IFERROR(INDEX('Day Range Raw Data'!N:N,Match($A736,'Day Range Raw Data'!$B:$B,0)),"")</f>
        <v/>
      </c>
      <c r="K736" t="str">
        <f t="array" ref="K736">IFERROR(INDEX('Day Range Raw Data'!R:R,Match($A736,'Day Range Raw Data'!$B:$B,0)),"")</f>
        <v/>
      </c>
      <c r="L736" t="str">
        <f t="array" ref="L736">IFERROR(INDEX('Day Range Raw Data'!S:S,Match($A736,'Day Range Raw Data'!$B:$B,0)),"")</f>
        <v/>
      </c>
      <c r="M736" t="str">
        <f t="array" ref="M736">IFERROR(INDEX('Day Range Raw Data'!T:T,Match($A736,'Day Range Raw Data'!$B:$B,0)),"")</f>
        <v/>
      </c>
      <c r="N736" t="str">
        <f t="array" ref="N736">IFERROR(INDEX('Day Range Raw Data'!U:U,Match($A736,'Day Range Raw Data'!$B:$B,0)),"")</f>
        <v/>
      </c>
      <c r="O736" t="str">
        <f t="array" ref="O736">IFERROR(INDEX('Day Range Raw Data'!V:V,Match($A736,'Day Range Raw Data'!$B:$B,0)),"")</f>
        <v/>
      </c>
      <c r="P736" t="str">
        <f t="array" ref="P736">IFERROR(INDEX('Day Range Raw Data'!X:X,Match($A736,'Day Range Raw Data'!$B:$B,0)),"")</f>
        <v/>
      </c>
      <c r="Q736" t="str">
        <f t="shared" si="1"/>
        <v/>
      </c>
      <c r="R736" s="9" t="str">
        <f t="shared" si="2"/>
        <v/>
      </c>
      <c r="S736" s="14" t="str">
        <f t="shared" si="3"/>
        <v/>
      </c>
      <c r="T736" s="15" t="str">
        <f>IFERROR(__xludf.DUMMYFUNCTION("IF($A736="""","""",IFERROR(PERCENTRANK.INC(FILTER(Q:Q,$F:$F&lt;&gt;""""),Q736)*100,""""))"),"")</f>
        <v/>
      </c>
      <c r="U736" s="15" t="str">
        <f>IFERROR(__xludf.DUMMYFUNCTION("IF($A736="""","""",IFERROR(PERCENTRANK.INC(FILTER(R:R,$F:$F&lt;&gt;""""),R736)*100,""""))"),"")</f>
        <v/>
      </c>
      <c r="V736" s="15" t="str">
        <f>IFERROR(__xludf.DUMMYFUNCTION("IF($A736="""","""",IFERROR(PERCENTRANK.INC(FILTER(S:S,$F:$F&lt;&gt;""""),S736)*100,""""))"),"")</f>
        <v/>
      </c>
      <c r="W736" s="15" t="str">
        <f t="shared" si="5"/>
        <v/>
      </c>
    </row>
    <row r="737">
      <c r="B737" t="str">
        <f t="array" ref="B737">IFERROR(INDEX('Player Raw Data'!C:C,Match($A737,'Player Raw Data'!$B:$B,0)),"")</f>
        <v/>
      </c>
      <c r="C737" t="str">
        <f t="array" ref="C737">IFERROR(INDEX('Player Raw Data'!D:D,Match($A737,'Player Raw Data'!$B:$B,0)),"")</f>
        <v/>
      </c>
      <c r="D737" t="str">
        <f t="array" ref="D737">IFERROR(IF(A737=A736, INDEX('Player Raw Data'!E:E,Match($A737,'Player Raw Data'!$B:$B,0)+2),INDEX('Player Raw Data'!E:E,Match($A737,'Player Raw Data'!$B:$B,0))),"")</f>
        <v/>
      </c>
      <c r="E737" t="str">
        <f t="array" ref="E737">IFERROR(INDEX('Day Range Raw Data'!D:D,Match($A737,'Day Range Raw Data'!$B:$B,0)),"")</f>
        <v/>
      </c>
      <c r="F737" t="str">
        <f t="array" ref="F737">IFERROR(INDEX('Day Range Raw Data'!F:F,Match($A737,'Day Range Raw Data'!$B:$B,0)),"")</f>
        <v/>
      </c>
      <c r="G737" t="str">
        <f t="array" ref="G737">IFERROR(INDEX('Day Range Raw Data'!G:G,Match($A737,'Day Range Raw Data'!$B:$B,0)),"")</f>
        <v/>
      </c>
      <c r="H737" t="str">
        <f t="array" ref="H737">IFERROR(INDEX('Day Range Raw Data'!H:H,Match($A737,'Day Range Raw Data'!$B:$B,0)),"")</f>
        <v/>
      </c>
      <c r="I737" t="str">
        <f t="array" ref="I737">IFERROR(INDEX('Day Range Raw Data'!M:M,Match($A737,'Day Range Raw Data'!$B:$B,0)),"")</f>
        <v/>
      </c>
      <c r="J737" t="str">
        <f t="array" ref="J737">IFERROR(INDEX('Day Range Raw Data'!N:N,Match($A737,'Day Range Raw Data'!$B:$B,0)),"")</f>
        <v/>
      </c>
      <c r="K737" t="str">
        <f t="array" ref="K737">IFERROR(INDEX('Day Range Raw Data'!R:R,Match($A737,'Day Range Raw Data'!$B:$B,0)),"")</f>
        <v/>
      </c>
      <c r="L737" t="str">
        <f t="array" ref="L737">IFERROR(INDEX('Day Range Raw Data'!S:S,Match($A737,'Day Range Raw Data'!$B:$B,0)),"")</f>
        <v/>
      </c>
      <c r="M737" t="str">
        <f t="array" ref="M737">IFERROR(INDEX('Day Range Raw Data'!T:T,Match($A737,'Day Range Raw Data'!$B:$B,0)),"")</f>
        <v/>
      </c>
      <c r="N737" t="str">
        <f t="array" ref="N737">IFERROR(INDEX('Day Range Raw Data'!U:U,Match($A737,'Day Range Raw Data'!$B:$B,0)),"")</f>
        <v/>
      </c>
      <c r="O737" t="str">
        <f t="array" ref="O737">IFERROR(INDEX('Day Range Raw Data'!V:V,Match($A737,'Day Range Raw Data'!$B:$B,0)),"")</f>
        <v/>
      </c>
      <c r="P737" t="str">
        <f t="array" ref="P737">IFERROR(INDEX('Day Range Raw Data'!X:X,Match($A737,'Day Range Raw Data'!$B:$B,0)),"")</f>
        <v/>
      </c>
      <c r="Q737" t="str">
        <f t="shared" si="1"/>
        <v/>
      </c>
      <c r="R737" s="9" t="str">
        <f t="shared" si="2"/>
        <v/>
      </c>
      <c r="S737" s="14" t="str">
        <f t="shared" si="3"/>
        <v/>
      </c>
      <c r="T737" s="15" t="str">
        <f>IFERROR(__xludf.DUMMYFUNCTION("IF($A737="""","""",IFERROR(PERCENTRANK.INC(FILTER(Q:Q,$F:$F&lt;&gt;""""),Q737)*100,""""))"),"")</f>
        <v/>
      </c>
      <c r="U737" s="15" t="str">
        <f>IFERROR(__xludf.DUMMYFUNCTION("IF($A737="""","""",IFERROR(PERCENTRANK.INC(FILTER(R:R,$F:$F&lt;&gt;""""),R737)*100,""""))"),"")</f>
        <v/>
      </c>
      <c r="V737" s="15" t="str">
        <f>IFERROR(__xludf.DUMMYFUNCTION("IF($A737="""","""",IFERROR(PERCENTRANK.INC(FILTER(S:S,$F:$F&lt;&gt;""""),S737)*100,""""))"),"")</f>
        <v/>
      </c>
      <c r="W737" s="15" t="str">
        <f t="shared" si="5"/>
        <v/>
      </c>
    </row>
    <row r="738">
      <c r="B738" t="str">
        <f t="array" ref="B738">IFERROR(INDEX('Player Raw Data'!C:C,Match($A738,'Player Raw Data'!$B:$B,0)),"")</f>
        <v/>
      </c>
      <c r="C738" t="str">
        <f t="array" ref="C738">IFERROR(INDEX('Player Raw Data'!D:D,Match($A738,'Player Raw Data'!$B:$B,0)),"")</f>
        <v/>
      </c>
      <c r="D738" t="str">
        <f t="array" ref="D738">IFERROR(IF(A738=A737, INDEX('Player Raw Data'!E:E,Match($A738,'Player Raw Data'!$B:$B,0)+2),INDEX('Player Raw Data'!E:E,Match($A738,'Player Raw Data'!$B:$B,0))),"")</f>
        <v/>
      </c>
      <c r="E738" t="str">
        <f t="array" ref="E738">IFERROR(INDEX('Day Range Raw Data'!D:D,Match($A738,'Day Range Raw Data'!$B:$B,0)),"")</f>
        <v/>
      </c>
      <c r="F738" t="str">
        <f t="array" ref="F738">IFERROR(INDEX('Day Range Raw Data'!F:F,Match($A738,'Day Range Raw Data'!$B:$B,0)),"")</f>
        <v/>
      </c>
      <c r="G738" t="str">
        <f t="array" ref="G738">IFERROR(INDEX('Day Range Raw Data'!G:G,Match($A738,'Day Range Raw Data'!$B:$B,0)),"")</f>
        <v/>
      </c>
      <c r="H738" t="str">
        <f t="array" ref="H738">IFERROR(INDEX('Day Range Raw Data'!H:H,Match($A738,'Day Range Raw Data'!$B:$B,0)),"")</f>
        <v/>
      </c>
      <c r="I738" t="str">
        <f t="array" ref="I738">IFERROR(INDEX('Day Range Raw Data'!M:M,Match($A738,'Day Range Raw Data'!$B:$B,0)),"")</f>
        <v/>
      </c>
      <c r="J738" t="str">
        <f t="array" ref="J738">IFERROR(INDEX('Day Range Raw Data'!N:N,Match($A738,'Day Range Raw Data'!$B:$B,0)),"")</f>
        <v/>
      </c>
      <c r="K738" t="str">
        <f t="array" ref="K738">IFERROR(INDEX('Day Range Raw Data'!R:R,Match($A738,'Day Range Raw Data'!$B:$B,0)),"")</f>
        <v/>
      </c>
      <c r="L738" t="str">
        <f t="array" ref="L738">IFERROR(INDEX('Day Range Raw Data'!S:S,Match($A738,'Day Range Raw Data'!$B:$B,0)),"")</f>
        <v/>
      </c>
      <c r="M738" t="str">
        <f t="array" ref="M738">IFERROR(INDEX('Day Range Raw Data'!T:T,Match($A738,'Day Range Raw Data'!$B:$B,0)),"")</f>
        <v/>
      </c>
      <c r="N738" t="str">
        <f t="array" ref="N738">IFERROR(INDEX('Day Range Raw Data'!U:U,Match($A738,'Day Range Raw Data'!$B:$B,0)),"")</f>
        <v/>
      </c>
      <c r="O738" t="str">
        <f t="array" ref="O738">IFERROR(INDEX('Day Range Raw Data'!V:V,Match($A738,'Day Range Raw Data'!$B:$B,0)),"")</f>
        <v/>
      </c>
      <c r="P738" t="str">
        <f t="array" ref="P738">IFERROR(INDEX('Day Range Raw Data'!X:X,Match($A738,'Day Range Raw Data'!$B:$B,0)),"")</f>
        <v/>
      </c>
      <c r="Q738" t="str">
        <f t="shared" si="1"/>
        <v/>
      </c>
      <c r="R738" s="9" t="str">
        <f t="shared" si="2"/>
        <v/>
      </c>
      <c r="S738" s="14" t="str">
        <f t="shared" si="3"/>
        <v/>
      </c>
      <c r="T738" s="15" t="str">
        <f>IFERROR(__xludf.DUMMYFUNCTION("IF($A738="""","""",IFERROR(PERCENTRANK.INC(FILTER(Q:Q,$F:$F&lt;&gt;""""),Q738)*100,""""))"),"")</f>
        <v/>
      </c>
      <c r="U738" s="15" t="str">
        <f>IFERROR(__xludf.DUMMYFUNCTION("IF($A738="""","""",IFERROR(PERCENTRANK.INC(FILTER(R:R,$F:$F&lt;&gt;""""),R738)*100,""""))"),"")</f>
        <v/>
      </c>
      <c r="V738" s="15" t="str">
        <f>IFERROR(__xludf.DUMMYFUNCTION("IF($A738="""","""",IFERROR(PERCENTRANK.INC(FILTER(S:S,$F:$F&lt;&gt;""""),S738)*100,""""))"),"")</f>
        <v/>
      </c>
      <c r="W738" s="15" t="str">
        <f t="shared" si="5"/>
        <v/>
      </c>
    </row>
    <row r="739">
      <c r="B739" t="str">
        <f t="array" ref="B739">IFERROR(INDEX('Player Raw Data'!C:C,Match($A739,'Player Raw Data'!$B:$B,0)),"")</f>
        <v/>
      </c>
      <c r="C739" t="str">
        <f t="array" ref="C739">IFERROR(INDEX('Player Raw Data'!D:D,Match($A739,'Player Raw Data'!$B:$B,0)),"")</f>
        <v/>
      </c>
      <c r="D739" t="str">
        <f t="array" ref="D739">IFERROR(IF(A739=A738, INDEX('Player Raw Data'!E:E,Match($A739,'Player Raw Data'!$B:$B,0)+2),INDEX('Player Raw Data'!E:E,Match($A739,'Player Raw Data'!$B:$B,0))),"")</f>
        <v/>
      </c>
      <c r="E739" t="str">
        <f t="array" ref="E739">IFERROR(INDEX('Day Range Raw Data'!D:D,Match($A739,'Day Range Raw Data'!$B:$B,0)),"")</f>
        <v/>
      </c>
      <c r="F739" t="str">
        <f t="array" ref="F739">IFERROR(INDEX('Day Range Raw Data'!F:F,Match($A739,'Day Range Raw Data'!$B:$B,0)),"")</f>
        <v/>
      </c>
      <c r="G739" t="str">
        <f t="array" ref="G739">IFERROR(INDEX('Day Range Raw Data'!G:G,Match($A739,'Day Range Raw Data'!$B:$B,0)),"")</f>
        <v/>
      </c>
      <c r="H739" t="str">
        <f t="array" ref="H739">IFERROR(INDEX('Day Range Raw Data'!H:H,Match($A739,'Day Range Raw Data'!$B:$B,0)),"")</f>
        <v/>
      </c>
      <c r="I739" t="str">
        <f t="array" ref="I739">IFERROR(INDEX('Day Range Raw Data'!M:M,Match($A739,'Day Range Raw Data'!$B:$B,0)),"")</f>
        <v/>
      </c>
      <c r="J739" t="str">
        <f t="array" ref="J739">IFERROR(INDEX('Day Range Raw Data'!N:N,Match($A739,'Day Range Raw Data'!$B:$B,0)),"")</f>
        <v/>
      </c>
      <c r="K739" t="str">
        <f t="array" ref="K739">IFERROR(INDEX('Day Range Raw Data'!R:R,Match($A739,'Day Range Raw Data'!$B:$B,0)),"")</f>
        <v/>
      </c>
      <c r="L739" t="str">
        <f t="array" ref="L739">IFERROR(INDEX('Day Range Raw Data'!S:S,Match($A739,'Day Range Raw Data'!$B:$B,0)),"")</f>
        <v/>
      </c>
      <c r="M739" t="str">
        <f t="array" ref="M739">IFERROR(INDEX('Day Range Raw Data'!T:T,Match($A739,'Day Range Raw Data'!$B:$B,0)),"")</f>
        <v/>
      </c>
      <c r="N739" t="str">
        <f t="array" ref="N739">IFERROR(INDEX('Day Range Raw Data'!U:U,Match($A739,'Day Range Raw Data'!$B:$B,0)),"")</f>
        <v/>
      </c>
      <c r="O739" t="str">
        <f t="array" ref="O739">IFERROR(INDEX('Day Range Raw Data'!V:V,Match($A739,'Day Range Raw Data'!$B:$B,0)),"")</f>
        <v/>
      </c>
      <c r="P739" t="str">
        <f t="array" ref="P739">IFERROR(INDEX('Day Range Raw Data'!X:X,Match($A739,'Day Range Raw Data'!$B:$B,0)),"")</f>
        <v/>
      </c>
      <c r="Q739" t="str">
        <f t="shared" si="1"/>
        <v/>
      </c>
      <c r="R739" s="9" t="str">
        <f t="shared" si="2"/>
        <v/>
      </c>
      <c r="S739" s="14" t="str">
        <f t="shared" si="3"/>
        <v/>
      </c>
      <c r="T739" s="15" t="str">
        <f>IFERROR(__xludf.DUMMYFUNCTION("IF($A739="""","""",IFERROR(PERCENTRANK.INC(FILTER(Q:Q,$F:$F&lt;&gt;""""),Q739)*100,""""))"),"")</f>
        <v/>
      </c>
      <c r="U739" s="15" t="str">
        <f>IFERROR(__xludf.DUMMYFUNCTION("IF($A739="""","""",IFERROR(PERCENTRANK.INC(FILTER(R:R,$F:$F&lt;&gt;""""),R739)*100,""""))"),"")</f>
        <v/>
      </c>
      <c r="V739" s="15" t="str">
        <f>IFERROR(__xludf.DUMMYFUNCTION("IF($A739="""","""",IFERROR(PERCENTRANK.INC(FILTER(S:S,$F:$F&lt;&gt;""""),S739)*100,""""))"),"")</f>
        <v/>
      </c>
      <c r="W739" s="15" t="str">
        <f t="shared" si="5"/>
        <v/>
      </c>
    </row>
    <row r="740">
      <c r="B740" t="str">
        <f t="array" ref="B740">IFERROR(INDEX('Player Raw Data'!C:C,Match($A740,'Player Raw Data'!$B:$B,0)),"")</f>
        <v/>
      </c>
      <c r="C740" t="str">
        <f t="array" ref="C740">IFERROR(INDEX('Player Raw Data'!D:D,Match($A740,'Player Raw Data'!$B:$B,0)),"")</f>
        <v/>
      </c>
      <c r="D740" t="str">
        <f t="array" ref="D740">IFERROR(IF(A740=A739, INDEX('Player Raw Data'!E:E,Match($A740,'Player Raw Data'!$B:$B,0)+2),INDEX('Player Raw Data'!E:E,Match($A740,'Player Raw Data'!$B:$B,0))),"")</f>
        <v/>
      </c>
      <c r="E740" t="str">
        <f t="array" ref="E740">IFERROR(INDEX('Day Range Raw Data'!D:D,Match($A740,'Day Range Raw Data'!$B:$B,0)),"")</f>
        <v/>
      </c>
      <c r="F740" t="str">
        <f t="array" ref="F740">IFERROR(INDEX('Day Range Raw Data'!F:F,Match($A740,'Day Range Raw Data'!$B:$B,0)),"")</f>
        <v/>
      </c>
      <c r="G740" t="str">
        <f t="array" ref="G740">IFERROR(INDEX('Day Range Raw Data'!G:G,Match($A740,'Day Range Raw Data'!$B:$B,0)),"")</f>
        <v/>
      </c>
      <c r="H740" t="str">
        <f t="array" ref="H740">IFERROR(INDEX('Day Range Raw Data'!H:H,Match($A740,'Day Range Raw Data'!$B:$B,0)),"")</f>
        <v/>
      </c>
      <c r="I740" t="str">
        <f t="array" ref="I740">IFERROR(INDEX('Day Range Raw Data'!M:M,Match($A740,'Day Range Raw Data'!$B:$B,0)),"")</f>
        <v/>
      </c>
      <c r="J740" t="str">
        <f t="array" ref="J740">IFERROR(INDEX('Day Range Raw Data'!N:N,Match($A740,'Day Range Raw Data'!$B:$B,0)),"")</f>
        <v/>
      </c>
      <c r="K740" t="str">
        <f t="array" ref="K740">IFERROR(INDEX('Day Range Raw Data'!R:R,Match($A740,'Day Range Raw Data'!$B:$B,0)),"")</f>
        <v/>
      </c>
      <c r="L740" t="str">
        <f t="array" ref="L740">IFERROR(INDEX('Day Range Raw Data'!S:S,Match($A740,'Day Range Raw Data'!$B:$B,0)),"")</f>
        <v/>
      </c>
      <c r="M740" t="str">
        <f t="array" ref="M740">IFERROR(INDEX('Day Range Raw Data'!T:T,Match($A740,'Day Range Raw Data'!$B:$B,0)),"")</f>
        <v/>
      </c>
      <c r="N740" t="str">
        <f t="array" ref="N740">IFERROR(INDEX('Day Range Raw Data'!U:U,Match($A740,'Day Range Raw Data'!$B:$B,0)),"")</f>
        <v/>
      </c>
      <c r="O740" t="str">
        <f t="array" ref="O740">IFERROR(INDEX('Day Range Raw Data'!V:V,Match($A740,'Day Range Raw Data'!$B:$B,0)),"")</f>
        <v/>
      </c>
      <c r="P740" t="str">
        <f t="array" ref="P740">IFERROR(INDEX('Day Range Raw Data'!X:X,Match($A740,'Day Range Raw Data'!$B:$B,0)),"")</f>
        <v/>
      </c>
      <c r="Q740" t="str">
        <f t="shared" si="1"/>
        <v/>
      </c>
      <c r="R740" s="9" t="str">
        <f t="shared" si="2"/>
        <v/>
      </c>
      <c r="S740" s="14" t="str">
        <f t="shared" si="3"/>
        <v/>
      </c>
      <c r="T740" s="15" t="str">
        <f>IFERROR(__xludf.DUMMYFUNCTION("IF($A740="""","""",IFERROR(PERCENTRANK.INC(FILTER(Q:Q,$F:$F&lt;&gt;""""),Q740)*100,""""))"),"")</f>
        <v/>
      </c>
      <c r="U740" s="15" t="str">
        <f>IFERROR(__xludf.DUMMYFUNCTION("IF($A740="""","""",IFERROR(PERCENTRANK.INC(FILTER(R:R,$F:$F&lt;&gt;""""),R740)*100,""""))"),"")</f>
        <v/>
      </c>
      <c r="V740" s="15" t="str">
        <f>IFERROR(__xludf.DUMMYFUNCTION("IF($A740="""","""",IFERROR(PERCENTRANK.INC(FILTER(S:S,$F:$F&lt;&gt;""""),S740)*100,""""))"),"")</f>
        <v/>
      </c>
      <c r="W740" s="15" t="str">
        <f t="shared" si="5"/>
        <v/>
      </c>
    </row>
    <row r="741">
      <c r="B741" t="str">
        <f t="array" ref="B741">IFERROR(INDEX('Player Raw Data'!C:C,Match($A741,'Player Raw Data'!$B:$B,0)),"")</f>
        <v/>
      </c>
      <c r="C741" t="str">
        <f t="array" ref="C741">IFERROR(INDEX('Player Raw Data'!D:D,Match($A741,'Player Raw Data'!$B:$B,0)),"")</f>
        <v/>
      </c>
      <c r="D741" t="str">
        <f t="array" ref="D741">IFERROR(IF(A741=A740, INDEX('Player Raw Data'!E:E,Match($A741,'Player Raw Data'!$B:$B,0)+2),INDEX('Player Raw Data'!E:E,Match($A741,'Player Raw Data'!$B:$B,0))),"")</f>
        <v/>
      </c>
      <c r="E741" t="str">
        <f t="array" ref="E741">IFERROR(INDEX('Day Range Raw Data'!D:D,Match($A741,'Day Range Raw Data'!$B:$B,0)),"")</f>
        <v/>
      </c>
      <c r="F741" t="str">
        <f t="array" ref="F741">IFERROR(INDEX('Day Range Raw Data'!F:F,Match($A741,'Day Range Raw Data'!$B:$B,0)),"")</f>
        <v/>
      </c>
      <c r="G741" t="str">
        <f t="array" ref="G741">IFERROR(INDEX('Day Range Raw Data'!G:G,Match($A741,'Day Range Raw Data'!$B:$B,0)),"")</f>
        <v/>
      </c>
      <c r="H741" t="str">
        <f t="array" ref="H741">IFERROR(INDEX('Day Range Raw Data'!H:H,Match($A741,'Day Range Raw Data'!$B:$B,0)),"")</f>
        <v/>
      </c>
      <c r="I741" t="str">
        <f t="array" ref="I741">IFERROR(INDEX('Day Range Raw Data'!M:M,Match($A741,'Day Range Raw Data'!$B:$B,0)),"")</f>
        <v/>
      </c>
      <c r="J741" t="str">
        <f t="array" ref="J741">IFERROR(INDEX('Day Range Raw Data'!N:N,Match($A741,'Day Range Raw Data'!$B:$B,0)),"")</f>
        <v/>
      </c>
      <c r="K741" t="str">
        <f t="array" ref="K741">IFERROR(INDEX('Day Range Raw Data'!R:R,Match($A741,'Day Range Raw Data'!$B:$B,0)),"")</f>
        <v/>
      </c>
      <c r="L741" t="str">
        <f t="array" ref="L741">IFERROR(INDEX('Day Range Raw Data'!S:S,Match($A741,'Day Range Raw Data'!$B:$B,0)),"")</f>
        <v/>
      </c>
      <c r="M741" t="str">
        <f t="array" ref="M741">IFERROR(INDEX('Day Range Raw Data'!T:T,Match($A741,'Day Range Raw Data'!$B:$B,0)),"")</f>
        <v/>
      </c>
      <c r="N741" t="str">
        <f t="array" ref="N741">IFERROR(INDEX('Day Range Raw Data'!U:U,Match($A741,'Day Range Raw Data'!$B:$B,0)),"")</f>
        <v/>
      </c>
      <c r="O741" t="str">
        <f t="array" ref="O741">IFERROR(INDEX('Day Range Raw Data'!V:V,Match($A741,'Day Range Raw Data'!$B:$B,0)),"")</f>
        <v/>
      </c>
      <c r="P741" t="str">
        <f t="array" ref="P741">IFERROR(INDEX('Day Range Raw Data'!X:X,Match($A741,'Day Range Raw Data'!$B:$B,0)),"")</f>
        <v/>
      </c>
      <c r="Q741" t="str">
        <f t="shared" si="1"/>
        <v/>
      </c>
      <c r="R741" s="9" t="str">
        <f t="shared" si="2"/>
        <v/>
      </c>
      <c r="S741" s="14" t="str">
        <f t="shared" si="3"/>
        <v/>
      </c>
      <c r="T741" s="15" t="str">
        <f>IFERROR(__xludf.DUMMYFUNCTION("IF($A741="""","""",IFERROR(PERCENTRANK.INC(FILTER(Q:Q,$F:$F&lt;&gt;""""),Q741)*100,""""))"),"")</f>
        <v/>
      </c>
      <c r="U741" s="15" t="str">
        <f>IFERROR(__xludf.DUMMYFUNCTION("IF($A741="""","""",IFERROR(PERCENTRANK.INC(FILTER(R:R,$F:$F&lt;&gt;""""),R741)*100,""""))"),"")</f>
        <v/>
      </c>
      <c r="V741" s="15" t="str">
        <f>IFERROR(__xludf.DUMMYFUNCTION("IF($A741="""","""",IFERROR(PERCENTRANK.INC(FILTER(S:S,$F:$F&lt;&gt;""""),S741)*100,""""))"),"")</f>
        <v/>
      </c>
      <c r="W741" s="15" t="str">
        <f t="shared" si="5"/>
        <v/>
      </c>
    </row>
    <row r="742">
      <c r="B742" t="str">
        <f t="array" ref="B742">IFERROR(INDEX('Player Raw Data'!C:C,Match($A742,'Player Raw Data'!$B:$B,0)),"")</f>
        <v/>
      </c>
      <c r="C742" t="str">
        <f t="array" ref="C742">IFERROR(INDEX('Player Raw Data'!D:D,Match($A742,'Player Raw Data'!$B:$B,0)),"")</f>
        <v/>
      </c>
      <c r="D742" t="str">
        <f t="array" ref="D742">IFERROR(IF(A742=A741, INDEX('Player Raw Data'!E:E,Match($A742,'Player Raw Data'!$B:$B,0)+2),INDEX('Player Raw Data'!E:E,Match($A742,'Player Raw Data'!$B:$B,0))),"")</f>
        <v/>
      </c>
      <c r="E742" t="str">
        <f t="array" ref="E742">IFERROR(INDEX('Day Range Raw Data'!D:D,Match($A742,'Day Range Raw Data'!$B:$B,0)),"")</f>
        <v/>
      </c>
      <c r="F742" t="str">
        <f t="array" ref="F742">IFERROR(INDEX('Day Range Raw Data'!F:F,Match($A742,'Day Range Raw Data'!$B:$B,0)),"")</f>
        <v/>
      </c>
      <c r="G742" t="str">
        <f t="array" ref="G742">IFERROR(INDEX('Day Range Raw Data'!G:G,Match($A742,'Day Range Raw Data'!$B:$B,0)),"")</f>
        <v/>
      </c>
      <c r="H742" t="str">
        <f t="array" ref="H742">IFERROR(INDEX('Day Range Raw Data'!H:H,Match($A742,'Day Range Raw Data'!$B:$B,0)),"")</f>
        <v/>
      </c>
      <c r="I742" t="str">
        <f t="array" ref="I742">IFERROR(INDEX('Day Range Raw Data'!M:M,Match($A742,'Day Range Raw Data'!$B:$B,0)),"")</f>
        <v/>
      </c>
      <c r="J742" t="str">
        <f t="array" ref="J742">IFERROR(INDEX('Day Range Raw Data'!N:N,Match($A742,'Day Range Raw Data'!$B:$B,0)),"")</f>
        <v/>
      </c>
      <c r="K742" t="str">
        <f t="array" ref="K742">IFERROR(INDEX('Day Range Raw Data'!R:R,Match($A742,'Day Range Raw Data'!$B:$B,0)),"")</f>
        <v/>
      </c>
      <c r="L742" t="str">
        <f t="array" ref="L742">IFERROR(INDEX('Day Range Raw Data'!S:S,Match($A742,'Day Range Raw Data'!$B:$B,0)),"")</f>
        <v/>
      </c>
      <c r="M742" t="str">
        <f t="array" ref="M742">IFERROR(INDEX('Day Range Raw Data'!T:T,Match($A742,'Day Range Raw Data'!$B:$B,0)),"")</f>
        <v/>
      </c>
      <c r="N742" t="str">
        <f t="array" ref="N742">IFERROR(INDEX('Day Range Raw Data'!U:U,Match($A742,'Day Range Raw Data'!$B:$B,0)),"")</f>
        <v/>
      </c>
      <c r="O742" t="str">
        <f t="array" ref="O742">IFERROR(INDEX('Day Range Raw Data'!V:V,Match($A742,'Day Range Raw Data'!$B:$B,0)),"")</f>
        <v/>
      </c>
      <c r="P742" t="str">
        <f t="array" ref="P742">IFERROR(INDEX('Day Range Raw Data'!X:X,Match($A742,'Day Range Raw Data'!$B:$B,0)),"")</f>
        <v/>
      </c>
      <c r="Q742" t="str">
        <f t="shared" si="1"/>
        <v/>
      </c>
      <c r="R742" s="9" t="str">
        <f t="shared" si="2"/>
        <v/>
      </c>
      <c r="S742" s="14" t="str">
        <f t="shared" si="3"/>
        <v/>
      </c>
      <c r="T742" s="15" t="str">
        <f>IFERROR(__xludf.DUMMYFUNCTION("IF($A742="""","""",IFERROR(PERCENTRANK.INC(FILTER(Q:Q,$F:$F&lt;&gt;""""),Q742)*100,""""))"),"")</f>
        <v/>
      </c>
      <c r="U742" s="15" t="str">
        <f>IFERROR(__xludf.DUMMYFUNCTION("IF($A742="""","""",IFERROR(PERCENTRANK.INC(FILTER(R:R,$F:$F&lt;&gt;""""),R742)*100,""""))"),"")</f>
        <v/>
      </c>
      <c r="V742" s="15" t="str">
        <f>IFERROR(__xludf.DUMMYFUNCTION("IF($A742="""","""",IFERROR(PERCENTRANK.INC(FILTER(S:S,$F:$F&lt;&gt;""""),S742)*100,""""))"),"")</f>
        <v/>
      </c>
      <c r="W742" s="15" t="str">
        <f t="shared" si="5"/>
        <v/>
      </c>
    </row>
    <row r="743">
      <c r="B743" t="str">
        <f t="array" ref="B743">IFERROR(INDEX('Player Raw Data'!C:C,Match($A743,'Player Raw Data'!$B:$B,0)),"")</f>
        <v/>
      </c>
      <c r="C743" t="str">
        <f t="array" ref="C743">IFERROR(INDEX('Player Raw Data'!D:D,Match($A743,'Player Raw Data'!$B:$B,0)),"")</f>
        <v/>
      </c>
      <c r="D743" t="str">
        <f t="array" ref="D743">IFERROR(IF(A743=A742, INDEX('Player Raw Data'!E:E,Match($A743,'Player Raw Data'!$B:$B,0)+2),INDEX('Player Raw Data'!E:E,Match($A743,'Player Raw Data'!$B:$B,0))),"")</f>
        <v/>
      </c>
      <c r="E743" t="str">
        <f t="array" ref="E743">IFERROR(INDEX('Day Range Raw Data'!D:D,Match($A743,'Day Range Raw Data'!$B:$B,0)),"")</f>
        <v/>
      </c>
      <c r="F743" t="str">
        <f t="array" ref="F743">IFERROR(INDEX('Day Range Raw Data'!F:F,Match($A743,'Day Range Raw Data'!$B:$B,0)),"")</f>
        <v/>
      </c>
      <c r="G743" t="str">
        <f t="array" ref="G743">IFERROR(INDEX('Day Range Raw Data'!G:G,Match($A743,'Day Range Raw Data'!$B:$B,0)),"")</f>
        <v/>
      </c>
      <c r="H743" t="str">
        <f t="array" ref="H743">IFERROR(INDEX('Day Range Raw Data'!H:H,Match($A743,'Day Range Raw Data'!$B:$B,0)),"")</f>
        <v/>
      </c>
      <c r="I743" t="str">
        <f t="array" ref="I743">IFERROR(INDEX('Day Range Raw Data'!M:M,Match($A743,'Day Range Raw Data'!$B:$B,0)),"")</f>
        <v/>
      </c>
      <c r="J743" t="str">
        <f t="array" ref="J743">IFERROR(INDEX('Day Range Raw Data'!N:N,Match($A743,'Day Range Raw Data'!$B:$B,0)),"")</f>
        <v/>
      </c>
      <c r="K743" t="str">
        <f t="array" ref="K743">IFERROR(INDEX('Day Range Raw Data'!R:R,Match($A743,'Day Range Raw Data'!$B:$B,0)),"")</f>
        <v/>
      </c>
      <c r="L743" t="str">
        <f t="array" ref="L743">IFERROR(INDEX('Day Range Raw Data'!S:S,Match($A743,'Day Range Raw Data'!$B:$B,0)),"")</f>
        <v/>
      </c>
      <c r="M743" t="str">
        <f t="array" ref="M743">IFERROR(INDEX('Day Range Raw Data'!T:T,Match($A743,'Day Range Raw Data'!$B:$B,0)),"")</f>
        <v/>
      </c>
      <c r="N743" t="str">
        <f t="array" ref="N743">IFERROR(INDEX('Day Range Raw Data'!U:U,Match($A743,'Day Range Raw Data'!$B:$B,0)),"")</f>
        <v/>
      </c>
      <c r="O743" t="str">
        <f t="array" ref="O743">IFERROR(INDEX('Day Range Raw Data'!V:V,Match($A743,'Day Range Raw Data'!$B:$B,0)),"")</f>
        <v/>
      </c>
      <c r="P743" t="str">
        <f t="array" ref="P743">IFERROR(INDEX('Day Range Raw Data'!X:X,Match($A743,'Day Range Raw Data'!$B:$B,0)),"")</f>
        <v/>
      </c>
      <c r="Q743" t="str">
        <f t="shared" si="1"/>
        <v/>
      </c>
      <c r="R743" s="9" t="str">
        <f t="shared" si="2"/>
        <v/>
      </c>
      <c r="S743" s="14" t="str">
        <f t="shared" si="3"/>
        <v/>
      </c>
      <c r="T743" s="15" t="str">
        <f>IFERROR(__xludf.DUMMYFUNCTION("IF($A743="""","""",IFERROR(PERCENTRANK.INC(FILTER(Q:Q,$F:$F&lt;&gt;""""),Q743)*100,""""))"),"")</f>
        <v/>
      </c>
      <c r="U743" s="15" t="str">
        <f>IFERROR(__xludf.DUMMYFUNCTION("IF($A743="""","""",IFERROR(PERCENTRANK.INC(FILTER(R:R,$F:$F&lt;&gt;""""),R743)*100,""""))"),"")</f>
        <v/>
      </c>
      <c r="V743" s="15" t="str">
        <f>IFERROR(__xludf.DUMMYFUNCTION("IF($A743="""","""",IFERROR(PERCENTRANK.INC(FILTER(S:S,$F:$F&lt;&gt;""""),S743)*100,""""))"),"")</f>
        <v/>
      </c>
      <c r="W743" s="15" t="str">
        <f t="shared" si="5"/>
        <v/>
      </c>
    </row>
    <row r="744">
      <c r="B744" t="str">
        <f t="array" ref="B744">IFERROR(INDEX('Player Raw Data'!C:C,Match($A744,'Player Raw Data'!$B:$B,0)),"")</f>
        <v/>
      </c>
      <c r="C744" t="str">
        <f t="array" ref="C744">IFERROR(INDEX('Player Raw Data'!D:D,Match($A744,'Player Raw Data'!$B:$B,0)),"")</f>
        <v/>
      </c>
      <c r="D744" t="str">
        <f t="array" ref="D744">IFERROR(IF(A744=A743, INDEX('Player Raw Data'!E:E,Match($A744,'Player Raw Data'!$B:$B,0)+2),INDEX('Player Raw Data'!E:E,Match($A744,'Player Raw Data'!$B:$B,0))),"")</f>
        <v/>
      </c>
      <c r="E744" t="str">
        <f t="array" ref="E744">IFERROR(INDEX('Day Range Raw Data'!D:D,Match($A744,'Day Range Raw Data'!$B:$B,0)),"")</f>
        <v/>
      </c>
      <c r="F744" t="str">
        <f t="array" ref="F744">IFERROR(INDEX('Day Range Raw Data'!F:F,Match($A744,'Day Range Raw Data'!$B:$B,0)),"")</f>
        <v/>
      </c>
      <c r="G744" t="str">
        <f t="array" ref="G744">IFERROR(INDEX('Day Range Raw Data'!G:G,Match($A744,'Day Range Raw Data'!$B:$B,0)),"")</f>
        <v/>
      </c>
      <c r="H744" t="str">
        <f t="array" ref="H744">IFERROR(INDEX('Day Range Raw Data'!H:H,Match($A744,'Day Range Raw Data'!$B:$B,0)),"")</f>
        <v/>
      </c>
      <c r="I744" t="str">
        <f t="array" ref="I744">IFERROR(INDEX('Day Range Raw Data'!M:M,Match($A744,'Day Range Raw Data'!$B:$B,0)),"")</f>
        <v/>
      </c>
      <c r="J744" t="str">
        <f t="array" ref="J744">IFERROR(INDEX('Day Range Raw Data'!N:N,Match($A744,'Day Range Raw Data'!$B:$B,0)),"")</f>
        <v/>
      </c>
      <c r="K744" t="str">
        <f t="array" ref="K744">IFERROR(INDEX('Day Range Raw Data'!R:R,Match($A744,'Day Range Raw Data'!$B:$B,0)),"")</f>
        <v/>
      </c>
      <c r="L744" t="str">
        <f t="array" ref="L744">IFERROR(INDEX('Day Range Raw Data'!S:S,Match($A744,'Day Range Raw Data'!$B:$B,0)),"")</f>
        <v/>
      </c>
      <c r="M744" t="str">
        <f t="array" ref="M744">IFERROR(INDEX('Day Range Raw Data'!T:T,Match($A744,'Day Range Raw Data'!$B:$B,0)),"")</f>
        <v/>
      </c>
      <c r="N744" t="str">
        <f t="array" ref="N744">IFERROR(INDEX('Day Range Raw Data'!U:U,Match($A744,'Day Range Raw Data'!$B:$B,0)),"")</f>
        <v/>
      </c>
      <c r="O744" t="str">
        <f t="array" ref="O744">IFERROR(INDEX('Day Range Raw Data'!V:V,Match($A744,'Day Range Raw Data'!$B:$B,0)),"")</f>
        <v/>
      </c>
      <c r="P744" t="str">
        <f t="array" ref="P744">IFERROR(INDEX('Day Range Raw Data'!X:X,Match($A744,'Day Range Raw Data'!$B:$B,0)),"")</f>
        <v/>
      </c>
      <c r="Q744" t="str">
        <f t="shared" si="1"/>
        <v/>
      </c>
      <c r="R744" s="9" t="str">
        <f t="shared" si="2"/>
        <v/>
      </c>
      <c r="S744" s="14" t="str">
        <f t="shared" si="3"/>
        <v/>
      </c>
      <c r="T744" s="15" t="str">
        <f>IFERROR(__xludf.DUMMYFUNCTION("IF($A744="""","""",IFERROR(PERCENTRANK.INC(FILTER(Q:Q,$F:$F&lt;&gt;""""),Q744)*100,""""))"),"")</f>
        <v/>
      </c>
      <c r="U744" s="15" t="str">
        <f>IFERROR(__xludf.DUMMYFUNCTION("IF($A744="""","""",IFERROR(PERCENTRANK.INC(FILTER(R:R,$F:$F&lt;&gt;""""),R744)*100,""""))"),"")</f>
        <v/>
      </c>
      <c r="V744" s="15" t="str">
        <f>IFERROR(__xludf.DUMMYFUNCTION("IF($A744="""","""",IFERROR(PERCENTRANK.INC(FILTER(S:S,$F:$F&lt;&gt;""""),S744)*100,""""))"),"")</f>
        <v/>
      </c>
      <c r="W744" s="15" t="str">
        <f t="shared" si="5"/>
        <v/>
      </c>
    </row>
    <row r="745">
      <c r="B745" t="str">
        <f t="array" ref="B745">IFERROR(INDEX('Player Raw Data'!C:C,Match($A745,'Player Raw Data'!$B:$B,0)),"")</f>
        <v/>
      </c>
      <c r="C745" t="str">
        <f t="array" ref="C745">IFERROR(INDEX('Player Raw Data'!D:D,Match($A745,'Player Raw Data'!$B:$B,0)),"")</f>
        <v/>
      </c>
      <c r="D745" t="str">
        <f t="array" ref="D745">IFERROR(IF(A745=A744, INDEX('Player Raw Data'!E:E,Match($A745,'Player Raw Data'!$B:$B,0)+2),INDEX('Player Raw Data'!E:E,Match($A745,'Player Raw Data'!$B:$B,0))),"")</f>
        <v/>
      </c>
      <c r="E745" t="str">
        <f t="array" ref="E745">IFERROR(INDEX('Day Range Raw Data'!D:D,Match($A745,'Day Range Raw Data'!$B:$B,0)),"")</f>
        <v/>
      </c>
      <c r="F745" t="str">
        <f t="array" ref="F745">IFERROR(INDEX('Day Range Raw Data'!F:F,Match($A745,'Day Range Raw Data'!$B:$B,0)),"")</f>
        <v/>
      </c>
      <c r="G745" t="str">
        <f t="array" ref="G745">IFERROR(INDEX('Day Range Raw Data'!G:G,Match($A745,'Day Range Raw Data'!$B:$B,0)),"")</f>
        <v/>
      </c>
      <c r="H745" t="str">
        <f t="array" ref="H745">IFERROR(INDEX('Day Range Raw Data'!H:H,Match($A745,'Day Range Raw Data'!$B:$B,0)),"")</f>
        <v/>
      </c>
      <c r="I745" t="str">
        <f t="array" ref="I745">IFERROR(INDEX('Day Range Raw Data'!M:M,Match($A745,'Day Range Raw Data'!$B:$B,0)),"")</f>
        <v/>
      </c>
      <c r="J745" t="str">
        <f t="array" ref="J745">IFERROR(INDEX('Day Range Raw Data'!N:N,Match($A745,'Day Range Raw Data'!$B:$B,0)),"")</f>
        <v/>
      </c>
      <c r="K745" t="str">
        <f t="array" ref="K745">IFERROR(INDEX('Day Range Raw Data'!R:R,Match($A745,'Day Range Raw Data'!$B:$B,0)),"")</f>
        <v/>
      </c>
      <c r="L745" t="str">
        <f t="array" ref="L745">IFERROR(INDEX('Day Range Raw Data'!S:S,Match($A745,'Day Range Raw Data'!$B:$B,0)),"")</f>
        <v/>
      </c>
      <c r="M745" t="str">
        <f t="array" ref="M745">IFERROR(INDEX('Day Range Raw Data'!T:T,Match($A745,'Day Range Raw Data'!$B:$B,0)),"")</f>
        <v/>
      </c>
      <c r="N745" t="str">
        <f t="array" ref="N745">IFERROR(INDEX('Day Range Raw Data'!U:U,Match($A745,'Day Range Raw Data'!$B:$B,0)),"")</f>
        <v/>
      </c>
      <c r="O745" t="str">
        <f t="array" ref="O745">IFERROR(INDEX('Day Range Raw Data'!V:V,Match($A745,'Day Range Raw Data'!$B:$B,0)),"")</f>
        <v/>
      </c>
      <c r="P745" t="str">
        <f t="array" ref="P745">IFERROR(INDEX('Day Range Raw Data'!X:X,Match($A745,'Day Range Raw Data'!$B:$B,0)),"")</f>
        <v/>
      </c>
      <c r="Q745" t="str">
        <f t="shared" si="1"/>
        <v/>
      </c>
      <c r="R745" s="9" t="str">
        <f t="shared" si="2"/>
        <v/>
      </c>
      <c r="S745" s="14" t="str">
        <f t="shared" si="3"/>
        <v/>
      </c>
      <c r="T745" s="15" t="str">
        <f>IFERROR(__xludf.DUMMYFUNCTION("IF($A745="""","""",IFERROR(PERCENTRANK.INC(FILTER(Q:Q,$F:$F&lt;&gt;""""),Q745)*100,""""))"),"")</f>
        <v/>
      </c>
      <c r="U745" s="15" t="str">
        <f>IFERROR(__xludf.DUMMYFUNCTION("IF($A745="""","""",IFERROR(PERCENTRANK.INC(FILTER(R:R,$F:$F&lt;&gt;""""),R745)*100,""""))"),"")</f>
        <v/>
      </c>
      <c r="V745" s="15" t="str">
        <f>IFERROR(__xludf.DUMMYFUNCTION("IF($A745="""","""",IFERROR(PERCENTRANK.INC(FILTER(S:S,$F:$F&lt;&gt;""""),S745)*100,""""))"),"")</f>
        <v/>
      </c>
      <c r="W745" s="15" t="str">
        <f t="shared" si="5"/>
        <v/>
      </c>
    </row>
    <row r="746">
      <c r="B746" t="str">
        <f t="array" ref="B746">IFERROR(INDEX('Player Raw Data'!C:C,Match($A746,'Player Raw Data'!$B:$B,0)),"")</f>
        <v/>
      </c>
      <c r="C746" t="str">
        <f t="array" ref="C746">IFERROR(INDEX('Player Raw Data'!D:D,Match($A746,'Player Raw Data'!$B:$B,0)),"")</f>
        <v/>
      </c>
      <c r="D746" t="str">
        <f t="array" ref="D746">IFERROR(IF(A746=A745, INDEX('Player Raw Data'!E:E,Match($A746,'Player Raw Data'!$B:$B,0)+2),INDEX('Player Raw Data'!E:E,Match($A746,'Player Raw Data'!$B:$B,0))),"")</f>
        <v/>
      </c>
      <c r="E746" t="str">
        <f t="array" ref="E746">IFERROR(INDEX('Day Range Raw Data'!D:D,Match($A746,'Day Range Raw Data'!$B:$B,0)),"")</f>
        <v/>
      </c>
      <c r="F746" t="str">
        <f t="array" ref="F746">IFERROR(INDEX('Day Range Raw Data'!F:F,Match($A746,'Day Range Raw Data'!$B:$B,0)),"")</f>
        <v/>
      </c>
      <c r="G746" t="str">
        <f t="array" ref="G746">IFERROR(INDEX('Day Range Raw Data'!G:G,Match($A746,'Day Range Raw Data'!$B:$B,0)),"")</f>
        <v/>
      </c>
      <c r="H746" t="str">
        <f t="array" ref="H746">IFERROR(INDEX('Day Range Raw Data'!H:H,Match($A746,'Day Range Raw Data'!$B:$B,0)),"")</f>
        <v/>
      </c>
      <c r="I746" t="str">
        <f t="array" ref="I746">IFERROR(INDEX('Day Range Raw Data'!M:M,Match($A746,'Day Range Raw Data'!$B:$B,0)),"")</f>
        <v/>
      </c>
      <c r="J746" t="str">
        <f t="array" ref="J746">IFERROR(INDEX('Day Range Raw Data'!N:N,Match($A746,'Day Range Raw Data'!$B:$B,0)),"")</f>
        <v/>
      </c>
      <c r="K746" t="str">
        <f t="array" ref="K746">IFERROR(INDEX('Day Range Raw Data'!R:R,Match($A746,'Day Range Raw Data'!$B:$B,0)),"")</f>
        <v/>
      </c>
      <c r="L746" t="str">
        <f t="array" ref="L746">IFERROR(INDEX('Day Range Raw Data'!S:S,Match($A746,'Day Range Raw Data'!$B:$B,0)),"")</f>
        <v/>
      </c>
      <c r="M746" t="str">
        <f t="array" ref="M746">IFERROR(INDEX('Day Range Raw Data'!T:T,Match($A746,'Day Range Raw Data'!$B:$B,0)),"")</f>
        <v/>
      </c>
      <c r="N746" t="str">
        <f t="array" ref="N746">IFERROR(INDEX('Day Range Raw Data'!U:U,Match($A746,'Day Range Raw Data'!$B:$B,0)),"")</f>
        <v/>
      </c>
      <c r="O746" t="str">
        <f t="array" ref="O746">IFERROR(INDEX('Day Range Raw Data'!V:V,Match($A746,'Day Range Raw Data'!$B:$B,0)),"")</f>
        <v/>
      </c>
      <c r="P746" t="str">
        <f t="array" ref="P746">IFERROR(INDEX('Day Range Raw Data'!X:X,Match($A746,'Day Range Raw Data'!$B:$B,0)),"")</f>
        <v/>
      </c>
      <c r="Q746" t="str">
        <f t="shared" si="1"/>
        <v/>
      </c>
      <c r="R746" s="9" t="str">
        <f t="shared" si="2"/>
        <v/>
      </c>
      <c r="S746" s="14" t="str">
        <f t="shared" si="3"/>
        <v/>
      </c>
      <c r="T746" s="15" t="str">
        <f>IFERROR(__xludf.DUMMYFUNCTION("IF($A746="""","""",IFERROR(PERCENTRANK.INC(FILTER(Q:Q,$F:$F&lt;&gt;""""),Q746)*100,""""))"),"")</f>
        <v/>
      </c>
      <c r="U746" s="15" t="str">
        <f>IFERROR(__xludf.DUMMYFUNCTION("IF($A746="""","""",IFERROR(PERCENTRANK.INC(FILTER(R:R,$F:$F&lt;&gt;""""),R746)*100,""""))"),"")</f>
        <v/>
      </c>
      <c r="V746" s="15" t="str">
        <f>IFERROR(__xludf.DUMMYFUNCTION("IF($A746="""","""",IFERROR(PERCENTRANK.INC(FILTER(S:S,$F:$F&lt;&gt;""""),S746)*100,""""))"),"")</f>
        <v/>
      </c>
      <c r="W746" s="15" t="str">
        <f t="shared" si="5"/>
        <v/>
      </c>
    </row>
    <row r="747">
      <c r="B747" t="str">
        <f t="array" ref="B747">IFERROR(INDEX('Player Raw Data'!C:C,Match($A747,'Player Raw Data'!$B:$B,0)),"")</f>
        <v/>
      </c>
      <c r="C747" t="str">
        <f t="array" ref="C747">IFERROR(INDEX('Player Raw Data'!D:D,Match($A747,'Player Raw Data'!$B:$B,0)),"")</f>
        <v/>
      </c>
      <c r="D747" t="str">
        <f t="array" ref="D747">IFERROR(IF(A747=A746, INDEX('Player Raw Data'!E:E,Match($A747,'Player Raw Data'!$B:$B,0)+2),INDEX('Player Raw Data'!E:E,Match($A747,'Player Raw Data'!$B:$B,0))),"")</f>
        <v/>
      </c>
      <c r="E747" t="str">
        <f t="array" ref="E747">IFERROR(INDEX('Day Range Raw Data'!D:D,Match($A747,'Day Range Raw Data'!$B:$B,0)),"")</f>
        <v/>
      </c>
      <c r="F747" t="str">
        <f t="array" ref="F747">IFERROR(INDEX('Day Range Raw Data'!F:F,Match($A747,'Day Range Raw Data'!$B:$B,0)),"")</f>
        <v/>
      </c>
      <c r="G747" t="str">
        <f t="array" ref="G747">IFERROR(INDEX('Day Range Raw Data'!G:G,Match($A747,'Day Range Raw Data'!$B:$B,0)),"")</f>
        <v/>
      </c>
      <c r="H747" t="str">
        <f t="array" ref="H747">IFERROR(INDEX('Day Range Raw Data'!H:H,Match($A747,'Day Range Raw Data'!$B:$B,0)),"")</f>
        <v/>
      </c>
      <c r="I747" t="str">
        <f t="array" ref="I747">IFERROR(INDEX('Day Range Raw Data'!M:M,Match($A747,'Day Range Raw Data'!$B:$B,0)),"")</f>
        <v/>
      </c>
      <c r="J747" t="str">
        <f t="array" ref="J747">IFERROR(INDEX('Day Range Raw Data'!N:N,Match($A747,'Day Range Raw Data'!$B:$B,0)),"")</f>
        <v/>
      </c>
      <c r="K747" t="str">
        <f t="array" ref="K747">IFERROR(INDEX('Day Range Raw Data'!R:R,Match($A747,'Day Range Raw Data'!$B:$B,0)),"")</f>
        <v/>
      </c>
      <c r="L747" t="str">
        <f t="array" ref="L747">IFERROR(INDEX('Day Range Raw Data'!S:S,Match($A747,'Day Range Raw Data'!$B:$B,0)),"")</f>
        <v/>
      </c>
      <c r="M747" t="str">
        <f t="array" ref="M747">IFERROR(INDEX('Day Range Raw Data'!T:T,Match($A747,'Day Range Raw Data'!$B:$B,0)),"")</f>
        <v/>
      </c>
      <c r="N747" t="str">
        <f t="array" ref="N747">IFERROR(INDEX('Day Range Raw Data'!U:U,Match($A747,'Day Range Raw Data'!$B:$B,0)),"")</f>
        <v/>
      </c>
      <c r="O747" t="str">
        <f t="array" ref="O747">IFERROR(INDEX('Day Range Raw Data'!V:V,Match($A747,'Day Range Raw Data'!$B:$B,0)),"")</f>
        <v/>
      </c>
      <c r="P747" t="str">
        <f t="array" ref="P747">IFERROR(INDEX('Day Range Raw Data'!X:X,Match($A747,'Day Range Raw Data'!$B:$B,0)),"")</f>
        <v/>
      </c>
      <c r="Q747" t="str">
        <f t="shared" si="1"/>
        <v/>
      </c>
      <c r="R747" s="9" t="str">
        <f t="shared" si="2"/>
        <v/>
      </c>
      <c r="S747" s="14" t="str">
        <f t="shared" si="3"/>
        <v/>
      </c>
      <c r="T747" s="15" t="str">
        <f>IFERROR(__xludf.DUMMYFUNCTION("IF($A747="""","""",IFERROR(PERCENTRANK.INC(FILTER(Q:Q,$F:$F&lt;&gt;""""),Q747)*100,""""))"),"")</f>
        <v/>
      </c>
      <c r="U747" s="15" t="str">
        <f>IFERROR(__xludf.DUMMYFUNCTION("IF($A747="""","""",IFERROR(PERCENTRANK.INC(FILTER(R:R,$F:$F&lt;&gt;""""),R747)*100,""""))"),"")</f>
        <v/>
      </c>
      <c r="V747" s="15" t="str">
        <f>IFERROR(__xludf.DUMMYFUNCTION("IF($A747="""","""",IFERROR(PERCENTRANK.INC(FILTER(S:S,$F:$F&lt;&gt;""""),S747)*100,""""))"),"")</f>
        <v/>
      </c>
      <c r="W747" s="15" t="str">
        <f t="shared" si="5"/>
        <v/>
      </c>
    </row>
    <row r="748">
      <c r="B748" t="str">
        <f t="array" ref="B748">IFERROR(INDEX('Player Raw Data'!C:C,Match($A748,'Player Raw Data'!$B:$B,0)),"")</f>
        <v/>
      </c>
      <c r="C748" t="str">
        <f t="array" ref="C748">IFERROR(INDEX('Player Raw Data'!D:D,Match($A748,'Player Raw Data'!$B:$B,0)),"")</f>
        <v/>
      </c>
      <c r="D748" t="str">
        <f t="array" ref="D748">IFERROR(IF(A748=A747, INDEX('Player Raw Data'!E:E,Match($A748,'Player Raw Data'!$B:$B,0)+2),INDEX('Player Raw Data'!E:E,Match($A748,'Player Raw Data'!$B:$B,0))),"")</f>
        <v/>
      </c>
      <c r="E748" t="str">
        <f t="array" ref="E748">IFERROR(INDEX('Day Range Raw Data'!D:D,Match($A748,'Day Range Raw Data'!$B:$B,0)),"")</f>
        <v/>
      </c>
      <c r="F748" t="str">
        <f t="array" ref="F748">IFERROR(INDEX('Day Range Raw Data'!F:F,Match($A748,'Day Range Raw Data'!$B:$B,0)),"")</f>
        <v/>
      </c>
      <c r="G748" t="str">
        <f t="array" ref="G748">IFERROR(INDEX('Day Range Raw Data'!G:G,Match($A748,'Day Range Raw Data'!$B:$B,0)),"")</f>
        <v/>
      </c>
      <c r="H748" t="str">
        <f t="array" ref="H748">IFERROR(INDEX('Day Range Raw Data'!H:H,Match($A748,'Day Range Raw Data'!$B:$B,0)),"")</f>
        <v/>
      </c>
      <c r="I748" t="str">
        <f t="array" ref="I748">IFERROR(INDEX('Day Range Raw Data'!M:M,Match($A748,'Day Range Raw Data'!$B:$B,0)),"")</f>
        <v/>
      </c>
      <c r="J748" t="str">
        <f t="array" ref="J748">IFERROR(INDEX('Day Range Raw Data'!N:N,Match($A748,'Day Range Raw Data'!$B:$B,0)),"")</f>
        <v/>
      </c>
      <c r="K748" t="str">
        <f t="array" ref="K748">IFERROR(INDEX('Day Range Raw Data'!R:R,Match($A748,'Day Range Raw Data'!$B:$B,0)),"")</f>
        <v/>
      </c>
      <c r="L748" t="str">
        <f t="array" ref="L748">IFERROR(INDEX('Day Range Raw Data'!S:S,Match($A748,'Day Range Raw Data'!$B:$B,0)),"")</f>
        <v/>
      </c>
      <c r="M748" t="str">
        <f t="array" ref="M748">IFERROR(INDEX('Day Range Raw Data'!T:T,Match($A748,'Day Range Raw Data'!$B:$B,0)),"")</f>
        <v/>
      </c>
      <c r="N748" t="str">
        <f t="array" ref="N748">IFERROR(INDEX('Day Range Raw Data'!U:U,Match($A748,'Day Range Raw Data'!$B:$B,0)),"")</f>
        <v/>
      </c>
      <c r="O748" t="str">
        <f t="array" ref="O748">IFERROR(INDEX('Day Range Raw Data'!V:V,Match($A748,'Day Range Raw Data'!$B:$B,0)),"")</f>
        <v/>
      </c>
      <c r="P748" t="str">
        <f t="array" ref="P748">IFERROR(INDEX('Day Range Raw Data'!X:X,Match($A748,'Day Range Raw Data'!$B:$B,0)),"")</f>
        <v/>
      </c>
      <c r="Q748" t="str">
        <f t="shared" si="1"/>
        <v/>
      </c>
      <c r="R748" s="9" t="str">
        <f t="shared" si="2"/>
        <v/>
      </c>
      <c r="S748" s="14" t="str">
        <f t="shared" si="3"/>
        <v/>
      </c>
      <c r="T748" s="15" t="str">
        <f>IFERROR(__xludf.DUMMYFUNCTION("IF($A748="""","""",IFERROR(PERCENTRANK.INC(FILTER(Q:Q,$F:$F&lt;&gt;""""),Q748)*100,""""))"),"")</f>
        <v/>
      </c>
      <c r="U748" s="15" t="str">
        <f>IFERROR(__xludf.DUMMYFUNCTION("IF($A748="""","""",IFERROR(PERCENTRANK.INC(FILTER(R:R,$F:$F&lt;&gt;""""),R748)*100,""""))"),"")</f>
        <v/>
      </c>
      <c r="V748" s="15" t="str">
        <f>IFERROR(__xludf.DUMMYFUNCTION("IF($A748="""","""",IFERROR(PERCENTRANK.INC(FILTER(S:S,$F:$F&lt;&gt;""""),S748)*100,""""))"),"")</f>
        <v/>
      </c>
      <c r="W748" s="15" t="str">
        <f t="shared" si="5"/>
        <v/>
      </c>
    </row>
    <row r="749">
      <c r="B749" t="str">
        <f t="array" ref="B749">IFERROR(INDEX('Player Raw Data'!C:C,Match($A749,'Player Raw Data'!$B:$B,0)),"")</f>
        <v/>
      </c>
      <c r="C749" t="str">
        <f t="array" ref="C749">IFERROR(INDEX('Player Raw Data'!D:D,Match($A749,'Player Raw Data'!$B:$B,0)),"")</f>
        <v/>
      </c>
      <c r="D749" t="str">
        <f t="array" ref="D749">IFERROR(IF(A749=A748, INDEX('Player Raw Data'!E:E,Match($A749,'Player Raw Data'!$B:$B,0)+2),INDEX('Player Raw Data'!E:E,Match($A749,'Player Raw Data'!$B:$B,0))),"")</f>
        <v/>
      </c>
      <c r="E749" t="str">
        <f t="array" ref="E749">IFERROR(INDEX('Day Range Raw Data'!D:D,Match($A749,'Day Range Raw Data'!$B:$B,0)),"")</f>
        <v/>
      </c>
      <c r="F749" t="str">
        <f t="array" ref="F749">IFERROR(INDEX('Day Range Raw Data'!F:F,Match($A749,'Day Range Raw Data'!$B:$B,0)),"")</f>
        <v/>
      </c>
      <c r="G749" t="str">
        <f t="array" ref="G749">IFERROR(INDEX('Day Range Raw Data'!G:G,Match($A749,'Day Range Raw Data'!$B:$B,0)),"")</f>
        <v/>
      </c>
      <c r="H749" t="str">
        <f t="array" ref="H749">IFERROR(INDEX('Day Range Raw Data'!H:H,Match($A749,'Day Range Raw Data'!$B:$B,0)),"")</f>
        <v/>
      </c>
      <c r="I749" t="str">
        <f t="array" ref="I749">IFERROR(INDEX('Day Range Raw Data'!M:M,Match($A749,'Day Range Raw Data'!$B:$B,0)),"")</f>
        <v/>
      </c>
      <c r="J749" t="str">
        <f t="array" ref="J749">IFERROR(INDEX('Day Range Raw Data'!N:N,Match($A749,'Day Range Raw Data'!$B:$B,0)),"")</f>
        <v/>
      </c>
      <c r="K749" t="str">
        <f t="array" ref="K749">IFERROR(INDEX('Day Range Raw Data'!R:R,Match($A749,'Day Range Raw Data'!$B:$B,0)),"")</f>
        <v/>
      </c>
      <c r="L749" t="str">
        <f t="array" ref="L749">IFERROR(INDEX('Day Range Raw Data'!S:S,Match($A749,'Day Range Raw Data'!$B:$B,0)),"")</f>
        <v/>
      </c>
      <c r="M749" t="str">
        <f t="array" ref="M749">IFERROR(INDEX('Day Range Raw Data'!T:T,Match($A749,'Day Range Raw Data'!$B:$B,0)),"")</f>
        <v/>
      </c>
      <c r="N749" t="str">
        <f t="array" ref="N749">IFERROR(INDEX('Day Range Raw Data'!U:U,Match($A749,'Day Range Raw Data'!$B:$B,0)),"")</f>
        <v/>
      </c>
      <c r="O749" t="str">
        <f t="array" ref="O749">IFERROR(INDEX('Day Range Raw Data'!V:V,Match($A749,'Day Range Raw Data'!$B:$B,0)),"")</f>
        <v/>
      </c>
      <c r="P749" t="str">
        <f t="array" ref="P749">IFERROR(INDEX('Day Range Raw Data'!X:X,Match($A749,'Day Range Raw Data'!$B:$B,0)),"")</f>
        <v/>
      </c>
      <c r="Q749" t="str">
        <f t="shared" si="1"/>
        <v/>
      </c>
      <c r="R749" s="9" t="str">
        <f t="shared" si="2"/>
        <v/>
      </c>
      <c r="S749" s="14" t="str">
        <f t="shared" si="3"/>
        <v/>
      </c>
      <c r="T749" s="15" t="str">
        <f>IFERROR(__xludf.DUMMYFUNCTION("IF($A749="""","""",IFERROR(PERCENTRANK.INC(FILTER(Q:Q,$F:$F&lt;&gt;""""),Q749)*100,""""))"),"")</f>
        <v/>
      </c>
      <c r="U749" s="15" t="str">
        <f>IFERROR(__xludf.DUMMYFUNCTION("IF($A749="""","""",IFERROR(PERCENTRANK.INC(FILTER(R:R,$F:$F&lt;&gt;""""),R749)*100,""""))"),"")</f>
        <v/>
      </c>
      <c r="V749" s="15" t="str">
        <f>IFERROR(__xludf.DUMMYFUNCTION("IF($A749="""","""",IFERROR(PERCENTRANK.INC(FILTER(S:S,$F:$F&lt;&gt;""""),S749)*100,""""))"),"")</f>
        <v/>
      </c>
      <c r="W749" s="15" t="str">
        <f t="shared" si="5"/>
        <v/>
      </c>
    </row>
    <row r="750">
      <c r="B750" t="str">
        <f t="array" ref="B750">IFERROR(INDEX('Player Raw Data'!C:C,Match($A750,'Player Raw Data'!$B:$B,0)),"")</f>
        <v/>
      </c>
      <c r="C750" t="str">
        <f t="array" ref="C750">IFERROR(INDEX('Player Raw Data'!D:D,Match($A750,'Player Raw Data'!$B:$B,0)),"")</f>
        <v/>
      </c>
      <c r="D750" t="str">
        <f t="array" ref="D750">IFERROR(IF(A750=A749, INDEX('Player Raw Data'!E:E,Match($A750,'Player Raw Data'!$B:$B,0)+2),INDEX('Player Raw Data'!E:E,Match($A750,'Player Raw Data'!$B:$B,0))),"")</f>
        <v/>
      </c>
      <c r="E750" t="str">
        <f t="array" ref="E750">IFERROR(INDEX('Day Range Raw Data'!D:D,Match($A750,'Day Range Raw Data'!$B:$B,0)),"")</f>
        <v/>
      </c>
      <c r="F750" t="str">
        <f t="array" ref="F750">IFERROR(INDEX('Day Range Raw Data'!F:F,Match($A750,'Day Range Raw Data'!$B:$B,0)),"")</f>
        <v/>
      </c>
      <c r="G750" t="str">
        <f t="array" ref="G750">IFERROR(INDEX('Day Range Raw Data'!G:G,Match($A750,'Day Range Raw Data'!$B:$B,0)),"")</f>
        <v/>
      </c>
      <c r="H750" t="str">
        <f t="array" ref="H750">IFERROR(INDEX('Day Range Raw Data'!H:H,Match($A750,'Day Range Raw Data'!$B:$B,0)),"")</f>
        <v/>
      </c>
      <c r="I750" t="str">
        <f t="array" ref="I750">IFERROR(INDEX('Day Range Raw Data'!M:M,Match($A750,'Day Range Raw Data'!$B:$B,0)),"")</f>
        <v/>
      </c>
      <c r="J750" t="str">
        <f t="array" ref="J750">IFERROR(INDEX('Day Range Raw Data'!N:N,Match($A750,'Day Range Raw Data'!$B:$B,0)),"")</f>
        <v/>
      </c>
      <c r="K750" t="str">
        <f t="array" ref="K750">IFERROR(INDEX('Day Range Raw Data'!R:R,Match($A750,'Day Range Raw Data'!$B:$B,0)),"")</f>
        <v/>
      </c>
      <c r="L750" t="str">
        <f t="array" ref="L750">IFERROR(INDEX('Day Range Raw Data'!S:S,Match($A750,'Day Range Raw Data'!$B:$B,0)),"")</f>
        <v/>
      </c>
      <c r="M750" t="str">
        <f t="array" ref="M750">IFERROR(INDEX('Day Range Raw Data'!T:T,Match($A750,'Day Range Raw Data'!$B:$B,0)),"")</f>
        <v/>
      </c>
      <c r="N750" t="str">
        <f t="array" ref="N750">IFERROR(INDEX('Day Range Raw Data'!U:U,Match($A750,'Day Range Raw Data'!$B:$B,0)),"")</f>
        <v/>
      </c>
      <c r="O750" t="str">
        <f t="array" ref="O750">IFERROR(INDEX('Day Range Raw Data'!V:V,Match($A750,'Day Range Raw Data'!$B:$B,0)),"")</f>
        <v/>
      </c>
      <c r="P750" t="str">
        <f t="array" ref="P750">IFERROR(INDEX('Day Range Raw Data'!X:X,Match($A750,'Day Range Raw Data'!$B:$B,0)),"")</f>
        <v/>
      </c>
      <c r="Q750" t="str">
        <f t="shared" si="1"/>
        <v/>
      </c>
      <c r="R750" s="9" t="str">
        <f t="shared" si="2"/>
        <v/>
      </c>
      <c r="S750" s="14" t="str">
        <f t="shared" si="3"/>
        <v/>
      </c>
      <c r="T750" s="15" t="str">
        <f>IFERROR(__xludf.DUMMYFUNCTION("IF($A750="""","""",IFERROR(PERCENTRANK.INC(FILTER(Q:Q,$F:$F&lt;&gt;""""),Q750)*100,""""))"),"")</f>
        <v/>
      </c>
      <c r="U750" s="15" t="str">
        <f>IFERROR(__xludf.DUMMYFUNCTION("IF($A750="""","""",IFERROR(PERCENTRANK.INC(FILTER(R:R,$F:$F&lt;&gt;""""),R750)*100,""""))"),"")</f>
        <v/>
      </c>
      <c r="V750" s="15" t="str">
        <f>IFERROR(__xludf.DUMMYFUNCTION("IF($A750="""","""",IFERROR(PERCENTRANK.INC(FILTER(S:S,$F:$F&lt;&gt;""""),S750)*100,""""))"),"")</f>
        <v/>
      </c>
      <c r="W750" s="15" t="str">
        <f t="shared" si="5"/>
        <v/>
      </c>
    </row>
    <row r="751">
      <c r="B751" t="str">
        <f t="array" ref="B751">IFERROR(INDEX('Player Raw Data'!C:C,Match($A751,'Player Raw Data'!$B:$B,0)),"")</f>
        <v/>
      </c>
      <c r="C751" t="str">
        <f t="array" ref="C751">IFERROR(INDEX('Player Raw Data'!D:D,Match($A751,'Player Raw Data'!$B:$B,0)),"")</f>
        <v/>
      </c>
      <c r="D751" t="str">
        <f t="array" ref="D751">IFERROR(IF(A751=A750, INDEX('Player Raw Data'!E:E,Match($A751,'Player Raw Data'!$B:$B,0)+2),INDEX('Player Raw Data'!E:E,Match($A751,'Player Raw Data'!$B:$B,0))),"")</f>
        <v/>
      </c>
      <c r="E751" t="str">
        <f t="array" ref="E751">IFERROR(INDEX('Day Range Raw Data'!D:D,Match($A751,'Day Range Raw Data'!$B:$B,0)),"")</f>
        <v/>
      </c>
      <c r="F751" t="str">
        <f t="array" ref="F751">IFERROR(INDEX('Day Range Raw Data'!F:F,Match($A751,'Day Range Raw Data'!$B:$B,0)),"")</f>
        <v/>
      </c>
      <c r="G751" t="str">
        <f t="array" ref="G751">IFERROR(INDEX('Day Range Raw Data'!G:G,Match($A751,'Day Range Raw Data'!$B:$B,0)),"")</f>
        <v/>
      </c>
      <c r="H751" t="str">
        <f t="array" ref="H751">IFERROR(INDEX('Day Range Raw Data'!H:H,Match($A751,'Day Range Raw Data'!$B:$B,0)),"")</f>
        <v/>
      </c>
      <c r="I751" t="str">
        <f t="array" ref="I751">IFERROR(INDEX('Day Range Raw Data'!M:M,Match($A751,'Day Range Raw Data'!$B:$B,0)),"")</f>
        <v/>
      </c>
      <c r="J751" t="str">
        <f t="array" ref="J751">IFERROR(INDEX('Day Range Raw Data'!N:N,Match($A751,'Day Range Raw Data'!$B:$B,0)),"")</f>
        <v/>
      </c>
      <c r="K751" t="str">
        <f t="array" ref="K751">IFERROR(INDEX('Day Range Raw Data'!R:R,Match($A751,'Day Range Raw Data'!$B:$B,0)),"")</f>
        <v/>
      </c>
      <c r="L751" t="str">
        <f t="array" ref="L751">IFERROR(INDEX('Day Range Raw Data'!S:S,Match($A751,'Day Range Raw Data'!$B:$B,0)),"")</f>
        <v/>
      </c>
      <c r="M751" t="str">
        <f t="array" ref="M751">IFERROR(INDEX('Day Range Raw Data'!T:T,Match($A751,'Day Range Raw Data'!$B:$B,0)),"")</f>
        <v/>
      </c>
      <c r="N751" t="str">
        <f t="array" ref="N751">IFERROR(INDEX('Day Range Raw Data'!U:U,Match($A751,'Day Range Raw Data'!$B:$B,0)),"")</f>
        <v/>
      </c>
      <c r="O751" t="str">
        <f t="array" ref="O751">IFERROR(INDEX('Day Range Raw Data'!V:V,Match($A751,'Day Range Raw Data'!$B:$B,0)),"")</f>
        <v/>
      </c>
      <c r="P751" t="str">
        <f t="array" ref="P751">IFERROR(INDEX('Day Range Raw Data'!X:X,Match($A751,'Day Range Raw Data'!$B:$B,0)),"")</f>
        <v/>
      </c>
      <c r="Q751" t="str">
        <f t="shared" si="1"/>
        <v/>
      </c>
      <c r="R751" s="9" t="str">
        <f t="shared" si="2"/>
        <v/>
      </c>
      <c r="S751" s="14" t="str">
        <f t="shared" si="3"/>
        <v/>
      </c>
      <c r="T751" s="15" t="str">
        <f>IFERROR(__xludf.DUMMYFUNCTION("IF($A751="""","""",IFERROR(PERCENTRANK.INC(FILTER(Q:Q,$F:$F&lt;&gt;""""),Q751)*100,""""))"),"")</f>
        <v/>
      </c>
      <c r="U751" s="15" t="str">
        <f>IFERROR(__xludf.DUMMYFUNCTION("IF($A751="""","""",IFERROR(PERCENTRANK.INC(FILTER(R:R,$F:$F&lt;&gt;""""),R751)*100,""""))"),"")</f>
        <v/>
      </c>
      <c r="V751" s="15" t="str">
        <f>IFERROR(__xludf.DUMMYFUNCTION("IF($A751="""","""",IFERROR(PERCENTRANK.INC(FILTER(S:S,$F:$F&lt;&gt;""""),S751)*100,""""))"),"")</f>
        <v/>
      </c>
      <c r="W751" s="15" t="str">
        <f t="shared" si="5"/>
        <v/>
      </c>
    </row>
    <row r="752">
      <c r="B752" t="str">
        <f t="array" ref="B752">IFERROR(INDEX('Player Raw Data'!C:C,Match($A752,'Player Raw Data'!$B:$B,0)),"")</f>
        <v/>
      </c>
      <c r="C752" t="str">
        <f t="array" ref="C752">IFERROR(INDEX('Player Raw Data'!D:D,Match($A752,'Player Raw Data'!$B:$B,0)),"")</f>
        <v/>
      </c>
      <c r="D752" t="str">
        <f t="array" ref="D752">IFERROR(IF(A752=A751, INDEX('Player Raw Data'!E:E,Match($A752,'Player Raw Data'!$B:$B,0)+2),INDEX('Player Raw Data'!E:E,Match($A752,'Player Raw Data'!$B:$B,0))),"")</f>
        <v/>
      </c>
      <c r="E752" t="str">
        <f t="array" ref="E752">IFERROR(INDEX('Day Range Raw Data'!D:D,Match($A752,'Day Range Raw Data'!$B:$B,0)),"")</f>
        <v/>
      </c>
      <c r="F752" t="str">
        <f t="array" ref="F752">IFERROR(INDEX('Day Range Raw Data'!F:F,Match($A752,'Day Range Raw Data'!$B:$B,0)),"")</f>
        <v/>
      </c>
      <c r="G752" t="str">
        <f t="array" ref="G752">IFERROR(INDEX('Day Range Raw Data'!G:G,Match($A752,'Day Range Raw Data'!$B:$B,0)),"")</f>
        <v/>
      </c>
      <c r="H752" t="str">
        <f t="array" ref="H752">IFERROR(INDEX('Day Range Raw Data'!H:H,Match($A752,'Day Range Raw Data'!$B:$B,0)),"")</f>
        <v/>
      </c>
      <c r="I752" t="str">
        <f t="array" ref="I752">IFERROR(INDEX('Day Range Raw Data'!M:M,Match($A752,'Day Range Raw Data'!$B:$B,0)),"")</f>
        <v/>
      </c>
      <c r="J752" t="str">
        <f t="array" ref="J752">IFERROR(INDEX('Day Range Raw Data'!N:N,Match($A752,'Day Range Raw Data'!$B:$B,0)),"")</f>
        <v/>
      </c>
      <c r="K752" t="str">
        <f t="array" ref="K752">IFERROR(INDEX('Day Range Raw Data'!R:R,Match($A752,'Day Range Raw Data'!$B:$B,0)),"")</f>
        <v/>
      </c>
      <c r="L752" t="str">
        <f t="array" ref="L752">IFERROR(INDEX('Day Range Raw Data'!S:S,Match($A752,'Day Range Raw Data'!$B:$B,0)),"")</f>
        <v/>
      </c>
      <c r="M752" t="str">
        <f t="array" ref="M752">IFERROR(INDEX('Day Range Raw Data'!T:T,Match($A752,'Day Range Raw Data'!$B:$B,0)),"")</f>
        <v/>
      </c>
      <c r="N752" t="str">
        <f t="array" ref="N752">IFERROR(INDEX('Day Range Raw Data'!U:U,Match($A752,'Day Range Raw Data'!$B:$B,0)),"")</f>
        <v/>
      </c>
      <c r="O752" t="str">
        <f t="array" ref="O752">IFERROR(INDEX('Day Range Raw Data'!V:V,Match($A752,'Day Range Raw Data'!$B:$B,0)),"")</f>
        <v/>
      </c>
      <c r="P752" t="str">
        <f t="array" ref="P752">IFERROR(INDEX('Day Range Raw Data'!X:X,Match($A752,'Day Range Raw Data'!$B:$B,0)),"")</f>
        <v/>
      </c>
      <c r="Q752" t="str">
        <f t="shared" si="1"/>
        <v/>
      </c>
      <c r="R752" s="9" t="str">
        <f t="shared" si="2"/>
        <v/>
      </c>
      <c r="S752" s="14" t="str">
        <f t="shared" si="3"/>
        <v/>
      </c>
      <c r="T752" s="15" t="str">
        <f>IFERROR(__xludf.DUMMYFUNCTION("IF($A752="""","""",IFERROR(PERCENTRANK.INC(FILTER(Q:Q,$F:$F&lt;&gt;""""),Q752)*100,""""))"),"")</f>
        <v/>
      </c>
      <c r="U752" s="15" t="str">
        <f>IFERROR(__xludf.DUMMYFUNCTION("IF($A752="""","""",IFERROR(PERCENTRANK.INC(FILTER(R:R,$F:$F&lt;&gt;""""),R752)*100,""""))"),"")</f>
        <v/>
      </c>
      <c r="V752" s="15" t="str">
        <f>IFERROR(__xludf.DUMMYFUNCTION("IF($A752="""","""",IFERROR(PERCENTRANK.INC(FILTER(S:S,$F:$F&lt;&gt;""""),S752)*100,""""))"),"")</f>
        <v/>
      </c>
      <c r="W752" s="15" t="str">
        <f t="shared" si="5"/>
        <v/>
      </c>
    </row>
    <row r="753">
      <c r="B753" t="str">
        <f t="array" ref="B753">IFERROR(INDEX('Player Raw Data'!C:C,Match($A753,'Player Raw Data'!$B:$B,0)),"")</f>
        <v/>
      </c>
      <c r="C753" t="str">
        <f t="array" ref="C753">IFERROR(INDEX('Player Raw Data'!D:D,Match($A753,'Player Raw Data'!$B:$B,0)),"")</f>
        <v/>
      </c>
      <c r="D753" t="str">
        <f t="array" ref="D753">IFERROR(IF(A753=A752, INDEX('Player Raw Data'!E:E,Match($A753,'Player Raw Data'!$B:$B,0)+2),INDEX('Player Raw Data'!E:E,Match($A753,'Player Raw Data'!$B:$B,0))),"")</f>
        <v/>
      </c>
      <c r="E753" t="str">
        <f t="array" ref="E753">IFERROR(INDEX('Day Range Raw Data'!D:D,Match($A753,'Day Range Raw Data'!$B:$B,0)),"")</f>
        <v/>
      </c>
      <c r="F753" t="str">
        <f t="array" ref="F753">IFERROR(INDEX('Day Range Raw Data'!F:F,Match($A753,'Day Range Raw Data'!$B:$B,0)),"")</f>
        <v/>
      </c>
      <c r="G753" t="str">
        <f t="array" ref="G753">IFERROR(INDEX('Day Range Raw Data'!G:G,Match($A753,'Day Range Raw Data'!$B:$B,0)),"")</f>
        <v/>
      </c>
      <c r="H753" t="str">
        <f t="array" ref="H753">IFERROR(INDEX('Day Range Raw Data'!H:H,Match($A753,'Day Range Raw Data'!$B:$B,0)),"")</f>
        <v/>
      </c>
      <c r="I753" t="str">
        <f t="array" ref="I753">IFERROR(INDEX('Day Range Raw Data'!M:M,Match($A753,'Day Range Raw Data'!$B:$B,0)),"")</f>
        <v/>
      </c>
      <c r="J753" t="str">
        <f t="array" ref="J753">IFERROR(INDEX('Day Range Raw Data'!N:N,Match($A753,'Day Range Raw Data'!$B:$B,0)),"")</f>
        <v/>
      </c>
      <c r="K753" t="str">
        <f t="array" ref="K753">IFERROR(INDEX('Day Range Raw Data'!R:R,Match($A753,'Day Range Raw Data'!$B:$B,0)),"")</f>
        <v/>
      </c>
      <c r="L753" t="str">
        <f t="array" ref="L753">IFERROR(INDEX('Day Range Raw Data'!S:S,Match($A753,'Day Range Raw Data'!$B:$B,0)),"")</f>
        <v/>
      </c>
      <c r="M753" t="str">
        <f t="array" ref="M753">IFERROR(INDEX('Day Range Raw Data'!T:T,Match($A753,'Day Range Raw Data'!$B:$B,0)),"")</f>
        <v/>
      </c>
      <c r="N753" t="str">
        <f t="array" ref="N753">IFERROR(INDEX('Day Range Raw Data'!U:U,Match($A753,'Day Range Raw Data'!$B:$B,0)),"")</f>
        <v/>
      </c>
      <c r="O753" t="str">
        <f t="array" ref="O753">IFERROR(INDEX('Day Range Raw Data'!V:V,Match($A753,'Day Range Raw Data'!$B:$B,0)),"")</f>
        <v/>
      </c>
      <c r="P753" t="str">
        <f t="array" ref="P753">IFERROR(INDEX('Day Range Raw Data'!X:X,Match($A753,'Day Range Raw Data'!$B:$B,0)),"")</f>
        <v/>
      </c>
      <c r="Q753" t="str">
        <f t="shared" si="1"/>
        <v/>
      </c>
      <c r="R753" s="9" t="str">
        <f t="shared" si="2"/>
        <v/>
      </c>
      <c r="S753" s="14" t="str">
        <f t="shared" si="3"/>
        <v/>
      </c>
      <c r="T753" s="15" t="str">
        <f>IFERROR(__xludf.DUMMYFUNCTION("IF($A753="""","""",IFERROR(PERCENTRANK.INC(FILTER(Q:Q,$F:$F&lt;&gt;""""),Q753)*100,""""))"),"")</f>
        <v/>
      </c>
      <c r="U753" s="15" t="str">
        <f>IFERROR(__xludf.DUMMYFUNCTION("IF($A753="""","""",IFERROR(PERCENTRANK.INC(FILTER(R:R,$F:$F&lt;&gt;""""),R753)*100,""""))"),"")</f>
        <v/>
      </c>
      <c r="V753" s="15" t="str">
        <f>IFERROR(__xludf.DUMMYFUNCTION("IF($A753="""","""",IFERROR(PERCENTRANK.INC(FILTER(S:S,$F:$F&lt;&gt;""""),S753)*100,""""))"),"")</f>
        <v/>
      </c>
      <c r="W753" s="15" t="str">
        <f t="shared" si="5"/>
        <v/>
      </c>
    </row>
    <row r="754">
      <c r="B754" t="str">
        <f t="array" ref="B754">IFERROR(INDEX('Player Raw Data'!C:C,Match($A754,'Player Raw Data'!$B:$B,0)),"")</f>
        <v/>
      </c>
      <c r="C754" t="str">
        <f t="array" ref="C754">IFERROR(INDEX('Player Raw Data'!D:D,Match($A754,'Player Raw Data'!$B:$B,0)),"")</f>
        <v/>
      </c>
      <c r="D754" t="str">
        <f t="array" ref="D754">IFERROR(IF(A754=A753, INDEX('Player Raw Data'!E:E,Match($A754,'Player Raw Data'!$B:$B,0)+2),INDEX('Player Raw Data'!E:E,Match($A754,'Player Raw Data'!$B:$B,0))),"")</f>
        <v/>
      </c>
      <c r="E754" t="str">
        <f t="array" ref="E754">IFERROR(INDEX('Day Range Raw Data'!D:D,Match($A754,'Day Range Raw Data'!$B:$B,0)),"")</f>
        <v/>
      </c>
      <c r="F754" t="str">
        <f t="array" ref="F754">IFERROR(INDEX('Day Range Raw Data'!F:F,Match($A754,'Day Range Raw Data'!$B:$B,0)),"")</f>
        <v/>
      </c>
      <c r="G754" t="str">
        <f t="array" ref="G754">IFERROR(INDEX('Day Range Raw Data'!G:G,Match($A754,'Day Range Raw Data'!$B:$B,0)),"")</f>
        <v/>
      </c>
      <c r="H754" t="str">
        <f t="array" ref="H754">IFERROR(INDEX('Day Range Raw Data'!H:H,Match($A754,'Day Range Raw Data'!$B:$B,0)),"")</f>
        <v/>
      </c>
      <c r="I754" t="str">
        <f t="array" ref="I754">IFERROR(INDEX('Day Range Raw Data'!M:M,Match($A754,'Day Range Raw Data'!$B:$B,0)),"")</f>
        <v/>
      </c>
      <c r="J754" t="str">
        <f t="array" ref="J754">IFERROR(INDEX('Day Range Raw Data'!N:N,Match($A754,'Day Range Raw Data'!$B:$B,0)),"")</f>
        <v/>
      </c>
      <c r="K754" t="str">
        <f t="array" ref="K754">IFERROR(INDEX('Day Range Raw Data'!R:R,Match($A754,'Day Range Raw Data'!$B:$B,0)),"")</f>
        <v/>
      </c>
      <c r="L754" t="str">
        <f t="array" ref="L754">IFERROR(INDEX('Day Range Raw Data'!S:S,Match($A754,'Day Range Raw Data'!$B:$B,0)),"")</f>
        <v/>
      </c>
      <c r="M754" t="str">
        <f t="array" ref="M754">IFERROR(INDEX('Day Range Raw Data'!T:T,Match($A754,'Day Range Raw Data'!$B:$B,0)),"")</f>
        <v/>
      </c>
      <c r="N754" t="str">
        <f t="array" ref="N754">IFERROR(INDEX('Day Range Raw Data'!U:U,Match($A754,'Day Range Raw Data'!$B:$B,0)),"")</f>
        <v/>
      </c>
      <c r="O754" t="str">
        <f t="array" ref="O754">IFERROR(INDEX('Day Range Raw Data'!V:V,Match($A754,'Day Range Raw Data'!$B:$B,0)),"")</f>
        <v/>
      </c>
      <c r="P754" t="str">
        <f t="array" ref="P754">IFERROR(INDEX('Day Range Raw Data'!X:X,Match($A754,'Day Range Raw Data'!$B:$B,0)),"")</f>
        <v/>
      </c>
      <c r="Q754" t="str">
        <f t="shared" si="1"/>
        <v/>
      </c>
      <c r="R754" s="9" t="str">
        <f t="shared" si="2"/>
        <v/>
      </c>
      <c r="S754" s="14" t="str">
        <f t="shared" si="3"/>
        <v/>
      </c>
      <c r="T754" s="15" t="str">
        <f>IFERROR(__xludf.DUMMYFUNCTION("IF($A754="""","""",IFERROR(PERCENTRANK.INC(FILTER(Q:Q,$F:$F&lt;&gt;""""),Q754)*100,""""))"),"")</f>
        <v/>
      </c>
      <c r="U754" s="15" t="str">
        <f>IFERROR(__xludf.DUMMYFUNCTION("IF($A754="""","""",IFERROR(PERCENTRANK.INC(FILTER(R:R,$F:$F&lt;&gt;""""),R754)*100,""""))"),"")</f>
        <v/>
      </c>
      <c r="V754" s="15" t="str">
        <f>IFERROR(__xludf.DUMMYFUNCTION("IF($A754="""","""",IFERROR(PERCENTRANK.INC(FILTER(S:S,$F:$F&lt;&gt;""""),S754)*100,""""))"),"")</f>
        <v/>
      </c>
      <c r="W754" s="15" t="str">
        <f t="shared" si="5"/>
        <v/>
      </c>
    </row>
    <row r="755">
      <c r="B755" t="str">
        <f t="array" ref="B755">IFERROR(INDEX('Player Raw Data'!C:C,Match($A755,'Player Raw Data'!$B:$B,0)),"")</f>
        <v/>
      </c>
      <c r="C755" t="str">
        <f t="array" ref="C755">IFERROR(INDEX('Player Raw Data'!D:D,Match($A755,'Player Raw Data'!$B:$B,0)),"")</f>
        <v/>
      </c>
      <c r="D755" t="str">
        <f t="array" ref="D755">IFERROR(IF(A755=A754, INDEX('Player Raw Data'!E:E,Match($A755,'Player Raw Data'!$B:$B,0)+2),INDEX('Player Raw Data'!E:E,Match($A755,'Player Raw Data'!$B:$B,0))),"")</f>
        <v/>
      </c>
      <c r="E755" t="str">
        <f t="array" ref="E755">IFERROR(INDEX('Day Range Raw Data'!D:D,Match($A755,'Day Range Raw Data'!$B:$B,0)),"")</f>
        <v/>
      </c>
      <c r="F755" t="str">
        <f t="array" ref="F755">IFERROR(INDEX('Day Range Raw Data'!F:F,Match($A755,'Day Range Raw Data'!$B:$B,0)),"")</f>
        <v/>
      </c>
      <c r="G755" t="str">
        <f t="array" ref="G755">IFERROR(INDEX('Day Range Raw Data'!G:G,Match($A755,'Day Range Raw Data'!$B:$B,0)),"")</f>
        <v/>
      </c>
      <c r="H755" t="str">
        <f t="array" ref="H755">IFERROR(INDEX('Day Range Raw Data'!H:H,Match($A755,'Day Range Raw Data'!$B:$B,0)),"")</f>
        <v/>
      </c>
      <c r="I755" t="str">
        <f t="array" ref="I755">IFERROR(INDEX('Day Range Raw Data'!M:M,Match($A755,'Day Range Raw Data'!$B:$B,0)),"")</f>
        <v/>
      </c>
      <c r="J755" t="str">
        <f t="array" ref="J755">IFERROR(INDEX('Day Range Raw Data'!N:N,Match($A755,'Day Range Raw Data'!$B:$B,0)),"")</f>
        <v/>
      </c>
      <c r="K755" t="str">
        <f t="array" ref="K755">IFERROR(INDEX('Day Range Raw Data'!R:R,Match($A755,'Day Range Raw Data'!$B:$B,0)),"")</f>
        <v/>
      </c>
      <c r="L755" t="str">
        <f t="array" ref="L755">IFERROR(INDEX('Day Range Raw Data'!S:S,Match($A755,'Day Range Raw Data'!$B:$B,0)),"")</f>
        <v/>
      </c>
      <c r="M755" t="str">
        <f t="array" ref="M755">IFERROR(INDEX('Day Range Raw Data'!T:T,Match($A755,'Day Range Raw Data'!$B:$B,0)),"")</f>
        <v/>
      </c>
      <c r="N755" t="str">
        <f t="array" ref="N755">IFERROR(INDEX('Day Range Raw Data'!U:U,Match($A755,'Day Range Raw Data'!$B:$B,0)),"")</f>
        <v/>
      </c>
      <c r="O755" t="str">
        <f t="array" ref="O755">IFERROR(INDEX('Day Range Raw Data'!V:V,Match($A755,'Day Range Raw Data'!$B:$B,0)),"")</f>
        <v/>
      </c>
      <c r="P755" t="str">
        <f t="array" ref="P755">IFERROR(INDEX('Day Range Raw Data'!X:X,Match($A755,'Day Range Raw Data'!$B:$B,0)),"")</f>
        <v/>
      </c>
      <c r="Q755" t="str">
        <f t="shared" si="1"/>
        <v/>
      </c>
      <c r="R755" s="9" t="str">
        <f t="shared" si="2"/>
        <v/>
      </c>
      <c r="S755" s="14" t="str">
        <f t="shared" si="3"/>
        <v/>
      </c>
      <c r="T755" s="15" t="str">
        <f>IFERROR(__xludf.DUMMYFUNCTION("IF($A755="""","""",IFERROR(PERCENTRANK.INC(FILTER(Q:Q,$F:$F&lt;&gt;""""),Q755)*100,""""))"),"")</f>
        <v/>
      </c>
      <c r="U755" s="15" t="str">
        <f>IFERROR(__xludf.DUMMYFUNCTION("IF($A755="""","""",IFERROR(PERCENTRANK.INC(FILTER(R:R,$F:$F&lt;&gt;""""),R755)*100,""""))"),"")</f>
        <v/>
      </c>
      <c r="V755" s="15" t="str">
        <f>IFERROR(__xludf.DUMMYFUNCTION("IF($A755="""","""",IFERROR(PERCENTRANK.INC(FILTER(S:S,$F:$F&lt;&gt;""""),S755)*100,""""))"),"")</f>
        <v/>
      </c>
      <c r="W755" s="15" t="str">
        <f t="shared" si="5"/>
        <v/>
      </c>
    </row>
    <row r="756">
      <c r="B756" t="str">
        <f t="array" ref="B756">IFERROR(INDEX('Player Raw Data'!C:C,Match($A756,'Player Raw Data'!$B:$B,0)),"")</f>
        <v/>
      </c>
      <c r="C756" t="str">
        <f t="array" ref="C756">IFERROR(INDEX('Player Raw Data'!D:D,Match($A756,'Player Raw Data'!$B:$B,0)),"")</f>
        <v/>
      </c>
      <c r="D756" t="str">
        <f t="array" ref="D756">IFERROR(IF(A756=A755, INDEX('Player Raw Data'!E:E,Match($A756,'Player Raw Data'!$B:$B,0)+2),INDEX('Player Raw Data'!E:E,Match($A756,'Player Raw Data'!$B:$B,0))),"")</f>
        <v/>
      </c>
      <c r="E756" t="str">
        <f t="array" ref="E756">IFERROR(INDEX('Day Range Raw Data'!D:D,Match($A756,'Day Range Raw Data'!$B:$B,0)),"")</f>
        <v/>
      </c>
      <c r="F756" t="str">
        <f t="array" ref="F756">IFERROR(INDEX('Day Range Raw Data'!F:F,Match($A756,'Day Range Raw Data'!$B:$B,0)),"")</f>
        <v/>
      </c>
      <c r="G756" t="str">
        <f t="array" ref="G756">IFERROR(INDEX('Day Range Raw Data'!G:G,Match($A756,'Day Range Raw Data'!$B:$B,0)),"")</f>
        <v/>
      </c>
      <c r="H756" t="str">
        <f t="array" ref="H756">IFERROR(INDEX('Day Range Raw Data'!H:H,Match($A756,'Day Range Raw Data'!$B:$B,0)),"")</f>
        <v/>
      </c>
      <c r="I756" t="str">
        <f t="array" ref="I756">IFERROR(INDEX('Day Range Raw Data'!M:M,Match($A756,'Day Range Raw Data'!$B:$B,0)),"")</f>
        <v/>
      </c>
      <c r="J756" t="str">
        <f t="array" ref="J756">IFERROR(INDEX('Day Range Raw Data'!N:N,Match($A756,'Day Range Raw Data'!$B:$B,0)),"")</f>
        <v/>
      </c>
      <c r="K756" t="str">
        <f t="array" ref="K756">IFERROR(INDEX('Day Range Raw Data'!R:R,Match($A756,'Day Range Raw Data'!$B:$B,0)),"")</f>
        <v/>
      </c>
      <c r="L756" t="str">
        <f t="array" ref="L756">IFERROR(INDEX('Day Range Raw Data'!S:S,Match($A756,'Day Range Raw Data'!$B:$B,0)),"")</f>
        <v/>
      </c>
      <c r="M756" t="str">
        <f t="array" ref="M756">IFERROR(INDEX('Day Range Raw Data'!T:T,Match($A756,'Day Range Raw Data'!$B:$B,0)),"")</f>
        <v/>
      </c>
      <c r="N756" t="str">
        <f t="array" ref="N756">IFERROR(INDEX('Day Range Raw Data'!U:U,Match($A756,'Day Range Raw Data'!$B:$B,0)),"")</f>
        <v/>
      </c>
      <c r="O756" t="str">
        <f t="array" ref="O756">IFERROR(INDEX('Day Range Raw Data'!V:V,Match($A756,'Day Range Raw Data'!$B:$B,0)),"")</f>
        <v/>
      </c>
      <c r="P756" t="str">
        <f t="array" ref="P756">IFERROR(INDEX('Day Range Raw Data'!X:X,Match($A756,'Day Range Raw Data'!$B:$B,0)),"")</f>
        <v/>
      </c>
      <c r="Q756" t="str">
        <f t="shared" si="1"/>
        <v/>
      </c>
      <c r="R756" s="9" t="str">
        <f t="shared" si="2"/>
        <v/>
      </c>
      <c r="S756" s="14" t="str">
        <f t="shared" si="3"/>
        <v/>
      </c>
      <c r="T756" s="15" t="str">
        <f>IFERROR(__xludf.DUMMYFUNCTION("IF($A756="""","""",IFERROR(PERCENTRANK.INC(FILTER(Q:Q,$F:$F&lt;&gt;""""),Q756)*100,""""))"),"")</f>
        <v/>
      </c>
      <c r="U756" s="15" t="str">
        <f>IFERROR(__xludf.DUMMYFUNCTION("IF($A756="""","""",IFERROR(PERCENTRANK.INC(FILTER(R:R,$F:$F&lt;&gt;""""),R756)*100,""""))"),"")</f>
        <v/>
      </c>
      <c r="V756" s="15" t="str">
        <f>IFERROR(__xludf.DUMMYFUNCTION("IF($A756="""","""",IFERROR(PERCENTRANK.INC(FILTER(S:S,$F:$F&lt;&gt;""""),S756)*100,""""))"),"")</f>
        <v/>
      </c>
      <c r="W756" s="15" t="str">
        <f t="shared" si="5"/>
        <v/>
      </c>
    </row>
    <row r="757">
      <c r="B757" t="str">
        <f t="array" ref="B757">IFERROR(INDEX('Player Raw Data'!C:C,Match($A757,'Player Raw Data'!$B:$B,0)),"")</f>
        <v/>
      </c>
      <c r="C757" t="str">
        <f t="array" ref="C757">IFERROR(INDEX('Player Raw Data'!D:D,Match($A757,'Player Raw Data'!$B:$B,0)),"")</f>
        <v/>
      </c>
      <c r="D757" t="str">
        <f t="array" ref="D757">IFERROR(IF(A757=A756, INDEX('Player Raw Data'!E:E,Match($A757,'Player Raw Data'!$B:$B,0)+2),INDEX('Player Raw Data'!E:E,Match($A757,'Player Raw Data'!$B:$B,0))),"")</f>
        <v/>
      </c>
      <c r="E757" t="str">
        <f t="array" ref="E757">IFERROR(INDEX('Day Range Raw Data'!D:D,Match($A757,'Day Range Raw Data'!$B:$B,0)),"")</f>
        <v/>
      </c>
      <c r="F757" t="str">
        <f t="array" ref="F757">IFERROR(INDEX('Day Range Raw Data'!F:F,Match($A757,'Day Range Raw Data'!$B:$B,0)),"")</f>
        <v/>
      </c>
      <c r="G757" t="str">
        <f t="array" ref="G757">IFERROR(INDEX('Day Range Raw Data'!G:G,Match($A757,'Day Range Raw Data'!$B:$B,0)),"")</f>
        <v/>
      </c>
      <c r="H757" t="str">
        <f t="array" ref="H757">IFERROR(INDEX('Day Range Raw Data'!H:H,Match($A757,'Day Range Raw Data'!$B:$B,0)),"")</f>
        <v/>
      </c>
      <c r="I757" t="str">
        <f t="array" ref="I757">IFERROR(INDEX('Day Range Raw Data'!M:M,Match($A757,'Day Range Raw Data'!$B:$B,0)),"")</f>
        <v/>
      </c>
      <c r="J757" t="str">
        <f t="array" ref="J757">IFERROR(INDEX('Day Range Raw Data'!N:N,Match($A757,'Day Range Raw Data'!$B:$B,0)),"")</f>
        <v/>
      </c>
      <c r="K757" t="str">
        <f t="array" ref="K757">IFERROR(INDEX('Day Range Raw Data'!R:R,Match($A757,'Day Range Raw Data'!$B:$B,0)),"")</f>
        <v/>
      </c>
      <c r="L757" t="str">
        <f t="array" ref="L757">IFERROR(INDEX('Day Range Raw Data'!S:S,Match($A757,'Day Range Raw Data'!$B:$B,0)),"")</f>
        <v/>
      </c>
      <c r="M757" t="str">
        <f t="array" ref="M757">IFERROR(INDEX('Day Range Raw Data'!T:T,Match($A757,'Day Range Raw Data'!$B:$B,0)),"")</f>
        <v/>
      </c>
      <c r="N757" t="str">
        <f t="array" ref="N757">IFERROR(INDEX('Day Range Raw Data'!U:U,Match($A757,'Day Range Raw Data'!$B:$B,0)),"")</f>
        <v/>
      </c>
      <c r="O757" t="str">
        <f t="array" ref="O757">IFERROR(INDEX('Day Range Raw Data'!V:V,Match($A757,'Day Range Raw Data'!$B:$B,0)),"")</f>
        <v/>
      </c>
      <c r="P757" t="str">
        <f t="array" ref="P757">IFERROR(INDEX('Day Range Raw Data'!X:X,Match($A757,'Day Range Raw Data'!$B:$B,0)),"")</f>
        <v/>
      </c>
      <c r="Q757" t="str">
        <f t="shared" si="1"/>
        <v/>
      </c>
      <c r="R757" s="9" t="str">
        <f t="shared" si="2"/>
        <v/>
      </c>
      <c r="S757" s="14" t="str">
        <f t="shared" si="3"/>
        <v/>
      </c>
      <c r="T757" s="15" t="str">
        <f>IFERROR(__xludf.DUMMYFUNCTION("IF($A757="""","""",IFERROR(PERCENTRANK.INC(FILTER(Q:Q,$F:$F&lt;&gt;""""),Q757)*100,""""))"),"")</f>
        <v/>
      </c>
      <c r="U757" s="15" t="str">
        <f>IFERROR(__xludf.DUMMYFUNCTION("IF($A757="""","""",IFERROR(PERCENTRANK.INC(FILTER(R:R,$F:$F&lt;&gt;""""),R757)*100,""""))"),"")</f>
        <v/>
      </c>
      <c r="V757" s="15" t="str">
        <f>IFERROR(__xludf.DUMMYFUNCTION("IF($A757="""","""",IFERROR(PERCENTRANK.INC(FILTER(S:S,$F:$F&lt;&gt;""""),S757)*100,""""))"),"")</f>
        <v/>
      </c>
      <c r="W757" s="15" t="str">
        <f t="shared" si="5"/>
        <v/>
      </c>
    </row>
    <row r="758">
      <c r="B758" t="str">
        <f t="array" ref="B758">IFERROR(INDEX('Player Raw Data'!C:C,Match($A758,'Player Raw Data'!$B:$B,0)),"")</f>
        <v/>
      </c>
      <c r="C758" t="str">
        <f t="array" ref="C758">IFERROR(INDEX('Player Raw Data'!D:D,Match($A758,'Player Raw Data'!$B:$B,0)),"")</f>
        <v/>
      </c>
      <c r="D758" t="str">
        <f t="array" ref="D758">IFERROR(IF(A758=A757, INDEX('Player Raw Data'!E:E,Match($A758,'Player Raw Data'!$B:$B,0)+2),INDEX('Player Raw Data'!E:E,Match($A758,'Player Raw Data'!$B:$B,0))),"")</f>
        <v/>
      </c>
      <c r="E758" t="str">
        <f t="array" ref="E758">IFERROR(INDEX('Day Range Raw Data'!D:D,Match($A758,'Day Range Raw Data'!$B:$B,0)),"")</f>
        <v/>
      </c>
      <c r="F758" t="str">
        <f t="array" ref="F758">IFERROR(INDEX('Day Range Raw Data'!F:F,Match($A758,'Day Range Raw Data'!$B:$B,0)),"")</f>
        <v/>
      </c>
      <c r="G758" t="str">
        <f t="array" ref="G758">IFERROR(INDEX('Day Range Raw Data'!G:G,Match($A758,'Day Range Raw Data'!$B:$B,0)),"")</f>
        <v/>
      </c>
      <c r="H758" t="str">
        <f t="array" ref="H758">IFERROR(INDEX('Day Range Raw Data'!H:H,Match($A758,'Day Range Raw Data'!$B:$B,0)),"")</f>
        <v/>
      </c>
      <c r="I758" t="str">
        <f t="array" ref="I758">IFERROR(INDEX('Day Range Raw Data'!M:M,Match($A758,'Day Range Raw Data'!$B:$B,0)),"")</f>
        <v/>
      </c>
      <c r="J758" t="str">
        <f t="array" ref="J758">IFERROR(INDEX('Day Range Raw Data'!N:N,Match($A758,'Day Range Raw Data'!$B:$B,0)),"")</f>
        <v/>
      </c>
      <c r="K758" t="str">
        <f t="array" ref="K758">IFERROR(INDEX('Day Range Raw Data'!R:R,Match($A758,'Day Range Raw Data'!$B:$B,0)),"")</f>
        <v/>
      </c>
      <c r="L758" t="str">
        <f t="array" ref="L758">IFERROR(INDEX('Day Range Raw Data'!S:S,Match($A758,'Day Range Raw Data'!$B:$B,0)),"")</f>
        <v/>
      </c>
      <c r="M758" t="str">
        <f t="array" ref="M758">IFERROR(INDEX('Day Range Raw Data'!T:T,Match($A758,'Day Range Raw Data'!$B:$B,0)),"")</f>
        <v/>
      </c>
      <c r="N758" t="str">
        <f t="array" ref="N758">IFERROR(INDEX('Day Range Raw Data'!U:U,Match($A758,'Day Range Raw Data'!$B:$B,0)),"")</f>
        <v/>
      </c>
      <c r="O758" t="str">
        <f t="array" ref="O758">IFERROR(INDEX('Day Range Raw Data'!V:V,Match($A758,'Day Range Raw Data'!$B:$B,0)),"")</f>
        <v/>
      </c>
      <c r="P758" t="str">
        <f t="array" ref="P758">IFERROR(INDEX('Day Range Raw Data'!X:X,Match($A758,'Day Range Raw Data'!$B:$B,0)),"")</f>
        <v/>
      </c>
      <c r="Q758" t="str">
        <f t="shared" si="1"/>
        <v/>
      </c>
      <c r="R758" s="9" t="str">
        <f t="shared" si="2"/>
        <v/>
      </c>
      <c r="S758" s="14" t="str">
        <f t="shared" si="3"/>
        <v/>
      </c>
      <c r="T758" s="15" t="str">
        <f>IFERROR(__xludf.DUMMYFUNCTION("IF($A758="""","""",IFERROR(PERCENTRANK.INC(FILTER(Q:Q,$F:$F&lt;&gt;""""),Q758)*100,""""))"),"")</f>
        <v/>
      </c>
      <c r="U758" s="15" t="str">
        <f>IFERROR(__xludf.DUMMYFUNCTION("IF($A758="""","""",IFERROR(PERCENTRANK.INC(FILTER(R:R,$F:$F&lt;&gt;""""),R758)*100,""""))"),"")</f>
        <v/>
      </c>
      <c r="V758" s="15" t="str">
        <f>IFERROR(__xludf.DUMMYFUNCTION("IF($A758="""","""",IFERROR(PERCENTRANK.INC(FILTER(S:S,$F:$F&lt;&gt;""""),S758)*100,""""))"),"")</f>
        <v/>
      </c>
      <c r="W758" s="15" t="str">
        <f t="shared" si="5"/>
        <v/>
      </c>
    </row>
    <row r="759">
      <c r="B759" t="str">
        <f t="array" ref="B759">IFERROR(INDEX('Player Raw Data'!C:C,Match($A759,'Player Raw Data'!$B:$B,0)),"")</f>
        <v/>
      </c>
      <c r="C759" t="str">
        <f t="array" ref="C759">IFERROR(INDEX('Player Raw Data'!D:D,Match($A759,'Player Raw Data'!$B:$B,0)),"")</f>
        <v/>
      </c>
      <c r="D759" t="str">
        <f t="array" ref="D759">IFERROR(IF(A759=A758, INDEX('Player Raw Data'!E:E,Match($A759,'Player Raw Data'!$B:$B,0)+2),INDEX('Player Raw Data'!E:E,Match($A759,'Player Raw Data'!$B:$B,0))),"")</f>
        <v/>
      </c>
      <c r="E759" t="str">
        <f t="array" ref="E759">IFERROR(INDEX('Day Range Raw Data'!D:D,Match($A759,'Day Range Raw Data'!$B:$B,0)),"")</f>
        <v/>
      </c>
      <c r="F759" t="str">
        <f t="array" ref="F759">IFERROR(INDEX('Day Range Raw Data'!F:F,Match($A759,'Day Range Raw Data'!$B:$B,0)),"")</f>
        <v/>
      </c>
      <c r="G759" t="str">
        <f t="array" ref="G759">IFERROR(INDEX('Day Range Raw Data'!G:G,Match($A759,'Day Range Raw Data'!$B:$B,0)),"")</f>
        <v/>
      </c>
      <c r="H759" t="str">
        <f t="array" ref="H759">IFERROR(INDEX('Day Range Raw Data'!H:H,Match($A759,'Day Range Raw Data'!$B:$B,0)),"")</f>
        <v/>
      </c>
      <c r="I759" t="str">
        <f t="array" ref="I759">IFERROR(INDEX('Day Range Raw Data'!M:M,Match($A759,'Day Range Raw Data'!$B:$B,0)),"")</f>
        <v/>
      </c>
      <c r="J759" t="str">
        <f t="array" ref="J759">IFERROR(INDEX('Day Range Raw Data'!N:N,Match($A759,'Day Range Raw Data'!$B:$B,0)),"")</f>
        <v/>
      </c>
      <c r="K759" t="str">
        <f t="array" ref="K759">IFERROR(INDEX('Day Range Raw Data'!R:R,Match($A759,'Day Range Raw Data'!$B:$B,0)),"")</f>
        <v/>
      </c>
      <c r="L759" t="str">
        <f t="array" ref="L759">IFERROR(INDEX('Day Range Raw Data'!S:S,Match($A759,'Day Range Raw Data'!$B:$B,0)),"")</f>
        <v/>
      </c>
      <c r="M759" t="str">
        <f t="array" ref="M759">IFERROR(INDEX('Day Range Raw Data'!T:T,Match($A759,'Day Range Raw Data'!$B:$B,0)),"")</f>
        <v/>
      </c>
      <c r="N759" t="str">
        <f t="array" ref="N759">IFERROR(INDEX('Day Range Raw Data'!U:U,Match($A759,'Day Range Raw Data'!$B:$B,0)),"")</f>
        <v/>
      </c>
      <c r="O759" t="str">
        <f t="array" ref="O759">IFERROR(INDEX('Day Range Raw Data'!V:V,Match($A759,'Day Range Raw Data'!$B:$B,0)),"")</f>
        <v/>
      </c>
      <c r="P759" t="str">
        <f t="array" ref="P759">IFERROR(INDEX('Day Range Raw Data'!X:X,Match($A759,'Day Range Raw Data'!$B:$B,0)),"")</f>
        <v/>
      </c>
      <c r="Q759" t="str">
        <f t="shared" si="1"/>
        <v/>
      </c>
      <c r="R759" s="9" t="str">
        <f t="shared" si="2"/>
        <v/>
      </c>
      <c r="S759" s="14" t="str">
        <f t="shared" si="3"/>
        <v/>
      </c>
      <c r="T759" s="15" t="str">
        <f>IFERROR(__xludf.DUMMYFUNCTION("IF($A759="""","""",IFERROR(PERCENTRANK.INC(FILTER(Q:Q,$F:$F&lt;&gt;""""),Q759)*100,""""))"),"")</f>
        <v/>
      </c>
      <c r="U759" s="15" t="str">
        <f>IFERROR(__xludf.DUMMYFUNCTION("IF($A759="""","""",IFERROR(PERCENTRANK.INC(FILTER(R:R,$F:$F&lt;&gt;""""),R759)*100,""""))"),"")</f>
        <v/>
      </c>
      <c r="V759" s="15" t="str">
        <f>IFERROR(__xludf.DUMMYFUNCTION("IF($A759="""","""",IFERROR(PERCENTRANK.INC(FILTER(S:S,$F:$F&lt;&gt;""""),S759)*100,""""))"),"")</f>
        <v/>
      </c>
      <c r="W759" s="15" t="str">
        <f t="shared" si="5"/>
        <v/>
      </c>
    </row>
    <row r="760">
      <c r="B760" t="str">
        <f t="array" ref="B760">IFERROR(INDEX('Player Raw Data'!C:C,Match($A760,'Player Raw Data'!$B:$B,0)),"")</f>
        <v/>
      </c>
      <c r="C760" t="str">
        <f t="array" ref="C760">IFERROR(INDEX('Player Raw Data'!D:D,Match($A760,'Player Raw Data'!$B:$B,0)),"")</f>
        <v/>
      </c>
      <c r="D760" t="str">
        <f t="array" ref="D760">IFERROR(IF(A760=A759, INDEX('Player Raw Data'!E:E,Match($A760,'Player Raw Data'!$B:$B,0)+2),INDEX('Player Raw Data'!E:E,Match($A760,'Player Raw Data'!$B:$B,0))),"")</f>
        <v/>
      </c>
      <c r="E760" t="str">
        <f t="array" ref="E760">IFERROR(INDEX('Day Range Raw Data'!D:D,Match($A760,'Day Range Raw Data'!$B:$B,0)),"")</f>
        <v/>
      </c>
      <c r="F760" t="str">
        <f t="array" ref="F760">IFERROR(INDEX('Day Range Raw Data'!F:F,Match($A760,'Day Range Raw Data'!$B:$B,0)),"")</f>
        <v/>
      </c>
      <c r="G760" t="str">
        <f t="array" ref="G760">IFERROR(INDEX('Day Range Raw Data'!G:G,Match($A760,'Day Range Raw Data'!$B:$B,0)),"")</f>
        <v/>
      </c>
      <c r="H760" t="str">
        <f t="array" ref="H760">IFERROR(INDEX('Day Range Raw Data'!H:H,Match($A760,'Day Range Raw Data'!$B:$B,0)),"")</f>
        <v/>
      </c>
      <c r="I760" t="str">
        <f t="array" ref="I760">IFERROR(INDEX('Day Range Raw Data'!M:M,Match($A760,'Day Range Raw Data'!$B:$B,0)),"")</f>
        <v/>
      </c>
      <c r="J760" t="str">
        <f t="array" ref="J760">IFERROR(INDEX('Day Range Raw Data'!N:N,Match($A760,'Day Range Raw Data'!$B:$B,0)),"")</f>
        <v/>
      </c>
      <c r="K760" t="str">
        <f t="array" ref="K760">IFERROR(INDEX('Day Range Raw Data'!R:R,Match($A760,'Day Range Raw Data'!$B:$B,0)),"")</f>
        <v/>
      </c>
      <c r="L760" t="str">
        <f t="array" ref="L760">IFERROR(INDEX('Day Range Raw Data'!S:S,Match($A760,'Day Range Raw Data'!$B:$B,0)),"")</f>
        <v/>
      </c>
      <c r="M760" t="str">
        <f t="array" ref="M760">IFERROR(INDEX('Day Range Raw Data'!T:T,Match($A760,'Day Range Raw Data'!$B:$B,0)),"")</f>
        <v/>
      </c>
      <c r="N760" t="str">
        <f t="array" ref="N760">IFERROR(INDEX('Day Range Raw Data'!U:U,Match($A760,'Day Range Raw Data'!$B:$B,0)),"")</f>
        <v/>
      </c>
      <c r="O760" t="str">
        <f t="array" ref="O760">IFERROR(INDEX('Day Range Raw Data'!V:V,Match($A760,'Day Range Raw Data'!$B:$B,0)),"")</f>
        <v/>
      </c>
      <c r="P760" t="str">
        <f t="array" ref="P760">IFERROR(INDEX('Day Range Raw Data'!X:X,Match($A760,'Day Range Raw Data'!$B:$B,0)),"")</f>
        <v/>
      </c>
      <c r="Q760" t="str">
        <f t="shared" si="1"/>
        <v/>
      </c>
      <c r="R760" s="9" t="str">
        <f t="shared" si="2"/>
        <v/>
      </c>
      <c r="S760" s="14" t="str">
        <f t="shared" si="3"/>
        <v/>
      </c>
      <c r="T760" s="15" t="str">
        <f>IFERROR(__xludf.DUMMYFUNCTION("IF($A760="""","""",IFERROR(PERCENTRANK.INC(FILTER(Q:Q,$F:$F&lt;&gt;""""),Q760)*100,""""))"),"")</f>
        <v/>
      </c>
      <c r="U760" s="15" t="str">
        <f>IFERROR(__xludf.DUMMYFUNCTION("IF($A760="""","""",IFERROR(PERCENTRANK.INC(FILTER(R:R,$F:$F&lt;&gt;""""),R760)*100,""""))"),"")</f>
        <v/>
      </c>
      <c r="V760" s="15" t="str">
        <f>IFERROR(__xludf.DUMMYFUNCTION("IF($A760="""","""",IFERROR(PERCENTRANK.INC(FILTER(S:S,$F:$F&lt;&gt;""""),S760)*100,""""))"),"")</f>
        <v/>
      </c>
      <c r="W760" s="15" t="str">
        <f t="shared" si="5"/>
        <v/>
      </c>
    </row>
    <row r="761">
      <c r="B761" t="str">
        <f t="array" ref="B761">IFERROR(INDEX('Player Raw Data'!C:C,Match($A761,'Player Raw Data'!$B:$B,0)),"")</f>
        <v/>
      </c>
      <c r="C761" t="str">
        <f t="array" ref="C761">IFERROR(INDEX('Player Raw Data'!D:D,Match($A761,'Player Raw Data'!$B:$B,0)),"")</f>
        <v/>
      </c>
      <c r="D761" t="str">
        <f t="array" ref="D761">IFERROR(IF(A761=A760, INDEX('Player Raw Data'!E:E,Match($A761,'Player Raw Data'!$B:$B,0)+2),INDEX('Player Raw Data'!E:E,Match($A761,'Player Raw Data'!$B:$B,0))),"")</f>
        <v/>
      </c>
      <c r="E761" t="str">
        <f t="array" ref="E761">IFERROR(INDEX('Day Range Raw Data'!D:D,Match($A761,'Day Range Raw Data'!$B:$B,0)),"")</f>
        <v/>
      </c>
      <c r="F761" t="str">
        <f t="array" ref="F761">IFERROR(INDEX('Day Range Raw Data'!F:F,Match($A761,'Day Range Raw Data'!$B:$B,0)),"")</f>
        <v/>
      </c>
      <c r="G761" t="str">
        <f t="array" ref="G761">IFERROR(INDEX('Day Range Raw Data'!G:G,Match($A761,'Day Range Raw Data'!$B:$B,0)),"")</f>
        <v/>
      </c>
      <c r="H761" t="str">
        <f t="array" ref="H761">IFERROR(INDEX('Day Range Raw Data'!H:H,Match($A761,'Day Range Raw Data'!$B:$B,0)),"")</f>
        <v/>
      </c>
      <c r="I761" t="str">
        <f t="array" ref="I761">IFERROR(INDEX('Day Range Raw Data'!M:M,Match($A761,'Day Range Raw Data'!$B:$B,0)),"")</f>
        <v/>
      </c>
      <c r="J761" t="str">
        <f t="array" ref="J761">IFERROR(INDEX('Day Range Raw Data'!N:N,Match($A761,'Day Range Raw Data'!$B:$B,0)),"")</f>
        <v/>
      </c>
      <c r="K761" t="str">
        <f t="array" ref="K761">IFERROR(INDEX('Day Range Raw Data'!R:R,Match($A761,'Day Range Raw Data'!$B:$B,0)),"")</f>
        <v/>
      </c>
      <c r="L761" t="str">
        <f t="array" ref="L761">IFERROR(INDEX('Day Range Raw Data'!S:S,Match($A761,'Day Range Raw Data'!$B:$B,0)),"")</f>
        <v/>
      </c>
      <c r="M761" t="str">
        <f t="array" ref="M761">IFERROR(INDEX('Day Range Raw Data'!T:T,Match($A761,'Day Range Raw Data'!$B:$B,0)),"")</f>
        <v/>
      </c>
      <c r="N761" t="str">
        <f t="array" ref="N761">IFERROR(INDEX('Day Range Raw Data'!U:U,Match($A761,'Day Range Raw Data'!$B:$B,0)),"")</f>
        <v/>
      </c>
      <c r="O761" t="str">
        <f t="array" ref="O761">IFERROR(INDEX('Day Range Raw Data'!V:V,Match($A761,'Day Range Raw Data'!$B:$B,0)),"")</f>
        <v/>
      </c>
      <c r="P761" t="str">
        <f t="array" ref="P761">IFERROR(INDEX('Day Range Raw Data'!X:X,Match($A761,'Day Range Raw Data'!$B:$B,0)),"")</f>
        <v/>
      </c>
      <c r="Q761" t="str">
        <f t="shared" si="1"/>
        <v/>
      </c>
      <c r="R761" s="9" t="str">
        <f t="shared" si="2"/>
        <v/>
      </c>
      <c r="S761" s="14" t="str">
        <f t="shared" si="3"/>
        <v/>
      </c>
      <c r="T761" s="15" t="str">
        <f>IFERROR(__xludf.DUMMYFUNCTION("IF($A761="""","""",IFERROR(PERCENTRANK.INC(FILTER(Q:Q,$F:$F&lt;&gt;""""),Q761)*100,""""))"),"")</f>
        <v/>
      </c>
      <c r="U761" s="15" t="str">
        <f>IFERROR(__xludf.DUMMYFUNCTION("IF($A761="""","""",IFERROR(PERCENTRANK.INC(FILTER(R:R,$F:$F&lt;&gt;""""),R761)*100,""""))"),"")</f>
        <v/>
      </c>
      <c r="V761" s="15" t="str">
        <f>IFERROR(__xludf.DUMMYFUNCTION("IF($A761="""","""",IFERROR(PERCENTRANK.INC(FILTER(S:S,$F:$F&lt;&gt;""""),S761)*100,""""))"),"")</f>
        <v/>
      </c>
      <c r="W761" s="15" t="str">
        <f t="shared" si="5"/>
        <v/>
      </c>
    </row>
    <row r="762">
      <c r="B762" t="str">
        <f t="array" ref="B762">IFERROR(INDEX('Player Raw Data'!C:C,Match($A762,'Player Raw Data'!$B:$B,0)),"")</f>
        <v/>
      </c>
      <c r="C762" t="str">
        <f t="array" ref="C762">IFERROR(INDEX('Player Raw Data'!D:D,Match($A762,'Player Raw Data'!$B:$B,0)),"")</f>
        <v/>
      </c>
      <c r="D762" t="str">
        <f t="array" ref="D762">IFERROR(IF(A762=A761, INDEX('Player Raw Data'!E:E,Match($A762,'Player Raw Data'!$B:$B,0)+2),INDEX('Player Raw Data'!E:E,Match($A762,'Player Raw Data'!$B:$B,0))),"")</f>
        <v/>
      </c>
      <c r="E762" t="str">
        <f t="array" ref="E762">IFERROR(INDEX('Day Range Raw Data'!D:D,Match($A762,'Day Range Raw Data'!$B:$B,0)),"")</f>
        <v/>
      </c>
      <c r="F762" t="str">
        <f t="array" ref="F762">IFERROR(INDEX('Day Range Raw Data'!F:F,Match($A762,'Day Range Raw Data'!$B:$B,0)),"")</f>
        <v/>
      </c>
      <c r="G762" t="str">
        <f t="array" ref="G762">IFERROR(INDEX('Day Range Raw Data'!G:G,Match($A762,'Day Range Raw Data'!$B:$B,0)),"")</f>
        <v/>
      </c>
      <c r="H762" t="str">
        <f t="array" ref="H762">IFERROR(INDEX('Day Range Raw Data'!H:H,Match($A762,'Day Range Raw Data'!$B:$B,0)),"")</f>
        <v/>
      </c>
      <c r="I762" t="str">
        <f t="array" ref="I762">IFERROR(INDEX('Day Range Raw Data'!M:M,Match($A762,'Day Range Raw Data'!$B:$B,0)),"")</f>
        <v/>
      </c>
      <c r="J762" t="str">
        <f t="array" ref="J762">IFERROR(INDEX('Day Range Raw Data'!N:N,Match($A762,'Day Range Raw Data'!$B:$B,0)),"")</f>
        <v/>
      </c>
      <c r="K762" t="str">
        <f t="array" ref="K762">IFERROR(INDEX('Day Range Raw Data'!R:R,Match($A762,'Day Range Raw Data'!$B:$B,0)),"")</f>
        <v/>
      </c>
      <c r="L762" t="str">
        <f t="array" ref="L762">IFERROR(INDEX('Day Range Raw Data'!S:S,Match($A762,'Day Range Raw Data'!$B:$B,0)),"")</f>
        <v/>
      </c>
      <c r="M762" t="str">
        <f t="array" ref="M762">IFERROR(INDEX('Day Range Raw Data'!T:T,Match($A762,'Day Range Raw Data'!$B:$B,0)),"")</f>
        <v/>
      </c>
      <c r="N762" t="str">
        <f t="array" ref="N762">IFERROR(INDEX('Day Range Raw Data'!U:U,Match($A762,'Day Range Raw Data'!$B:$B,0)),"")</f>
        <v/>
      </c>
      <c r="O762" t="str">
        <f t="array" ref="O762">IFERROR(INDEX('Day Range Raw Data'!V:V,Match($A762,'Day Range Raw Data'!$B:$B,0)),"")</f>
        <v/>
      </c>
      <c r="P762" t="str">
        <f t="array" ref="P762">IFERROR(INDEX('Day Range Raw Data'!X:X,Match($A762,'Day Range Raw Data'!$B:$B,0)),"")</f>
        <v/>
      </c>
      <c r="Q762" t="str">
        <f t="shared" si="1"/>
        <v/>
      </c>
      <c r="R762" s="9" t="str">
        <f t="shared" si="2"/>
        <v/>
      </c>
      <c r="S762" s="14" t="str">
        <f t="shared" si="3"/>
        <v/>
      </c>
      <c r="T762" s="15" t="str">
        <f>IFERROR(__xludf.DUMMYFUNCTION("IF($A762="""","""",IFERROR(PERCENTRANK.INC(FILTER(Q:Q,$F:$F&lt;&gt;""""),Q762)*100,""""))"),"")</f>
        <v/>
      </c>
      <c r="U762" s="15" t="str">
        <f>IFERROR(__xludf.DUMMYFUNCTION("IF($A762="""","""",IFERROR(PERCENTRANK.INC(FILTER(R:R,$F:$F&lt;&gt;""""),R762)*100,""""))"),"")</f>
        <v/>
      </c>
      <c r="V762" s="15" t="str">
        <f>IFERROR(__xludf.DUMMYFUNCTION("IF($A762="""","""",IFERROR(PERCENTRANK.INC(FILTER(S:S,$F:$F&lt;&gt;""""),S762)*100,""""))"),"")</f>
        <v/>
      </c>
      <c r="W762" s="15" t="str">
        <f t="shared" si="5"/>
        <v/>
      </c>
    </row>
    <row r="763">
      <c r="B763" t="str">
        <f t="array" ref="B763">IFERROR(INDEX('Player Raw Data'!C:C,Match($A763,'Player Raw Data'!$B:$B,0)),"")</f>
        <v/>
      </c>
      <c r="C763" t="str">
        <f t="array" ref="C763">IFERROR(INDEX('Player Raw Data'!D:D,Match($A763,'Player Raw Data'!$B:$B,0)),"")</f>
        <v/>
      </c>
      <c r="D763" t="str">
        <f t="array" ref="D763">IFERROR(IF(A763=A762, INDEX('Player Raw Data'!E:E,Match($A763,'Player Raw Data'!$B:$B,0)+2),INDEX('Player Raw Data'!E:E,Match($A763,'Player Raw Data'!$B:$B,0))),"")</f>
        <v/>
      </c>
      <c r="E763" t="str">
        <f t="array" ref="E763">IFERROR(INDEX('Day Range Raw Data'!D:D,Match($A763,'Day Range Raw Data'!$B:$B,0)),"")</f>
        <v/>
      </c>
      <c r="F763" t="str">
        <f t="array" ref="F763">IFERROR(INDEX('Day Range Raw Data'!F:F,Match($A763,'Day Range Raw Data'!$B:$B,0)),"")</f>
        <v/>
      </c>
      <c r="G763" t="str">
        <f t="array" ref="G763">IFERROR(INDEX('Day Range Raw Data'!G:G,Match($A763,'Day Range Raw Data'!$B:$B,0)),"")</f>
        <v/>
      </c>
      <c r="H763" t="str">
        <f t="array" ref="H763">IFERROR(INDEX('Day Range Raw Data'!H:H,Match($A763,'Day Range Raw Data'!$B:$B,0)),"")</f>
        <v/>
      </c>
      <c r="I763" t="str">
        <f t="array" ref="I763">IFERROR(INDEX('Day Range Raw Data'!M:M,Match($A763,'Day Range Raw Data'!$B:$B,0)),"")</f>
        <v/>
      </c>
      <c r="J763" t="str">
        <f t="array" ref="J763">IFERROR(INDEX('Day Range Raw Data'!N:N,Match($A763,'Day Range Raw Data'!$B:$B,0)),"")</f>
        <v/>
      </c>
      <c r="K763" t="str">
        <f t="array" ref="K763">IFERROR(INDEX('Day Range Raw Data'!R:R,Match($A763,'Day Range Raw Data'!$B:$B,0)),"")</f>
        <v/>
      </c>
      <c r="L763" t="str">
        <f t="array" ref="L763">IFERROR(INDEX('Day Range Raw Data'!S:S,Match($A763,'Day Range Raw Data'!$B:$B,0)),"")</f>
        <v/>
      </c>
      <c r="M763" t="str">
        <f t="array" ref="M763">IFERROR(INDEX('Day Range Raw Data'!T:T,Match($A763,'Day Range Raw Data'!$B:$B,0)),"")</f>
        <v/>
      </c>
      <c r="N763" t="str">
        <f t="array" ref="N763">IFERROR(INDEX('Day Range Raw Data'!U:U,Match($A763,'Day Range Raw Data'!$B:$B,0)),"")</f>
        <v/>
      </c>
      <c r="O763" t="str">
        <f t="array" ref="O763">IFERROR(INDEX('Day Range Raw Data'!V:V,Match($A763,'Day Range Raw Data'!$B:$B,0)),"")</f>
        <v/>
      </c>
      <c r="P763" t="str">
        <f t="array" ref="P763">IFERROR(INDEX('Day Range Raw Data'!X:X,Match($A763,'Day Range Raw Data'!$B:$B,0)),"")</f>
        <v/>
      </c>
      <c r="Q763" t="str">
        <f t="shared" si="1"/>
        <v/>
      </c>
      <c r="R763" s="9" t="str">
        <f t="shared" si="2"/>
        <v/>
      </c>
      <c r="S763" s="14" t="str">
        <f t="shared" si="3"/>
        <v/>
      </c>
      <c r="T763" s="15" t="str">
        <f>IFERROR(__xludf.DUMMYFUNCTION("IF($A763="""","""",IFERROR(PERCENTRANK.INC(FILTER(Q:Q,$F:$F&lt;&gt;""""),Q763)*100,""""))"),"")</f>
        <v/>
      </c>
      <c r="U763" s="15" t="str">
        <f>IFERROR(__xludf.DUMMYFUNCTION("IF($A763="""","""",IFERROR(PERCENTRANK.INC(FILTER(R:R,$F:$F&lt;&gt;""""),R763)*100,""""))"),"")</f>
        <v/>
      </c>
      <c r="V763" s="15" t="str">
        <f>IFERROR(__xludf.DUMMYFUNCTION("IF($A763="""","""",IFERROR(PERCENTRANK.INC(FILTER(S:S,$F:$F&lt;&gt;""""),S763)*100,""""))"),"")</f>
        <v/>
      </c>
      <c r="W763" s="15" t="str">
        <f t="shared" si="5"/>
        <v/>
      </c>
    </row>
    <row r="764">
      <c r="B764" t="str">
        <f t="array" ref="B764">IFERROR(INDEX('Player Raw Data'!C:C,Match($A764,'Player Raw Data'!$B:$B,0)),"")</f>
        <v/>
      </c>
      <c r="C764" t="str">
        <f t="array" ref="C764">IFERROR(INDEX('Player Raw Data'!D:D,Match($A764,'Player Raw Data'!$B:$B,0)),"")</f>
        <v/>
      </c>
      <c r="D764" t="str">
        <f t="array" ref="D764">IFERROR(IF(A764=A763, INDEX('Player Raw Data'!E:E,Match($A764,'Player Raw Data'!$B:$B,0)+2),INDEX('Player Raw Data'!E:E,Match($A764,'Player Raw Data'!$B:$B,0))),"")</f>
        <v/>
      </c>
      <c r="E764" t="str">
        <f t="array" ref="E764">IFERROR(INDEX('Day Range Raw Data'!D:D,Match($A764,'Day Range Raw Data'!$B:$B,0)),"")</f>
        <v/>
      </c>
      <c r="F764" t="str">
        <f t="array" ref="F764">IFERROR(INDEX('Day Range Raw Data'!F:F,Match($A764,'Day Range Raw Data'!$B:$B,0)),"")</f>
        <v/>
      </c>
      <c r="G764" t="str">
        <f t="array" ref="G764">IFERROR(INDEX('Day Range Raw Data'!G:G,Match($A764,'Day Range Raw Data'!$B:$B,0)),"")</f>
        <v/>
      </c>
      <c r="H764" t="str">
        <f t="array" ref="H764">IFERROR(INDEX('Day Range Raw Data'!H:H,Match($A764,'Day Range Raw Data'!$B:$B,0)),"")</f>
        <v/>
      </c>
      <c r="I764" t="str">
        <f t="array" ref="I764">IFERROR(INDEX('Day Range Raw Data'!M:M,Match($A764,'Day Range Raw Data'!$B:$B,0)),"")</f>
        <v/>
      </c>
      <c r="J764" t="str">
        <f t="array" ref="J764">IFERROR(INDEX('Day Range Raw Data'!N:N,Match($A764,'Day Range Raw Data'!$B:$B,0)),"")</f>
        <v/>
      </c>
      <c r="K764" t="str">
        <f t="array" ref="K764">IFERROR(INDEX('Day Range Raw Data'!R:R,Match($A764,'Day Range Raw Data'!$B:$B,0)),"")</f>
        <v/>
      </c>
      <c r="L764" t="str">
        <f t="array" ref="L764">IFERROR(INDEX('Day Range Raw Data'!S:S,Match($A764,'Day Range Raw Data'!$B:$B,0)),"")</f>
        <v/>
      </c>
      <c r="M764" t="str">
        <f t="array" ref="M764">IFERROR(INDEX('Day Range Raw Data'!T:T,Match($A764,'Day Range Raw Data'!$B:$B,0)),"")</f>
        <v/>
      </c>
      <c r="N764" t="str">
        <f t="array" ref="N764">IFERROR(INDEX('Day Range Raw Data'!U:U,Match($A764,'Day Range Raw Data'!$B:$B,0)),"")</f>
        <v/>
      </c>
      <c r="O764" t="str">
        <f t="array" ref="O764">IFERROR(INDEX('Day Range Raw Data'!V:V,Match($A764,'Day Range Raw Data'!$B:$B,0)),"")</f>
        <v/>
      </c>
      <c r="P764" t="str">
        <f t="array" ref="P764">IFERROR(INDEX('Day Range Raw Data'!X:X,Match($A764,'Day Range Raw Data'!$B:$B,0)),"")</f>
        <v/>
      </c>
      <c r="Q764" t="str">
        <f t="shared" si="1"/>
        <v/>
      </c>
      <c r="R764" s="9" t="str">
        <f t="shared" si="2"/>
        <v/>
      </c>
      <c r="S764" s="14" t="str">
        <f t="shared" si="3"/>
        <v/>
      </c>
      <c r="T764" s="15" t="str">
        <f>IFERROR(__xludf.DUMMYFUNCTION("IF($A764="""","""",IFERROR(PERCENTRANK.INC(FILTER(Q:Q,$F:$F&lt;&gt;""""),Q764)*100,""""))"),"")</f>
        <v/>
      </c>
      <c r="U764" s="15" t="str">
        <f>IFERROR(__xludf.DUMMYFUNCTION("IF($A764="""","""",IFERROR(PERCENTRANK.INC(FILTER(R:R,$F:$F&lt;&gt;""""),R764)*100,""""))"),"")</f>
        <v/>
      </c>
      <c r="V764" s="15" t="str">
        <f>IFERROR(__xludf.DUMMYFUNCTION("IF($A764="""","""",IFERROR(PERCENTRANK.INC(FILTER(S:S,$F:$F&lt;&gt;""""),S764)*100,""""))"),"")</f>
        <v/>
      </c>
      <c r="W764" s="15" t="str">
        <f t="shared" si="5"/>
        <v/>
      </c>
    </row>
    <row r="765">
      <c r="B765" t="str">
        <f t="array" ref="B765">IFERROR(INDEX('Player Raw Data'!C:C,Match($A765,'Player Raw Data'!$B:$B,0)),"")</f>
        <v/>
      </c>
      <c r="C765" t="str">
        <f t="array" ref="C765">IFERROR(INDEX('Player Raw Data'!D:D,Match($A765,'Player Raw Data'!$B:$B,0)),"")</f>
        <v/>
      </c>
      <c r="D765" t="str">
        <f t="array" ref="D765">IFERROR(IF(A765=A764, INDEX('Player Raw Data'!E:E,Match($A765,'Player Raw Data'!$B:$B,0)+2),INDEX('Player Raw Data'!E:E,Match($A765,'Player Raw Data'!$B:$B,0))),"")</f>
        <v/>
      </c>
      <c r="E765" t="str">
        <f t="array" ref="E765">IFERROR(INDEX('Day Range Raw Data'!D:D,Match($A765,'Day Range Raw Data'!$B:$B,0)),"")</f>
        <v/>
      </c>
      <c r="F765" t="str">
        <f t="array" ref="F765">IFERROR(INDEX('Day Range Raw Data'!F:F,Match($A765,'Day Range Raw Data'!$B:$B,0)),"")</f>
        <v/>
      </c>
      <c r="G765" t="str">
        <f t="array" ref="G765">IFERROR(INDEX('Day Range Raw Data'!G:G,Match($A765,'Day Range Raw Data'!$B:$B,0)),"")</f>
        <v/>
      </c>
      <c r="H765" t="str">
        <f t="array" ref="H765">IFERROR(INDEX('Day Range Raw Data'!H:H,Match($A765,'Day Range Raw Data'!$B:$B,0)),"")</f>
        <v/>
      </c>
      <c r="I765" t="str">
        <f t="array" ref="I765">IFERROR(INDEX('Day Range Raw Data'!M:M,Match($A765,'Day Range Raw Data'!$B:$B,0)),"")</f>
        <v/>
      </c>
      <c r="J765" t="str">
        <f t="array" ref="J765">IFERROR(INDEX('Day Range Raw Data'!N:N,Match($A765,'Day Range Raw Data'!$B:$B,0)),"")</f>
        <v/>
      </c>
      <c r="K765" t="str">
        <f t="array" ref="K765">IFERROR(INDEX('Day Range Raw Data'!R:R,Match($A765,'Day Range Raw Data'!$B:$B,0)),"")</f>
        <v/>
      </c>
      <c r="L765" t="str">
        <f t="array" ref="L765">IFERROR(INDEX('Day Range Raw Data'!S:S,Match($A765,'Day Range Raw Data'!$B:$B,0)),"")</f>
        <v/>
      </c>
      <c r="M765" t="str">
        <f t="array" ref="M765">IFERROR(INDEX('Day Range Raw Data'!T:T,Match($A765,'Day Range Raw Data'!$B:$B,0)),"")</f>
        <v/>
      </c>
      <c r="N765" t="str">
        <f t="array" ref="N765">IFERROR(INDEX('Day Range Raw Data'!U:U,Match($A765,'Day Range Raw Data'!$B:$B,0)),"")</f>
        <v/>
      </c>
      <c r="O765" t="str">
        <f t="array" ref="O765">IFERROR(INDEX('Day Range Raw Data'!V:V,Match($A765,'Day Range Raw Data'!$B:$B,0)),"")</f>
        <v/>
      </c>
      <c r="P765" t="str">
        <f t="array" ref="P765">IFERROR(INDEX('Day Range Raw Data'!X:X,Match($A765,'Day Range Raw Data'!$B:$B,0)),"")</f>
        <v/>
      </c>
      <c r="Q765" t="str">
        <f t="shared" si="1"/>
        <v/>
      </c>
      <c r="R765" s="9" t="str">
        <f t="shared" si="2"/>
        <v/>
      </c>
      <c r="S765" s="14" t="str">
        <f t="shared" si="3"/>
        <v/>
      </c>
      <c r="T765" s="15" t="str">
        <f>IFERROR(__xludf.DUMMYFUNCTION("IF($A765="""","""",IFERROR(PERCENTRANK.INC(FILTER(Q:Q,$F:$F&lt;&gt;""""),Q765)*100,""""))"),"")</f>
        <v/>
      </c>
      <c r="U765" s="15" t="str">
        <f>IFERROR(__xludf.DUMMYFUNCTION("IF($A765="""","""",IFERROR(PERCENTRANK.INC(FILTER(R:R,$F:$F&lt;&gt;""""),R765)*100,""""))"),"")</f>
        <v/>
      </c>
      <c r="V765" s="15" t="str">
        <f>IFERROR(__xludf.DUMMYFUNCTION("IF($A765="""","""",IFERROR(PERCENTRANK.INC(FILTER(S:S,$F:$F&lt;&gt;""""),S765)*100,""""))"),"")</f>
        <v/>
      </c>
      <c r="W765" s="15" t="str">
        <f t="shared" si="5"/>
        <v/>
      </c>
    </row>
    <row r="766">
      <c r="B766" t="str">
        <f t="array" ref="B766">IFERROR(INDEX('Player Raw Data'!C:C,Match($A766,'Player Raw Data'!$B:$B,0)),"")</f>
        <v/>
      </c>
      <c r="C766" t="str">
        <f t="array" ref="C766">IFERROR(INDEX('Player Raw Data'!D:D,Match($A766,'Player Raw Data'!$B:$B,0)),"")</f>
        <v/>
      </c>
      <c r="D766" t="str">
        <f t="array" ref="D766">IFERROR(IF(A766=A765, INDEX('Player Raw Data'!E:E,Match($A766,'Player Raw Data'!$B:$B,0)+2),INDEX('Player Raw Data'!E:E,Match($A766,'Player Raw Data'!$B:$B,0))),"")</f>
        <v/>
      </c>
      <c r="E766" t="str">
        <f t="array" ref="E766">IFERROR(INDEX('Day Range Raw Data'!D:D,Match($A766,'Day Range Raw Data'!$B:$B,0)),"")</f>
        <v/>
      </c>
      <c r="F766" t="str">
        <f t="array" ref="F766">IFERROR(INDEX('Day Range Raw Data'!F:F,Match($A766,'Day Range Raw Data'!$B:$B,0)),"")</f>
        <v/>
      </c>
      <c r="G766" t="str">
        <f t="array" ref="G766">IFERROR(INDEX('Day Range Raw Data'!G:G,Match($A766,'Day Range Raw Data'!$B:$B,0)),"")</f>
        <v/>
      </c>
      <c r="H766" t="str">
        <f t="array" ref="H766">IFERROR(INDEX('Day Range Raw Data'!H:H,Match($A766,'Day Range Raw Data'!$B:$B,0)),"")</f>
        <v/>
      </c>
      <c r="I766" t="str">
        <f t="array" ref="I766">IFERROR(INDEX('Day Range Raw Data'!M:M,Match($A766,'Day Range Raw Data'!$B:$B,0)),"")</f>
        <v/>
      </c>
      <c r="J766" t="str">
        <f t="array" ref="J766">IFERROR(INDEX('Day Range Raw Data'!N:N,Match($A766,'Day Range Raw Data'!$B:$B,0)),"")</f>
        <v/>
      </c>
      <c r="K766" t="str">
        <f t="array" ref="K766">IFERROR(INDEX('Day Range Raw Data'!R:R,Match($A766,'Day Range Raw Data'!$B:$B,0)),"")</f>
        <v/>
      </c>
      <c r="L766" t="str">
        <f t="array" ref="L766">IFERROR(INDEX('Day Range Raw Data'!S:S,Match($A766,'Day Range Raw Data'!$B:$B,0)),"")</f>
        <v/>
      </c>
      <c r="M766" t="str">
        <f t="array" ref="M766">IFERROR(INDEX('Day Range Raw Data'!T:T,Match($A766,'Day Range Raw Data'!$B:$B,0)),"")</f>
        <v/>
      </c>
      <c r="N766" t="str">
        <f t="array" ref="N766">IFERROR(INDEX('Day Range Raw Data'!U:U,Match($A766,'Day Range Raw Data'!$B:$B,0)),"")</f>
        <v/>
      </c>
      <c r="O766" t="str">
        <f t="array" ref="O766">IFERROR(INDEX('Day Range Raw Data'!V:V,Match($A766,'Day Range Raw Data'!$B:$B,0)),"")</f>
        <v/>
      </c>
      <c r="P766" t="str">
        <f t="array" ref="P766">IFERROR(INDEX('Day Range Raw Data'!X:X,Match($A766,'Day Range Raw Data'!$B:$B,0)),"")</f>
        <v/>
      </c>
      <c r="Q766" t="str">
        <f t="shared" si="1"/>
        <v/>
      </c>
      <c r="R766" s="9" t="str">
        <f t="shared" si="2"/>
        <v/>
      </c>
      <c r="S766" s="14" t="str">
        <f t="shared" si="3"/>
        <v/>
      </c>
      <c r="T766" s="15" t="str">
        <f>IFERROR(__xludf.DUMMYFUNCTION("IF($A766="""","""",IFERROR(PERCENTRANK.INC(FILTER(Q:Q,$F:$F&lt;&gt;""""),Q766)*100,""""))"),"")</f>
        <v/>
      </c>
      <c r="U766" s="15" t="str">
        <f>IFERROR(__xludf.DUMMYFUNCTION("IF($A766="""","""",IFERROR(PERCENTRANK.INC(FILTER(R:R,$F:$F&lt;&gt;""""),R766)*100,""""))"),"")</f>
        <v/>
      </c>
      <c r="V766" s="15" t="str">
        <f>IFERROR(__xludf.DUMMYFUNCTION("IF($A766="""","""",IFERROR(PERCENTRANK.INC(FILTER(S:S,$F:$F&lt;&gt;""""),S766)*100,""""))"),"")</f>
        <v/>
      </c>
      <c r="W766" s="15" t="str">
        <f t="shared" si="5"/>
        <v/>
      </c>
    </row>
    <row r="767">
      <c r="B767" t="str">
        <f t="array" ref="B767">IFERROR(INDEX('Player Raw Data'!C:C,Match($A767,'Player Raw Data'!$B:$B,0)),"")</f>
        <v/>
      </c>
      <c r="C767" t="str">
        <f t="array" ref="C767">IFERROR(INDEX('Player Raw Data'!D:D,Match($A767,'Player Raw Data'!$B:$B,0)),"")</f>
        <v/>
      </c>
      <c r="D767" t="str">
        <f t="array" ref="D767">IFERROR(IF(A767=A766, INDEX('Player Raw Data'!E:E,Match($A767,'Player Raw Data'!$B:$B,0)+2),INDEX('Player Raw Data'!E:E,Match($A767,'Player Raw Data'!$B:$B,0))),"")</f>
        <v/>
      </c>
      <c r="E767" t="str">
        <f t="array" ref="E767">IFERROR(INDEX('Day Range Raw Data'!D:D,Match($A767,'Day Range Raw Data'!$B:$B,0)),"")</f>
        <v/>
      </c>
      <c r="F767" t="str">
        <f t="array" ref="F767">IFERROR(INDEX('Day Range Raw Data'!F:F,Match($A767,'Day Range Raw Data'!$B:$B,0)),"")</f>
        <v/>
      </c>
      <c r="G767" t="str">
        <f t="array" ref="G767">IFERROR(INDEX('Day Range Raw Data'!G:G,Match($A767,'Day Range Raw Data'!$B:$B,0)),"")</f>
        <v/>
      </c>
      <c r="H767" t="str">
        <f t="array" ref="H767">IFERROR(INDEX('Day Range Raw Data'!H:H,Match($A767,'Day Range Raw Data'!$B:$B,0)),"")</f>
        <v/>
      </c>
      <c r="I767" t="str">
        <f t="array" ref="I767">IFERROR(INDEX('Day Range Raw Data'!M:M,Match($A767,'Day Range Raw Data'!$B:$B,0)),"")</f>
        <v/>
      </c>
      <c r="J767" t="str">
        <f t="array" ref="J767">IFERROR(INDEX('Day Range Raw Data'!N:N,Match($A767,'Day Range Raw Data'!$B:$B,0)),"")</f>
        <v/>
      </c>
      <c r="K767" t="str">
        <f t="array" ref="K767">IFERROR(INDEX('Day Range Raw Data'!R:R,Match($A767,'Day Range Raw Data'!$B:$B,0)),"")</f>
        <v/>
      </c>
      <c r="L767" t="str">
        <f t="array" ref="L767">IFERROR(INDEX('Day Range Raw Data'!S:S,Match($A767,'Day Range Raw Data'!$B:$B,0)),"")</f>
        <v/>
      </c>
      <c r="M767" t="str">
        <f t="array" ref="M767">IFERROR(INDEX('Day Range Raw Data'!T:T,Match($A767,'Day Range Raw Data'!$B:$B,0)),"")</f>
        <v/>
      </c>
      <c r="N767" t="str">
        <f t="array" ref="N767">IFERROR(INDEX('Day Range Raw Data'!U:U,Match($A767,'Day Range Raw Data'!$B:$B,0)),"")</f>
        <v/>
      </c>
      <c r="O767" t="str">
        <f t="array" ref="O767">IFERROR(INDEX('Day Range Raw Data'!V:V,Match($A767,'Day Range Raw Data'!$B:$B,0)),"")</f>
        <v/>
      </c>
      <c r="P767" t="str">
        <f t="array" ref="P767">IFERROR(INDEX('Day Range Raw Data'!X:X,Match($A767,'Day Range Raw Data'!$B:$B,0)),"")</f>
        <v/>
      </c>
      <c r="Q767" t="str">
        <f t="shared" si="1"/>
        <v/>
      </c>
      <c r="R767" s="9" t="str">
        <f t="shared" si="2"/>
        <v/>
      </c>
      <c r="S767" s="14" t="str">
        <f t="shared" si="3"/>
        <v/>
      </c>
      <c r="T767" s="15" t="str">
        <f>IFERROR(__xludf.DUMMYFUNCTION("IF($A767="""","""",IFERROR(PERCENTRANK.INC(FILTER(Q:Q,$F:$F&lt;&gt;""""),Q767)*100,""""))"),"")</f>
        <v/>
      </c>
      <c r="U767" s="15" t="str">
        <f>IFERROR(__xludf.DUMMYFUNCTION("IF($A767="""","""",IFERROR(PERCENTRANK.INC(FILTER(R:R,$F:$F&lt;&gt;""""),R767)*100,""""))"),"")</f>
        <v/>
      </c>
      <c r="V767" s="15" t="str">
        <f>IFERROR(__xludf.DUMMYFUNCTION("IF($A767="""","""",IFERROR(PERCENTRANK.INC(FILTER(S:S,$F:$F&lt;&gt;""""),S767)*100,""""))"),"")</f>
        <v/>
      </c>
      <c r="W767" s="15" t="str">
        <f t="shared" si="5"/>
        <v/>
      </c>
    </row>
    <row r="768">
      <c r="B768" t="str">
        <f t="array" ref="B768">IFERROR(INDEX('Player Raw Data'!C:C,Match($A768,'Player Raw Data'!$B:$B,0)),"")</f>
        <v/>
      </c>
      <c r="C768" t="str">
        <f t="array" ref="C768">IFERROR(INDEX('Player Raw Data'!D:D,Match($A768,'Player Raw Data'!$B:$B,0)),"")</f>
        <v/>
      </c>
      <c r="D768" t="str">
        <f t="array" ref="D768">IFERROR(IF(A768=A767, INDEX('Player Raw Data'!E:E,Match($A768,'Player Raw Data'!$B:$B,0)+2),INDEX('Player Raw Data'!E:E,Match($A768,'Player Raw Data'!$B:$B,0))),"")</f>
        <v/>
      </c>
      <c r="E768" t="str">
        <f t="array" ref="E768">IFERROR(INDEX('Day Range Raw Data'!D:D,Match($A768,'Day Range Raw Data'!$B:$B,0)),"")</f>
        <v/>
      </c>
      <c r="F768" t="str">
        <f t="array" ref="F768">IFERROR(INDEX('Day Range Raw Data'!F:F,Match($A768,'Day Range Raw Data'!$B:$B,0)),"")</f>
        <v/>
      </c>
      <c r="G768" t="str">
        <f t="array" ref="G768">IFERROR(INDEX('Day Range Raw Data'!G:G,Match($A768,'Day Range Raw Data'!$B:$B,0)),"")</f>
        <v/>
      </c>
      <c r="H768" t="str">
        <f t="array" ref="H768">IFERROR(INDEX('Day Range Raw Data'!H:H,Match($A768,'Day Range Raw Data'!$B:$B,0)),"")</f>
        <v/>
      </c>
      <c r="I768" t="str">
        <f t="array" ref="I768">IFERROR(INDEX('Day Range Raw Data'!M:M,Match($A768,'Day Range Raw Data'!$B:$B,0)),"")</f>
        <v/>
      </c>
      <c r="J768" t="str">
        <f t="array" ref="J768">IFERROR(INDEX('Day Range Raw Data'!N:N,Match($A768,'Day Range Raw Data'!$B:$B,0)),"")</f>
        <v/>
      </c>
      <c r="K768" t="str">
        <f t="array" ref="K768">IFERROR(INDEX('Day Range Raw Data'!R:R,Match($A768,'Day Range Raw Data'!$B:$B,0)),"")</f>
        <v/>
      </c>
      <c r="L768" t="str">
        <f t="array" ref="L768">IFERROR(INDEX('Day Range Raw Data'!S:S,Match($A768,'Day Range Raw Data'!$B:$B,0)),"")</f>
        <v/>
      </c>
      <c r="M768" t="str">
        <f t="array" ref="M768">IFERROR(INDEX('Day Range Raw Data'!T:T,Match($A768,'Day Range Raw Data'!$B:$B,0)),"")</f>
        <v/>
      </c>
      <c r="N768" t="str">
        <f t="array" ref="N768">IFERROR(INDEX('Day Range Raw Data'!U:U,Match($A768,'Day Range Raw Data'!$B:$B,0)),"")</f>
        <v/>
      </c>
      <c r="O768" t="str">
        <f t="array" ref="O768">IFERROR(INDEX('Day Range Raw Data'!V:V,Match($A768,'Day Range Raw Data'!$B:$B,0)),"")</f>
        <v/>
      </c>
      <c r="P768" t="str">
        <f t="array" ref="P768">IFERROR(INDEX('Day Range Raw Data'!X:X,Match($A768,'Day Range Raw Data'!$B:$B,0)),"")</f>
        <v/>
      </c>
      <c r="Q768" t="str">
        <f t="shared" si="1"/>
        <v/>
      </c>
      <c r="R768" s="9" t="str">
        <f t="shared" si="2"/>
        <v/>
      </c>
      <c r="S768" s="14" t="str">
        <f t="shared" si="3"/>
        <v/>
      </c>
      <c r="T768" s="15" t="str">
        <f>IFERROR(__xludf.DUMMYFUNCTION("IF($A768="""","""",IFERROR(PERCENTRANK.INC(FILTER(Q:Q,$F:$F&lt;&gt;""""),Q768)*100,""""))"),"")</f>
        <v/>
      </c>
      <c r="U768" s="15" t="str">
        <f>IFERROR(__xludf.DUMMYFUNCTION("IF($A768="""","""",IFERROR(PERCENTRANK.INC(FILTER(R:R,$F:$F&lt;&gt;""""),R768)*100,""""))"),"")</f>
        <v/>
      </c>
      <c r="V768" s="15" t="str">
        <f>IFERROR(__xludf.DUMMYFUNCTION("IF($A768="""","""",IFERROR(PERCENTRANK.INC(FILTER(S:S,$F:$F&lt;&gt;""""),S768)*100,""""))"),"")</f>
        <v/>
      </c>
      <c r="W768" s="15" t="str">
        <f t="shared" si="5"/>
        <v/>
      </c>
    </row>
    <row r="769">
      <c r="B769" t="str">
        <f t="array" ref="B769">IFERROR(INDEX('Player Raw Data'!C:C,Match($A769,'Player Raw Data'!$B:$B,0)),"")</f>
        <v/>
      </c>
      <c r="C769" t="str">
        <f t="array" ref="C769">IFERROR(INDEX('Player Raw Data'!D:D,Match($A769,'Player Raw Data'!$B:$B,0)),"")</f>
        <v/>
      </c>
      <c r="D769" t="str">
        <f t="array" ref="D769">IFERROR(IF(A769=A768, INDEX('Player Raw Data'!E:E,Match($A769,'Player Raw Data'!$B:$B,0)+2),INDEX('Player Raw Data'!E:E,Match($A769,'Player Raw Data'!$B:$B,0))),"")</f>
        <v/>
      </c>
      <c r="E769" t="str">
        <f t="array" ref="E769">IFERROR(INDEX('Day Range Raw Data'!D:D,Match($A769,'Day Range Raw Data'!$B:$B,0)),"")</f>
        <v/>
      </c>
      <c r="F769" t="str">
        <f t="array" ref="F769">IFERROR(INDEX('Day Range Raw Data'!F:F,Match($A769,'Day Range Raw Data'!$B:$B,0)),"")</f>
        <v/>
      </c>
      <c r="G769" t="str">
        <f t="array" ref="G769">IFERROR(INDEX('Day Range Raw Data'!G:G,Match($A769,'Day Range Raw Data'!$B:$B,0)),"")</f>
        <v/>
      </c>
      <c r="H769" t="str">
        <f t="array" ref="H769">IFERROR(INDEX('Day Range Raw Data'!H:H,Match($A769,'Day Range Raw Data'!$B:$B,0)),"")</f>
        <v/>
      </c>
      <c r="I769" t="str">
        <f t="array" ref="I769">IFERROR(INDEX('Day Range Raw Data'!M:M,Match($A769,'Day Range Raw Data'!$B:$B,0)),"")</f>
        <v/>
      </c>
      <c r="J769" t="str">
        <f t="array" ref="J769">IFERROR(INDEX('Day Range Raw Data'!N:N,Match($A769,'Day Range Raw Data'!$B:$B,0)),"")</f>
        <v/>
      </c>
      <c r="K769" t="str">
        <f t="array" ref="K769">IFERROR(INDEX('Day Range Raw Data'!R:R,Match($A769,'Day Range Raw Data'!$B:$B,0)),"")</f>
        <v/>
      </c>
      <c r="L769" t="str">
        <f t="array" ref="L769">IFERROR(INDEX('Day Range Raw Data'!S:S,Match($A769,'Day Range Raw Data'!$B:$B,0)),"")</f>
        <v/>
      </c>
      <c r="M769" t="str">
        <f t="array" ref="M769">IFERROR(INDEX('Day Range Raw Data'!T:T,Match($A769,'Day Range Raw Data'!$B:$B,0)),"")</f>
        <v/>
      </c>
      <c r="N769" t="str">
        <f t="array" ref="N769">IFERROR(INDEX('Day Range Raw Data'!U:U,Match($A769,'Day Range Raw Data'!$B:$B,0)),"")</f>
        <v/>
      </c>
      <c r="O769" t="str">
        <f t="array" ref="O769">IFERROR(INDEX('Day Range Raw Data'!V:V,Match($A769,'Day Range Raw Data'!$B:$B,0)),"")</f>
        <v/>
      </c>
      <c r="P769" t="str">
        <f t="array" ref="P769">IFERROR(INDEX('Day Range Raw Data'!X:X,Match($A769,'Day Range Raw Data'!$B:$B,0)),"")</f>
        <v/>
      </c>
      <c r="Q769" t="str">
        <f t="shared" si="1"/>
        <v/>
      </c>
      <c r="R769" s="9" t="str">
        <f t="shared" si="2"/>
        <v/>
      </c>
      <c r="S769" s="14" t="str">
        <f t="shared" si="3"/>
        <v/>
      </c>
      <c r="T769" s="15" t="str">
        <f>IFERROR(__xludf.DUMMYFUNCTION("IF($A769="""","""",IFERROR(PERCENTRANK.INC(FILTER(Q:Q,$F:$F&lt;&gt;""""),Q769)*100,""""))"),"")</f>
        <v/>
      </c>
      <c r="U769" s="15" t="str">
        <f>IFERROR(__xludf.DUMMYFUNCTION("IF($A769="""","""",IFERROR(PERCENTRANK.INC(FILTER(R:R,$F:$F&lt;&gt;""""),R769)*100,""""))"),"")</f>
        <v/>
      </c>
      <c r="V769" s="15" t="str">
        <f>IFERROR(__xludf.DUMMYFUNCTION("IF($A769="""","""",IFERROR(PERCENTRANK.INC(FILTER(S:S,$F:$F&lt;&gt;""""),S769)*100,""""))"),"")</f>
        <v/>
      </c>
      <c r="W769" s="15" t="str">
        <f t="shared" si="5"/>
        <v/>
      </c>
    </row>
    <row r="770">
      <c r="B770" t="str">
        <f t="array" ref="B770">IFERROR(INDEX('Player Raw Data'!C:C,Match($A770,'Player Raw Data'!$B:$B,0)),"")</f>
        <v/>
      </c>
      <c r="C770" t="str">
        <f t="array" ref="C770">IFERROR(INDEX('Player Raw Data'!D:D,Match($A770,'Player Raw Data'!$B:$B,0)),"")</f>
        <v/>
      </c>
      <c r="D770" t="str">
        <f t="array" ref="D770">IFERROR(IF(A770=A769, INDEX('Player Raw Data'!E:E,Match($A770,'Player Raw Data'!$B:$B,0)+2),INDEX('Player Raw Data'!E:E,Match($A770,'Player Raw Data'!$B:$B,0))),"")</f>
        <v/>
      </c>
      <c r="E770" t="str">
        <f t="array" ref="E770">IFERROR(INDEX('Day Range Raw Data'!D:D,Match($A770,'Day Range Raw Data'!$B:$B,0)),"")</f>
        <v/>
      </c>
      <c r="F770" t="str">
        <f t="array" ref="F770">IFERROR(INDEX('Day Range Raw Data'!F:F,Match($A770,'Day Range Raw Data'!$B:$B,0)),"")</f>
        <v/>
      </c>
      <c r="G770" t="str">
        <f t="array" ref="G770">IFERROR(INDEX('Day Range Raw Data'!G:G,Match($A770,'Day Range Raw Data'!$B:$B,0)),"")</f>
        <v/>
      </c>
      <c r="H770" t="str">
        <f t="array" ref="H770">IFERROR(INDEX('Day Range Raw Data'!H:H,Match($A770,'Day Range Raw Data'!$B:$B,0)),"")</f>
        <v/>
      </c>
      <c r="I770" t="str">
        <f t="array" ref="I770">IFERROR(INDEX('Day Range Raw Data'!M:M,Match($A770,'Day Range Raw Data'!$B:$B,0)),"")</f>
        <v/>
      </c>
      <c r="J770" t="str">
        <f t="array" ref="J770">IFERROR(INDEX('Day Range Raw Data'!N:N,Match($A770,'Day Range Raw Data'!$B:$B,0)),"")</f>
        <v/>
      </c>
      <c r="K770" t="str">
        <f t="array" ref="K770">IFERROR(INDEX('Day Range Raw Data'!R:R,Match($A770,'Day Range Raw Data'!$B:$B,0)),"")</f>
        <v/>
      </c>
      <c r="L770" t="str">
        <f t="array" ref="L770">IFERROR(INDEX('Day Range Raw Data'!S:S,Match($A770,'Day Range Raw Data'!$B:$B,0)),"")</f>
        <v/>
      </c>
      <c r="M770" t="str">
        <f t="array" ref="M770">IFERROR(INDEX('Day Range Raw Data'!T:T,Match($A770,'Day Range Raw Data'!$B:$B,0)),"")</f>
        <v/>
      </c>
      <c r="N770" t="str">
        <f t="array" ref="N770">IFERROR(INDEX('Day Range Raw Data'!U:U,Match($A770,'Day Range Raw Data'!$B:$B,0)),"")</f>
        <v/>
      </c>
      <c r="O770" t="str">
        <f t="array" ref="O770">IFERROR(INDEX('Day Range Raw Data'!V:V,Match($A770,'Day Range Raw Data'!$B:$B,0)),"")</f>
        <v/>
      </c>
      <c r="P770" t="str">
        <f t="array" ref="P770">IFERROR(INDEX('Day Range Raw Data'!X:X,Match($A770,'Day Range Raw Data'!$B:$B,0)),"")</f>
        <v/>
      </c>
      <c r="Q770" t="str">
        <f t="shared" si="1"/>
        <v/>
      </c>
      <c r="R770" s="9" t="str">
        <f t="shared" si="2"/>
        <v/>
      </c>
      <c r="S770" s="14" t="str">
        <f t="shared" si="3"/>
        <v/>
      </c>
      <c r="T770" s="15" t="str">
        <f>IFERROR(__xludf.DUMMYFUNCTION("IF($A770="""","""",IFERROR(PERCENTRANK.INC(FILTER(Q:Q,$F:$F&lt;&gt;""""),Q770)*100,""""))"),"")</f>
        <v/>
      </c>
      <c r="U770" s="15" t="str">
        <f>IFERROR(__xludf.DUMMYFUNCTION("IF($A770="""","""",IFERROR(PERCENTRANK.INC(FILTER(R:R,$F:$F&lt;&gt;""""),R770)*100,""""))"),"")</f>
        <v/>
      </c>
      <c r="V770" s="15" t="str">
        <f>IFERROR(__xludf.DUMMYFUNCTION("IF($A770="""","""",IFERROR(PERCENTRANK.INC(FILTER(S:S,$F:$F&lt;&gt;""""),S770)*100,""""))"),"")</f>
        <v/>
      </c>
      <c r="W770" s="15" t="str">
        <f t="shared" si="5"/>
        <v/>
      </c>
    </row>
    <row r="771">
      <c r="B771" t="str">
        <f t="array" ref="B771">IFERROR(INDEX('Player Raw Data'!C:C,Match($A771,'Player Raw Data'!$B:$B,0)),"")</f>
        <v/>
      </c>
      <c r="C771" t="str">
        <f t="array" ref="C771">IFERROR(INDEX('Player Raw Data'!D:D,Match($A771,'Player Raw Data'!$B:$B,0)),"")</f>
        <v/>
      </c>
      <c r="D771" t="str">
        <f t="array" ref="D771">IFERROR(IF(A771=A770, INDEX('Player Raw Data'!E:E,Match($A771,'Player Raw Data'!$B:$B,0)+2),INDEX('Player Raw Data'!E:E,Match($A771,'Player Raw Data'!$B:$B,0))),"")</f>
        <v/>
      </c>
      <c r="E771" t="str">
        <f t="array" ref="E771">IFERROR(INDEX('Day Range Raw Data'!D:D,Match($A771,'Day Range Raw Data'!$B:$B,0)),"")</f>
        <v/>
      </c>
      <c r="F771" t="str">
        <f t="array" ref="F771">IFERROR(INDEX('Day Range Raw Data'!F:F,Match($A771,'Day Range Raw Data'!$B:$B,0)),"")</f>
        <v/>
      </c>
      <c r="G771" t="str">
        <f t="array" ref="G771">IFERROR(INDEX('Day Range Raw Data'!G:G,Match($A771,'Day Range Raw Data'!$B:$B,0)),"")</f>
        <v/>
      </c>
      <c r="H771" t="str">
        <f t="array" ref="H771">IFERROR(INDEX('Day Range Raw Data'!H:H,Match($A771,'Day Range Raw Data'!$B:$B,0)),"")</f>
        <v/>
      </c>
      <c r="I771" t="str">
        <f t="array" ref="I771">IFERROR(INDEX('Day Range Raw Data'!M:M,Match($A771,'Day Range Raw Data'!$B:$B,0)),"")</f>
        <v/>
      </c>
      <c r="J771" t="str">
        <f t="array" ref="J771">IFERROR(INDEX('Day Range Raw Data'!N:N,Match($A771,'Day Range Raw Data'!$B:$B,0)),"")</f>
        <v/>
      </c>
      <c r="K771" t="str">
        <f t="array" ref="K771">IFERROR(INDEX('Day Range Raw Data'!R:R,Match($A771,'Day Range Raw Data'!$B:$B,0)),"")</f>
        <v/>
      </c>
      <c r="L771" t="str">
        <f t="array" ref="L771">IFERROR(INDEX('Day Range Raw Data'!S:S,Match($A771,'Day Range Raw Data'!$B:$B,0)),"")</f>
        <v/>
      </c>
      <c r="M771" t="str">
        <f t="array" ref="M771">IFERROR(INDEX('Day Range Raw Data'!T:T,Match($A771,'Day Range Raw Data'!$B:$B,0)),"")</f>
        <v/>
      </c>
      <c r="N771" t="str">
        <f t="array" ref="N771">IFERROR(INDEX('Day Range Raw Data'!U:U,Match($A771,'Day Range Raw Data'!$B:$B,0)),"")</f>
        <v/>
      </c>
      <c r="O771" t="str">
        <f t="array" ref="O771">IFERROR(INDEX('Day Range Raw Data'!V:V,Match($A771,'Day Range Raw Data'!$B:$B,0)),"")</f>
        <v/>
      </c>
      <c r="P771" t="str">
        <f t="array" ref="P771">IFERROR(INDEX('Day Range Raw Data'!X:X,Match($A771,'Day Range Raw Data'!$B:$B,0)),"")</f>
        <v/>
      </c>
      <c r="Q771" t="str">
        <f t="shared" si="1"/>
        <v/>
      </c>
      <c r="R771" s="9" t="str">
        <f t="shared" si="2"/>
        <v/>
      </c>
      <c r="S771" s="14" t="str">
        <f t="shared" si="3"/>
        <v/>
      </c>
      <c r="T771" s="15" t="str">
        <f>IFERROR(__xludf.DUMMYFUNCTION("IF($A771="""","""",IFERROR(PERCENTRANK.INC(FILTER(Q:Q,$F:$F&lt;&gt;""""),Q771)*100,""""))"),"")</f>
        <v/>
      </c>
      <c r="U771" s="15" t="str">
        <f>IFERROR(__xludf.DUMMYFUNCTION("IF($A771="""","""",IFERROR(PERCENTRANK.INC(FILTER(R:R,$F:$F&lt;&gt;""""),R771)*100,""""))"),"")</f>
        <v/>
      </c>
      <c r="V771" s="15" t="str">
        <f>IFERROR(__xludf.DUMMYFUNCTION("IF($A771="""","""",IFERROR(PERCENTRANK.INC(FILTER(S:S,$F:$F&lt;&gt;""""),S771)*100,""""))"),"")</f>
        <v/>
      </c>
      <c r="W771" s="15" t="str">
        <f t="shared" si="5"/>
        <v/>
      </c>
    </row>
    <row r="772">
      <c r="B772" t="str">
        <f t="array" ref="B772">IFERROR(INDEX('Player Raw Data'!C:C,Match($A772,'Player Raw Data'!$B:$B,0)),"")</f>
        <v/>
      </c>
      <c r="C772" t="str">
        <f t="array" ref="C772">IFERROR(INDEX('Player Raw Data'!D:D,Match($A772,'Player Raw Data'!$B:$B,0)),"")</f>
        <v/>
      </c>
      <c r="D772" t="str">
        <f t="array" ref="D772">IFERROR(IF(A772=A771, INDEX('Player Raw Data'!E:E,Match($A772,'Player Raw Data'!$B:$B,0)+2),INDEX('Player Raw Data'!E:E,Match($A772,'Player Raw Data'!$B:$B,0))),"")</f>
        <v/>
      </c>
      <c r="E772" t="str">
        <f t="array" ref="E772">IFERROR(INDEX('Day Range Raw Data'!D:D,Match($A772,'Day Range Raw Data'!$B:$B,0)),"")</f>
        <v/>
      </c>
      <c r="F772" t="str">
        <f t="array" ref="F772">IFERROR(INDEX('Day Range Raw Data'!F:F,Match($A772,'Day Range Raw Data'!$B:$B,0)),"")</f>
        <v/>
      </c>
      <c r="G772" t="str">
        <f t="array" ref="G772">IFERROR(INDEX('Day Range Raw Data'!G:G,Match($A772,'Day Range Raw Data'!$B:$B,0)),"")</f>
        <v/>
      </c>
      <c r="H772" t="str">
        <f t="array" ref="H772">IFERROR(INDEX('Day Range Raw Data'!H:H,Match($A772,'Day Range Raw Data'!$B:$B,0)),"")</f>
        <v/>
      </c>
      <c r="I772" t="str">
        <f t="array" ref="I772">IFERROR(INDEX('Day Range Raw Data'!M:M,Match($A772,'Day Range Raw Data'!$B:$B,0)),"")</f>
        <v/>
      </c>
      <c r="J772" t="str">
        <f t="array" ref="J772">IFERROR(INDEX('Day Range Raw Data'!N:N,Match($A772,'Day Range Raw Data'!$B:$B,0)),"")</f>
        <v/>
      </c>
      <c r="K772" t="str">
        <f t="array" ref="K772">IFERROR(INDEX('Day Range Raw Data'!R:R,Match($A772,'Day Range Raw Data'!$B:$B,0)),"")</f>
        <v/>
      </c>
      <c r="L772" t="str">
        <f t="array" ref="L772">IFERROR(INDEX('Day Range Raw Data'!S:S,Match($A772,'Day Range Raw Data'!$B:$B,0)),"")</f>
        <v/>
      </c>
      <c r="M772" t="str">
        <f t="array" ref="M772">IFERROR(INDEX('Day Range Raw Data'!T:T,Match($A772,'Day Range Raw Data'!$B:$B,0)),"")</f>
        <v/>
      </c>
      <c r="N772" t="str">
        <f t="array" ref="N772">IFERROR(INDEX('Day Range Raw Data'!U:U,Match($A772,'Day Range Raw Data'!$B:$B,0)),"")</f>
        <v/>
      </c>
      <c r="O772" t="str">
        <f t="array" ref="O772">IFERROR(INDEX('Day Range Raw Data'!V:V,Match($A772,'Day Range Raw Data'!$B:$B,0)),"")</f>
        <v/>
      </c>
      <c r="P772" t="str">
        <f t="array" ref="P772">IFERROR(INDEX('Day Range Raw Data'!X:X,Match($A772,'Day Range Raw Data'!$B:$B,0)),"")</f>
        <v/>
      </c>
      <c r="Q772" t="str">
        <f t="shared" si="1"/>
        <v/>
      </c>
      <c r="R772" s="9" t="str">
        <f t="shared" si="2"/>
        <v/>
      </c>
      <c r="S772" s="14" t="str">
        <f t="shared" si="3"/>
        <v/>
      </c>
      <c r="T772" s="15" t="str">
        <f>IFERROR(__xludf.DUMMYFUNCTION("IF($A772="""","""",IFERROR(PERCENTRANK.INC(FILTER(Q:Q,$F:$F&lt;&gt;""""),Q772)*100,""""))"),"")</f>
        <v/>
      </c>
      <c r="U772" s="15" t="str">
        <f>IFERROR(__xludf.DUMMYFUNCTION("IF($A772="""","""",IFERROR(PERCENTRANK.INC(FILTER(R:R,$F:$F&lt;&gt;""""),R772)*100,""""))"),"")</f>
        <v/>
      </c>
      <c r="V772" s="15" t="str">
        <f>IFERROR(__xludf.DUMMYFUNCTION("IF($A772="""","""",IFERROR(PERCENTRANK.INC(FILTER(S:S,$F:$F&lt;&gt;""""),S772)*100,""""))"),"")</f>
        <v/>
      </c>
      <c r="W772" s="15" t="str">
        <f t="shared" si="5"/>
        <v/>
      </c>
    </row>
    <row r="773">
      <c r="B773" t="str">
        <f t="array" ref="B773">IFERROR(INDEX('Player Raw Data'!C:C,Match($A773,'Player Raw Data'!$B:$B,0)),"")</f>
        <v/>
      </c>
      <c r="C773" t="str">
        <f t="array" ref="C773">IFERROR(INDEX('Player Raw Data'!D:D,Match($A773,'Player Raw Data'!$B:$B,0)),"")</f>
        <v/>
      </c>
      <c r="D773" t="str">
        <f t="array" ref="D773">IFERROR(IF(A773=A772, INDEX('Player Raw Data'!E:E,Match($A773,'Player Raw Data'!$B:$B,0)+2),INDEX('Player Raw Data'!E:E,Match($A773,'Player Raw Data'!$B:$B,0))),"")</f>
        <v/>
      </c>
      <c r="E773" t="str">
        <f t="array" ref="E773">IFERROR(INDEX('Day Range Raw Data'!D:D,Match($A773,'Day Range Raw Data'!$B:$B,0)),"")</f>
        <v/>
      </c>
      <c r="F773" t="str">
        <f t="array" ref="F773">IFERROR(INDEX('Day Range Raw Data'!F:F,Match($A773,'Day Range Raw Data'!$B:$B,0)),"")</f>
        <v/>
      </c>
      <c r="G773" t="str">
        <f t="array" ref="G773">IFERROR(INDEX('Day Range Raw Data'!G:G,Match($A773,'Day Range Raw Data'!$B:$B,0)),"")</f>
        <v/>
      </c>
      <c r="H773" t="str">
        <f t="array" ref="H773">IFERROR(INDEX('Day Range Raw Data'!H:H,Match($A773,'Day Range Raw Data'!$B:$B,0)),"")</f>
        <v/>
      </c>
      <c r="I773" t="str">
        <f t="array" ref="I773">IFERROR(INDEX('Day Range Raw Data'!M:M,Match($A773,'Day Range Raw Data'!$B:$B,0)),"")</f>
        <v/>
      </c>
      <c r="J773" t="str">
        <f t="array" ref="J773">IFERROR(INDEX('Day Range Raw Data'!N:N,Match($A773,'Day Range Raw Data'!$B:$B,0)),"")</f>
        <v/>
      </c>
      <c r="K773" t="str">
        <f t="array" ref="K773">IFERROR(INDEX('Day Range Raw Data'!R:R,Match($A773,'Day Range Raw Data'!$B:$B,0)),"")</f>
        <v/>
      </c>
      <c r="L773" t="str">
        <f t="array" ref="L773">IFERROR(INDEX('Day Range Raw Data'!S:S,Match($A773,'Day Range Raw Data'!$B:$B,0)),"")</f>
        <v/>
      </c>
      <c r="M773" t="str">
        <f t="array" ref="M773">IFERROR(INDEX('Day Range Raw Data'!T:T,Match($A773,'Day Range Raw Data'!$B:$B,0)),"")</f>
        <v/>
      </c>
      <c r="N773" t="str">
        <f t="array" ref="N773">IFERROR(INDEX('Day Range Raw Data'!U:U,Match($A773,'Day Range Raw Data'!$B:$B,0)),"")</f>
        <v/>
      </c>
      <c r="O773" t="str">
        <f t="array" ref="O773">IFERROR(INDEX('Day Range Raw Data'!V:V,Match($A773,'Day Range Raw Data'!$B:$B,0)),"")</f>
        <v/>
      </c>
      <c r="P773" t="str">
        <f t="array" ref="P773">IFERROR(INDEX('Day Range Raw Data'!X:X,Match($A773,'Day Range Raw Data'!$B:$B,0)),"")</f>
        <v/>
      </c>
      <c r="Q773" t="str">
        <f t="shared" si="1"/>
        <v/>
      </c>
      <c r="R773" s="9" t="str">
        <f t="shared" si="2"/>
        <v/>
      </c>
      <c r="S773" s="14" t="str">
        <f t="shared" si="3"/>
        <v/>
      </c>
      <c r="T773" s="15" t="str">
        <f>IFERROR(__xludf.DUMMYFUNCTION("IF($A773="""","""",IFERROR(PERCENTRANK.INC(FILTER(Q:Q,$F:$F&lt;&gt;""""),Q773)*100,""""))"),"")</f>
        <v/>
      </c>
      <c r="U773" s="15" t="str">
        <f>IFERROR(__xludf.DUMMYFUNCTION("IF($A773="""","""",IFERROR(PERCENTRANK.INC(FILTER(R:R,$F:$F&lt;&gt;""""),R773)*100,""""))"),"")</f>
        <v/>
      </c>
      <c r="V773" s="15" t="str">
        <f>IFERROR(__xludf.DUMMYFUNCTION("IF($A773="""","""",IFERROR(PERCENTRANK.INC(FILTER(S:S,$F:$F&lt;&gt;""""),S773)*100,""""))"),"")</f>
        <v/>
      </c>
      <c r="W773" s="15" t="str">
        <f t="shared" si="5"/>
        <v/>
      </c>
    </row>
    <row r="774">
      <c r="B774" t="str">
        <f t="array" ref="B774">IFERROR(INDEX('Player Raw Data'!C:C,Match($A774,'Player Raw Data'!$B:$B,0)),"")</f>
        <v/>
      </c>
      <c r="C774" t="str">
        <f t="array" ref="C774">IFERROR(INDEX('Player Raw Data'!D:D,Match($A774,'Player Raw Data'!$B:$B,0)),"")</f>
        <v/>
      </c>
      <c r="D774" t="str">
        <f t="array" ref="D774">IFERROR(IF(A774=A773, INDEX('Player Raw Data'!E:E,Match($A774,'Player Raw Data'!$B:$B,0)+2),INDEX('Player Raw Data'!E:E,Match($A774,'Player Raw Data'!$B:$B,0))),"")</f>
        <v/>
      </c>
      <c r="E774" t="str">
        <f t="array" ref="E774">IFERROR(INDEX('Day Range Raw Data'!D:D,Match($A774,'Day Range Raw Data'!$B:$B,0)),"")</f>
        <v/>
      </c>
      <c r="F774" t="str">
        <f t="array" ref="F774">IFERROR(INDEX('Day Range Raw Data'!F:F,Match($A774,'Day Range Raw Data'!$B:$B,0)),"")</f>
        <v/>
      </c>
      <c r="G774" t="str">
        <f t="array" ref="G774">IFERROR(INDEX('Day Range Raw Data'!G:G,Match($A774,'Day Range Raw Data'!$B:$B,0)),"")</f>
        <v/>
      </c>
      <c r="H774" t="str">
        <f t="array" ref="H774">IFERROR(INDEX('Day Range Raw Data'!H:H,Match($A774,'Day Range Raw Data'!$B:$B,0)),"")</f>
        <v/>
      </c>
      <c r="I774" t="str">
        <f t="array" ref="I774">IFERROR(INDEX('Day Range Raw Data'!M:M,Match($A774,'Day Range Raw Data'!$B:$B,0)),"")</f>
        <v/>
      </c>
      <c r="J774" t="str">
        <f t="array" ref="J774">IFERROR(INDEX('Day Range Raw Data'!N:N,Match($A774,'Day Range Raw Data'!$B:$B,0)),"")</f>
        <v/>
      </c>
      <c r="K774" t="str">
        <f t="array" ref="K774">IFERROR(INDEX('Day Range Raw Data'!R:R,Match($A774,'Day Range Raw Data'!$B:$B,0)),"")</f>
        <v/>
      </c>
      <c r="L774" t="str">
        <f t="array" ref="L774">IFERROR(INDEX('Day Range Raw Data'!S:S,Match($A774,'Day Range Raw Data'!$B:$B,0)),"")</f>
        <v/>
      </c>
      <c r="M774" t="str">
        <f t="array" ref="M774">IFERROR(INDEX('Day Range Raw Data'!T:T,Match($A774,'Day Range Raw Data'!$B:$B,0)),"")</f>
        <v/>
      </c>
      <c r="N774" t="str">
        <f t="array" ref="N774">IFERROR(INDEX('Day Range Raw Data'!U:U,Match($A774,'Day Range Raw Data'!$B:$B,0)),"")</f>
        <v/>
      </c>
      <c r="O774" t="str">
        <f t="array" ref="O774">IFERROR(INDEX('Day Range Raw Data'!V:V,Match($A774,'Day Range Raw Data'!$B:$B,0)),"")</f>
        <v/>
      </c>
      <c r="P774" t="str">
        <f t="array" ref="P774">IFERROR(INDEX('Day Range Raw Data'!X:X,Match($A774,'Day Range Raw Data'!$B:$B,0)),"")</f>
        <v/>
      </c>
      <c r="Q774" t="str">
        <f t="shared" si="1"/>
        <v/>
      </c>
      <c r="R774" s="9" t="str">
        <f t="shared" si="2"/>
        <v/>
      </c>
      <c r="S774" s="14" t="str">
        <f t="shared" si="3"/>
        <v/>
      </c>
      <c r="T774" s="15" t="str">
        <f>IFERROR(__xludf.DUMMYFUNCTION("IF($A774="""","""",IFERROR(PERCENTRANK.INC(FILTER(Q:Q,$F:$F&lt;&gt;""""),Q774)*100,""""))"),"")</f>
        <v/>
      </c>
      <c r="U774" s="15" t="str">
        <f>IFERROR(__xludf.DUMMYFUNCTION("IF($A774="""","""",IFERROR(PERCENTRANK.INC(FILTER(R:R,$F:$F&lt;&gt;""""),R774)*100,""""))"),"")</f>
        <v/>
      </c>
      <c r="V774" s="15" t="str">
        <f>IFERROR(__xludf.DUMMYFUNCTION("IF($A774="""","""",IFERROR(PERCENTRANK.INC(FILTER(S:S,$F:$F&lt;&gt;""""),S774)*100,""""))"),"")</f>
        <v/>
      </c>
      <c r="W774" s="15" t="str">
        <f t="shared" si="5"/>
        <v/>
      </c>
    </row>
    <row r="775">
      <c r="B775" t="str">
        <f t="array" ref="B775">IFERROR(INDEX('Player Raw Data'!C:C,Match($A775,'Player Raw Data'!$B:$B,0)),"")</f>
        <v/>
      </c>
      <c r="C775" t="str">
        <f t="array" ref="C775">IFERROR(INDEX('Player Raw Data'!D:D,Match($A775,'Player Raw Data'!$B:$B,0)),"")</f>
        <v/>
      </c>
      <c r="D775" t="str">
        <f t="array" ref="D775">IFERROR(IF(A775=A774, INDEX('Player Raw Data'!E:E,Match($A775,'Player Raw Data'!$B:$B,0)+2),INDEX('Player Raw Data'!E:E,Match($A775,'Player Raw Data'!$B:$B,0))),"")</f>
        <v/>
      </c>
      <c r="E775" t="str">
        <f t="array" ref="E775">IFERROR(INDEX('Day Range Raw Data'!D:D,Match($A775,'Day Range Raw Data'!$B:$B,0)),"")</f>
        <v/>
      </c>
      <c r="F775" t="str">
        <f t="array" ref="F775">IFERROR(INDEX('Day Range Raw Data'!F:F,Match($A775,'Day Range Raw Data'!$B:$B,0)),"")</f>
        <v/>
      </c>
      <c r="G775" t="str">
        <f t="array" ref="G775">IFERROR(INDEX('Day Range Raw Data'!G:G,Match($A775,'Day Range Raw Data'!$B:$B,0)),"")</f>
        <v/>
      </c>
      <c r="H775" t="str">
        <f t="array" ref="H775">IFERROR(INDEX('Day Range Raw Data'!H:H,Match($A775,'Day Range Raw Data'!$B:$B,0)),"")</f>
        <v/>
      </c>
      <c r="I775" t="str">
        <f t="array" ref="I775">IFERROR(INDEX('Day Range Raw Data'!M:M,Match($A775,'Day Range Raw Data'!$B:$B,0)),"")</f>
        <v/>
      </c>
      <c r="J775" t="str">
        <f t="array" ref="J775">IFERROR(INDEX('Day Range Raw Data'!N:N,Match($A775,'Day Range Raw Data'!$B:$B,0)),"")</f>
        <v/>
      </c>
      <c r="K775" t="str">
        <f t="array" ref="K775">IFERROR(INDEX('Day Range Raw Data'!R:R,Match($A775,'Day Range Raw Data'!$B:$B,0)),"")</f>
        <v/>
      </c>
      <c r="L775" t="str">
        <f t="array" ref="L775">IFERROR(INDEX('Day Range Raw Data'!S:S,Match($A775,'Day Range Raw Data'!$B:$B,0)),"")</f>
        <v/>
      </c>
      <c r="M775" t="str">
        <f t="array" ref="M775">IFERROR(INDEX('Day Range Raw Data'!T:T,Match($A775,'Day Range Raw Data'!$B:$B,0)),"")</f>
        <v/>
      </c>
      <c r="N775" t="str">
        <f t="array" ref="N775">IFERROR(INDEX('Day Range Raw Data'!U:U,Match($A775,'Day Range Raw Data'!$B:$B,0)),"")</f>
        <v/>
      </c>
      <c r="O775" t="str">
        <f t="array" ref="O775">IFERROR(INDEX('Day Range Raw Data'!V:V,Match($A775,'Day Range Raw Data'!$B:$B,0)),"")</f>
        <v/>
      </c>
      <c r="P775" t="str">
        <f t="array" ref="P775">IFERROR(INDEX('Day Range Raw Data'!X:X,Match($A775,'Day Range Raw Data'!$B:$B,0)),"")</f>
        <v/>
      </c>
      <c r="Q775" t="str">
        <f t="shared" si="1"/>
        <v/>
      </c>
      <c r="R775" s="9" t="str">
        <f t="shared" si="2"/>
        <v/>
      </c>
      <c r="S775" s="14" t="str">
        <f t="shared" si="3"/>
        <v/>
      </c>
      <c r="T775" s="15" t="str">
        <f>IFERROR(__xludf.DUMMYFUNCTION("IF($A775="""","""",IFERROR(PERCENTRANK.INC(FILTER(Q:Q,$F:$F&lt;&gt;""""),Q775)*100,""""))"),"")</f>
        <v/>
      </c>
      <c r="U775" s="15" t="str">
        <f>IFERROR(__xludf.DUMMYFUNCTION("IF($A775="""","""",IFERROR(PERCENTRANK.INC(FILTER(R:R,$F:$F&lt;&gt;""""),R775)*100,""""))"),"")</f>
        <v/>
      </c>
      <c r="V775" s="15" t="str">
        <f>IFERROR(__xludf.DUMMYFUNCTION("IF($A775="""","""",IFERROR(PERCENTRANK.INC(FILTER(S:S,$F:$F&lt;&gt;""""),S775)*100,""""))"),"")</f>
        <v/>
      </c>
      <c r="W775" s="15" t="str">
        <f t="shared" si="5"/>
        <v/>
      </c>
    </row>
    <row r="776">
      <c r="B776" t="str">
        <f t="array" ref="B776">IFERROR(INDEX('Player Raw Data'!C:C,Match($A776,'Player Raw Data'!$B:$B,0)),"")</f>
        <v/>
      </c>
      <c r="C776" t="str">
        <f t="array" ref="C776">IFERROR(INDEX('Player Raw Data'!D:D,Match($A776,'Player Raw Data'!$B:$B,0)),"")</f>
        <v/>
      </c>
      <c r="D776" t="str">
        <f t="array" ref="D776">IFERROR(IF(A776=A775, INDEX('Player Raw Data'!E:E,Match($A776,'Player Raw Data'!$B:$B,0)+2),INDEX('Player Raw Data'!E:E,Match($A776,'Player Raw Data'!$B:$B,0))),"")</f>
        <v/>
      </c>
      <c r="E776" t="str">
        <f t="array" ref="E776">IFERROR(INDEX('Day Range Raw Data'!D:D,Match($A776,'Day Range Raw Data'!$B:$B,0)),"")</f>
        <v/>
      </c>
      <c r="F776" t="str">
        <f t="array" ref="F776">IFERROR(INDEX('Day Range Raw Data'!F:F,Match($A776,'Day Range Raw Data'!$B:$B,0)),"")</f>
        <v/>
      </c>
      <c r="G776" t="str">
        <f t="array" ref="G776">IFERROR(INDEX('Day Range Raw Data'!G:G,Match($A776,'Day Range Raw Data'!$B:$B,0)),"")</f>
        <v/>
      </c>
      <c r="H776" t="str">
        <f t="array" ref="H776">IFERROR(INDEX('Day Range Raw Data'!H:H,Match($A776,'Day Range Raw Data'!$B:$B,0)),"")</f>
        <v/>
      </c>
      <c r="I776" t="str">
        <f t="array" ref="I776">IFERROR(INDEX('Day Range Raw Data'!M:M,Match($A776,'Day Range Raw Data'!$B:$B,0)),"")</f>
        <v/>
      </c>
      <c r="J776" t="str">
        <f t="array" ref="J776">IFERROR(INDEX('Day Range Raw Data'!N:N,Match($A776,'Day Range Raw Data'!$B:$B,0)),"")</f>
        <v/>
      </c>
      <c r="K776" t="str">
        <f t="array" ref="K776">IFERROR(INDEX('Day Range Raw Data'!R:R,Match($A776,'Day Range Raw Data'!$B:$B,0)),"")</f>
        <v/>
      </c>
      <c r="L776" t="str">
        <f t="array" ref="L776">IFERROR(INDEX('Day Range Raw Data'!S:S,Match($A776,'Day Range Raw Data'!$B:$B,0)),"")</f>
        <v/>
      </c>
      <c r="M776" t="str">
        <f t="array" ref="M776">IFERROR(INDEX('Day Range Raw Data'!T:T,Match($A776,'Day Range Raw Data'!$B:$B,0)),"")</f>
        <v/>
      </c>
      <c r="N776" t="str">
        <f t="array" ref="N776">IFERROR(INDEX('Day Range Raw Data'!U:U,Match($A776,'Day Range Raw Data'!$B:$B,0)),"")</f>
        <v/>
      </c>
      <c r="O776" t="str">
        <f t="array" ref="O776">IFERROR(INDEX('Day Range Raw Data'!V:V,Match($A776,'Day Range Raw Data'!$B:$B,0)),"")</f>
        <v/>
      </c>
      <c r="P776" t="str">
        <f t="array" ref="P776">IFERROR(INDEX('Day Range Raw Data'!X:X,Match($A776,'Day Range Raw Data'!$B:$B,0)),"")</f>
        <v/>
      </c>
      <c r="Q776" t="str">
        <f t="shared" si="1"/>
        <v/>
      </c>
      <c r="R776" s="9" t="str">
        <f t="shared" si="2"/>
        <v/>
      </c>
      <c r="S776" s="14" t="str">
        <f t="shared" si="3"/>
        <v/>
      </c>
      <c r="T776" s="15" t="str">
        <f>IFERROR(__xludf.DUMMYFUNCTION("IF($A776="""","""",IFERROR(PERCENTRANK.INC(FILTER(Q:Q,$F:$F&lt;&gt;""""),Q776)*100,""""))"),"")</f>
        <v/>
      </c>
      <c r="U776" s="15" t="str">
        <f>IFERROR(__xludf.DUMMYFUNCTION("IF($A776="""","""",IFERROR(PERCENTRANK.INC(FILTER(R:R,$F:$F&lt;&gt;""""),R776)*100,""""))"),"")</f>
        <v/>
      </c>
      <c r="V776" s="15" t="str">
        <f>IFERROR(__xludf.DUMMYFUNCTION("IF($A776="""","""",IFERROR(PERCENTRANK.INC(FILTER(S:S,$F:$F&lt;&gt;""""),S776)*100,""""))"),"")</f>
        <v/>
      </c>
      <c r="W776" s="15" t="str">
        <f t="shared" si="5"/>
        <v/>
      </c>
    </row>
    <row r="777">
      <c r="B777" t="str">
        <f t="array" ref="B777">IFERROR(INDEX('Player Raw Data'!C:C,Match($A777,'Player Raw Data'!$B:$B,0)),"")</f>
        <v/>
      </c>
      <c r="C777" t="str">
        <f t="array" ref="C777">IFERROR(INDEX('Player Raw Data'!D:D,Match($A777,'Player Raw Data'!$B:$B,0)),"")</f>
        <v/>
      </c>
      <c r="D777" t="str">
        <f t="array" ref="D777">IFERROR(IF(A777=A776, INDEX('Player Raw Data'!E:E,Match($A777,'Player Raw Data'!$B:$B,0)+2),INDEX('Player Raw Data'!E:E,Match($A777,'Player Raw Data'!$B:$B,0))),"")</f>
        <v/>
      </c>
      <c r="E777" t="str">
        <f t="array" ref="E777">IFERROR(INDEX('Day Range Raw Data'!D:D,Match($A777,'Day Range Raw Data'!$B:$B,0)),"")</f>
        <v/>
      </c>
      <c r="F777" t="str">
        <f t="array" ref="F777">IFERROR(INDEX('Day Range Raw Data'!F:F,Match($A777,'Day Range Raw Data'!$B:$B,0)),"")</f>
        <v/>
      </c>
      <c r="G777" t="str">
        <f t="array" ref="G777">IFERROR(INDEX('Day Range Raw Data'!G:G,Match($A777,'Day Range Raw Data'!$B:$B,0)),"")</f>
        <v/>
      </c>
      <c r="H777" t="str">
        <f t="array" ref="H777">IFERROR(INDEX('Day Range Raw Data'!H:H,Match($A777,'Day Range Raw Data'!$B:$B,0)),"")</f>
        <v/>
      </c>
      <c r="I777" t="str">
        <f t="array" ref="I777">IFERROR(INDEX('Day Range Raw Data'!M:M,Match($A777,'Day Range Raw Data'!$B:$B,0)),"")</f>
        <v/>
      </c>
      <c r="J777" t="str">
        <f t="array" ref="J777">IFERROR(INDEX('Day Range Raw Data'!N:N,Match($A777,'Day Range Raw Data'!$B:$B,0)),"")</f>
        <v/>
      </c>
      <c r="K777" t="str">
        <f t="array" ref="K777">IFERROR(INDEX('Day Range Raw Data'!R:R,Match($A777,'Day Range Raw Data'!$B:$B,0)),"")</f>
        <v/>
      </c>
      <c r="L777" t="str">
        <f t="array" ref="L777">IFERROR(INDEX('Day Range Raw Data'!S:S,Match($A777,'Day Range Raw Data'!$B:$B,0)),"")</f>
        <v/>
      </c>
      <c r="M777" t="str">
        <f t="array" ref="M777">IFERROR(INDEX('Day Range Raw Data'!T:T,Match($A777,'Day Range Raw Data'!$B:$B,0)),"")</f>
        <v/>
      </c>
      <c r="N777" t="str">
        <f t="array" ref="N777">IFERROR(INDEX('Day Range Raw Data'!U:U,Match($A777,'Day Range Raw Data'!$B:$B,0)),"")</f>
        <v/>
      </c>
      <c r="O777" t="str">
        <f t="array" ref="O777">IFERROR(INDEX('Day Range Raw Data'!V:V,Match($A777,'Day Range Raw Data'!$B:$B,0)),"")</f>
        <v/>
      </c>
      <c r="P777" t="str">
        <f t="array" ref="P777">IFERROR(INDEX('Day Range Raw Data'!X:X,Match($A777,'Day Range Raw Data'!$B:$B,0)),"")</f>
        <v/>
      </c>
      <c r="Q777" t="str">
        <f t="shared" si="1"/>
        <v/>
      </c>
      <c r="R777" s="9" t="str">
        <f t="shared" si="2"/>
        <v/>
      </c>
      <c r="S777" s="14" t="str">
        <f t="shared" si="3"/>
        <v/>
      </c>
      <c r="T777" s="15" t="str">
        <f>IFERROR(__xludf.DUMMYFUNCTION("IF($A777="""","""",IFERROR(PERCENTRANK.INC(FILTER(Q:Q,$F:$F&lt;&gt;""""),Q777)*100,""""))"),"")</f>
        <v/>
      </c>
      <c r="U777" s="15" t="str">
        <f>IFERROR(__xludf.DUMMYFUNCTION("IF($A777="""","""",IFERROR(PERCENTRANK.INC(FILTER(R:R,$F:$F&lt;&gt;""""),R777)*100,""""))"),"")</f>
        <v/>
      </c>
      <c r="V777" s="15" t="str">
        <f>IFERROR(__xludf.DUMMYFUNCTION("IF($A777="""","""",IFERROR(PERCENTRANK.INC(FILTER(S:S,$F:$F&lt;&gt;""""),S777)*100,""""))"),"")</f>
        <v/>
      </c>
      <c r="W777" s="15" t="str">
        <f t="shared" si="5"/>
        <v/>
      </c>
    </row>
    <row r="778">
      <c r="B778" t="str">
        <f t="array" ref="B778">IFERROR(INDEX('Player Raw Data'!C:C,Match($A778,'Player Raw Data'!$B:$B,0)),"")</f>
        <v/>
      </c>
      <c r="C778" t="str">
        <f t="array" ref="C778">IFERROR(INDEX('Player Raw Data'!D:D,Match($A778,'Player Raw Data'!$B:$B,0)),"")</f>
        <v/>
      </c>
      <c r="D778" t="str">
        <f t="array" ref="D778">IFERROR(IF(A778=A777, INDEX('Player Raw Data'!E:E,Match($A778,'Player Raw Data'!$B:$B,0)+2),INDEX('Player Raw Data'!E:E,Match($A778,'Player Raw Data'!$B:$B,0))),"")</f>
        <v/>
      </c>
      <c r="E778" t="str">
        <f t="array" ref="E778">IFERROR(INDEX('Day Range Raw Data'!D:D,Match($A778,'Day Range Raw Data'!$B:$B,0)),"")</f>
        <v/>
      </c>
      <c r="F778" t="str">
        <f t="array" ref="F778">IFERROR(INDEX('Day Range Raw Data'!F:F,Match($A778,'Day Range Raw Data'!$B:$B,0)),"")</f>
        <v/>
      </c>
      <c r="G778" t="str">
        <f t="array" ref="G778">IFERROR(INDEX('Day Range Raw Data'!G:G,Match($A778,'Day Range Raw Data'!$B:$B,0)),"")</f>
        <v/>
      </c>
      <c r="H778" t="str">
        <f t="array" ref="H778">IFERROR(INDEX('Day Range Raw Data'!H:H,Match($A778,'Day Range Raw Data'!$B:$B,0)),"")</f>
        <v/>
      </c>
      <c r="I778" t="str">
        <f t="array" ref="I778">IFERROR(INDEX('Day Range Raw Data'!M:M,Match($A778,'Day Range Raw Data'!$B:$B,0)),"")</f>
        <v/>
      </c>
      <c r="J778" t="str">
        <f t="array" ref="J778">IFERROR(INDEX('Day Range Raw Data'!N:N,Match($A778,'Day Range Raw Data'!$B:$B,0)),"")</f>
        <v/>
      </c>
      <c r="K778" t="str">
        <f t="array" ref="K778">IFERROR(INDEX('Day Range Raw Data'!R:R,Match($A778,'Day Range Raw Data'!$B:$B,0)),"")</f>
        <v/>
      </c>
      <c r="L778" t="str">
        <f t="array" ref="L778">IFERROR(INDEX('Day Range Raw Data'!S:S,Match($A778,'Day Range Raw Data'!$B:$B,0)),"")</f>
        <v/>
      </c>
      <c r="M778" t="str">
        <f t="array" ref="M778">IFERROR(INDEX('Day Range Raw Data'!T:T,Match($A778,'Day Range Raw Data'!$B:$B,0)),"")</f>
        <v/>
      </c>
      <c r="N778" t="str">
        <f t="array" ref="N778">IFERROR(INDEX('Day Range Raw Data'!U:U,Match($A778,'Day Range Raw Data'!$B:$B,0)),"")</f>
        <v/>
      </c>
      <c r="O778" t="str">
        <f t="array" ref="O778">IFERROR(INDEX('Day Range Raw Data'!V:V,Match($A778,'Day Range Raw Data'!$B:$B,0)),"")</f>
        <v/>
      </c>
      <c r="P778" t="str">
        <f t="array" ref="P778">IFERROR(INDEX('Day Range Raw Data'!X:X,Match($A778,'Day Range Raw Data'!$B:$B,0)),"")</f>
        <v/>
      </c>
      <c r="Q778" t="str">
        <f t="shared" si="1"/>
        <v/>
      </c>
      <c r="R778" s="9" t="str">
        <f t="shared" si="2"/>
        <v/>
      </c>
      <c r="S778" s="14" t="str">
        <f t="shared" si="3"/>
        <v/>
      </c>
      <c r="T778" s="15" t="str">
        <f>IFERROR(__xludf.DUMMYFUNCTION("IF($A778="""","""",IFERROR(PERCENTRANK.INC(FILTER(Q:Q,$F:$F&lt;&gt;""""),Q778)*100,""""))"),"")</f>
        <v/>
      </c>
      <c r="U778" s="15" t="str">
        <f>IFERROR(__xludf.DUMMYFUNCTION("IF($A778="""","""",IFERROR(PERCENTRANK.INC(FILTER(R:R,$F:$F&lt;&gt;""""),R778)*100,""""))"),"")</f>
        <v/>
      </c>
      <c r="V778" s="15" t="str">
        <f>IFERROR(__xludf.DUMMYFUNCTION("IF($A778="""","""",IFERROR(PERCENTRANK.INC(FILTER(S:S,$F:$F&lt;&gt;""""),S778)*100,""""))"),"")</f>
        <v/>
      </c>
      <c r="W778" s="15" t="str">
        <f t="shared" si="5"/>
        <v/>
      </c>
    </row>
    <row r="779">
      <c r="B779" t="str">
        <f t="array" ref="B779">IFERROR(INDEX('Player Raw Data'!C:C,Match($A779,'Player Raw Data'!$B:$B,0)),"")</f>
        <v/>
      </c>
      <c r="C779" t="str">
        <f t="array" ref="C779">IFERROR(INDEX('Player Raw Data'!D:D,Match($A779,'Player Raw Data'!$B:$B,0)),"")</f>
        <v/>
      </c>
      <c r="D779" t="str">
        <f t="array" ref="D779">IFERROR(IF(A779=A778, INDEX('Player Raw Data'!E:E,Match($A779,'Player Raw Data'!$B:$B,0)+2),INDEX('Player Raw Data'!E:E,Match($A779,'Player Raw Data'!$B:$B,0))),"")</f>
        <v/>
      </c>
      <c r="E779" t="str">
        <f t="array" ref="E779">IFERROR(INDEX('Day Range Raw Data'!D:D,Match($A779,'Day Range Raw Data'!$B:$B,0)),"")</f>
        <v/>
      </c>
      <c r="F779" t="str">
        <f t="array" ref="F779">IFERROR(INDEX('Day Range Raw Data'!F:F,Match($A779,'Day Range Raw Data'!$B:$B,0)),"")</f>
        <v/>
      </c>
      <c r="G779" t="str">
        <f t="array" ref="G779">IFERROR(INDEX('Day Range Raw Data'!G:G,Match($A779,'Day Range Raw Data'!$B:$B,0)),"")</f>
        <v/>
      </c>
      <c r="H779" t="str">
        <f t="array" ref="H779">IFERROR(INDEX('Day Range Raw Data'!H:H,Match($A779,'Day Range Raw Data'!$B:$B,0)),"")</f>
        <v/>
      </c>
      <c r="I779" t="str">
        <f t="array" ref="I779">IFERROR(INDEX('Day Range Raw Data'!M:M,Match($A779,'Day Range Raw Data'!$B:$B,0)),"")</f>
        <v/>
      </c>
      <c r="J779" t="str">
        <f t="array" ref="J779">IFERROR(INDEX('Day Range Raw Data'!N:N,Match($A779,'Day Range Raw Data'!$B:$B,0)),"")</f>
        <v/>
      </c>
      <c r="K779" t="str">
        <f t="array" ref="K779">IFERROR(INDEX('Day Range Raw Data'!R:R,Match($A779,'Day Range Raw Data'!$B:$B,0)),"")</f>
        <v/>
      </c>
      <c r="L779" t="str">
        <f t="array" ref="L779">IFERROR(INDEX('Day Range Raw Data'!S:S,Match($A779,'Day Range Raw Data'!$B:$B,0)),"")</f>
        <v/>
      </c>
      <c r="M779" t="str">
        <f t="array" ref="M779">IFERROR(INDEX('Day Range Raw Data'!T:T,Match($A779,'Day Range Raw Data'!$B:$B,0)),"")</f>
        <v/>
      </c>
      <c r="N779" t="str">
        <f t="array" ref="N779">IFERROR(INDEX('Day Range Raw Data'!U:U,Match($A779,'Day Range Raw Data'!$B:$B,0)),"")</f>
        <v/>
      </c>
      <c r="O779" t="str">
        <f t="array" ref="O779">IFERROR(INDEX('Day Range Raw Data'!V:V,Match($A779,'Day Range Raw Data'!$B:$B,0)),"")</f>
        <v/>
      </c>
      <c r="P779" t="str">
        <f t="array" ref="P779">IFERROR(INDEX('Day Range Raw Data'!X:X,Match($A779,'Day Range Raw Data'!$B:$B,0)),"")</f>
        <v/>
      </c>
      <c r="Q779" t="str">
        <f t="shared" si="1"/>
        <v/>
      </c>
      <c r="R779" s="9" t="str">
        <f t="shared" si="2"/>
        <v/>
      </c>
      <c r="S779" s="14" t="str">
        <f t="shared" si="3"/>
        <v/>
      </c>
      <c r="T779" s="15" t="str">
        <f>IFERROR(__xludf.DUMMYFUNCTION("IF($A779="""","""",IFERROR(PERCENTRANK.INC(FILTER(Q:Q,$F:$F&lt;&gt;""""),Q779)*100,""""))"),"")</f>
        <v/>
      </c>
      <c r="U779" s="15" t="str">
        <f>IFERROR(__xludf.DUMMYFUNCTION("IF($A779="""","""",IFERROR(PERCENTRANK.INC(FILTER(R:R,$F:$F&lt;&gt;""""),R779)*100,""""))"),"")</f>
        <v/>
      </c>
      <c r="V779" s="15" t="str">
        <f>IFERROR(__xludf.DUMMYFUNCTION("IF($A779="""","""",IFERROR(PERCENTRANK.INC(FILTER(S:S,$F:$F&lt;&gt;""""),S779)*100,""""))"),"")</f>
        <v/>
      </c>
      <c r="W779" s="15" t="str">
        <f t="shared" si="5"/>
        <v/>
      </c>
    </row>
    <row r="780">
      <c r="B780" t="str">
        <f t="array" ref="B780">IFERROR(INDEX('Player Raw Data'!C:C,Match($A780,'Player Raw Data'!$B:$B,0)),"")</f>
        <v/>
      </c>
      <c r="C780" t="str">
        <f t="array" ref="C780">IFERROR(INDEX('Player Raw Data'!D:D,Match($A780,'Player Raw Data'!$B:$B,0)),"")</f>
        <v/>
      </c>
      <c r="D780" t="str">
        <f t="array" ref="D780">IFERROR(IF(A780=A779, INDEX('Player Raw Data'!E:E,Match($A780,'Player Raw Data'!$B:$B,0)+2),INDEX('Player Raw Data'!E:E,Match($A780,'Player Raw Data'!$B:$B,0))),"")</f>
        <v/>
      </c>
      <c r="E780" t="str">
        <f t="array" ref="E780">IFERROR(INDEX('Day Range Raw Data'!D:D,Match($A780,'Day Range Raw Data'!$B:$B,0)),"")</f>
        <v/>
      </c>
      <c r="F780" t="str">
        <f t="array" ref="F780">IFERROR(INDEX('Day Range Raw Data'!F:F,Match($A780,'Day Range Raw Data'!$B:$B,0)),"")</f>
        <v/>
      </c>
      <c r="G780" t="str">
        <f t="array" ref="G780">IFERROR(INDEX('Day Range Raw Data'!G:G,Match($A780,'Day Range Raw Data'!$B:$B,0)),"")</f>
        <v/>
      </c>
      <c r="H780" t="str">
        <f t="array" ref="H780">IFERROR(INDEX('Day Range Raw Data'!H:H,Match($A780,'Day Range Raw Data'!$B:$B,0)),"")</f>
        <v/>
      </c>
      <c r="I780" t="str">
        <f t="array" ref="I780">IFERROR(INDEX('Day Range Raw Data'!M:M,Match($A780,'Day Range Raw Data'!$B:$B,0)),"")</f>
        <v/>
      </c>
      <c r="J780" t="str">
        <f t="array" ref="J780">IFERROR(INDEX('Day Range Raw Data'!N:N,Match($A780,'Day Range Raw Data'!$B:$B,0)),"")</f>
        <v/>
      </c>
      <c r="K780" t="str">
        <f t="array" ref="K780">IFERROR(INDEX('Day Range Raw Data'!R:R,Match($A780,'Day Range Raw Data'!$B:$B,0)),"")</f>
        <v/>
      </c>
      <c r="L780" t="str">
        <f t="array" ref="L780">IFERROR(INDEX('Day Range Raw Data'!S:S,Match($A780,'Day Range Raw Data'!$B:$B,0)),"")</f>
        <v/>
      </c>
      <c r="M780" t="str">
        <f t="array" ref="M780">IFERROR(INDEX('Day Range Raw Data'!T:T,Match($A780,'Day Range Raw Data'!$B:$B,0)),"")</f>
        <v/>
      </c>
      <c r="N780" t="str">
        <f t="array" ref="N780">IFERROR(INDEX('Day Range Raw Data'!U:U,Match($A780,'Day Range Raw Data'!$B:$B,0)),"")</f>
        <v/>
      </c>
      <c r="O780" t="str">
        <f t="array" ref="O780">IFERROR(INDEX('Day Range Raw Data'!V:V,Match($A780,'Day Range Raw Data'!$B:$B,0)),"")</f>
        <v/>
      </c>
      <c r="P780" t="str">
        <f t="array" ref="P780">IFERROR(INDEX('Day Range Raw Data'!X:X,Match($A780,'Day Range Raw Data'!$B:$B,0)),"")</f>
        <v/>
      </c>
      <c r="Q780" t="str">
        <f t="shared" si="1"/>
        <v/>
      </c>
      <c r="R780" s="9" t="str">
        <f t="shared" si="2"/>
        <v/>
      </c>
      <c r="S780" s="14" t="str">
        <f t="shared" si="3"/>
        <v/>
      </c>
      <c r="T780" s="15" t="str">
        <f>IFERROR(__xludf.DUMMYFUNCTION("IF($A780="""","""",IFERROR(PERCENTRANK.INC(FILTER(Q:Q,$F:$F&lt;&gt;""""),Q780)*100,""""))"),"")</f>
        <v/>
      </c>
      <c r="U780" s="15" t="str">
        <f>IFERROR(__xludf.DUMMYFUNCTION("IF($A780="""","""",IFERROR(PERCENTRANK.INC(FILTER(R:R,$F:$F&lt;&gt;""""),R780)*100,""""))"),"")</f>
        <v/>
      </c>
      <c r="V780" s="15" t="str">
        <f>IFERROR(__xludf.DUMMYFUNCTION("IF($A780="""","""",IFERROR(PERCENTRANK.INC(FILTER(S:S,$F:$F&lt;&gt;""""),S780)*100,""""))"),"")</f>
        <v/>
      </c>
      <c r="W780" s="15" t="str">
        <f t="shared" si="5"/>
        <v/>
      </c>
    </row>
    <row r="781">
      <c r="B781" t="str">
        <f t="array" ref="B781">IFERROR(INDEX('Player Raw Data'!C:C,Match($A781,'Player Raw Data'!$B:$B,0)),"")</f>
        <v/>
      </c>
      <c r="C781" t="str">
        <f t="array" ref="C781">IFERROR(INDEX('Player Raw Data'!D:D,Match($A781,'Player Raw Data'!$B:$B,0)),"")</f>
        <v/>
      </c>
      <c r="D781" t="str">
        <f t="array" ref="D781">IFERROR(IF(A781=A780, INDEX('Player Raw Data'!E:E,Match($A781,'Player Raw Data'!$B:$B,0)+2),INDEX('Player Raw Data'!E:E,Match($A781,'Player Raw Data'!$B:$B,0))),"")</f>
        <v/>
      </c>
      <c r="E781" t="str">
        <f t="array" ref="E781">IFERROR(INDEX('Day Range Raw Data'!D:D,Match($A781,'Day Range Raw Data'!$B:$B,0)),"")</f>
        <v/>
      </c>
      <c r="F781" t="str">
        <f t="array" ref="F781">IFERROR(INDEX('Day Range Raw Data'!F:F,Match($A781,'Day Range Raw Data'!$B:$B,0)),"")</f>
        <v/>
      </c>
      <c r="G781" t="str">
        <f t="array" ref="G781">IFERROR(INDEX('Day Range Raw Data'!G:G,Match($A781,'Day Range Raw Data'!$B:$B,0)),"")</f>
        <v/>
      </c>
      <c r="H781" t="str">
        <f t="array" ref="H781">IFERROR(INDEX('Day Range Raw Data'!H:H,Match($A781,'Day Range Raw Data'!$B:$B,0)),"")</f>
        <v/>
      </c>
      <c r="I781" t="str">
        <f t="array" ref="I781">IFERROR(INDEX('Day Range Raw Data'!M:M,Match($A781,'Day Range Raw Data'!$B:$B,0)),"")</f>
        <v/>
      </c>
      <c r="J781" t="str">
        <f t="array" ref="J781">IFERROR(INDEX('Day Range Raw Data'!N:N,Match($A781,'Day Range Raw Data'!$B:$B,0)),"")</f>
        <v/>
      </c>
      <c r="K781" t="str">
        <f t="array" ref="K781">IFERROR(INDEX('Day Range Raw Data'!R:R,Match($A781,'Day Range Raw Data'!$B:$B,0)),"")</f>
        <v/>
      </c>
      <c r="L781" t="str">
        <f t="array" ref="L781">IFERROR(INDEX('Day Range Raw Data'!S:S,Match($A781,'Day Range Raw Data'!$B:$B,0)),"")</f>
        <v/>
      </c>
      <c r="M781" t="str">
        <f t="array" ref="M781">IFERROR(INDEX('Day Range Raw Data'!T:T,Match($A781,'Day Range Raw Data'!$B:$B,0)),"")</f>
        <v/>
      </c>
      <c r="N781" t="str">
        <f t="array" ref="N781">IFERROR(INDEX('Day Range Raw Data'!U:U,Match($A781,'Day Range Raw Data'!$B:$B,0)),"")</f>
        <v/>
      </c>
      <c r="O781" t="str">
        <f t="array" ref="O781">IFERROR(INDEX('Day Range Raw Data'!V:V,Match($A781,'Day Range Raw Data'!$B:$B,0)),"")</f>
        <v/>
      </c>
      <c r="P781" t="str">
        <f t="array" ref="P781">IFERROR(INDEX('Day Range Raw Data'!X:X,Match($A781,'Day Range Raw Data'!$B:$B,0)),"")</f>
        <v/>
      </c>
      <c r="Q781" t="str">
        <f t="shared" si="1"/>
        <v/>
      </c>
      <c r="R781" s="9" t="str">
        <f t="shared" si="2"/>
        <v/>
      </c>
      <c r="S781" s="14" t="str">
        <f t="shared" si="3"/>
        <v/>
      </c>
      <c r="T781" s="15" t="str">
        <f>IFERROR(__xludf.DUMMYFUNCTION("IF($A781="""","""",IFERROR(PERCENTRANK.INC(FILTER(Q:Q,$F:$F&lt;&gt;""""),Q781)*100,""""))"),"")</f>
        <v/>
      </c>
      <c r="U781" s="15" t="str">
        <f>IFERROR(__xludf.DUMMYFUNCTION("IF($A781="""","""",IFERROR(PERCENTRANK.INC(FILTER(R:R,$F:$F&lt;&gt;""""),R781)*100,""""))"),"")</f>
        <v/>
      </c>
      <c r="V781" s="15" t="str">
        <f>IFERROR(__xludf.DUMMYFUNCTION("IF($A781="""","""",IFERROR(PERCENTRANK.INC(FILTER(S:S,$F:$F&lt;&gt;""""),S781)*100,""""))"),"")</f>
        <v/>
      </c>
      <c r="W781" s="15" t="str">
        <f t="shared" si="5"/>
        <v/>
      </c>
    </row>
    <row r="782">
      <c r="B782" t="str">
        <f t="array" ref="B782">IFERROR(INDEX('Player Raw Data'!C:C,Match($A782,'Player Raw Data'!$B:$B,0)),"")</f>
        <v/>
      </c>
      <c r="C782" t="str">
        <f t="array" ref="C782">IFERROR(INDEX('Player Raw Data'!D:D,Match($A782,'Player Raw Data'!$B:$B,0)),"")</f>
        <v/>
      </c>
      <c r="D782" t="str">
        <f t="array" ref="D782">IFERROR(IF(A782=A781, INDEX('Player Raw Data'!E:E,Match($A782,'Player Raw Data'!$B:$B,0)+2),INDEX('Player Raw Data'!E:E,Match($A782,'Player Raw Data'!$B:$B,0))),"")</f>
        <v/>
      </c>
      <c r="E782" t="str">
        <f t="array" ref="E782">IFERROR(INDEX('Day Range Raw Data'!D:D,Match($A782,'Day Range Raw Data'!$B:$B,0)),"")</f>
        <v/>
      </c>
      <c r="F782" t="str">
        <f t="array" ref="F782">IFERROR(INDEX('Day Range Raw Data'!F:F,Match($A782,'Day Range Raw Data'!$B:$B,0)),"")</f>
        <v/>
      </c>
      <c r="G782" t="str">
        <f t="array" ref="G782">IFERROR(INDEX('Day Range Raw Data'!G:G,Match($A782,'Day Range Raw Data'!$B:$B,0)),"")</f>
        <v/>
      </c>
      <c r="H782" t="str">
        <f t="array" ref="H782">IFERROR(INDEX('Day Range Raw Data'!H:H,Match($A782,'Day Range Raw Data'!$B:$B,0)),"")</f>
        <v/>
      </c>
      <c r="I782" t="str">
        <f t="array" ref="I782">IFERROR(INDEX('Day Range Raw Data'!M:M,Match($A782,'Day Range Raw Data'!$B:$B,0)),"")</f>
        <v/>
      </c>
      <c r="J782" t="str">
        <f t="array" ref="J782">IFERROR(INDEX('Day Range Raw Data'!N:N,Match($A782,'Day Range Raw Data'!$B:$B,0)),"")</f>
        <v/>
      </c>
      <c r="K782" t="str">
        <f t="array" ref="K782">IFERROR(INDEX('Day Range Raw Data'!R:R,Match($A782,'Day Range Raw Data'!$B:$B,0)),"")</f>
        <v/>
      </c>
      <c r="L782" t="str">
        <f t="array" ref="L782">IFERROR(INDEX('Day Range Raw Data'!S:S,Match($A782,'Day Range Raw Data'!$B:$B,0)),"")</f>
        <v/>
      </c>
      <c r="M782" t="str">
        <f t="array" ref="M782">IFERROR(INDEX('Day Range Raw Data'!T:T,Match($A782,'Day Range Raw Data'!$B:$B,0)),"")</f>
        <v/>
      </c>
      <c r="N782" t="str">
        <f t="array" ref="N782">IFERROR(INDEX('Day Range Raw Data'!U:U,Match($A782,'Day Range Raw Data'!$B:$B,0)),"")</f>
        <v/>
      </c>
      <c r="O782" t="str">
        <f t="array" ref="O782">IFERROR(INDEX('Day Range Raw Data'!V:V,Match($A782,'Day Range Raw Data'!$B:$B,0)),"")</f>
        <v/>
      </c>
      <c r="P782" t="str">
        <f t="array" ref="P782">IFERROR(INDEX('Day Range Raw Data'!X:X,Match($A782,'Day Range Raw Data'!$B:$B,0)),"")</f>
        <v/>
      </c>
      <c r="Q782" t="str">
        <f t="shared" si="1"/>
        <v/>
      </c>
      <c r="R782" s="9" t="str">
        <f t="shared" si="2"/>
        <v/>
      </c>
      <c r="S782" s="14" t="str">
        <f t="shared" si="3"/>
        <v/>
      </c>
      <c r="T782" s="15" t="str">
        <f>IFERROR(__xludf.DUMMYFUNCTION("IF($A782="""","""",IFERROR(PERCENTRANK.INC(FILTER(Q:Q,$F:$F&lt;&gt;""""),Q782)*100,""""))"),"")</f>
        <v/>
      </c>
      <c r="U782" s="15" t="str">
        <f>IFERROR(__xludf.DUMMYFUNCTION("IF($A782="""","""",IFERROR(PERCENTRANK.INC(FILTER(R:R,$F:$F&lt;&gt;""""),R782)*100,""""))"),"")</f>
        <v/>
      </c>
      <c r="V782" s="15" t="str">
        <f>IFERROR(__xludf.DUMMYFUNCTION("IF($A782="""","""",IFERROR(PERCENTRANK.INC(FILTER(S:S,$F:$F&lt;&gt;""""),S782)*100,""""))"),"")</f>
        <v/>
      </c>
      <c r="W782" s="15" t="str">
        <f t="shared" si="5"/>
        <v/>
      </c>
    </row>
    <row r="783">
      <c r="B783" t="str">
        <f t="array" ref="B783">IFERROR(INDEX('Player Raw Data'!C:C,Match($A783,'Player Raw Data'!$B:$B,0)),"")</f>
        <v/>
      </c>
      <c r="C783" t="str">
        <f t="array" ref="C783">IFERROR(INDEX('Player Raw Data'!D:D,Match($A783,'Player Raw Data'!$B:$B,0)),"")</f>
        <v/>
      </c>
      <c r="D783" t="str">
        <f t="array" ref="D783">IFERROR(IF(A783=A782, INDEX('Player Raw Data'!E:E,Match($A783,'Player Raw Data'!$B:$B,0)+2),INDEX('Player Raw Data'!E:E,Match($A783,'Player Raw Data'!$B:$B,0))),"")</f>
        <v/>
      </c>
      <c r="E783" t="str">
        <f t="array" ref="E783">IFERROR(INDEX('Day Range Raw Data'!D:D,Match($A783,'Day Range Raw Data'!$B:$B,0)),"")</f>
        <v/>
      </c>
      <c r="F783" t="str">
        <f t="array" ref="F783">IFERROR(INDEX('Day Range Raw Data'!F:F,Match($A783,'Day Range Raw Data'!$B:$B,0)),"")</f>
        <v/>
      </c>
      <c r="G783" t="str">
        <f t="array" ref="G783">IFERROR(INDEX('Day Range Raw Data'!G:G,Match($A783,'Day Range Raw Data'!$B:$B,0)),"")</f>
        <v/>
      </c>
      <c r="H783" t="str">
        <f t="array" ref="H783">IFERROR(INDEX('Day Range Raw Data'!H:H,Match($A783,'Day Range Raw Data'!$B:$B,0)),"")</f>
        <v/>
      </c>
      <c r="I783" t="str">
        <f t="array" ref="I783">IFERROR(INDEX('Day Range Raw Data'!M:M,Match($A783,'Day Range Raw Data'!$B:$B,0)),"")</f>
        <v/>
      </c>
      <c r="J783" t="str">
        <f t="array" ref="J783">IFERROR(INDEX('Day Range Raw Data'!N:N,Match($A783,'Day Range Raw Data'!$B:$B,0)),"")</f>
        <v/>
      </c>
      <c r="K783" t="str">
        <f t="array" ref="K783">IFERROR(INDEX('Day Range Raw Data'!R:R,Match($A783,'Day Range Raw Data'!$B:$B,0)),"")</f>
        <v/>
      </c>
      <c r="L783" t="str">
        <f t="array" ref="L783">IFERROR(INDEX('Day Range Raw Data'!S:S,Match($A783,'Day Range Raw Data'!$B:$B,0)),"")</f>
        <v/>
      </c>
      <c r="M783" t="str">
        <f t="array" ref="M783">IFERROR(INDEX('Day Range Raw Data'!T:T,Match($A783,'Day Range Raw Data'!$B:$B,0)),"")</f>
        <v/>
      </c>
      <c r="N783" t="str">
        <f t="array" ref="N783">IFERROR(INDEX('Day Range Raw Data'!U:U,Match($A783,'Day Range Raw Data'!$B:$B,0)),"")</f>
        <v/>
      </c>
      <c r="O783" t="str">
        <f t="array" ref="O783">IFERROR(INDEX('Day Range Raw Data'!V:V,Match($A783,'Day Range Raw Data'!$B:$B,0)),"")</f>
        <v/>
      </c>
      <c r="P783" t="str">
        <f t="array" ref="P783">IFERROR(INDEX('Day Range Raw Data'!X:X,Match($A783,'Day Range Raw Data'!$B:$B,0)),"")</f>
        <v/>
      </c>
      <c r="Q783" t="str">
        <f t="shared" si="1"/>
        <v/>
      </c>
      <c r="R783" s="9" t="str">
        <f t="shared" si="2"/>
        <v/>
      </c>
      <c r="S783" s="14" t="str">
        <f t="shared" si="3"/>
        <v/>
      </c>
      <c r="T783" s="15" t="str">
        <f>IFERROR(__xludf.DUMMYFUNCTION("IF($A783="""","""",IFERROR(PERCENTRANK.INC(FILTER(Q:Q,$F:$F&lt;&gt;""""),Q783)*100,""""))"),"")</f>
        <v/>
      </c>
      <c r="U783" s="15" t="str">
        <f>IFERROR(__xludf.DUMMYFUNCTION("IF($A783="""","""",IFERROR(PERCENTRANK.INC(FILTER(R:R,$F:$F&lt;&gt;""""),R783)*100,""""))"),"")</f>
        <v/>
      </c>
      <c r="V783" s="15" t="str">
        <f>IFERROR(__xludf.DUMMYFUNCTION("IF($A783="""","""",IFERROR(PERCENTRANK.INC(FILTER(S:S,$F:$F&lt;&gt;""""),S783)*100,""""))"),"")</f>
        <v/>
      </c>
      <c r="W783" s="15" t="str">
        <f t="shared" si="5"/>
        <v/>
      </c>
    </row>
    <row r="784">
      <c r="B784" t="str">
        <f t="array" ref="B784">IFERROR(INDEX('Player Raw Data'!C:C,Match($A784,'Player Raw Data'!$B:$B,0)),"")</f>
        <v/>
      </c>
      <c r="C784" t="str">
        <f t="array" ref="C784">IFERROR(INDEX('Player Raw Data'!D:D,Match($A784,'Player Raw Data'!$B:$B,0)),"")</f>
        <v/>
      </c>
      <c r="D784" t="str">
        <f t="array" ref="D784">IFERROR(IF(A784=A783, INDEX('Player Raw Data'!E:E,Match($A784,'Player Raw Data'!$B:$B,0)+2),INDEX('Player Raw Data'!E:E,Match($A784,'Player Raw Data'!$B:$B,0))),"")</f>
        <v/>
      </c>
      <c r="E784" t="str">
        <f t="array" ref="E784">IFERROR(INDEX('Day Range Raw Data'!D:D,Match($A784,'Day Range Raw Data'!$B:$B,0)),"")</f>
        <v/>
      </c>
      <c r="F784" t="str">
        <f t="array" ref="F784">IFERROR(INDEX('Day Range Raw Data'!F:F,Match($A784,'Day Range Raw Data'!$B:$B,0)),"")</f>
        <v/>
      </c>
      <c r="G784" t="str">
        <f t="array" ref="G784">IFERROR(INDEX('Day Range Raw Data'!G:G,Match($A784,'Day Range Raw Data'!$B:$B,0)),"")</f>
        <v/>
      </c>
      <c r="H784" t="str">
        <f t="array" ref="H784">IFERROR(INDEX('Day Range Raw Data'!H:H,Match($A784,'Day Range Raw Data'!$B:$B,0)),"")</f>
        <v/>
      </c>
      <c r="I784" t="str">
        <f t="array" ref="I784">IFERROR(INDEX('Day Range Raw Data'!M:M,Match($A784,'Day Range Raw Data'!$B:$B,0)),"")</f>
        <v/>
      </c>
      <c r="J784" t="str">
        <f t="array" ref="J784">IFERROR(INDEX('Day Range Raw Data'!N:N,Match($A784,'Day Range Raw Data'!$B:$B,0)),"")</f>
        <v/>
      </c>
      <c r="K784" t="str">
        <f t="array" ref="K784">IFERROR(INDEX('Day Range Raw Data'!R:R,Match($A784,'Day Range Raw Data'!$B:$B,0)),"")</f>
        <v/>
      </c>
      <c r="L784" t="str">
        <f t="array" ref="L784">IFERROR(INDEX('Day Range Raw Data'!S:S,Match($A784,'Day Range Raw Data'!$B:$B,0)),"")</f>
        <v/>
      </c>
      <c r="M784" t="str">
        <f t="array" ref="M784">IFERROR(INDEX('Day Range Raw Data'!T:T,Match($A784,'Day Range Raw Data'!$B:$B,0)),"")</f>
        <v/>
      </c>
      <c r="N784" t="str">
        <f t="array" ref="N784">IFERROR(INDEX('Day Range Raw Data'!U:U,Match($A784,'Day Range Raw Data'!$B:$B,0)),"")</f>
        <v/>
      </c>
      <c r="O784" t="str">
        <f t="array" ref="O784">IFERROR(INDEX('Day Range Raw Data'!V:V,Match($A784,'Day Range Raw Data'!$B:$B,0)),"")</f>
        <v/>
      </c>
      <c r="P784" t="str">
        <f t="array" ref="P784">IFERROR(INDEX('Day Range Raw Data'!X:X,Match($A784,'Day Range Raw Data'!$B:$B,0)),"")</f>
        <v/>
      </c>
      <c r="Q784" t="str">
        <f t="shared" si="1"/>
        <v/>
      </c>
      <c r="R784" s="9" t="str">
        <f t="shared" si="2"/>
        <v/>
      </c>
      <c r="S784" s="14" t="str">
        <f t="shared" si="3"/>
        <v/>
      </c>
      <c r="T784" s="15" t="str">
        <f>IFERROR(__xludf.DUMMYFUNCTION("IF($A784="""","""",IFERROR(PERCENTRANK.INC(FILTER(Q:Q,$F:$F&lt;&gt;""""),Q784)*100,""""))"),"")</f>
        <v/>
      </c>
      <c r="U784" s="15" t="str">
        <f>IFERROR(__xludf.DUMMYFUNCTION("IF($A784="""","""",IFERROR(PERCENTRANK.INC(FILTER(R:R,$F:$F&lt;&gt;""""),R784)*100,""""))"),"")</f>
        <v/>
      </c>
      <c r="V784" s="15" t="str">
        <f>IFERROR(__xludf.DUMMYFUNCTION("IF($A784="""","""",IFERROR(PERCENTRANK.INC(FILTER(S:S,$F:$F&lt;&gt;""""),S784)*100,""""))"),"")</f>
        <v/>
      </c>
      <c r="W784" s="15" t="str">
        <f t="shared" si="5"/>
        <v/>
      </c>
    </row>
    <row r="785">
      <c r="B785" t="str">
        <f t="array" ref="B785">IFERROR(INDEX('Player Raw Data'!C:C,Match($A785,'Player Raw Data'!$B:$B,0)),"")</f>
        <v/>
      </c>
      <c r="C785" t="str">
        <f t="array" ref="C785">IFERROR(INDEX('Player Raw Data'!D:D,Match($A785,'Player Raw Data'!$B:$B,0)),"")</f>
        <v/>
      </c>
      <c r="D785" t="str">
        <f t="array" ref="D785">IFERROR(IF(A785=A784, INDEX('Player Raw Data'!E:E,Match($A785,'Player Raw Data'!$B:$B,0)+2),INDEX('Player Raw Data'!E:E,Match($A785,'Player Raw Data'!$B:$B,0))),"")</f>
        <v/>
      </c>
      <c r="E785" t="str">
        <f t="array" ref="E785">IFERROR(INDEX('Day Range Raw Data'!D:D,Match($A785,'Day Range Raw Data'!$B:$B,0)),"")</f>
        <v/>
      </c>
      <c r="F785" t="str">
        <f t="array" ref="F785">IFERROR(INDEX('Day Range Raw Data'!F:F,Match($A785,'Day Range Raw Data'!$B:$B,0)),"")</f>
        <v/>
      </c>
      <c r="G785" t="str">
        <f t="array" ref="G785">IFERROR(INDEX('Day Range Raw Data'!G:G,Match($A785,'Day Range Raw Data'!$B:$B,0)),"")</f>
        <v/>
      </c>
      <c r="H785" t="str">
        <f t="array" ref="H785">IFERROR(INDEX('Day Range Raw Data'!H:H,Match($A785,'Day Range Raw Data'!$B:$B,0)),"")</f>
        <v/>
      </c>
      <c r="I785" t="str">
        <f t="array" ref="I785">IFERROR(INDEX('Day Range Raw Data'!M:M,Match($A785,'Day Range Raw Data'!$B:$B,0)),"")</f>
        <v/>
      </c>
      <c r="J785" t="str">
        <f t="array" ref="J785">IFERROR(INDEX('Day Range Raw Data'!N:N,Match($A785,'Day Range Raw Data'!$B:$B,0)),"")</f>
        <v/>
      </c>
      <c r="K785" t="str">
        <f t="array" ref="K785">IFERROR(INDEX('Day Range Raw Data'!R:R,Match($A785,'Day Range Raw Data'!$B:$B,0)),"")</f>
        <v/>
      </c>
      <c r="L785" t="str">
        <f t="array" ref="L785">IFERROR(INDEX('Day Range Raw Data'!S:S,Match($A785,'Day Range Raw Data'!$B:$B,0)),"")</f>
        <v/>
      </c>
      <c r="M785" t="str">
        <f t="array" ref="M785">IFERROR(INDEX('Day Range Raw Data'!T:T,Match($A785,'Day Range Raw Data'!$B:$B,0)),"")</f>
        <v/>
      </c>
      <c r="N785" t="str">
        <f t="array" ref="N785">IFERROR(INDEX('Day Range Raw Data'!U:U,Match($A785,'Day Range Raw Data'!$B:$B,0)),"")</f>
        <v/>
      </c>
      <c r="O785" t="str">
        <f t="array" ref="O785">IFERROR(INDEX('Day Range Raw Data'!V:V,Match($A785,'Day Range Raw Data'!$B:$B,0)),"")</f>
        <v/>
      </c>
      <c r="P785" t="str">
        <f t="array" ref="P785">IFERROR(INDEX('Day Range Raw Data'!X:X,Match($A785,'Day Range Raw Data'!$B:$B,0)),"")</f>
        <v/>
      </c>
      <c r="Q785" t="str">
        <f t="shared" si="1"/>
        <v/>
      </c>
      <c r="R785" s="9" t="str">
        <f t="shared" si="2"/>
        <v/>
      </c>
      <c r="S785" s="14" t="str">
        <f t="shared" si="3"/>
        <v/>
      </c>
      <c r="T785" s="15" t="str">
        <f>IFERROR(__xludf.DUMMYFUNCTION("IF($A785="""","""",IFERROR(PERCENTRANK.INC(FILTER(Q:Q,$F:$F&lt;&gt;""""),Q785)*100,""""))"),"")</f>
        <v/>
      </c>
      <c r="U785" s="15" t="str">
        <f>IFERROR(__xludf.DUMMYFUNCTION("IF($A785="""","""",IFERROR(PERCENTRANK.INC(FILTER(R:R,$F:$F&lt;&gt;""""),R785)*100,""""))"),"")</f>
        <v/>
      </c>
      <c r="V785" s="15" t="str">
        <f>IFERROR(__xludf.DUMMYFUNCTION("IF($A785="""","""",IFERROR(PERCENTRANK.INC(FILTER(S:S,$F:$F&lt;&gt;""""),S785)*100,""""))"),"")</f>
        <v/>
      </c>
      <c r="W785" s="15" t="str">
        <f t="shared" si="5"/>
        <v/>
      </c>
    </row>
    <row r="786">
      <c r="B786" t="str">
        <f t="array" ref="B786">IFERROR(INDEX('Player Raw Data'!C:C,Match($A786,'Player Raw Data'!$B:$B,0)),"")</f>
        <v/>
      </c>
      <c r="C786" t="str">
        <f t="array" ref="C786">IFERROR(INDEX('Player Raw Data'!D:D,Match($A786,'Player Raw Data'!$B:$B,0)),"")</f>
        <v/>
      </c>
      <c r="D786" t="str">
        <f t="array" ref="D786">IFERROR(IF(A786=A785, INDEX('Player Raw Data'!E:E,Match($A786,'Player Raw Data'!$B:$B,0)+2),INDEX('Player Raw Data'!E:E,Match($A786,'Player Raw Data'!$B:$B,0))),"")</f>
        <v/>
      </c>
      <c r="E786" t="str">
        <f t="array" ref="E786">IFERROR(INDEX('Day Range Raw Data'!D:D,Match($A786,'Day Range Raw Data'!$B:$B,0)),"")</f>
        <v/>
      </c>
      <c r="F786" t="str">
        <f t="array" ref="F786">IFERROR(INDEX('Day Range Raw Data'!F:F,Match($A786,'Day Range Raw Data'!$B:$B,0)),"")</f>
        <v/>
      </c>
      <c r="G786" t="str">
        <f t="array" ref="G786">IFERROR(INDEX('Day Range Raw Data'!G:G,Match($A786,'Day Range Raw Data'!$B:$B,0)),"")</f>
        <v/>
      </c>
      <c r="H786" t="str">
        <f t="array" ref="H786">IFERROR(INDEX('Day Range Raw Data'!H:H,Match($A786,'Day Range Raw Data'!$B:$B,0)),"")</f>
        <v/>
      </c>
      <c r="I786" t="str">
        <f t="array" ref="I786">IFERROR(INDEX('Day Range Raw Data'!M:M,Match($A786,'Day Range Raw Data'!$B:$B,0)),"")</f>
        <v/>
      </c>
      <c r="J786" t="str">
        <f t="array" ref="J786">IFERROR(INDEX('Day Range Raw Data'!N:N,Match($A786,'Day Range Raw Data'!$B:$B,0)),"")</f>
        <v/>
      </c>
      <c r="K786" t="str">
        <f t="array" ref="K786">IFERROR(INDEX('Day Range Raw Data'!R:R,Match($A786,'Day Range Raw Data'!$B:$B,0)),"")</f>
        <v/>
      </c>
      <c r="L786" t="str">
        <f t="array" ref="L786">IFERROR(INDEX('Day Range Raw Data'!S:S,Match($A786,'Day Range Raw Data'!$B:$B,0)),"")</f>
        <v/>
      </c>
      <c r="M786" t="str">
        <f t="array" ref="M786">IFERROR(INDEX('Day Range Raw Data'!T:T,Match($A786,'Day Range Raw Data'!$B:$B,0)),"")</f>
        <v/>
      </c>
      <c r="N786" t="str">
        <f t="array" ref="N786">IFERROR(INDEX('Day Range Raw Data'!U:U,Match($A786,'Day Range Raw Data'!$B:$B,0)),"")</f>
        <v/>
      </c>
      <c r="O786" t="str">
        <f t="array" ref="O786">IFERROR(INDEX('Day Range Raw Data'!V:V,Match($A786,'Day Range Raw Data'!$B:$B,0)),"")</f>
        <v/>
      </c>
      <c r="P786" t="str">
        <f t="array" ref="P786">IFERROR(INDEX('Day Range Raw Data'!X:X,Match($A786,'Day Range Raw Data'!$B:$B,0)),"")</f>
        <v/>
      </c>
      <c r="Q786" t="str">
        <f t="shared" si="1"/>
        <v/>
      </c>
      <c r="R786" s="9" t="str">
        <f t="shared" si="2"/>
        <v/>
      </c>
      <c r="S786" s="14" t="str">
        <f t="shared" si="3"/>
        <v/>
      </c>
      <c r="T786" s="15" t="str">
        <f>IFERROR(__xludf.DUMMYFUNCTION("IF($A786="""","""",IFERROR(PERCENTRANK.INC(FILTER(Q:Q,$F:$F&lt;&gt;""""),Q786)*100,""""))"),"")</f>
        <v/>
      </c>
      <c r="U786" s="15" t="str">
        <f>IFERROR(__xludf.DUMMYFUNCTION("IF($A786="""","""",IFERROR(PERCENTRANK.INC(FILTER(R:R,$F:$F&lt;&gt;""""),R786)*100,""""))"),"")</f>
        <v/>
      </c>
      <c r="V786" s="15" t="str">
        <f>IFERROR(__xludf.DUMMYFUNCTION("IF($A786="""","""",IFERROR(PERCENTRANK.INC(FILTER(S:S,$F:$F&lt;&gt;""""),S786)*100,""""))"),"")</f>
        <v/>
      </c>
      <c r="W786" s="15" t="str">
        <f t="shared" si="5"/>
        <v/>
      </c>
    </row>
    <row r="787">
      <c r="B787" t="str">
        <f t="array" ref="B787">IFERROR(INDEX('Player Raw Data'!C:C,Match($A787,'Player Raw Data'!$B:$B,0)),"")</f>
        <v/>
      </c>
      <c r="C787" t="str">
        <f t="array" ref="C787">IFERROR(INDEX('Player Raw Data'!D:D,Match($A787,'Player Raw Data'!$B:$B,0)),"")</f>
        <v/>
      </c>
      <c r="D787" t="str">
        <f t="array" ref="D787">IFERROR(IF(A787=A786, INDEX('Player Raw Data'!E:E,Match($A787,'Player Raw Data'!$B:$B,0)+2),INDEX('Player Raw Data'!E:E,Match($A787,'Player Raw Data'!$B:$B,0))),"")</f>
        <v/>
      </c>
      <c r="E787" t="str">
        <f t="array" ref="E787">IFERROR(INDEX('Day Range Raw Data'!D:D,Match($A787,'Day Range Raw Data'!$B:$B,0)),"")</f>
        <v/>
      </c>
      <c r="F787" t="str">
        <f t="array" ref="F787">IFERROR(INDEX('Day Range Raw Data'!F:F,Match($A787,'Day Range Raw Data'!$B:$B,0)),"")</f>
        <v/>
      </c>
      <c r="G787" t="str">
        <f t="array" ref="G787">IFERROR(INDEX('Day Range Raw Data'!G:G,Match($A787,'Day Range Raw Data'!$B:$B,0)),"")</f>
        <v/>
      </c>
      <c r="H787" t="str">
        <f t="array" ref="H787">IFERROR(INDEX('Day Range Raw Data'!H:H,Match($A787,'Day Range Raw Data'!$B:$B,0)),"")</f>
        <v/>
      </c>
      <c r="I787" t="str">
        <f t="array" ref="I787">IFERROR(INDEX('Day Range Raw Data'!M:M,Match($A787,'Day Range Raw Data'!$B:$B,0)),"")</f>
        <v/>
      </c>
      <c r="J787" t="str">
        <f t="array" ref="J787">IFERROR(INDEX('Day Range Raw Data'!N:N,Match($A787,'Day Range Raw Data'!$B:$B,0)),"")</f>
        <v/>
      </c>
      <c r="K787" t="str">
        <f t="array" ref="K787">IFERROR(INDEX('Day Range Raw Data'!R:R,Match($A787,'Day Range Raw Data'!$B:$B,0)),"")</f>
        <v/>
      </c>
      <c r="L787" t="str">
        <f t="array" ref="L787">IFERROR(INDEX('Day Range Raw Data'!S:S,Match($A787,'Day Range Raw Data'!$B:$B,0)),"")</f>
        <v/>
      </c>
      <c r="M787" t="str">
        <f t="array" ref="M787">IFERROR(INDEX('Day Range Raw Data'!T:T,Match($A787,'Day Range Raw Data'!$B:$B,0)),"")</f>
        <v/>
      </c>
      <c r="N787" t="str">
        <f t="array" ref="N787">IFERROR(INDEX('Day Range Raw Data'!U:U,Match($A787,'Day Range Raw Data'!$B:$B,0)),"")</f>
        <v/>
      </c>
      <c r="O787" t="str">
        <f t="array" ref="O787">IFERROR(INDEX('Day Range Raw Data'!V:V,Match($A787,'Day Range Raw Data'!$B:$B,0)),"")</f>
        <v/>
      </c>
      <c r="P787" t="str">
        <f t="array" ref="P787">IFERROR(INDEX('Day Range Raw Data'!X:X,Match($A787,'Day Range Raw Data'!$B:$B,0)),"")</f>
        <v/>
      </c>
      <c r="Q787" t="str">
        <f t="shared" si="1"/>
        <v/>
      </c>
      <c r="R787" s="9" t="str">
        <f t="shared" si="2"/>
        <v/>
      </c>
      <c r="S787" s="14" t="str">
        <f t="shared" si="3"/>
        <v/>
      </c>
      <c r="T787" s="15" t="str">
        <f>IFERROR(__xludf.DUMMYFUNCTION("IF($A787="""","""",IFERROR(PERCENTRANK.INC(FILTER(Q:Q,$F:$F&lt;&gt;""""),Q787)*100,""""))"),"")</f>
        <v/>
      </c>
      <c r="U787" s="15" t="str">
        <f>IFERROR(__xludf.DUMMYFUNCTION("IF($A787="""","""",IFERROR(PERCENTRANK.INC(FILTER(R:R,$F:$F&lt;&gt;""""),R787)*100,""""))"),"")</f>
        <v/>
      </c>
      <c r="V787" s="15" t="str">
        <f>IFERROR(__xludf.DUMMYFUNCTION("IF($A787="""","""",IFERROR(PERCENTRANK.INC(FILTER(S:S,$F:$F&lt;&gt;""""),S787)*100,""""))"),"")</f>
        <v/>
      </c>
      <c r="W787" s="15" t="str">
        <f t="shared" si="5"/>
        <v/>
      </c>
    </row>
    <row r="788">
      <c r="B788" t="str">
        <f t="array" ref="B788">IFERROR(INDEX('Player Raw Data'!C:C,Match($A788,'Player Raw Data'!$B:$B,0)),"")</f>
        <v/>
      </c>
      <c r="C788" t="str">
        <f t="array" ref="C788">IFERROR(INDEX('Player Raw Data'!D:D,Match($A788,'Player Raw Data'!$B:$B,0)),"")</f>
        <v/>
      </c>
      <c r="D788" t="str">
        <f t="array" ref="D788">IFERROR(IF(A788=A787, INDEX('Player Raw Data'!E:E,Match($A788,'Player Raw Data'!$B:$B,0)+2),INDEX('Player Raw Data'!E:E,Match($A788,'Player Raw Data'!$B:$B,0))),"")</f>
        <v/>
      </c>
      <c r="E788" t="str">
        <f t="array" ref="E788">IFERROR(INDEX('Day Range Raw Data'!D:D,Match($A788,'Day Range Raw Data'!$B:$B,0)),"")</f>
        <v/>
      </c>
      <c r="F788" t="str">
        <f t="array" ref="F788">IFERROR(INDEX('Day Range Raw Data'!F:F,Match($A788,'Day Range Raw Data'!$B:$B,0)),"")</f>
        <v/>
      </c>
      <c r="G788" t="str">
        <f t="array" ref="G788">IFERROR(INDEX('Day Range Raw Data'!G:G,Match($A788,'Day Range Raw Data'!$B:$B,0)),"")</f>
        <v/>
      </c>
      <c r="H788" t="str">
        <f t="array" ref="H788">IFERROR(INDEX('Day Range Raw Data'!H:H,Match($A788,'Day Range Raw Data'!$B:$B,0)),"")</f>
        <v/>
      </c>
      <c r="I788" t="str">
        <f t="array" ref="I788">IFERROR(INDEX('Day Range Raw Data'!M:M,Match($A788,'Day Range Raw Data'!$B:$B,0)),"")</f>
        <v/>
      </c>
      <c r="J788" t="str">
        <f t="array" ref="J788">IFERROR(INDEX('Day Range Raw Data'!N:N,Match($A788,'Day Range Raw Data'!$B:$B,0)),"")</f>
        <v/>
      </c>
      <c r="K788" t="str">
        <f t="array" ref="K788">IFERROR(INDEX('Day Range Raw Data'!R:R,Match($A788,'Day Range Raw Data'!$B:$B,0)),"")</f>
        <v/>
      </c>
      <c r="L788" t="str">
        <f t="array" ref="L788">IFERROR(INDEX('Day Range Raw Data'!S:S,Match($A788,'Day Range Raw Data'!$B:$B,0)),"")</f>
        <v/>
      </c>
      <c r="M788" t="str">
        <f t="array" ref="M788">IFERROR(INDEX('Day Range Raw Data'!T:T,Match($A788,'Day Range Raw Data'!$B:$B,0)),"")</f>
        <v/>
      </c>
      <c r="N788" t="str">
        <f t="array" ref="N788">IFERROR(INDEX('Day Range Raw Data'!U:U,Match($A788,'Day Range Raw Data'!$B:$B,0)),"")</f>
        <v/>
      </c>
      <c r="O788" t="str">
        <f t="array" ref="O788">IFERROR(INDEX('Day Range Raw Data'!V:V,Match($A788,'Day Range Raw Data'!$B:$B,0)),"")</f>
        <v/>
      </c>
      <c r="P788" t="str">
        <f t="array" ref="P788">IFERROR(INDEX('Day Range Raw Data'!X:X,Match($A788,'Day Range Raw Data'!$B:$B,0)),"")</f>
        <v/>
      </c>
      <c r="Q788" t="str">
        <f t="shared" si="1"/>
        <v/>
      </c>
      <c r="R788" s="9" t="str">
        <f t="shared" si="2"/>
        <v/>
      </c>
      <c r="S788" s="14" t="str">
        <f t="shared" si="3"/>
        <v/>
      </c>
      <c r="T788" s="15" t="str">
        <f>IFERROR(__xludf.DUMMYFUNCTION("IF($A788="""","""",IFERROR(PERCENTRANK.INC(FILTER(Q:Q,$F:$F&lt;&gt;""""),Q788)*100,""""))"),"")</f>
        <v/>
      </c>
      <c r="U788" s="15" t="str">
        <f>IFERROR(__xludf.DUMMYFUNCTION("IF($A788="""","""",IFERROR(PERCENTRANK.INC(FILTER(R:R,$F:$F&lt;&gt;""""),R788)*100,""""))"),"")</f>
        <v/>
      </c>
      <c r="V788" s="15" t="str">
        <f>IFERROR(__xludf.DUMMYFUNCTION("IF($A788="""","""",IFERROR(PERCENTRANK.INC(FILTER(S:S,$F:$F&lt;&gt;""""),S788)*100,""""))"),"")</f>
        <v/>
      </c>
      <c r="W788" s="15" t="str">
        <f t="shared" si="5"/>
        <v/>
      </c>
    </row>
    <row r="789">
      <c r="B789" t="str">
        <f t="array" ref="B789">IFERROR(INDEX('Player Raw Data'!C:C,Match($A789,'Player Raw Data'!$B:$B,0)),"")</f>
        <v/>
      </c>
      <c r="C789" t="str">
        <f t="array" ref="C789">IFERROR(INDEX('Player Raw Data'!D:D,Match($A789,'Player Raw Data'!$B:$B,0)),"")</f>
        <v/>
      </c>
      <c r="D789" t="str">
        <f t="array" ref="D789">IFERROR(IF(A789=A788, INDEX('Player Raw Data'!E:E,Match($A789,'Player Raw Data'!$B:$B,0)+2),INDEX('Player Raw Data'!E:E,Match($A789,'Player Raw Data'!$B:$B,0))),"")</f>
        <v/>
      </c>
      <c r="E789" t="str">
        <f t="array" ref="E789">IFERROR(INDEX('Day Range Raw Data'!D:D,Match($A789,'Day Range Raw Data'!$B:$B,0)),"")</f>
        <v/>
      </c>
      <c r="F789" t="str">
        <f t="array" ref="F789">IFERROR(INDEX('Day Range Raw Data'!F:F,Match($A789,'Day Range Raw Data'!$B:$B,0)),"")</f>
        <v/>
      </c>
      <c r="G789" t="str">
        <f t="array" ref="G789">IFERROR(INDEX('Day Range Raw Data'!G:G,Match($A789,'Day Range Raw Data'!$B:$B,0)),"")</f>
        <v/>
      </c>
      <c r="H789" t="str">
        <f t="array" ref="H789">IFERROR(INDEX('Day Range Raw Data'!H:H,Match($A789,'Day Range Raw Data'!$B:$B,0)),"")</f>
        <v/>
      </c>
      <c r="I789" t="str">
        <f t="array" ref="I789">IFERROR(INDEX('Day Range Raw Data'!M:M,Match($A789,'Day Range Raw Data'!$B:$B,0)),"")</f>
        <v/>
      </c>
      <c r="J789" t="str">
        <f t="array" ref="J789">IFERROR(INDEX('Day Range Raw Data'!N:N,Match($A789,'Day Range Raw Data'!$B:$B,0)),"")</f>
        <v/>
      </c>
      <c r="K789" t="str">
        <f t="array" ref="K789">IFERROR(INDEX('Day Range Raw Data'!R:R,Match($A789,'Day Range Raw Data'!$B:$B,0)),"")</f>
        <v/>
      </c>
      <c r="L789" t="str">
        <f t="array" ref="L789">IFERROR(INDEX('Day Range Raw Data'!S:S,Match($A789,'Day Range Raw Data'!$B:$B,0)),"")</f>
        <v/>
      </c>
      <c r="M789" t="str">
        <f t="array" ref="M789">IFERROR(INDEX('Day Range Raw Data'!T:T,Match($A789,'Day Range Raw Data'!$B:$B,0)),"")</f>
        <v/>
      </c>
      <c r="N789" t="str">
        <f t="array" ref="N789">IFERROR(INDEX('Day Range Raw Data'!U:U,Match($A789,'Day Range Raw Data'!$B:$B,0)),"")</f>
        <v/>
      </c>
      <c r="O789" t="str">
        <f t="array" ref="O789">IFERROR(INDEX('Day Range Raw Data'!V:V,Match($A789,'Day Range Raw Data'!$B:$B,0)),"")</f>
        <v/>
      </c>
      <c r="P789" t="str">
        <f t="array" ref="P789">IFERROR(INDEX('Day Range Raw Data'!X:X,Match($A789,'Day Range Raw Data'!$B:$B,0)),"")</f>
        <v/>
      </c>
      <c r="Q789" t="str">
        <f t="shared" si="1"/>
        <v/>
      </c>
      <c r="R789" s="9" t="str">
        <f t="shared" si="2"/>
        <v/>
      </c>
      <c r="S789" s="14" t="str">
        <f t="shared" si="3"/>
        <v/>
      </c>
      <c r="T789" s="15" t="str">
        <f>IFERROR(__xludf.DUMMYFUNCTION("IF($A789="""","""",IFERROR(PERCENTRANK.INC(FILTER(Q:Q,$F:$F&lt;&gt;""""),Q789)*100,""""))"),"")</f>
        <v/>
      </c>
      <c r="U789" s="15" t="str">
        <f>IFERROR(__xludf.DUMMYFUNCTION("IF($A789="""","""",IFERROR(PERCENTRANK.INC(FILTER(R:R,$F:$F&lt;&gt;""""),R789)*100,""""))"),"")</f>
        <v/>
      </c>
      <c r="V789" s="15" t="str">
        <f>IFERROR(__xludf.DUMMYFUNCTION("IF($A789="""","""",IFERROR(PERCENTRANK.INC(FILTER(S:S,$F:$F&lt;&gt;""""),S789)*100,""""))"),"")</f>
        <v/>
      </c>
      <c r="W789" s="15" t="str">
        <f t="shared" si="5"/>
        <v/>
      </c>
    </row>
    <row r="790">
      <c r="B790" t="str">
        <f t="array" ref="B790">IFERROR(INDEX('Player Raw Data'!C:C,Match($A790,'Player Raw Data'!$B:$B,0)),"")</f>
        <v/>
      </c>
      <c r="C790" t="str">
        <f t="array" ref="C790">IFERROR(INDEX('Player Raw Data'!D:D,Match($A790,'Player Raw Data'!$B:$B,0)),"")</f>
        <v/>
      </c>
      <c r="D790" t="str">
        <f t="array" ref="D790">IFERROR(IF(A790=A789, INDEX('Player Raw Data'!E:E,Match($A790,'Player Raw Data'!$B:$B,0)+2),INDEX('Player Raw Data'!E:E,Match($A790,'Player Raw Data'!$B:$B,0))),"")</f>
        <v/>
      </c>
      <c r="E790" t="str">
        <f t="array" ref="E790">IFERROR(INDEX('Day Range Raw Data'!D:D,Match($A790,'Day Range Raw Data'!$B:$B,0)),"")</f>
        <v/>
      </c>
      <c r="F790" t="str">
        <f t="array" ref="F790">IFERROR(INDEX('Day Range Raw Data'!F:F,Match($A790,'Day Range Raw Data'!$B:$B,0)),"")</f>
        <v/>
      </c>
      <c r="G790" t="str">
        <f t="array" ref="G790">IFERROR(INDEX('Day Range Raw Data'!G:G,Match($A790,'Day Range Raw Data'!$B:$B,0)),"")</f>
        <v/>
      </c>
      <c r="H790" t="str">
        <f t="array" ref="H790">IFERROR(INDEX('Day Range Raw Data'!H:H,Match($A790,'Day Range Raw Data'!$B:$B,0)),"")</f>
        <v/>
      </c>
      <c r="I790" t="str">
        <f t="array" ref="I790">IFERROR(INDEX('Day Range Raw Data'!M:M,Match($A790,'Day Range Raw Data'!$B:$B,0)),"")</f>
        <v/>
      </c>
      <c r="J790" t="str">
        <f t="array" ref="J790">IFERROR(INDEX('Day Range Raw Data'!N:N,Match($A790,'Day Range Raw Data'!$B:$B,0)),"")</f>
        <v/>
      </c>
      <c r="K790" t="str">
        <f t="array" ref="K790">IFERROR(INDEX('Day Range Raw Data'!R:R,Match($A790,'Day Range Raw Data'!$B:$B,0)),"")</f>
        <v/>
      </c>
      <c r="L790" t="str">
        <f t="array" ref="L790">IFERROR(INDEX('Day Range Raw Data'!S:S,Match($A790,'Day Range Raw Data'!$B:$B,0)),"")</f>
        <v/>
      </c>
      <c r="M790" t="str">
        <f t="array" ref="M790">IFERROR(INDEX('Day Range Raw Data'!T:T,Match($A790,'Day Range Raw Data'!$B:$B,0)),"")</f>
        <v/>
      </c>
      <c r="N790" t="str">
        <f t="array" ref="N790">IFERROR(INDEX('Day Range Raw Data'!U:U,Match($A790,'Day Range Raw Data'!$B:$B,0)),"")</f>
        <v/>
      </c>
      <c r="O790" t="str">
        <f t="array" ref="O790">IFERROR(INDEX('Day Range Raw Data'!V:V,Match($A790,'Day Range Raw Data'!$B:$B,0)),"")</f>
        <v/>
      </c>
      <c r="P790" t="str">
        <f t="array" ref="P790">IFERROR(INDEX('Day Range Raw Data'!X:X,Match($A790,'Day Range Raw Data'!$B:$B,0)),"")</f>
        <v/>
      </c>
      <c r="Q790" t="str">
        <f t="shared" si="1"/>
        <v/>
      </c>
      <c r="R790" s="9" t="str">
        <f t="shared" si="2"/>
        <v/>
      </c>
      <c r="S790" s="14" t="str">
        <f t="shared" si="3"/>
        <v/>
      </c>
      <c r="T790" s="15" t="str">
        <f>IFERROR(__xludf.DUMMYFUNCTION("IF($A790="""","""",IFERROR(PERCENTRANK.INC(FILTER(Q:Q,$F:$F&lt;&gt;""""),Q790)*100,""""))"),"")</f>
        <v/>
      </c>
      <c r="U790" s="15" t="str">
        <f>IFERROR(__xludf.DUMMYFUNCTION("IF($A790="""","""",IFERROR(PERCENTRANK.INC(FILTER(R:R,$F:$F&lt;&gt;""""),R790)*100,""""))"),"")</f>
        <v/>
      </c>
      <c r="V790" s="15" t="str">
        <f>IFERROR(__xludf.DUMMYFUNCTION("IF($A790="""","""",IFERROR(PERCENTRANK.INC(FILTER(S:S,$F:$F&lt;&gt;""""),S790)*100,""""))"),"")</f>
        <v/>
      </c>
      <c r="W790" s="15" t="str">
        <f t="shared" si="5"/>
        <v/>
      </c>
    </row>
    <row r="791">
      <c r="B791" t="str">
        <f t="array" ref="B791">IFERROR(INDEX('Player Raw Data'!C:C,Match($A791,'Player Raw Data'!$B:$B,0)),"")</f>
        <v/>
      </c>
      <c r="C791" t="str">
        <f t="array" ref="C791">IFERROR(INDEX('Player Raw Data'!D:D,Match($A791,'Player Raw Data'!$B:$B,0)),"")</f>
        <v/>
      </c>
      <c r="D791" t="str">
        <f t="array" ref="D791">IFERROR(IF(A791=A790, INDEX('Player Raw Data'!E:E,Match($A791,'Player Raw Data'!$B:$B,0)+2),INDEX('Player Raw Data'!E:E,Match($A791,'Player Raw Data'!$B:$B,0))),"")</f>
        <v/>
      </c>
      <c r="E791" t="str">
        <f t="array" ref="E791">IFERROR(INDEX('Day Range Raw Data'!D:D,Match($A791,'Day Range Raw Data'!$B:$B,0)),"")</f>
        <v/>
      </c>
      <c r="F791" t="str">
        <f t="array" ref="F791">IFERROR(INDEX('Day Range Raw Data'!F:F,Match($A791,'Day Range Raw Data'!$B:$B,0)),"")</f>
        <v/>
      </c>
      <c r="G791" t="str">
        <f t="array" ref="G791">IFERROR(INDEX('Day Range Raw Data'!G:G,Match($A791,'Day Range Raw Data'!$B:$B,0)),"")</f>
        <v/>
      </c>
      <c r="H791" t="str">
        <f t="array" ref="H791">IFERROR(INDEX('Day Range Raw Data'!H:H,Match($A791,'Day Range Raw Data'!$B:$B,0)),"")</f>
        <v/>
      </c>
      <c r="I791" t="str">
        <f t="array" ref="I791">IFERROR(INDEX('Day Range Raw Data'!M:M,Match($A791,'Day Range Raw Data'!$B:$B,0)),"")</f>
        <v/>
      </c>
      <c r="J791" t="str">
        <f t="array" ref="J791">IFERROR(INDEX('Day Range Raw Data'!N:N,Match($A791,'Day Range Raw Data'!$B:$B,0)),"")</f>
        <v/>
      </c>
      <c r="K791" t="str">
        <f t="array" ref="K791">IFERROR(INDEX('Day Range Raw Data'!R:R,Match($A791,'Day Range Raw Data'!$B:$B,0)),"")</f>
        <v/>
      </c>
      <c r="L791" t="str">
        <f t="array" ref="L791">IFERROR(INDEX('Day Range Raw Data'!S:S,Match($A791,'Day Range Raw Data'!$B:$B,0)),"")</f>
        <v/>
      </c>
      <c r="M791" t="str">
        <f t="array" ref="M791">IFERROR(INDEX('Day Range Raw Data'!T:T,Match($A791,'Day Range Raw Data'!$B:$B,0)),"")</f>
        <v/>
      </c>
      <c r="N791" t="str">
        <f t="array" ref="N791">IFERROR(INDEX('Day Range Raw Data'!U:U,Match($A791,'Day Range Raw Data'!$B:$B,0)),"")</f>
        <v/>
      </c>
      <c r="O791" t="str">
        <f t="array" ref="O791">IFERROR(INDEX('Day Range Raw Data'!V:V,Match($A791,'Day Range Raw Data'!$B:$B,0)),"")</f>
        <v/>
      </c>
      <c r="P791" t="str">
        <f t="array" ref="P791">IFERROR(INDEX('Day Range Raw Data'!X:X,Match($A791,'Day Range Raw Data'!$B:$B,0)),"")</f>
        <v/>
      </c>
      <c r="Q791" t="str">
        <f t="shared" si="1"/>
        <v/>
      </c>
      <c r="R791" s="9" t="str">
        <f t="shared" si="2"/>
        <v/>
      </c>
      <c r="S791" s="14" t="str">
        <f t="shared" si="3"/>
        <v/>
      </c>
      <c r="T791" s="15" t="str">
        <f>IFERROR(__xludf.DUMMYFUNCTION("IF($A791="""","""",IFERROR(PERCENTRANK.INC(FILTER(Q:Q,$F:$F&lt;&gt;""""),Q791)*100,""""))"),"")</f>
        <v/>
      </c>
      <c r="U791" s="15" t="str">
        <f>IFERROR(__xludf.DUMMYFUNCTION("IF($A791="""","""",IFERROR(PERCENTRANK.INC(FILTER(R:R,$F:$F&lt;&gt;""""),R791)*100,""""))"),"")</f>
        <v/>
      </c>
      <c r="V791" s="15" t="str">
        <f>IFERROR(__xludf.DUMMYFUNCTION("IF($A791="""","""",IFERROR(PERCENTRANK.INC(FILTER(S:S,$F:$F&lt;&gt;""""),S791)*100,""""))"),"")</f>
        <v/>
      </c>
      <c r="W791" s="15" t="str">
        <f t="shared" si="5"/>
        <v/>
      </c>
    </row>
    <row r="792">
      <c r="B792" t="str">
        <f t="array" ref="B792">IFERROR(INDEX('Player Raw Data'!C:C,Match($A792,'Player Raw Data'!$B:$B,0)),"")</f>
        <v/>
      </c>
      <c r="C792" t="str">
        <f t="array" ref="C792">IFERROR(INDEX('Player Raw Data'!D:D,Match($A792,'Player Raw Data'!$B:$B,0)),"")</f>
        <v/>
      </c>
      <c r="D792" t="str">
        <f t="array" ref="D792">IFERROR(IF(A792=A791, INDEX('Player Raw Data'!E:E,Match($A792,'Player Raw Data'!$B:$B,0)+2),INDEX('Player Raw Data'!E:E,Match($A792,'Player Raw Data'!$B:$B,0))),"")</f>
        <v/>
      </c>
      <c r="E792" t="str">
        <f t="array" ref="E792">IFERROR(INDEX('Day Range Raw Data'!D:D,Match($A792,'Day Range Raw Data'!$B:$B,0)),"")</f>
        <v/>
      </c>
      <c r="F792" t="str">
        <f t="array" ref="F792">IFERROR(INDEX('Day Range Raw Data'!F:F,Match($A792,'Day Range Raw Data'!$B:$B,0)),"")</f>
        <v/>
      </c>
      <c r="G792" t="str">
        <f t="array" ref="G792">IFERROR(INDEX('Day Range Raw Data'!G:G,Match($A792,'Day Range Raw Data'!$B:$B,0)),"")</f>
        <v/>
      </c>
      <c r="H792" t="str">
        <f t="array" ref="H792">IFERROR(INDEX('Day Range Raw Data'!H:H,Match($A792,'Day Range Raw Data'!$B:$B,0)),"")</f>
        <v/>
      </c>
      <c r="I792" t="str">
        <f t="array" ref="I792">IFERROR(INDEX('Day Range Raw Data'!M:M,Match($A792,'Day Range Raw Data'!$B:$B,0)),"")</f>
        <v/>
      </c>
      <c r="J792" t="str">
        <f t="array" ref="J792">IFERROR(INDEX('Day Range Raw Data'!N:N,Match($A792,'Day Range Raw Data'!$B:$B,0)),"")</f>
        <v/>
      </c>
      <c r="K792" t="str">
        <f t="array" ref="K792">IFERROR(INDEX('Day Range Raw Data'!R:R,Match($A792,'Day Range Raw Data'!$B:$B,0)),"")</f>
        <v/>
      </c>
      <c r="L792" t="str">
        <f t="array" ref="L792">IFERROR(INDEX('Day Range Raw Data'!S:S,Match($A792,'Day Range Raw Data'!$B:$B,0)),"")</f>
        <v/>
      </c>
      <c r="M792" t="str">
        <f t="array" ref="M792">IFERROR(INDEX('Day Range Raw Data'!T:T,Match($A792,'Day Range Raw Data'!$B:$B,0)),"")</f>
        <v/>
      </c>
      <c r="N792" t="str">
        <f t="array" ref="N792">IFERROR(INDEX('Day Range Raw Data'!U:U,Match($A792,'Day Range Raw Data'!$B:$B,0)),"")</f>
        <v/>
      </c>
      <c r="O792" t="str">
        <f t="array" ref="O792">IFERROR(INDEX('Day Range Raw Data'!V:V,Match($A792,'Day Range Raw Data'!$B:$B,0)),"")</f>
        <v/>
      </c>
      <c r="P792" t="str">
        <f t="array" ref="P792">IFERROR(INDEX('Day Range Raw Data'!X:X,Match($A792,'Day Range Raw Data'!$B:$B,0)),"")</f>
        <v/>
      </c>
      <c r="Q792" t="str">
        <f t="shared" si="1"/>
        <v/>
      </c>
      <c r="R792" s="9" t="str">
        <f t="shared" si="2"/>
        <v/>
      </c>
      <c r="S792" s="14" t="str">
        <f t="shared" si="3"/>
        <v/>
      </c>
      <c r="T792" s="15" t="str">
        <f>IFERROR(__xludf.DUMMYFUNCTION("IF($A792="""","""",IFERROR(PERCENTRANK.INC(FILTER(Q:Q,$F:$F&lt;&gt;""""),Q792)*100,""""))"),"")</f>
        <v/>
      </c>
      <c r="U792" s="15" t="str">
        <f>IFERROR(__xludf.DUMMYFUNCTION("IF($A792="""","""",IFERROR(PERCENTRANK.INC(FILTER(R:R,$F:$F&lt;&gt;""""),R792)*100,""""))"),"")</f>
        <v/>
      </c>
      <c r="V792" s="15" t="str">
        <f>IFERROR(__xludf.DUMMYFUNCTION("IF($A792="""","""",IFERROR(PERCENTRANK.INC(FILTER(S:S,$F:$F&lt;&gt;""""),S792)*100,""""))"),"")</f>
        <v/>
      </c>
      <c r="W792" s="15" t="str">
        <f t="shared" si="5"/>
        <v/>
      </c>
    </row>
    <row r="793">
      <c r="B793" t="str">
        <f t="array" ref="B793">IFERROR(INDEX('Player Raw Data'!C:C,Match($A793,'Player Raw Data'!$B:$B,0)),"")</f>
        <v/>
      </c>
      <c r="C793" t="str">
        <f t="array" ref="C793">IFERROR(INDEX('Player Raw Data'!D:D,Match($A793,'Player Raw Data'!$B:$B,0)),"")</f>
        <v/>
      </c>
      <c r="D793" t="str">
        <f t="array" ref="D793">IFERROR(IF(A793=A792, INDEX('Player Raw Data'!E:E,Match($A793,'Player Raw Data'!$B:$B,0)+2),INDEX('Player Raw Data'!E:E,Match($A793,'Player Raw Data'!$B:$B,0))),"")</f>
        <v/>
      </c>
      <c r="E793" t="str">
        <f t="array" ref="E793">IFERROR(INDEX('Day Range Raw Data'!D:D,Match($A793,'Day Range Raw Data'!$B:$B,0)),"")</f>
        <v/>
      </c>
      <c r="F793" t="str">
        <f t="array" ref="F793">IFERROR(INDEX('Day Range Raw Data'!F:F,Match($A793,'Day Range Raw Data'!$B:$B,0)),"")</f>
        <v/>
      </c>
      <c r="G793" t="str">
        <f t="array" ref="G793">IFERROR(INDEX('Day Range Raw Data'!G:G,Match($A793,'Day Range Raw Data'!$B:$B,0)),"")</f>
        <v/>
      </c>
      <c r="H793" t="str">
        <f t="array" ref="H793">IFERROR(INDEX('Day Range Raw Data'!H:H,Match($A793,'Day Range Raw Data'!$B:$B,0)),"")</f>
        <v/>
      </c>
      <c r="I793" t="str">
        <f t="array" ref="I793">IFERROR(INDEX('Day Range Raw Data'!M:M,Match($A793,'Day Range Raw Data'!$B:$B,0)),"")</f>
        <v/>
      </c>
      <c r="J793" t="str">
        <f t="array" ref="J793">IFERROR(INDEX('Day Range Raw Data'!N:N,Match($A793,'Day Range Raw Data'!$B:$B,0)),"")</f>
        <v/>
      </c>
      <c r="K793" t="str">
        <f t="array" ref="K793">IFERROR(INDEX('Day Range Raw Data'!R:R,Match($A793,'Day Range Raw Data'!$B:$B,0)),"")</f>
        <v/>
      </c>
      <c r="L793" t="str">
        <f t="array" ref="L793">IFERROR(INDEX('Day Range Raw Data'!S:S,Match($A793,'Day Range Raw Data'!$B:$B,0)),"")</f>
        <v/>
      </c>
      <c r="M793" t="str">
        <f t="array" ref="M793">IFERROR(INDEX('Day Range Raw Data'!T:T,Match($A793,'Day Range Raw Data'!$B:$B,0)),"")</f>
        <v/>
      </c>
      <c r="N793" t="str">
        <f t="array" ref="N793">IFERROR(INDEX('Day Range Raw Data'!U:U,Match($A793,'Day Range Raw Data'!$B:$B,0)),"")</f>
        <v/>
      </c>
      <c r="O793" t="str">
        <f t="array" ref="O793">IFERROR(INDEX('Day Range Raw Data'!V:V,Match($A793,'Day Range Raw Data'!$B:$B,0)),"")</f>
        <v/>
      </c>
      <c r="P793" t="str">
        <f t="array" ref="P793">IFERROR(INDEX('Day Range Raw Data'!X:X,Match($A793,'Day Range Raw Data'!$B:$B,0)),"")</f>
        <v/>
      </c>
      <c r="Q793" t="str">
        <f t="shared" si="1"/>
        <v/>
      </c>
      <c r="R793" s="9" t="str">
        <f t="shared" si="2"/>
        <v/>
      </c>
      <c r="S793" s="14" t="str">
        <f t="shared" si="3"/>
        <v/>
      </c>
      <c r="T793" s="15" t="str">
        <f>IFERROR(__xludf.DUMMYFUNCTION("IF($A793="""","""",IFERROR(PERCENTRANK.INC(FILTER(Q:Q,$F:$F&lt;&gt;""""),Q793)*100,""""))"),"")</f>
        <v/>
      </c>
      <c r="U793" s="15" t="str">
        <f>IFERROR(__xludf.DUMMYFUNCTION("IF($A793="""","""",IFERROR(PERCENTRANK.INC(FILTER(R:R,$F:$F&lt;&gt;""""),R793)*100,""""))"),"")</f>
        <v/>
      </c>
      <c r="V793" s="15" t="str">
        <f>IFERROR(__xludf.DUMMYFUNCTION("IF($A793="""","""",IFERROR(PERCENTRANK.INC(FILTER(S:S,$F:$F&lt;&gt;""""),S793)*100,""""))"),"")</f>
        <v/>
      </c>
      <c r="W793" s="15" t="str">
        <f t="shared" si="5"/>
        <v/>
      </c>
    </row>
    <row r="794">
      <c r="B794" t="str">
        <f t="array" ref="B794">IFERROR(INDEX('Player Raw Data'!C:C,Match($A794,'Player Raw Data'!$B:$B,0)),"")</f>
        <v/>
      </c>
      <c r="C794" t="str">
        <f t="array" ref="C794">IFERROR(INDEX('Player Raw Data'!D:D,Match($A794,'Player Raw Data'!$B:$B,0)),"")</f>
        <v/>
      </c>
      <c r="D794" t="str">
        <f t="array" ref="D794">IFERROR(IF(A794=A793, INDEX('Player Raw Data'!E:E,Match($A794,'Player Raw Data'!$B:$B,0)+2),INDEX('Player Raw Data'!E:E,Match($A794,'Player Raw Data'!$B:$B,0))),"")</f>
        <v/>
      </c>
      <c r="E794" t="str">
        <f t="array" ref="E794">IFERROR(INDEX('Day Range Raw Data'!D:D,Match($A794,'Day Range Raw Data'!$B:$B,0)),"")</f>
        <v/>
      </c>
      <c r="F794" t="str">
        <f t="array" ref="F794">IFERROR(INDEX('Day Range Raw Data'!F:F,Match($A794,'Day Range Raw Data'!$B:$B,0)),"")</f>
        <v/>
      </c>
      <c r="G794" t="str">
        <f t="array" ref="G794">IFERROR(INDEX('Day Range Raw Data'!G:G,Match($A794,'Day Range Raw Data'!$B:$B,0)),"")</f>
        <v/>
      </c>
      <c r="H794" t="str">
        <f t="array" ref="H794">IFERROR(INDEX('Day Range Raw Data'!H:H,Match($A794,'Day Range Raw Data'!$B:$B,0)),"")</f>
        <v/>
      </c>
      <c r="I794" t="str">
        <f t="array" ref="I794">IFERROR(INDEX('Day Range Raw Data'!M:M,Match($A794,'Day Range Raw Data'!$B:$B,0)),"")</f>
        <v/>
      </c>
      <c r="J794" t="str">
        <f t="array" ref="J794">IFERROR(INDEX('Day Range Raw Data'!N:N,Match($A794,'Day Range Raw Data'!$B:$B,0)),"")</f>
        <v/>
      </c>
      <c r="K794" t="str">
        <f t="array" ref="K794">IFERROR(INDEX('Day Range Raw Data'!R:R,Match($A794,'Day Range Raw Data'!$B:$B,0)),"")</f>
        <v/>
      </c>
      <c r="L794" t="str">
        <f t="array" ref="L794">IFERROR(INDEX('Day Range Raw Data'!S:S,Match($A794,'Day Range Raw Data'!$B:$B,0)),"")</f>
        <v/>
      </c>
      <c r="M794" t="str">
        <f t="array" ref="M794">IFERROR(INDEX('Day Range Raw Data'!T:T,Match($A794,'Day Range Raw Data'!$B:$B,0)),"")</f>
        <v/>
      </c>
      <c r="N794" t="str">
        <f t="array" ref="N794">IFERROR(INDEX('Day Range Raw Data'!U:U,Match($A794,'Day Range Raw Data'!$B:$B,0)),"")</f>
        <v/>
      </c>
      <c r="O794" t="str">
        <f t="array" ref="O794">IFERROR(INDEX('Day Range Raw Data'!V:V,Match($A794,'Day Range Raw Data'!$B:$B,0)),"")</f>
        <v/>
      </c>
      <c r="P794" t="str">
        <f t="array" ref="P794">IFERROR(INDEX('Day Range Raw Data'!X:X,Match($A794,'Day Range Raw Data'!$B:$B,0)),"")</f>
        <v/>
      </c>
      <c r="Q794" t="str">
        <f t="shared" si="1"/>
        <v/>
      </c>
      <c r="R794" s="9" t="str">
        <f t="shared" si="2"/>
        <v/>
      </c>
      <c r="S794" s="14" t="str">
        <f t="shared" si="3"/>
        <v/>
      </c>
      <c r="T794" s="15" t="str">
        <f>IFERROR(__xludf.DUMMYFUNCTION("IF($A794="""","""",IFERROR(PERCENTRANK.INC(FILTER(Q:Q,$F:$F&lt;&gt;""""),Q794)*100,""""))"),"")</f>
        <v/>
      </c>
      <c r="U794" s="15" t="str">
        <f>IFERROR(__xludf.DUMMYFUNCTION("IF($A794="""","""",IFERROR(PERCENTRANK.INC(FILTER(R:R,$F:$F&lt;&gt;""""),R794)*100,""""))"),"")</f>
        <v/>
      </c>
      <c r="V794" s="15" t="str">
        <f>IFERROR(__xludf.DUMMYFUNCTION("IF($A794="""","""",IFERROR(PERCENTRANK.INC(FILTER(S:S,$F:$F&lt;&gt;""""),S794)*100,""""))"),"")</f>
        <v/>
      </c>
      <c r="W794" s="15" t="str">
        <f t="shared" si="5"/>
        <v/>
      </c>
    </row>
    <row r="795">
      <c r="B795" t="str">
        <f t="array" ref="B795">IFERROR(INDEX('Player Raw Data'!C:C,Match($A795,'Player Raw Data'!$B:$B,0)),"")</f>
        <v/>
      </c>
      <c r="C795" t="str">
        <f t="array" ref="C795">IFERROR(INDEX('Player Raw Data'!D:D,Match($A795,'Player Raw Data'!$B:$B,0)),"")</f>
        <v/>
      </c>
      <c r="D795" t="str">
        <f t="array" ref="D795">IFERROR(IF(A795=A794, INDEX('Player Raw Data'!E:E,Match($A795,'Player Raw Data'!$B:$B,0)+2),INDEX('Player Raw Data'!E:E,Match($A795,'Player Raw Data'!$B:$B,0))),"")</f>
        <v/>
      </c>
      <c r="E795" t="str">
        <f t="array" ref="E795">IFERROR(INDEX('Day Range Raw Data'!D:D,Match($A795,'Day Range Raw Data'!$B:$B,0)),"")</f>
        <v/>
      </c>
      <c r="F795" t="str">
        <f t="array" ref="F795">IFERROR(INDEX('Day Range Raw Data'!F:F,Match($A795,'Day Range Raw Data'!$B:$B,0)),"")</f>
        <v/>
      </c>
      <c r="G795" t="str">
        <f t="array" ref="G795">IFERROR(INDEX('Day Range Raw Data'!G:G,Match($A795,'Day Range Raw Data'!$B:$B,0)),"")</f>
        <v/>
      </c>
      <c r="H795" t="str">
        <f t="array" ref="H795">IFERROR(INDEX('Day Range Raw Data'!H:H,Match($A795,'Day Range Raw Data'!$B:$B,0)),"")</f>
        <v/>
      </c>
      <c r="I795" t="str">
        <f t="array" ref="I795">IFERROR(INDEX('Day Range Raw Data'!M:M,Match($A795,'Day Range Raw Data'!$B:$B,0)),"")</f>
        <v/>
      </c>
      <c r="J795" t="str">
        <f t="array" ref="J795">IFERROR(INDEX('Day Range Raw Data'!N:N,Match($A795,'Day Range Raw Data'!$B:$B,0)),"")</f>
        <v/>
      </c>
      <c r="K795" t="str">
        <f t="array" ref="K795">IFERROR(INDEX('Day Range Raw Data'!R:R,Match($A795,'Day Range Raw Data'!$B:$B,0)),"")</f>
        <v/>
      </c>
      <c r="L795" t="str">
        <f t="array" ref="L795">IFERROR(INDEX('Day Range Raw Data'!S:S,Match($A795,'Day Range Raw Data'!$B:$B,0)),"")</f>
        <v/>
      </c>
      <c r="M795" t="str">
        <f t="array" ref="M795">IFERROR(INDEX('Day Range Raw Data'!T:T,Match($A795,'Day Range Raw Data'!$B:$B,0)),"")</f>
        <v/>
      </c>
      <c r="N795" t="str">
        <f t="array" ref="N795">IFERROR(INDEX('Day Range Raw Data'!U:U,Match($A795,'Day Range Raw Data'!$B:$B,0)),"")</f>
        <v/>
      </c>
      <c r="O795" t="str">
        <f t="array" ref="O795">IFERROR(INDEX('Day Range Raw Data'!V:V,Match($A795,'Day Range Raw Data'!$B:$B,0)),"")</f>
        <v/>
      </c>
      <c r="P795" t="str">
        <f t="array" ref="P795">IFERROR(INDEX('Day Range Raw Data'!X:X,Match($A795,'Day Range Raw Data'!$B:$B,0)),"")</f>
        <v/>
      </c>
      <c r="Q795" t="str">
        <f t="shared" si="1"/>
        <v/>
      </c>
      <c r="R795" s="9" t="str">
        <f t="shared" si="2"/>
        <v/>
      </c>
      <c r="S795" s="14" t="str">
        <f t="shared" si="3"/>
        <v/>
      </c>
      <c r="T795" s="15" t="str">
        <f>IFERROR(__xludf.DUMMYFUNCTION("IF($A795="""","""",IFERROR(PERCENTRANK.INC(FILTER(Q:Q,$F:$F&lt;&gt;""""),Q795)*100,""""))"),"")</f>
        <v/>
      </c>
      <c r="U795" s="15" t="str">
        <f>IFERROR(__xludf.DUMMYFUNCTION("IF($A795="""","""",IFERROR(PERCENTRANK.INC(FILTER(R:R,$F:$F&lt;&gt;""""),R795)*100,""""))"),"")</f>
        <v/>
      </c>
      <c r="V795" s="15" t="str">
        <f>IFERROR(__xludf.DUMMYFUNCTION("IF($A795="""","""",IFERROR(PERCENTRANK.INC(FILTER(S:S,$F:$F&lt;&gt;""""),S795)*100,""""))"),"")</f>
        <v/>
      </c>
      <c r="W795" s="15" t="str">
        <f t="shared" si="5"/>
        <v/>
      </c>
    </row>
    <row r="796">
      <c r="B796" t="str">
        <f t="array" ref="B796">IFERROR(INDEX('Player Raw Data'!C:C,Match($A796,'Player Raw Data'!$B:$B,0)),"")</f>
        <v/>
      </c>
      <c r="C796" t="str">
        <f t="array" ref="C796">IFERROR(INDEX('Player Raw Data'!D:D,Match($A796,'Player Raw Data'!$B:$B,0)),"")</f>
        <v/>
      </c>
      <c r="D796" t="str">
        <f t="array" ref="D796">IFERROR(IF(A796=A795, INDEX('Player Raw Data'!E:E,Match($A796,'Player Raw Data'!$B:$B,0)+2),INDEX('Player Raw Data'!E:E,Match($A796,'Player Raw Data'!$B:$B,0))),"")</f>
        <v/>
      </c>
      <c r="E796" t="str">
        <f t="array" ref="E796">IFERROR(INDEX('Day Range Raw Data'!D:D,Match($A796,'Day Range Raw Data'!$B:$B,0)),"")</f>
        <v/>
      </c>
      <c r="F796" t="str">
        <f t="array" ref="F796">IFERROR(INDEX('Day Range Raw Data'!F:F,Match($A796,'Day Range Raw Data'!$B:$B,0)),"")</f>
        <v/>
      </c>
      <c r="G796" t="str">
        <f t="array" ref="G796">IFERROR(INDEX('Day Range Raw Data'!G:G,Match($A796,'Day Range Raw Data'!$B:$B,0)),"")</f>
        <v/>
      </c>
      <c r="H796" t="str">
        <f t="array" ref="H796">IFERROR(INDEX('Day Range Raw Data'!H:H,Match($A796,'Day Range Raw Data'!$B:$B,0)),"")</f>
        <v/>
      </c>
      <c r="I796" t="str">
        <f t="array" ref="I796">IFERROR(INDEX('Day Range Raw Data'!M:M,Match($A796,'Day Range Raw Data'!$B:$B,0)),"")</f>
        <v/>
      </c>
      <c r="J796" t="str">
        <f t="array" ref="J796">IFERROR(INDEX('Day Range Raw Data'!N:N,Match($A796,'Day Range Raw Data'!$B:$B,0)),"")</f>
        <v/>
      </c>
      <c r="K796" t="str">
        <f t="array" ref="K796">IFERROR(INDEX('Day Range Raw Data'!R:R,Match($A796,'Day Range Raw Data'!$B:$B,0)),"")</f>
        <v/>
      </c>
      <c r="L796" t="str">
        <f t="array" ref="L796">IFERROR(INDEX('Day Range Raw Data'!S:S,Match($A796,'Day Range Raw Data'!$B:$B,0)),"")</f>
        <v/>
      </c>
      <c r="M796" t="str">
        <f t="array" ref="M796">IFERROR(INDEX('Day Range Raw Data'!T:T,Match($A796,'Day Range Raw Data'!$B:$B,0)),"")</f>
        <v/>
      </c>
      <c r="N796" t="str">
        <f t="array" ref="N796">IFERROR(INDEX('Day Range Raw Data'!U:U,Match($A796,'Day Range Raw Data'!$B:$B,0)),"")</f>
        <v/>
      </c>
      <c r="O796" t="str">
        <f t="array" ref="O796">IFERROR(INDEX('Day Range Raw Data'!V:V,Match($A796,'Day Range Raw Data'!$B:$B,0)),"")</f>
        <v/>
      </c>
      <c r="P796" t="str">
        <f t="array" ref="P796">IFERROR(INDEX('Day Range Raw Data'!X:X,Match($A796,'Day Range Raw Data'!$B:$B,0)),"")</f>
        <v/>
      </c>
      <c r="Q796" t="str">
        <f t="shared" si="1"/>
        <v/>
      </c>
      <c r="R796" s="9" t="str">
        <f t="shared" si="2"/>
        <v/>
      </c>
      <c r="S796" s="14" t="str">
        <f t="shared" si="3"/>
        <v/>
      </c>
      <c r="T796" s="15" t="str">
        <f>IFERROR(__xludf.DUMMYFUNCTION("IF($A796="""","""",IFERROR(PERCENTRANK.INC(FILTER(Q:Q,$F:$F&lt;&gt;""""),Q796)*100,""""))"),"")</f>
        <v/>
      </c>
      <c r="U796" s="15" t="str">
        <f>IFERROR(__xludf.DUMMYFUNCTION("IF($A796="""","""",IFERROR(PERCENTRANK.INC(FILTER(R:R,$F:$F&lt;&gt;""""),R796)*100,""""))"),"")</f>
        <v/>
      </c>
      <c r="V796" s="15" t="str">
        <f>IFERROR(__xludf.DUMMYFUNCTION("IF($A796="""","""",IFERROR(PERCENTRANK.INC(FILTER(S:S,$F:$F&lt;&gt;""""),S796)*100,""""))"),"")</f>
        <v/>
      </c>
      <c r="W796" s="15" t="str">
        <f t="shared" si="5"/>
        <v/>
      </c>
    </row>
    <row r="797">
      <c r="B797" t="str">
        <f t="array" ref="B797">IFERROR(INDEX('Player Raw Data'!C:C,Match($A797,'Player Raw Data'!$B:$B,0)),"")</f>
        <v/>
      </c>
      <c r="C797" t="str">
        <f t="array" ref="C797">IFERROR(INDEX('Player Raw Data'!D:D,Match($A797,'Player Raw Data'!$B:$B,0)),"")</f>
        <v/>
      </c>
      <c r="D797" t="str">
        <f t="array" ref="D797">IFERROR(IF(A797=A796, INDEX('Player Raw Data'!E:E,Match($A797,'Player Raw Data'!$B:$B,0)+2),INDEX('Player Raw Data'!E:E,Match($A797,'Player Raw Data'!$B:$B,0))),"")</f>
        <v/>
      </c>
      <c r="E797" t="str">
        <f t="array" ref="E797">IFERROR(INDEX('Day Range Raw Data'!D:D,Match($A797,'Day Range Raw Data'!$B:$B,0)),"")</f>
        <v/>
      </c>
      <c r="F797" t="str">
        <f t="array" ref="F797">IFERROR(INDEX('Day Range Raw Data'!F:F,Match($A797,'Day Range Raw Data'!$B:$B,0)),"")</f>
        <v/>
      </c>
      <c r="G797" t="str">
        <f t="array" ref="G797">IFERROR(INDEX('Day Range Raw Data'!G:G,Match($A797,'Day Range Raw Data'!$B:$B,0)),"")</f>
        <v/>
      </c>
      <c r="H797" t="str">
        <f t="array" ref="H797">IFERROR(INDEX('Day Range Raw Data'!H:H,Match($A797,'Day Range Raw Data'!$B:$B,0)),"")</f>
        <v/>
      </c>
      <c r="I797" t="str">
        <f t="array" ref="I797">IFERROR(INDEX('Day Range Raw Data'!M:M,Match($A797,'Day Range Raw Data'!$B:$B,0)),"")</f>
        <v/>
      </c>
      <c r="J797" t="str">
        <f t="array" ref="J797">IFERROR(INDEX('Day Range Raw Data'!N:N,Match($A797,'Day Range Raw Data'!$B:$B,0)),"")</f>
        <v/>
      </c>
      <c r="K797" t="str">
        <f t="array" ref="K797">IFERROR(INDEX('Day Range Raw Data'!R:R,Match($A797,'Day Range Raw Data'!$B:$B,0)),"")</f>
        <v/>
      </c>
      <c r="L797" t="str">
        <f t="array" ref="L797">IFERROR(INDEX('Day Range Raw Data'!S:S,Match($A797,'Day Range Raw Data'!$B:$B,0)),"")</f>
        <v/>
      </c>
      <c r="M797" t="str">
        <f t="array" ref="M797">IFERROR(INDEX('Day Range Raw Data'!T:T,Match($A797,'Day Range Raw Data'!$B:$B,0)),"")</f>
        <v/>
      </c>
      <c r="N797" t="str">
        <f t="array" ref="N797">IFERROR(INDEX('Day Range Raw Data'!U:U,Match($A797,'Day Range Raw Data'!$B:$B,0)),"")</f>
        <v/>
      </c>
      <c r="O797" t="str">
        <f t="array" ref="O797">IFERROR(INDEX('Day Range Raw Data'!V:V,Match($A797,'Day Range Raw Data'!$B:$B,0)),"")</f>
        <v/>
      </c>
      <c r="P797" t="str">
        <f t="array" ref="P797">IFERROR(INDEX('Day Range Raw Data'!X:X,Match($A797,'Day Range Raw Data'!$B:$B,0)),"")</f>
        <v/>
      </c>
      <c r="Q797" t="str">
        <f t="shared" si="1"/>
        <v/>
      </c>
      <c r="R797" s="9" t="str">
        <f t="shared" si="2"/>
        <v/>
      </c>
      <c r="S797" s="14" t="str">
        <f t="shared" si="3"/>
        <v/>
      </c>
      <c r="T797" s="15" t="str">
        <f>IFERROR(__xludf.DUMMYFUNCTION("IF($A797="""","""",IFERROR(PERCENTRANK.INC(FILTER(Q:Q,$F:$F&lt;&gt;""""),Q797)*100,""""))"),"")</f>
        <v/>
      </c>
      <c r="U797" s="15" t="str">
        <f>IFERROR(__xludf.DUMMYFUNCTION("IF($A797="""","""",IFERROR(PERCENTRANK.INC(FILTER(R:R,$F:$F&lt;&gt;""""),R797)*100,""""))"),"")</f>
        <v/>
      </c>
      <c r="V797" s="15" t="str">
        <f>IFERROR(__xludf.DUMMYFUNCTION("IF($A797="""","""",IFERROR(PERCENTRANK.INC(FILTER(S:S,$F:$F&lt;&gt;""""),S797)*100,""""))"),"")</f>
        <v/>
      </c>
      <c r="W797" s="15" t="str">
        <f t="shared" si="5"/>
        <v/>
      </c>
    </row>
    <row r="798">
      <c r="B798" t="str">
        <f t="array" ref="B798">IFERROR(INDEX('Player Raw Data'!C:C,Match($A798,'Player Raw Data'!$B:$B,0)),"")</f>
        <v/>
      </c>
      <c r="C798" t="str">
        <f t="array" ref="C798">IFERROR(INDEX('Player Raw Data'!D:D,Match($A798,'Player Raw Data'!$B:$B,0)),"")</f>
        <v/>
      </c>
      <c r="D798" t="str">
        <f t="array" ref="D798">IFERROR(IF(A798=A797, INDEX('Player Raw Data'!E:E,Match($A798,'Player Raw Data'!$B:$B,0)+2),INDEX('Player Raw Data'!E:E,Match($A798,'Player Raw Data'!$B:$B,0))),"")</f>
        <v/>
      </c>
      <c r="E798" t="str">
        <f t="array" ref="E798">IFERROR(INDEX('Day Range Raw Data'!D:D,Match($A798,'Day Range Raw Data'!$B:$B,0)),"")</f>
        <v/>
      </c>
      <c r="F798" t="str">
        <f t="array" ref="F798">IFERROR(INDEX('Day Range Raw Data'!F:F,Match($A798,'Day Range Raw Data'!$B:$B,0)),"")</f>
        <v/>
      </c>
      <c r="G798" t="str">
        <f t="array" ref="G798">IFERROR(INDEX('Day Range Raw Data'!G:G,Match($A798,'Day Range Raw Data'!$B:$B,0)),"")</f>
        <v/>
      </c>
      <c r="H798" t="str">
        <f t="array" ref="H798">IFERROR(INDEX('Day Range Raw Data'!H:H,Match($A798,'Day Range Raw Data'!$B:$B,0)),"")</f>
        <v/>
      </c>
      <c r="I798" t="str">
        <f t="array" ref="I798">IFERROR(INDEX('Day Range Raw Data'!M:M,Match($A798,'Day Range Raw Data'!$B:$B,0)),"")</f>
        <v/>
      </c>
      <c r="J798" t="str">
        <f t="array" ref="J798">IFERROR(INDEX('Day Range Raw Data'!N:N,Match($A798,'Day Range Raw Data'!$B:$B,0)),"")</f>
        <v/>
      </c>
      <c r="K798" t="str">
        <f t="array" ref="K798">IFERROR(INDEX('Day Range Raw Data'!R:R,Match($A798,'Day Range Raw Data'!$B:$B,0)),"")</f>
        <v/>
      </c>
      <c r="L798" t="str">
        <f t="array" ref="L798">IFERROR(INDEX('Day Range Raw Data'!S:S,Match($A798,'Day Range Raw Data'!$B:$B,0)),"")</f>
        <v/>
      </c>
      <c r="M798" t="str">
        <f t="array" ref="M798">IFERROR(INDEX('Day Range Raw Data'!T:T,Match($A798,'Day Range Raw Data'!$B:$B,0)),"")</f>
        <v/>
      </c>
      <c r="N798" t="str">
        <f t="array" ref="N798">IFERROR(INDEX('Day Range Raw Data'!U:U,Match($A798,'Day Range Raw Data'!$B:$B,0)),"")</f>
        <v/>
      </c>
      <c r="O798" t="str">
        <f t="array" ref="O798">IFERROR(INDEX('Day Range Raw Data'!V:V,Match($A798,'Day Range Raw Data'!$B:$B,0)),"")</f>
        <v/>
      </c>
      <c r="P798" t="str">
        <f t="array" ref="P798">IFERROR(INDEX('Day Range Raw Data'!X:X,Match($A798,'Day Range Raw Data'!$B:$B,0)),"")</f>
        <v/>
      </c>
      <c r="Q798" t="str">
        <f t="shared" si="1"/>
        <v/>
      </c>
      <c r="R798" s="9" t="str">
        <f t="shared" si="2"/>
        <v/>
      </c>
      <c r="S798" s="14" t="str">
        <f t="shared" si="3"/>
        <v/>
      </c>
      <c r="T798" s="15" t="str">
        <f>IFERROR(__xludf.DUMMYFUNCTION("IF($A798="""","""",IFERROR(PERCENTRANK.INC(FILTER(Q:Q,$F:$F&lt;&gt;""""),Q798)*100,""""))"),"")</f>
        <v/>
      </c>
      <c r="U798" s="15" t="str">
        <f>IFERROR(__xludf.DUMMYFUNCTION("IF($A798="""","""",IFERROR(PERCENTRANK.INC(FILTER(R:R,$F:$F&lt;&gt;""""),R798)*100,""""))"),"")</f>
        <v/>
      </c>
      <c r="V798" s="15" t="str">
        <f>IFERROR(__xludf.DUMMYFUNCTION("IF($A798="""","""",IFERROR(PERCENTRANK.INC(FILTER(S:S,$F:$F&lt;&gt;""""),S798)*100,""""))"),"")</f>
        <v/>
      </c>
      <c r="W798" s="15" t="str">
        <f t="shared" si="5"/>
        <v/>
      </c>
    </row>
    <row r="799">
      <c r="B799" t="str">
        <f t="array" ref="B799">IFERROR(INDEX('Player Raw Data'!C:C,Match($A799,'Player Raw Data'!$B:$B,0)),"")</f>
        <v/>
      </c>
      <c r="C799" t="str">
        <f t="array" ref="C799">IFERROR(INDEX('Player Raw Data'!D:D,Match($A799,'Player Raw Data'!$B:$B,0)),"")</f>
        <v/>
      </c>
      <c r="D799" t="str">
        <f t="array" ref="D799">IFERROR(IF(A799=A798, INDEX('Player Raw Data'!E:E,Match($A799,'Player Raw Data'!$B:$B,0)+2),INDEX('Player Raw Data'!E:E,Match($A799,'Player Raw Data'!$B:$B,0))),"")</f>
        <v/>
      </c>
      <c r="E799" t="str">
        <f t="array" ref="E799">IFERROR(INDEX('Day Range Raw Data'!D:D,Match($A799,'Day Range Raw Data'!$B:$B,0)),"")</f>
        <v/>
      </c>
      <c r="F799" t="str">
        <f t="array" ref="F799">IFERROR(INDEX('Day Range Raw Data'!F:F,Match($A799,'Day Range Raw Data'!$B:$B,0)),"")</f>
        <v/>
      </c>
      <c r="G799" t="str">
        <f t="array" ref="G799">IFERROR(INDEX('Day Range Raw Data'!G:G,Match($A799,'Day Range Raw Data'!$B:$B,0)),"")</f>
        <v/>
      </c>
      <c r="H799" t="str">
        <f t="array" ref="H799">IFERROR(INDEX('Day Range Raw Data'!H:H,Match($A799,'Day Range Raw Data'!$B:$B,0)),"")</f>
        <v/>
      </c>
      <c r="I799" t="str">
        <f t="array" ref="I799">IFERROR(INDEX('Day Range Raw Data'!M:M,Match($A799,'Day Range Raw Data'!$B:$B,0)),"")</f>
        <v/>
      </c>
      <c r="J799" t="str">
        <f t="array" ref="J799">IFERROR(INDEX('Day Range Raw Data'!N:N,Match($A799,'Day Range Raw Data'!$B:$B,0)),"")</f>
        <v/>
      </c>
      <c r="K799" t="str">
        <f t="array" ref="K799">IFERROR(INDEX('Day Range Raw Data'!R:R,Match($A799,'Day Range Raw Data'!$B:$B,0)),"")</f>
        <v/>
      </c>
      <c r="L799" t="str">
        <f t="array" ref="L799">IFERROR(INDEX('Day Range Raw Data'!S:S,Match($A799,'Day Range Raw Data'!$B:$B,0)),"")</f>
        <v/>
      </c>
      <c r="M799" t="str">
        <f t="array" ref="M799">IFERROR(INDEX('Day Range Raw Data'!T:T,Match($A799,'Day Range Raw Data'!$B:$B,0)),"")</f>
        <v/>
      </c>
      <c r="N799" t="str">
        <f t="array" ref="N799">IFERROR(INDEX('Day Range Raw Data'!U:U,Match($A799,'Day Range Raw Data'!$B:$B,0)),"")</f>
        <v/>
      </c>
      <c r="O799" t="str">
        <f t="array" ref="O799">IFERROR(INDEX('Day Range Raw Data'!V:V,Match($A799,'Day Range Raw Data'!$B:$B,0)),"")</f>
        <v/>
      </c>
      <c r="P799" t="str">
        <f t="array" ref="P799">IFERROR(INDEX('Day Range Raw Data'!X:X,Match($A799,'Day Range Raw Data'!$B:$B,0)),"")</f>
        <v/>
      </c>
      <c r="Q799" t="str">
        <f t="shared" si="1"/>
        <v/>
      </c>
      <c r="R799" s="9" t="str">
        <f t="shared" si="2"/>
        <v/>
      </c>
      <c r="S799" s="14" t="str">
        <f t="shared" si="3"/>
        <v/>
      </c>
      <c r="T799" s="15" t="str">
        <f>IFERROR(__xludf.DUMMYFUNCTION("IF($A799="""","""",IFERROR(PERCENTRANK.INC(FILTER(Q:Q,$F:$F&lt;&gt;""""),Q799)*100,""""))"),"")</f>
        <v/>
      </c>
      <c r="U799" s="15" t="str">
        <f>IFERROR(__xludf.DUMMYFUNCTION("IF($A799="""","""",IFERROR(PERCENTRANK.INC(FILTER(R:R,$F:$F&lt;&gt;""""),R799)*100,""""))"),"")</f>
        <v/>
      </c>
      <c r="V799" s="15" t="str">
        <f>IFERROR(__xludf.DUMMYFUNCTION("IF($A799="""","""",IFERROR(PERCENTRANK.INC(FILTER(S:S,$F:$F&lt;&gt;""""),S799)*100,""""))"),"")</f>
        <v/>
      </c>
      <c r="W799" s="15" t="str">
        <f t="shared" si="5"/>
        <v/>
      </c>
    </row>
    <row r="800">
      <c r="B800" t="str">
        <f t="array" ref="B800">IFERROR(INDEX('Player Raw Data'!C:C,Match($A800,'Player Raw Data'!$B:$B,0)),"")</f>
        <v/>
      </c>
      <c r="C800" t="str">
        <f t="array" ref="C800">IFERROR(INDEX('Player Raw Data'!D:D,Match($A800,'Player Raw Data'!$B:$B,0)),"")</f>
        <v/>
      </c>
      <c r="D800" t="str">
        <f t="array" ref="D800">IFERROR(IF(A800=A799, INDEX('Player Raw Data'!E:E,Match($A800,'Player Raw Data'!$B:$B,0)+2),INDEX('Player Raw Data'!E:E,Match($A800,'Player Raw Data'!$B:$B,0))),"")</f>
        <v/>
      </c>
      <c r="E800" t="str">
        <f t="array" ref="E800">IFERROR(INDEX('Day Range Raw Data'!D:D,Match($A800,'Day Range Raw Data'!$B:$B,0)),"")</f>
        <v/>
      </c>
      <c r="F800" t="str">
        <f t="array" ref="F800">IFERROR(INDEX('Day Range Raw Data'!F:F,Match($A800,'Day Range Raw Data'!$B:$B,0)),"")</f>
        <v/>
      </c>
      <c r="G800" t="str">
        <f t="array" ref="G800">IFERROR(INDEX('Day Range Raw Data'!G:G,Match($A800,'Day Range Raw Data'!$B:$B,0)),"")</f>
        <v/>
      </c>
      <c r="H800" t="str">
        <f t="array" ref="H800">IFERROR(INDEX('Day Range Raw Data'!H:H,Match($A800,'Day Range Raw Data'!$B:$B,0)),"")</f>
        <v/>
      </c>
      <c r="I800" t="str">
        <f t="array" ref="I800">IFERROR(INDEX('Day Range Raw Data'!M:M,Match($A800,'Day Range Raw Data'!$B:$B,0)),"")</f>
        <v/>
      </c>
      <c r="J800" t="str">
        <f t="array" ref="J800">IFERROR(INDEX('Day Range Raw Data'!N:N,Match($A800,'Day Range Raw Data'!$B:$B,0)),"")</f>
        <v/>
      </c>
      <c r="K800" t="str">
        <f t="array" ref="K800">IFERROR(INDEX('Day Range Raw Data'!R:R,Match($A800,'Day Range Raw Data'!$B:$B,0)),"")</f>
        <v/>
      </c>
      <c r="L800" t="str">
        <f t="array" ref="L800">IFERROR(INDEX('Day Range Raw Data'!S:S,Match($A800,'Day Range Raw Data'!$B:$B,0)),"")</f>
        <v/>
      </c>
      <c r="M800" t="str">
        <f t="array" ref="M800">IFERROR(INDEX('Day Range Raw Data'!T:T,Match($A800,'Day Range Raw Data'!$B:$B,0)),"")</f>
        <v/>
      </c>
      <c r="N800" t="str">
        <f t="array" ref="N800">IFERROR(INDEX('Day Range Raw Data'!U:U,Match($A800,'Day Range Raw Data'!$B:$B,0)),"")</f>
        <v/>
      </c>
      <c r="O800" t="str">
        <f t="array" ref="O800">IFERROR(INDEX('Day Range Raw Data'!V:V,Match($A800,'Day Range Raw Data'!$B:$B,0)),"")</f>
        <v/>
      </c>
      <c r="P800" t="str">
        <f t="array" ref="P800">IFERROR(INDEX('Day Range Raw Data'!X:X,Match($A800,'Day Range Raw Data'!$B:$B,0)),"")</f>
        <v/>
      </c>
      <c r="Q800" t="str">
        <f t="shared" si="1"/>
        <v/>
      </c>
      <c r="R800" s="9" t="str">
        <f t="shared" si="2"/>
        <v/>
      </c>
      <c r="S800" s="14" t="str">
        <f t="shared" si="3"/>
        <v/>
      </c>
      <c r="T800" s="15" t="str">
        <f>IFERROR(__xludf.DUMMYFUNCTION("IF($A800="""","""",IFERROR(PERCENTRANK.INC(FILTER(Q:Q,$F:$F&lt;&gt;""""),Q800)*100,""""))"),"")</f>
        <v/>
      </c>
      <c r="U800" s="15" t="str">
        <f>IFERROR(__xludf.DUMMYFUNCTION("IF($A800="""","""",IFERROR(PERCENTRANK.INC(FILTER(R:R,$F:$F&lt;&gt;""""),R800)*100,""""))"),"")</f>
        <v/>
      </c>
      <c r="V800" s="15" t="str">
        <f>IFERROR(__xludf.DUMMYFUNCTION("IF($A800="""","""",IFERROR(PERCENTRANK.INC(FILTER(S:S,$F:$F&lt;&gt;""""),S800)*100,""""))"),"")</f>
        <v/>
      </c>
      <c r="W800" s="15" t="str">
        <f t="shared" si="5"/>
        <v/>
      </c>
    </row>
    <row r="801">
      <c r="B801" t="str">
        <f t="array" ref="B801">IFERROR(INDEX('Player Raw Data'!C:C,Match($A801,'Player Raw Data'!$B:$B,0)),"")</f>
        <v/>
      </c>
      <c r="C801" t="str">
        <f t="array" ref="C801">IFERROR(INDEX('Player Raw Data'!D:D,Match($A801,'Player Raw Data'!$B:$B,0)),"")</f>
        <v/>
      </c>
      <c r="D801" t="str">
        <f t="array" ref="D801">IFERROR(IF(A801=A800, INDEX('Player Raw Data'!E:E,Match($A801,'Player Raw Data'!$B:$B,0)+2),INDEX('Player Raw Data'!E:E,Match($A801,'Player Raw Data'!$B:$B,0))),"")</f>
        <v/>
      </c>
      <c r="E801" t="str">
        <f t="array" ref="E801">IFERROR(INDEX('Day Range Raw Data'!D:D,Match($A801,'Day Range Raw Data'!$B:$B,0)),"")</f>
        <v/>
      </c>
      <c r="F801" t="str">
        <f t="array" ref="F801">IFERROR(INDEX('Day Range Raw Data'!F:F,Match($A801,'Day Range Raw Data'!$B:$B,0)),"")</f>
        <v/>
      </c>
      <c r="G801" t="str">
        <f t="array" ref="G801">IFERROR(INDEX('Day Range Raw Data'!G:G,Match($A801,'Day Range Raw Data'!$B:$B,0)),"")</f>
        <v/>
      </c>
      <c r="H801" t="str">
        <f t="array" ref="H801">IFERROR(INDEX('Day Range Raw Data'!H:H,Match($A801,'Day Range Raw Data'!$B:$B,0)),"")</f>
        <v/>
      </c>
      <c r="I801" t="str">
        <f t="array" ref="I801">IFERROR(INDEX('Day Range Raw Data'!M:M,Match($A801,'Day Range Raw Data'!$B:$B,0)),"")</f>
        <v/>
      </c>
      <c r="J801" t="str">
        <f t="array" ref="J801">IFERROR(INDEX('Day Range Raw Data'!N:N,Match($A801,'Day Range Raw Data'!$B:$B,0)),"")</f>
        <v/>
      </c>
      <c r="K801" t="str">
        <f t="array" ref="K801">IFERROR(INDEX('Day Range Raw Data'!R:R,Match($A801,'Day Range Raw Data'!$B:$B,0)),"")</f>
        <v/>
      </c>
      <c r="L801" t="str">
        <f t="array" ref="L801">IFERROR(INDEX('Day Range Raw Data'!S:S,Match($A801,'Day Range Raw Data'!$B:$B,0)),"")</f>
        <v/>
      </c>
      <c r="M801" t="str">
        <f t="array" ref="M801">IFERROR(INDEX('Day Range Raw Data'!T:T,Match($A801,'Day Range Raw Data'!$B:$B,0)),"")</f>
        <v/>
      </c>
      <c r="N801" t="str">
        <f t="array" ref="N801">IFERROR(INDEX('Day Range Raw Data'!U:U,Match($A801,'Day Range Raw Data'!$B:$B,0)),"")</f>
        <v/>
      </c>
      <c r="O801" t="str">
        <f t="array" ref="O801">IFERROR(INDEX('Day Range Raw Data'!V:V,Match($A801,'Day Range Raw Data'!$B:$B,0)),"")</f>
        <v/>
      </c>
      <c r="P801" t="str">
        <f t="array" ref="P801">IFERROR(INDEX('Day Range Raw Data'!X:X,Match($A801,'Day Range Raw Data'!$B:$B,0)),"")</f>
        <v/>
      </c>
      <c r="Q801" t="str">
        <f t="shared" si="1"/>
        <v/>
      </c>
      <c r="R801" s="9" t="str">
        <f t="shared" si="2"/>
        <v/>
      </c>
      <c r="S801" s="14" t="str">
        <f t="shared" si="3"/>
        <v/>
      </c>
      <c r="T801" s="15" t="str">
        <f>IFERROR(__xludf.DUMMYFUNCTION("IF($A801="""","""",IFERROR(PERCENTRANK.INC(FILTER(Q:Q,$F:$F&lt;&gt;""""),Q801)*100,""""))"),"")</f>
        <v/>
      </c>
      <c r="U801" s="15" t="str">
        <f>IFERROR(__xludf.DUMMYFUNCTION("IF($A801="""","""",IFERROR(PERCENTRANK.INC(FILTER(R:R,$F:$F&lt;&gt;""""),R801)*100,""""))"),"")</f>
        <v/>
      </c>
      <c r="V801" s="15" t="str">
        <f>IFERROR(__xludf.DUMMYFUNCTION("IF($A801="""","""",IFERROR(PERCENTRANK.INC(FILTER(S:S,$F:$F&lt;&gt;""""),S801)*100,""""))"),"")</f>
        <v/>
      </c>
      <c r="W801" s="15" t="str">
        <f t="shared" si="5"/>
        <v/>
      </c>
    </row>
    <row r="802">
      <c r="B802" t="str">
        <f t="array" ref="B802">IFERROR(INDEX('Player Raw Data'!C:C,Match($A802,'Player Raw Data'!$B:$B,0)),"")</f>
        <v/>
      </c>
      <c r="C802" t="str">
        <f t="array" ref="C802">IFERROR(INDEX('Player Raw Data'!D:D,Match($A802,'Player Raw Data'!$B:$B,0)),"")</f>
        <v/>
      </c>
      <c r="D802" t="str">
        <f t="array" ref="D802">IFERROR(IF(A802=A801, INDEX('Player Raw Data'!E:E,Match($A802,'Player Raw Data'!$B:$B,0)+2),INDEX('Player Raw Data'!E:E,Match($A802,'Player Raw Data'!$B:$B,0))),"")</f>
        <v/>
      </c>
      <c r="E802" t="str">
        <f t="array" ref="E802">IFERROR(INDEX('Day Range Raw Data'!D:D,Match($A802,'Day Range Raw Data'!$B:$B,0)),"")</f>
        <v/>
      </c>
      <c r="F802" t="str">
        <f t="array" ref="F802">IFERROR(INDEX('Day Range Raw Data'!F:F,Match($A802,'Day Range Raw Data'!$B:$B,0)),"")</f>
        <v/>
      </c>
      <c r="G802" t="str">
        <f t="array" ref="G802">IFERROR(INDEX('Day Range Raw Data'!G:G,Match($A802,'Day Range Raw Data'!$B:$B,0)),"")</f>
        <v/>
      </c>
      <c r="H802" t="str">
        <f t="array" ref="H802">IFERROR(INDEX('Day Range Raw Data'!H:H,Match($A802,'Day Range Raw Data'!$B:$B,0)),"")</f>
        <v/>
      </c>
      <c r="I802" t="str">
        <f t="array" ref="I802">IFERROR(INDEX('Day Range Raw Data'!M:M,Match($A802,'Day Range Raw Data'!$B:$B,0)),"")</f>
        <v/>
      </c>
      <c r="J802" t="str">
        <f t="array" ref="J802">IFERROR(INDEX('Day Range Raw Data'!N:N,Match($A802,'Day Range Raw Data'!$B:$B,0)),"")</f>
        <v/>
      </c>
      <c r="K802" t="str">
        <f t="array" ref="K802">IFERROR(INDEX('Day Range Raw Data'!R:R,Match($A802,'Day Range Raw Data'!$B:$B,0)),"")</f>
        <v/>
      </c>
      <c r="L802" t="str">
        <f t="array" ref="L802">IFERROR(INDEX('Day Range Raw Data'!S:S,Match($A802,'Day Range Raw Data'!$B:$B,0)),"")</f>
        <v/>
      </c>
      <c r="M802" t="str">
        <f t="array" ref="M802">IFERROR(INDEX('Day Range Raw Data'!T:T,Match($A802,'Day Range Raw Data'!$B:$B,0)),"")</f>
        <v/>
      </c>
      <c r="N802" t="str">
        <f t="array" ref="N802">IFERROR(INDEX('Day Range Raw Data'!U:U,Match($A802,'Day Range Raw Data'!$B:$B,0)),"")</f>
        <v/>
      </c>
      <c r="O802" t="str">
        <f t="array" ref="O802">IFERROR(INDEX('Day Range Raw Data'!V:V,Match($A802,'Day Range Raw Data'!$B:$B,0)),"")</f>
        <v/>
      </c>
      <c r="P802" t="str">
        <f t="array" ref="P802">IFERROR(INDEX('Day Range Raw Data'!X:X,Match($A802,'Day Range Raw Data'!$B:$B,0)),"")</f>
        <v/>
      </c>
      <c r="Q802" t="str">
        <f t="shared" si="1"/>
        <v/>
      </c>
      <c r="R802" s="9" t="str">
        <f t="shared" si="2"/>
        <v/>
      </c>
      <c r="S802" s="14" t="str">
        <f t="shared" si="3"/>
        <v/>
      </c>
      <c r="T802" s="15" t="str">
        <f>IFERROR(__xludf.DUMMYFUNCTION("IF($A802="""","""",IFERROR(PERCENTRANK.INC(FILTER(Q:Q,$F:$F&lt;&gt;""""),Q802)*100,""""))"),"")</f>
        <v/>
      </c>
      <c r="U802" s="15" t="str">
        <f>IFERROR(__xludf.DUMMYFUNCTION("IF($A802="""","""",IFERROR(PERCENTRANK.INC(FILTER(R:R,$F:$F&lt;&gt;""""),R802)*100,""""))"),"")</f>
        <v/>
      </c>
      <c r="V802" s="15" t="str">
        <f>IFERROR(__xludf.DUMMYFUNCTION("IF($A802="""","""",IFERROR(PERCENTRANK.INC(FILTER(S:S,$F:$F&lt;&gt;""""),S802)*100,""""))"),"")</f>
        <v/>
      </c>
      <c r="W802" s="15" t="str">
        <f t="shared" si="5"/>
        <v/>
      </c>
    </row>
    <row r="803">
      <c r="B803" t="str">
        <f t="array" ref="B803">IFERROR(INDEX('Player Raw Data'!C:C,Match($A803,'Player Raw Data'!$B:$B,0)),"")</f>
        <v/>
      </c>
      <c r="C803" t="str">
        <f t="array" ref="C803">IFERROR(INDEX('Player Raw Data'!D:D,Match($A803,'Player Raw Data'!$B:$B,0)),"")</f>
        <v/>
      </c>
      <c r="D803" t="str">
        <f t="array" ref="D803">IFERROR(IF(A803=A802, INDEX('Player Raw Data'!E:E,Match($A803,'Player Raw Data'!$B:$B,0)+2),INDEX('Player Raw Data'!E:E,Match($A803,'Player Raw Data'!$B:$B,0))),"")</f>
        <v/>
      </c>
      <c r="E803" t="str">
        <f t="array" ref="E803">IFERROR(INDEX('Day Range Raw Data'!D:D,Match($A803,'Day Range Raw Data'!$B:$B,0)),"")</f>
        <v/>
      </c>
      <c r="F803" t="str">
        <f t="array" ref="F803">IFERROR(INDEX('Day Range Raw Data'!F:F,Match($A803,'Day Range Raw Data'!$B:$B,0)),"")</f>
        <v/>
      </c>
      <c r="G803" t="str">
        <f t="array" ref="G803">IFERROR(INDEX('Day Range Raw Data'!G:G,Match($A803,'Day Range Raw Data'!$B:$B,0)),"")</f>
        <v/>
      </c>
      <c r="H803" t="str">
        <f t="array" ref="H803">IFERROR(INDEX('Day Range Raw Data'!H:H,Match($A803,'Day Range Raw Data'!$B:$B,0)),"")</f>
        <v/>
      </c>
      <c r="I803" t="str">
        <f t="array" ref="I803">IFERROR(INDEX('Day Range Raw Data'!M:M,Match($A803,'Day Range Raw Data'!$B:$B,0)),"")</f>
        <v/>
      </c>
      <c r="J803" t="str">
        <f t="array" ref="J803">IFERROR(INDEX('Day Range Raw Data'!N:N,Match($A803,'Day Range Raw Data'!$B:$B,0)),"")</f>
        <v/>
      </c>
      <c r="K803" t="str">
        <f t="array" ref="K803">IFERROR(INDEX('Day Range Raw Data'!R:R,Match($A803,'Day Range Raw Data'!$B:$B,0)),"")</f>
        <v/>
      </c>
      <c r="L803" t="str">
        <f t="array" ref="L803">IFERROR(INDEX('Day Range Raw Data'!S:S,Match($A803,'Day Range Raw Data'!$B:$B,0)),"")</f>
        <v/>
      </c>
      <c r="M803" t="str">
        <f t="array" ref="M803">IFERROR(INDEX('Day Range Raw Data'!T:T,Match($A803,'Day Range Raw Data'!$B:$B,0)),"")</f>
        <v/>
      </c>
      <c r="N803" t="str">
        <f t="array" ref="N803">IFERROR(INDEX('Day Range Raw Data'!U:U,Match($A803,'Day Range Raw Data'!$B:$B,0)),"")</f>
        <v/>
      </c>
      <c r="O803" t="str">
        <f t="array" ref="O803">IFERROR(INDEX('Day Range Raw Data'!V:V,Match($A803,'Day Range Raw Data'!$B:$B,0)),"")</f>
        <v/>
      </c>
      <c r="P803" t="str">
        <f t="array" ref="P803">IFERROR(INDEX('Day Range Raw Data'!X:X,Match($A803,'Day Range Raw Data'!$B:$B,0)),"")</f>
        <v/>
      </c>
      <c r="Q803" t="str">
        <f t="shared" si="1"/>
        <v/>
      </c>
      <c r="R803" s="9" t="str">
        <f t="shared" si="2"/>
        <v/>
      </c>
      <c r="S803" s="14" t="str">
        <f t="shared" si="3"/>
        <v/>
      </c>
      <c r="T803" s="15" t="str">
        <f>IFERROR(__xludf.DUMMYFUNCTION("IF($A803="""","""",IFERROR(PERCENTRANK.INC(FILTER(Q:Q,$F:$F&lt;&gt;""""),Q803)*100,""""))"),"")</f>
        <v/>
      </c>
      <c r="U803" s="15" t="str">
        <f>IFERROR(__xludf.DUMMYFUNCTION("IF($A803="""","""",IFERROR(PERCENTRANK.INC(FILTER(R:R,$F:$F&lt;&gt;""""),R803)*100,""""))"),"")</f>
        <v/>
      </c>
      <c r="V803" s="15" t="str">
        <f>IFERROR(__xludf.DUMMYFUNCTION("IF($A803="""","""",IFERROR(PERCENTRANK.INC(FILTER(S:S,$F:$F&lt;&gt;""""),S803)*100,""""))"),"")</f>
        <v/>
      </c>
      <c r="W803" s="15" t="str">
        <f t="shared" si="5"/>
        <v/>
      </c>
    </row>
    <row r="804">
      <c r="B804" t="str">
        <f t="array" ref="B804">IFERROR(INDEX('Player Raw Data'!C:C,Match($A804,'Player Raw Data'!$B:$B,0)),"")</f>
        <v/>
      </c>
      <c r="C804" t="str">
        <f t="array" ref="C804">IFERROR(INDEX('Player Raw Data'!D:D,Match($A804,'Player Raw Data'!$B:$B,0)),"")</f>
        <v/>
      </c>
      <c r="D804" t="str">
        <f t="array" ref="D804">IFERROR(IF(A804=A803, INDEX('Player Raw Data'!E:E,Match($A804,'Player Raw Data'!$B:$B,0)+2),INDEX('Player Raw Data'!E:E,Match($A804,'Player Raw Data'!$B:$B,0))),"")</f>
        <v/>
      </c>
      <c r="E804" t="str">
        <f t="array" ref="E804">IFERROR(INDEX('Day Range Raw Data'!D:D,Match($A804,'Day Range Raw Data'!$B:$B,0)),"")</f>
        <v/>
      </c>
      <c r="F804" t="str">
        <f t="array" ref="F804">IFERROR(INDEX('Day Range Raw Data'!F:F,Match($A804,'Day Range Raw Data'!$B:$B,0)),"")</f>
        <v/>
      </c>
      <c r="G804" t="str">
        <f t="array" ref="G804">IFERROR(INDEX('Day Range Raw Data'!G:G,Match($A804,'Day Range Raw Data'!$B:$B,0)),"")</f>
        <v/>
      </c>
      <c r="H804" t="str">
        <f t="array" ref="H804">IFERROR(INDEX('Day Range Raw Data'!H:H,Match($A804,'Day Range Raw Data'!$B:$B,0)),"")</f>
        <v/>
      </c>
      <c r="I804" t="str">
        <f t="array" ref="I804">IFERROR(INDEX('Day Range Raw Data'!M:M,Match($A804,'Day Range Raw Data'!$B:$B,0)),"")</f>
        <v/>
      </c>
      <c r="J804" t="str">
        <f t="array" ref="J804">IFERROR(INDEX('Day Range Raw Data'!N:N,Match($A804,'Day Range Raw Data'!$B:$B,0)),"")</f>
        <v/>
      </c>
      <c r="K804" t="str">
        <f t="array" ref="K804">IFERROR(INDEX('Day Range Raw Data'!R:R,Match($A804,'Day Range Raw Data'!$B:$B,0)),"")</f>
        <v/>
      </c>
      <c r="L804" t="str">
        <f t="array" ref="L804">IFERROR(INDEX('Day Range Raw Data'!S:S,Match($A804,'Day Range Raw Data'!$B:$B,0)),"")</f>
        <v/>
      </c>
      <c r="M804" t="str">
        <f t="array" ref="M804">IFERROR(INDEX('Day Range Raw Data'!T:T,Match($A804,'Day Range Raw Data'!$B:$B,0)),"")</f>
        <v/>
      </c>
      <c r="N804" t="str">
        <f t="array" ref="N804">IFERROR(INDEX('Day Range Raw Data'!U:U,Match($A804,'Day Range Raw Data'!$B:$B,0)),"")</f>
        <v/>
      </c>
      <c r="O804" t="str">
        <f t="array" ref="O804">IFERROR(INDEX('Day Range Raw Data'!V:V,Match($A804,'Day Range Raw Data'!$B:$B,0)),"")</f>
        <v/>
      </c>
      <c r="P804" t="str">
        <f t="array" ref="P804">IFERROR(INDEX('Day Range Raw Data'!X:X,Match($A804,'Day Range Raw Data'!$B:$B,0)),"")</f>
        <v/>
      </c>
      <c r="Q804" t="str">
        <f t="shared" si="1"/>
        <v/>
      </c>
      <c r="R804" s="9" t="str">
        <f t="shared" si="2"/>
        <v/>
      </c>
      <c r="S804" s="14" t="str">
        <f t="shared" si="3"/>
        <v/>
      </c>
      <c r="T804" s="15" t="str">
        <f>IFERROR(__xludf.DUMMYFUNCTION("IF($A804="""","""",IFERROR(PERCENTRANK.INC(FILTER(Q:Q,$F:$F&lt;&gt;""""),Q804)*100,""""))"),"")</f>
        <v/>
      </c>
      <c r="U804" s="15" t="str">
        <f>IFERROR(__xludf.DUMMYFUNCTION("IF($A804="""","""",IFERROR(PERCENTRANK.INC(FILTER(R:R,$F:$F&lt;&gt;""""),R804)*100,""""))"),"")</f>
        <v/>
      </c>
      <c r="V804" s="15" t="str">
        <f>IFERROR(__xludf.DUMMYFUNCTION("IF($A804="""","""",IFERROR(PERCENTRANK.INC(FILTER(S:S,$F:$F&lt;&gt;""""),S804)*100,""""))"),"")</f>
        <v/>
      </c>
      <c r="W804" s="15" t="str">
        <f t="shared" si="5"/>
        <v/>
      </c>
    </row>
    <row r="805">
      <c r="B805" t="str">
        <f t="array" ref="B805">IFERROR(INDEX('Player Raw Data'!C:C,Match($A805,'Player Raw Data'!$B:$B,0)),"")</f>
        <v/>
      </c>
      <c r="C805" t="str">
        <f t="array" ref="C805">IFERROR(INDEX('Player Raw Data'!D:D,Match($A805,'Player Raw Data'!$B:$B,0)),"")</f>
        <v/>
      </c>
      <c r="D805" t="str">
        <f t="array" ref="D805">IFERROR(IF(A805=A804, INDEX('Player Raw Data'!E:E,Match($A805,'Player Raw Data'!$B:$B,0)+2),INDEX('Player Raw Data'!E:E,Match($A805,'Player Raw Data'!$B:$B,0))),"")</f>
        <v/>
      </c>
      <c r="E805" t="str">
        <f t="array" ref="E805">IFERROR(INDEX('Day Range Raw Data'!D:D,Match($A805,'Day Range Raw Data'!$B:$B,0)),"")</f>
        <v/>
      </c>
      <c r="F805" t="str">
        <f t="array" ref="F805">IFERROR(INDEX('Day Range Raw Data'!F:F,Match($A805,'Day Range Raw Data'!$B:$B,0)),"")</f>
        <v/>
      </c>
      <c r="G805" t="str">
        <f t="array" ref="G805">IFERROR(INDEX('Day Range Raw Data'!G:G,Match($A805,'Day Range Raw Data'!$B:$B,0)),"")</f>
        <v/>
      </c>
      <c r="H805" t="str">
        <f t="array" ref="H805">IFERROR(INDEX('Day Range Raw Data'!H:H,Match($A805,'Day Range Raw Data'!$B:$B,0)),"")</f>
        <v/>
      </c>
      <c r="I805" t="str">
        <f t="array" ref="I805">IFERROR(INDEX('Day Range Raw Data'!M:M,Match($A805,'Day Range Raw Data'!$B:$B,0)),"")</f>
        <v/>
      </c>
      <c r="J805" t="str">
        <f t="array" ref="J805">IFERROR(INDEX('Day Range Raw Data'!N:N,Match($A805,'Day Range Raw Data'!$B:$B,0)),"")</f>
        <v/>
      </c>
      <c r="K805" t="str">
        <f t="array" ref="K805">IFERROR(INDEX('Day Range Raw Data'!R:R,Match($A805,'Day Range Raw Data'!$B:$B,0)),"")</f>
        <v/>
      </c>
      <c r="L805" t="str">
        <f t="array" ref="L805">IFERROR(INDEX('Day Range Raw Data'!S:S,Match($A805,'Day Range Raw Data'!$B:$B,0)),"")</f>
        <v/>
      </c>
      <c r="M805" t="str">
        <f t="array" ref="M805">IFERROR(INDEX('Day Range Raw Data'!T:T,Match($A805,'Day Range Raw Data'!$B:$B,0)),"")</f>
        <v/>
      </c>
      <c r="N805" t="str">
        <f t="array" ref="N805">IFERROR(INDEX('Day Range Raw Data'!U:U,Match($A805,'Day Range Raw Data'!$B:$B,0)),"")</f>
        <v/>
      </c>
      <c r="O805" t="str">
        <f t="array" ref="O805">IFERROR(INDEX('Day Range Raw Data'!V:V,Match($A805,'Day Range Raw Data'!$B:$B,0)),"")</f>
        <v/>
      </c>
      <c r="P805" t="str">
        <f t="array" ref="P805">IFERROR(INDEX('Day Range Raw Data'!X:X,Match($A805,'Day Range Raw Data'!$B:$B,0)),"")</f>
        <v/>
      </c>
      <c r="Q805" t="str">
        <f t="shared" si="1"/>
        <v/>
      </c>
      <c r="R805" s="9" t="str">
        <f t="shared" si="2"/>
        <v/>
      </c>
      <c r="S805" s="14" t="str">
        <f t="shared" si="3"/>
        <v/>
      </c>
      <c r="T805" s="15" t="str">
        <f>IFERROR(__xludf.DUMMYFUNCTION("IF($A805="""","""",IFERROR(PERCENTRANK.INC(FILTER(Q:Q,$F:$F&lt;&gt;""""),Q805)*100,""""))"),"")</f>
        <v/>
      </c>
      <c r="U805" s="15" t="str">
        <f>IFERROR(__xludf.DUMMYFUNCTION("IF($A805="""","""",IFERROR(PERCENTRANK.INC(FILTER(R:R,$F:$F&lt;&gt;""""),R805)*100,""""))"),"")</f>
        <v/>
      </c>
      <c r="V805" s="15" t="str">
        <f>IFERROR(__xludf.DUMMYFUNCTION("IF($A805="""","""",IFERROR(PERCENTRANK.INC(FILTER(S:S,$F:$F&lt;&gt;""""),S805)*100,""""))"),"")</f>
        <v/>
      </c>
      <c r="W805" s="15" t="str">
        <f t="shared" si="5"/>
        <v/>
      </c>
    </row>
    <row r="806">
      <c r="B806" t="str">
        <f t="array" ref="B806">IFERROR(INDEX('Player Raw Data'!C:C,Match($A806,'Player Raw Data'!$B:$B,0)),"")</f>
        <v/>
      </c>
      <c r="C806" t="str">
        <f t="array" ref="C806">IFERROR(INDEX('Player Raw Data'!D:D,Match($A806,'Player Raw Data'!$B:$B,0)),"")</f>
        <v/>
      </c>
      <c r="D806" t="str">
        <f t="array" ref="D806">IFERROR(IF(A806=A805, INDEX('Player Raw Data'!E:E,Match($A806,'Player Raw Data'!$B:$B,0)+2),INDEX('Player Raw Data'!E:E,Match($A806,'Player Raw Data'!$B:$B,0))),"")</f>
        <v/>
      </c>
      <c r="E806" t="str">
        <f t="array" ref="E806">IFERROR(INDEX('Day Range Raw Data'!D:D,Match($A806,'Day Range Raw Data'!$B:$B,0)),"")</f>
        <v/>
      </c>
      <c r="F806" t="str">
        <f t="array" ref="F806">IFERROR(INDEX('Day Range Raw Data'!F:F,Match($A806,'Day Range Raw Data'!$B:$B,0)),"")</f>
        <v/>
      </c>
      <c r="G806" t="str">
        <f t="array" ref="G806">IFERROR(INDEX('Day Range Raw Data'!G:G,Match($A806,'Day Range Raw Data'!$B:$B,0)),"")</f>
        <v/>
      </c>
      <c r="H806" t="str">
        <f t="array" ref="H806">IFERROR(INDEX('Day Range Raw Data'!H:H,Match($A806,'Day Range Raw Data'!$B:$B,0)),"")</f>
        <v/>
      </c>
      <c r="I806" t="str">
        <f t="array" ref="I806">IFERROR(INDEX('Day Range Raw Data'!M:M,Match($A806,'Day Range Raw Data'!$B:$B,0)),"")</f>
        <v/>
      </c>
      <c r="J806" t="str">
        <f t="array" ref="J806">IFERROR(INDEX('Day Range Raw Data'!N:N,Match($A806,'Day Range Raw Data'!$B:$B,0)),"")</f>
        <v/>
      </c>
      <c r="K806" t="str">
        <f t="array" ref="K806">IFERROR(INDEX('Day Range Raw Data'!R:R,Match($A806,'Day Range Raw Data'!$B:$B,0)),"")</f>
        <v/>
      </c>
      <c r="L806" t="str">
        <f t="array" ref="L806">IFERROR(INDEX('Day Range Raw Data'!S:S,Match($A806,'Day Range Raw Data'!$B:$B,0)),"")</f>
        <v/>
      </c>
      <c r="M806" t="str">
        <f t="array" ref="M806">IFERROR(INDEX('Day Range Raw Data'!T:T,Match($A806,'Day Range Raw Data'!$B:$B,0)),"")</f>
        <v/>
      </c>
      <c r="N806" t="str">
        <f t="array" ref="N806">IFERROR(INDEX('Day Range Raw Data'!U:U,Match($A806,'Day Range Raw Data'!$B:$B,0)),"")</f>
        <v/>
      </c>
      <c r="O806" t="str">
        <f t="array" ref="O806">IFERROR(INDEX('Day Range Raw Data'!V:V,Match($A806,'Day Range Raw Data'!$B:$B,0)),"")</f>
        <v/>
      </c>
      <c r="P806" t="str">
        <f t="array" ref="P806">IFERROR(INDEX('Day Range Raw Data'!X:X,Match($A806,'Day Range Raw Data'!$B:$B,0)),"")</f>
        <v/>
      </c>
      <c r="Q806" t="str">
        <f t="shared" si="1"/>
        <v/>
      </c>
      <c r="R806" s="9" t="str">
        <f t="shared" si="2"/>
        <v/>
      </c>
      <c r="S806" s="14" t="str">
        <f t="shared" si="3"/>
        <v/>
      </c>
      <c r="T806" s="15" t="str">
        <f>IFERROR(__xludf.DUMMYFUNCTION("IF($A806="""","""",IFERROR(PERCENTRANK.INC(FILTER(Q:Q,$F:$F&lt;&gt;""""),Q806)*100,""""))"),"")</f>
        <v/>
      </c>
      <c r="U806" s="15" t="str">
        <f>IFERROR(__xludf.DUMMYFUNCTION("IF($A806="""","""",IFERROR(PERCENTRANK.INC(FILTER(R:R,$F:$F&lt;&gt;""""),R806)*100,""""))"),"")</f>
        <v/>
      </c>
      <c r="V806" s="15" t="str">
        <f>IFERROR(__xludf.DUMMYFUNCTION("IF($A806="""","""",IFERROR(PERCENTRANK.INC(FILTER(S:S,$F:$F&lt;&gt;""""),S806)*100,""""))"),"")</f>
        <v/>
      </c>
      <c r="W806" s="15" t="str">
        <f t="shared" si="5"/>
        <v/>
      </c>
    </row>
    <row r="807">
      <c r="B807" t="str">
        <f t="array" ref="B807">IFERROR(INDEX('Player Raw Data'!C:C,Match($A807,'Player Raw Data'!$B:$B,0)),"")</f>
        <v/>
      </c>
      <c r="C807" t="str">
        <f t="array" ref="C807">IFERROR(INDEX('Player Raw Data'!D:D,Match($A807,'Player Raw Data'!$B:$B,0)),"")</f>
        <v/>
      </c>
      <c r="D807" t="str">
        <f t="array" ref="D807">IFERROR(IF(A807=A806, INDEX('Player Raw Data'!E:E,Match($A807,'Player Raw Data'!$B:$B,0)+2),INDEX('Player Raw Data'!E:E,Match($A807,'Player Raw Data'!$B:$B,0))),"")</f>
        <v/>
      </c>
      <c r="E807" t="str">
        <f t="array" ref="E807">IFERROR(INDEX('Day Range Raw Data'!D:D,Match($A807,'Day Range Raw Data'!$B:$B,0)),"")</f>
        <v/>
      </c>
      <c r="F807" t="str">
        <f t="array" ref="F807">IFERROR(INDEX('Day Range Raw Data'!F:F,Match($A807,'Day Range Raw Data'!$B:$B,0)),"")</f>
        <v/>
      </c>
      <c r="G807" t="str">
        <f t="array" ref="G807">IFERROR(INDEX('Day Range Raw Data'!G:G,Match($A807,'Day Range Raw Data'!$B:$B,0)),"")</f>
        <v/>
      </c>
      <c r="H807" t="str">
        <f t="array" ref="H807">IFERROR(INDEX('Day Range Raw Data'!H:H,Match($A807,'Day Range Raw Data'!$B:$B,0)),"")</f>
        <v/>
      </c>
      <c r="I807" t="str">
        <f t="array" ref="I807">IFERROR(INDEX('Day Range Raw Data'!M:M,Match($A807,'Day Range Raw Data'!$B:$B,0)),"")</f>
        <v/>
      </c>
      <c r="J807" t="str">
        <f t="array" ref="J807">IFERROR(INDEX('Day Range Raw Data'!N:N,Match($A807,'Day Range Raw Data'!$B:$B,0)),"")</f>
        <v/>
      </c>
      <c r="K807" t="str">
        <f t="array" ref="K807">IFERROR(INDEX('Day Range Raw Data'!R:R,Match($A807,'Day Range Raw Data'!$B:$B,0)),"")</f>
        <v/>
      </c>
      <c r="L807" t="str">
        <f t="array" ref="L807">IFERROR(INDEX('Day Range Raw Data'!S:S,Match($A807,'Day Range Raw Data'!$B:$B,0)),"")</f>
        <v/>
      </c>
      <c r="M807" t="str">
        <f t="array" ref="M807">IFERROR(INDEX('Day Range Raw Data'!T:T,Match($A807,'Day Range Raw Data'!$B:$B,0)),"")</f>
        <v/>
      </c>
      <c r="N807" t="str">
        <f t="array" ref="N807">IFERROR(INDEX('Day Range Raw Data'!U:U,Match($A807,'Day Range Raw Data'!$B:$B,0)),"")</f>
        <v/>
      </c>
      <c r="O807" t="str">
        <f t="array" ref="O807">IFERROR(INDEX('Day Range Raw Data'!V:V,Match($A807,'Day Range Raw Data'!$B:$B,0)),"")</f>
        <v/>
      </c>
      <c r="P807" t="str">
        <f t="array" ref="P807">IFERROR(INDEX('Day Range Raw Data'!X:X,Match($A807,'Day Range Raw Data'!$B:$B,0)),"")</f>
        <v/>
      </c>
      <c r="Q807" t="str">
        <f t="shared" si="1"/>
        <v/>
      </c>
      <c r="R807" s="9" t="str">
        <f t="shared" si="2"/>
        <v/>
      </c>
      <c r="S807" s="14" t="str">
        <f t="shared" si="3"/>
        <v/>
      </c>
      <c r="T807" s="15" t="str">
        <f>IFERROR(__xludf.DUMMYFUNCTION("IF($A807="""","""",IFERROR(PERCENTRANK.INC(FILTER(Q:Q,$F:$F&lt;&gt;""""),Q807)*100,""""))"),"")</f>
        <v/>
      </c>
      <c r="U807" s="15" t="str">
        <f>IFERROR(__xludf.DUMMYFUNCTION("IF($A807="""","""",IFERROR(PERCENTRANK.INC(FILTER(R:R,$F:$F&lt;&gt;""""),R807)*100,""""))"),"")</f>
        <v/>
      </c>
      <c r="V807" s="15" t="str">
        <f>IFERROR(__xludf.DUMMYFUNCTION("IF($A807="""","""",IFERROR(PERCENTRANK.INC(FILTER(S:S,$F:$F&lt;&gt;""""),S807)*100,""""))"),"")</f>
        <v/>
      </c>
      <c r="W807" s="15" t="str">
        <f t="shared" si="5"/>
        <v/>
      </c>
    </row>
    <row r="808">
      <c r="B808" t="str">
        <f t="array" ref="B808">IFERROR(INDEX('Player Raw Data'!C:C,Match($A808,'Player Raw Data'!$B:$B,0)),"")</f>
        <v/>
      </c>
      <c r="C808" t="str">
        <f t="array" ref="C808">IFERROR(INDEX('Player Raw Data'!D:D,Match($A808,'Player Raw Data'!$B:$B,0)),"")</f>
        <v/>
      </c>
      <c r="D808" t="str">
        <f t="array" ref="D808">IFERROR(IF(A808=A807, INDEX('Player Raw Data'!E:E,Match($A808,'Player Raw Data'!$B:$B,0)+2),INDEX('Player Raw Data'!E:E,Match($A808,'Player Raw Data'!$B:$B,0))),"")</f>
        <v/>
      </c>
      <c r="E808" t="str">
        <f t="array" ref="E808">IFERROR(INDEX('Day Range Raw Data'!D:D,Match($A808,'Day Range Raw Data'!$B:$B,0)),"")</f>
        <v/>
      </c>
      <c r="F808" t="str">
        <f t="array" ref="F808">IFERROR(INDEX('Day Range Raw Data'!F:F,Match($A808,'Day Range Raw Data'!$B:$B,0)),"")</f>
        <v/>
      </c>
      <c r="G808" t="str">
        <f t="array" ref="G808">IFERROR(INDEX('Day Range Raw Data'!G:G,Match($A808,'Day Range Raw Data'!$B:$B,0)),"")</f>
        <v/>
      </c>
      <c r="H808" t="str">
        <f t="array" ref="H808">IFERROR(INDEX('Day Range Raw Data'!H:H,Match($A808,'Day Range Raw Data'!$B:$B,0)),"")</f>
        <v/>
      </c>
      <c r="I808" t="str">
        <f t="array" ref="I808">IFERROR(INDEX('Day Range Raw Data'!M:M,Match($A808,'Day Range Raw Data'!$B:$B,0)),"")</f>
        <v/>
      </c>
      <c r="J808" t="str">
        <f t="array" ref="J808">IFERROR(INDEX('Day Range Raw Data'!N:N,Match($A808,'Day Range Raw Data'!$B:$B,0)),"")</f>
        <v/>
      </c>
      <c r="K808" t="str">
        <f t="array" ref="K808">IFERROR(INDEX('Day Range Raw Data'!R:R,Match($A808,'Day Range Raw Data'!$B:$B,0)),"")</f>
        <v/>
      </c>
      <c r="L808" t="str">
        <f t="array" ref="L808">IFERROR(INDEX('Day Range Raw Data'!S:S,Match($A808,'Day Range Raw Data'!$B:$B,0)),"")</f>
        <v/>
      </c>
      <c r="M808" t="str">
        <f t="array" ref="M808">IFERROR(INDEX('Day Range Raw Data'!T:T,Match($A808,'Day Range Raw Data'!$B:$B,0)),"")</f>
        <v/>
      </c>
      <c r="N808" t="str">
        <f t="array" ref="N808">IFERROR(INDEX('Day Range Raw Data'!U:U,Match($A808,'Day Range Raw Data'!$B:$B,0)),"")</f>
        <v/>
      </c>
      <c r="O808" t="str">
        <f t="array" ref="O808">IFERROR(INDEX('Day Range Raw Data'!V:V,Match($A808,'Day Range Raw Data'!$B:$B,0)),"")</f>
        <v/>
      </c>
      <c r="P808" t="str">
        <f t="array" ref="P808">IFERROR(INDEX('Day Range Raw Data'!X:X,Match($A808,'Day Range Raw Data'!$B:$B,0)),"")</f>
        <v/>
      </c>
      <c r="Q808" t="str">
        <f t="shared" si="1"/>
        <v/>
      </c>
      <c r="R808" s="9" t="str">
        <f t="shared" si="2"/>
        <v/>
      </c>
      <c r="S808" s="14" t="str">
        <f t="shared" si="3"/>
        <v/>
      </c>
      <c r="T808" s="15" t="str">
        <f>IFERROR(__xludf.DUMMYFUNCTION("IF($A808="""","""",IFERROR(PERCENTRANK.INC(FILTER(Q:Q,$F:$F&lt;&gt;""""),Q808)*100,""""))"),"")</f>
        <v/>
      </c>
      <c r="U808" s="15" t="str">
        <f>IFERROR(__xludf.DUMMYFUNCTION("IF($A808="""","""",IFERROR(PERCENTRANK.INC(FILTER(R:R,$F:$F&lt;&gt;""""),R808)*100,""""))"),"")</f>
        <v/>
      </c>
      <c r="V808" s="15" t="str">
        <f>IFERROR(__xludf.DUMMYFUNCTION("IF($A808="""","""",IFERROR(PERCENTRANK.INC(FILTER(S:S,$F:$F&lt;&gt;""""),S808)*100,""""))"),"")</f>
        <v/>
      </c>
      <c r="W808" s="15" t="str">
        <f t="shared" si="5"/>
        <v/>
      </c>
    </row>
    <row r="809">
      <c r="B809" t="str">
        <f t="array" ref="B809">IFERROR(INDEX('Player Raw Data'!C:C,Match($A809,'Player Raw Data'!$B:$B,0)),"")</f>
        <v/>
      </c>
      <c r="C809" t="str">
        <f t="array" ref="C809">IFERROR(INDEX('Player Raw Data'!D:D,Match($A809,'Player Raw Data'!$B:$B,0)),"")</f>
        <v/>
      </c>
      <c r="D809" t="str">
        <f t="array" ref="D809">IFERROR(IF(A809=A808, INDEX('Player Raw Data'!E:E,Match($A809,'Player Raw Data'!$B:$B,0)+2),INDEX('Player Raw Data'!E:E,Match($A809,'Player Raw Data'!$B:$B,0))),"")</f>
        <v/>
      </c>
      <c r="E809" t="str">
        <f t="array" ref="E809">IFERROR(INDEX('Day Range Raw Data'!D:D,Match($A809,'Day Range Raw Data'!$B:$B,0)),"")</f>
        <v/>
      </c>
      <c r="F809" t="str">
        <f t="array" ref="F809">IFERROR(INDEX('Day Range Raw Data'!F:F,Match($A809,'Day Range Raw Data'!$B:$B,0)),"")</f>
        <v/>
      </c>
      <c r="G809" t="str">
        <f t="array" ref="G809">IFERROR(INDEX('Day Range Raw Data'!G:G,Match($A809,'Day Range Raw Data'!$B:$B,0)),"")</f>
        <v/>
      </c>
      <c r="H809" t="str">
        <f t="array" ref="H809">IFERROR(INDEX('Day Range Raw Data'!H:H,Match($A809,'Day Range Raw Data'!$B:$B,0)),"")</f>
        <v/>
      </c>
      <c r="I809" t="str">
        <f t="array" ref="I809">IFERROR(INDEX('Day Range Raw Data'!M:M,Match($A809,'Day Range Raw Data'!$B:$B,0)),"")</f>
        <v/>
      </c>
      <c r="J809" t="str">
        <f t="array" ref="J809">IFERROR(INDEX('Day Range Raw Data'!N:N,Match($A809,'Day Range Raw Data'!$B:$B,0)),"")</f>
        <v/>
      </c>
      <c r="K809" t="str">
        <f t="array" ref="K809">IFERROR(INDEX('Day Range Raw Data'!R:R,Match($A809,'Day Range Raw Data'!$B:$B,0)),"")</f>
        <v/>
      </c>
      <c r="L809" t="str">
        <f t="array" ref="L809">IFERROR(INDEX('Day Range Raw Data'!S:S,Match($A809,'Day Range Raw Data'!$B:$B,0)),"")</f>
        <v/>
      </c>
      <c r="M809" t="str">
        <f t="array" ref="M809">IFERROR(INDEX('Day Range Raw Data'!T:T,Match($A809,'Day Range Raw Data'!$B:$B,0)),"")</f>
        <v/>
      </c>
      <c r="N809" t="str">
        <f t="array" ref="N809">IFERROR(INDEX('Day Range Raw Data'!U:U,Match($A809,'Day Range Raw Data'!$B:$B,0)),"")</f>
        <v/>
      </c>
      <c r="O809" t="str">
        <f t="array" ref="O809">IFERROR(INDEX('Day Range Raw Data'!V:V,Match($A809,'Day Range Raw Data'!$B:$B,0)),"")</f>
        <v/>
      </c>
      <c r="P809" t="str">
        <f t="array" ref="P809">IFERROR(INDEX('Day Range Raw Data'!X:X,Match($A809,'Day Range Raw Data'!$B:$B,0)),"")</f>
        <v/>
      </c>
      <c r="Q809" t="str">
        <f t="shared" si="1"/>
        <v/>
      </c>
      <c r="R809" s="9" t="str">
        <f t="shared" si="2"/>
        <v/>
      </c>
      <c r="S809" s="14" t="str">
        <f t="shared" si="3"/>
        <v/>
      </c>
      <c r="T809" s="15" t="str">
        <f>IFERROR(__xludf.DUMMYFUNCTION("IF($A809="""","""",IFERROR(PERCENTRANK.INC(FILTER(Q:Q,$F:$F&lt;&gt;""""),Q809)*100,""""))"),"")</f>
        <v/>
      </c>
      <c r="U809" s="15" t="str">
        <f>IFERROR(__xludf.DUMMYFUNCTION("IF($A809="""","""",IFERROR(PERCENTRANK.INC(FILTER(R:R,$F:$F&lt;&gt;""""),R809)*100,""""))"),"")</f>
        <v/>
      </c>
      <c r="V809" s="15" t="str">
        <f>IFERROR(__xludf.DUMMYFUNCTION("IF($A809="""","""",IFERROR(PERCENTRANK.INC(FILTER(S:S,$F:$F&lt;&gt;""""),S809)*100,""""))"),"")</f>
        <v/>
      </c>
      <c r="W809" s="15" t="str">
        <f t="shared" si="5"/>
        <v/>
      </c>
    </row>
    <row r="810">
      <c r="B810" t="str">
        <f t="array" ref="B810">IFERROR(INDEX('Player Raw Data'!C:C,Match($A810,'Player Raw Data'!$B:$B,0)),"")</f>
        <v/>
      </c>
      <c r="C810" t="str">
        <f t="array" ref="C810">IFERROR(INDEX('Player Raw Data'!D:D,Match($A810,'Player Raw Data'!$B:$B,0)),"")</f>
        <v/>
      </c>
      <c r="D810" t="str">
        <f t="array" ref="D810">IFERROR(IF(A810=A809, INDEX('Player Raw Data'!E:E,Match($A810,'Player Raw Data'!$B:$B,0)+2),INDEX('Player Raw Data'!E:E,Match($A810,'Player Raw Data'!$B:$B,0))),"")</f>
        <v/>
      </c>
      <c r="E810" t="str">
        <f t="array" ref="E810">IFERROR(INDEX('Day Range Raw Data'!D:D,Match($A810,'Day Range Raw Data'!$B:$B,0)),"")</f>
        <v/>
      </c>
      <c r="F810" t="str">
        <f t="array" ref="F810">IFERROR(INDEX('Day Range Raw Data'!F:F,Match($A810,'Day Range Raw Data'!$B:$B,0)),"")</f>
        <v/>
      </c>
      <c r="G810" t="str">
        <f t="array" ref="G810">IFERROR(INDEX('Day Range Raw Data'!G:G,Match($A810,'Day Range Raw Data'!$B:$B,0)),"")</f>
        <v/>
      </c>
      <c r="H810" t="str">
        <f t="array" ref="H810">IFERROR(INDEX('Day Range Raw Data'!H:H,Match($A810,'Day Range Raw Data'!$B:$B,0)),"")</f>
        <v/>
      </c>
      <c r="I810" t="str">
        <f t="array" ref="I810">IFERROR(INDEX('Day Range Raw Data'!M:M,Match($A810,'Day Range Raw Data'!$B:$B,0)),"")</f>
        <v/>
      </c>
      <c r="J810" t="str">
        <f t="array" ref="J810">IFERROR(INDEX('Day Range Raw Data'!N:N,Match($A810,'Day Range Raw Data'!$B:$B,0)),"")</f>
        <v/>
      </c>
      <c r="K810" t="str">
        <f t="array" ref="K810">IFERROR(INDEX('Day Range Raw Data'!R:R,Match($A810,'Day Range Raw Data'!$B:$B,0)),"")</f>
        <v/>
      </c>
      <c r="L810" t="str">
        <f t="array" ref="L810">IFERROR(INDEX('Day Range Raw Data'!S:S,Match($A810,'Day Range Raw Data'!$B:$B,0)),"")</f>
        <v/>
      </c>
      <c r="M810" t="str">
        <f t="array" ref="M810">IFERROR(INDEX('Day Range Raw Data'!T:T,Match($A810,'Day Range Raw Data'!$B:$B,0)),"")</f>
        <v/>
      </c>
      <c r="N810" t="str">
        <f t="array" ref="N810">IFERROR(INDEX('Day Range Raw Data'!U:U,Match($A810,'Day Range Raw Data'!$B:$B,0)),"")</f>
        <v/>
      </c>
      <c r="O810" t="str">
        <f t="array" ref="O810">IFERROR(INDEX('Day Range Raw Data'!V:V,Match($A810,'Day Range Raw Data'!$B:$B,0)),"")</f>
        <v/>
      </c>
      <c r="P810" t="str">
        <f t="array" ref="P810">IFERROR(INDEX('Day Range Raw Data'!X:X,Match($A810,'Day Range Raw Data'!$B:$B,0)),"")</f>
        <v/>
      </c>
      <c r="Q810" t="str">
        <f t="shared" si="1"/>
        <v/>
      </c>
      <c r="R810" s="9" t="str">
        <f t="shared" si="2"/>
        <v/>
      </c>
      <c r="S810" s="14" t="str">
        <f t="shared" si="3"/>
        <v/>
      </c>
      <c r="T810" s="15" t="str">
        <f>IFERROR(__xludf.DUMMYFUNCTION("IF($A810="""","""",IFERROR(PERCENTRANK.INC(FILTER(Q:Q,$F:$F&lt;&gt;""""),Q810)*100,""""))"),"")</f>
        <v/>
      </c>
      <c r="U810" s="15" t="str">
        <f>IFERROR(__xludf.DUMMYFUNCTION("IF($A810="""","""",IFERROR(PERCENTRANK.INC(FILTER(R:R,$F:$F&lt;&gt;""""),R810)*100,""""))"),"")</f>
        <v/>
      </c>
      <c r="V810" s="15" t="str">
        <f>IFERROR(__xludf.DUMMYFUNCTION("IF($A810="""","""",IFERROR(PERCENTRANK.INC(FILTER(S:S,$F:$F&lt;&gt;""""),S810)*100,""""))"),"")</f>
        <v/>
      </c>
      <c r="W810" s="15" t="str">
        <f t="shared" si="5"/>
        <v/>
      </c>
    </row>
    <row r="811">
      <c r="B811" t="str">
        <f t="array" ref="B811">IFERROR(INDEX('Player Raw Data'!C:C,Match($A811,'Player Raw Data'!$B:$B,0)),"")</f>
        <v/>
      </c>
      <c r="C811" t="str">
        <f t="array" ref="C811">IFERROR(INDEX('Player Raw Data'!D:D,Match($A811,'Player Raw Data'!$B:$B,0)),"")</f>
        <v/>
      </c>
      <c r="D811" t="str">
        <f t="array" ref="D811">IFERROR(IF(A811=A810, INDEX('Player Raw Data'!E:E,Match($A811,'Player Raw Data'!$B:$B,0)+2),INDEX('Player Raw Data'!E:E,Match($A811,'Player Raw Data'!$B:$B,0))),"")</f>
        <v/>
      </c>
      <c r="E811" t="str">
        <f t="array" ref="E811">IFERROR(INDEX('Day Range Raw Data'!D:D,Match($A811,'Day Range Raw Data'!$B:$B,0)),"")</f>
        <v/>
      </c>
      <c r="F811" t="str">
        <f t="array" ref="F811">IFERROR(INDEX('Day Range Raw Data'!F:F,Match($A811,'Day Range Raw Data'!$B:$B,0)),"")</f>
        <v/>
      </c>
      <c r="G811" t="str">
        <f t="array" ref="G811">IFERROR(INDEX('Day Range Raw Data'!G:G,Match($A811,'Day Range Raw Data'!$B:$B,0)),"")</f>
        <v/>
      </c>
      <c r="H811" t="str">
        <f t="array" ref="H811">IFERROR(INDEX('Day Range Raw Data'!H:H,Match($A811,'Day Range Raw Data'!$B:$B,0)),"")</f>
        <v/>
      </c>
      <c r="I811" t="str">
        <f t="array" ref="I811">IFERROR(INDEX('Day Range Raw Data'!M:M,Match($A811,'Day Range Raw Data'!$B:$B,0)),"")</f>
        <v/>
      </c>
      <c r="J811" t="str">
        <f t="array" ref="J811">IFERROR(INDEX('Day Range Raw Data'!N:N,Match($A811,'Day Range Raw Data'!$B:$B,0)),"")</f>
        <v/>
      </c>
      <c r="K811" t="str">
        <f t="array" ref="K811">IFERROR(INDEX('Day Range Raw Data'!R:R,Match($A811,'Day Range Raw Data'!$B:$B,0)),"")</f>
        <v/>
      </c>
      <c r="L811" t="str">
        <f t="array" ref="L811">IFERROR(INDEX('Day Range Raw Data'!S:S,Match($A811,'Day Range Raw Data'!$B:$B,0)),"")</f>
        <v/>
      </c>
      <c r="M811" t="str">
        <f t="array" ref="M811">IFERROR(INDEX('Day Range Raw Data'!T:T,Match($A811,'Day Range Raw Data'!$B:$B,0)),"")</f>
        <v/>
      </c>
      <c r="N811" t="str">
        <f t="array" ref="N811">IFERROR(INDEX('Day Range Raw Data'!U:U,Match($A811,'Day Range Raw Data'!$B:$B,0)),"")</f>
        <v/>
      </c>
      <c r="O811" t="str">
        <f t="array" ref="O811">IFERROR(INDEX('Day Range Raw Data'!V:V,Match($A811,'Day Range Raw Data'!$B:$B,0)),"")</f>
        <v/>
      </c>
      <c r="P811" t="str">
        <f t="array" ref="P811">IFERROR(INDEX('Day Range Raw Data'!X:X,Match($A811,'Day Range Raw Data'!$B:$B,0)),"")</f>
        <v/>
      </c>
      <c r="Q811" t="str">
        <f t="shared" si="1"/>
        <v/>
      </c>
      <c r="R811" s="9" t="str">
        <f t="shared" si="2"/>
        <v/>
      </c>
      <c r="S811" s="14" t="str">
        <f t="shared" si="3"/>
        <v/>
      </c>
      <c r="T811" s="15" t="str">
        <f>IFERROR(__xludf.DUMMYFUNCTION("IF($A811="""","""",IFERROR(PERCENTRANK.INC(FILTER(Q:Q,$F:$F&lt;&gt;""""),Q811)*100,""""))"),"")</f>
        <v/>
      </c>
      <c r="U811" s="15" t="str">
        <f>IFERROR(__xludf.DUMMYFUNCTION("IF($A811="""","""",IFERROR(PERCENTRANK.INC(FILTER(R:R,$F:$F&lt;&gt;""""),R811)*100,""""))"),"")</f>
        <v/>
      </c>
      <c r="V811" s="15" t="str">
        <f>IFERROR(__xludf.DUMMYFUNCTION("IF($A811="""","""",IFERROR(PERCENTRANK.INC(FILTER(S:S,$F:$F&lt;&gt;""""),S811)*100,""""))"),"")</f>
        <v/>
      </c>
      <c r="W811" s="15" t="str">
        <f t="shared" si="5"/>
        <v/>
      </c>
    </row>
    <row r="812">
      <c r="B812" t="str">
        <f t="array" ref="B812">IFERROR(INDEX('Player Raw Data'!C:C,Match($A812,'Player Raw Data'!$B:$B,0)),"")</f>
        <v/>
      </c>
      <c r="C812" t="str">
        <f t="array" ref="C812">IFERROR(INDEX('Player Raw Data'!D:D,Match($A812,'Player Raw Data'!$B:$B,0)),"")</f>
        <v/>
      </c>
      <c r="D812" t="str">
        <f t="array" ref="D812">IFERROR(IF(A812=A811, INDEX('Player Raw Data'!E:E,Match($A812,'Player Raw Data'!$B:$B,0)+2),INDEX('Player Raw Data'!E:E,Match($A812,'Player Raw Data'!$B:$B,0))),"")</f>
        <v/>
      </c>
      <c r="E812" t="str">
        <f t="array" ref="E812">IFERROR(INDEX('Day Range Raw Data'!D:D,Match($A812,'Day Range Raw Data'!$B:$B,0)),"")</f>
        <v/>
      </c>
      <c r="F812" t="str">
        <f t="array" ref="F812">IFERROR(INDEX('Day Range Raw Data'!F:F,Match($A812,'Day Range Raw Data'!$B:$B,0)),"")</f>
        <v/>
      </c>
      <c r="G812" t="str">
        <f t="array" ref="G812">IFERROR(INDEX('Day Range Raw Data'!G:G,Match($A812,'Day Range Raw Data'!$B:$B,0)),"")</f>
        <v/>
      </c>
      <c r="H812" t="str">
        <f t="array" ref="H812">IFERROR(INDEX('Day Range Raw Data'!H:H,Match($A812,'Day Range Raw Data'!$B:$B,0)),"")</f>
        <v/>
      </c>
      <c r="I812" t="str">
        <f t="array" ref="I812">IFERROR(INDEX('Day Range Raw Data'!M:M,Match($A812,'Day Range Raw Data'!$B:$B,0)),"")</f>
        <v/>
      </c>
      <c r="J812" t="str">
        <f t="array" ref="J812">IFERROR(INDEX('Day Range Raw Data'!N:N,Match($A812,'Day Range Raw Data'!$B:$B,0)),"")</f>
        <v/>
      </c>
      <c r="K812" t="str">
        <f t="array" ref="K812">IFERROR(INDEX('Day Range Raw Data'!R:R,Match($A812,'Day Range Raw Data'!$B:$B,0)),"")</f>
        <v/>
      </c>
      <c r="L812" t="str">
        <f t="array" ref="L812">IFERROR(INDEX('Day Range Raw Data'!S:S,Match($A812,'Day Range Raw Data'!$B:$B,0)),"")</f>
        <v/>
      </c>
      <c r="M812" t="str">
        <f t="array" ref="M812">IFERROR(INDEX('Day Range Raw Data'!T:T,Match($A812,'Day Range Raw Data'!$B:$B,0)),"")</f>
        <v/>
      </c>
      <c r="N812" t="str">
        <f t="array" ref="N812">IFERROR(INDEX('Day Range Raw Data'!U:U,Match($A812,'Day Range Raw Data'!$B:$B,0)),"")</f>
        <v/>
      </c>
      <c r="O812" t="str">
        <f t="array" ref="O812">IFERROR(INDEX('Day Range Raw Data'!V:V,Match($A812,'Day Range Raw Data'!$B:$B,0)),"")</f>
        <v/>
      </c>
      <c r="P812" t="str">
        <f t="array" ref="P812">IFERROR(INDEX('Day Range Raw Data'!X:X,Match($A812,'Day Range Raw Data'!$B:$B,0)),"")</f>
        <v/>
      </c>
      <c r="Q812" t="str">
        <f t="shared" si="1"/>
        <v/>
      </c>
      <c r="R812" s="9" t="str">
        <f t="shared" si="2"/>
        <v/>
      </c>
      <c r="S812" s="14" t="str">
        <f t="shared" si="3"/>
        <v/>
      </c>
      <c r="T812" s="15" t="str">
        <f>IFERROR(__xludf.DUMMYFUNCTION("IF($A812="""","""",IFERROR(PERCENTRANK.INC(FILTER(Q:Q,$F:$F&lt;&gt;""""),Q812)*100,""""))"),"")</f>
        <v/>
      </c>
      <c r="U812" s="15" t="str">
        <f>IFERROR(__xludf.DUMMYFUNCTION("IF($A812="""","""",IFERROR(PERCENTRANK.INC(FILTER(R:R,$F:$F&lt;&gt;""""),R812)*100,""""))"),"")</f>
        <v/>
      </c>
      <c r="V812" s="15" t="str">
        <f>IFERROR(__xludf.DUMMYFUNCTION("IF($A812="""","""",IFERROR(PERCENTRANK.INC(FILTER(S:S,$F:$F&lt;&gt;""""),S812)*100,""""))"),"")</f>
        <v/>
      </c>
      <c r="W812" s="15" t="str">
        <f t="shared" si="5"/>
        <v/>
      </c>
    </row>
    <row r="813">
      <c r="B813" t="str">
        <f t="array" ref="B813">IFERROR(INDEX('Player Raw Data'!C:C,Match($A813,'Player Raw Data'!$B:$B,0)),"")</f>
        <v/>
      </c>
      <c r="C813" t="str">
        <f t="array" ref="C813">IFERROR(INDEX('Player Raw Data'!D:D,Match($A813,'Player Raw Data'!$B:$B,0)),"")</f>
        <v/>
      </c>
      <c r="D813" t="str">
        <f t="array" ref="D813">IFERROR(IF(A813=A812, INDEX('Player Raw Data'!E:E,Match($A813,'Player Raw Data'!$B:$B,0)+2),INDEX('Player Raw Data'!E:E,Match($A813,'Player Raw Data'!$B:$B,0))),"")</f>
        <v/>
      </c>
      <c r="E813" t="str">
        <f t="array" ref="E813">IFERROR(INDEX('Day Range Raw Data'!D:D,Match($A813,'Day Range Raw Data'!$B:$B,0)),"")</f>
        <v/>
      </c>
      <c r="F813" t="str">
        <f t="array" ref="F813">IFERROR(INDEX('Day Range Raw Data'!F:F,Match($A813,'Day Range Raw Data'!$B:$B,0)),"")</f>
        <v/>
      </c>
      <c r="G813" t="str">
        <f t="array" ref="G813">IFERROR(INDEX('Day Range Raw Data'!G:G,Match($A813,'Day Range Raw Data'!$B:$B,0)),"")</f>
        <v/>
      </c>
      <c r="H813" t="str">
        <f t="array" ref="H813">IFERROR(INDEX('Day Range Raw Data'!H:H,Match($A813,'Day Range Raw Data'!$B:$B,0)),"")</f>
        <v/>
      </c>
      <c r="I813" t="str">
        <f t="array" ref="I813">IFERROR(INDEX('Day Range Raw Data'!M:M,Match($A813,'Day Range Raw Data'!$B:$B,0)),"")</f>
        <v/>
      </c>
      <c r="J813" t="str">
        <f t="array" ref="J813">IFERROR(INDEX('Day Range Raw Data'!N:N,Match($A813,'Day Range Raw Data'!$B:$B,0)),"")</f>
        <v/>
      </c>
      <c r="K813" t="str">
        <f t="array" ref="K813">IFERROR(INDEX('Day Range Raw Data'!R:R,Match($A813,'Day Range Raw Data'!$B:$B,0)),"")</f>
        <v/>
      </c>
      <c r="L813" t="str">
        <f t="array" ref="L813">IFERROR(INDEX('Day Range Raw Data'!S:S,Match($A813,'Day Range Raw Data'!$B:$B,0)),"")</f>
        <v/>
      </c>
      <c r="M813" t="str">
        <f t="array" ref="M813">IFERROR(INDEX('Day Range Raw Data'!T:T,Match($A813,'Day Range Raw Data'!$B:$B,0)),"")</f>
        <v/>
      </c>
      <c r="N813" t="str">
        <f t="array" ref="N813">IFERROR(INDEX('Day Range Raw Data'!U:U,Match($A813,'Day Range Raw Data'!$B:$B,0)),"")</f>
        <v/>
      </c>
      <c r="O813" t="str">
        <f t="array" ref="O813">IFERROR(INDEX('Day Range Raw Data'!V:V,Match($A813,'Day Range Raw Data'!$B:$B,0)),"")</f>
        <v/>
      </c>
      <c r="P813" t="str">
        <f t="array" ref="P813">IFERROR(INDEX('Day Range Raw Data'!X:X,Match($A813,'Day Range Raw Data'!$B:$B,0)),"")</f>
        <v/>
      </c>
      <c r="Q813" t="str">
        <f t="shared" si="1"/>
        <v/>
      </c>
      <c r="R813" s="9" t="str">
        <f t="shared" si="2"/>
        <v/>
      </c>
      <c r="S813" s="14" t="str">
        <f t="shared" si="3"/>
        <v/>
      </c>
      <c r="T813" s="15" t="str">
        <f>IFERROR(__xludf.DUMMYFUNCTION("IF($A813="""","""",IFERROR(PERCENTRANK.INC(FILTER(Q:Q,$F:$F&lt;&gt;""""),Q813)*100,""""))"),"")</f>
        <v/>
      </c>
      <c r="U813" s="15" t="str">
        <f>IFERROR(__xludf.DUMMYFUNCTION("IF($A813="""","""",IFERROR(PERCENTRANK.INC(FILTER(R:R,$F:$F&lt;&gt;""""),R813)*100,""""))"),"")</f>
        <v/>
      </c>
      <c r="V813" s="15" t="str">
        <f>IFERROR(__xludf.DUMMYFUNCTION("IF($A813="""","""",IFERROR(PERCENTRANK.INC(FILTER(S:S,$F:$F&lt;&gt;""""),S813)*100,""""))"),"")</f>
        <v/>
      </c>
      <c r="W813" s="15" t="str">
        <f t="shared" si="5"/>
        <v/>
      </c>
    </row>
    <row r="814">
      <c r="B814" t="str">
        <f t="array" ref="B814">IFERROR(INDEX('Player Raw Data'!C:C,Match($A814,'Player Raw Data'!$B:$B,0)),"")</f>
        <v/>
      </c>
      <c r="C814" t="str">
        <f t="array" ref="C814">IFERROR(INDEX('Player Raw Data'!D:D,Match($A814,'Player Raw Data'!$B:$B,0)),"")</f>
        <v/>
      </c>
      <c r="D814" t="str">
        <f t="array" ref="D814">IFERROR(IF(A814=A813, INDEX('Player Raw Data'!E:E,Match($A814,'Player Raw Data'!$B:$B,0)+2),INDEX('Player Raw Data'!E:E,Match($A814,'Player Raw Data'!$B:$B,0))),"")</f>
        <v/>
      </c>
      <c r="E814" t="str">
        <f t="array" ref="E814">IFERROR(INDEX('Day Range Raw Data'!D:D,Match($A814,'Day Range Raw Data'!$B:$B,0)),"")</f>
        <v/>
      </c>
      <c r="F814" t="str">
        <f t="array" ref="F814">IFERROR(INDEX('Day Range Raw Data'!F:F,Match($A814,'Day Range Raw Data'!$B:$B,0)),"")</f>
        <v/>
      </c>
      <c r="G814" t="str">
        <f t="array" ref="G814">IFERROR(INDEX('Day Range Raw Data'!G:G,Match($A814,'Day Range Raw Data'!$B:$B,0)),"")</f>
        <v/>
      </c>
      <c r="H814" t="str">
        <f t="array" ref="H814">IFERROR(INDEX('Day Range Raw Data'!H:H,Match($A814,'Day Range Raw Data'!$B:$B,0)),"")</f>
        <v/>
      </c>
      <c r="I814" t="str">
        <f t="array" ref="I814">IFERROR(INDEX('Day Range Raw Data'!M:M,Match($A814,'Day Range Raw Data'!$B:$B,0)),"")</f>
        <v/>
      </c>
      <c r="J814" t="str">
        <f t="array" ref="J814">IFERROR(INDEX('Day Range Raw Data'!N:N,Match($A814,'Day Range Raw Data'!$B:$B,0)),"")</f>
        <v/>
      </c>
      <c r="K814" t="str">
        <f t="array" ref="K814">IFERROR(INDEX('Day Range Raw Data'!R:R,Match($A814,'Day Range Raw Data'!$B:$B,0)),"")</f>
        <v/>
      </c>
      <c r="L814" t="str">
        <f t="array" ref="L814">IFERROR(INDEX('Day Range Raw Data'!S:S,Match($A814,'Day Range Raw Data'!$B:$B,0)),"")</f>
        <v/>
      </c>
      <c r="M814" t="str">
        <f t="array" ref="M814">IFERROR(INDEX('Day Range Raw Data'!T:T,Match($A814,'Day Range Raw Data'!$B:$B,0)),"")</f>
        <v/>
      </c>
      <c r="N814" t="str">
        <f t="array" ref="N814">IFERROR(INDEX('Day Range Raw Data'!U:U,Match($A814,'Day Range Raw Data'!$B:$B,0)),"")</f>
        <v/>
      </c>
      <c r="O814" t="str">
        <f t="array" ref="O814">IFERROR(INDEX('Day Range Raw Data'!V:V,Match($A814,'Day Range Raw Data'!$B:$B,0)),"")</f>
        <v/>
      </c>
      <c r="P814" t="str">
        <f t="array" ref="P814">IFERROR(INDEX('Day Range Raw Data'!X:X,Match($A814,'Day Range Raw Data'!$B:$B,0)),"")</f>
        <v/>
      </c>
      <c r="Q814" t="str">
        <f t="shared" si="1"/>
        <v/>
      </c>
      <c r="R814" s="9" t="str">
        <f t="shared" si="2"/>
        <v/>
      </c>
      <c r="S814" s="14" t="str">
        <f t="shared" si="3"/>
        <v/>
      </c>
      <c r="T814" s="15" t="str">
        <f>IFERROR(__xludf.DUMMYFUNCTION("IF($A814="""","""",IFERROR(PERCENTRANK.INC(FILTER(Q:Q,$F:$F&lt;&gt;""""),Q814)*100,""""))"),"")</f>
        <v/>
      </c>
      <c r="U814" s="15" t="str">
        <f>IFERROR(__xludf.DUMMYFUNCTION("IF($A814="""","""",IFERROR(PERCENTRANK.INC(FILTER(R:R,$F:$F&lt;&gt;""""),R814)*100,""""))"),"")</f>
        <v/>
      </c>
      <c r="V814" s="15" t="str">
        <f>IFERROR(__xludf.DUMMYFUNCTION("IF($A814="""","""",IFERROR(PERCENTRANK.INC(FILTER(S:S,$F:$F&lt;&gt;""""),S814)*100,""""))"),"")</f>
        <v/>
      </c>
      <c r="W814" s="15" t="str">
        <f t="shared" si="5"/>
        <v/>
      </c>
    </row>
    <row r="815">
      <c r="B815" t="str">
        <f t="array" ref="B815">IFERROR(INDEX('Player Raw Data'!C:C,Match($A815,'Player Raw Data'!$B:$B,0)),"")</f>
        <v/>
      </c>
      <c r="C815" t="str">
        <f t="array" ref="C815">IFERROR(INDEX('Player Raw Data'!D:D,Match($A815,'Player Raw Data'!$B:$B,0)),"")</f>
        <v/>
      </c>
      <c r="D815" t="str">
        <f t="array" ref="D815">IFERROR(IF(A815=A814, INDEX('Player Raw Data'!E:E,Match($A815,'Player Raw Data'!$B:$B,0)+2),INDEX('Player Raw Data'!E:E,Match($A815,'Player Raw Data'!$B:$B,0))),"")</f>
        <v/>
      </c>
      <c r="E815" t="str">
        <f t="array" ref="E815">IFERROR(INDEX('Day Range Raw Data'!D:D,Match($A815,'Day Range Raw Data'!$B:$B,0)),"")</f>
        <v/>
      </c>
      <c r="F815" t="str">
        <f t="array" ref="F815">IFERROR(INDEX('Day Range Raw Data'!F:F,Match($A815,'Day Range Raw Data'!$B:$B,0)),"")</f>
        <v/>
      </c>
      <c r="G815" t="str">
        <f t="array" ref="G815">IFERROR(INDEX('Day Range Raw Data'!G:G,Match($A815,'Day Range Raw Data'!$B:$B,0)),"")</f>
        <v/>
      </c>
      <c r="H815" t="str">
        <f t="array" ref="H815">IFERROR(INDEX('Day Range Raw Data'!H:H,Match($A815,'Day Range Raw Data'!$B:$B,0)),"")</f>
        <v/>
      </c>
      <c r="I815" t="str">
        <f t="array" ref="I815">IFERROR(INDEX('Day Range Raw Data'!M:M,Match($A815,'Day Range Raw Data'!$B:$B,0)),"")</f>
        <v/>
      </c>
      <c r="J815" t="str">
        <f t="array" ref="J815">IFERROR(INDEX('Day Range Raw Data'!N:N,Match($A815,'Day Range Raw Data'!$B:$B,0)),"")</f>
        <v/>
      </c>
      <c r="K815" t="str">
        <f t="array" ref="K815">IFERROR(INDEX('Day Range Raw Data'!R:R,Match($A815,'Day Range Raw Data'!$B:$B,0)),"")</f>
        <v/>
      </c>
      <c r="L815" t="str">
        <f t="array" ref="L815">IFERROR(INDEX('Day Range Raw Data'!S:S,Match($A815,'Day Range Raw Data'!$B:$B,0)),"")</f>
        <v/>
      </c>
      <c r="M815" t="str">
        <f t="array" ref="M815">IFERROR(INDEX('Day Range Raw Data'!T:T,Match($A815,'Day Range Raw Data'!$B:$B,0)),"")</f>
        <v/>
      </c>
      <c r="N815" t="str">
        <f t="array" ref="N815">IFERROR(INDEX('Day Range Raw Data'!U:U,Match($A815,'Day Range Raw Data'!$B:$B,0)),"")</f>
        <v/>
      </c>
      <c r="O815" t="str">
        <f t="array" ref="O815">IFERROR(INDEX('Day Range Raw Data'!V:V,Match($A815,'Day Range Raw Data'!$B:$B,0)),"")</f>
        <v/>
      </c>
      <c r="P815" t="str">
        <f t="array" ref="P815">IFERROR(INDEX('Day Range Raw Data'!X:X,Match($A815,'Day Range Raw Data'!$B:$B,0)),"")</f>
        <v/>
      </c>
      <c r="Q815" t="str">
        <f t="shared" si="1"/>
        <v/>
      </c>
      <c r="R815" s="9" t="str">
        <f t="shared" si="2"/>
        <v/>
      </c>
      <c r="S815" s="14" t="str">
        <f t="shared" si="3"/>
        <v/>
      </c>
      <c r="T815" s="15" t="str">
        <f>IFERROR(__xludf.DUMMYFUNCTION("IF($A815="""","""",IFERROR(PERCENTRANK.INC(FILTER(Q:Q,$F:$F&lt;&gt;""""),Q815)*100,""""))"),"")</f>
        <v/>
      </c>
      <c r="U815" s="15" t="str">
        <f>IFERROR(__xludf.DUMMYFUNCTION("IF($A815="""","""",IFERROR(PERCENTRANK.INC(FILTER(R:R,$F:$F&lt;&gt;""""),R815)*100,""""))"),"")</f>
        <v/>
      </c>
      <c r="V815" s="15" t="str">
        <f>IFERROR(__xludf.DUMMYFUNCTION("IF($A815="""","""",IFERROR(PERCENTRANK.INC(FILTER(S:S,$F:$F&lt;&gt;""""),S815)*100,""""))"),"")</f>
        <v/>
      </c>
      <c r="W815" s="15" t="str">
        <f t="shared" si="5"/>
        <v/>
      </c>
    </row>
    <row r="816">
      <c r="B816" t="str">
        <f t="array" ref="B816">IFERROR(INDEX('Player Raw Data'!C:C,Match($A816,'Player Raw Data'!$B:$B,0)),"")</f>
        <v/>
      </c>
      <c r="C816" t="str">
        <f t="array" ref="C816">IFERROR(INDEX('Player Raw Data'!D:D,Match($A816,'Player Raw Data'!$B:$B,0)),"")</f>
        <v/>
      </c>
      <c r="D816" t="str">
        <f t="array" ref="D816">IFERROR(IF(A816=A815, INDEX('Player Raw Data'!E:E,Match($A816,'Player Raw Data'!$B:$B,0)+2),INDEX('Player Raw Data'!E:E,Match($A816,'Player Raw Data'!$B:$B,0))),"")</f>
        <v/>
      </c>
      <c r="E816" t="str">
        <f t="array" ref="E816">IFERROR(INDEX('Day Range Raw Data'!D:D,Match($A816,'Day Range Raw Data'!$B:$B,0)),"")</f>
        <v/>
      </c>
      <c r="F816" t="str">
        <f t="array" ref="F816">IFERROR(INDEX('Day Range Raw Data'!F:F,Match($A816,'Day Range Raw Data'!$B:$B,0)),"")</f>
        <v/>
      </c>
      <c r="G816" t="str">
        <f t="array" ref="G816">IFERROR(INDEX('Day Range Raw Data'!G:G,Match($A816,'Day Range Raw Data'!$B:$B,0)),"")</f>
        <v/>
      </c>
      <c r="H816" t="str">
        <f t="array" ref="H816">IFERROR(INDEX('Day Range Raw Data'!H:H,Match($A816,'Day Range Raw Data'!$B:$B,0)),"")</f>
        <v/>
      </c>
      <c r="I816" t="str">
        <f t="array" ref="I816">IFERROR(INDEX('Day Range Raw Data'!M:M,Match($A816,'Day Range Raw Data'!$B:$B,0)),"")</f>
        <v/>
      </c>
      <c r="J816" t="str">
        <f t="array" ref="J816">IFERROR(INDEX('Day Range Raw Data'!N:N,Match($A816,'Day Range Raw Data'!$B:$B,0)),"")</f>
        <v/>
      </c>
      <c r="K816" t="str">
        <f t="array" ref="K816">IFERROR(INDEX('Day Range Raw Data'!R:R,Match($A816,'Day Range Raw Data'!$B:$B,0)),"")</f>
        <v/>
      </c>
      <c r="L816" t="str">
        <f t="array" ref="L816">IFERROR(INDEX('Day Range Raw Data'!S:S,Match($A816,'Day Range Raw Data'!$B:$B,0)),"")</f>
        <v/>
      </c>
      <c r="M816" t="str">
        <f t="array" ref="M816">IFERROR(INDEX('Day Range Raw Data'!T:T,Match($A816,'Day Range Raw Data'!$B:$B,0)),"")</f>
        <v/>
      </c>
      <c r="N816" t="str">
        <f t="array" ref="N816">IFERROR(INDEX('Day Range Raw Data'!U:U,Match($A816,'Day Range Raw Data'!$B:$B,0)),"")</f>
        <v/>
      </c>
      <c r="O816" t="str">
        <f t="array" ref="O816">IFERROR(INDEX('Day Range Raw Data'!V:V,Match($A816,'Day Range Raw Data'!$B:$B,0)),"")</f>
        <v/>
      </c>
      <c r="P816" t="str">
        <f t="array" ref="P816">IFERROR(INDEX('Day Range Raw Data'!X:X,Match($A816,'Day Range Raw Data'!$B:$B,0)),"")</f>
        <v/>
      </c>
      <c r="Q816" t="str">
        <f t="shared" si="1"/>
        <v/>
      </c>
      <c r="R816" s="9" t="str">
        <f t="shared" si="2"/>
        <v/>
      </c>
      <c r="S816" s="14" t="str">
        <f t="shared" si="3"/>
        <v/>
      </c>
      <c r="T816" s="15" t="str">
        <f>IFERROR(__xludf.DUMMYFUNCTION("IF($A816="""","""",IFERROR(PERCENTRANK.INC(FILTER(Q:Q,$F:$F&lt;&gt;""""),Q816)*100,""""))"),"")</f>
        <v/>
      </c>
      <c r="U816" s="15" t="str">
        <f>IFERROR(__xludf.DUMMYFUNCTION("IF($A816="""","""",IFERROR(PERCENTRANK.INC(FILTER(R:R,$F:$F&lt;&gt;""""),R816)*100,""""))"),"")</f>
        <v/>
      </c>
      <c r="V816" s="15" t="str">
        <f>IFERROR(__xludf.DUMMYFUNCTION("IF($A816="""","""",IFERROR(PERCENTRANK.INC(FILTER(S:S,$F:$F&lt;&gt;""""),S816)*100,""""))"),"")</f>
        <v/>
      </c>
      <c r="W816" s="15" t="str">
        <f t="shared" si="5"/>
        <v/>
      </c>
    </row>
    <row r="817">
      <c r="B817" t="str">
        <f t="array" ref="B817">IFERROR(INDEX('Player Raw Data'!C:C,Match($A817,'Player Raw Data'!$B:$B,0)),"")</f>
        <v/>
      </c>
      <c r="C817" t="str">
        <f t="array" ref="C817">IFERROR(INDEX('Player Raw Data'!D:D,Match($A817,'Player Raw Data'!$B:$B,0)),"")</f>
        <v/>
      </c>
      <c r="D817" t="str">
        <f t="array" ref="D817">IFERROR(IF(A817=A816, INDEX('Player Raw Data'!E:E,Match($A817,'Player Raw Data'!$B:$B,0)+2),INDEX('Player Raw Data'!E:E,Match($A817,'Player Raw Data'!$B:$B,0))),"")</f>
        <v/>
      </c>
      <c r="E817" t="str">
        <f t="array" ref="E817">IFERROR(INDEX('Day Range Raw Data'!D:D,Match($A817,'Day Range Raw Data'!$B:$B,0)),"")</f>
        <v/>
      </c>
      <c r="F817" t="str">
        <f t="array" ref="F817">IFERROR(INDEX('Day Range Raw Data'!F:F,Match($A817,'Day Range Raw Data'!$B:$B,0)),"")</f>
        <v/>
      </c>
      <c r="G817" t="str">
        <f t="array" ref="G817">IFERROR(INDEX('Day Range Raw Data'!G:G,Match($A817,'Day Range Raw Data'!$B:$B,0)),"")</f>
        <v/>
      </c>
      <c r="H817" t="str">
        <f t="array" ref="H817">IFERROR(INDEX('Day Range Raw Data'!H:H,Match($A817,'Day Range Raw Data'!$B:$B,0)),"")</f>
        <v/>
      </c>
      <c r="I817" t="str">
        <f t="array" ref="I817">IFERROR(INDEX('Day Range Raw Data'!M:M,Match($A817,'Day Range Raw Data'!$B:$B,0)),"")</f>
        <v/>
      </c>
      <c r="J817" t="str">
        <f t="array" ref="J817">IFERROR(INDEX('Day Range Raw Data'!N:N,Match($A817,'Day Range Raw Data'!$B:$B,0)),"")</f>
        <v/>
      </c>
      <c r="K817" t="str">
        <f t="array" ref="K817">IFERROR(INDEX('Day Range Raw Data'!R:R,Match($A817,'Day Range Raw Data'!$B:$B,0)),"")</f>
        <v/>
      </c>
      <c r="L817" t="str">
        <f t="array" ref="L817">IFERROR(INDEX('Day Range Raw Data'!S:S,Match($A817,'Day Range Raw Data'!$B:$B,0)),"")</f>
        <v/>
      </c>
      <c r="M817" t="str">
        <f t="array" ref="M817">IFERROR(INDEX('Day Range Raw Data'!T:T,Match($A817,'Day Range Raw Data'!$B:$B,0)),"")</f>
        <v/>
      </c>
      <c r="N817" t="str">
        <f t="array" ref="N817">IFERROR(INDEX('Day Range Raw Data'!U:U,Match($A817,'Day Range Raw Data'!$B:$B,0)),"")</f>
        <v/>
      </c>
      <c r="O817" t="str">
        <f t="array" ref="O817">IFERROR(INDEX('Day Range Raw Data'!V:V,Match($A817,'Day Range Raw Data'!$B:$B,0)),"")</f>
        <v/>
      </c>
      <c r="P817" t="str">
        <f t="array" ref="P817">IFERROR(INDEX('Day Range Raw Data'!X:X,Match($A817,'Day Range Raw Data'!$B:$B,0)),"")</f>
        <v/>
      </c>
      <c r="Q817" t="str">
        <f t="shared" si="1"/>
        <v/>
      </c>
      <c r="R817" s="9" t="str">
        <f t="shared" si="2"/>
        <v/>
      </c>
      <c r="S817" s="14" t="str">
        <f t="shared" si="3"/>
        <v/>
      </c>
      <c r="T817" s="15" t="str">
        <f>IFERROR(__xludf.DUMMYFUNCTION("IF($A817="""","""",IFERROR(PERCENTRANK.INC(FILTER(Q:Q,$F:$F&lt;&gt;""""),Q817)*100,""""))"),"")</f>
        <v/>
      </c>
      <c r="U817" s="15" t="str">
        <f>IFERROR(__xludf.DUMMYFUNCTION("IF($A817="""","""",IFERROR(PERCENTRANK.INC(FILTER(R:R,$F:$F&lt;&gt;""""),R817)*100,""""))"),"")</f>
        <v/>
      </c>
      <c r="V817" s="15" t="str">
        <f>IFERROR(__xludf.DUMMYFUNCTION("IF($A817="""","""",IFERROR(PERCENTRANK.INC(FILTER(S:S,$F:$F&lt;&gt;""""),S817)*100,""""))"),"")</f>
        <v/>
      </c>
      <c r="W817" s="15" t="str">
        <f t="shared" si="5"/>
        <v/>
      </c>
    </row>
    <row r="818">
      <c r="B818" t="str">
        <f t="array" ref="B818">IFERROR(INDEX('Player Raw Data'!C:C,Match($A818,'Player Raw Data'!$B:$B,0)),"")</f>
        <v/>
      </c>
      <c r="C818" t="str">
        <f t="array" ref="C818">IFERROR(INDEX('Player Raw Data'!D:D,Match($A818,'Player Raw Data'!$B:$B,0)),"")</f>
        <v/>
      </c>
      <c r="D818" t="str">
        <f t="array" ref="D818">IFERROR(IF(A818=A817, INDEX('Player Raw Data'!E:E,Match($A818,'Player Raw Data'!$B:$B,0)+2),INDEX('Player Raw Data'!E:E,Match($A818,'Player Raw Data'!$B:$B,0))),"")</f>
        <v/>
      </c>
      <c r="E818" t="str">
        <f t="array" ref="E818">IFERROR(INDEX('Day Range Raw Data'!D:D,Match($A818,'Day Range Raw Data'!$B:$B,0)),"")</f>
        <v/>
      </c>
      <c r="F818" t="str">
        <f t="array" ref="F818">IFERROR(INDEX('Day Range Raw Data'!F:F,Match($A818,'Day Range Raw Data'!$B:$B,0)),"")</f>
        <v/>
      </c>
      <c r="G818" t="str">
        <f t="array" ref="G818">IFERROR(INDEX('Day Range Raw Data'!G:G,Match($A818,'Day Range Raw Data'!$B:$B,0)),"")</f>
        <v/>
      </c>
      <c r="H818" t="str">
        <f t="array" ref="H818">IFERROR(INDEX('Day Range Raw Data'!H:H,Match($A818,'Day Range Raw Data'!$B:$B,0)),"")</f>
        <v/>
      </c>
      <c r="I818" t="str">
        <f t="array" ref="I818">IFERROR(INDEX('Day Range Raw Data'!M:M,Match($A818,'Day Range Raw Data'!$B:$B,0)),"")</f>
        <v/>
      </c>
      <c r="J818" t="str">
        <f t="array" ref="J818">IFERROR(INDEX('Day Range Raw Data'!N:N,Match($A818,'Day Range Raw Data'!$B:$B,0)),"")</f>
        <v/>
      </c>
      <c r="K818" t="str">
        <f t="array" ref="K818">IFERROR(INDEX('Day Range Raw Data'!R:R,Match($A818,'Day Range Raw Data'!$B:$B,0)),"")</f>
        <v/>
      </c>
      <c r="L818" t="str">
        <f t="array" ref="L818">IFERROR(INDEX('Day Range Raw Data'!S:S,Match($A818,'Day Range Raw Data'!$B:$B,0)),"")</f>
        <v/>
      </c>
      <c r="M818" t="str">
        <f t="array" ref="M818">IFERROR(INDEX('Day Range Raw Data'!T:T,Match($A818,'Day Range Raw Data'!$B:$B,0)),"")</f>
        <v/>
      </c>
      <c r="N818" t="str">
        <f t="array" ref="N818">IFERROR(INDEX('Day Range Raw Data'!U:U,Match($A818,'Day Range Raw Data'!$B:$B,0)),"")</f>
        <v/>
      </c>
      <c r="O818" t="str">
        <f t="array" ref="O818">IFERROR(INDEX('Day Range Raw Data'!V:V,Match($A818,'Day Range Raw Data'!$B:$B,0)),"")</f>
        <v/>
      </c>
      <c r="P818" t="str">
        <f t="array" ref="P818">IFERROR(INDEX('Day Range Raw Data'!X:X,Match($A818,'Day Range Raw Data'!$B:$B,0)),"")</f>
        <v/>
      </c>
      <c r="Q818" t="str">
        <f t="shared" si="1"/>
        <v/>
      </c>
      <c r="R818" s="9" t="str">
        <f t="shared" si="2"/>
        <v/>
      </c>
      <c r="S818" s="14" t="str">
        <f t="shared" si="3"/>
        <v/>
      </c>
      <c r="T818" s="15" t="str">
        <f>IFERROR(__xludf.DUMMYFUNCTION("IF($A818="""","""",IFERROR(PERCENTRANK.INC(FILTER(Q:Q,$F:$F&lt;&gt;""""),Q818)*100,""""))"),"")</f>
        <v/>
      </c>
      <c r="U818" s="15" t="str">
        <f>IFERROR(__xludf.DUMMYFUNCTION("IF($A818="""","""",IFERROR(PERCENTRANK.INC(FILTER(R:R,$F:$F&lt;&gt;""""),R818)*100,""""))"),"")</f>
        <v/>
      </c>
      <c r="V818" s="15" t="str">
        <f>IFERROR(__xludf.DUMMYFUNCTION("IF($A818="""","""",IFERROR(PERCENTRANK.INC(FILTER(S:S,$F:$F&lt;&gt;""""),S818)*100,""""))"),"")</f>
        <v/>
      </c>
      <c r="W818" s="15" t="str">
        <f t="shared" si="5"/>
        <v/>
      </c>
    </row>
    <row r="819">
      <c r="B819" t="str">
        <f t="array" ref="B819">IFERROR(INDEX('Player Raw Data'!C:C,Match($A819,'Player Raw Data'!$B:$B,0)),"")</f>
        <v/>
      </c>
      <c r="C819" t="str">
        <f t="array" ref="C819">IFERROR(INDEX('Player Raw Data'!D:D,Match($A819,'Player Raw Data'!$B:$B,0)),"")</f>
        <v/>
      </c>
      <c r="D819" t="str">
        <f t="array" ref="D819">IFERROR(IF(A819=A818, INDEX('Player Raw Data'!E:E,Match($A819,'Player Raw Data'!$B:$B,0)+2),INDEX('Player Raw Data'!E:E,Match($A819,'Player Raw Data'!$B:$B,0))),"")</f>
        <v/>
      </c>
      <c r="E819" t="str">
        <f t="array" ref="E819">IFERROR(INDEX('Day Range Raw Data'!D:D,Match($A819,'Day Range Raw Data'!$B:$B,0)),"")</f>
        <v/>
      </c>
      <c r="F819" t="str">
        <f t="array" ref="F819">IFERROR(INDEX('Day Range Raw Data'!F:F,Match($A819,'Day Range Raw Data'!$B:$B,0)),"")</f>
        <v/>
      </c>
      <c r="G819" t="str">
        <f t="array" ref="G819">IFERROR(INDEX('Day Range Raw Data'!G:G,Match($A819,'Day Range Raw Data'!$B:$B,0)),"")</f>
        <v/>
      </c>
      <c r="H819" t="str">
        <f t="array" ref="H819">IFERROR(INDEX('Day Range Raw Data'!H:H,Match($A819,'Day Range Raw Data'!$B:$B,0)),"")</f>
        <v/>
      </c>
      <c r="I819" t="str">
        <f t="array" ref="I819">IFERROR(INDEX('Day Range Raw Data'!M:M,Match($A819,'Day Range Raw Data'!$B:$B,0)),"")</f>
        <v/>
      </c>
      <c r="J819" t="str">
        <f t="array" ref="J819">IFERROR(INDEX('Day Range Raw Data'!N:N,Match($A819,'Day Range Raw Data'!$B:$B,0)),"")</f>
        <v/>
      </c>
      <c r="K819" t="str">
        <f t="array" ref="K819">IFERROR(INDEX('Day Range Raw Data'!R:R,Match($A819,'Day Range Raw Data'!$B:$B,0)),"")</f>
        <v/>
      </c>
      <c r="L819" t="str">
        <f t="array" ref="L819">IFERROR(INDEX('Day Range Raw Data'!S:S,Match($A819,'Day Range Raw Data'!$B:$B,0)),"")</f>
        <v/>
      </c>
      <c r="M819" t="str">
        <f t="array" ref="M819">IFERROR(INDEX('Day Range Raw Data'!T:T,Match($A819,'Day Range Raw Data'!$B:$B,0)),"")</f>
        <v/>
      </c>
      <c r="N819" t="str">
        <f t="array" ref="N819">IFERROR(INDEX('Day Range Raw Data'!U:U,Match($A819,'Day Range Raw Data'!$B:$B,0)),"")</f>
        <v/>
      </c>
      <c r="O819" t="str">
        <f t="array" ref="O819">IFERROR(INDEX('Day Range Raw Data'!V:V,Match($A819,'Day Range Raw Data'!$B:$B,0)),"")</f>
        <v/>
      </c>
      <c r="P819" t="str">
        <f t="array" ref="P819">IFERROR(INDEX('Day Range Raw Data'!X:X,Match($A819,'Day Range Raw Data'!$B:$B,0)),"")</f>
        <v/>
      </c>
      <c r="Q819" t="str">
        <f t="shared" si="1"/>
        <v/>
      </c>
      <c r="R819" s="9" t="str">
        <f t="shared" si="2"/>
        <v/>
      </c>
      <c r="S819" s="14" t="str">
        <f t="shared" si="3"/>
        <v/>
      </c>
      <c r="T819" s="15" t="str">
        <f>IFERROR(__xludf.DUMMYFUNCTION("IF($A819="""","""",IFERROR(PERCENTRANK.INC(FILTER(Q:Q,$F:$F&lt;&gt;""""),Q819)*100,""""))"),"")</f>
        <v/>
      </c>
      <c r="U819" s="15" t="str">
        <f>IFERROR(__xludf.DUMMYFUNCTION("IF($A819="""","""",IFERROR(PERCENTRANK.INC(FILTER(R:R,$F:$F&lt;&gt;""""),R819)*100,""""))"),"")</f>
        <v/>
      </c>
      <c r="V819" s="15" t="str">
        <f>IFERROR(__xludf.DUMMYFUNCTION("IF($A819="""","""",IFERROR(PERCENTRANK.INC(FILTER(S:S,$F:$F&lt;&gt;""""),S819)*100,""""))"),"")</f>
        <v/>
      </c>
      <c r="W819" s="15" t="str">
        <f t="shared" si="5"/>
        <v/>
      </c>
    </row>
    <row r="820">
      <c r="B820" t="str">
        <f t="array" ref="B820">IFERROR(INDEX('Player Raw Data'!C:C,Match($A820,'Player Raw Data'!$B:$B,0)),"")</f>
        <v/>
      </c>
      <c r="C820" t="str">
        <f t="array" ref="C820">IFERROR(INDEX('Player Raw Data'!D:D,Match($A820,'Player Raw Data'!$B:$B,0)),"")</f>
        <v/>
      </c>
      <c r="D820" t="str">
        <f t="array" ref="D820">IFERROR(IF(A820=A819, INDEX('Player Raw Data'!E:E,Match($A820,'Player Raw Data'!$B:$B,0)+2),INDEX('Player Raw Data'!E:E,Match($A820,'Player Raw Data'!$B:$B,0))),"")</f>
        <v/>
      </c>
      <c r="E820" t="str">
        <f t="array" ref="E820">IFERROR(INDEX('Day Range Raw Data'!D:D,Match($A820,'Day Range Raw Data'!$B:$B,0)),"")</f>
        <v/>
      </c>
      <c r="F820" t="str">
        <f t="array" ref="F820">IFERROR(INDEX('Day Range Raw Data'!F:F,Match($A820,'Day Range Raw Data'!$B:$B,0)),"")</f>
        <v/>
      </c>
      <c r="G820" t="str">
        <f t="array" ref="G820">IFERROR(INDEX('Day Range Raw Data'!G:G,Match($A820,'Day Range Raw Data'!$B:$B,0)),"")</f>
        <v/>
      </c>
      <c r="H820" t="str">
        <f t="array" ref="H820">IFERROR(INDEX('Day Range Raw Data'!H:H,Match($A820,'Day Range Raw Data'!$B:$B,0)),"")</f>
        <v/>
      </c>
      <c r="I820" t="str">
        <f t="array" ref="I820">IFERROR(INDEX('Day Range Raw Data'!M:M,Match($A820,'Day Range Raw Data'!$B:$B,0)),"")</f>
        <v/>
      </c>
      <c r="J820" t="str">
        <f t="array" ref="J820">IFERROR(INDEX('Day Range Raw Data'!N:N,Match($A820,'Day Range Raw Data'!$B:$B,0)),"")</f>
        <v/>
      </c>
      <c r="K820" t="str">
        <f t="array" ref="K820">IFERROR(INDEX('Day Range Raw Data'!R:R,Match($A820,'Day Range Raw Data'!$B:$B,0)),"")</f>
        <v/>
      </c>
      <c r="L820" t="str">
        <f t="array" ref="L820">IFERROR(INDEX('Day Range Raw Data'!S:S,Match($A820,'Day Range Raw Data'!$B:$B,0)),"")</f>
        <v/>
      </c>
      <c r="M820" t="str">
        <f t="array" ref="M820">IFERROR(INDEX('Day Range Raw Data'!T:T,Match($A820,'Day Range Raw Data'!$B:$B,0)),"")</f>
        <v/>
      </c>
      <c r="N820" t="str">
        <f t="array" ref="N820">IFERROR(INDEX('Day Range Raw Data'!U:U,Match($A820,'Day Range Raw Data'!$B:$B,0)),"")</f>
        <v/>
      </c>
      <c r="O820" t="str">
        <f t="array" ref="O820">IFERROR(INDEX('Day Range Raw Data'!V:V,Match($A820,'Day Range Raw Data'!$B:$B,0)),"")</f>
        <v/>
      </c>
      <c r="P820" t="str">
        <f t="array" ref="P820">IFERROR(INDEX('Day Range Raw Data'!X:X,Match($A820,'Day Range Raw Data'!$B:$B,0)),"")</f>
        <v/>
      </c>
      <c r="Q820" t="str">
        <f t="shared" si="1"/>
        <v/>
      </c>
      <c r="R820" s="9" t="str">
        <f t="shared" si="2"/>
        <v/>
      </c>
      <c r="S820" s="14" t="str">
        <f t="shared" si="3"/>
        <v/>
      </c>
      <c r="T820" s="15" t="str">
        <f>IFERROR(__xludf.DUMMYFUNCTION("IF($A820="""","""",IFERROR(PERCENTRANK.INC(FILTER(Q:Q,$F:$F&lt;&gt;""""),Q820)*100,""""))"),"")</f>
        <v/>
      </c>
      <c r="U820" s="15" t="str">
        <f>IFERROR(__xludf.DUMMYFUNCTION("IF($A820="""","""",IFERROR(PERCENTRANK.INC(FILTER(R:R,$F:$F&lt;&gt;""""),R820)*100,""""))"),"")</f>
        <v/>
      </c>
      <c r="V820" s="15" t="str">
        <f>IFERROR(__xludf.DUMMYFUNCTION("IF($A820="""","""",IFERROR(PERCENTRANK.INC(FILTER(S:S,$F:$F&lt;&gt;""""),S820)*100,""""))"),"")</f>
        <v/>
      </c>
      <c r="W820" s="15" t="str">
        <f t="shared" si="5"/>
        <v/>
      </c>
    </row>
    <row r="821">
      <c r="B821" t="str">
        <f t="array" ref="B821">IFERROR(INDEX('Player Raw Data'!C:C,Match($A821,'Player Raw Data'!$B:$B,0)),"")</f>
        <v/>
      </c>
      <c r="C821" t="str">
        <f t="array" ref="C821">IFERROR(INDEX('Player Raw Data'!D:D,Match($A821,'Player Raw Data'!$B:$B,0)),"")</f>
        <v/>
      </c>
      <c r="D821" t="str">
        <f t="array" ref="D821">IFERROR(IF(A821=A820, INDEX('Player Raw Data'!E:E,Match($A821,'Player Raw Data'!$B:$B,0)+2),INDEX('Player Raw Data'!E:E,Match($A821,'Player Raw Data'!$B:$B,0))),"")</f>
        <v/>
      </c>
      <c r="E821" t="str">
        <f t="array" ref="E821">IFERROR(INDEX('Day Range Raw Data'!D:D,Match($A821,'Day Range Raw Data'!$B:$B,0)),"")</f>
        <v/>
      </c>
      <c r="F821" t="str">
        <f t="array" ref="F821">IFERROR(INDEX('Day Range Raw Data'!F:F,Match($A821,'Day Range Raw Data'!$B:$B,0)),"")</f>
        <v/>
      </c>
      <c r="G821" t="str">
        <f t="array" ref="G821">IFERROR(INDEX('Day Range Raw Data'!G:G,Match($A821,'Day Range Raw Data'!$B:$B,0)),"")</f>
        <v/>
      </c>
      <c r="H821" t="str">
        <f t="array" ref="H821">IFERROR(INDEX('Day Range Raw Data'!H:H,Match($A821,'Day Range Raw Data'!$B:$B,0)),"")</f>
        <v/>
      </c>
      <c r="I821" t="str">
        <f t="array" ref="I821">IFERROR(INDEX('Day Range Raw Data'!M:M,Match($A821,'Day Range Raw Data'!$B:$B,0)),"")</f>
        <v/>
      </c>
      <c r="J821" t="str">
        <f t="array" ref="J821">IFERROR(INDEX('Day Range Raw Data'!N:N,Match($A821,'Day Range Raw Data'!$B:$B,0)),"")</f>
        <v/>
      </c>
      <c r="K821" t="str">
        <f t="array" ref="K821">IFERROR(INDEX('Day Range Raw Data'!R:R,Match($A821,'Day Range Raw Data'!$B:$B,0)),"")</f>
        <v/>
      </c>
      <c r="L821" t="str">
        <f t="array" ref="L821">IFERROR(INDEX('Day Range Raw Data'!S:S,Match($A821,'Day Range Raw Data'!$B:$B,0)),"")</f>
        <v/>
      </c>
      <c r="M821" t="str">
        <f t="array" ref="M821">IFERROR(INDEX('Day Range Raw Data'!T:T,Match($A821,'Day Range Raw Data'!$B:$B,0)),"")</f>
        <v/>
      </c>
      <c r="N821" t="str">
        <f t="array" ref="N821">IFERROR(INDEX('Day Range Raw Data'!U:U,Match($A821,'Day Range Raw Data'!$B:$B,0)),"")</f>
        <v/>
      </c>
      <c r="O821" t="str">
        <f t="array" ref="O821">IFERROR(INDEX('Day Range Raw Data'!V:V,Match($A821,'Day Range Raw Data'!$B:$B,0)),"")</f>
        <v/>
      </c>
      <c r="P821" t="str">
        <f t="array" ref="P821">IFERROR(INDEX('Day Range Raw Data'!X:X,Match($A821,'Day Range Raw Data'!$B:$B,0)),"")</f>
        <v/>
      </c>
      <c r="Q821" t="str">
        <f t="shared" si="1"/>
        <v/>
      </c>
      <c r="R821" s="9" t="str">
        <f t="shared" si="2"/>
        <v/>
      </c>
      <c r="S821" s="14" t="str">
        <f t="shared" si="3"/>
        <v/>
      </c>
      <c r="T821" s="15" t="str">
        <f>IFERROR(__xludf.DUMMYFUNCTION("IF($A821="""","""",IFERROR(PERCENTRANK.INC(FILTER(Q:Q,$F:$F&lt;&gt;""""),Q821)*100,""""))"),"")</f>
        <v/>
      </c>
      <c r="U821" s="15" t="str">
        <f>IFERROR(__xludf.DUMMYFUNCTION("IF($A821="""","""",IFERROR(PERCENTRANK.INC(FILTER(R:R,$F:$F&lt;&gt;""""),R821)*100,""""))"),"")</f>
        <v/>
      </c>
      <c r="V821" s="15" t="str">
        <f>IFERROR(__xludf.DUMMYFUNCTION("IF($A821="""","""",IFERROR(PERCENTRANK.INC(FILTER(S:S,$F:$F&lt;&gt;""""),S821)*100,""""))"),"")</f>
        <v/>
      </c>
      <c r="W821" s="15" t="str">
        <f t="shared" si="5"/>
        <v/>
      </c>
    </row>
    <row r="822">
      <c r="B822" t="str">
        <f t="array" ref="B822">IFERROR(INDEX('Player Raw Data'!C:C,Match($A822,'Player Raw Data'!$B:$B,0)),"")</f>
        <v/>
      </c>
      <c r="C822" t="str">
        <f t="array" ref="C822">IFERROR(INDEX('Player Raw Data'!D:D,Match($A822,'Player Raw Data'!$B:$B,0)),"")</f>
        <v/>
      </c>
      <c r="D822" t="str">
        <f t="array" ref="D822">IFERROR(IF(A822=A821, INDEX('Player Raw Data'!E:E,Match($A822,'Player Raw Data'!$B:$B,0)+2),INDEX('Player Raw Data'!E:E,Match($A822,'Player Raw Data'!$B:$B,0))),"")</f>
        <v/>
      </c>
      <c r="E822" t="str">
        <f t="array" ref="E822">IFERROR(INDEX('Day Range Raw Data'!D:D,Match($A822,'Day Range Raw Data'!$B:$B,0)),"")</f>
        <v/>
      </c>
      <c r="F822" t="str">
        <f t="array" ref="F822">IFERROR(INDEX('Day Range Raw Data'!F:F,Match($A822,'Day Range Raw Data'!$B:$B,0)),"")</f>
        <v/>
      </c>
      <c r="G822" t="str">
        <f t="array" ref="G822">IFERROR(INDEX('Day Range Raw Data'!G:G,Match($A822,'Day Range Raw Data'!$B:$B,0)),"")</f>
        <v/>
      </c>
      <c r="H822" t="str">
        <f t="array" ref="H822">IFERROR(INDEX('Day Range Raw Data'!H:H,Match($A822,'Day Range Raw Data'!$B:$B,0)),"")</f>
        <v/>
      </c>
      <c r="I822" t="str">
        <f t="array" ref="I822">IFERROR(INDEX('Day Range Raw Data'!M:M,Match($A822,'Day Range Raw Data'!$B:$B,0)),"")</f>
        <v/>
      </c>
      <c r="J822" t="str">
        <f t="array" ref="J822">IFERROR(INDEX('Day Range Raw Data'!N:N,Match($A822,'Day Range Raw Data'!$B:$B,0)),"")</f>
        <v/>
      </c>
      <c r="K822" t="str">
        <f t="array" ref="K822">IFERROR(INDEX('Day Range Raw Data'!R:R,Match($A822,'Day Range Raw Data'!$B:$B,0)),"")</f>
        <v/>
      </c>
      <c r="L822" t="str">
        <f t="array" ref="L822">IFERROR(INDEX('Day Range Raw Data'!S:S,Match($A822,'Day Range Raw Data'!$B:$B,0)),"")</f>
        <v/>
      </c>
      <c r="M822" t="str">
        <f t="array" ref="M822">IFERROR(INDEX('Day Range Raw Data'!T:T,Match($A822,'Day Range Raw Data'!$B:$B,0)),"")</f>
        <v/>
      </c>
      <c r="N822" t="str">
        <f t="array" ref="N822">IFERROR(INDEX('Day Range Raw Data'!U:U,Match($A822,'Day Range Raw Data'!$B:$B,0)),"")</f>
        <v/>
      </c>
      <c r="O822" t="str">
        <f t="array" ref="O822">IFERROR(INDEX('Day Range Raw Data'!V:V,Match($A822,'Day Range Raw Data'!$B:$B,0)),"")</f>
        <v/>
      </c>
      <c r="P822" t="str">
        <f t="array" ref="P822">IFERROR(INDEX('Day Range Raw Data'!X:X,Match($A822,'Day Range Raw Data'!$B:$B,0)),"")</f>
        <v/>
      </c>
      <c r="Q822" t="str">
        <f t="shared" si="1"/>
        <v/>
      </c>
      <c r="R822" s="9" t="str">
        <f t="shared" si="2"/>
        <v/>
      </c>
      <c r="S822" s="14" t="str">
        <f t="shared" si="3"/>
        <v/>
      </c>
      <c r="T822" s="15" t="str">
        <f>IFERROR(__xludf.DUMMYFUNCTION("IF($A822="""","""",IFERROR(PERCENTRANK.INC(FILTER(Q:Q,$F:$F&lt;&gt;""""),Q822)*100,""""))"),"")</f>
        <v/>
      </c>
      <c r="U822" s="15" t="str">
        <f>IFERROR(__xludf.DUMMYFUNCTION("IF($A822="""","""",IFERROR(PERCENTRANK.INC(FILTER(R:R,$F:$F&lt;&gt;""""),R822)*100,""""))"),"")</f>
        <v/>
      </c>
      <c r="V822" s="15" t="str">
        <f>IFERROR(__xludf.DUMMYFUNCTION("IF($A822="""","""",IFERROR(PERCENTRANK.INC(FILTER(S:S,$F:$F&lt;&gt;""""),S822)*100,""""))"),"")</f>
        <v/>
      </c>
      <c r="W822" s="15" t="str">
        <f t="shared" si="5"/>
        <v/>
      </c>
    </row>
    <row r="823">
      <c r="B823" t="str">
        <f t="array" ref="B823">IFERROR(INDEX('Player Raw Data'!C:C,Match($A823,'Player Raw Data'!$B:$B,0)),"")</f>
        <v/>
      </c>
      <c r="C823" t="str">
        <f t="array" ref="C823">IFERROR(INDEX('Player Raw Data'!D:D,Match($A823,'Player Raw Data'!$B:$B,0)),"")</f>
        <v/>
      </c>
      <c r="D823" t="str">
        <f t="array" ref="D823">IFERROR(IF(A823=A822, INDEX('Player Raw Data'!E:E,Match($A823,'Player Raw Data'!$B:$B,0)+2),INDEX('Player Raw Data'!E:E,Match($A823,'Player Raw Data'!$B:$B,0))),"")</f>
        <v/>
      </c>
      <c r="E823" t="str">
        <f t="array" ref="E823">IFERROR(INDEX('Day Range Raw Data'!D:D,Match($A823,'Day Range Raw Data'!$B:$B,0)),"")</f>
        <v/>
      </c>
      <c r="F823" t="str">
        <f t="array" ref="F823">IFERROR(INDEX('Day Range Raw Data'!F:F,Match($A823,'Day Range Raw Data'!$B:$B,0)),"")</f>
        <v/>
      </c>
      <c r="G823" t="str">
        <f t="array" ref="G823">IFERROR(INDEX('Day Range Raw Data'!G:G,Match($A823,'Day Range Raw Data'!$B:$B,0)),"")</f>
        <v/>
      </c>
      <c r="H823" t="str">
        <f t="array" ref="H823">IFERROR(INDEX('Day Range Raw Data'!H:H,Match($A823,'Day Range Raw Data'!$B:$B,0)),"")</f>
        <v/>
      </c>
      <c r="I823" t="str">
        <f t="array" ref="I823">IFERROR(INDEX('Day Range Raw Data'!M:M,Match($A823,'Day Range Raw Data'!$B:$B,0)),"")</f>
        <v/>
      </c>
      <c r="J823" t="str">
        <f t="array" ref="J823">IFERROR(INDEX('Day Range Raw Data'!N:N,Match($A823,'Day Range Raw Data'!$B:$B,0)),"")</f>
        <v/>
      </c>
      <c r="K823" t="str">
        <f t="array" ref="K823">IFERROR(INDEX('Day Range Raw Data'!R:R,Match($A823,'Day Range Raw Data'!$B:$B,0)),"")</f>
        <v/>
      </c>
      <c r="L823" t="str">
        <f t="array" ref="L823">IFERROR(INDEX('Day Range Raw Data'!S:S,Match($A823,'Day Range Raw Data'!$B:$B,0)),"")</f>
        <v/>
      </c>
      <c r="M823" t="str">
        <f t="array" ref="M823">IFERROR(INDEX('Day Range Raw Data'!T:T,Match($A823,'Day Range Raw Data'!$B:$B,0)),"")</f>
        <v/>
      </c>
      <c r="N823" t="str">
        <f t="array" ref="N823">IFERROR(INDEX('Day Range Raw Data'!U:U,Match($A823,'Day Range Raw Data'!$B:$B,0)),"")</f>
        <v/>
      </c>
      <c r="O823" t="str">
        <f t="array" ref="O823">IFERROR(INDEX('Day Range Raw Data'!V:V,Match($A823,'Day Range Raw Data'!$B:$B,0)),"")</f>
        <v/>
      </c>
      <c r="P823" t="str">
        <f t="array" ref="P823">IFERROR(INDEX('Day Range Raw Data'!X:X,Match($A823,'Day Range Raw Data'!$B:$B,0)),"")</f>
        <v/>
      </c>
      <c r="Q823" t="str">
        <f t="shared" si="1"/>
        <v/>
      </c>
      <c r="R823" s="9" t="str">
        <f t="shared" si="2"/>
        <v/>
      </c>
      <c r="S823" s="14" t="str">
        <f t="shared" si="3"/>
        <v/>
      </c>
      <c r="T823" s="15" t="str">
        <f>IFERROR(__xludf.DUMMYFUNCTION("IF($A823="""","""",IFERROR(PERCENTRANK.INC(FILTER(Q:Q,$F:$F&lt;&gt;""""),Q823)*100,""""))"),"")</f>
        <v/>
      </c>
      <c r="U823" s="15" t="str">
        <f>IFERROR(__xludf.DUMMYFUNCTION("IF($A823="""","""",IFERROR(PERCENTRANK.INC(FILTER(R:R,$F:$F&lt;&gt;""""),R823)*100,""""))"),"")</f>
        <v/>
      </c>
      <c r="V823" s="15" t="str">
        <f>IFERROR(__xludf.DUMMYFUNCTION("IF($A823="""","""",IFERROR(PERCENTRANK.INC(FILTER(S:S,$F:$F&lt;&gt;""""),S823)*100,""""))"),"")</f>
        <v/>
      </c>
      <c r="W823" s="15" t="str">
        <f t="shared" si="5"/>
        <v/>
      </c>
    </row>
    <row r="824">
      <c r="B824" t="str">
        <f t="array" ref="B824">IFERROR(INDEX('Player Raw Data'!C:C,Match($A824,'Player Raw Data'!$B:$B,0)),"")</f>
        <v/>
      </c>
      <c r="C824" t="str">
        <f t="array" ref="C824">IFERROR(INDEX('Player Raw Data'!D:D,Match($A824,'Player Raw Data'!$B:$B,0)),"")</f>
        <v/>
      </c>
      <c r="D824" t="str">
        <f t="array" ref="D824">IFERROR(IF(A824=A823, INDEX('Player Raw Data'!E:E,Match($A824,'Player Raw Data'!$B:$B,0)+2),INDEX('Player Raw Data'!E:E,Match($A824,'Player Raw Data'!$B:$B,0))),"")</f>
        <v/>
      </c>
      <c r="E824" t="str">
        <f t="array" ref="E824">IFERROR(INDEX('Day Range Raw Data'!D:D,Match($A824,'Day Range Raw Data'!$B:$B,0)),"")</f>
        <v/>
      </c>
      <c r="F824" t="str">
        <f t="array" ref="F824">IFERROR(INDEX('Day Range Raw Data'!F:F,Match($A824,'Day Range Raw Data'!$B:$B,0)),"")</f>
        <v/>
      </c>
      <c r="G824" t="str">
        <f t="array" ref="G824">IFERROR(INDEX('Day Range Raw Data'!G:G,Match($A824,'Day Range Raw Data'!$B:$B,0)),"")</f>
        <v/>
      </c>
      <c r="H824" t="str">
        <f t="array" ref="H824">IFERROR(INDEX('Day Range Raw Data'!H:H,Match($A824,'Day Range Raw Data'!$B:$B,0)),"")</f>
        <v/>
      </c>
      <c r="I824" t="str">
        <f t="array" ref="I824">IFERROR(INDEX('Day Range Raw Data'!M:M,Match($A824,'Day Range Raw Data'!$B:$B,0)),"")</f>
        <v/>
      </c>
      <c r="J824" t="str">
        <f t="array" ref="J824">IFERROR(INDEX('Day Range Raw Data'!N:N,Match($A824,'Day Range Raw Data'!$B:$B,0)),"")</f>
        <v/>
      </c>
      <c r="K824" t="str">
        <f t="array" ref="K824">IFERROR(INDEX('Day Range Raw Data'!R:R,Match($A824,'Day Range Raw Data'!$B:$B,0)),"")</f>
        <v/>
      </c>
      <c r="L824" t="str">
        <f t="array" ref="L824">IFERROR(INDEX('Day Range Raw Data'!S:S,Match($A824,'Day Range Raw Data'!$B:$B,0)),"")</f>
        <v/>
      </c>
      <c r="M824" t="str">
        <f t="array" ref="M824">IFERROR(INDEX('Day Range Raw Data'!T:T,Match($A824,'Day Range Raw Data'!$B:$B,0)),"")</f>
        <v/>
      </c>
      <c r="N824" t="str">
        <f t="array" ref="N824">IFERROR(INDEX('Day Range Raw Data'!U:U,Match($A824,'Day Range Raw Data'!$B:$B,0)),"")</f>
        <v/>
      </c>
      <c r="O824" t="str">
        <f t="array" ref="O824">IFERROR(INDEX('Day Range Raw Data'!V:V,Match($A824,'Day Range Raw Data'!$B:$B,0)),"")</f>
        <v/>
      </c>
      <c r="P824" t="str">
        <f t="array" ref="P824">IFERROR(INDEX('Day Range Raw Data'!X:X,Match($A824,'Day Range Raw Data'!$B:$B,0)),"")</f>
        <v/>
      </c>
      <c r="Q824" t="str">
        <f t="shared" si="1"/>
        <v/>
      </c>
      <c r="R824" s="9" t="str">
        <f t="shared" si="2"/>
        <v/>
      </c>
      <c r="S824" s="14" t="str">
        <f t="shared" si="3"/>
        <v/>
      </c>
      <c r="T824" s="15" t="str">
        <f>IFERROR(__xludf.DUMMYFUNCTION("IF($A824="""","""",IFERROR(PERCENTRANK.INC(FILTER(Q:Q,$F:$F&lt;&gt;""""),Q824)*100,""""))"),"")</f>
        <v/>
      </c>
      <c r="U824" s="15" t="str">
        <f>IFERROR(__xludf.DUMMYFUNCTION("IF($A824="""","""",IFERROR(PERCENTRANK.INC(FILTER(R:R,$F:$F&lt;&gt;""""),R824)*100,""""))"),"")</f>
        <v/>
      </c>
      <c r="V824" s="15" t="str">
        <f>IFERROR(__xludf.DUMMYFUNCTION("IF($A824="""","""",IFERROR(PERCENTRANK.INC(FILTER(S:S,$F:$F&lt;&gt;""""),S824)*100,""""))"),"")</f>
        <v/>
      </c>
      <c r="W824" s="15" t="str">
        <f t="shared" si="5"/>
        <v/>
      </c>
    </row>
    <row r="825">
      <c r="B825" t="str">
        <f t="array" ref="B825">IFERROR(INDEX('Player Raw Data'!C:C,Match($A825,'Player Raw Data'!$B:$B,0)),"")</f>
        <v/>
      </c>
      <c r="C825" t="str">
        <f t="array" ref="C825">IFERROR(INDEX('Player Raw Data'!D:D,Match($A825,'Player Raw Data'!$B:$B,0)),"")</f>
        <v/>
      </c>
      <c r="D825" t="str">
        <f t="array" ref="D825">IFERROR(IF(A825=A824, INDEX('Player Raw Data'!E:E,Match($A825,'Player Raw Data'!$B:$B,0)+2),INDEX('Player Raw Data'!E:E,Match($A825,'Player Raw Data'!$B:$B,0))),"")</f>
        <v/>
      </c>
      <c r="E825" t="str">
        <f t="array" ref="E825">IFERROR(INDEX('Day Range Raw Data'!D:D,Match($A825,'Day Range Raw Data'!$B:$B,0)),"")</f>
        <v/>
      </c>
      <c r="F825" t="str">
        <f t="array" ref="F825">IFERROR(INDEX('Day Range Raw Data'!F:F,Match($A825,'Day Range Raw Data'!$B:$B,0)),"")</f>
        <v/>
      </c>
      <c r="G825" t="str">
        <f t="array" ref="G825">IFERROR(INDEX('Day Range Raw Data'!G:G,Match($A825,'Day Range Raw Data'!$B:$B,0)),"")</f>
        <v/>
      </c>
      <c r="H825" t="str">
        <f t="array" ref="H825">IFERROR(INDEX('Day Range Raw Data'!H:H,Match($A825,'Day Range Raw Data'!$B:$B,0)),"")</f>
        <v/>
      </c>
      <c r="I825" t="str">
        <f t="array" ref="I825">IFERROR(INDEX('Day Range Raw Data'!M:M,Match($A825,'Day Range Raw Data'!$B:$B,0)),"")</f>
        <v/>
      </c>
      <c r="J825" t="str">
        <f t="array" ref="J825">IFERROR(INDEX('Day Range Raw Data'!N:N,Match($A825,'Day Range Raw Data'!$B:$B,0)),"")</f>
        <v/>
      </c>
      <c r="K825" t="str">
        <f t="array" ref="K825">IFERROR(INDEX('Day Range Raw Data'!R:R,Match($A825,'Day Range Raw Data'!$B:$B,0)),"")</f>
        <v/>
      </c>
      <c r="L825" t="str">
        <f t="array" ref="L825">IFERROR(INDEX('Day Range Raw Data'!S:S,Match($A825,'Day Range Raw Data'!$B:$B,0)),"")</f>
        <v/>
      </c>
      <c r="M825" t="str">
        <f t="array" ref="M825">IFERROR(INDEX('Day Range Raw Data'!T:T,Match($A825,'Day Range Raw Data'!$B:$B,0)),"")</f>
        <v/>
      </c>
      <c r="N825" t="str">
        <f t="array" ref="N825">IFERROR(INDEX('Day Range Raw Data'!U:U,Match($A825,'Day Range Raw Data'!$B:$B,0)),"")</f>
        <v/>
      </c>
      <c r="O825" t="str">
        <f t="array" ref="O825">IFERROR(INDEX('Day Range Raw Data'!V:V,Match($A825,'Day Range Raw Data'!$B:$B,0)),"")</f>
        <v/>
      </c>
      <c r="P825" t="str">
        <f t="array" ref="P825">IFERROR(INDEX('Day Range Raw Data'!X:X,Match($A825,'Day Range Raw Data'!$B:$B,0)),"")</f>
        <v/>
      </c>
      <c r="Q825" t="str">
        <f t="shared" si="1"/>
        <v/>
      </c>
      <c r="R825" s="9" t="str">
        <f t="shared" si="2"/>
        <v/>
      </c>
      <c r="S825" s="14" t="str">
        <f t="shared" si="3"/>
        <v/>
      </c>
      <c r="T825" s="15" t="str">
        <f>IFERROR(__xludf.DUMMYFUNCTION("IF($A825="""","""",IFERROR(PERCENTRANK.INC(FILTER(Q:Q,$F:$F&lt;&gt;""""),Q825)*100,""""))"),"")</f>
        <v/>
      </c>
      <c r="U825" s="15" t="str">
        <f>IFERROR(__xludf.DUMMYFUNCTION("IF($A825="""","""",IFERROR(PERCENTRANK.INC(FILTER(R:R,$F:$F&lt;&gt;""""),R825)*100,""""))"),"")</f>
        <v/>
      </c>
      <c r="V825" s="15" t="str">
        <f>IFERROR(__xludf.DUMMYFUNCTION("IF($A825="""","""",IFERROR(PERCENTRANK.INC(FILTER(S:S,$F:$F&lt;&gt;""""),S825)*100,""""))"),"")</f>
        <v/>
      </c>
      <c r="W825" s="15" t="str">
        <f t="shared" si="5"/>
        <v/>
      </c>
    </row>
    <row r="826">
      <c r="B826" t="str">
        <f t="array" ref="B826">IFERROR(INDEX('Player Raw Data'!C:C,Match($A826,'Player Raw Data'!$B:$B,0)),"")</f>
        <v/>
      </c>
      <c r="C826" t="str">
        <f t="array" ref="C826">IFERROR(INDEX('Player Raw Data'!D:D,Match($A826,'Player Raw Data'!$B:$B,0)),"")</f>
        <v/>
      </c>
      <c r="D826" t="str">
        <f t="array" ref="D826">IFERROR(IF(A826=A825, INDEX('Player Raw Data'!E:E,Match($A826,'Player Raw Data'!$B:$B,0)+2),INDEX('Player Raw Data'!E:E,Match($A826,'Player Raw Data'!$B:$B,0))),"")</f>
        <v/>
      </c>
      <c r="E826" t="str">
        <f t="array" ref="E826">IFERROR(INDEX('Day Range Raw Data'!D:D,Match($A826,'Day Range Raw Data'!$B:$B,0)),"")</f>
        <v/>
      </c>
      <c r="F826" t="str">
        <f t="array" ref="F826">IFERROR(INDEX('Day Range Raw Data'!F:F,Match($A826,'Day Range Raw Data'!$B:$B,0)),"")</f>
        <v/>
      </c>
      <c r="G826" t="str">
        <f t="array" ref="G826">IFERROR(INDEX('Day Range Raw Data'!G:G,Match($A826,'Day Range Raw Data'!$B:$B,0)),"")</f>
        <v/>
      </c>
      <c r="H826" t="str">
        <f t="array" ref="H826">IFERROR(INDEX('Day Range Raw Data'!H:H,Match($A826,'Day Range Raw Data'!$B:$B,0)),"")</f>
        <v/>
      </c>
      <c r="I826" t="str">
        <f t="array" ref="I826">IFERROR(INDEX('Day Range Raw Data'!M:M,Match($A826,'Day Range Raw Data'!$B:$B,0)),"")</f>
        <v/>
      </c>
      <c r="J826" t="str">
        <f t="array" ref="J826">IFERROR(INDEX('Day Range Raw Data'!N:N,Match($A826,'Day Range Raw Data'!$B:$B,0)),"")</f>
        <v/>
      </c>
      <c r="K826" t="str">
        <f t="array" ref="K826">IFERROR(INDEX('Day Range Raw Data'!R:R,Match($A826,'Day Range Raw Data'!$B:$B,0)),"")</f>
        <v/>
      </c>
      <c r="L826" t="str">
        <f t="array" ref="L826">IFERROR(INDEX('Day Range Raw Data'!S:S,Match($A826,'Day Range Raw Data'!$B:$B,0)),"")</f>
        <v/>
      </c>
      <c r="M826" t="str">
        <f t="array" ref="M826">IFERROR(INDEX('Day Range Raw Data'!T:T,Match($A826,'Day Range Raw Data'!$B:$B,0)),"")</f>
        <v/>
      </c>
      <c r="N826" t="str">
        <f t="array" ref="N826">IFERROR(INDEX('Day Range Raw Data'!U:U,Match($A826,'Day Range Raw Data'!$B:$B,0)),"")</f>
        <v/>
      </c>
      <c r="O826" t="str">
        <f t="array" ref="O826">IFERROR(INDEX('Day Range Raw Data'!V:V,Match($A826,'Day Range Raw Data'!$B:$B,0)),"")</f>
        <v/>
      </c>
      <c r="P826" t="str">
        <f t="array" ref="P826">IFERROR(INDEX('Day Range Raw Data'!X:X,Match($A826,'Day Range Raw Data'!$B:$B,0)),"")</f>
        <v/>
      </c>
      <c r="Q826" t="str">
        <f t="shared" si="1"/>
        <v/>
      </c>
      <c r="R826" s="9" t="str">
        <f t="shared" si="2"/>
        <v/>
      </c>
      <c r="S826" s="14" t="str">
        <f t="shared" si="3"/>
        <v/>
      </c>
      <c r="T826" s="15" t="str">
        <f>IFERROR(__xludf.DUMMYFUNCTION("IF($A826="""","""",IFERROR(PERCENTRANK.INC(FILTER(Q:Q,$F:$F&lt;&gt;""""),Q826)*100,""""))"),"")</f>
        <v/>
      </c>
      <c r="U826" s="15" t="str">
        <f>IFERROR(__xludf.DUMMYFUNCTION("IF($A826="""","""",IFERROR(PERCENTRANK.INC(FILTER(R:R,$F:$F&lt;&gt;""""),R826)*100,""""))"),"")</f>
        <v/>
      </c>
      <c r="V826" s="15" t="str">
        <f>IFERROR(__xludf.DUMMYFUNCTION("IF($A826="""","""",IFERROR(PERCENTRANK.INC(FILTER(S:S,$F:$F&lt;&gt;""""),S826)*100,""""))"),"")</f>
        <v/>
      </c>
      <c r="W826" s="15" t="str">
        <f t="shared" si="5"/>
        <v/>
      </c>
    </row>
    <row r="827">
      <c r="B827" t="str">
        <f t="array" ref="B827">IFERROR(INDEX('Player Raw Data'!C:C,Match($A827,'Player Raw Data'!$B:$B,0)),"")</f>
        <v/>
      </c>
      <c r="C827" t="str">
        <f t="array" ref="C827">IFERROR(INDEX('Player Raw Data'!D:D,Match($A827,'Player Raw Data'!$B:$B,0)),"")</f>
        <v/>
      </c>
      <c r="D827" t="str">
        <f t="array" ref="D827">IFERROR(IF(A827=A826, INDEX('Player Raw Data'!E:E,Match($A827,'Player Raw Data'!$B:$B,0)+2),INDEX('Player Raw Data'!E:E,Match($A827,'Player Raw Data'!$B:$B,0))),"")</f>
        <v/>
      </c>
      <c r="E827" t="str">
        <f t="array" ref="E827">IFERROR(INDEX('Day Range Raw Data'!D:D,Match($A827,'Day Range Raw Data'!$B:$B,0)),"")</f>
        <v/>
      </c>
      <c r="F827" t="str">
        <f t="array" ref="F827">IFERROR(INDEX('Day Range Raw Data'!F:F,Match($A827,'Day Range Raw Data'!$B:$B,0)),"")</f>
        <v/>
      </c>
      <c r="G827" t="str">
        <f t="array" ref="G827">IFERROR(INDEX('Day Range Raw Data'!G:G,Match($A827,'Day Range Raw Data'!$B:$B,0)),"")</f>
        <v/>
      </c>
      <c r="H827" t="str">
        <f t="array" ref="H827">IFERROR(INDEX('Day Range Raw Data'!H:H,Match($A827,'Day Range Raw Data'!$B:$B,0)),"")</f>
        <v/>
      </c>
      <c r="I827" t="str">
        <f t="array" ref="I827">IFERROR(INDEX('Day Range Raw Data'!M:M,Match($A827,'Day Range Raw Data'!$B:$B,0)),"")</f>
        <v/>
      </c>
      <c r="J827" t="str">
        <f t="array" ref="J827">IFERROR(INDEX('Day Range Raw Data'!N:N,Match($A827,'Day Range Raw Data'!$B:$B,0)),"")</f>
        <v/>
      </c>
      <c r="K827" t="str">
        <f t="array" ref="K827">IFERROR(INDEX('Day Range Raw Data'!R:R,Match($A827,'Day Range Raw Data'!$B:$B,0)),"")</f>
        <v/>
      </c>
      <c r="L827" t="str">
        <f t="array" ref="L827">IFERROR(INDEX('Day Range Raw Data'!S:S,Match($A827,'Day Range Raw Data'!$B:$B,0)),"")</f>
        <v/>
      </c>
      <c r="M827" t="str">
        <f t="array" ref="M827">IFERROR(INDEX('Day Range Raw Data'!T:T,Match($A827,'Day Range Raw Data'!$B:$B,0)),"")</f>
        <v/>
      </c>
      <c r="N827" t="str">
        <f t="array" ref="N827">IFERROR(INDEX('Day Range Raw Data'!U:U,Match($A827,'Day Range Raw Data'!$B:$B,0)),"")</f>
        <v/>
      </c>
      <c r="O827" t="str">
        <f t="array" ref="O827">IFERROR(INDEX('Day Range Raw Data'!V:V,Match($A827,'Day Range Raw Data'!$B:$B,0)),"")</f>
        <v/>
      </c>
      <c r="P827" t="str">
        <f t="array" ref="P827">IFERROR(INDEX('Day Range Raw Data'!X:X,Match($A827,'Day Range Raw Data'!$B:$B,0)),"")</f>
        <v/>
      </c>
      <c r="Q827" t="str">
        <f t="shared" si="1"/>
        <v/>
      </c>
      <c r="R827" s="9" t="str">
        <f t="shared" si="2"/>
        <v/>
      </c>
      <c r="S827" s="14" t="str">
        <f t="shared" si="3"/>
        <v/>
      </c>
      <c r="T827" s="15" t="str">
        <f>IFERROR(__xludf.DUMMYFUNCTION("IF($A827="""","""",IFERROR(PERCENTRANK.INC(FILTER(Q:Q,$F:$F&lt;&gt;""""),Q827)*100,""""))"),"")</f>
        <v/>
      </c>
      <c r="U827" s="15" t="str">
        <f>IFERROR(__xludf.DUMMYFUNCTION("IF($A827="""","""",IFERROR(PERCENTRANK.INC(FILTER(R:R,$F:$F&lt;&gt;""""),R827)*100,""""))"),"")</f>
        <v/>
      </c>
      <c r="V827" s="15" t="str">
        <f>IFERROR(__xludf.DUMMYFUNCTION("IF($A827="""","""",IFERROR(PERCENTRANK.INC(FILTER(S:S,$F:$F&lt;&gt;""""),S827)*100,""""))"),"")</f>
        <v/>
      </c>
      <c r="W827" s="15" t="str">
        <f t="shared" si="5"/>
        <v/>
      </c>
    </row>
    <row r="828">
      <c r="B828" t="str">
        <f t="array" ref="B828">IFERROR(INDEX('Player Raw Data'!C:C,Match($A828,'Player Raw Data'!$B:$B,0)),"")</f>
        <v/>
      </c>
      <c r="C828" t="str">
        <f t="array" ref="C828">IFERROR(INDEX('Player Raw Data'!D:D,Match($A828,'Player Raw Data'!$B:$B,0)),"")</f>
        <v/>
      </c>
      <c r="D828" t="str">
        <f t="array" ref="D828">IFERROR(IF(A828=A827, INDEX('Player Raw Data'!E:E,Match($A828,'Player Raw Data'!$B:$B,0)+2),INDEX('Player Raw Data'!E:E,Match($A828,'Player Raw Data'!$B:$B,0))),"")</f>
        <v/>
      </c>
      <c r="E828" t="str">
        <f t="array" ref="E828">IFERROR(INDEX('Day Range Raw Data'!D:D,Match($A828,'Day Range Raw Data'!$B:$B,0)),"")</f>
        <v/>
      </c>
      <c r="F828" t="str">
        <f t="array" ref="F828">IFERROR(INDEX('Day Range Raw Data'!F:F,Match($A828,'Day Range Raw Data'!$B:$B,0)),"")</f>
        <v/>
      </c>
      <c r="G828" t="str">
        <f t="array" ref="G828">IFERROR(INDEX('Day Range Raw Data'!G:G,Match($A828,'Day Range Raw Data'!$B:$B,0)),"")</f>
        <v/>
      </c>
      <c r="H828" t="str">
        <f t="array" ref="H828">IFERROR(INDEX('Day Range Raw Data'!H:H,Match($A828,'Day Range Raw Data'!$B:$B,0)),"")</f>
        <v/>
      </c>
      <c r="I828" t="str">
        <f t="array" ref="I828">IFERROR(INDEX('Day Range Raw Data'!M:M,Match($A828,'Day Range Raw Data'!$B:$B,0)),"")</f>
        <v/>
      </c>
      <c r="J828" t="str">
        <f t="array" ref="J828">IFERROR(INDEX('Day Range Raw Data'!N:N,Match($A828,'Day Range Raw Data'!$B:$B,0)),"")</f>
        <v/>
      </c>
      <c r="K828" t="str">
        <f t="array" ref="K828">IFERROR(INDEX('Day Range Raw Data'!R:R,Match($A828,'Day Range Raw Data'!$B:$B,0)),"")</f>
        <v/>
      </c>
      <c r="L828" t="str">
        <f t="array" ref="L828">IFERROR(INDEX('Day Range Raw Data'!S:S,Match($A828,'Day Range Raw Data'!$B:$B,0)),"")</f>
        <v/>
      </c>
      <c r="M828" t="str">
        <f t="array" ref="M828">IFERROR(INDEX('Day Range Raw Data'!T:T,Match($A828,'Day Range Raw Data'!$B:$B,0)),"")</f>
        <v/>
      </c>
      <c r="N828" t="str">
        <f t="array" ref="N828">IFERROR(INDEX('Day Range Raw Data'!U:U,Match($A828,'Day Range Raw Data'!$B:$B,0)),"")</f>
        <v/>
      </c>
      <c r="O828" t="str">
        <f t="array" ref="O828">IFERROR(INDEX('Day Range Raw Data'!V:V,Match($A828,'Day Range Raw Data'!$B:$B,0)),"")</f>
        <v/>
      </c>
      <c r="P828" t="str">
        <f t="array" ref="P828">IFERROR(INDEX('Day Range Raw Data'!X:X,Match($A828,'Day Range Raw Data'!$B:$B,0)),"")</f>
        <v/>
      </c>
      <c r="Q828" t="str">
        <f t="shared" si="1"/>
        <v/>
      </c>
      <c r="R828" s="9" t="str">
        <f t="shared" si="2"/>
        <v/>
      </c>
      <c r="S828" s="14" t="str">
        <f t="shared" si="3"/>
        <v/>
      </c>
      <c r="T828" s="15" t="str">
        <f>IFERROR(__xludf.DUMMYFUNCTION("IF($A828="""","""",IFERROR(PERCENTRANK.INC(FILTER(Q:Q,$F:$F&lt;&gt;""""),Q828)*100,""""))"),"")</f>
        <v/>
      </c>
      <c r="U828" s="15" t="str">
        <f>IFERROR(__xludf.DUMMYFUNCTION("IF($A828="""","""",IFERROR(PERCENTRANK.INC(FILTER(R:R,$F:$F&lt;&gt;""""),R828)*100,""""))"),"")</f>
        <v/>
      </c>
      <c r="V828" s="15" t="str">
        <f>IFERROR(__xludf.DUMMYFUNCTION("IF($A828="""","""",IFERROR(PERCENTRANK.INC(FILTER(S:S,$F:$F&lt;&gt;""""),S828)*100,""""))"),"")</f>
        <v/>
      </c>
      <c r="W828" s="15" t="str">
        <f t="shared" si="5"/>
        <v/>
      </c>
    </row>
    <row r="829">
      <c r="B829" t="str">
        <f t="array" ref="B829">IFERROR(INDEX('Player Raw Data'!C:C,Match($A829,'Player Raw Data'!$B:$B,0)),"")</f>
        <v/>
      </c>
      <c r="C829" t="str">
        <f t="array" ref="C829">IFERROR(INDEX('Player Raw Data'!D:D,Match($A829,'Player Raw Data'!$B:$B,0)),"")</f>
        <v/>
      </c>
      <c r="D829" t="str">
        <f t="array" ref="D829">IFERROR(IF(A829=A828, INDEX('Player Raw Data'!E:E,Match($A829,'Player Raw Data'!$B:$B,0)+2),INDEX('Player Raw Data'!E:E,Match($A829,'Player Raw Data'!$B:$B,0))),"")</f>
        <v/>
      </c>
      <c r="E829" t="str">
        <f t="array" ref="E829">IFERROR(INDEX('Day Range Raw Data'!D:D,Match($A829,'Day Range Raw Data'!$B:$B,0)),"")</f>
        <v/>
      </c>
      <c r="F829" t="str">
        <f t="array" ref="F829">IFERROR(INDEX('Day Range Raw Data'!F:F,Match($A829,'Day Range Raw Data'!$B:$B,0)),"")</f>
        <v/>
      </c>
      <c r="G829" t="str">
        <f t="array" ref="G829">IFERROR(INDEX('Day Range Raw Data'!G:G,Match($A829,'Day Range Raw Data'!$B:$B,0)),"")</f>
        <v/>
      </c>
      <c r="H829" t="str">
        <f t="array" ref="H829">IFERROR(INDEX('Day Range Raw Data'!H:H,Match($A829,'Day Range Raw Data'!$B:$B,0)),"")</f>
        <v/>
      </c>
      <c r="I829" t="str">
        <f t="array" ref="I829">IFERROR(INDEX('Day Range Raw Data'!M:M,Match($A829,'Day Range Raw Data'!$B:$B,0)),"")</f>
        <v/>
      </c>
      <c r="J829" t="str">
        <f t="array" ref="J829">IFERROR(INDEX('Day Range Raw Data'!N:N,Match($A829,'Day Range Raw Data'!$B:$B,0)),"")</f>
        <v/>
      </c>
      <c r="K829" t="str">
        <f t="array" ref="K829">IFERROR(INDEX('Day Range Raw Data'!R:R,Match($A829,'Day Range Raw Data'!$B:$B,0)),"")</f>
        <v/>
      </c>
      <c r="L829" t="str">
        <f t="array" ref="L829">IFERROR(INDEX('Day Range Raw Data'!S:S,Match($A829,'Day Range Raw Data'!$B:$B,0)),"")</f>
        <v/>
      </c>
      <c r="M829" t="str">
        <f t="array" ref="M829">IFERROR(INDEX('Day Range Raw Data'!T:T,Match($A829,'Day Range Raw Data'!$B:$B,0)),"")</f>
        <v/>
      </c>
      <c r="N829" t="str">
        <f t="array" ref="N829">IFERROR(INDEX('Day Range Raw Data'!U:U,Match($A829,'Day Range Raw Data'!$B:$B,0)),"")</f>
        <v/>
      </c>
      <c r="O829" t="str">
        <f t="array" ref="O829">IFERROR(INDEX('Day Range Raw Data'!V:V,Match($A829,'Day Range Raw Data'!$B:$B,0)),"")</f>
        <v/>
      </c>
      <c r="P829" t="str">
        <f t="array" ref="P829">IFERROR(INDEX('Day Range Raw Data'!X:X,Match($A829,'Day Range Raw Data'!$B:$B,0)),"")</f>
        <v/>
      </c>
      <c r="Q829" t="str">
        <f t="shared" si="1"/>
        <v/>
      </c>
      <c r="R829" s="9" t="str">
        <f t="shared" si="2"/>
        <v/>
      </c>
      <c r="S829" s="14" t="str">
        <f t="shared" si="3"/>
        <v/>
      </c>
      <c r="T829" s="15" t="str">
        <f>IFERROR(__xludf.DUMMYFUNCTION("IF($A829="""","""",IFERROR(PERCENTRANK.INC(FILTER(Q:Q,$F:$F&lt;&gt;""""),Q829)*100,""""))"),"")</f>
        <v/>
      </c>
      <c r="U829" s="15" t="str">
        <f>IFERROR(__xludf.DUMMYFUNCTION("IF($A829="""","""",IFERROR(PERCENTRANK.INC(FILTER(R:R,$F:$F&lt;&gt;""""),R829)*100,""""))"),"")</f>
        <v/>
      </c>
      <c r="V829" s="15" t="str">
        <f>IFERROR(__xludf.DUMMYFUNCTION("IF($A829="""","""",IFERROR(PERCENTRANK.INC(FILTER(S:S,$F:$F&lt;&gt;""""),S829)*100,""""))"),"")</f>
        <v/>
      </c>
      <c r="W829" s="15" t="str">
        <f t="shared" si="5"/>
        <v/>
      </c>
    </row>
    <row r="830">
      <c r="B830" t="str">
        <f t="array" ref="B830">IFERROR(INDEX('Player Raw Data'!C:C,Match($A830,'Player Raw Data'!$B:$B,0)),"")</f>
        <v/>
      </c>
      <c r="C830" t="str">
        <f t="array" ref="C830">IFERROR(INDEX('Player Raw Data'!D:D,Match($A830,'Player Raw Data'!$B:$B,0)),"")</f>
        <v/>
      </c>
      <c r="D830" t="str">
        <f t="array" ref="D830">IFERROR(IF(A830=A829, INDEX('Player Raw Data'!E:E,Match($A830,'Player Raw Data'!$B:$B,0)+2),INDEX('Player Raw Data'!E:E,Match($A830,'Player Raw Data'!$B:$B,0))),"")</f>
        <v/>
      </c>
      <c r="E830" t="str">
        <f t="array" ref="E830">IFERROR(INDEX('Day Range Raw Data'!D:D,Match($A830,'Day Range Raw Data'!$B:$B,0)),"")</f>
        <v/>
      </c>
      <c r="F830" t="str">
        <f t="array" ref="F830">IFERROR(INDEX('Day Range Raw Data'!F:F,Match($A830,'Day Range Raw Data'!$B:$B,0)),"")</f>
        <v/>
      </c>
      <c r="G830" t="str">
        <f t="array" ref="G830">IFERROR(INDEX('Day Range Raw Data'!G:G,Match($A830,'Day Range Raw Data'!$B:$B,0)),"")</f>
        <v/>
      </c>
      <c r="H830" t="str">
        <f t="array" ref="H830">IFERROR(INDEX('Day Range Raw Data'!H:H,Match($A830,'Day Range Raw Data'!$B:$B,0)),"")</f>
        <v/>
      </c>
      <c r="I830" t="str">
        <f t="array" ref="I830">IFERROR(INDEX('Day Range Raw Data'!M:M,Match($A830,'Day Range Raw Data'!$B:$B,0)),"")</f>
        <v/>
      </c>
      <c r="J830" t="str">
        <f t="array" ref="J830">IFERROR(INDEX('Day Range Raw Data'!N:N,Match($A830,'Day Range Raw Data'!$B:$B,0)),"")</f>
        <v/>
      </c>
      <c r="K830" t="str">
        <f t="array" ref="K830">IFERROR(INDEX('Day Range Raw Data'!R:R,Match($A830,'Day Range Raw Data'!$B:$B,0)),"")</f>
        <v/>
      </c>
      <c r="L830" t="str">
        <f t="array" ref="L830">IFERROR(INDEX('Day Range Raw Data'!S:S,Match($A830,'Day Range Raw Data'!$B:$B,0)),"")</f>
        <v/>
      </c>
      <c r="M830" t="str">
        <f t="array" ref="M830">IFERROR(INDEX('Day Range Raw Data'!T:T,Match($A830,'Day Range Raw Data'!$B:$B,0)),"")</f>
        <v/>
      </c>
      <c r="N830" t="str">
        <f t="array" ref="N830">IFERROR(INDEX('Day Range Raw Data'!U:U,Match($A830,'Day Range Raw Data'!$B:$B,0)),"")</f>
        <v/>
      </c>
      <c r="O830" t="str">
        <f t="array" ref="O830">IFERROR(INDEX('Day Range Raw Data'!V:V,Match($A830,'Day Range Raw Data'!$B:$B,0)),"")</f>
        <v/>
      </c>
      <c r="P830" t="str">
        <f t="array" ref="P830">IFERROR(INDEX('Day Range Raw Data'!X:X,Match($A830,'Day Range Raw Data'!$B:$B,0)),"")</f>
        <v/>
      </c>
      <c r="Q830" t="str">
        <f t="shared" si="1"/>
        <v/>
      </c>
      <c r="R830" s="9" t="str">
        <f t="shared" si="2"/>
        <v/>
      </c>
      <c r="S830" s="14" t="str">
        <f t="shared" si="3"/>
        <v/>
      </c>
      <c r="T830" s="15" t="str">
        <f>IFERROR(__xludf.DUMMYFUNCTION("IF($A830="""","""",IFERROR(PERCENTRANK.INC(FILTER(Q:Q,$F:$F&lt;&gt;""""),Q830)*100,""""))"),"")</f>
        <v/>
      </c>
      <c r="U830" s="15" t="str">
        <f>IFERROR(__xludf.DUMMYFUNCTION("IF($A830="""","""",IFERROR(PERCENTRANK.INC(FILTER(R:R,$F:$F&lt;&gt;""""),R830)*100,""""))"),"")</f>
        <v/>
      </c>
      <c r="V830" s="15" t="str">
        <f>IFERROR(__xludf.DUMMYFUNCTION("IF($A830="""","""",IFERROR(PERCENTRANK.INC(FILTER(S:S,$F:$F&lt;&gt;""""),S830)*100,""""))"),"")</f>
        <v/>
      </c>
      <c r="W830" s="15" t="str">
        <f t="shared" si="5"/>
        <v/>
      </c>
    </row>
    <row r="831">
      <c r="B831" t="str">
        <f t="array" ref="B831">IFERROR(INDEX('Player Raw Data'!C:C,Match($A831,'Player Raw Data'!$B:$B,0)),"")</f>
        <v/>
      </c>
      <c r="C831" t="str">
        <f t="array" ref="C831">IFERROR(INDEX('Player Raw Data'!D:D,Match($A831,'Player Raw Data'!$B:$B,0)),"")</f>
        <v/>
      </c>
      <c r="D831" t="str">
        <f t="array" ref="D831">IFERROR(IF(A831=A830, INDEX('Player Raw Data'!E:E,Match($A831,'Player Raw Data'!$B:$B,0)+2),INDEX('Player Raw Data'!E:E,Match($A831,'Player Raw Data'!$B:$B,0))),"")</f>
        <v/>
      </c>
      <c r="E831" t="str">
        <f t="array" ref="E831">IFERROR(INDEX('Day Range Raw Data'!D:D,Match($A831,'Day Range Raw Data'!$B:$B,0)),"")</f>
        <v/>
      </c>
      <c r="F831" t="str">
        <f t="array" ref="F831">IFERROR(INDEX('Day Range Raw Data'!F:F,Match($A831,'Day Range Raw Data'!$B:$B,0)),"")</f>
        <v/>
      </c>
      <c r="G831" t="str">
        <f t="array" ref="G831">IFERROR(INDEX('Day Range Raw Data'!G:G,Match($A831,'Day Range Raw Data'!$B:$B,0)),"")</f>
        <v/>
      </c>
      <c r="H831" t="str">
        <f t="array" ref="H831">IFERROR(INDEX('Day Range Raw Data'!H:H,Match($A831,'Day Range Raw Data'!$B:$B,0)),"")</f>
        <v/>
      </c>
      <c r="I831" t="str">
        <f t="array" ref="I831">IFERROR(INDEX('Day Range Raw Data'!M:M,Match($A831,'Day Range Raw Data'!$B:$B,0)),"")</f>
        <v/>
      </c>
      <c r="J831" t="str">
        <f t="array" ref="J831">IFERROR(INDEX('Day Range Raw Data'!N:N,Match($A831,'Day Range Raw Data'!$B:$B,0)),"")</f>
        <v/>
      </c>
      <c r="K831" t="str">
        <f t="array" ref="K831">IFERROR(INDEX('Day Range Raw Data'!R:R,Match($A831,'Day Range Raw Data'!$B:$B,0)),"")</f>
        <v/>
      </c>
      <c r="L831" t="str">
        <f t="array" ref="L831">IFERROR(INDEX('Day Range Raw Data'!S:S,Match($A831,'Day Range Raw Data'!$B:$B,0)),"")</f>
        <v/>
      </c>
      <c r="M831" t="str">
        <f t="array" ref="M831">IFERROR(INDEX('Day Range Raw Data'!T:T,Match($A831,'Day Range Raw Data'!$B:$B,0)),"")</f>
        <v/>
      </c>
      <c r="N831" t="str">
        <f t="array" ref="N831">IFERROR(INDEX('Day Range Raw Data'!U:U,Match($A831,'Day Range Raw Data'!$B:$B,0)),"")</f>
        <v/>
      </c>
      <c r="O831" t="str">
        <f t="array" ref="O831">IFERROR(INDEX('Day Range Raw Data'!V:V,Match($A831,'Day Range Raw Data'!$B:$B,0)),"")</f>
        <v/>
      </c>
      <c r="P831" t="str">
        <f t="array" ref="P831">IFERROR(INDEX('Day Range Raw Data'!X:X,Match($A831,'Day Range Raw Data'!$B:$B,0)),"")</f>
        <v/>
      </c>
      <c r="Q831" t="str">
        <f t="shared" si="1"/>
        <v/>
      </c>
      <c r="R831" s="9" t="str">
        <f t="shared" si="2"/>
        <v/>
      </c>
      <c r="S831" s="14" t="str">
        <f t="shared" si="3"/>
        <v/>
      </c>
      <c r="T831" s="15" t="str">
        <f>IFERROR(__xludf.DUMMYFUNCTION("IF($A831="""","""",IFERROR(PERCENTRANK.INC(FILTER(Q:Q,$F:$F&lt;&gt;""""),Q831)*100,""""))"),"")</f>
        <v/>
      </c>
      <c r="U831" s="15" t="str">
        <f>IFERROR(__xludf.DUMMYFUNCTION("IF($A831="""","""",IFERROR(PERCENTRANK.INC(FILTER(R:R,$F:$F&lt;&gt;""""),R831)*100,""""))"),"")</f>
        <v/>
      </c>
      <c r="V831" s="15" t="str">
        <f>IFERROR(__xludf.DUMMYFUNCTION("IF($A831="""","""",IFERROR(PERCENTRANK.INC(FILTER(S:S,$F:$F&lt;&gt;""""),S831)*100,""""))"),"")</f>
        <v/>
      </c>
      <c r="W831" s="15" t="str">
        <f t="shared" si="5"/>
        <v/>
      </c>
    </row>
    <row r="832">
      <c r="B832" t="str">
        <f t="array" ref="B832">IFERROR(INDEX('Player Raw Data'!C:C,Match($A832,'Player Raw Data'!$B:$B,0)),"")</f>
        <v/>
      </c>
      <c r="C832" t="str">
        <f t="array" ref="C832">IFERROR(INDEX('Player Raw Data'!D:D,Match($A832,'Player Raw Data'!$B:$B,0)),"")</f>
        <v/>
      </c>
      <c r="D832" t="str">
        <f t="array" ref="D832">IFERROR(IF(A832=A831, INDEX('Player Raw Data'!E:E,Match($A832,'Player Raw Data'!$B:$B,0)+2),INDEX('Player Raw Data'!E:E,Match($A832,'Player Raw Data'!$B:$B,0))),"")</f>
        <v/>
      </c>
      <c r="E832" t="str">
        <f t="array" ref="E832">IFERROR(INDEX('Day Range Raw Data'!D:D,Match($A832,'Day Range Raw Data'!$B:$B,0)),"")</f>
        <v/>
      </c>
      <c r="F832" t="str">
        <f t="array" ref="F832">IFERROR(INDEX('Day Range Raw Data'!F:F,Match($A832,'Day Range Raw Data'!$B:$B,0)),"")</f>
        <v/>
      </c>
      <c r="G832" t="str">
        <f t="array" ref="G832">IFERROR(INDEX('Day Range Raw Data'!G:G,Match($A832,'Day Range Raw Data'!$B:$B,0)),"")</f>
        <v/>
      </c>
      <c r="H832" t="str">
        <f t="array" ref="H832">IFERROR(INDEX('Day Range Raw Data'!H:H,Match($A832,'Day Range Raw Data'!$B:$B,0)),"")</f>
        <v/>
      </c>
      <c r="I832" t="str">
        <f t="array" ref="I832">IFERROR(INDEX('Day Range Raw Data'!M:M,Match($A832,'Day Range Raw Data'!$B:$B,0)),"")</f>
        <v/>
      </c>
      <c r="J832" t="str">
        <f t="array" ref="J832">IFERROR(INDEX('Day Range Raw Data'!N:N,Match($A832,'Day Range Raw Data'!$B:$B,0)),"")</f>
        <v/>
      </c>
      <c r="K832" t="str">
        <f t="array" ref="K832">IFERROR(INDEX('Day Range Raw Data'!R:R,Match($A832,'Day Range Raw Data'!$B:$B,0)),"")</f>
        <v/>
      </c>
      <c r="L832" t="str">
        <f t="array" ref="L832">IFERROR(INDEX('Day Range Raw Data'!S:S,Match($A832,'Day Range Raw Data'!$B:$B,0)),"")</f>
        <v/>
      </c>
      <c r="M832" t="str">
        <f t="array" ref="M832">IFERROR(INDEX('Day Range Raw Data'!T:T,Match($A832,'Day Range Raw Data'!$B:$B,0)),"")</f>
        <v/>
      </c>
      <c r="N832" t="str">
        <f t="array" ref="N832">IFERROR(INDEX('Day Range Raw Data'!U:U,Match($A832,'Day Range Raw Data'!$B:$B,0)),"")</f>
        <v/>
      </c>
      <c r="O832" t="str">
        <f t="array" ref="O832">IFERROR(INDEX('Day Range Raw Data'!V:V,Match($A832,'Day Range Raw Data'!$B:$B,0)),"")</f>
        <v/>
      </c>
      <c r="P832" t="str">
        <f t="array" ref="P832">IFERROR(INDEX('Day Range Raw Data'!X:X,Match($A832,'Day Range Raw Data'!$B:$B,0)),"")</f>
        <v/>
      </c>
      <c r="Q832" t="str">
        <f t="shared" si="1"/>
        <v/>
      </c>
      <c r="R832" s="9" t="str">
        <f t="shared" si="2"/>
        <v/>
      </c>
      <c r="S832" s="14" t="str">
        <f t="shared" si="3"/>
        <v/>
      </c>
      <c r="T832" s="15" t="str">
        <f>IFERROR(__xludf.DUMMYFUNCTION("IF($A832="""","""",IFERROR(PERCENTRANK.INC(FILTER(Q:Q,$F:$F&lt;&gt;""""),Q832)*100,""""))"),"")</f>
        <v/>
      </c>
      <c r="U832" s="15" t="str">
        <f>IFERROR(__xludf.DUMMYFUNCTION("IF($A832="""","""",IFERROR(PERCENTRANK.INC(FILTER(R:R,$F:$F&lt;&gt;""""),R832)*100,""""))"),"")</f>
        <v/>
      </c>
      <c r="V832" s="15" t="str">
        <f>IFERROR(__xludf.DUMMYFUNCTION("IF($A832="""","""",IFERROR(PERCENTRANK.INC(FILTER(S:S,$F:$F&lt;&gt;""""),S832)*100,""""))"),"")</f>
        <v/>
      </c>
      <c r="W832" s="15" t="str">
        <f t="shared" si="5"/>
        <v/>
      </c>
    </row>
    <row r="833">
      <c r="B833" t="str">
        <f t="array" ref="B833">IFERROR(INDEX('Player Raw Data'!C:C,Match($A833,'Player Raw Data'!$B:$B,0)),"")</f>
        <v/>
      </c>
      <c r="C833" t="str">
        <f t="array" ref="C833">IFERROR(INDEX('Player Raw Data'!D:D,Match($A833,'Player Raw Data'!$B:$B,0)),"")</f>
        <v/>
      </c>
      <c r="D833" t="str">
        <f t="array" ref="D833">IFERROR(IF(A833=A832, INDEX('Player Raw Data'!E:E,Match($A833,'Player Raw Data'!$B:$B,0)+2),INDEX('Player Raw Data'!E:E,Match($A833,'Player Raw Data'!$B:$B,0))),"")</f>
        <v/>
      </c>
      <c r="E833" t="str">
        <f t="array" ref="E833">IFERROR(INDEX('Day Range Raw Data'!D:D,Match($A833,'Day Range Raw Data'!$B:$B,0)),"")</f>
        <v/>
      </c>
      <c r="F833" t="str">
        <f t="array" ref="F833">IFERROR(INDEX('Day Range Raw Data'!F:F,Match($A833,'Day Range Raw Data'!$B:$B,0)),"")</f>
        <v/>
      </c>
      <c r="G833" t="str">
        <f t="array" ref="G833">IFERROR(INDEX('Day Range Raw Data'!G:G,Match($A833,'Day Range Raw Data'!$B:$B,0)),"")</f>
        <v/>
      </c>
      <c r="H833" t="str">
        <f t="array" ref="H833">IFERROR(INDEX('Day Range Raw Data'!H:H,Match($A833,'Day Range Raw Data'!$B:$B,0)),"")</f>
        <v/>
      </c>
      <c r="I833" t="str">
        <f t="array" ref="I833">IFERROR(INDEX('Day Range Raw Data'!M:M,Match($A833,'Day Range Raw Data'!$B:$B,0)),"")</f>
        <v/>
      </c>
      <c r="J833" t="str">
        <f t="array" ref="J833">IFERROR(INDEX('Day Range Raw Data'!N:N,Match($A833,'Day Range Raw Data'!$B:$B,0)),"")</f>
        <v/>
      </c>
      <c r="K833" t="str">
        <f t="array" ref="K833">IFERROR(INDEX('Day Range Raw Data'!R:R,Match($A833,'Day Range Raw Data'!$B:$B,0)),"")</f>
        <v/>
      </c>
      <c r="L833" t="str">
        <f t="array" ref="L833">IFERROR(INDEX('Day Range Raw Data'!S:S,Match($A833,'Day Range Raw Data'!$B:$B,0)),"")</f>
        <v/>
      </c>
      <c r="M833" t="str">
        <f t="array" ref="M833">IFERROR(INDEX('Day Range Raw Data'!T:T,Match($A833,'Day Range Raw Data'!$B:$B,0)),"")</f>
        <v/>
      </c>
      <c r="N833" t="str">
        <f t="array" ref="N833">IFERROR(INDEX('Day Range Raw Data'!U:U,Match($A833,'Day Range Raw Data'!$B:$B,0)),"")</f>
        <v/>
      </c>
      <c r="O833" t="str">
        <f t="array" ref="O833">IFERROR(INDEX('Day Range Raw Data'!V:V,Match($A833,'Day Range Raw Data'!$B:$B,0)),"")</f>
        <v/>
      </c>
      <c r="P833" t="str">
        <f t="array" ref="P833">IFERROR(INDEX('Day Range Raw Data'!X:X,Match($A833,'Day Range Raw Data'!$B:$B,0)),"")</f>
        <v/>
      </c>
      <c r="Q833" t="str">
        <f t="shared" si="1"/>
        <v/>
      </c>
      <c r="R833" s="9" t="str">
        <f t="shared" si="2"/>
        <v/>
      </c>
      <c r="S833" s="14" t="str">
        <f t="shared" si="3"/>
        <v/>
      </c>
      <c r="T833" s="15" t="str">
        <f>IFERROR(__xludf.DUMMYFUNCTION("IF($A833="""","""",IFERROR(PERCENTRANK.INC(FILTER(Q:Q,$F:$F&lt;&gt;""""),Q833)*100,""""))"),"")</f>
        <v/>
      </c>
      <c r="U833" s="15" t="str">
        <f>IFERROR(__xludf.DUMMYFUNCTION("IF($A833="""","""",IFERROR(PERCENTRANK.INC(FILTER(R:R,$F:$F&lt;&gt;""""),R833)*100,""""))"),"")</f>
        <v/>
      </c>
      <c r="V833" s="15" t="str">
        <f>IFERROR(__xludf.DUMMYFUNCTION("IF($A833="""","""",IFERROR(PERCENTRANK.INC(FILTER(S:S,$F:$F&lt;&gt;""""),S833)*100,""""))"),"")</f>
        <v/>
      </c>
      <c r="W833" s="15" t="str">
        <f t="shared" si="5"/>
        <v/>
      </c>
    </row>
    <row r="834">
      <c r="B834" t="str">
        <f t="array" ref="B834">IFERROR(INDEX('Player Raw Data'!C:C,Match($A834,'Player Raw Data'!$B:$B,0)),"")</f>
        <v/>
      </c>
      <c r="C834" t="str">
        <f t="array" ref="C834">IFERROR(INDEX('Player Raw Data'!D:D,Match($A834,'Player Raw Data'!$B:$B,0)),"")</f>
        <v/>
      </c>
      <c r="D834" t="str">
        <f t="array" ref="D834">IFERROR(IF(A834=A833, INDEX('Player Raw Data'!E:E,Match($A834,'Player Raw Data'!$B:$B,0)+2),INDEX('Player Raw Data'!E:E,Match($A834,'Player Raw Data'!$B:$B,0))),"")</f>
        <v/>
      </c>
      <c r="E834" t="str">
        <f t="array" ref="E834">IFERROR(INDEX('Day Range Raw Data'!D:D,Match($A834,'Day Range Raw Data'!$B:$B,0)),"")</f>
        <v/>
      </c>
      <c r="F834" t="str">
        <f t="array" ref="F834">IFERROR(INDEX('Day Range Raw Data'!F:F,Match($A834,'Day Range Raw Data'!$B:$B,0)),"")</f>
        <v/>
      </c>
      <c r="G834" t="str">
        <f t="array" ref="G834">IFERROR(INDEX('Day Range Raw Data'!G:G,Match($A834,'Day Range Raw Data'!$B:$B,0)),"")</f>
        <v/>
      </c>
      <c r="H834" t="str">
        <f t="array" ref="H834">IFERROR(INDEX('Day Range Raw Data'!H:H,Match($A834,'Day Range Raw Data'!$B:$B,0)),"")</f>
        <v/>
      </c>
      <c r="I834" t="str">
        <f t="array" ref="I834">IFERROR(INDEX('Day Range Raw Data'!M:M,Match($A834,'Day Range Raw Data'!$B:$B,0)),"")</f>
        <v/>
      </c>
      <c r="J834" t="str">
        <f t="array" ref="J834">IFERROR(INDEX('Day Range Raw Data'!N:N,Match($A834,'Day Range Raw Data'!$B:$B,0)),"")</f>
        <v/>
      </c>
      <c r="K834" t="str">
        <f t="array" ref="K834">IFERROR(INDEX('Day Range Raw Data'!R:R,Match($A834,'Day Range Raw Data'!$B:$B,0)),"")</f>
        <v/>
      </c>
      <c r="L834" t="str">
        <f t="array" ref="L834">IFERROR(INDEX('Day Range Raw Data'!S:S,Match($A834,'Day Range Raw Data'!$B:$B,0)),"")</f>
        <v/>
      </c>
      <c r="M834" t="str">
        <f t="array" ref="M834">IFERROR(INDEX('Day Range Raw Data'!T:T,Match($A834,'Day Range Raw Data'!$B:$B,0)),"")</f>
        <v/>
      </c>
      <c r="N834" t="str">
        <f t="array" ref="N834">IFERROR(INDEX('Day Range Raw Data'!U:U,Match($A834,'Day Range Raw Data'!$B:$B,0)),"")</f>
        <v/>
      </c>
      <c r="O834" t="str">
        <f t="array" ref="O834">IFERROR(INDEX('Day Range Raw Data'!V:V,Match($A834,'Day Range Raw Data'!$B:$B,0)),"")</f>
        <v/>
      </c>
      <c r="P834" t="str">
        <f t="array" ref="P834">IFERROR(INDEX('Day Range Raw Data'!X:X,Match($A834,'Day Range Raw Data'!$B:$B,0)),"")</f>
        <v/>
      </c>
      <c r="Q834" t="str">
        <f t="shared" si="1"/>
        <v/>
      </c>
      <c r="R834" s="9" t="str">
        <f t="shared" si="2"/>
        <v/>
      </c>
      <c r="S834" s="14" t="str">
        <f t="shared" si="3"/>
        <v/>
      </c>
      <c r="T834" s="15" t="str">
        <f>IFERROR(__xludf.DUMMYFUNCTION("IF($A834="""","""",IFERROR(PERCENTRANK.INC(FILTER(Q:Q,$F:$F&lt;&gt;""""),Q834)*100,""""))"),"")</f>
        <v/>
      </c>
      <c r="U834" s="15" t="str">
        <f>IFERROR(__xludf.DUMMYFUNCTION("IF($A834="""","""",IFERROR(PERCENTRANK.INC(FILTER(R:R,$F:$F&lt;&gt;""""),R834)*100,""""))"),"")</f>
        <v/>
      </c>
      <c r="V834" s="15" t="str">
        <f>IFERROR(__xludf.DUMMYFUNCTION("IF($A834="""","""",IFERROR(PERCENTRANK.INC(FILTER(S:S,$F:$F&lt;&gt;""""),S834)*100,""""))"),"")</f>
        <v/>
      </c>
      <c r="W834" s="15" t="str">
        <f t="shared" si="5"/>
        <v/>
      </c>
    </row>
    <row r="835">
      <c r="B835" t="str">
        <f t="array" ref="B835">IFERROR(INDEX('Player Raw Data'!C:C,Match($A835,'Player Raw Data'!$B:$B,0)),"")</f>
        <v/>
      </c>
      <c r="C835" t="str">
        <f t="array" ref="C835">IFERROR(INDEX('Player Raw Data'!D:D,Match($A835,'Player Raw Data'!$B:$B,0)),"")</f>
        <v/>
      </c>
      <c r="D835" t="str">
        <f t="array" ref="D835">IFERROR(IF(A835=A834, INDEX('Player Raw Data'!E:E,Match($A835,'Player Raw Data'!$B:$B,0)+2),INDEX('Player Raw Data'!E:E,Match($A835,'Player Raw Data'!$B:$B,0))),"")</f>
        <v/>
      </c>
      <c r="E835" t="str">
        <f t="array" ref="E835">IFERROR(INDEX('Day Range Raw Data'!D:D,Match($A835,'Day Range Raw Data'!$B:$B,0)),"")</f>
        <v/>
      </c>
      <c r="F835" t="str">
        <f t="array" ref="F835">IFERROR(INDEX('Day Range Raw Data'!F:F,Match($A835,'Day Range Raw Data'!$B:$B,0)),"")</f>
        <v/>
      </c>
      <c r="G835" t="str">
        <f t="array" ref="G835">IFERROR(INDEX('Day Range Raw Data'!G:G,Match($A835,'Day Range Raw Data'!$B:$B,0)),"")</f>
        <v/>
      </c>
      <c r="H835" t="str">
        <f t="array" ref="H835">IFERROR(INDEX('Day Range Raw Data'!H:H,Match($A835,'Day Range Raw Data'!$B:$B,0)),"")</f>
        <v/>
      </c>
      <c r="I835" t="str">
        <f t="array" ref="I835">IFERROR(INDEX('Day Range Raw Data'!M:M,Match($A835,'Day Range Raw Data'!$B:$B,0)),"")</f>
        <v/>
      </c>
      <c r="J835" t="str">
        <f t="array" ref="J835">IFERROR(INDEX('Day Range Raw Data'!N:N,Match($A835,'Day Range Raw Data'!$B:$B,0)),"")</f>
        <v/>
      </c>
      <c r="K835" t="str">
        <f t="array" ref="K835">IFERROR(INDEX('Day Range Raw Data'!R:R,Match($A835,'Day Range Raw Data'!$B:$B,0)),"")</f>
        <v/>
      </c>
      <c r="L835" t="str">
        <f t="array" ref="L835">IFERROR(INDEX('Day Range Raw Data'!S:S,Match($A835,'Day Range Raw Data'!$B:$B,0)),"")</f>
        <v/>
      </c>
      <c r="M835" t="str">
        <f t="array" ref="M835">IFERROR(INDEX('Day Range Raw Data'!T:T,Match($A835,'Day Range Raw Data'!$B:$B,0)),"")</f>
        <v/>
      </c>
      <c r="N835" t="str">
        <f t="array" ref="N835">IFERROR(INDEX('Day Range Raw Data'!U:U,Match($A835,'Day Range Raw Data'!$B:$B,0)),"")</f>
        <v/>
      </c>
      <c r="O835" t="str">
        <f t="array" ref="O835">IFERROR(INDEX('Day Range Raw Data'!V:V,Match($A835,'Day Range Raw Data'!$B:$B,0)),"")</f>
        <v/>
      </c>
      <c r="P835" t="str">
        <f t="array" ref="P835">IFERROR(INDEX('Day Range Raw Data'!X:X,Match($A835,'Day Range Raw Data'!$B:$B,0)),"")</f>
        <v/>
      </c>
      <c r="Q835" t="str">
        <f t="shared" si="1"/>
        <v/>
      </c>
      <c r="R835" s="9" t="str">
        <f t="shared" si="2"/>
        <v/>
      </c>
      <c r="S835" s="14" t="str">
        <f t="shared" si="3"/>
        <v/>
      </c>
      <c r="T835" s="15" t="str">
        <f>IFERROR(__xludf.DUMMYFUNCTION("IF($A835="""","""",IFERROR(PERCENTRANK.INC(FILTER(Q:Q,$F:$F&lt;&gt;""""),Q835)*100,""""))"),"")</f>
        <v/>
      </c>
      <c r="U835" s="15" t="str">
        <f>IFERROR(__xludf.DUMMYFUNCTION("IF($A835="""","""",IFERROR(PERCENTRANK.INC(FILTER(R:R,$F:$F&lt;&gt;""""),R835)*100,""""))"),"")</f>
        <v/>
      </c>
      <c r="V835" s="15" t="str">
        <f>IFERROR(__xludf.DUMMYFUNCTION("IF($A835="""","""",IFERROR(PERCENTRANK.INC(FILTER(S:S,$F:$F&lt;&gt;""""),S835)*100,""""))"),"")</f>
        <v/>
      </c>
      <c r="W835" s="15" t="str">
        <f t="shared" si="5"/>
        <v/>
      </c>
    </row>
    <row r="836">
      <c r="B836" t="str">
        <f t="array" ref="B836">IFERROR(INDEX('Player Raw Data'!C:C,Match($A836,'Player Raw Data'!$B:$B,0)),"")</f>
        <v/>
      </c>
      <c r="C836" t="str">
        <f t="array" ref="C836">IFERROR(INDEX('Player Raw Data'!D:D,Match($A836,'Player Raw Data'!$B:$B,0)),"")</f>
        <v/>
      </c>
      <c r="D836" t="str">
        <f t="array" ref="D836">IFERROR(IF(A836=A835, INDEX('Player Raw Data'!E:E,Match($A836,'Player Raw Data'!$B:$B,0)+2),INDEX('Player Raw Data'!E:E,Match($A836,'Player Raw Data'!$B:$B,0))),"")</f>
        <v/>
      </c>
      <c r="E836" t="str">
        <f t="array" ref="E836">IFERROR(INDEX('Day Range Raw Data'!D:D,Match($A836,'Day Range Raw Data'!$B:$B,0)),"")</f>
        <v/>
      </c>
      <c r="F836" t="str">
        <f t="array" ref="F836">IFERROR(INDEX('Day Range Raw Data'!F:F,Match($A836,'Day Range Raw Data'!$B:$B,0)),"")</f>
        <v/>
      </c>
      <c r="G836" t="str">
        <f t="array" ref="G836">IFERROR(INDEX('Day Range Raw Data'!G:G,Match($A836,'Day Range Raw Data'!$B:$B,0)),"")</f>
        <v/>
      </c>
      <c r="H836" t="str">
        <f t="array" ref="H836">IFERROR(INDEX('Day Range Raw Data'!H:H,Match($A836,'Day Range Raw Data'!$B:$B,0)),"")</f>
        <v/>
      </c>
      <c r="I836" t="str">
        <f t="array" ref="I836">IFERROR(INDEX('Day Range Raw Data'!M:M,Match($A836,'Day Range Raw Data'!$B:$B,0)),"")</f>
        <v/>
      </c>
      <c r="J836" t="str">
        <f t="array" ref="J836">IFERROR(INDEX('Day Range Raw Data'!N:N,Match($A836,'Day Range Raw Data'!$B:$B,0)),"")</f>
        <v/>
      </c>
      <c r="K836" t="str">
        <f t="array" ref="K836">IFERROR(INDEX('Day Range Raw Data'!R:R,Match($A836,'Day Range Raw Data'!$B:$B,0)),"")</f>
        <v/>
      </c>
      <c r="L836" t="str">
        <f t="array" ref="L836">IFERROR(INDEX('Day Range Raw Data'!S:S,Match($A836,'Day Range Raw Data'!$B:$B,0)),"")</f>
        <v/>
      </c>
      <c r="M836" t="str">
        <f t="array" ref="M836">IFERROR(INDEX('Day Range Raw Data'!T:T,Match($A836,'Day Range Raw Data'!$B:$B,0)),"")</f>
        <v/>
      </c>
      <c r="N836" t="str">
        <f t="array" ref="N836">IFERROR(INDEX('Day Range Raw Data'!U:U,Match($A836,'Day Range Raw Data'!$B:$B,0)),"")</f>
        <v/>
      </c>
      <c r="O836" t="str">
        <f t="array" ref="O836">IFERROR(INDEX('Day Range Raw Data'!V:V,Match($A836,'Day Range Raw Data'!$B:$B,0)),"")</f>
        <v/>
      </c>
      <c r="P836" t="str">
        <f t="array" ref="P836">IFERROR(INDEX('Day Range Raw Data'!X:X,Match($A836,'Day Range Raw Data'!$B:$B,0)),"")</f>
        <v/>
      </c>
      <c r="Q836" t="str">
        <f t="shared" si="1"/>
        <v/>
      </c>
      <c r="R836" s="9" t="str">
        <f t="shared" si="2"/>
        <v/>
      </c>
      <c r="S836" s="14" t="str">
        <f t="shared" si="3"/>
        <v/>
      </c>
      <c r="T836" s="15" t="str">
        <f>IFERROR(__xludf.DUMMYFUNCTION("IF($A836="""","""",IFERROR(PERCENTRANK.INC(FILTER(Q:Q,$F:$F&lt;&gt;""""),Q836)*100,""""))"),"")</f>
        <v/>
      </c>
      <c r="U836" s="15" t="str">
        <f>IFERROR(__xludf.DUMMYFUNCTION("IF($A836="""","""",IFERROR(PERCENTRANK.INC(FILTER(R:R,$F:$F&lt;&gt;""""),R836)*100,""""))"),"")</f>
        <v/>
      </c>
      <c r="V836" s="15" t="str">
        <f>IFERROR(__xludf.DUMMYFUNCTION("IF($A836="""","""",IFERROR(PERCENTRANK.INC(FILTER(S:S,$F:$F&lt;&gt;""""),S836)*100,""""))"),"")</f>
        <v/>
      </c>
      <c r="W836" s="15" t="str">
        <f t="shared" si="5"/>
        <v/>
      </c>
    </row>
    <row r="837">
      <c r="B837" t="str">
        <f t="array" ref="B837">IFERROR(INDEX('Player Raw Data'!C:C,Match($A837,'Player Raw Data'!$B:$B,0)),"")</f>
        <v/>
      </c>
      <c r="C837" t="str">
        <f t="array" ref="C837">IFERROR(INDEX('Player Raw Data'!D:D,Match($A837,'Player Raw Data'!$B:$B,0)),"")</f>
        <v/>
      </c>
      <c r="D837" t="str">
        <f t="array" ref="D837">IFERROR(IF(A837=A836, INDEX('Player Raw Data'!E:E,Match($A837,'Player Raw Data'!$B:$B,0)+2),INDEX('Player Raw Data'!E:E,Match($A837,'Player Raw Data'!$B:$B,0))),"")</f>
        <v/>
      </c>
      <c r="E837" t="str">
        <f t="array" ref="E837">IFERROR(INDEX('Day Range Raw Data'!D:D,Match($A837,'Day Range Raw Data'!$B:$B,0)),"")</f>
        <v/>
      </c>
      <c r="F837" t="str">
        <f t="array" ref="F837">IFERROR(INDEX('Day Range Raw Data'!F:F,Match($A837,'Day Range Raw Data'!$B:$B,0)),"")</f>
        <v/>
      </c>
      <c r="G837" t="str">
        <f t="array" ref="G837">IFERROR(INDEX('Day Range Raw Data'!G:G,Match($A837,'Day Range Raw Data'!$B:$B,0)),"")</f>
        <v/>
      </c>
      <c r="H837" t="str">
        <f t="array" ref="H837">IFERROR(INDEX('Day Range Raw Data'!H:H,Match($A837,'Day Range Raw Data'!$B:$B,0)),"")</f>
        <v/>
      </c>
      <c r="I837" t="str">
        <f t="array" ref="I837">IFERROR(INDEX('Day Range Raw Data'!M:M,Match($A837,'Day Range Raw Data'!$B:$B,0)),"")</f>
        <v/>
      </c>
      <c r="J837" t="str">
        <f t="array" ref="J837">IFERROR(INDEX('Day Range Raw Data'!N:N,Match($A837,'Day Range Raw Data'!$B:$B,0)),"")</f>
        <v/>
      </c>
      <c r="K837" t="str">
        <f t="array" ref="K837">IFERROR(INDEX('Day Range Raw Data'!R:R,Match($A837,'Day Range Raw Data'!$B:$B,0)),"")</f>
        <v/>
      </c>
      <c r="L837" t="str">
        <f t="array" ref="L837">IFERROR(INDEX('Day Range Raw Data'!S:S,Match($A837,'Day Range Raw Data'!$B:$B,0)),"")</f>
        <v/>
      </c>
      <c r="M837" t="str">
        <f t="array" ref="M837">IFERROR(INDEX('Day Range Raw Data'!T:T,Match($A837,'Day Range Raw Data'!$B:$B,0)),"")</f>
        <v/>
      </c>
      <c r="N837" t="str">
        <f t="array" ref="N837">IFERROR(INDEX('Day Range Raw Data'!U:U,Match($A837,'Day Range Raw Data'!$B:$B,0)),"")</f>
        <v/>
      </c>
      <c r="O837" t="str">
        <f t="array" ref="O837">IFERROR(INDEX('Day Range Raw Data'!V:V,Match($A837,'Day Range Raw Data'!$B:$B,0)),"")</f>
        <v/>
      </c>
      <c r="P837" t="str">
        <f t="array" ref="P837">IFERROR(INDEX('Day Range Raw Data'!X:X,Match($A837,'Day Range Raw Data'!$B:$B,0)),"")</f>
        <v/>
      </c>
      <c r="Q837" t="str">
        <f t="shared" si="1"/>
        <v/>
      </c>
      <c r="R837" s="9" t="str">
        <f t="shared" si="2"/>
        <v/>
      </c>
      <c r="S837" s="14" t="str">
        <f t="shared" si="3"/>
        <v/>
      </c>
      <c r="T837" s="15" t="str">
        <f>IFERROR(__xludf.DUMMYFUNCTION("IF($A837="""","""",IFERROR(PERCENTRANK.INC(FILTER(Q:Q,$F:$F&lt;&gt;""""),Q837)*100,""""))"),"")</f>
        <v/>
      </c>
      <c r="U837" s="15" t="str">
        <f>IFERROR(__xludf.DUMMYFUNCTION("IF($A837="""","""",IFERROR(PERCENTRANK.INC(FILTER(R:R,$F:$F&lt;&gt;""""),R837)*100,""""))"),"")</f>
        <v/>
      </c>
      <c r="V837" s="15" t="str">
        <f>IFERROR(__xludf.DUMMYFUNCTION("IF($A837="""","""",IFERROR(PERCENTRANK.INC(FILTER(S:S,$F:$F&lt;&gt;""""),S837)*100,""""))"),"")</f>
        <v/>
      </c>
      <c r="W837" s="15" t="str">
        <f t="shared" si="5"/>
        <v/>
      </c>
    </row>
    <row r="838">
      <c r="B838" t="str">
        <f t="array" ref="B838">IFERROR(INDEX('Player Raw Data'!C:C,Match($A838,'Player Raw Data'!$B:$B,0)),"")</f>
        <v/>
      </c>
      <c r="C838" t="str">
        <f t="array" ref="C838">IFERROR(INDEX('Player Raw Data'!D:D,Match($A838,'Player Raw Data'!$B:$B,0)),"")</f>
        <v/>
      </c>
      <c r="D838" t="str">
        <f t="array" ref="D838">IFERROR(IF(A838=A837, INDEX('Player Raw Data'!E:E,Match($A838,'Player Raw Data'!$B:$B,0)+2),INDEX('Player Raw Data'!E:E,Match($A838,'Player Raw Data'!$B:$B,0))),"")</f>
        <v/>
      </c>
      <c r="E838" t="str">
        <f t="array" ref="E838">IFERROR(INDEX('Day Range Raw Data'!D:D,Match($A838,'Day Range Raw Data'!$B:$B,0)),"")</f>
        <v/>
      </c>
      <c r="F838" t="str">
        <f t="array" ref="F838">IFERROR(INDEX('Day Range Raw Data'!F:F,Match($A838,'Day Range Raw Data'!$B:$B,0)),"")</f>
        <v/>
      </c>
      <c r="G838" t="str">
        <f t="array" ref="G838">IFERROR(INDEX('Day Range Raw Data'!G:G,Match($A838,'Day Range Raw Data'!$B:$B,0)),"")</f>
        <v/>
      </c>
      <c r="H838" t="str">
        <f t="array" ref="H838">IFERROR(INDEX('Day Range Raw Data'!H:H,Match($A838,'Day Range Raw Data'!$B:$B,0)),"")</f>
        <v/>
      </c>
      <c r="I838" t="str">
        <f t="array" ref="I838">IFERROR(INDEX('Day Range Raw Data'!M:M,Match($A838,'Day Range Raw Data'!$B:$B,0)),"")</f>
        <v/>
      </c>
      <c r="J838" t="str">
        <f t="array" ref="J838">IFERROR(INDEX('Day Range Raw Data'!N:N,Match($A838,'Day Range Raw Data'!$B:$B,0)),"")</f>
        <v/>
      </c>
      <c r="K838" t="str">
        <f t="array" ref="K838">IFERROR(INDEX('Day Range Raw Data'!R:R,Match($A838,'Day Range Raw Data'!$B:$B,0)),"")</f>
        <v/>
      </c>
      <c r="L838" t="str">
        <f t="array" ref="L838">IFERROR(INDEX('Day Range Raw Data'!S:S,Match($A838,'Day Range Raw Data'!$B:$B,0)),"")</f>
        <v/>
      </c>
      <c r="M838" t="str">
        <f t="array" ref="M838">IFERROR(INDEX('Day Range Raw Data'!T:T,Match($A838,'Day Range Raw Data'!$B:$B,0)),"")</f>
        <v/>
      </c>
      <c r="N838" t="str">
        <f t="array" ref="N838">IFERROR(INDEX('Day Range Raw Data'!U:U,Match($A838,'Day Range Raw Data'!$B:$B,0)),"")</f>
        <v/>
      </c>
      <c r="O838" t="str">
        <f t="array" ref="O838">IFERROR(INDEX('Day Range Raw Data'!V:V,Match($A838,'Day Range Raw Data'!$B:$B,0)),"")</f>
        <v/>
      </c>
      <c r="P838" t="str">
        <f t="array" ref="P838">IFERROR(INDEX('Day Range Raw Data'!X:X,Match($A838,'Day Range Raw Data'!$B:$B,0)),"")</f>
        <v/>
      </c>
      <c r="Q838" t="str">
        <f t="shared" si="1"/>
        <v/>
      </c>
      <c r="R838" s="9" t="str">
        <f t="shared" si="2"/>
        <v/>
      </c>
      <c r="S838" s="14" t="str">
        <f t="shared" si="3"/>
        <v/>
      </c>
      <c r="T838" s="15" t="str">
        <f>IFERROR(__xludf.DUMMYFUNCTION("IF($A838="""","""",IFERROR(PERCENTRANK.INC(FILTER(Q:Q,$F:$F&lt;&gt;""""),Q838)*100,""""))"),"")</f>
        <v/>
      </c>
      <c r="U838" s="15" t="str">
        <f>IFERROR(__xludf.DUMMYFUNCTION("IF($A838="""","""",IFERROR(PERCENTRANK.INC(FILTER(R:R,$F:$F&lt;&gt;""""),R838)*100,""""))"),"")</f>
        <v/>
      </c>
      <c r="V838" s="15" t="str">
        <f>IFERROR(__xludf.DUMMYFUNCTION("IF($A838="""","""",IFERROR(PERCENTRANK.INC(FILTER(S:S,$F:$F&lt;&gt;""""),S838)*100,""""))"),"")</f>
        <v/>
      </c>
      <c r="W838" s="15" t="str">
        <f t="shared" si="5"/>
        <v/>
      </c>
    </row>
    <row r="839">
      <c r="B839" t="str">
        <f t="array" ref="B839">IFERROR(INDEX('Player Raw Data'!C:C,Match($A839,'Player Raw Data'!$B:$B,0)),"")</f>
        <v/>
      </c>
      <c r="C839" t="str">
        <f t="array" ref="C839">IFERROR(INDEX('Player Raw Data'!D:D,Match($A839,'Player Raw Data'!$B:$B,0)),"")</f>
        <v/>
      </c>
      <c r="D839" t="str">
        <f t="array" ref="D839">IFERROR(IF(A839=A838, INDEX('Player Raw Data'!E:E,Match($A839,'Player Raw Data'!$B:$B,0)+2),INDEX('Player Raw Data'!E:E,Match($A839,'Player Raw Data'!$B:$B,0))),"")</f>
        <v/>
      </c>
      <c r="E839" t="str">
        <f t="array" ref="E839">IFERROR(INDEX('Day Range Raw Data'!D:D,Match($A839,'Day Range Raw Data'!$B:$B,0)),"")</f>
        <v/>
      </c>
      <c r="F839" t="str">
        <f t="array" ref="F839">IFERROR(INDEX('Day Range Raw Data'!F:F,Match($A839,'Day Range Raw Data'!$B:$B,0)),"")</f>
        <v/>
      </c>
      <c r="G839" t="str">
        <f t="array" ref="G839">IFERROR(INDEX('Day Range Raw Data'!G:G,Match($A839,'Day Range Raw Data'!$B:$B,0)),"")</f>
        <v/>
      </c>
      <c r="H839" t="str">
        <f t="array" ref="H839">IFERROR(INDEX('Day Range Raw Data'!H:H,Match($A839,'Day Range Raw Data'!$B:$B,0)),"")</f>
        <v/>
      </c>
      <c r="I839" t="str">
        <f t="array" ref="I839">IFERROR(INDEX('Day Range Raw Data'!M:M,Match($A839,'Day Range Raw Data'!$B:$B,0)),"")</f>
        <v/>
      </c>
      <c r="J839" t="str">
        <f t="array" ref="J839">IFERROR(INDEX('Day Range Raw Data'!N:N,Match($A839,'Day Range Raw Data'!$B:$B,0)),"")</f>
        <v/>
      </c>
      <c r="K839" t="str">
        <f t="array" ref="K839">IFERROR(INDEX('Day Range Raw Data'!R:R,Match($A839,'Day Range Raw Data'!$B:$B,0)),"")</f>
        <v/>
      </c>
      <c r="L839" t="str">
        <f t="array" ref="L839">IFERROR(INDEX('Day Range Raw Data'!S:S,Match($A839,'Day Range Raw Data'!$B:$B,0)),"")</f>
        <v/>
      </c>
      <c r="M839" t="str">
        <f t="array" ref="M839">IFERROR(INDEX('Day Range Raw Data'!T:T,Match($A839,'Day Range Raw Data'!$B:$B,0)),"")</f>
        <v/>
      </c>
      <c r="N839" t="str">
        <f t="array" ref="N839">IFERROR(INDEX('Day Range Raw Data'!U:U,Match($A839,'Day Range Raw Data'!$B:$B,0)),"")</f>
        <v/>
      </c>
      <c r="O839" t="str">
        <f t="array" ref="O839">IFERROR(INDEX('Day Range Raw Data'!V:V,Match($A839,'Day Range Raw Data'!$B:$B,0)),"")</f>
        <v/>
      </c>
      <c r="P839" t="str">
        <f t="array" ref="P839">IFERROR(INDEX('Day Range Raw Data'!X:X,Match($A839,'Day Range Raw Data'!$B:$B,0)),"")</f>
        <v/>
      </c>
      <c r="Q839" t="str">
        <f t="shared" si="1"/>
        <v/>
      </c>
      <c r="R839" s="9" t="str">
        <f t="shared" si="2"/>
        <v/>
      </c>
      <c r="S839" s="14" t="str">
        <f t="shared" si="3"/>
        <v/>
      </c>
      <c r="T839" s="15" t="str">
        <f>IFERROR(__xludf.DUMMYFUNCTION("IF($A839="""","""",IFERROR(PERCENTRANK.INC(FILTER(Q:Q,$F:$F&lt;&gt;""""),Q839)*100,""""))"),"")</f>
        <v/>
      </c>
      <c r="U839" s="15" t="str">
        <f>IFERROR(__xludf.DUMMYFUNCTION("IF($A839="""","""",IFERROR(PERCENTRANK.INC(FILTER(R:R,$F:$F&lt;&gt;""""),R839)*100,""""))"),"")</f>
        <v/>
      </c>
      <c r="V839" s="15" t="str">
        <f>IFERROR(__xludf.DUMMYFUNCTION("IF($A839="""","""",IFERROR(PERCENTRANK.INC(FILTER(S:S,$F:$F&lt;&gt;""""),S839)*100,""""))"),"")</f>
        <v/>
      </c>
      <c r="W839" s="15" t="str">
        <f t="shared" si="5"/>
        <v/>
      </c>
    </row>
    <row r="840">
      <c r="B840" t="str">
        <f t="array" ref="B840">IFERROR(INDEX('Player Raw Data'!C:C,Match($A840,'Player Raw Data'!$B:$B,0)),"")</f>
        <v/>
      </c>
      <c r="C840" t="str">
        <f t="array" ref="C840">IFERROR(INDEX('Player Raw Data'!D:D,Match($A840,'Player Raw Data'!$B:$B,0)),"")</f>
        <v/>
      </c>
      <c r="D840" t="str">
        <f t="array" ref="D840">IFERROR(IF(A840=A839, INDEX('Player Raw Data'!E:E,Match($A840,'Player Raw Data'!$B:$B,0)+2),INDEX('Player Raw Data'!E:E,Match($A840,'Player Raw Data'!$B:$B,0))),"")</f>
        <v/>
      </c>
      <c r="E840" t="str">
        <f t="array" ref="E840">IFERROR(INDEX('Day Range Raw Data'!D:D,Match($A840,'Day Range Raw Data'!$B:$B,0)),"")</f>
        <v/>
      </c>
      <c r="F840" t="str">
        <f t="array" ref="F840">IFERROR(INDEX('Day Range Raw Data'!F:F,Match($A840,'Day Range Raw Data'!$B:$B,0)),"")</f>
        <v/>
      </c>
      <c r="G840" t="str">
        <f t="array" ref="G840">IFERROR(INDEX('Day Range Raw Data'!G:G,Match($A840,'Day Range Raw Data'!$B:$B,0)),"")</f>
        <v/>
      </c>
      <c r="H840" t="str">
        <f t="array" ref="H840">IFERROR(INDEX('Day Range Raw Data'!H:H,Match($A840,'Day Range Raw Data'!$B:$B,0)),"")</f>
        <v/>
      </c>
      <c r="I840" t="str">
        <f t="array" ref="I840">IFERROR(INDEX('Day Range Raw Data'!M:M,Match($A840,'Day Range Raw Data'!$B:$B,0)),"")</f>
        <v/>
      </c>
      <c r="J840" t="str">
        <f t="array" ref="J840">IFERROR(INDEX('Day Range Raw Data'!N:N,Match($A840,'Day Range Raw Data'!$B:$B,0)),"")</f>
        <v/>
      </c>
      <c r="K840" t="str">
        <f t="array" ref="K840">IFERROR(INDEX('Day Range Raw Data'!R:R,Match($A840,'Day Range Raw Data'!$B:$B,0)),"")</f>
        <v/>
      </c>
      <c r="L840" t="str">
        <f t="array" ref="L840">IFERROR(INDEX('Day Range Raw Data'!S:S,Match($A840,'Day Range Raw Data'!$B:$B,0)),"")</f>
        <v/>
      </c>
      <c r="M840" t="str">
        <f t="array" ref="M840">IFERROR(INDEX('Day Range Raw Data'!T:T,Match($A840,'Day Range Raw Data'!$B:$B,0)),"")</f>
        <v/>
      </c>
      <c r="N840" t="str">
        <f t="array" ref="N840">IFERROR(INDEX('Day Range Raw Data'!U:U,Match($A840,'Day Range Raw Data'!$B:$B,0)),"")</f>
        <v/>
      </c>
      <c r="O840" t="str">
        <f t="array" ref="O840">IFERROR(INDEX('Day Range Raw Data'!V:V,Match($A840,'Day Range Raw Data'!$B:$B,0)),"")</f>
        <v/>
      </c>
      <c r="P840" t="str">
        <f t="array" ref="P840">IFERROR(INDEX('Day Range Raw Data'!X:X,Match($A840,'Day Range Raw Data'!$B:$B,0)),"")</f>
        <v/>
      </c>
      <c r="Q840" t="str">
        <f t="shared" si="1"/>
        <v/>
      </c>
      <c r="R840" s="9" t="str">
        <f t="shared" si="2"/>
        <v/>
      </c>
      <c r="S840" s="14" t="str">
        <f t="shared" si="3"/>
        <v/>
      </c>
      <c r="T840" s="15" t="str">
        <f>IFERROR(__xludf.DUMMYFUNCTION("IF($A840="""","""",IFERROR(PERCENTRANK.INC(FILTER(Q:Q,$F:$F&lt;&gt;""""),Q840)*100,""""))"),"")</f>
        <v/>
      </c>
      <c r="U840" s="15" t="str">
        <f>IFERROR(__xludf.DUMMYFUNCTION("IF($A840="""","""",IFERROR(PERCENTRANK.INC(FILTER(R:R,$F:$F&lt;&gt;""""),R840)*100,""""))"),"")</f>
        <v/>
      </c>
      <c r="V840" s="15" t="str">
        <f>IFERROR(__xludf.DUMMYFUNCTION("IF($A840="""","""",IFERROR(PERCENTRANK.INC(FILTER(S:S,$F:$F&lt;&gt;""""),S840)*100,""""))"),"")</f>
        <v/>
      </c>
      <c r="W840" s="15" t="str">
        <f t="shared" si="5"/>
        <v/>
      </c>
    </row>
    <row r="841">
      <c r="B841" t="str">
        <f t="array" ref="B841">IFERROR(INDEX('Player Raw Data'!C:C,Match($A841,'Player Raw Data'!$B:$B,0)),"")</f>
        <v/>
      </c>
      <c r="C841" t="str">
        <f t="array" ref="C841">IFERROR(INDEX('Player Raw Data'!D:D,Match($A841,'Player Raw Data'!$B:$B,0)),"")</f>
        <v/>
      </c>
      <c r="D841" t="str">
        <f t="array" ref="D841">IFERROR(IF(A841=A840, INDEX('Player Raw Data'!E:E,Match($A841,'Player Raw Data'!$B:$B,0)+2),INDEX('Player Raw Data'!E:E,Match($A841,'Player Raw Data'!$B:$B,0))),"")</f>
        <v/>
      </c>
      <c r="E841" t="str">
        <f t="array" ref="E841">IFERROR(INDEX('Day Range Raw Data'!D:D,Match($A841,'Day Range Raw Data'!$B:$B,0)),"")</f>
        <v/>
      </c>
      <c r="F841" t="str">
        <f t="array" ref="F841">IFERROR(INDEX('Day Range Raw Data'!F:F,Match($A841,'Day Range Raw Data'!$B:$B,0)),"")</f>
        <v/>
      </c>
      <c r="G841" t="str">
        <f t="array" ref="G841">IFERROR(INDEX('Day Range Raw Data'!G:G,Match($A841,'Day Range Raw Data'!$B:$B,0)),"")</f>
        <v/>
      </c>
      <c r="H841" t="str">
        <f t="array" ref="H841">IFERROR(INDEX('Day Range Raw Data'!H:H,Match($A841,'Day Range Raw Data'!$B:$B,0)),"")</f>
        <v/>
      </c>
      <c r="I841" t="str">
        <f t="array" ref="I841">IFERROR(INDEX('Day Range Raw Data'!M:M,Match($A841,'Day Range Raw Data'!$B:$B,0)),"")</f>
        <v/>
      </c>
      <c r="J841" t="str">
        <f t="array" ref="J841">IFERROR(INDEX('Day Range Raw Data'!N:N,Match($A841,'Day Range Raw Data'!$B:$B,0)),"")</f>
        <v/>
      </c>
      <c r="K841" t="str">
        <f t="array" ref="K841">IFERROR(INDEX('Day Range Raw Data'!R:R,Match($A841,'Day Range Raw Data'!$B:$B,0)),"")</f>
        <v/>
      </c>
      <c r="L841" t="str">
        <f t="array" ref="L841">IFERROR(INDEX('Day Range Raw Data'!S:S,Match($A841,'Day Range Raw Data'!$B:$B,0)),"")</f>
        <v/>
      </c>
      <c r="M841" t="str">
        <f t="array" ref="M841">IFERROR(INDEX('Day Range Raw Data'!T:T,Match($A841,'Day Range Raw Data'!$B:$B,0)),"")</f>
        <v/>
      </c>
      <c r="N841" t="str">
        <f t="array" ref="N841">IFERROR(INDEX('Day Range Raw Data'!U:U,Match($A841,'Day Range Raw Data'!$B:$B,0)),"")</f>
        <v/>
      </c>
      <c r="O841" t="str">
        <f t="array" ref="O841">IFERROR(INDEX('Day Range Raw Data'!V:V,Match($A841,'Day Range Raw Data'!$B:$B,0)),"")</f>
        <v/>
      </c>
      <c r="P841" t="str">
        <f t="array" ref="P841">IFERROR(INDEX('Day Range Raw Data'!X:X,Match($A841,'Day Range Raw Data'!$B:$B,0)),"")</f>
        <v/>
      </c>
      <c r="Q841" t="str">
        <f t="shared" si="1"/>
        <v/>
      </c>
      <c r="R841" s="9" t="str">
        <f t="shared" si="2"/>
        <v/>
      </c>
      <c r="S841" s="14" t="str">
        <f t="shared" si="3"/>
        <v/>
      </c>
      <c r="T841" s="15" t="str">
        <f>IFERROR(__xludf.DUMMYFUNCTION("IF($A841="""","""",IFERROR(PERCENTRANK.INC(FILTER(Q:Q,$F:$F&lt;&gt;""""),Q841)*100,""""))"),"")</f>
        <v/>
      </c>
      <c r="U841" s="15" t="str">
        <f>IFERROR(__xludf.DUMMYFUNCTION("IF($A841="""","""",IFERROR(PERCENTRANK.INC(FILTER(R:R,$F:$F&lt;&gt;""""),R841)*100,""""))"),"")</f>
        <v/>
      </c>
      <c r="V841" s="15" t="str">
        <f>IFERROR(__xludf.DUMMYFUNCTION("IF($A841="""","""",IFERROR(PERCENTRANK.INC(FILTER(S:S,$F:$F&lt;&gt;""""),S841)*100,""""))"),"")</f>
        <v/>
      </c>
      <c r="W841" s="15" t="str">
        <f t="shared" si="5"/>
        <v/>
      </c>
    </row>
    <row r="842">
      <c r="B842" t="str">
        <f t="array" ref="B842">IFERROR(INDEX('Player Raw Data'!C:C,Match($A842,'Player Raw Data'!$B:$B,0)),"")</f>
        <v/>
      </c>
      <c r="C842" t="str">
        <f t="array" ref="C842">IFERROR(INDEX('Player Raw Data'!D:D,Match($A842,'Player Raw Data'!$B:$B,0)),"")</f>
        <v/>
      </c>
      <c r="D842" t="str">
        <f t="array" ref="D842">IFERROR(IF(A842=A841, INDEX('Player Raw Data'!E:E,Match($A842,'Player Raw Data'!$B:$B,0)+2),INDEX('Player Raw Data'!E:E,Match($A842,'Player Raw Data'!$B:$B,0))),"")</f>
        <v/>
      </c>
      <c r="E842" t="str">
        <f t="array" ref="E842">IFERROR(INDEX('Day Range Raw Data'!D:D,Match($A842,'Day Range Raw Data'!$B:$B,0)),"")</f>
        <v/>
      </c>
      <c r="F842" t="str">
        <f t="array" ref="F842">IFERROR(INDEX('Day Range Raw Data'!F:F,Match($A842,'Day Range Raw Data'!$B:$B,0)),"")</f>
        <v/>
      </c>
      <c r="G842" t="str">
        <f t="array" ref="G842">IFERROR(INDEX('Day Range Raw Data'!G:G,Match($A842,'Day Range Raw Data'!$B:$B,0)),"")</f>
        <v/>
      </c>
      <c r="H842" t="str">
        <f t="array" ref="H842">IFERROR(INDEX('Day Range Raw Data'!H:H,Match($A842,'Day Range Raw Data'!$B:$B,0)),"")</f>
        <v/>
      </c>
      <c r="I842" t="str">
        <f t="array" ref="I842">IFERROR(INDEX('Day Range Raw Data'!M:M,Match($A842,'Day Range Raw Data'!$B:$B,0)),"")</f>
        <v/>
      </c>
      <c r="J842" t="str">
        <f t="array" ref="J842">IFERROR(INDEX('Day Range Raw Data'!N:N,Match($A842,'Day Range Raw Data'!$B:$B,0)),"")</f>
        <v/>
      </c>
      <c r="K842" t="str">
        <f t="array" ref="K842">IFERROR(INDEX('Day Range Raw Data'!R:R,Match($A842,'Day Range Raw Data'!$B:$B,0)),"")</f>
        <v/>
      </c>
      <c r="L842" t="str">
        <f t="array" ref="L842">IFERROR(INDEX('Day Range Raw Data'!S:S,Match($A842,'Day Range Raw Data'!$B:$B,0)),"")</f>
        <v/>
      </c>
      <c r="M842" t="str">
        <f t="array" ref="M842">IFERROR(INDEX('Day Range Raw Data'!T:T,Match($A842,'Day Range Raw Data'!$B:$B,0)),"")</f>
        <v/>
      </c>
      <c r="N842" t="str">
        <f t="array" ref="N842">IFERROR(INDEX('Day Range Raw Data'!U:U,Match($A842,'Day Range Raw Data'!$B:$B,0)),"")</f>
        <v/>
      </c>
      <c r="O842" t="str">
        <f t="array" ref="O842">IFERROR(INDEX('Day Range Raw Data'!V:V,Match($A842,'Day Range Raw Data'!$B:$B,0)),"")</f>
        <v/>
      </c>
      <c r="P842" t="str">
        <f t="array" ref="P842">IFERROR(INDEX('Day Range Raw Data'!X:X,Match($A842,'Day Range Raw Data'!$B:$B,0)),"")</f>
        <v/>
      </c>
      <c r="Q842" t="str">
        <f t="shared" si="1"/>
        <v/>
      </c>
      <c r="R842" s="9" t="str">
        <f t="shared" si="2"/>
        <v/>
      </c>
      <c r="S842" s="14" t="str">
        <f t="shared" si="3"/>
        <v/>
      </c>
      <c r="T842" s="15" t="str">
        <f>IFERROR(__xludf.DUMMYFUNCTION("IF($A842="""","""",IFERROR(PERCENTRANK.INC(FILTER(Q:Q,$F:$F&lt;&gt;""""),Q842)*100,""""))"),"")</f>
        <v/>
      </c>
      <c r="U842" s="15" t="str">
        <f>IFERROR(__xludf.DUMMYFUNCTION("IF($A842="""","""",IFERROR(PERCENTRANK.INC(FILTER(R:R,$F:$F&lt;&gt;""""),R842)*100,""""))"),"")</f>
        <v/>
      </c>
      <c r="V842" s="15" t="str">
        <f>IFERROR(__xludf.DUMMYFUNCTION("IF($A842="""","""",IFERROR(PERCENTRANK.INC(FILTER(S:S,$F:$F&lt;&gt;""""),S842)*100,""""))"),"")</f>
        <v/>
      </c>
      <c r="W842" s="15" t="str">
        <f t="shared" si="5"/>
        <v/>
      </c>
    </row>
    <row r="843">
      <c r="B843" t="str">
        <f t="array" ref="B843">IFERROR(INDEX('Player Raw Data'!C:C,Match($A843,'Player Raw Data'!$B:$B,0)),"")</f>
        <v/>
      </c>
      <c r="C843" t="str">
        <f t="array" ref="C843">IFERROR(INDEX('Player Raw Data'!D:D,Match($A843,'Player Raw Data'!$B:$B,0)),"")</f>
        <v/>
      </c>
      <c r="D843" t="str">
        <f t="array" ref="D843">IFERROR(IF(A843=A842, INDEX('Player Raw Data'!E:E,Match($A843,'Player Raw Data'!$B:$B,0)+2),INDEX('Player Raw Data'!E:E,Match($A843,'Player Raw Data'!$B:$B,0))),"")</f>
        <v/>
      </c>
      <c r="E843" t="str">
        <f t="array" ref="E843">IFERROR(INDEX('Day Range Raw Data'!D:D,Match($A843,'Day Range Raw Data'!$B:$B,0)),"")</f>
        <v/>
      </c>
      <c r="F843" t="str">
        <f t="array" ref="F843">IFERROR(INDEX('Day Range Raw Data'!F:F,Match($A843,'Day Range Raw Data'!$B:$B,0)),"")</f>
        <v/>
      </c>
      <c r="G843" t="str">
        <f t="array" ref="G843">IFERROR(INDEX('Day Range Raw Data'!G:G,Match($A843,'Day Range Raw Data'!$B:$B,0)),"")</f>
        <v/>
      </c>
      <c r="H843" t="str">
        <f t="array" ref="H843">IFERROR(INDEX('Day Range Raw Data'!H:H,Match($A843,'Day Range Raw Data'!$B:$B,0)),"")</f>
        <v/>
      </c>
      <c r="I843" t="str">
        <f t="array" ref="I843">IFERROR(INDEX('Day Range Raw Data'!M:M,Match($A843,'Day Range Raw Data'!$B:$B,0)),"")</f>
        <v/>
      </c>
      <c r="J843" t="str">
        <f t="array" ref="J843">IFERROR(INDEX('Day Range Raw Data'!N:N,Match($A843,'Day Range Raw Data'!$B:$B,0)),"")</f>
        <v/>
      </c>
      <c r="K843" t="str">
        <f t="array" ref="K843">IFERROR(INDEX('Day Range Raw Data'!R:R,Match($A843,'Day Range Raw Data'!$B:$B,0)),"")</f>
        <v/>
      </c>
      <c r="L843" t="str">
        <f t="array" ref="L843">IFERROR(INDEX('Day Range Raw Data'!S:S,Match($A843,'Day Range Raw Data'!$B:$B,0)),"")</f>
        <v/>
      </c>
      <c r="M843" t="str">
        <f t="array" ref="M843">IFERROR(INDEX('Day Range Raw Data'!T:T,Match($A843,'Day Range Raw Data'!$B:$B,0)),"")</f>
        <v/>
      </c>
      <c r="N843" t="str">
        <f t="array" ref="N843">IFERROR(INDEX('Day Range Raw Data'!U:U,Match($A843,'Day Range Raw Data'!$B:$B,0)),"")</f>
        <v/>
      </c>
      <c r="O843" t="str">
        <f t="array" ref="O843">IFERROR(INDEX('Day Range Raw Data'!V:V,Match($A843,'Day Range Raw Data'!$B:$B,0)),"")</f>
        <v/>
      </c>
      <c r="P843" t="str">
        <f t="array" ref="P843">IFERROR(INDEX('Day Range Raw Data'!X:X,Match($A843,'Day Range Raw Data'!$B:$B,0)),"")</f>
        <v/>
      </c>
      <c r="Q843" t="str">
        <f t="shared" si="1"/>
        <v/>
      </c>
      <c r="R843" s="9" t="str">
        <f t="shared" si="2"/>
        <v/>
      </c>
      <c r="S843" s="14" t="str">
        <f t="shared" si="3"/>
        <v/>
      </c>
      <c r="T843" s="15" t="str">
        <f>IFERROR(__xludf.DUMMYFUNCTION("IF($A843="""","""",IFERROR(PERCENTRANK.INC(FILTER(Q:Q,$F:$F&lt;&gt;""""),Q843)*100,""""))"),"")</f>
        <v/>
      </c>
      <c r="U843" s="15" t="str">
        <f>IFERROR(__xludf.DUMMYFUNCTION("IF($A843="""","""",IFERROR(PERCENTRANK.INC(FILTER(R:R,$F:$F&lt;&gt;""""),R843)*100,""""))"),"")</f>
        <v/>
      </c>
      <c r="V843" s="15" t="str">
        <f>IFERROR(__xludf.DUMMYFUNCTION("IF($A843="""","""",IFERROR(PERCENTRANK.INC(FILTER(S:S,$F:$F&lt;&gt;""""),S843)*100,""""))"),"")</f>
        <v/>
      </c>
      <c r="W843" s="15" t="str">
        <f t="shared" si="5"/>
        <v/>
      </c>
    </row>
    <row r="844">
      <c r="B844" t="str">
        <f t="array" ref="B844">IFERROR(INDEX('Player Raw Data'!C:C,Match($A844,'Player Raw Data'!$B:$B,0)),"")</f>
        <v/>
      </c>
      <c r="C844" t="str">
        <f t="array" ref="C844">IFERROR(INDEX('Player Raw Data'!D:D,Match($A844,'Player Raw Data'!$B:$B,0)),"")</f>
        <v/>
      </c>
      <c r="D844" t="str">
        <f t="array" ref="D844">IFERROR(IF(A844=A843, INDEX('Player Raw Data'!E:E,Match($A844,'Player Raw Data'!$B:$B,0)+2),INDEX('Player Raw Data'!E:E,Match($A844,'Player Raw Data'!$B:$B,0))),"")</f>
        <v/>
      </c>
      <c r="E844" t="str">
        <f t="array" ref="E844">IFERROR(INDEX('Day Range Raw Data'!D:D,Match($A844,'Day Range Raw Data'!$B:$B,0)),"")</f>
        <v/>
      </c>
      <c r="F844" t="str">
        <f t="array" ref="F844">IFERROR(INDEX('Day Range Raw Data'!F:F,Match($A844,'Day Range Raw Data'!$B:$B,0)),"")</f>
        <v/>
      </c>
      <c r="G844" t="str">
        <f t="array" ref="G844">IFERROR(INDEX('Day Range Raw Data'!G:G,Match($A844,'Day Range Raw Data'!$B:$B,0)),"")</f>
        <v/>
      </c>
      <c r="H844" t="str">
        <f t="array" ref="H844">IFERROR(INDEX('Day Range Raw Data'!H:H,Match($A844,'Day Range Raw Data'!$B:$B,0)),"")</f>
        <v/>
      </c>
      <c r="I844" t="str">
        <f t="array" ref="I844">IFERROR(INDEX('Day Range Raw Data'!M:M,Match($A844,'Day Range Raw Data'!$B:$B,0)),"")</f>
        <v/>
      </c>
      <c r="J844" t="str">
        <f t="array" ref="J844">IFERROR(INDEX('Day Range Raw Data'!N:N,Match($A844,'Day Range Raw Data'!$B:$B,0)),"")</f>
        <v/>
      </c>
      <c r="K844" t="str">
        <f t="array" ref="K844">IFERROR(INDEX('Day Range Raw Data'!R:R,Match($A844,'Day Range Raw Data'!$B:$B,0)),"")</f>
        <v/>
      </c>
      <c r="L844" t="str">
        <f t="array" ref="L844">IFERROR(INDEX('Day Range Raw Data'!S:S,Match($A844,'Day Range Raw Data'!$B:$B,0)),"")</f>
        <v/>
      </c>
      <c r="M844" t="str">
        <f t="array" ref="M844">IFERROR(INDEX('Day Range Raw Data'!T:T,Match($A844,'Day Range Raw Data'!$B:$B,0)),"")</f>
        <v/>
      </c>
      <c r="N844" t="str">
        <f t="array" ref="N844">IFERROR(INDEX('Day Range Raw Data'!U:U,Match($A844,'Day Range Raw Data'!$B:$B,0)),"")</f>
        <v/>
      </c>
      <c r="O844" t="str">
        <f t="array" ref="O844">IFERROR(INDEX('Day Range Raw Data'!V:V,Match($A844,'Day Range Raw Data'!$B:$B,0)),"")</f>
        <v/>
      </c>
      <c r="P844" t="str">
        <f t="array" ref="P844">IFERROR(INDEX('Day Range Raw Data'!X:X,Match($A844,'Day Range Raw Data'!$B:$B,0)),"")</f>
        <v/>
      </c>
      <c r="Q844" t="str">
        <f t="shared" si="1"/>
        <v/>
      </c>
      <c r="R844" s="9" t="str">
        <f t="shared" si="2"/>
        <v/>
      </c>
      <c r="S844" s="14" t="str">
        <f t="shared" si="3"/>
        <v/>
      </c>
      <c r="T844" s="15" t="str">
        <f>IFERROR(__xludf.DUMMYFUNCTION("IF($A844="""","""",IFERROR(PERCENTRANK.INC(FILTER(Q:Q,$F:$F&lt;&gt;""""),Q844)*100,""""))"),"")</f>
        <v/>
      </c>
      <c r="U844" s="15" t="str">
        <f>IFERROR(__xludf.DUMMYFUNCTION("IF($A844="""","""",IFERROR(PERCENTRANK.INC(FILTER(R:R,$F:$F&lt;&gt;""""),R844)*100,""""))"),"")</f>
        <v/>
      </c>
      <c r="V844" s="15" t="str">
        <f>IFERROR(__xludf.DUMMYFUNCTION("IF($A844="""","""",IFERROR(PERCENTRANK.INC(FILTER(S:S,$F:$F&lt;&gt;""""),S844)*100,""""))"),"")</f>
        <v/>
      </c>
      <c r="W844" s="15" t="str">
        <f t="shared" si="5"/>
        <v/>
      </c>
    </row>
    <row r="845">
      <c r="B845" t="str">
        <f t="array" ref="B845">IFERROR(INDEX('Player Raw Data'!C:C,Match($A845,'Player Raw Data'!$B:$B,0)),"")</f>
        <v/>
      </c>
      <c r="C845" t="str">
        <f t="array" ref="C845">IFERROR(INDEX('Player Raw Data'!D:D,Match($A845,'Player Raw Data'!$B:$B,0)),"")</f>
        <v/>
      </c>
      <c r="D845" t="str">
        <f t="array" ref="D845">IFERROR(IF(A845=A844, INDEX('Player Raw Data'!E:E,Match($A845,'Player Raw Data'!$B:$B,0)+2),INDEX('Player Raw Data'!E:E,Match($A845,'Player Raw Data'!$B:$B,0))),"")</f>
        <v/>
      </c>
      <c r="E845" t="str">
        <f t="array" ref="E845">IFERROR(INDEX('Day Range Raw Data'!D:D,Match($A845,'Day Range Raw Data'!$B:$B,0)),"")</f>
        <v/>
      </c>
      <c r="F845" t="str">
        <f t="array" ref="F845">IFERROR(INDEX('Day Range Raw Data'!F:F,Match($A845,'Day Range Raw Data'!$B:$B,0)),"")</f>
        <v/>
      </c>
      <c r="G845" t="str">
        <f t="array" ref="G845">IFERROR(INDEX('Day Range Raw Data'!G:G,Match($A845,'Day Range Raw Data'!$B:$B,0)),"")</f>
        <v/>
      </c>
      <c r="H845" t="str">
        <f t="array" ref="H845">IFERROR(INDEX('Day Range Raw Data'!H:H,Match($A845,'Day Range Raw Data'!$B:$B,0)),"")</f>
        <v/>
      </c>
      <c r="I845" t="str">
        <f t="array" ref="I845">IFERROR(INDEX('Day Range Raw Data'!M:M,Match($A845,'Day Range Raw Data'!$B:$B,0)),"")</f>
        <v/>
      </c>
      <c r="J845" t="str">
        <f t="array" ref="J845">IFERROR(INDEX('Day Range Raw Data'!N:N,Match($A845,'Day Range Raw Data'!$B:$B,0)),"")</f>
        <v/>
      </c>
      <c r="K845" t="str">
        <f t="array" ref="K845">IFERROR(INDEX('Day Range Raw Data'!R:R,Match($A845,'Day Range Raw Data'!$B:$B,0)),"")</f>
        <v/>
      </c>
      <c r="L845" t="str">
        <f t="array" ref="L845">IFERROR(INDEX('Day Range Raw Data'!S:S,Match($A845,'Day Range Raw Data'!$B:$B,0)),"")</f>
        <v/>
      </c>
      <c r="M845" t="str">
        <f t="array" ref="M845">IFERROR(INDEX('Day Range Raw Data'!T:T,Match($A845,'Day Range Raw Data'!$B:$B,0)),"")</f>
        <v/>
      </c>
      <c r="N845" t="str">
        <f t="array" ref="N845">IFERROR(INDEX('Day Range Raw Data'!U:U,Match($A845,'Day Range Raw Data'!$B:$B,0)),"")</f>
        <v/>
      </c>
      <c r="O845" t="str">
        <f t="array" ref="O845">IFERROR(INDEX('Day Range Raw Data'!V:V,Match($A845,'Day Range Raw Data'!$B:$B,0)),"")</f>
        <v/>
      </c>
      <c r="P845" t="str">
        <f t="array" ref="P845">IFERROR(INDEX('Day Range Raw Data'!X:X,Match($A845,'Day Range Raw Data'!$B:$B,0)),"")</f>
        <v/>
      </c>
      <c r="Q845" t="str">
        <f t="shared" si="1"/>
        <v/>
      </c>
      <c r="R845" s="9" t="str">
        <f t="shared" si="2"/>
        <v/>
      </c>
      <c r="S845" s="14" t="str">
        <f t="shared" si="3"/>
        <v/>
      </c>
      <c r="T845" s="15" t="str">
        <f>IFERROR(__xludf.DUMMYFUNCTION("IF($A845="""","""",IFERROR(PERCENTRANK.INC(FILTER(Q:Q,$F:$F&lt;&gt;""""),Q845)*100,""""))"),"")</f>
        <v/>
      </c>
      <c r="U845" s="15" t="str">
        <f>IFERROR(__xludf.DUMMYFUNCTION("IF($A845="""","""",IFERROR(PERCENTRANK.INC(FILTER(R:R,$F:$F&lt;&gt;""""),R845)*100,""""))"),"")</f>
        <v/>
      </c>
      <c r="V845" s="15" t="str">
        <f>IFERROR(__xludf.DUMMYFUNCTION("IF($A845="""","""",IFERROR(PERCENTRANK.INC(FILTER(S:S,$F:$F&lt;&gt;""""),S845)*100,""""))"),"")</f>
        <v/>
      </c>
      <c r="W845" s="15" t="str">
        <f t="shared" si="5"/>
        <v/>
      </c>
    </row>
    <row r="846">
      <c r="B846" t="str">
        <f t="array" ref="B846">IFERROR(INDEX('Player Raw Data'!C:C,Match($A846,'Player Raw Data'!$B:$B,0)),"")</f>
        <v/>
      </c>
      <c r="C846" t="str">
        <f t="array" ref="C846">IFERROR(INDEX('Player Raw Data'!D:D,Match($A846,'Player Raw Data'!$B:$B,0)),"")</f>
        <v/>
      </c>
      <c r="D846" t="str">
        <f t="array" ref="D846">IFERROR(IF(A846=A845, INDEX('Player Raw Data'!E:E,Match($A846,'Player Raw Data'!$B:$B,0)+2),INDEX('Player Raw Data'!E:E,Match($A846,'Player Raw Data'!$B:$B,0))),"")</f>
        <v/>
      </c>
      <c r="E846" t="str">
        <f t="array" ref="E846">IFERROR(INDEX('Day Range Raw Data'!D:D,Match($A846,'Day Range Raw Data'!$B:$B,0)),"")</f>
        <v/>
      </c>
      <c r="F846" t="str">
        <f t="array" ref="F846">IFERROR(INDEX('Day Range Raw Data'!F:F,Match($A846,'Day Range Raw Data'!$B:$B,0)),"")</f>
        <v/>
      </c>
      <c r="G846" t="str">
        <f t="array" ref="G846">IFERROR(INDEX('Day Range Raw Data'!G:G,Match($A846,'Day Range Raw Data'!$B:$B,0)),"")</f>
        <v/>
      </c>
      <c r="H846" t="str">
        <f t="array" ref="H846">IFERROR(INDEX('Day Range Raw Data'!H:H,Match($A846,'Day Range Raw Data'!$B:$B,0)),"")</f>
        <v/>
      </c>
      <c r="I846" t="str">
        <f t="array" ref="I846">IFERROR(INDEX('Day Range Raw Data'!M:M,Match($A846,'Day Range Raw Data'!$B:$B,0)),"")</f>
        <v/>
      </c>
      <c r="J846" t="str">
        <f t="array" ref="J846">IFERROR(INDEX('Day Range Raw Data'!N:N,Match($A846,'Day Range Raw Data'!$B:$B,0)),"")</f>
        <v/>
      </c>
      <c r="K846" t="str">
        <f t="array" ref="K846">IFERROR(INDEX('Day Range Raw Data'!R:R,Match($A846,'Day Range Raw Data'!$B:$B,0)),"")</f>
        <v/>
      </c>
      <c r="L846" t="str">
        <f t="array" ref="L846">IFERROR(INDEX('Day Range Raw Data'!S:S,Match($A846,'Day Range Raw Data'!$B:$B,0)),"")</f>
        <v/>
      </c>
      <c r="M846" t="str">
        <f t="array" ref="M846">IFERROR(INDEX('Day Range Raw Data'!T:T,Match($A846,'Day Range Raw Data'!$B:$B,0)),"")</f>
        <v/>
      </c>
      <c r="N846" t="str">
        <f t="array" ref="N846">IFERROR(INDEX('Day Range Raw Data'!U:U,Match($A846,'Day Range Raw Data'!$B:$B,0)),"")</f>
        <v/>
      </c>
      <c r="O846" t="str">
        <f t="array" ref="O846">IFERROR(INDEX('Day Range Raw Data'!V:V,Match($A846,'Day Range Raw Data'!$B:$B,0)),"")</f>
        <v/>
      </c>
      <c r="P846" t="str">
        <f t="array" ref="P846">IFERROR(INDEX('Day Range Raw Data'!X:X,Match($A846,'Day Range Raw Data'!$B:$B,0)),"")</f>
        <v/>
      </c>
      <c r="Q846" t="str">
        <f t="shared" si="1"/>
        <v/>
      </c>
      <c r="R846" s="9" t="str">
        <f t="shared" si="2"/>
        <v/>
      </c>
      <c r="S846" s="14" t="str">
        <f t="shared" si="3"/>
        <v/>
      </c>
      <c r="T846" s="15" t="str">
        <f>IFERROR(__xludf.DUMMYFUNCTION("IF($A846="""","""",IFERROR(PERCENTRANK.INC(FILTER(Q:Q,$F:$F&lt;&gt;""""),Q846)*100,""""))"),"")</f>
        <v/>
      </c>
      <c r="U846" s="15" t="str">
        <f>IFERROR(__xludf.DUMMYFUNCTION("IF($A846="""","""",IFERROR(PERCENTRANK.INC(FILTER(R:R,$F:$F&lt;&gt;""""),R846)*100,""""))"),"")</f>
        <v/>
      </c>
      <c r="V846" s="15" t="str">
        <f>IFERROR(__xludf.DUMMYFUNCTION("IF($A846="""","""",IFERROR(PERCENTRANK.INC(FILTER(S:S,$F:$F&lt;&gt;""""),S846)*100,""""))"),"")</f>
        <v/>
      </c>
      <c r="W846" s="15" t="str">
        <f t="shared" si="5"/>
        <v/>
      </c>
    </row>
    <row r="847">
      <c r="B847" t="str">
        <f t="array" ref="B847">IFERROR(INDEX('Player Raw Data'!C:C,Match($A847,'Player Raw Data'!$B:$B,0)),"")</f>
        <v/>
      </c>
      <c r="C847" t="str">
        <f t="array" ref="C847">IFERROR(INDEX('Player Raw Data'!D:D,Match($A847,'Player Raw Data'!$B:$B,0)),"")</f>
        <v/>
      </c>
      <c r="D847" t="str">
        <f t="array" ref="D847">IFERROR(IF(A847=A846, INDEX('Player Raw Data'!E:E,Match($A847,'Player Raw Data'!$B:$B,0)+2),INDEX('Player Raw Data'!E:E,Match($A847,'Player Raw Data'!$B:$B,0))),"")</f>
        <v/>
      </c>
      <c r="E847" t="str">
        <f t="array" ref="E847">IFERROR(INDEX('Day Range Raw Data'!D:D,Match($A847,'Day Range Raw Data'!$B:$B,0)),"")</f>
        <v/>
      </c>
      <c r="F847" t="str">
        <f t="array" ref="F847">IFERROR(INDEX('Day Range Raw Data'!F:F,Match($A847,'Day Range Raw Data'!$B:$B,0)),"")</f>
        <v/>
      </c>
      <c r="G847" t="str">
        <f t="array" ref="G847">IFERROR(INDEX('Day Range Raw Data'!G:G,Match($A847,'Day Range Raw Data'!$B:$B,0)),"")</f>
        <v/>
      </c>
      <c r="H847" t="str">
        <f t="array" ref="H847">IFERROR(INDEX('Day Range Raw Data'!H:H,Match($A847,'Day Range Raw Data'!$B:$B,0)),"")</f>
        <v/>
      </c>
      <c r="I847" t="str">
        <f t="array" ref="I847">IFERROR(INDEX('Day Range Raw Data'!M:M,Match($A847,'Day Range Raw Data'!$B:$B,0)),"")</f>
        <v/>
      </c>
      <c r="J847" t="str">
        <f t="array" ref="J847">IFERROR(INDEX('Day Range Raw Data'!N:N,Match($A847,'Day Range Raw Data'!$B:$B,0)),"")</f>
        <v/>
      </c>
      <c r="K847" t="str">
        <f t="array" ref="K847">IFERROR(INDEX('Day Range Raw Data'!R:R,Match($A847,'Day Range Raw Data'!$B:$B,0)),"")</f>
        <v/>
      </c>
      <c r="L847" t="str">
        <f t="array" ref="L847">IFERROR(INDEX('Day Range Raw Data'!S:S,Match($A847,'Day Range Raw Data'!$B:$B,0)),"")</f>
        <v/>
      </c>
      <c r="M847" t="str">
        <f t="array" ref="M847">IFERROR(INDEX('Day Range Raw Data'!T:T,Match($A847,'Day Range Raw Data'!$B:$B,0)),"")</f>
        <v/>
      </c>
      <c r="N847" t="str">
        <f t="array" ref="N847">IFERROR(INDEX('Day Range Raw Data'!U:U,Match($A847,'Day Range Raw Data'!$B:$B,0)),"")</f>
        <v/>
      </c>
      <c r="O847" t="str">
        <f t="array" ref="O847">IFERROR(INDEX('Day Range Raw Data'!V:V,Match($A847,'Day Range Raw Data'!$B:$B,0)),"")</f>
        <v/>
      </c>
      <c r="P847" t="str">
        <f t="array" ref="P847">IFERROR(INDEX('Day Range Raw Data'!X:X,Match($A847,'Day Range Raw Data'!$B:$B,0)),"")</f>
        <v/>
      </c>
      <c r="Q847" t="str">
        <f t="shared" si="1"/>
        <v/>
      </c>
      <c r="R847" s="9" t="str">
        <f t="shared" si="2"/>
        <v/>
      </c>
      <c r="S847" s="14" t="str">
        <f t="shared" si="3"/>
        <v/>
      </c>
      <c r="T847" s="15" t="str">
        <f>IFERROR(__xludf.DUMMYFUNCTION("IF($A847="""","""",IFERROR(PERCENTRANK.INC(FILTER(Q:Q,$F:$F&lt;&gt;""""),Q847)*100,""""))"),"")</f>
        <v/>
      </c>
      <c r="U847" s="15" t="str">
        <f>IFERROR(__xludf.DUMMYFUNCTION("IF($A847="""","""",IFERROR(PERCENTRANK.INC(FILTER(R:R,$F:$F&lt;&gt;""""),R847)*100,""""))"),"")</f>
        <v/>
      </c>
      <c r="V847" s="15" t="str">
        <f>IFERROR(__xludf.DUMMYFUNCTION("IF($A847="""","""",IFERROR(PERCENTRANK.INC(FILTER(S:S,$F:$F&lt;&gt;""""),S847)*100,""""))"),"")</f>
        <v/>
      </c>
      <c r="W847" s="15" t="str">
        <f t="shared" si="5"/>
        <v/>
      </c>
    </row>
    <row r="848">
      <c r="B848" t="str">
        <f t="array" ref="B848">IFERROR(INDEX('Player Raw Data'!C:C,Match($A848,'Player Raw Data'!$B:$B,0)),"")</f>
        <v/>
      </c>
      <c r="C848" t="str">
        <f t="array" ref="C848">IFERROR(INDEX('Player Raw Data'!D:D,Match($A848,'Player Raw Data'!$B:$B,0)),"")</f>
        <v/>
      </c>
      <c r="D848" t="str">
        <f t="array" ref="D848">IFERROR(IF(A848=A847, INDEX('Player Raw Data'!E:E,Match($A848,'Player Raw Data'!$B:$B,0)+2),INDEX('Player Raw Data'!E:E,Match($A848,'Player Raw Data'!$B:$B,0))),"")</f>
        <v/>
      </c>
      <c r="E848" t="str">
        <f t="array" ref="E848">IFERROR(INDEX('Day Range Raw Data'!D:D,Match($A848,'Day Range Raw Data'!$B:$B,0)),"")</f>
        <v/>
      </c>
      <c r="F848" t="str">
        <f t="array" ref="F848">IFERROR(INDEX('Day Range Raw Data'!F:F,Match($A848,'Day Range Raw Data'!$B:$B,0)),"")</f>
        <v/>
      </c>
      <c r="G848" t="str">
        <f t="array" ref="G848">IFERROR(INDEX('Day Range Raw Data'!G:G,Match($A848,'Day Range Raw Data'!$B:$B,0)),"")</f>
        <v/>
      </c>
      <c r="H848" t="str">
        <f t="array" ref="H848">IFERROR(INDEX('Day Range Raw Data'!H:H,Match($A848,'Day Range Raw Data'!$B:$B,0)),"")</f>
        <v/>
      </c>
      <c r="I848" t="str">
        <f t="array" ref="I848">IFERROR(INDEX('Day Range Raw Data'!M:M,Match($A848,'Day Range Raw Data'!$B:$B,0)),"")</f>
        <v/>
      </c>
      <c r="J848" t="str">
        <f t="array" ref="J848">IFERROR(INDEX('Day Range Raw Data'!N:N,Match($A848,'Day Range Raw Data'!$B:$B,0)),"")</f>
        <v/>
      </c>
      <c r="K848" t="str">
        <f t="array" ref="K848">IFERROR(INDEX('Day Range Raw Data'!R:R,Match($A848,'Day Range Raw Data'!$B:$B,0)),"")</f>
        <v/>
      </c>
      <c r="L848" t="str">
        <f t="array" ref="L848">IFERROR(INDEX('Day Range Raw Data'!S:S,Match($A848,'Day Range Raw Data'!$B:$B,0)),"")</f>
        <v/>
      </c>
      <c r="M848" t="str">
        <f t="array" ref="M848">IFERROR(INDEX('Day Range Raw Data'!T:T,Match($A848,'Day Range Raw Data'!$B:$B,0)),"")</f>
        <v/>
      </c>
      <c r="N848" t="str">
        <f t="array" ref="N848">IFERROR(INDEX('Day Range Raw Data'!U:U,Match($A848,'Day Range Raw Data'!$B:$B,0)),"")</f>
        <v/>
      </c>
      <c r="O848" t="str">
        <f t="array" ref="O848">IFERROR(INDEX('Day Range Raw Data'!V:V,Match($A848,'Day Range Raw Data'!$B:$B,0)),"")</f>
        <v/>
      </c>
      <c r="P848" t="str">
        <f t="array" ref="P848">IFERROR(INDEX('Day Range Raw Data'!X:X,Match($A848,'Day Range Raw Data'!$B:$B,0)),"")</f>
        <v/>
      </c>
      <c r="Q848" t="str">
        <f t="shared" si="1"/>
        <v/>
      </c>
      <c r="R848" s="9" t="str">
        <f t="shared" si="2"/>
        <v/>
      </c>
      <c r="S848" s="14" t="str">
        <f t="shared" si="3"/>
        <v/>
      </c>
      <c r="T848" s="15" t="str">
        <f>IFERROR(__xludf.DUMMYFUNCTION("IF($A848="""","""",IFERROR(PERCENTRANK.INC(FILTER(Q:Q,$F:$F&lt;&gt;""""),Q848)*100,""""))"),"")</f>
        <v/>
      </c>
      <c r="U848" s="15" t="str">
        <f>IFERROR(__xludf.DUMMYFUNCTION("IF($A848="""","""",IFERROR(PERCENTRANK.INC(FILTER(R:R,$F:$F&lt;&gt;""""),R848)*100,""""))"),"")</f>
        <v/>
      </c>
      <c r="V848" s="15" t="str">
        <f>IFERROR(__xludf.DUMMYFUNCTION("IF($A848="""","""",IFERROR(PERCENTRANK.INC(FILTER(S:S,$F:$F&lt;&gt;""""),S848)*100,""""))"),"")</f>
        <v/>
      </c>
      <c r="W848" s="15" t="str">
        <f t="shared" si="5"/>
        <v/>
      </c>
    </row>
    <row r="849">
      <c r="B849" t="str">
        <f t="array" ref="B849">IFERROR(INDEX('Player Raw Data'!C:C,Match($A849,'Player Raw Data'!$B:$B,0)),"")</f>
        <v/>
      </c>
      <c r="C849" t="str">
        <f t="array" ref="C849">IFERROR(INDEX('Player Raw Data'!D:D,Match($A849,'Player Raw Data'!$B:$B,0)),"")</f>
        <v/>
      </c>
      <c r="D849" t="str">
        <f t="array" ref="D849">IFERROR(IF(A849=A848, INDEX('Player Raw Data'!E:E,Match($A849,'Player Raw Data'!$B:$B,0)+2),INDEX('Player Raw Data'!E:E,Match($A849,'Player Raw Data'!$B:$B,0))),"")</f>
        <v/>
      </c>
      <c r="E849" t="str">
        <f t="array" ref="E849">IFERROR(INDEX('Day Range Raw Data'!D:D,Match($A849,'Day Range Raw Data'!$B:$B,0)),"")</f>
        <v/>
      </c>
      <c r="F849" t="str">
        <f t="array" ref="F849">IFERROR(INDEX('Day Range Raw Data'!F:F,Match($A849,'Day Range Raw Data'!$B:$B,0)),"")</f>
        <v/>
      </c>
      <c r="G849" t="str">
        <f t="array" ref="G849">IFERROR(INDEX('Day Range Raw Data'!G:G,Match($A849,'Day Range Raw Data'!$B:$B,0)),"")</f>
        <v/>
      </c>
      <c r="H849" t="str">
        <f t="array" ref="H849">IFERROR(INDEX('Day Range Raw Data'!H:H,Match($A849,'Day Range Raw Data'!$B:$B,0)),"")</f>
        <v/>
      </c>
      <c r="I849" t="str">
        <f t="array" ref="I849">IFERROR(INDEX('Day Range Raw Data'!M:M,Match($A849,'Day Range Raw Data'!$B:$B,0)),"")</f>
        <v/>
      </c>
      <c r="J849" t="str">
        <f t="array" ref="J849">IFERROR(INDEX('Day Range Raw Data'!N:N,Match($A849,'Day Range Raw Data'!$B:$B,0)),"")</f>
        <v/>
      </c>
      <c r="K849" t="str">
        <f t="array" ref="K849">IFERROR(INDEX('Day Range Raw Data'!R:R,Match($A849,'Day Range Raw Data'!$B:$B,0)),"")</f>
        <v/>
      </c>
      <c r="L849" t="str">
        <f t="array" ref="L849">IFERROR(INDEX('Day Range Raw Data'!S:S,Match($A849,'Day Range Raw Data'!$B:$B,0)),"")</f>
        <v/>
      </c>
      <c r="M849" t="str">
        <f t="array" ref="M849">IFERROR(INDEX('Day Range Raw Data'!T:T,Match($A849,'Day Range Raw Data'!$B:$B,0)),"")</f>
        <v/>
      </c>
      <c r="N849" t="str">
        <f t="array" ref="N849">IFERROR(INDEX('Day Range Raw Data'!U:U,Match($A849,'Day Range Raw Data'!$B:$B,0)),"")</f>
        <v/>
      </c>
      <c r="O849" t="str">
        <f t="array" ref="O849">IFERROR(INDEX('Day Range Raw Data'!V:V,Match($A849,'Day Range Raw Data'!$B:$B,0)),"")</f>
        <v/>
      </c>
      <c r="P849" t="str">
        <f t="array" ref="P849">IFERROR(INDEX('Day Range Raw Data'!X:X,Match($A849,'Day Range Raw Data'!$B:$B,0)),"")</f>
        <v/>
      </c>
      <c r="Q849" t="str">
        <f t="shared" si="1"/>
        <v/>
      </c>
      <c r="R849" s="9" t="str">
        <f t="shared" si="2"/>
        <v/>
      </c>
      <c r="S849" s="14" t="str">
        <f t="shared" si="3"/>
        <v/>
      </c>
      <c r="T849" s="15" t="str">
        <f>IFERROR(__xludf.DUMMYFUNCTION("IF($A849="""","""",IFERROR(PERCENTRANK.INC(FILTER(Q:Q,$F:$F&lt;&gt;""""),Q849)*100,""""))"),"")</f>
        <v/>
      </c>
      <c r="U849" s="15" t="str">
        <f>IFERROR(__xludf.DUMMYFUNCTION("IF($A849="""","""",IFERROR(PERCENTRANK.INC(FILTER(R:R,$F:$F&lt;&gt;""""),R849)*100,""""))"),"")</f>
        <v/>
      </c>
      <c r="V849" s="15" t="str">
        <f>IFERROR(__xludf.DUMMYFUNCTION("IF($A849="""","""",IFERROR(PERCENTRANK.INC(FILTER(S:S,$F:$F&lt;&gt;""""),S849)*100,""""))"),"")</f>
        <v/>
      </c>
      <c r="W849" s="15" t="str">
        <f t="shared" si="5"/>
        <v/>
      </c>
    </row>
    <row r="850">
      <c r="B850" t="str">
        <f t="array" ref="B850">IFERROR(INDEX('Player Raw Data'!C:C,Match($A850,'Player Raw Data'!$B:$B,0)),"")</f>
        <v/>
      </c>
      <c r="C850" t="str">
        <f t="array" ref="C850">IFERROR(INDEX('Player Raw Data'!D:D,Match($A850,'Player Raw Data'!$B:$B,0)),"")</f>
        <v/>
      </c>
      <c r="D850" t="str">
        <f t="array" ref="D850">IFERROR(IF(A850=A849, INDEX('Player Raw Data'!E:E,Match($A850,'Player Raw Data'!$B:$B,0)+2),INDEX('Player Raw Data'!E:E,Match($A850,'Player Raw Data'!$B:$B,0))),"")</f>
        <v/>
      </c>
      <c r="E850" t="str">
        <f t="array" ref="E850">IFERROR(INDEX('Day Range Raw Data'!D:D,Match($A850,'Day Range Raw Data'!$B:$B,0)),"")</f>
        <v/>
      </c>
      <c r="F850" t="str">
        <f t="array" ref="F850">IFERROR(INDEX('Day Range Raw Data'!F:F,Match($A850,'Day Range Raw Data'!$B:$B,0)),"")</f>
        <v/>
      </c>
      <c r="G850" t="str">
        <f t="array" ref="G850">IFERROR(INDEX('Day Range Raw Data'!G:G,Match($A850,'Day Range Raw Data'!$B:$B,0)),"")</f>
        <v/>
      </c>
      <c r="H850" t="str">
        <f t="array" ref="H850">IFERROR(INDEX('Day Range Raw Data'!H:H,Match($A850,'Day Range Raw Data'!$B:$B,0)),"")</f>
        <v/>
      </c>
      <c r="I850" t="str">
        <f t="array" ref="I850">IFERROR(INDEX('Day Range Raw Data'!M:M,Match($A850,'Day Range Raw Data'!$B:$B,0)),"")</f>
        <v/>
      </c>
      <c r="J850" t="str">
        <f t="array" ref="J850">IFERROR(INDEX('Day Range Raw Data'!N:N,Match($A850,'Day Range Raw Data'!$B:$B,0)),"")</f>
        <v/>
      </c>
      <c r="K850" t="str">
        <f t="array" ref="K850">IFERROR(INDEX('Day Range Raw Data'!R:R,Match($A850,'Day Range Raw Data'!$B:$B,0)),"")</f>
        <v/>
      </c>
      <c r="L850" t="str">
        <f t="array" ref="L850">IFERROR(INDEX('Day Range Raw Data'!S:S,Match($A850,'Day Range Raw Data'!$B:$B,0)),"")</f>
        <v/>
      </c>
      <c r="M850" t="str">
        <f t="array" ref="M850">IFERROR(INDEX('Day Range Raw Data'!T:T,Match($A850,'Day Range Raw Data'!$B:$B,0)),"")</f>
        <v/>
      </c>
      <c r="N850" t="str">
        <f t="array" ref="N850">IFERROR(INDEX('Day Range Raw Data'!U:U,Match($A850,'Day Range Raw Data'!$B:$B,0)),"")</f>
        <v/>
      </c>
      <c r="O850" t="str">
        <f t="array" ref="O850">IFERROR(INDEX('Day Range Raw Data'!V:V,Match($A850,'Day Range Raw Data'!$B:$B,0)),"")</f>
        <v/>
      </c>
      <c r="P850" t="str">
        <f t="array" ref="P850">IFERROR(INDEX('Day Range Raw Data'!X:X,Match($A850,'Day Range Raw Data'!$B:$B,0)),"")</f>
        <v/>
      </c>
      <c r="Q850" t="str">
        <f t="shared" si="1"/>
        <v/>
      </c>
      <c r="R850" s="9" t="str">
        <f t="shared" si="2"/>
        <v/>
      </c>
      <c r="S850" s="14" t="str">
        <f t="shared" si="3"/>
        <v/>
      </c>
      <c r="T850" s="15" t="str">
        <f>IFERROR(__xludf.DUMMYFUNCTION("IF($A850="""","""",IFERROR(PERCENTRANK.INC(FILTER(Q:Q,$F:$F&lt;&gt;""""),Q850)*100,""""))"),"")</f>
        <v/>
      </c>
      <c r="U850" s="15" t="str">
        <f>IFERROR(__xludf.DUMMYFUNCTION("IF($A850="""","""",IFERROR(PERCENTRANK.INC(FILTER(R:R,$F:$F&lt;&gt;""""),R850)*100,""""))"),"")</f>
        <v/>
      </c>
      <c r="V850" s="15" t="str">
        <f>IFERROR(__xludf.DUMMYFUNCTION("IF($A850="""","""",IFERROR(PERCENTRANK.INC(FILTER(S:S,$F:$F&lt;&gt;""""),S850)*100,""""))"),"")</f>
        <v/>
      </c>
      <c r="W850" s="15" t="str">
        <f t="shared" si="5"/>
        <v/>
      </c>
    </row>
    <row r="851">
      <c r="B851" t="str">
        <f t="array" ref="B851">IFERROR(INDEX('Player Raw Data'!C:C,Match($A851,'Player Raw Data'!$B:$B,0)),"")</f>
        <v/>
      </c>
      <c r="C851" t="str">
        <f t="array" ref="C851">IFERROR(INDEX('Player Raw Data'!D:D,Match($A851,'Player Raw Data'!$B:$B,0)),"")</f>
        <v/>
      </c>
      <c r="D851" t="str">
        <f t="array" ref="D851">IFERROR(IF(A851=A850, INDEX('Player Raw Data'!E:E,Match($A851,'Player Raw Data'!$B:$B,0)+2),INDEX('Player Raw Data'!E:E,Match($A851,'Player Raw Data'!$B:$B,0))),"")</f>
        <v/>
      </c>
      <c r="E851" t="str">
        <f t="array" ref="E851">IFERROR(INDEX('Day Range Raw Data'!D:D,Match($A851,'Day Range Raw Data'!$B:$B,0)),"")</f>
        <v/>
      </c>
      <c r="F851" t="str">
        <f t="array" ref="F851">IFERROR(INDEX('Day Range Raw Data'!F:F,Match($A851,'Day Range Raw Data'!$B:$B,0)),"")</f>
        <v/>
      </c>
      <c r="G851" t="str">
        <f t="array" ref="G851">IFERROR(INDEX('Day Range Raw Data'!G:G,Match($A851,'Day Range Raw Data'!$B:$B,0)),"")</f>
        <v/>
      </c>
      <c r="H851" t="str">
        <f t="array" ref="H851">IFERROR(INDEX('Day Range Raw Data'!H:H,Match($A851,'Day Range Raw Data'!$B:$B,0)),"")</f>
        <v/>
      </c>
      <c r="I851" t="str">
        <f t="array" ref="I851">IFERROR(INDEX('Day Range Raw Data'!M:M,Match($A851,'Day Range Raw Data'!$B:$B,0)),"")</f>
        <v/>
      </c>
      <c r="J851" t="str">
        <f t="array" ref="J851">IFERROR(INDEX('Day Range Raw Data'!N:N,Match($A851,'Day Range Raw Data'!$B:$B,0)),"")</f>
        <v/>
      </c>
      <c r="K851" t="str">
        <f t="array" ref="K851">IFERROR(INDEX('Day Range Raw Data'!R:R,Match($A851,'Day Range Raw Data'!$B:$B,0)),"")</f>
        <v/>
      </c>
      <c r="L851" t="str">
        <f t="array" ref="L851">IFERROR(INDEX('Day Range Raw Data'!S:S,Match($A851,'Day Range Raw Data'!$B:$B,0)),"")</f>
        <v/>
      </c>
      <c r="M851" t="str">
        <f t="array" ref="M851">IFERROR(INDEX('Day Range Raw Data'!T:T,Match($A851,'Day Range Raw Data'!$B:$B,0)),"")</f>
        <v/>
      </c>
      <c r="N851" t="str">
        <f t="array" ref="N851">IFERROR(INDEX('Day Range Raw Data'!U:U,Match($A851,'Day Range Raw Data'!$B:$B,0)),"")</f>
        <v/>
      </c>
      <c r="O851" t="str">
        <f t="array" ref="O851">IFERROR(INDEX('Day Range Raw Data'!V:V,Match($A851,'Day Range Raw Data'!$B:$B,0)),"")</f>
        <v/>
      </c>
      <c r="P851" t="str">
        <f t="array" ref="P851">IFERROR(INDEX('Day Range Raw Data'!X:X,Match($A851,'Day Range Raw Data'!$B:$B,0)),"")</f>
        <v/>
      </c>
      <c r="Q851" t="str">
        <f t="shared" si="1"/>
        <v/>
      </c>
      <c r="R851" s="9" t="str">
        <f t="shared" si="2"/>
        <v/>
      </c>
      <c r="S851" s="14" t="str">
        <f t="shared" si="3"/>
        <v/>
      </c>
      <c r="T851" s="15" t="str">
        <f>IFERROR(__xludf.DUMMYFUNCTION("IF($A851="""","""",IFERROR(PERCENTRANK.INC(FILTER(Q:Q,$F:$F&lt;&gt;""""),Q851)*100,""""))"),"")</f>
        <v/>
      </c>
      <c r="U851" s="15" t="str">
        <f>IFERROR(__xludf.DUMMYFUNCTION("IF($A851="""","""",IFERROR(PERCENTRANK.INC(FILTER(R:R,$F:$F&lt;&gt;""""),R851)*100,""""))"),"")</f>
        <v/>
      </c>
      <c r="V851" s="15" t="str">
        <f>IFERROR(__xludf.DUMMYFUNCTION("IF($A851="""","""",IFERROR(PERCENTRANK.INC(FILTER(S:S,$F:$F&lt;&gt;""""),S851)*100,""""))"),"")</f>
        <v/>
      </c>
      <c r="W851" s="15" t="str">
        <f t="shared" si="5"/>
        <v/>
      </c>
    </row>
    <row r="852">
      <c r="B852" t="str">
        <f t="array" ref="B852">IFERROR(INDEX('Player Raw Data'!C:C,Match($A852,'Player Raw Data'!$B:$B,0)),"")</f>
        <v/>
      </c>
      <c r="C852" t="str">
        <f t="array" ref="C852">IFERROR(INDEX('Player Raw Data'!D:D,Match($A852,'Player Raw Data'!$B:$B,0)),"")</f>
        <v/>
      </c>
      <c r="D852" t="str">
        <f t="array" ref="D852">IFERROR(IF(A852=A851, INDEX('Player Raw Data'!E:E,Match($A852,'Player Raw Data'!$B:$B,0)+2),INDEX('Player Raw Data'!E:E,Match($A852,'Player Raw Data'!$B:$B,0))),"")</f>
        <v/>
      </c>
      <c r="E852" t="str">
        <f t="array" ref="E852">IFERROR(INDEX('Day Range Raw Data'!D:D,Match($A852,'Day Range Raw Data'!$B:$B,0)),"")</f>
        <v/>
      </c>
      <c r="F852" t="str">
        <f t="array" ref="F852">IFERROR(INDEX('Day Range Raw Data'!F:F,Match($A852,'Day Range Raw Data'!$B:$B,0)),"")</f>
        <v/>
      </c>
      <c r="G852" t="str">
        <f t="array" ref="G852">IFERROR(INDEX('Day Range Raw Data'!G:G,Match($A852,'Day Range Raw Data'!$B:$B,0)),"")</f>
        <v/>
      </c>
      <c r="H852" t="str">
        <f t="array" ref="H852">IFERROR(INDEX('Day Range Raw Data'!H:H,Match($A852,'Day Range Raw Data'!$B:$B,0)),"")</f>
        <v/>
      </c>
      <c r="I852" t="str">
        <f t="array" ref="I852">IFERROR(INDEX('Day Range Raw Data'!M:M,Match($A852,'Day Range Raw Data'!$B:$B,0)),"")</f>
        <v/>
      </c>
      <c r="J852" t="str">
        <f t="array" ref="J852">IFERROR(INDEX('Day Range Raw Data'!N:N,Match($A852,'Day Range Raw Data'!$B:$B,0)),"")</f>
        <v/>
      </c>
      <c r="K852" t="str">
        <f t="array" ref="K852">IFERROR(INDEX('Day Range Raw Data'!R:R,Match($A852,'Day Range Raw Data'!$B:$B,0)),"")</f>
        <v/>
      </c>
      <c r="L852" t="str">
        <f t="array" ref="L852">IFERROR(INDEX('Day Range Raw Data'!S:S,Match($A852,'Day Range Raw Data'!$B:$B,0)),"")</f>
        <v/>
      </c>
      <c r="M852" t="str">
        <f t="array" ref="M852">IFERROR(INDEX('Day Range Raw Data'!T:T,Match($A852,'Day Range Raw Data'!$B:$B,0)),"")</f>
        <v/>
      </c>
      <c r="N852" t="str">
        <f t="array" ref="N852">IFERROR(INDEX('Day Range Raw Data'!U:U,Match($A852,'Day Range Raw Data'!$B:$B,0)),"")</f>
        <v/>
      </c>
      <c r="O852" t="str">
        <f t="array" ref="O852">IFERROR(INDEX('Day Range Raw Data'!V:V,Match($A852,'Day Range Raw Data'!$B:$B,0)),"")</f>
        <v/>
      </c>
      <c r="P852" t="str">
        <f t="array" ref="P852">IFERROR(INDEX('Day Range Raw Data'!X:X,Match($A852,'Day Range Raw Data'!$B:$B,0)),"")</f>
        <v/>
      </c>
      <c r="Q852" t="str">
        <f t="shared" si="1"/>
        <v/>
      </c>
      <c r="R852" s="9" t="str">
        <f t="shared" si="2"/>
        <v/>
      </c>
      <c r="S852" s="14" t="str">
        <f t="shared" si="3"/>
        <v/>
      </c>
      <c r="T852" s="15" t="str">
        <f>IFERROR(__xludf.DUMMYFUNCTION("IF($A852="""","""",IFERROR(PERCENTRANK.INC(FILTER(Q:Q,$F:$F&lt;&gt;""""),Q852)*100,""""))"),"")</f>
        <v/>
      </c>
      <c r="U852" s="15" t="str">
        <f>IFERROR(__xludf.DUMMYFUNCTION("IF($A852="""","""",IFERROR(PERCENTRANK.INC(FILTER(R:R,$F:$F&lt;&gt;""""),R852)*100,""""))"),"")</f>
        <v/>
      </c>
      <c r="V852" s="15" t="str">
        <f>IFERROR(__xludf.DUMMYFUNCTION("IF($A852="""","""",IFERROR(PERCENTRANK.INC(FILTER(S:S,$F:$F&lt;&gt;""""),S852)*100,""""))"),"")</f>
        <v/>
      </c>
      <c r="W852" s="15" t="str">
        <f t="shared" si="5"/>
        <v/>
      </c>
    </row>
    <row r="853">
      <c r="B853" t="str">
        <f t="array" ref="B853">IFERROR(INDEX('Player Raw Data'!C:C,Match($A853,'Player Raw Data'!$B:$B,0)),"")</f>
        <v/>
      </c>
      <c r="C853" t="str">
        <f t="array" ref="C853">IFERROR(INDEX('Player Raw Data'!D:D,Match($A853,'Player Raw Data'!$B:$B,0)),"")</f>
        <v/>
      </c>
      <c r="D853" t="str">
        <f t="array" ref="D853">IFERROR(IF(A853=A852, INDEX('Player Raw Data'!E:E,Match($A853,'Player Raw Data'!$B:$B,0)+2),INDEX('Player Raw Data'!E:E,Match($A853,'Player Raw Data'!$B:$B,0))),"")</f>
        <v/>
      </c>
      <c r="E853" t="str">
        <f t="array" ref="E853">IFERROR(INDEX('Day Range Raw Data'!D:D,Match($A853,'Day Range Raw Data'!$B:$B,0)),"")</f>
        <v/>
      </c>
      <c r="F853" t="str">
        <f t="array" ref="F853">IFERROR(INDEX('Day Range Raw Data'!F:F,Match($A853,'Day Range Raw Data'!$B:$B,0)),"")</f>
        <v/>
      </c>
      <c r="G853" t="str">
        <f t="array" ref="G853">IFERROR(INDEX('Day Range Raw Data'!G:G,Match($A853,'Day Range Raw Data'!$B:$B,0)),"")</f>
        <v/>
      </c>
      <c r="H853" t="str">
        <f t="array" ref="H853">IFERROR(INDEX('Day Range Raw Data'!H:H,Match($A853,'Day Range Raw Data'!$B:$B,0)),"")</f>
        <v/>
      </c>
      <c r="I853" t="str">
        <f t="array" ref="I853">IFERROR(INDEX('Day Range Raw Data'!M:M,Match($A853,'Day Range Raw Data'!$B:$B,0)),"")</f>
        <v/>
      </c>
      <c r="J853" t="str">
        <f t="array" ref="J853">IFERROR(INDEX('Day Range Raw Data'!N:N,Match($A853,'Day Range Raw Data'!$B:$B,0)),"")</f>
        <v/>
      </c>
      <c r="K853" t="str">
        <f t="array" ref="K853">IFERROR(INDEX('Day Range Raw Data'!R:R,Match($A853,'Day Range Raw Data'!$B:$B,0)),"")</f>
        <v/>
      </c>
      <c r="L853" t="str">
        <f t="array" ref="L853">IFERROR(INDEX('Day Range Raw Data'!S:S,Match($A853,'Day Range Raw Data'!$B:$B,0)),"")</f>
        <v/>
      </c>
      <c r="M853" t="str">
        <f t="array" ref="M853">IFERROR(INDEX('Day Range Raw Data'!T:T,Match($A853,'Day Range Raw Data'!$B:$B,0)),"")</f>
        <v/>
      </c>
      <c r="N853" t="str">
        <f t="array" ref="N853">IFERROR(INDEX('Day Range Raw Data'!U:U,Match($A853,'Day Range Raw Data'!$B:$B,0)),"")</f>
        <v/>
      </c>
      <c r="O853" t="str">
        <f t="array" ref="O853">IFERROR(INDEX('Day Range Raw Data'!V:V,Match($A853,'Day Range Raw Data'!$B:$B,0)),"")</f>
        <v/>
      </c>
      <c r="P853" t="str">
        <f t="array" ref="P853">IFERROR(INDEX('Day Range Raw Data'!X:X,Match($A853,'Day Range Raw Data'!$B:$B,0)),"")</f>
        <v/>
      </c>
      <c r="Q853" t="str">
        <f t="shared" si="1"/>
        <v/>
      </c>
      <c r="R853" s="9" t="str">
        <f t="shared" si="2"/>
        <v/>
      </c>
      <c r="S853" s="14" t="str">
        <f t="shared" si="3"/>
        <v/>
      </c>
      <c r="T853" s="15" t="str">
        <f>IFERROR(__xludf.DUMMYFUNCTION("IF($A853="""","""",IFERROR(PERCENTRANK.INC(FILTER(Q:Q,$F:$F&lt;&gt;""""),Q853)*100,""""))"),"")</f>
        <v/>
      </c>
      <c r="U853" s="15" t="str">
        <f>IFERROR(__xludf.DUMMYFUNCTION("IF($A853="""","""",IFERROR(PERCENTRANK.INC(FILTER(R:R,$F:$F&lt;&gt;""""),R853)*100,""""))"),"")</f>
        <v/>
      </c>
      <c r="V853" s="15" t="str">
        <f>IFERROR(__xludf.DUMMYFUNCTION("IF($A853="""","""",IFERROR(PERCENTRANK.INC(FILTER(S:S,$F:$F&lt;&gt;""""),S853)*100,""""))"),"")</f>
        <v/>
      </c>
      <c r="W853" s="15" t="str">
        <f t="shared" si="5"/>
        <v/>
      </c>
    </row>
    <row r="854">
      <c r="B854" t="str">
        <f t="array" ref="B854">IFERROR(INDEX('Player Raw Data'!C:C,Match($A854,'Player Raw Data'!$B:$B,0)),"")</f>
        <v/>
      </c>
      <c r="C854" t="str">
        <f t="array" ref="C854">IFERROR(INDEX('Player Raw Data'!D:D,Match($A854,'Player Raw Data'!$B:$B,0)),"")</f>
        <v/>
      </c>
      <c r="D854" t="str">
        <f t="array" ref="D854">IFERROR(IF(A854=A853, INDEX('Player Raw Data'!E:E,Match($A854,'Player Raw Data'!$B:$B,0)+2),INDEX('Player Raw Data'!E:E,Match($A854,'Player Raw Data'!$B:$B,0))),"")</f>
        <v/>
      </c>
      <c r="E854" t="str">
        <f t="array" ref="E854">IFERROR(INDEX('Day Range Raw Data'!D:D,Match($A854,'Day Range Raw Data'!$B:$B,0)),"")</f>
        <v/>
      </c>
      <c r="F854" t="str">
        <f t="array" ref="F854">IFERROR(INDEX('Day Range Raw Data'!F:F,Match($A854,'Day Range Raw Data'!$B:$B,0)),"")</f>
        <v/>
      </c>
      <c r="G854" t="str">
        <f t="array" ref="G854">IFERROR(INDEX('Day Range Raw Data'!G:G,Match($A854,'Day Range Raw Data'!$B:$B,0)),"")</f>
        <v/>
      </c>
      <c r="H854" t="str">
        <f t="array" ref="H854">IFERROR(INDEX('Day Range Raw Data'!H:H,Match($A854,'Day Range Raw Data'!$B:$B,0)),"")</f>
        <v/>
      </c>
      <c r="I854" t="str">
        <f t="array" ref="I854">IFERROR(INDEX('Day Range Raw Data'!M:M,Match($A854,'Day Range Raw Data'!$B:$B,0)),"")</f>
        <v/>
      </c>
      <c r="J854" t="str">
        <f t="array" ref="J854">IFERROR(INDEX('Day Range Raw Data'!N:N,Match($A854,'Day Range Raw Data'!$B:$B,0)),"")</f>
        <v/>
      </c>
      <c r="K854" t="str">
        <f t="array" ref="K854">IFERROR(INDEX('Day Range Raw Data'!R:R,Match($A854,'Day Range Raw Data'!$B:$B,0)),"")</f>
        <v/>
      </c>
      <c r="L854" t="str">
        <f t="array" ref="L854">IFERROR(INDEX('Day Range Raw Data'!S:S,Match($A854,'Day Range Raw Data'!$B:$B,0)),"")</f>
        <v/>
      </c>
      <c r="M854" t="str">
        <f t="array" ref="M854">IFERROR(INDEX('Day Range Raw Data'!T:T,Match($A854,'Day Range Raw Data'!$B:$B,0)),"")</f>
        <v/>
      </c>
      <c r="N854" t="str">
        <f t="array" ref="N854">IFERROR(INDEX('Day Range Raw Data'!U:U,Match($A854,'Day Range Raw Data'!$B:$B,0)),"")</f>
        <v/>
      </c>
      <c r="O854" t="str">
        <f t="array" ref="O854">IFERROR(INDEX('Day Range Raw Data'!V:V,Match($A854,'Day Range Raw Data'!$B:$B,0)),"")</f>
        <v/>
      </c>
      <c r="P854" t="str">
        <f t="array" ref="P854">IFERROR(INDEX('Day Range Raw Data'!X:X,Match($A854,'Day Range Raw Data'!$B:$B,0)),"")</f>
        <v/>
      </c>
      <c r="Q854" t="str">
        <f t="shared" si="1"/>
        <v/>
      </c>
      <c r="R854" s="9" t="str">
        <f t="shared" si="2"/>
        <v/>
      </c>
      <c r="S854" s="14" t="str">
        <f t="shared" si="3"/>
        <v/>
      </c>
      <c r="T854" s="15" t="str">
        <f>IFERROR(__xludf.DUMMYFUNCTION("IF($A854="""","""",IFERROR(PERCENTRANK.INC(FILTER(Q:Q,$F:$F&lt;&gt;""""),Q854)*100,""""))"),"")</f>
        <v/>
      </c>
      <c r="U854" s="15" t="str">
        <f>IFERROR(__xludf.DUMMYFUNCTION("IF($A854="""","""",IFERROR(PERCENTRANK.INC(FILTER(R:R,$F:$F&lt;&gt;""""),R854)*100,""""))"),"")</f>
        <v/>
      </c>
      <c r="V854" s="15" t="str">
        <f>IFERROR(__xludf.DUMMYFUNCTION("IF($A854="""","""",IFERROR(PERCENTRANK.INC(FILTER(S:S,$F:$F&lt;&gt;""""),S854)*100,""""))"),"")</f>
        <v/>
      </c>
      <c r="W854" s="15" t="str">
        <f t="shared" si="5"/>
        <v/>
      </c>
    </row>
    <row r="855">
      <c r="B855" t="str">
        <f t="array" ref="B855">IFERROR(INDEX('Player Raw Data'!C:C,Match($A855,'Player Raw Data'!$B:$B,0)),"")</f>
        <v/>
      </c>
      <c r="C855" t="str">
        <f t="array" ref="C855">IFERROR(INDEX('Player Raw Data'!D:D,Match($A855,'Player Raw Data'!$B:$B,0)),"")</f>
        <v/>
      </c>
      <c r="D855" t="str">
        <f t="array" ref="D855">IFERROR(IF(A855=A854, INDEX('Player Raw Data'!E:E,Match($A855,'Player Raw Data'!$B:$B,0)+2),INDEX('Player Raw Data'!E:E,Match($A855,'Player Raw Data'!$B:$B,0))),"")</f>
        <v/>
      </c>
      <c r="E855" t="str">
        <f t="array" ref="E855">IFERROR(INDEX('Day Range Raw Data'!D:D,Match($A855,'Day Range Raw Data'!$B:$B,0)),"")</f>
        <v/>
      </c>
      <c r="F855" t="str">
        <f t="array" ref="F855">IFERROR(INDEX('Day Range Raw Data'!F:F,Match($A855,'Day Range Raw Data'!$B:$B,0)),"")</f>
        <v/>
      </c>
      <c r="G855" t="str">
        <f t="array" ref="G855">IFERROR(INDEX('Day Range Raw Data'!G:G,Match($A855,'Day Range Raw Data'!$B:$B,0)),"")</f>
        <v/>
      </c>
      <c r="H855" t="str">
        <f t="array" ref="H855">IFERROR(INDEX('Day Range Raw Data'!H:H,Match($A855,'Day Range Raw Data'!$B:$B,0)),"")</f>
        <v/>
      </c>
      <c r="I855" t="str">
        <f t="array" ref="I855">IFERROR(INDEX('Day Range Raw Data'!M:M,Match($A855,'Day Range Raw Data'!$B:$B,0)),"")</f>
        <v/>
      </c>
      <c r="J855" t="str">
        <f t="array" ref="J855">IFERROR(INDEX('Day Range Raw Data'!N:N,Match($A855,'Day Range Raw Data'!$B:$B,0)),"")</f>
        <v/>
      </c>
      <c r="K855" t="str">
        <f t="array" ref="K855">IFERROR(INDEX('Day Range Raw Data'!R:R,Match($A855,'Day Range Raw Data'!$B:$B,0)),"")</f>
        <v/>
      </c>
      <c r="L855" t="str">
        <f t="array" ref="L855">IFERROR(INDEX('Day Range Raw Data'!S:S,Match($A855,'Day Range Raw Data'!$B:$B,0)),"")</f>
        <v/>
      </c>
      <c r="M855" t="str">
        <f t="array" ref="M855">IFERROR(INDEX('Day Range Raw Data'!T:T,Match($A855,'Day Range Raw Data'!$B:$B,0)),"")</f>
        <v/>
      </c>
      <c r="N855" t="str">
        <f t="array" ref="N855">IFERROR(INDEX('Day Range Raw Data'!U:U,Match($A855,'Day Range Raw Data'!$B:$B,0)),"")</f>
        <v/>
      </c>
      <c r="O855" t="str">
        <f t="array" ref="O855">IFERROR(INDEX('Day Range Raw Data'!V:V,Match($A855,'Day Range Raw Data'!$B:$B,0)),"")</f>
        <v/>
      </c>
      <c r="P855" t="str">
        <f t="array" ref="P855">IFERROR(INDEX('Day Range Raw Data'!X:X,Match($A855,'Day Range Raw Data'!$B:$B,0)),"")</f>
        <v/>
      </c>
      <c r="Q855" t="str">
        <f t="shared" si="1"/>
        <v/>
      </c>
      <c r="R855" s="9" t="str">
        <f t="shared" si="2"/>
        <v/>
      </c>
      <c r="S855" s="14" t="str">
        <f t="shared" si="3"/>
        <v/>
      </c>
      <c r="T855" s="15" t="str">
        <f>IFERROR(__xludf.DUMMYFUNCTION("IF($A855="""","""",IFERROR(PERCENTRANK.INC(FILTER(Q:Q,$F:$F&lt;&gt;""""),Q855)*100,""""))"),"")</f>
        <v/>
      </c>
      <c r="U855" s="15" t="str">
        <f>IFERROR(__xludf.DUMMYFUNCTION("IF($A855="""","""",IFERROR(PERCENTRANK.INC(FILTER(R:R,$F:$F&lt;&gt;""""),R855)*100,""""))"),"")</f>
        <v/>
      </c>
      <c r="V855" s="15" t="str">
        <f>IFERROR(__xludf.DUMMYFUNCTION("IF($A855="""","""",IFERROR(PERCENTRANK.INC(FILTER(S:S,$F:$F&lt;&gt;""""),S855)*100,""""))"),"")</f>
        <v/>
      </c>
      <c r="W855" s="15" t="str">
        <f t="shared" si="5"/>
        <v/>
      </c>
    </row>
    <row r="856">
      <c r="B856" t="str">
        <f t="array" ref="B856">IFERROR(INDEX('Player Raw Data'!C:C,Match($A856,'Player Raw Data'!$B:$B,0)),"")</f>
        <v/>
      </c>
      <c r="C856" t="str">
        <f t="array" ref="C856">IFERROR(INDEX('Player Raw Data'!D:D,Match($A856,'Player Raw Data'!$B:$B,0)),"")</f>
        <v/>
      </c>
      <c r="D856" t="str">
        <f t="array" ref="D856">IFERROR(IF(A856=A855, INDEX('Player Raw Data'!E:E,Match($A856,'Player Raw Data'!$B:$B,0)+2),INDEX('Player Raw Data'!E:E,Match($A856,'Player Raw Data'!$B:$B,0))),"")</f>
        <v/>
      </c>
      <c r="E856" t="str">
        <f t="array" ref="E856">IFERROR(INDEX('Day Range Raw Data'!D:D,Match($A856,'Day Range Raw Data'!$B:$B,0)),"")</f>
        <v/>
      </c>
      <c r="F856" t="str">
        <f t="array" ref="F856">IFERROR(INDEX('Day Range Raw Data'!F:F,Match($A856,'Day Range Raw Data'!$B:$B,0)),"")</f>
        <v/>
      </c>
      <c r="G856" t="str">
        <f t="array" ref="G856">IFERROR(INDEX('Day Range Raw Data'!G:G,Match($A856,'Day Range Raw Data'!$B:$B,0)),"")</f>
        <v/>
      </c>
      <c r="H856" t="str">
        <f t="array" ref="H856">IFERROR(INDEX('Day Range Raw Data'!H:H,Match($A856,'Day Range Raw Data'!$B:$B,0)),"")</f>
        <v/>
      </c>
      <c r="I856" t="str">
        <f t="array" ref="I856">IFERROR(INDEX('Day Range Raw Data'!M:M,Match($A856,'Day Range Raw Data'!$B:$B,0)),"")</f>
        <v/>
      </c>
      <c r="J856" t="str">
        <f t="array" ref="J856">IFERROR(INDEX('Day Range Raw Data'!N:N,Match($A856,'Day Range Raw Data'!$B:$B,0)),"")</f>
        <v/>
      </c>
      <c r="K856" t="str">
        <f t="array" ref="K856">IFERROR(INDEX('Day Range Raw Data'!R:R,Match($A856,'Day Range Raw Data'!$B:$B,0)),"")</f>
        <v/>
      </c>
      <c r="L856" t="str">
        <f t="array" ref="L856">IFERROR(INDEX('Day Range Raw Data'!S:S,Match($A856,'Day Range Raw Data'!$B:$B,0)),"")</f>
        <v/>
      </c>
      <c r="M856" t="str">
        <f t="array" ref="M856">IFERROR(INDEX('Day Range Raw Data'!T:T,Match($A856,'Day Range Raw Data'!$B:$B,0)),"")</f>
        <v/>
      </c>
      <c r="N856" t="str">
        <f t="array" ref="N856">IFERROR(INDEX('Day Range Raw Data'!U:U,Match($A856,'Day Range Raw Data'!$B:$B,0)),"")</f>
        <v/>
      </c>
      <c r="O856" t="str">
        <f t="array" ref="O856">IFERROR(INDEX('Day Range Raw Data'!V:V,Match($A856,'Day Range Raw Data'!$B:$B,0)),"")</f>
        <v/>
      </c>
      <c r="P856" t="str">
        <f t="array" ref="P856">IFERROR(INDEX('Day Range Raw Data'!X:X,Match($A856,'Day Range Raw Data'!$B:$B,0)),"")</f>
        <v/>
      </c>
      <c r="Q856" t="str">
        <f t="shared" si="1"/>
        <v/>
      </c>
      <c r="R856" s="9" t="str">
        <f t="shared" si="2"/>
        <v/>
      </c>
      <c r="S856" s="14" t="str">
        <f t="shared" si="3"/>
        <v/>
      </c>
      <c r="T856" s="15" t="str">
        <f>IFERROR(__xludf.DUMMYFUNCTION("IF($A856="""","""",IFERROR(PERCENTRANK.INC(FILTER(Q:Q,$F:$F&lt;&gt;""""),Q856)*100,""""))"),"")</f>
        <v/>
      </c>
      <c r="U856" s="15" t="str">
        <f>IFERROR(__xludf.DUMMYFUNCTION("IF($A856="""","""",IFERROR(PERCENTRANK.INC(FILTER(R:R,$F:$F&lt;&gt;""""),R856)*100,""""))"),"")</f>
        <v/>
      </c>
      <c r="V856" s="15" t="str">
        <f>IFERROR(__xludf.DUMMYFUNCTION("IF($A856="""","""",IFERROR(PERCENTRANK.INC(FILTER(S:S,$F:$F&lt;&gt;""""),S856)*100,""""))"),"")</f>
        <v/>
      </c>
      <c r="W856" s="15" t="str">
        <f t="shared" si="5"/>
        <v/>
      </c>
    </row>
    <row r="857">
      <c r="B857" t="str">
        <f t="array" ref="B857">IFERROR(INDEX('Player Raw Data'!C:C,Match($A857,'Player Raw Data'!$B:$B,0)),"")</f>
        <v/>
      </c>
      <c r="C857" t="str">
        <f t="array" ref="C857">IFERROR(INDEX('Player Raw Data'!D:D,Match($A857,'Player Raw Data'!$B:$B,0)),"")</f>
        <v/>
      </c>
      <c r="D857" t="str">
        <f t="array" ref="D857">IFERROR(IF(A857=A856, INDEX('Player Raw Data'!E:E,Match($A857,'Player Raw Data'!$B:$B,0)+2),INDEX('Player Raw Data'!E:E,Match($A857,'Player Raw Data'!$B:$B,0))),"")</f>
        <v/>
      </c>
      <c r="E857" t="str">
        <f t="array" ref="E857">IFERROR(INDEX('Day Range Raw Data'!D:D,Match($A857,'Day Range Raw Data'!$B:$B,0)),"")</f>
        <v/>
      </c>
      <c r="F857" t="str">
        <f t="array" ref="F857">IFERROR(INDEX('Day Range Raw Data'!F:F,Match($A857,'Day Range Raw Data'!$B:$B,0)),"")</f>
        <v/>
      </c>
      <c r="G857" t="str">
        <f t="array" ref="G857">IFERROR(INDEX('Day Range Raw Data'!G:G,Match($A857,'Day Range Raw Data'!$B:$B,0)),"")</f>
        <v/>
      </c>
      <c r="H857" t="str">
        <f t="array" ref="H857">IFERROR(INDEX('Day Range Raw Data'!H:H,Match($A857,'Day Range Raw Data'!$B:$B,0)),"")</f>
        <v/>
      </c>
      <c r="I857" t="str">
        <f t="array" ref="I857">IFERROR(INDEX('Day Range Raw Data'!M:M,Match($A857,'Day Range Raw Data'!$B:$B,0)),"")</f>
        <v/>
      </c>
      <c r="J857" t="str">
        <f t="array" ref="J857">IFERROR(INDEX('Day Range Raw Data'!N:N,Match($A857,'Day Range Raw Data'!$B:$B,0)),"")</f>
        <v/>
      </c>
      <c r="K857" t="str">
        <f t="array" ref="K857">IFERROR(INDEX('Day Range Raw Data'!R:R,Match($A857,'Day Range Raw Data'!$B:$B,0)),"")</f>
        <v/>
      </c>
      <c r="L857" t="str">
        <f t="array" ref="L857">IFERROR(INDEX('Day Range Raw Data'!S:S,Match($A857,'Day Range Raw Data'!$B:$B,0)),"")</f>
        <v/>
      </c>
      <c r="M857" t="str">
        <f t="array" ref="M857">IFERROR(INDEX('Day Range Raw Data'!T:T,Match($A857,'Day Range Raw Data'!$B:$B,0)),"")</f>
        <v/>
      </c>
      <c r="N857" t="str">
        <f t="array" ref="N857">IFERROR(INDEX('Day Range Raw Data'!U:U,Match($A857,'Day Range Raw Data'!$B:$B,0)),"")</f>
        <v/>
      </c>
      <c r="O857" t="str">
        <f t="array" ref="O857">IFERROR(INDEX('Day Range Raw Data'!V:V,Match($A857,'Day Range Raw Data'!$B:$B,0)),"")</f>
        <v/>
      </c>
      <c r="P857" t="str">
        <f t="array" ref="P857">IFERROR(INDEX('Day Range Raw Data'!X:X,Match($A857,'Day Range Raw Data'!$B:$B,0)),"")</f>
        <v/>
      </c>
      <c r="Q857" t="str">
        <f t="shared" si="1"/>
        <v/>
      </c>
      <c r="R857" s="9" t="str">
        <f t="shared" si="2"/>
        <v/>
      </c>
      <c r="S857" s="14" t="str">
        <f t="shared" si="3"/>
        <v/>
      </c>
      <c r="T857" s="15" t="str">
        <f>IFERROR(__xludf.DUMMYFUNCTION("IF($A857="""","""",IFERROR(PERCENTRANK.INC(FILTER(Q:Q,$F:$F&lt;&gt;""""),Q857)*100,""""))"),"")</f>
        <v/>
      </c>
      <c r="U857" s="15" t="str">
        <f>IFERROR(__xludf.DUMMYFUNCTION("IF($A857="""","""",IFERROR(PERCENTRANK.INC(FILTER(R:R,$F:$F&lt;&gt;""""),R857)*100,""""))"),"")</f>
        <v/>
      </c>
      <c r="V857" s="15" t="str">
        <f>IFERROR(__xludf.DUMMYFUNCTION("IF($A857="""","""",IFERROR(PERCENTRANK.INC(FILTER(S:S,$F:$F&lt;&gt;""""),S857)*100,""""))"),"")</f>
        <v/>
      </c>
      <c r="W857" s="15" t="str">
        <f t="shared" si="5"/>
        <v/>
      </c>
    </row>
    <row r="858">
      <c r="B858" t="str">
        <f t="array" ref="B858">IFERROR(INDEX('Player Raw Data'!C:C,Match($A858,'Player Raw Data'!$B:$B,0)),"")</f>
        <v/>
      </c>
      <c r="C858" t="str">
        <f t="array" ref="C858">IFERROR(INDEX('Player Raw Data'!D:D,Match($A858,'Player Raw Data'!$B:$B,0)),"")</f>
        <v/>
      </c>
      <c r="D858" t="str">
        <f t="array" ref="D858">IFERROR(IF(A858=A857, INDEX('Player Raw Data'!E:E,Match($A858,'Player Raw Data'!$B:$B,0)+2),INDEX('Player Raw Data'!E:E,Match($A858,'Player Raw Data'!$B:$B,0))),"")</f>
        <v/>
      </c>
      <c r="E858" t="str">
        <f t="array" ref="E858">IFERROR(INDEX('Day Range Raw Data'!D:D,Match($A858,'Day Range Raw Data'!$B:$B,0)),"")</f>
        <v/>
      </c>
      <c r="F858" t="str">
        <f t="array" ref="F858">IFERROR(INDEX('Day Range Raw Data'!F:F,Match($A858,'Day Range Raw Data'!$B:$B,0)),"")</f>
        <v/>
      </c>
      <c r="G858" t="str">
        <f t="array" ref="G858">IFERROR(INDEX('Day Range Raw Data'!G:G,Match($A858,'Day Range Raw Data'!$B:$B,0)),"")</f>
        <v/>
      </c>
      <c r="H858" t="str">
        <f t="array" ref="H858">IFERROR(INDEX('Day Range Raw Data'!H:H,Match($A858,'Day Range Raw Data'!$B:$B,0)),"")</f>
        <v/>
      </c>
      <c r="I858" t="str">
        <f t="array" ref="I858">IFERROR(INDEX('Day Range Raw Data'!M:M,Match($A858,'Day Range Raw Data'!$B:$B,0)),"")</f>
        <v/>
      </c>
      <c r="J858" t="str">
        <f t="array" ref="J858">IFERROR(INDEX('Day Range Raw Data'!N:N,Match($A858,'Day Range Raw Data'!$B:$B,0)),"")</f>
        <v/>
      </c>
      <c r="K858" t="str">
        <f t="array" ref="K858">IFERROR(INDEX('Day Range Raw Data'!R:R,Match($A858,'Day Range Raw Data'!$B:$B,0)),"")</f>
        <v/>
      </c>
      <c r="L858" t="str">
        <f t="array" ref="L858">IFERROR(INDEX('Day Range Raw Data'!S:S,Match($A858,'Day Range Raw Data'!$B:$B,0)),"")</f>
        <v/>
      </c>
      <c r="M858" t="str">
        <f t="array" ref="M858">IFERROR(INDEX('Day Range Raw Data'!T:T,Match($A858,'Day Range Raw Data'!$B:$B,0)),"")</f>
        <v/>
      </c>
      <c r="N858" t="str">
        <f t="array" ref="N858">IFERROR(INDEX('Day Range Raw Data'!U:U,Match($A858,'Day Range Raw Data'!$B:$B,0)),"")</f>
        <v/>
      </c>
      <c r="O858" t="str">
        <f t="array" ref="O858">IFERROR(INDEX('Day Range Raw Data'!V:V,Match($A858,'Day Range Raw Data'!$B:$B,0)),"")</f>
        <v/>
      </c>
      <c r="P858" t="str">
        <f t="array" ref="P858">IFERROR(INDEX('Day Range Raw Data'!X:X,Match($A858,'Day Range Raw Data'!$B:$B,0)),"")</f>
        <v/>
      </c>
      <c r="Q858" t="str">
        <f t="shared" si="1"/>
        <v/>
      </c>
      <c r="R858" s="9" t="str">
        <f t="shared" si="2"/>
        <v/>
      </c>
      <c r="S858" s="14" t="str">
        <f t="shared" si="3"/>
        <v/>
      </c>
      <c r="T858" s="15" t="str">
        <f>IFERROR(__xludf.DUMMYFUNCTION("IF($A858="""","""",IFERROR(PERCENTRANK.INC(FILTER(Q:Q,$F:$F&lt;&gt;""""),Q858)*100,""""))"),"")</f>
        <v/>
      </c>
      <c r="U858" s="15" t="str">
        <f>IFERROR(__xludf.DUMMYFUNCTION("IF($A858="""","""",IFERROR(PERCENTRANK.INC(FILTER(R:R,$F:$F&lt;&gt;""""),R858)*100,""""))"),"")</f>
        <v/>
      </c>
      <c r="V858" s="15" t="str">
        <f>IFERROR(__xludf.DUMMYFUNCTION("IF($A858="""","""",IFERROR(PERCENTRANK.INC(FILTER(S:S,$F:$F&lt;&gt;""""),S858)*100,""""))"),"")</f>
        <v/>
      </c>
      <c r="W858" s="15" t="str">
        <f t="shared" si="5"/>
        <v/>
      </c>
    </row>
    <row r="859">
      <c r="B859" t="str">
        <f t="array" ref="B859">IFERROR(INDEX('Player Raw Data'!C:C,Match($A859,'Player Raw Data'!$B:$B,0)),"")</f>
        <v/>
      </c>
      <c r="C859" t="str">
        <f t="array" ref="C859">IFERROR(INDEX('Player Raw Data'!D:D,Match($A859,'Player Raw Data'!$B:$B,0)),"")</f>
        <v/>
      </c>
      <c r="D859" t="str">
        <f t="array" ref="D859">IFERROR(IF(A859=A858, INDEX('Player Raw Data'!E:E,Match($A859,'Player Raw Data'!$B:$B,0)+2),INDEX('Player Raw Data'!E:E,Match($A859,'Player Raw Data'!$B:$B,0))),"")</f>
        <v/>
      </c>
      <c r="E859" t="str">
        <f t="array" ref="E859">IFERROR(INDEX('Day Range Raw Data'!D:D,Match($A859,'Day Range Raw Data'!$B:$B,0)),"")</f>
        <v/>
      </c>
      <c r="F859" t="str">
        <f t="array" ref="F859">IFERROR(INDEX('Day Range Raw Data'!F:F,Match($A859,'Day Range Raw Data'!$B:$B,0)),"")</f>
        <v/>
      </c>
      <c r="G859" t="str">
        <f t="array" ref="G859">IFERROR(INDEX('Day Range Raw Data'!G:G,Match($A859,'Day Range Raw Data'!$B:$B,0)),"")</f>
        <v/>
      </c>
      <c r="H859" t="str">
        <f t="array" ref="H859">IFERROR(INDEX('Day Range Raw Data'!H:H,Match($A859,'Day Range Raw Data'!$B:$B,0)),"")</f>
        <v/>
      </c>
      <c r="I859" t="str">
        <f t="array" ref="I859">IFERROR(INDEX('Day Range Raw Data'!M:M,Match($A859,'Day Range Raw Data'!$B:$B,0)),"")</f>
        <v/>
      </c>
      <c r="J859" t="str">
        <f t="array" ref="J859">IFERROR(INDEX('Day Range Raw Data'!N:N,Match($A859,'Day Range Raw Data'!$B:$B,0)),"")</f>
        <v/>
      </c>
      <c r="K859" t="str">
        <f t="array" ref="K859">IFERROR(INDEX('Day Range Raw Data'!R:R,Match($A859,'Day Range Raw Data'!$B:$B,0)),"")</f>
        <v/>
      </c>
      <c r="L859" t="str">
        <f t="array" ref="L859">IFERROR(INDEX('Day Range Raw Data'!S:S,Match($A859,'Day Range Raw Data'!$B:$B,0)),"")</f>
        <v/>
      </c>
      <c r="M859" t="str">
        <f t="array" ref="M859">IFERROR(INDEX('Day Range Raw Data'!T:T,Match($A859,'Day Range Raw Data'!$B:$B,0)),"")</f>
        <v/>
      </c>
      <c r="N859" t="str">
        <f t="array" ref="N859">IFERROR(INDEX('Day Range Raw Data'!U:U,Match($A859,'Day Range Raw Data'!$B:$B,0)),"")</f>
        <v/>
      </c>
      <c r="O859" t="str">
        <f t="array" ref="O859">IFERROR(INDEX('Day Range Raw Data'!V:V,Match($A859,'Day Range Raw Data'!$B:$B,0)),"")</f>
        <v/>
      </c>
      <c r="P859" t="str">
        <f t="array" ref="P859">IFERROR(INDEX('Day Range Raw Data'!X:X,Match($A859,'Day Range Raw Data'!$B:$B,0)),"")</f>
        <v/>
      </c>
      <c r="Q859" t="str">
        <f t="shared" si="1"/>
        <v/>
      </c>
      <c r="R859" s="9" t="str">
        <f t="shared" si="2"/>
        <v/>
      </c>
      <c r="S859" s="14" t="str">
        <f t="shared" si="3"/>
        <v/>
      </c>
      <c r="T859" s="15" t="str">
        <f>IFERROR(__xludf.DUMMYFUNCTION("IF($A859="""","""",IFERROR(PERCENTRANK.INC(FILTER(Q:Q,$F:$F&lt;&gt;""""),Q859)*100,""""))"),"")</f>
        <v/>
      </c>
      <c r="U859" s="15" t="str">
        <f>IFERROR(__xludf.DUMMYFUNCTION("IF($A859="""","""",IFERROR(PERCENTRANK.INC(FILTER(R:R,$F:$F&lt;&gt;""""),R859)*100,""""))"),"")</f>
        <v/>
      </c>
      <c r="V859" s="15" t="str">
        <f>IFERROR(__xludf.DUMMYFUNCTION("IF($A859="""","""",IFERROR(PERCENTRANK.INC(FILTER(S:S,$F:$F&lt;&gt;""""),S859)*100,""""))"),"")</f>
        <v/>
      </c>
      <c r="W859" s="15" t="str">
        <f t="shared" si="5"/>
        <v/>
      </c>
    </row>
    <row r="860">
      <c r="B860" t="str">
        <f t="array" ref="B860">IFERROR(INDEX('Player Raw Data'!C:C,Match($A860,'Player Raw Data'!$B:$B,0)),"")</f>
        <v/>
      </c>
      <c r="C860" t="str">
        <f t="array" ref="C860">IFERROR(INDEX('Player Raw Data'!D:D,Match($A860,'Player Raw Data'!$B:$B,0)),"")</f>
        <v/>
      </c>
      <c r="D860" t="str">
        <f t="array" ref="D860">IFERROR(IF(A860=A859, INDEX('Player Raw Data'!E:E,Match($A860,'Player Raw Data'!$B:$B,0)+2),INDEX('Player Raw Data'!E:E,Match($A860,'Player Raw Data'!$B:$B,0))),"")</f>
        <v/>
      </c>
      <c r="E860" t="str">
        <f t="array" ref="E860">IFERROR(INDEX('Day Range Raw Data'!D:D,Match($A860,'Day Range Raw Data'!$B:$B,0)),"")</f>
        <v/>
      </c>
      <c r="F860" t="str">
        <f t="array" ref="F860">IFERROR(INDEX('Day Range Raw Data'!F:F,Match($A860,'Day Range Raw Data'!$B:$B,0)),"")</f>
        <v/>
      </c>
      <c r="G860" t="str">
        <f t="array" ref="G860">IFERROR(INDEX('Day Range Raw Data'!G:G,Match($A860,'Day Range Raw Data'!$B:$B,0)),"")</f>
        <v/>
      </c>
      <c r="H860" t="str">
        <f t="array" ref="H860">IFERROR(INDEX('Day Range Raw Data'!H:H,Match($A860,'Day Range Raw Data'!$B:$B,0)),"")</f>
        <v/>
      </c>
      <c r="I860" t="str">
        <f t="array" ref="I860">IFERROR(INDEX('Day Range Raw Data'!M:M,Match($A860,'Day Range Raw Data'!$B:$B,0)),"")</f>
        <v/>
      </c>
      <c r="J860" t="str">
        <f t="array" ref="J860">IFERROR(INDEX('Day Range Raw Data'!N:N,Match($A860,'Day Range Raw Data'!$B:$B,0)),"")</f>
        <v/>
      </c>
      <c r="K860" t="str">
        <f t="array" ref="K860">IFERROR(INDEX('Day Range Raw Data'!R:R,Match($A860,'Day Range Raw Data'!$B:$B,0)),"")</f>
        <v/>
      </c>
      <c r="L860" t="str">
        <f t="array" ref="L860">IFERROR(INDEX('Day Range Raw Data'!S:S,Match($A860,'Day Range Raw Data'!$B:$B,0)),"")</f>
        <v/>
      </c>
      <c r="M860" t="str">
        <f t="array" ref="M860">IFERROR(INDEX('Day Range Raw Data'!T:T,Match($A860,'Day Range Raw Data'!$B:$B,0)),"")</f>
        <v/>
      </c>
      <c r="N860" t="str">
        <f t="array" ref="N860">IFERROR(INDEX('Day Range Raw Data'!U:U,Match($A860,'Day Range Raw Data'!$B:$B,0)),"")</f>
        <v/>
      </c>
      <c r="O860" t="str">
        <f t="array" ref="O860">IFERROR(INDEX('Day Range Raw Data'!V:V,Match($A860,'Day Range Raw Data'!$B:$B,0)),"")</f>
        <v/>
      </c>
      <c r="P860" t="str">
        <f t="array" ref="P860">IFERROR(INDEX('Day Range Raw Data'!X:X,Match($A860,'Day Range Raw Data'!$B:$B,0)),"")</f>
        <v/>
      </c>
      <c r="Q860" t="str">
        <f t="shared" si="1"/>
        <v/>
      </c>
      <c r="R860" s="9" t="str">
        <f t="shared" si="2"/>
        <v/>
      </c>
      <c r="S860" s="14" t="str">
        <f t="shared" si="3"/>
        <v/>
      </c>
      <c r="T860" s="15" t="str">
        <f>IFERROR(__xludf.DUMMYFUNCTION("IF($A860="""","""",IFERROR(PERCENTRANK.INC(FILTER(Q:Q,$F:$F&lt;&gt;""""),Q860)*100,""""))"),"")</f>
        <v/>
      </c>
      <c r="U860" s="15" t="str">
        <f>IFERROR(__xludf.DUMMYFUNCTION("IF($A860="""","""",IFERROR(PERCENTRANK.INC(FILTER(R:R,$F:$F&lt;&gt;""""),R860)*100,""""))"),"")</f>
        <v/>
      </c>
      <c r="V860" s="15" t="str">
        <f>IFERROR(__xludf.DUMMYFUNCTION("IF($A860="""","""",IFERROR(PERCENTRANK.INC(FILTER(S:S,$F:$F&lt;&gt;""""),S860)*100,""""))"),"")</f>
        <v/>
      </c>
      <c r="W860" s="15" t="str">
        <f t="shared" si="5"/>
        <v/>
      </c>
    </row>
    <row r="861">
      <c r="B861" t="str">
        <f t="array" ref="B861">IFERROR(INDEX('Player Raw Data'!C:C,Match($A861,'Player Raw Data'!$B:$B,0)),"")</f>
        <v/>
      </c>
      <c r="C861" t="str">
        <f t="array" ref="C861">IFERROR(INDEX('Player Raw Data'!D:D,Match($A861,'Player Raw Data'!$B:$B,0)),"")</f>
        <v/>
      </c>
      <c r="D861" t="str">
        <f t="array" ref="D861">IFERROR(IF(A861=A860, INDEX('Player Raw Data'!E:E,Match($A861,'Player Raw Data'!$B:$B,0)+2),INDEX('Player Raw Data'!E:E,Match($A861,'Player Raw Data'!$B:$B,0))),"")</f>
        <v/>
      </c>
      <c r="E861" t="str">
        <f t="array" ref="E861">IFERROR(INDEX('Day Range Raw Data'!D:D,Match($A861,'Day Range Raw Data'!$B:$B,0)),"")</f>
        <v/>
      </c>
      <c r="F861" t="str">
        <f t="array" ref="F861">IFERROR(INDEX('Day Range Raw Data'!F:F,Match($A861,'Day Range Raw Data'!$B:$B,0)),"")</f>
        <v/>
      </c>
      <c r="G861" t="str">
        <f t="array" ref="G861">IFERROR(INDEX('Day Range Raw Data'!G:G,Match($A861,'Day Range Raw Data'!$B:$B,0)),"")</f>
        <v/>
      </c>
      <c r="H861" t="str">
        <f t="array" ref="H861">IFERROR(INDEX('Day Range Raw Data'!H:H,Match($A861,'Day Range Raw Data'!$B:$B,0)),"")</f>
        <v/>
      </c>
      <c r="I861" t="str">
        <f t="array" ref="I861">IFERROR(INDEX('Day Range Raw Data'!M:M,Match($A861,'Day Range Raw Data'!$B:$B,0)),"")</f>
        <v/>
      </c>
      <c r="J861" t="str">
        <f t="array" ref="J861">IFERROR(INDEX('Day Range Raw Data'!N:N,Match($A861,'Day Range Raw Data'!$B:$B,0)),"")</f>
        <v/>
      </c>
      <c r="K861" t="str">
        <f t="array" ref="K861">IFERROR(INDEX('Day Range Raw Data'!R:R,Match($A861,'Day Range Raw Data'!$B:$B,0)),"")</f>
        <v/>
      </c>
      <c r="L861" t="str">
        <f t="array" ref="L861">IFERROR(INDEX('Day Range Raw Data'!S:S,Match($A861,'Day Range Raw Data'!$B:$B,0)),"")</f>
        <v/>
      </c>
      <c r="M861" t="str">
        <f t="array" ref="M861">IFERROR(INDEX('Day Range Raw Data'!T:T,Match($A861,'Day Range Raw Data'!$B:$B,0)),"")</f>
        <v/>
      </c>
      <c r="N861" t="str">
        <f t="array" ref="N861">IFERROR(INDEX('Day Range Raw Data'!U:U,Match($A861,'Day Range Raw Data'!$B:$B,0)),"")</f>
        <v/>
      </c>
      <c r="O861" t="str">
        <f t="array" ref="O861">IFERROR(INDEX('Day Range Raw Data'!V:V,Match($A861,'Day Range Raw Data'!$B:$B,0)),"")</f>
        <v/>
      </c>
      <c r="P861" t="str">
        <f t="array" ref="P861">IFERROR(INDEX('Day Range Raw Data'!X:X,Match($A861,'Day Range Raw Data'!$B:$B,0)),"")</f>
        <v/>
      </c>
      <c r="Q861" t="str">
        <f t="shared" si="1"/>
        <v/>
      </c>
      <c r="R861" s="9" t="str">
        <f t="shared" si="2"/>
        <v/>
      </c>
      <c r="S861" s="14" t="str">
        <f t="shared" si="3"/>
        <v/>
      </c>
      <c r="T861" s="15" t="str">
        <f>IFERROR(__xludf.DUMMYFUNCTION("IF($A861="""","""",IFERROR(PERCENTRANK.INC(FILTER(Q:Q,$F:$F&lt;&gt;""""),Q861)*100,""""))"),"")</f>
        <v/>
      </c>
      <c r="U861" s="15" t="str">
        <f>IFERROR(__xludf.DUMMYFUNCTION("IF($A861="""","""",IFERROR(PERCENTRANK.INC(FILTER(R:R,$F:$F&lt;&gt;""""),R861)*100,""""))"),"")</f>
        <v/>
      </c>
      <c r="V861" s="15" t="str">
        <f>IFERROR(__xludf.DUMMYFUNCTION("IF($A861="""","""",IFERROR(PERCENTRANK.INC(FILTER(S:S,$F:$F&lt;&gt;""""),S861)*100,""""))"),"")</f>
        <v/>
      </c>
      <c r="W861" s="15" t="str">
        <f t="shared" si="5"/>
        <v/>
      </c>
    </row>
    <row r="862">
      <c r="B862" t="str">
        <f t="array" ref="B862">IFERROR(INDEX('Player Raw Data'!C:C,Match($A862,'Player Raw Data'!$B:$B,0)),"")</f>
        <v/>
      </c>
      <c r="C862" t="str">
        <f t="array" ref="C862">IFERROR(INDEX('Player Raw Data'!D:D,Match($A862,'Player Raw Data'!$B:$B,0)),"")</f>
        <v/>
      </c>
      <c r="D862" t="str">
        <f t="array" ref="D862">IFERROR(IF(A862=A861, INDEX('Player Raw Data'!E:E,Match($A862,'Player Raw Data'!$B:$B,0)+2),INDEX('Player Raw Data'!E:E,Match($A862,'Player Raw Data'!$B:$B,0))),"")</f>
        <v/>
      </c>
      <c r="E862" t="str">
        <f t="array" ref="E862">IFERROR(INDEX('Day Range Raw Data'!D:D,Match($A862,'Day Range Raw Data'!$B:$B,0)),"")</f>
        <v/>
      </c>
      <c r="F862" t="str">
        <f t="array" ref="F862">IFERROR(INDEX('Day Range Raw Data'!F:F,Match($A862,'Day Range Raw Data'!$B:$B,0)),"")</f>
        <v/>
      </c>
      <c r="G862" t="str">
        <f t="array" ref="G862">IFERROR(INDEX('Day Range Raw Data'!G:G,Match($A862,'Day Range Raw Data'!$B:$B,0)),"")</f>
        <v/>
      </c>
      <c r="H862" t="str">
        <f t="array" ref="H862">IFERROR(INDEX('Day Range Raw Data'!H:H,Match($A862,'Day Range Raw Data'!$B:$B,0)),"")</f>
        <v/>
      </c>
      <c r="I862" t="str">
        <f t="array" ref="I862">IFERROR(INDEX('Day Range Raw Data'!M:M,Match($A862,'Day Range Raw Data'!$B:$B,0)),"")</f>
        <v/>
      </c>
      <c r="J862" t="str">
        <f t="array" ref="J862">IFERROR(INDEX('Day Range Raw Data'!N:N,Match($A862,'Day Range Raw Data'!$B:$B,0)),"")</f>
        <v/>
      </c>
      <c r="K862" t="str">
        <f t="array" ref="K862">IFERROR(INDEX('Day Range Raw Data'!R:R,Match($A862,'Day Range Raw Data'!$B:$B,0)),"")</f>
        <v/>
      </c>
      <c r="L862" t="str">
        <f t="array" ref="L862">IFERROR(INDEX('Day Range Raw Data'!S:S,Match($A862,'Day Range Raw Data'!$B:$B,0)),"")</f>
        <v/>
      </c>
      <c r="M862" t="str">
        <f t="array" ref="M862">IFERROR(INDEX('Day Range Raw Data'!T:T,Match($A862,'Day Range Raw Data'!$B:$B,0)),"")</f>
        <v/>
      </c>
      <c r="N862" t="str">
        <f t="array" ref="N862">IFERROR(INDEX('Day Range Raw Data'!U:U,Match($A862,'Day Range Raw Data'!$B:$B,0)),"")</f>
        <v/>
      </c>
      <c r="O862" t="str">
        <f t="array" ref="O862">IFERROR(INDEX('Day Range Raw Data'!V:V,Match($A862,'Day Range Raw Data'!$B:$B,0)),"")</f>
        <v/>
      </c>
      <c r="P862" t="str">
        <f t="array" ref="P862">IFERROR(INDEX('Day Range Raw Data'!X:X,Match($A862,'Day Range Raw Data'!$B:$B,0)),"")</f>
        <v/>
      </c>
      <c r="Q862" t="str">
        <f t="shared" si="1"/>
        <v/>
      </c>
      <c r="R862" s="9" t="str">
        <f t="shared" si="2"/>
        <v/>
      </c>
      <c r="S862" s="14" t="str">
        <f t="shared" si="3"/>
        <v/>
      </c>
      <c r="T862" s="15" t="str">
        <f>IFERROR(__xludf.DUMMYFUNCTION("IF($A862="""","""",IFERROR(PERCENTRANK.INC(FILTER(Q:Q,$F:$F&lt;&gt;""""),Q862)*100,""""))"),"")</f>
        <v/>
      </c>
      <c r="U862" s="15" t="str">
        <f>IFERROR(__xludf.DUMMYFUNCTION("IF($A862="""","""",IFERROR(PERCENTRANK.INC(FILTER(R:R,$F:$F&lt;&gt;""""),R862)*100,""""))"),"")</f>
        <v/>
      </c>
      <c r="V862" s="15" t="str">
        <f>IFERROR(__xludf.DUMMYFUNCTION("IF($A862="""","""",IFERROR(PERCENTRANK.INC(FILTER(S:S,$F:$F&lt;&gt;""""),S862)*100,""""))"),"")</f>
        <v/>
      </c>
      <c r="W862" s="15" t="str">
        <f t="shared" si="5"/>
        <v/>
      </c>
    </row>
    <row r="863">
      <c r="B863" t="str">
        <f t="array" ref="B863">IFERROR(INDEX('Player Raw Data'!C:C,Match($A863,'Player Raw Data'!$B:$B,0)),"")</f>
        <v/>
      </c>
      <c r="C863" t="str">
        <f t="array" ref="C863">IFERROR(INDEX('Player Raw Data'!D:D,Match($A863,'Player Raw Data'!$B:$B,0)),"")</f>
        <v/>
      </c>
      <c r="D863" t="str">
        <f t="array" ref="D863">IFERROR(IF(A863=A862, INDEX('Player Raw Data'!E:E,Match($A863,'Player Raw Data'!$B:$B,0)+2),INDEX('Player Raw Data'!E:E,Match($A863,'Player Raw Data'!$B:$B,0))),"")</f>
        <v/>
      </c>
      <c r="E863" t="str">
        <f t="array" ref="E863">IFERROR(INDEX('Day Range Raw Data'!D:D,Match($A863,'Day Range Raw Data'!$B:$B,0)),"")</f>
        <v/>
      </c>
      <c r="F863" t="str">
        <f t="array" ref="F863">IFERROR(INDEX('Day Range Raw Data'!F:F,Match($A863,'Day Range Raw Data'!$B:$B,0)),"")</f>
        <v/>
      </c>
      <c r="G863" t="str">
        <f t="array" ref="G863">IFERROR(INDEX('Day Range Raw Data'!G:G,Match($A863,'Day Range Raw Data'!$B:$B,0)),"")</f>
        <v/>
      </c>
      <c r="H863" t="str">
        <f t="array" ref="H863">IFERROR(INDEX('Day Range Raw Data'!H:H,Match($A863,'Day Range Raw Data'!$B:$B,0)),"")</f>
        <v/>
      </c>
      <c r="I863" t="str">
        <f t="array" ref="I863">IFERROR(INDEX('Day Range Raw Data'!M:M,Match($A863,'Day Range Raw Data'!$B:$B,0)),"")</f>
        <v/>
      </c>
      <c r="J863" t="str">
        <f t="array" ref="J863">IFERROR(INDEX('Day Range Raw Data'!N:N,Match($A863,'Day Range Raw Data'!$B:$B,0)),"")</f>
        <v/>
      </c>
      <c r="K863" t="str">
        <f t="array" ref="K863">IFERROR(INDEX('Day Range Raw Data'!R:R,Match($A863,'Day Range Raw Data'!$B:$B,0)),"")</f>
        <v/>
      </c>
      <c r="L863" t="str">
        <f t="array" ref="L863">IFERROR(INDEX('Day Range Raw Data'!S:S,Match($A863,'Day Range Raw Data'!$B:$B,0)),"")</f>
        <v/>
      </c>
      <c r="M863" t="str">
        <f t="array" ref="M863">IFERROR(INDEX('Day Range Raw Data'!T:T,Match($A863,'Day Range Raw Data'!$B:$B,0)),"")</f>
        <v/>
      </c>
      <c r="N863" t="str">
        <f t="array" ref="N863">IFERROR(INDEX('Day Range Raw Data'!U:U,Match($A863,'Day Range Raw Data'!$B:$B,0)),"")</f>
        <v/>
      </c>
      <c r="O863" t="str">
        <f t="array" ref="O863">IFERROR(INDEX('Day Range Raw Data'!V:V,Match($A863,'Day Range Raw Data'!$B:$B,0)),"")</f>
        <v/>
      </c>
      <c r="P863" t="str">
        <f t="array" ref="P863">IFERROR(INDEX('Day Range Raw Data'!X:X,Match($A863,'Day Range Raw Data'!$B:$B,0)),"")</f>
        <v/>
      </c>
      <c r="Q863" t="str">
        <f t="shared" si="1"/>
        <v/>
      </c>
      <c r="R863" s="9" t="str">
        <f t="shared" si="2"/>
        <v/>
      </c>
      <c r="S863" s="14" t="str">
        <f t="shared" si="3"/>
        <v/>
      </c>
      <c r="T863" s="15" t="str">
        <f>IFERROR(__xludf.DUMMYFUNCTION("IF($A863="""","""",IFERROR(PERCENTRANK.INC(FILTER(Q:Q,$F:$F&lt;&gt;""""),Q863)*100,""""))"),"")</f>
        <v/>
      </c>
      <c r="U863" s="15" t="str">
        <f>IFERROR(__xludf.DUMMYFUNCTION("IF($A863="""","""",IFERROR(PERCENTRANK.INC(FILTER(R:R,$F:$F&lt;&gt;""""),R863)*100,""""))"),"")</f>
        <v/>
      </c>
      <c r="V863" s="15" t="str">
        <f>IFERROR(__xludf.DUMMYFUNCTION("IF($A863="""","""",IFERROR(PERCENTRANK.INC(FILTER(S:S,$F:$F&lt;&gt;""""),S863)*100,""""))"),"")</f>
        <v/>
      </c>
      <c r="W863" s="15" t="str">
        <f t="shared" si="5"/>
        <v/>
      </c>
    </row>
    <row r="864">
      <c r="B864" t="str">
        <f t="array" ref="B864">IFERROR(INDEX('Player Raw Data'!C:C,Match($A864,'Player Raw Data'!$B:$B,0)),"")</f>
        <v/>
      </c>
      <c r="C864" t="str">
        <f t="array" ref="C864">IFERROR(INDEX('Player Raw Data'!D:D,Match($A864,'Player Raw Data'!$B:$B,0)),"")</f>
        <v/>
      </c>
      <c r="D864" t="str">
        <f t="array" ref="D864">IFERROR(IF(A864=A863, INDEX('Player Raw Data'!E:E,Match($A864,'Player Raw Data'!$B:$B,0)+2),INDEX('Player Raw Data'!E:E,Match($A864,'Player Raw Data'!$B:$B,0))),"")</f>
        <v/>
      </c>
      <c r="E864" t="str">
        <f t="array" ref="E864">IFERROR(INDEX('Day Range Raw Data'!D:D,Match($A864,'Day Range Raw Data'!$B:$B,0)),"")</f>
        <v/>
      </c>
      <c r="F864" t="str">
        <f t="array" ref="F864">IFERROR(INDEX('Day Range Raw Data'!F:F,Match($A864,'Day Range Raw Data'!$B:$B,0)),"")</f>
        <v/>
      </c>
      <c r="G864" t="str">
        <f t="array" ref="G864">IFERROR(INDEX('Day Range Raw Data'!G:G,Match($A864,'Day Range Raw Data'!$B:$B,0)),"")</f>
        <v/>
      </c>
      <c r="H864" t="str">
        <f t="array" ref="H864">IFERROR(INDEX('Day Range Raw Data'!H:H,Match($A864,'Day Range Raw Data'!$B:$B,0)),"")</f>
        <v/>
      </c>
      <c r="I864" t="str">
        <f t="array" ref="I864">IFERROR(INDEX('Day Range Raw Data'!M:M,Match($A864,'Day Range Raw Data'!$B:$B,0)),"")</f>
        <v/>
      </c>
      <c r="J864" t="str">
        <f t="array" ref="J864">IFERROR(INDEX('Day Range Raw Data'!N:N,Match($A864,'Day Range Raw Data'!$B:$B,0)),"")</f>
        <v/>
      </c>
      <c r="K864" t="str">
        <f t="array" ref="K864">IFERROR(INDEX('Day Range Raw Data'!R:R,Match($A864,'Day Range Raw Data'!$B:$B,0)),"")</f>
        <v/>
      </c>
      <c r="L864" t="str">
        <f t="array" ref="L864">IFERROR(INDEX('Day Range Raw Data'!S:S,Match($A864,'Day Range Raw Data'!$B:$B,0)),"")</f>
        <v/>
      </c>
      <c r="M864" t="str">
        <f t="array" ref="M864">IFERROR(INDEX('Day Range Raw Data'!T:T,Match($A864,'Day Range Raw Data'!$B:$B,0)),"")</f>
        <v/>
      </c>
      <c r="N864" t="str">
        <f t="array" ref="N864">IFERROR(INDEX('Day Range Raw Data'!U:U,Match($A864,'Day Range Raw Data'!$B:$B,0)),"")</f>
        <v/>
      </c>
      <c r="O864" t="str">
        <f t="array" ref="O864">IFERROR(INDEX('Day Range Raw Data'!V:V,Match($A864,'Day Range Raw Data'!$B:$B,0)),"")</f>
        <v/>
      </c>
      <c r="P864" t="str">
        <f t="array" ref="P864">IFERROR(INDEX('Day Range Raw Data'!X:X,Match($A864,'Day Range Raw Data'!$B:$B,0)),"")</f>
        <v/>
      </c>
      <c r="Q864" t="str">
        <f t="shared" si="1"/>
        <v/>
      </c>
      <c r="R864" s="9" t="str">
        <f t="shared" si="2"/>
        <v/>
      </c>
      <c r="S864" s="14" t="str">
        <f t="shared" si="3"/>
        <v/>
      </c>
      <c r="T864" s="15" t="str">
        <f>IFERROR(__xludf.DUMMYFUNCTION("IF($A864="""","""",IFERROR(PERCENTRANK.INC(FILTER(Q:Q,$F:$F&lt;&gt;""""),Q864)*100,""""))"),"")</f>
        <v/>
      </c>
      <c r="U864" s="15" t="str">
        <f>IFERROR(__xludf.DUMMYFUNCTION("IF($A864="""","""",IFERROR(PERCENTRANK.INC(FILTER(R:R,$F:$F&lt;&gt;""""),R864)*100,""""))"),"")</f>
        <v/>
      </c>
      <c r="V864" s="15" t="str">
        <f>IFERROR(__xludf.DUMMYFUNCTION("IF($A864="""","""",IFERROR(PERCENTRANK.INC(FILTER(S:S,$F:$F&lt;&gt;""""),S864)*100,""""))"),"")</f>
        <v/>
      </c>
      <c r="W864" s="15" t="str">
        <f t="shared" si="5"/>
        <v/>
      </c>
    </row>
    <row r="865">
      <c r="B865" t="str">
        <f t="array" ref="B865">IFERROR(INDEX('Player Raw Data'!C:C,Match($A865,'Player Raw Data'!$B:$B,0)),"")</f>
        <v/>
      </c>
      <c r="C865" t="str">
        <f t="array" ref="C865">IFERROR(INDEX('Player Raw Data'!D:D,Match($A865,'Player Raw Data'!$B:$B,0)),"")</f>
        <v/>
      </c>
      <c r="D865" t="str">
        <f t="array" ref="D865">IFERROR(IF(A865=A864, INDEX('Player Raw Data'!E:E,Match($A865,'Player Raw Data'!$B:$B,0)+2),INDEX('Player Raw Data'!E:E,Match($A865,'Player Raw Data'!$B:$B,0))),"")</f>
        <v/>
      </c>
      <c r="E865" t="str">
        <f t="array" ref="E865">IFERROR(INDEX('Day Range Raw Data'!D:D,Match($A865,'Day Range Raw Data'!$B:$B,0)),"")</f>
        <v/>
      </c>
      <c r="F865" t="str">
        <f t="array" ref="F865">IFERROR(INDEX('Day Range Raw Data'!F:F,Match($A865,'Day Range Raw Data'!$B:$B,0)),"")</f>
        <v/>
      </c>
      <c r="G865" t="str">
        <f t="array" ref="G865">IFERROR(INDEX('Day Range Raw Data'!G:G,Match($A865,'Day Range Raw Data'!$B:$B,0)),"")</f>
        <v/>
      </c>
      <c r="H865" t="str">
        <f t="array" ref="H865">IFERROR(INDEX('Day Range Raw Data'!H:H,Match($A865,'Day Range Raw Data'!$B:$B,0)),"")</f>
        <v/>
      </c>
      <c r="I865" t="str">
        <f t="array" ref="I865">IFERROR(INDEX('Day Range Raw Data'!M:M,Match($A865,'Day Range Raw Data'!$B:$B,0)),"")</f>
        <v/>
      </c>
      <c r="J865" t="str">
        <f t="array" ref="J865">IFERROR(INDEX('Day Range Raw Data'!N:N,Match($A865,'Day Range Raw Data'!$B:$B,0)),"")</f>
        <v/>
      </c>
      <c r="K865" t="str">
        <f t="array" ref="K865">IFERROR(INDEX('Day Range Raw Data'!R:R,Match($A865,'Day Range Raw Data'!$B:$B,0)),"")</f>
        <v/>
      </c>
      <c r="L865" t="str">
        <f t="array" ref="L865">IFERROR(INDEX('Day Range Raw Data'!S:S,Match($A865,'Day Range Raw Data'!$B:$B,0)),"")</f>
        <v/>
      </c>
      <c r="M865" t="str">
        <f t="array" ref="M865">IFERROR(INDEX('Day Range Raw Data'!T:T,Match($A865,'Day Range Raw Data'!$B:$B,0)),"")</f>
        <v/>
      </c>
      <c r="N865" t="str">
        <f t="array" ref="N865">IFERROR(INDEX('Day Range Raw Data'!U:U,Match($A865,'Day Range Raw Data'!$B:$B,0)),"")</f>
        <v/>
      </c>
      <c r="O865" t="str">
        <f t="array" ref="O865">IFERROR(INDEX('Day Range Raw Data'!V:V,Match($A865,'Day Range Raw Data'!$B:$B,0)),"")</f>
        <v/>
      </c>
      <c r="P865" t="str">
        <f t="array" ref="P865">IFERROR(INDEX('Day Range Raw Data'!X:X,Match($A865,'Day Range Raw Data'!$B:$B,0)),"")</f>
        <v/>
      </c>
      <c r="Q865" t="str">
        <f t="shared" si="1"/>
        <v/>
      </c>
      <c r="R865" s="9" t="str">
        <f t="shared" si="2"/>
        <v/>
      </c>
      <c r="S865" s="14" t="str">
        <f t="shared" si="3"/>
        <v/>
      </c>
      <c r="T865" s="15" t="str">
        <f>IFERROR(__xludf.DUMMYFUNCTION("IF($A865="""","""",IFERROR(PERCENTRANK.INC(FILTER(Q:Q,$F:$F&lt;&gt;""""),Q865)*100,""""))"),"")</f>
        <v/>
      </c>
      <c r="U865" s="15" t="str">
        <f>IFERROR(__xludf.DUMMYFUNCTION("IF($A865="""","""",IFERROR(PERCENTRANK.INC(FILTER(R:R,$F:$F&lt;&gt;""""),R865)*100,""""))"),"")</f>
        <v/>
      </c>
      <c r="V865" s="15" t="str">
        <f>IFERROR(__xludf.DUMMYFUNCTION("IF($A865="""","""",IFERROR(PERCENTRANK.INC(FILTER(S:S,$F:$F&lt;&gt;""""),S865)*100,""""))"),"")</f>
        <v/>
      </c>
      <c r="W865" s="15" t="str">
        <f t="shared" si="5"/>
        <v/>
      </c>
    </row>
    <row r="866">
      <c r="B866" t="str">
        <f t="array" ref="B866">IFERROR(INDEX('Player Raw Data'!C:C,Match($A866,'Player Raw Data'!$B:$B,0)),"")</f>
        <v/>
      </c>
      <c r="C866" t="str">
        <f t="array" ref="C866">IFERROR(INDEX('Player Raw Data'!D:D,Match($A866,'Player Raw Data'!$B:$B,0)),"")</f>
        <v/>
      </c>
      <c r="D866" t="str">
        <f t="array" ref="D866">IFERROR(IF(A866=A865, INDEX('Player Raw Data'!E:E,Match($A866,'Player Raw Data'!$B:$B,0)+2),INDEX('Player Raw Data'!E:E,Match($A866,'Player Raw Data'!$B:$B,0))),"")</f>
        <v/>
      </c>
      <c r="E866" t="str">
        <f t="array" ref="E866">IFERROR(INDEX('Day Range Raw Data'!D:D,Match($A866,'Day Range Raw Data'!$B:$B,0)),"")</f>
        <v/>
      </c>
      <c r="F866" t="str">
        <f t="array" ref="F866">IFERROR(INDEX('Day Range Raw Data'!F:F,Match($A866,'Day Range Raw Data'!$B:$B,0)),"")</f>
        <v/>
      </c>
      <c r="G866" t="str">
        <f t="array" ref="G866">IFERROR(INDEX('Day Range Raw Data'!G:G,Match($A866,'Day Range Raw Data'!$B:$B,0)),"")</f>
        <v/>
      </c>
      <c r="H866" t="str">
        <f t="array" ref="H866">IFERROR(INDEX('Day Range Raw Data'!H:H,Match($A866,'Day Range Raw Data'!$B:$B,0)),"")</f>
        <v/>
      </c>
      <c r="I866" t="str">
        <f t="array" ref="I866">IFERROR(INDEX('Day Range Raw Data'!M:M,Match($A866,'Day Range Raw Data'!$B:$B,0)),"")</f>
        <v/>
      </c>
      <c r="J866" t="str">
        <f t="array" ref="J866">IFERROR(INDEX('Day Range Raw Data'!N:N,Match($A866,'Day Range Raw Data'!$B:$B,0)),"")</f>
        <v/>
      </c>
      <c r="K866" t="str">
        <f t="array" ref="K866">IFERROR(INDEX('Day Range Raw Data'!R:R,Match($A866,'Day Range Raw Data'!$B:$B,0)),"")</f>
        <v/>
      </c>
      <c r="L866" t="str">
        <f t="array" ref="L866">IFERROR(INDEX('Day Range Raw Data'!S:S,Match($A866,'Day Range Raw Data'!$B:$B,0)),"")</f>
        <v/>
      </c>
      <c r="M866" t="str">
        <f t="array" ref="M866">IFERROR(INDEX('Day Range Raw Data'!T:T,Match($A866,'Day Range Raw Data'!$B:$B,0)),"")</f>
        <v/>
      </c>
      <c r="N866" t="str">
        <f t="array" ref="N866">IFERROR(INDEX('Day Range Raw Data'!U:U,Match($A866,'Day Range Raw Data'!$B:$B,0)),"")</f>
        <v/>
      </c>
      <c r="O866" t="str">
        <f t="array" ref="O866">IFERROR(INDEX('Day Range Raw Data'!V:V,Match($A866,'Day Range Raw Data'!$B:$B,0)),"")</f>
        <v/>
      </c>
      <c r="P866" t="str">
        <f t="array" ref="P866">IFERROR(INDEX('Day Range Raw Data'!X:X,Match($A866,'Day Range Raw Data'!$B:$B,0)),"")</f>
        <v/>
      </c>
      <c r="Q866" t="str">
        <f t="shared" si="1"/>
        <v/>
      </c>
      <c r="R866" s="9" t="str">
        <f t="shared" si="2"/>
        <v/>
      </c>
      <c r="S866" s="14" t="str">
        <f t="shared" si="3"/>
        <v/>
      </c>
      <c r="T866" s="15" t="str">
        <f>IFERROR(__xludf.DUMMYFUNCTION("IF($A866="""","""",IFERROR(PERCENTRANK.INC(FILTER(Q:Q,$F:$F&lt;&gt;""""),Q866)*100,""""))"),"")</f>
        <v/>
      </c>
      <c r="U866" s="15" t="str">
        <f>IFERROR(__xludf.DUMMYFUNCTION("IF($A866="""","""",IFERROR(PERCENTRANK.INC(FILTER(R:R,$F:$F&lt;&gt;""""),R866)*100,""""))"),"")</f>
        <v/>
      </c>
      <c r="V866" s="15" t="str">
        <f>IFERROR(__xludf.DUMMYFUNCTION("IF($A866="""","""",IFERROR(PERCENTRANK.INC(FILTER(S:S,$F:$F&lt;&gt;""""),S866)*100,""""))"),"")</f>
        <v/>
      </c>
      <c r="W866" s="15" t="str">
        <f t="shared" si="5"/>
        <v/>
      </c>
    </row>
    <row r="867">
      <c r="B867" t="str">
        <f t="array" ref="B867">IFERROR(INDEX('Player Raw Data'!C:C,Match($A867,'Player Raw Data'!$B:$B,0)),"")</f>
        <v/>
      </c>
      <c r="C867" t="str">
        <f t="array" ref="C867">IFERROR(INDEX('Player Raw Data'!D:D,Match($A867,'Player Raw Data'!$B:$B,0)),"")</f>
        <v/>
      </c>
      <c r="D867" t="str">
        <f t="array" ref="D867">IFERROR(IF(A867=A866, INDEX('Player Raw Data'!E:E,Match($A867,'Player Raw Data'!$B:$B,0)+2),INDEX('Player Raw Data'!E:E,Match($A867,'Player Raw Data'!$B:$B,0))),"")</f>
        <v/>
      </c>
      <c r="E867" t="str">
        <f t="array" ref="E867">IFERROR(INDEX('Day Range Raw Data'!D:D,Match($A867,'Day Range Raw Data'!$B:$B,0)),"")</f>
        <v/>
      </c>
      <c r="F867" t="str">
        <f t="array" ref="F867">IFERROR(INDEX('Day Range Raw Data'!F:F,Match($A867,'Day Range Raw Data'!$B:$B,0)),"")</f>
        <v/>
      </c>
      <c r="G867" t="str">
        <f t="array" ref="G867">IFERROR(INDEX('Day Range Raw Data'!G:G,Match($A867,'Day Range Raw Data'!$B:$B,0)),"")</f>
        <v/>
      </c>
      <c r="H867" t="str">
        <f t="array" ref="H867">IFERROR(INDEX('Day Range Raw Data'!H:H,Match($A867,'Day Range Raw Data'!$B:$B,0)),"")</f>
        <v/>
      </c>
      <c r="I867" t="str">
        <f t="array" ref="I867">IFERROR(INDEX('Day Range Raw Data'!M:M,Match($A867,'Day Range Raw Data'!$B:$B,0)),"")</f>
        <v/>
      </c>
      <c r="J867" t="str">
        <f t="array" ref="J867">IFERROR(INDEX('Day Range Raw Data'!N:N,Match($A867,'Day Range Raw Data'!$B:$B,0)),"")</f>
        <v/>
      </c>
      <c r="K867" t="str">
        <f t="array" ref="K867">IFERROR(INDEX('Day Range Raw Data'!R:R,Match($A867,'Day Range Raw Data'!$B:$B,0)),"")</f>
        <v/>
      </c>
      <c r="L867" t="str">
        <f t="array" ref="L867">IFERROR(INDEX('Day Range Raw Data'!S:S,Match($A867,'Day Range Raw Data'!$B:$B,0)),"")</f>
        <v/>
      </c>
      <c r="M867" t="str">
        <f t="array" ref="M867">IFERROR(INDEX('Day Range Raw Data'!T:T,Match($A867,'Day Range Raw Data'!$B:$B,0)),"")</f>
        <v/>
      </c>
      <c r="N867" t="str">
        <f t="array" ref="N867">IFERROR(INDEX('Day Range Raw Data'!U:U,Match($A867,'Day Range Raw Data'!$B:$B,0)),"")</f>
        <v/>
      </c>
      <c r="O867" t="str">
        <f t="array" ref="O867">IFERROR(INDEX('Day Range Raw Data'!V:V,Match($A867,'Day Range Raw Data'!$B:$B,0)),"")</f>
        <v/>
      </c>
      <c r="P867" t="str">
        <f t="array" ref="P867">IFERROR(INDEX('Day Range Raw Data'!X:X,Match($A867,'Day Range Raw Data'!$B:$B,0)),"")</f>
        <v/>
      </c>
      <c r="Q867" t="str">
        <f t="shared" si="1"/>
        <v/>
      </c>
      <c r="R867" s="9" t="str">
        <f t="shared" si="2"/>
        <v/>
      </c>
      <c r="S867" s="14" t="str">
        <f t="shared" si="3"/>
        <v/>
      </c>
      <c r="T867" s="15" t="str">
        <f>IFERROR(__xludf.DUMMYFUNCTION("IF($A867="""","""",IFERROR(PERCENTRANK.INC(FILTER(Q:Q,$F:$F&lt;&gt;""""),Q867)*100,""""))"),"")</f>
        <v/>
      </c>
      <c r="U867" s="15" t="str">
        <f>IFERROR(__xludf.DUMMYFUNCTION("IF($A867="""","""",IFERROR(PERCENTRANK.INC(FILTER(R:R,$F:$F&lt;&gt;""""),R867)*100,""""))"),"")</f>
        <v/>
      </c>
      <c r="V867" s="15" t="str">
        <f>IFERROR(__xludf.DUMMYFUNCTION("IF($A867="""","""",IFERROR(PERCENTRANK.INC(FILTER(S:S,$F:$F&lt;&gt;""""),S867)*100,""""))"),"")</f>
        <v/>
      </c>
      <c r="W867" s="15" t="str">
        <f t="shared" si="5"/>
        <v/>
      </c>
    </row>
    <row r="868">
      <c r="B868" t="str">
        <f t="array" ref="B868">IFERROR(INDEX('Player Raw Data'!C:C,Match($A868,'Player Raw Data'!$B:$B,0)),"")</f>
        <v/>
      </c>
      <c r="C868" t="str">
        <f t="array" ref="C868">IFERROR(INDEX('Player Raw Data'!D:D,Match($A868,'Player Raw Data'!$B:$B,0)),"")</f>
        <v/>
      </c>
      <c r="D868" t="str">
        <f t="array" ref="D868">IFERROR(IF(A868=A867, INDEX('Player Raw Data'!E:E,Match($A868,'Player Raw Data'!$B:$B,0)+2),INDEX('Player Raw Data'!E:E,Match($A868,'Player Raw Data'!$B:$B,0))),"")</f>
        <v/>
      </c>
      <c r="E868" t="str">
        <f t="array" ref="E868">IFERROR(INDEX('Day Range Raw Data'!D:D,Match($A868,'Day Range Raw Data'!$B:$B,0)),"")</f>
        <v/>
      </c>
      <c r="F868" t="str">
        <f t="array" ref="F868">IFERROR(INDEX('Day Range Raw Data'!F:F,Match($A868,'Day Range Raw Data'!$B:$B,0)),"")</f>
        <v/>
      </c>
      <c r="G868" t="str">
        <f t="array" ref="G868">IFERROR(INDEX('Day Range Raw Data'!G:G,Match($A868,'Day Range Raw Data'!$B:$B,0)),"")</f>
        <v/>
      </c>
      <c r="H868" t="str">
        <f t="array" ref="H868">IFERROR(INDEX('Day Range Raw Data'!H:H,Match($A868,'Day Range Raw Data'!$B:$B,0)),"")</f>
        <v/>
      </c>
      <c r="I868" t="str">
        <f t="array" ref="I868">IFERROR(INDEX('Day Range Raw Data'!M:M,Match($A868,'Day Range Raw Data'!$B:$B,0)),"")</f>
        <v/>
      </c>
      <c r="J868" t="str">
        <f t="array" ref="J868">IFERROR(INDEX('Day Range Raw Data'!N:N,Match($A868,'Day Range Raw Data'!$B:$B,0)),"")</f>
        <v/>
      </c>
      <c r="K868" t="str">
        <f t="array" ref="K868">IFERROR(INDEX('Day Range Raw Data'!R:R,Match($A868,'Day Range Raw Data'!$B:$B,0)),"")</f>
        <v/>
      </c>
      <c r="L868" t="str">
        <f t="array" ref="L868">IFERROR(INDEX('Day Range Raw Data'!S:S,Match($A868,'Day Range Raw Data'!$B:$B,0)),"")</f>
        <v/>
      </c>
      <c r="M868" t="str">
        <f t="array" ref="M868">IFERROR(INDEX('Day Range Raw Data'!T:T,Match($A868,'Day Range Raw Data'!$B:$B,0)),"")</f>
        <v/>
      </c>
      <c r="N868" t="str">
        <f t="array" ref="N868">IFERROR(INDEX('Day Range Raw Data'!U:U,Match($A868,'Day Range Raw Data'!$B:$B,0)),"")</f>
        <v/>
      </c>
      <c r="O868" t="str">
        <f t="array" ref="O868">IFERROR(INDEX('Day Range Raw Data'!V:V,Match($A868,'Day Range Raw Data'!$B:$B,0)),"")</f>
        <v/>
      </c>
      <c r="P868" t="str">
        <f t="array" ref="P868">IFERROR(INDEX('Day Range Raw Data'!X:X,Match($A868,'Day Range Raw Data'!$B:$B,0)),"")</f>
        <v/>
      </c>
      <c r="Q868" t="str">
        <f t="shared" si="1"/>
        <v/>
      </c>
      <c r="R868" s="9" t="str">
        <f t="shared" si="2"/>
        <v/>
      </c>
      <c r="S868" s="14" t="str">
        <f t="shared" si="3"/>
        <v/>
      </c>
      <c r="T868" s="15" t="str">
        <f>IFERROR(__xludf.DUMMYFUNCTION("IF($A868="""","""",IFERROR(PERCENTRANK.INC(FILTER(Q:Q,$F:$F&lt;&gt;""""),Q868)*100,""""))"),"")</f>
        <v/>
      </c>
      <c r="U868" s="15" t="str">
        <f>IFERROR(__xludf.DUMMYFUNCTION("IF($A868="""","""",IFERROR(PERCENTRANK.INC(FILTER(R:R,$F:$F&lt;&gt;""""),R868)*100,""""))"),"")</f>
        <v/>
      </c>
      <c r="V868" s="15" t="str">
        <f>IFERROR(__xludf.DUMMYFUNCTION("IF($A868="""","""",IFERROR(PERCENTRANK.INC(FILTER(S:S,$F:$F&lt;&gt;""""),S868)*100,""""))"),"")</f>
        <v/>
      </c>
      <c r="W868" s="15" t="str">
        <f t="shared" si="5"/>
        <v/>
      </c>
    </row>
    <row r="869">
      <c r="B869" t="str">
        <f t="array" ref="B869">IFERROR(INDEX('Player Raw Data'!C:C,Match($A869,'Player Raw Data'!$B:$B,0)),"")</f>
        <v/>
      </c>
      <c r="C869" t="str">
        <f t="array" ref="C869">IFERROR(INDEX('Player Raw Data'!D:D,Match($A869,'Player Raw Data'!$B:$B,0)),"")</f>
        <v/>
      </c>
      <c r="D869" t="str">
        <f t="array" ref="D869">IFERROR(IF(A869=A868, INDEX('Player Raw Data'!E:E,Match($A869,'Player Raw Data'!$B:$B,0)+2),INDEX('Player Raw Data'!E:E,Match($A869,'Player Raw Data'!$B:$B,0))),"")</f>
        <v/>
      </c>
      <c r="E869" t="str">
        <f t="array" ref="E869">IFERROR(INDEX('Day Range Raw Data'!D:D,Match($A869,'Day Range Raw Data'!$B:$B,0)),"")</f>
        <v/>
      </c>
      <c r="F869" t="str">
        <f t="array" ref="F869">IFERROR(INDEX('Day Range Raw Data'!F:F,Match($A869,'Day Range Raw Data'!$B:$B,0)),"")</f>
        <v/>
      </c>
      <c r="G869" t="str">
        <f t="array" ref="G869">IFERROR(INDEX('Day Range Raw Data'!G:G,Match($A869,'Day Range Raw Data'!$B:$B,0)),"")</f>
        <v/>
      </c>
      <c r="H869" t="str">
        <f t="array" ref="H869">IFERROR(INDEX('Day Range Raw Data'!H:H,Match($A869,'Day Range Raw Data'!$B:$B,0)),"")</f>
        <v/>
      </c>
      <c r="I869" t="str">
        <f t="array" ref="I869">IFERROR(INDEX('Day Range Raw Data'!M:M,Match($A869,'Day Range Raw Data'!$B:$B,0)),"")</f>
        <v/>
      </c>
      <c r="J869" t="str">
        <f t="array" ref="J869">IFERROR(INDEX('Day Range Raw Data'!N:N,Match($A869,'Day Range Raw Data'!$B:$B,0)),"")</f>
        <v/>
      </c>
      <c r="K869" t="str">
        <f t="array" ref="K869">IFERROR(INDEX('Day Range Raw Data'!R:R,Match($A869,'Day Range Raw Data'!$B:$B,0)),"")</f>
        <v/>
      </c>
      <c r="L869" t="str">
        <f t="array" ref="L869">IFERROR(INDEX('Day Range Raw Data'!S:S,Match($A869,'Day Range Raw Data'!$B:$B,0)),"")</f>
        <v/>
      </c>
      <c r="M869" t="str">
        <f t="array" ref="M869">IFERROR(INDEX('Day Range Raw Data'!T:T,Match($A869,'Day Range Raw Data'!$B:$B,0)),"")</f>
        <v/>
      </c>
      <c r="N869" t="str">
        <f t="array" ref="N869">IFERROR(INDEX('Day Range Raw Data'!U:U,Match($A869,'Day Range Raw Data'!$B:$B,0)),"")</f>
        <v/>
      </c>
      <c r="O869" t="str">
        <f t="array" ref="O869">IFERROR(INDEX('Day Range Raw Data'!V:V,Match($A869,'Day Range Raw Data'!$B:$B,0)),"")</f>
        <v/>
      </c>
      <c r="P869" t="str">
        <f t="array" ref="P869">IFERROR(INDEX('Day Range Raw Data'!X:X,Match($A869,'Day Range Raw Data'!$B:$B,0)),"")</f>
        <v/>
      </c>
      <c r="Q869" t="str">
        <f t="shared" si="1"/>
        <v/>
      </c>
      <c r="R869" s="9" t="str">
        <f t="shared" si="2"/>
        <v/>
      </c>
      <c r="S869" s="14" t="str">
        <f t="shared" si="3"/>
        <v/>
      </c>
      <c r="T869" s="15" t="str">
        <f>IFERROR(__xludf.DUMMYFUNCTION("IF($A869="""","""",IFERROR(PERCENTRANK.INC(FILTER(Q:Q,$F:$F&lt;&gt;""""),Q869)*100,""""))"),"")</f>
        <v/>
      </c>
      <c r="U869" s="15" t="str">
        <f>IFERROR(__xludf.DUMMYFUNCTION("IF($A869="""","""",IFERROR(PERCENTRANK.INC(FILTER(R:R,$F:$F&lt;&gt;""""),R869)*100,""""))"),"")</f>
        <v/>
      </c>
      <c r="V869" s="15" t="str">
        <f>IFERROR(__xludf.DUMMYFUNCTION("IF($A869="""","""",IFERROR(PERCENTRANK.INC(FILTER(S:S,$F:$F&lt;&gt;""""),S869)*100,""""))"),"")</f>
        <v/>
      </c>
      <c r="W869" s="15" t="str">
        <f t="shared" si="5"/>
        <v/>
      </c>
    </row>
    <row r="870">
      <c r="B870" t="str">
        <f t="array" ref="B870">IFERROR(INDEX('Player Raw Data'!C:C,Match($A870,'Player Raw Data'!$B:$B,0)),"")</f>
        <v/>
      </c>
      <c r="C870" t="str">
        <f t="array" ref="C870">IFERROR(INDEX('Player Raw Data'!D:D,Match($A870,'Player Raw Data'!$B:$B,0)),"")</f>
        <v/>
      </c>
      <c r="D870" t="str">
        <f t="array" ref="D870">IFERROR(IF(A870=A869, INDEX('Player Raw Data'!E:E,Match($A870,'Player Raw Data'!$B:$B,0)+2),INDEX('Player Raw Data'!E:E,Match($A870,'Player Raw Data'!$B:$B,0))),"")</f>
        <v/>
      </c>
      <c r="E870" t="str">
        <f t="array" ref="E870">IFERROR(INDEX('Day Range Raw Data'!D:D,Match($A870,'Day Range Raw Data'!$B:$B,0)),"")</f>
        <v/>
      </c>
      <c r="F870" t="str">
        <f t="array" ref="F870">IFERROR(INDEX('Day Range Raw Data'!F:F,Match($A870,'Day Range Raw Data'!$B:$B,0)),"")</f>
        <v/>
      </c>
      <c r="G870" t="str">
        <f t="array" ref="G870">IFERROR(INDEX('Day Range Raw Data'!G:G,Match($A870,'Day Range Raw Data'!$B:$B,0)),"")</f>
        <v/>
      </c>
      <c r="H870" t="str">
        <f t="array" ref="H870">IFERROR(INDEX('Day Range Raw Data'!H:H,Match($A870,'Day Range Raw Data'!$B:$B,0)),"")</f>
        <v/>
      </c>
      <c r="I870" t="str">
        <f t="array" ref="I870">IFERROR(INDEX('Day Range Raw Data'!M:M,Match($A870,'Day Range Raw Data'!$B:$B,0)),"")</f>
        <v/>
      </c>
      <c r="J870" t="str">
        <f t="array" ref="J870">IFERROR(INDEX('Day Range Raw Data'!N:N,Match($A870,'Day Range Raw Data'!$B:$B,0)),"")</f>
        <v/>
      </c>
      <c r="K870" t="str">
        <f t="array" ref="K870">IFERROR(INDEX('Day Range Raw Data'!R:R,Match($A870,'Day Range Raw Data'!$B:$B,0)),"")</f>
        <v/>
      </c>
      <c r="L870" t="str">
        <f t="array" ref="L870">IFERROR(INDEX('Day Range Raw Data'!S:S,Match($A870,'Day Range Raw Data'!$B:$B,0)),"")</f>
        <v/>
      </c>
      <c r="M870" t="str">
        <f t="array" ref="M870">IFERROR(INDEX('Day Range Raw Data'!T:T,Match($A870,'Day Range Raw Data'!$B:$B,0)),"")</f>
        <v/>
      </c>
      <c r="N870" t="str">
        <f t="array" ref="N870">IFERROR(INDEX('Day Range Raw Data'!U:U,Match($A870,'Day Range Raw Data'!$B:$B,0)),"")</f>
        <v/>
      </c>
      <c r="O870" t="str">
        <f t="array" ref="O870">IFERROR(INDEX('Day Range Raw Data'!V:V,Match($A870,'Day Range Raw Data'!$B:$B,0)),"")</f>
        <v/>
      </c>
      <c r="P870" t="str">
        <f t="array" ref="P870">IFERROR(INDEX('Day Range Raw Data'!X:X,Match($A870,'Day Range Raw Data'!$B:$B,0)),"")</f>
        <v/>
      </c>
      <c r="Q870" t="str">
        <f t="shared" si="1"/>
        <v/>
      </c>
      <c r="R870" s="9" t="str">
        <f t="shared" si="2"/>
        <v/>
      </c>
      <c r="S870" s="14" t="str">
        <f t="shared" si="3"/>
        <v/>
      </c>
      <c r="T870" s="15" t="str">
        <f>IFERROR(__xludf.DUMMYFUNCTION("IF($A870="""","""",IFERROR(PERCENTRANK.INC(FILTER(Q:Q,$F:$F&lt;&gt;""""),Q870)*100,""""))"),"")</f>
        <v/>
      </c>
      <c r="U870" s="15" t="str">
        <f>IFERROR(__xludf.DUMMYFUNCTION("IF($A870="""","""",IFERROR(PERCENTRANK.INC(FILTER(R:R,$F:$F&lt;&gt;""""),R870)*100,""""))"),"")</f>
        <v/>
      </c>
      <c r="V870" s="15" t="str">
        <f>IFERROR(__xludf.DUMMYFUNCTION("IF($A870="""","""",IFERROR(PERCENTRANK.INC(FILTER(S:S,$F:$F&lt;&gt;""""),S870)*100,""""))"),"")</f>
        <v/>
      </c>
      <c r="W870" s="15" t="str">
        <f t="shared" si="5"/>
        <v/>
      </c>
    </row>
    <row r="871">
      <c r="B871" t="str">
        <f t="array" ref="B871">IFERROR(INDEX('Player Raw Data'!C:C,Match($A871,'Player Raw Data'!$B:$B,0)),"")</f>
        <v/>
      </c>
      <c r="C871" t="str">
        <f t="array" ref="C871">IFERROR(INDEX('Player Raw Data'!D:D,Match($A871,'Player Raw Data'!$B:$B,0)),"")</f>
        <v/>
      </c>
      <c r="D871" t="str">
        <f t="array" ref="D871">IFERROR(IF(A871=A870, INDEX('Player Raw Data'!E:E,Match($A871,'Player Raw Data'!$B:$B,0)+2),INDEX('Player Raw Data'!E:E,Match($A871,'Player Raw Data'!$B:$B,0))),"")</f>
        <v/>
      </c>
      <c r="E871" t="str">
        <f t="array" ref="E871">IFERROR(INDEX('Day Range Raw Data'!D:D,Match($A871,'Day Range Raw Data'!$B:$B,0)),"")</f>
        <v/>
      </c>
      <c r="F871" t="str">
        <f t="array" ref="F871">IFERROR(INDEX('Day Range Raw Data'!F:F,Match($A871,'Day Range Raw Data'!$B:$B,0)),"")</f>
        <v/>
      </c>
      <c r="G871" t="str">
        <f t="array" ref="G871">IFERROR(INDEX('Day Range Raw Data'!G:G,Match($A871,'Day Range Raw Data'!$B:$B,0)),"")</f>
        <v/>
      </c>
      <c r="H871" t="str">
        <f t="array" ref="H871">IFERROR(INDEX('Day Range Raw Data'!H:H,Match($A871,'Day Range Raw Data'!$B:$B,0)),"")</f>
        <v/>
      </c>
      <c r="I871" t="str">
        <f t="array" ref="I871">IFERROR(INDEX('Day Range Raw Data'!M:M,Match($A871,'Day Range Raw Data'!$B:$B,0)),"")</f>
        <v/>
      </c>
      <c r="J871" t="str">
        <f t="array" ref="J871">IFERROR(INDEX('Day Range Raw Data'!N:N,Match($A871,'Day Range Raw Data'!$B:$B,0)),"")</f>
        <v/>
      </c>
      <c r="K871" t="str">
        <f t="array" ref="K871">IFERROR(INDEX('Day Range Raw Data'!R:R,Match($A871,'Day Range Raw Data'!$B:$B,0)),"")</f>
        <v/>
      </c>
      <c r="L871" t="str">
        <f t="array" ref="L871">IFERROR(INDEX('Day Range Raw Data'!S:S,Match($A871,'Day Range Raw Data'!$B:$B,0)),"")</f>
        <v/>
      </c>
      <c r="M871" t="str">
        <f t="array" ref="M871">IFERROR(INDEX('Day Range Raw Data'!T:T,Match($A871,'Day Range Raw Data'!$B:$B,0)),"")</f>
        <v/>
      </c>
      <c r="N871" t="str">
        <f t="array" ref="N871">IFERROR(INDEX('Day Range Raw Data'!U:U,Match($A871,'Day Range Raw Data'!$B:$B,0)),"")</f>
        <v/>
      </c>
      <c r="O871" t="str">
        <f t="array" ref="O871">IFERROR(INDEX('Day Range Raw Data'!V:V,Match($A871,'Day Range Raw Data'!$B:$B,0)),"")</f>
        <v/>
      </c>
      <c r="P871" t="str">
        <f t="array" ref="P871">IFERROR(INDEX('Day Range Raw Data'!X:X,Match($A871,'Day Range Raw Data'!$B:$B,0)),"")</f>
        <v/>
      </c>
      <c r="Q871" t="str">
        <f t="shared" si="1"/>
        <v/>
      </c>
      <c r="R871" s="9" t="str">
        <f t="shared" si="2"/>
        <v/>
      </c>
      <c r="S871" s="14" t="str">
        <f t="shared" si="3"/>
        <v/>
      </c>
      <c r="T871" s="15" t="str">
        <f>IFERROR(__xludf.DUMMYFUNCTION("IF($A871="""","""",IFERROR(PERCENTRANK.INC(FILTER(Q:Q,$F:$F&lt;&gt;""""),Q871)*100,""""))"),"")</f>
        <v/>
      </c>
      <c r="U871" s="15" t="str">
        <f>IFERROR(__xludf.DUMMYFUNCTION("IF($A871="""","""",IFERROR(PERCENTRANK.INC(FILTER(R:R,$F:$F&lt;&gt;""""),R871)*100,""""))"),"")</f>
        <v/>
      </c>
      <c r="V871" s="15" t="str">
        <f>IFERROR(__xludf.DUMMYFUNCTION("IF($A871="""","""",IFERROR(PERCENTRANK.INC(FILTER(S:S,$F:$F&lt;&gt;""""),S871)*100,""""))"),"")</f>
        <v/>
      </c>
      <c r="W871" s="15" t="str">
        <f t="shared" si="5"/>
        <v/>
      </c>
    </row>
    <row r="872">
      <c r="B872" t="str">
        <f t="array" ref="B872">IFERROR(INDEX('Player Raw Data'!C:C,Match($A872,'Player Raw Data'!$B:$B,0)),"")</f>
        <v/>
      </c>
      <c r="C872" t="str">
        <f t="array" ref="C872">IFERROR(INDEX('Player Raw Data'!D:D,Match($A872,'Player Raw Data'!$B:$B,0)),"")</f>
        <v/>
      </c>
      <c r="D872" t="str">
        <f t="array" ref="D872">IFERROR(IF(A872=A871, INDEX('Player Raw Data'!E:E,Match($A872,'Player Raw Data'!$B:$B,0)+2),INDEX('Player Raw Data'!E:E,Match($A872,'Player Raw Data'!$B:$B,0))),"")</f>
        <v/>
      </c>
      <c r="E872" t="str">
        <f t="array" ref="E872">IFERROR(INDEX('Day Range Raw Data'!D:D,Match($A872,'Day Range Raw Data'!$B:$B,0)),"")</f>
        <v/>
      </c>
      <c r="F872" t="str">
        <f t="array" ref="F872">IFERROR(INDEX('Day Range Raw Data'!F:F,Match($A872,'Day Range Raw Data'!$B:$B,0)),"")</f>
        <v/>
      </c>
      <c r="G872" t="str">
        <f t="array" ref="G872">IFERROR(INDEX('Day Range Raw Data'!G:G,Match($A872,'Day Range Raw Data'!$B:$B,0)),"")</f>
        <v/>
      </c>
      <c r="H872" t="str">
        <f t="array" ref="H872">IFERROR(INDEX('Day Range Raw Data'!H:H,Match($A872,'Day Range Raw Data'!$B:$B,0)),"")</f>
        <v/>
      </c>
      <c r="I872" t="str">
        <f t="array" ref="I872">IFERROR(INDEX('Day Range Raw Data'!M:M,Match($A872,'Day Range Raw Data'!$B:$B,0)),"")</f>
        <v/>
      </c>
      <c r="J872" t="str">
        <f t="array" ref="J872">IFERROR(INDEX('Day Range Raw Data'!N:N,Match($A872,'Day Range Raw Data'!$B:$B,0)),"")</f>
        <v/>
      </c>
      <c r="K872" t="str">
        <f t="array" ref="K872">IFERROR(INDEX('Day Range Raw Data'!R:R,Match($A872,'Day Range Raw Data'!$B:$B,0)),"")</f>
        <v/>
      </c>
      <c r="L872" t="str">
        <f t="array" ref="L872">IFERROR(INDEX('Day Range Raw Data'!S:S,Match($A872,'Day Range Raw Data'!$B:$B,0)),"")</f>
        <v/>
      </c>
      <c r="M872" t="str">
        <f t="array" ref="M872">IFERROR(INDEX('Day Range Raw Data'!T:T,Match($A872,'Day Range Raw Data'!$B:$B,0)),"")</f>
        <v/>
      </c>
      <c r="N872" t="str">
        <f t="array" ref="N872">IFERROR(INDEX('Day Range Raw Data'!U:U,Match($A872,'Day Range Raw Data'!$B:$B,0)),"")</f>
        <v/>
      </c>
      <c r="O872" t="str">
        <f t="array" ref="O872">IFERROR(INDEX('Day Range Raw Data'!V:V,Match($A872,'Day Range Raw Data'!$B:$B,0)),"")</f>
        <v/>
      </c>
      <c r="P872" t="str">
        <f t="array" ref="P872">IFERROR(INDEX('Day Range Raw Data'!X:X,Match($A872,'Day Range Raw Data'!$B:$B,0)),"")</f>
        <v/>
      </c>
      <c r="Q872" t="str">
        <f t="shared" si="1"/>
        <v/>
      </c>
      <c r="R872" s="9" t="str">
        <f t="shared" si="2"/>
        <v/>
      </c>
      <c r="S872" s="14" t="str">
        <f t="shared" si="3"/>
        <v/>
      </c>
      <c r="T872" s="15" t="str">
        <f>IFERROR(__xludf.DUMMYFUNCTION("IF($A872="""","""",IFERROR(PERCENTRANK.INC(FILTER(Q:Q,$F:$F&lt;&gt;""""),Q872)*100,""""))"),"")</f>
        <v/>
      </c>
      <c r="U872" s="15" t="str">
        <f>IFERROR(__xludf.DUMMYFUNCTION("IF($A872="""","""",IFERROR(PERCENTRANK.INC(FILTER(R:R,$F:$F&lt;&gt;""""),R872)*100,""""))"),"")</f>
        <v/>
      </c>
      <c r="V872" s="15" t="str">
        <f>IFERROR(__xludf.DUMMYFUNCTION("IF($A872="""","""",IFERROR(PERCENTRANK.INC(FILTER(S:S,$F:$F&lt;&gt;""""),S872)*100,""""))"),"")</f>
        <v/>
      </c>
      <c r="W872" s="15" t="str">
        <f t="shared" si="5"/>
        <v/>
      </c>
    </row>
    <row r="873">
      <c r="B873" t="str">
        <f t="array" ref="B873">IFERROR(INDEX('Player Raw Data'!C:C,Match($A873,'Player Raw Data'!$B:$B,0)),"")</f>
        <v/>
      </c>
      <c r="C873" t="str">
        <f t="array" ref="C873">IFERROR(INDEX('Player Raw Data'!D:D,Match($A873,'Player Raw Data'!$B:$B,0)),"")</f>
        <v/>
      </c>
      <c r="D873" t="str">
        <f t="array" ref="D873">IFERROR(IF(A873=A872, INDEX('Player Raw Data'!E:E,Match($A873,'Player Raw Data'!$B:$B,0)+2),INDEX('Player Raw Data'!E:E,Match($A873,'Player Raw Data'!$B:$B,0))),"")</f>
        <v/>
      </c>
      <c r="E873" t="str">
        <f t="array" ref="E873">IFERROR(INDEX('Day Range Raw Data'!D:D,Match($A873,'Day Range Raw Data'!$B:$B,0)),"")</f>
        <v/>
      </c>
      <c r="F873" t="str">
        <f t="array" ref="F873">IFERROR(INDEX('Day Range Raw Data'!F:F,Match($A873,'Day Range Raw Data'!$B:$B,0)),"")</f>
        <v/>
      </c>
      <c r="G873" t="str">
        <f t="array" ref="G873">IFERROR(INDEX('Day Range Raw Data'!G:G,Match($A873,'Day Range Raw Data'!$B:$B,0)),"")</f>
        <v/>
      </c>
      <c r="H873" t="str">
        <f t="array" ref="H873">IFERROR(INDEX('Day Range Raw Data'!H:H,Match($A873,'Day Range Raw Data'!$B:$B,0)),"")</f>
        <v/>
      </c>
      <c r="I873" t="str">
        <f t="array" ref="I873">IFERROR(INDEX('Day Range Raw Data'!M:M,Match($A873,'Day Range Raw Data'!$B:$B,0)),"")</f>
        <v/>
      </c>
      <c r="J873" t="str">
        <f t="array" ref="J873">IFERROR(INDEX('Day Range Raw Data'!N:N,Match($A873,'Day Range Raw Data'!$B:$B,0)),"")</f>
        <v/>
      </c>
      <c r="K873" t="str">
        <f t="array" ref="K873">IFERROR(INDEX('Day Range Raw Data'!R:R,Match($A873,'Day Range Raw Data'!$B:$B,0)),"")</f>
        <v/>
      </c>
      <c r="L873" t="str">
        <f t="array" ref="L873">IFERROR(INDEX('Day Range Raw Data'!S:S,Match($A873,'Day Range Raw Data'!$B:$B,0)),"")</f>
        <v/>
      </c>
      <c r="M873" t="str">
        <f t="array" ref="M873">IFERROR(INDEX('Day Range Raw Data'!T:T,Match($A873,'Day Range Raw Data'!$B:$B,0)),"")</f>
        <v/>
      </c>
      <c r="N873" t="str">
        <f t="array" ref="N873">IFERROR(INDEX('Day Range Raw Data'!U:U,Match($A873,'Day Range Raw Data'!$B:$B,0)),"")</f>
        <v/>
      </c>
      <c r="O873" t="str">
        <f t="array" ref="O873">IFERROR(INDEX('Day Range Raw Data'!V:V,Match($A873,'Day Range Raw Data'!$B:$B,0)),"")</f>
        <v/>
      </c>
      <c r="P873" t="str">
        <f t="array" ref="P873">IFERROR(INDEX('Day Range Raw Data'!X:X,Match($A873,'Day Range Raw Data'!$B:$B,0)),"")</f>
        <v/>
      </c>
      <c r="Q873" t="str">
        <f t="shared" si="1"/>
        <v/>
      </c>
      <c r="R873" s="9" t="str">
        <f t="shared" si="2"/>
        <v/>
      </c>
      <c r="S873" s="14" t="str">
        <f t="shared" si="3"/>
        <v/>
      </c>
      <c r="T873" s="15" t="str">
        <f>IFERROR(__xludf.DUMMYFUNCTION("IF($A873="""","""",IFERROR(PERCENTRANK.INC(FILTER(Q:Q,$F:$F&lt;&gt;""""),Q873)*100,""""))"),"")</f>
        <v/>
      </c>
      <c r="U873" s="15" t="str">
        <f>IFERROR(__xludf.DUMMYFUNCTION("IF($A873="""","""",IFERROR(PERCENTRANK.INC(FILTER(R:R,$F:$F&lt;&gt;""""),R873)*100,""""))"),"")</f>
        <v/>
      </c>
      <c r="V873" s="15" t="str">
        <f>IFERROR(__xludf.DUMMYFUNCTION("IF($A873="""","""",IFERROR(PERCENTRANK.INC(FILTER(S:S,$F:$F&lt;&gt;""""),S873)*100,""""))"),"")</f>
        <v/>
      </c>
      <c r="W873" s="15" t="str">
        <f t="shared" si="5"/>
        <v/>
      </c>
    </row>
    <row r="874">
      <c r="B874" t="str">
        <f t="array" ref="B874">IFERROR(INDEX('Player Raw Data'!C:C,Match($A874,'Player Raw Data'!$B:$B,0)),"")</f>
        <v/>
      </c>
      <c r="C874" t="str">
        <f t="array" ref="C874">IFERROR(INDEX('Player Raw Data'!D:D,Match($A874,'Player Raw Data'!$B:$B,0)),"")</f>
        <v/>
      </c>
      <c r="D874" t="str">
        <f t="array" ref="D874">IFERROR(IF(A874=A873, INDEX('Player Raw Data'!E:E,Match($A874,'Player Raw Data'!$B:$B,0)+2),INDEX('Player Raw Data'!E:E,Match($A874,'Player Raw Data'!$B:$B,0))),"")</f>
        <v/>
      </c>
      <c r="E874" t="str">
        <f t="array" ref="E874">IFERROR(INDEX('Day Range Raw Data'!D:D,Match($A874,'Day Range Raw Data'!$B:$B,0)),"")</f>
        <v/>
      </c>
      <c r="F874" t="str">
        <f t="array" ref="F874">IFERROR(INDEX('Day Range Raw Data'!F:F,Match($A874,'Day Range Raw Data'!$B:$B,0)),"")</f>
        <v/>
      </c>
      <c r="G874" t="str">
        <f t="array" ref="G874">IFERROR(INDEX('Day Range Raw Data'!G:G,Match($A874,'Day Range Raw Data'!$B:$B,0)),"")</f>
        <v/>
      </c>
      <c r="H874" t="str">
        <f t="array" ref="H874">IFERROR(INDEX('Day Range Raw Data'!H:H,Match($A874,'Day Range Raw Data'!$B:$B,0)),"")</f>
        <v/>
      </c>
      <c r="I874" t="str">
        <f t="array" ref="I874">IFERROR(INDEX('Day Range Raw Data'!M:M,Match($A874,'Day Range Raw Data'!$B:$B,0)),"")</f>
        <v/>
      </c>
      <c r="J874" t="str">
        <f t="array" ref="J874">IFERROR(INDEX('Day Range Raw Data'!N:N,Match($A874,'Day Range Raw Data'!$B:$B,0)),"")</f>
        <v/>
      </c>
      <c r="K874" t="str">
        <f t="array" ref="K874">IFERROR(INDEX('Day Range Raw Data'!R:R,Match($A874,'Day Range Raw Data'!$B:$B,0)),"")</f>
        <v/>
      </c>
      <c r="L874" t="str">
        <f t="array" ref="L874">IFERROR(INDEX('Day Range Raw Data'!S:S,Match($A874,'Day Range Raw Data'!$B:$B,0)),"")</f>
        <v/>
      </c>
      <c r="M874" t="str">
        <f t="array" ref="M874">IFERROR(INDEX('Day Range Raw Data'!T:T,Match($A874,'Day Range Raw Data'!$B:$B,0)),"")</f>
        <v/>
      </c>
      <c r="N874" t="str">
        <f t="array" ref="N874">IFERROR(INDEX('Day Range Raw Data'!U:U,Match($A874,'Day Range Raw Data'!$B:$B,0)),"")</f>
        <v/>
      </c>
      <c r="O874" t="str">
        <f t="array" ref="O874">IFERROR(INDEX('Day Range Raw Data'!V:V,Match($A874,'Day Range Raw Data'!$B:$B,0)),"")</f>
        <v/>
      </c>
      <c r="P874" t="str">
        <f t="array" ref="P874">IFERROR(INDEX('Day Range Raw Data'!X:X,Match($A874,'Day Range Raw Data'!$B:$B,0)),"")</f>
        <v/>
      </c>
      <c r="Q874" t="str">
        <f t="shared" si="1"/>
        <v/>
      </c>
      <c r="R874" s="9" t="str">
        <f t="shared" si="2"/>
        <v/>
      </c>
      <c r="S874" s="14" t="str">
        <f t="shared" si="3"/>
        <v/>
      </c>
      <c r="T874" s="15" t="str">
        <f>IFERROR(__xludf.DUMMYFUNCTION("IF($A874="""","""",IFERROR(PERCENTRANK.INC(FILTER(Q:Q,$F:$F&lt;&gt;""""),Q874)*100,""""))"),"")</f>
        <v/>
      </c>
      <c r="U874" s="15" t="str">
        <f>IFERROR(__xludf.DUMMYFUNCTION("IF($A874="""","""",IFERROR(PERCENTRANK.INC(FILTER(R:R,$F:$F&lt;&gt;""""),R874)*100,""""))"),"")</f>
        <v/>
      </c>
      <c r="V874" s="15" t="str">
        <f>IFERROR(__xludf.DUMMYFUNCTION("IF($A874="""","""",IFERROR(PERCENTRANK.INC(FILTER(S:S,$F:$F&lt;&gt;""""),S874)*100,""""))"),"")</f>
        <v/>
      </c>
      <c r="W874" s="15" t="str">
        <f t="shared" si="5"/>
        <v/>
      </c>
    </row>
    <row r="875">
      <c r="B875" t="str">
        <f t="array" ref="B875">IFERROR(INDEX('Player Raw Data'!C:C,Match($A875,'Player Raw Data'!$B:$B,0)),"")</f>
        <v/>
      </c>
      <c r="C875" t="str">
        <f t="array" ref="C875">IFERROR(INDEX('Player Raw Data'!D:D,Match($A875,'Player Raw Data'!$B:$B,0)),"")</f>
        <v/>
      </c>
      <c r="D875" t="str">
        <f t="array" ref="D875">IFERROR(IF(A875=A874, INDEX('Player Raw Data'!E:E,Match($A875,'Player Raw Data'!$B:$B,0)+2),INDEX('Player Raw Data'!E:E,Match($A875,'Player Raw Data'!$B:$B,0))),"")</f>
        <v/>
      </c>
      <c r="E875" t="str">
        <f t="array" ref="E875">IFERROR(INDEX('Day Range Raw Data'!D:D,Match($A875,'Day Range Raw Data'!$B:$B,0)),"")</f>
        <v/>
      </c>
      <c r="F875" t="str">
        <f t="array" ref="F875">IFERROR(INDEX('Day Range Raw Data'!F:F,Match($A875,'Day Range Raw Data'!$B:$B,0)),"")</f>
        <v/>
      </c>
      <c r="G875" t="str">
        <f t="array" ref="G875">IFERROR(INDEX('Day Range Raw Data'!G:G,Match($A875,'Day Range Raw Data'!$B:$B,0)),"")</f>
        <v/>
      </c>
      <c r="H875" t="str">
        <f t="array" ref="H875">IFERROR(INDEX('Day Range Raw Data'!H:H,Match($A875,'Day Range Raw Data'!$B:$B,0)),"")</f>
        <v/>
      </c>
      <c r="I875" t="str">
        <f t="array" ref="I875">IFERROR(INDEX('Day Range Raw Data'!M:M,Match($A875,'Day Range Raw Data'!$B:$B,0)),"")</f>
        <v/>
      </c>
      <c r="J875" t="str">
        <f t="array" ref="J875">IFERROR(INDEX('Day Range Raw Data'!N:N,Match($A875,'Day Range Raw Data'!$B:$B,0)),"")</f>
        <v/>
      </c>
      <c r="K875" t="str">
        <f t="array" ref="K875">IFERROR(INDEX('Day Range Raw Data'!R:R,Match($A875,'Day Range Raw Data'!$B:$B,0)),"")</f>
        <v/>
      </c>
      <c r="L875" t="str">
        <f t="array" ref="L875">IFERROR(INDEX('Day Range Raw Data'!S:S,Match($A875,'Day Range Raw Data'!$B:$B,0)),"")</f>
        <v/>
      </c>
      <c r="M875" t="str">
        <f t="array" ref="M875">IFERROR(INDEX('Day Range Raw Data'!T:T,Match($A875,'Day Range Raw Data'!$B:$B,0)),"")</f>
        <v/>
      </c>
      <c r="N875" t="str">
        <f t="array" ref="N875">IFERROR(INDEX('Day Range Raw Data'!U:U,Match($A875,'Day Range Raw Data'!$B:$B,0)),"")</f>
        <v/>
      </c>
      <c r="O875" t="str">
        <f t="array" ref="O875">IFERROR(INDEX('Day Range Raw Data'!V:V,Match($A875,'Day Range Raw Data'!$B:$B,0)),"")</f>
        <v/>
      </c>
      <c r="P875" t="str">
        <f t="array" ref="P875">IFERROR(INDEX('Day Range Raw Data'!X:X,Match($A875,'Day Range Raw Data'!$B:$B,0)),"")</f>
        <v/>
      </c>
      <c r="Q875" t="str">
        <f t="shared" si="1"/>
        <v/>
      </c>
      <c r="R875" s="9" t="str">
        <f t="shared" si="2"/>
        <v/>
      </c>
      <c r="S875" s="14" t="str">
        <f t="shared" si="3"/>
        <v/>
      </c>
      <c r="T875" s="15" t="str">
        <f>IFERROR(__xludf.DUMMYFUNCTION("IF($A875="""","""",IFERROR(PERCENTRANK.INC(FILTER(Q:Q,$F:$F&lt;&gt;""""),Q875)*100,""""))"),"")</f>
        <v/>
      </c>
      <c r="U875" s="15" t="str">
        <f>IFERROR(__xludf.DUMMYFUNCTION("IF($A875="""","""",IFERROR(PERCENTRANK.INC(FILTER(R:R,$F:$F&lt;&gt;""""),R875)*100,""""))"),"")</f>
        <v/>
      </c>
      <c r="V875" s="15" t="str">
        <f>IFERROR(__xludf.DUMMYFUNCTION("IF($A875="""","""",IFERROR(PERCENTRANK.INC(FILTER(S:S,$F:$F&lt;&gt;""""),S875)*100,""""))"),"")</f>
        <v/>
      </c>
      <c r="W875" s="15" t="str">
        <f t="shared" si="5"/>
        <v/>
      </c>
    </row>
    <row r="876">
      <c r="B876" t="str">
        <f t="array" ref="B876">IFERROR(INDEX('Player Raw Data'!C:C,Match($A876,'Player Raw Data'!$B:$B,0)),"")</f>
        <v/>
      </c>
      <c r="C876" t="str">
        <f t="array" ref="C876">IFERROR(INDEX('Player Raw Data'!D:D,Match($A876,'Player Raw Data'!$B:$B,0)),"")</f>
        <v/>
      </c>
      <c r="D876" t="str">
        <f t="array" ref="D876">IFERROR(IF(A876=A875, INDEX('Player Raw Data'!E:E,Match($A876,'Player Raw Data'!$B:$B,0)+2),INDEX('Player Raw Data'!E:E,Match($A876,'Player Raw Data'!$B:$B,0))),"")</f>
        <v/>
      </c>
      <c r="E876" t="str">
        <f t="array" ref="E876">IFERROR(INDEX('Day Range Raw Data'!D:D,Match($A876,'Day Range Raw Data'!$B:$B,0)),"")</f>
        <v/>
      </c>
      <c r="F876" t="str">
        <f t="array" ref="F876">IFERROR(INDEX('Day Range Raw Data'!F:F,Match($A876,'Day Range Raw Data'!$B:$B,0)),"")</f>
        <v/>
      </c>
      <c r="G876" t="str">
        <f t="array" ref="G876">IFERROR(INDEX('Day Range Raw Data'!G:G,Match($A876,'Day Range Raw Data'!$B:$B,0)),"")</f>
        <v/>
      </c>
      <c r="H876" t="str">
        <f t="array" ref="H876">IFERROR(INDEX('Day Range Raw Data'!H:H,Match($A876,'Day Range Raw Data'!$B:$B,0)),"")</f>
        <v/>
      </c>
      <c r="I876" t="str">
        <f t="array" ref="I876">IFERROR(INDEX('Day Range Raw Data'!M:M,Match($A876,'Day Range Raw Data'!$B:$B,0)),"")</f>
        <v/>
      </c>
      <c r="J876" t="str">
        <f t="array" ref="J876">IFERROR(INDEX('Day Range Raw Data'!N:N,Match($A876,'Day Range Raw Data'!$B:$B,0)),"")</f>
        <v/>
      </c>
      <c r="K876" t="str">
        <f t="array" ref="K876">IFERROR(INDEX('Day Range Raw Data'!R:R,Match($A876,'Day Range Raw Data'!$B:$B,0)),"")</f>
        <v/>
      </c>
      <c r="L876" t="str">
        <f t="array" ref="L876">IFERROR(INDEX('Day Range Raw Data'!S:S,Match($A876,'Day Range Raw Data'!$B:$B,0)),"")</f>
        <v/>
      </c>
      <c r="M876" t="str">
        <f t="array" ref="M876">IFERROR(INDEX('Day Range Raw Data'!T:T,Match($A876,'Day Range Raw Data'!$B:$B,0)),"")</f>
        <v/>
      </c>
      <c r="N876" t="str">
        <f t="array" ref="N876">IFERROR(INDEX('Day Range Raw Data'!U:U,Match($A876,'Day Range Raw Data'!$B:$B,0)),"")</f>
        <v/>
      </c>
      <c r="O876" t="str">
        <f t="array" ref="O876">IFERROR(INDEX('Day Range Raw Data'!V:V,Match($A876,'Day Range Raw Data'!$B:$B,0)),"")</f>
        <v/>
      </c>
      <c r="P876" t="str">
        <f t="array" ref="P876">IFERROR(INDEX('Day Range Raw Data'!X:X,Match($A876,'Day Range Raw Data'!$B:$B,0)),"")</f>
        <v/>
      </c>
      <c r="Q876" t="str">
        <f t="shared" si="1"/>
        <v/>
      </c>
      <c r="R876" s="9" t="str">
        <f t="shared" si="2"/>
        <v/>
      </c>
      <c r="S876" s="14" t="str">
        <f t="shared" si="3"/>
        <v/>
      </c>
      <c r="T876" s="15" t="str">
        <f>IFERROR(__xludf.DUMMYFUNCTION("IF($A876="""","""",IFERROR(PERCENTRANK.INC(FILTER(Q:Q,$F:$F&lt;&gt;""""),Q876)*100,""""))"),"")</f>
        <v/>
      </c>
      <c r="U876" s="15" t="str">
        <f>IFERROR(__xludf.DUMMYFUNCTION("IF($A876="""","""",IFERROR(PERCENTRANK.INC(FILTER(R:R,$F:$F&lt;&gt;""""),R876)*100,""""))"),"")</f>
        <v/>
      </c>
      <c r="V876" s="15" t="str">
        <f>IFERROR(__xludf.DUMMYFUNCTION("IF($A876="""","""",IFERROR(PERCENTRANK.INC(FILTER(S:S,$F:$F&lt;&gt;""""),S876)*100,""""))"),"")</f>
        <v/>
      </c>
      <c r="W876" s="15" t="str">
        <f t="shared" si="5"/>
        <v/>
      </c>
    </row>
    <row r="877">
      <c r="B877" t="str">
        <f t="array" ref="B877">IFERROR(INDEX('Player Raw Data'!C:C,Match($A877,'Player Raw Data'!$B:$B,0)),"")</f>
        <v/>
      </c>
      <c r="C877" t="str">
        <f t="array" ref="C877">IFERROR(INDEX('Player Raw Data'!D:D,Match($A877,'Player Raw Data'!$B:$B,0)),"")</f>
        <v/>
      </c>
      <c r="D877" t="str">
        <f t="array" ref="D877">IFERROR(IF(A877=A876, INDEX('Player Raw Data'!E:E,Match($A877,'Player Raw Data'!$B:$B,0)+2),INDEX('Player Raw Data'!E:E,Match($A877,'Player Raw Data'!$B:$B,0))),"")</f>
        <v/>
      </c>
      <c r="E877" t="str">
        <f t="array" ref="E877">IFERROR(INDEX('Day Range Raw Data'!D:D,Match($A877,'Day Range Raw Data'!$B:$B,0)),"")</f>
        <v/>
      </c>
      <c r="F877" t="str">
        <f t="array" ref="F877">IFERROR(INDEX('Day Range Raw Data'!F:F,Match($A877,'Day Range Raw Data'!$B:$B,0)),"")</f>
        <v/>
      </c>
      <c r="G877" t="str">
        <f t="array" ref="G877">IFERROR(INDEX('Day Range Raw Data'!G:G,Match($A877,'Day Range Raw Data'!$B:$B,0)),"")</f>
        <v/>
      </c>
      <c r="H877" t="str">
        <f t="array" ref="H877">IFERROR(INDEX('Day Range Raw Data'!H:H,Match($A877,'Day Range Raw Data'!$B:$B,0)),"")</f>
        <v/>
      </c>
      <c r="I877" t="str">
        <f t="array" ref="I877">IFERROR(INDEX('Day Range Raw Data'!M:M,Match($A877,'Day Range Raw Data'!$B:$B,0)),"")</f>
        <v/>
      </c>
      <c r="J877" t="str">
        <f t="array" ref="J877">IFERROR(INDEX('Day Range Raw Data'!N:N,Match($A877,'Day Range Raw Data'!$B:$B,0)),"")</f>
        <v/>
      </c>
      <c r="K877" t="str">
        <f t="array" ref="K877">IFERROR(INDEX('Day Range Raw Data'!R:R,Match($A877,'Day Range Raw Data'!$B:$B,0)),"")</f>
        <v/>
      </c>
      <c r="L877" t="str">
        <f t="array" ref="L877">IFERROR(INDEX('Day Range Raw Data'!S:S,Match($A877,'Day Range Raw Data'!$B:$B,0)),"")</f>
        <v/>
      </c>
      <c r="M877" t="str">
        <f t="array" ref="M877">IFERROR(INDEX('Day Range Raw Data'!T:T,Match($A877,'Day Range Raw Data'!$B:$B,0)),"")</f>
        <v/>
      </c>
      <c r="N877" t="str">
        <f t="array" ref="N877">IFERROR(INDEX('Day Range Raw Data'!U:U,Match($A877,'Day Range Raw Data'!$B:$B,0)),"")</f>
        <v/>
      </c>
      <c r="O877" t="str">
        <f t="array" ref="O877">IFERROR(INDEX('Day Range Raw Data'!V:V,Match($A877,'Day Range Raw Data'!$B:$B,0)),"")</f>
        <v/>
      </c>
      <c r="P877" t="str">
        <f t="array" ref="P877">IFERROR(INDEX('Day Range Raw Data'!X:X,Match($A877,'Day Range Raw Data'!$B:$B,0)),"")</f>
        <v/>
      </c>
      <c r="Q877" t="str">
        <f t="shared" si="1"/>
        <v/>
      </c>
      <c r="R877" s="9" t="str">
        <f t="shared" si="2"/>
        <v/>
      </c>
      <c r="S877" s="14" t="str">
        <f t="shared" si="3"/>
        <v/>
      </c>
      <c r="T877" s="15" t="str">
        <f>IFERROR(__xludf.DUMMYFUNCTION("IF($A877="""","""",IFERROR(PERCENTRANK.INC(FILTER(Q:Q,$F:$F&lt;&gt;""""),Q877)*100,""""))"),"")</f>
        <v/>
      </c>
      <c r="U877" s="15" t="str">
        <f>IFERROR(__xludf.DUMMYFUNCTION("IF($A877="""","""",IFERROR(PERCENTRANK.INC(FILTER(R:R,$F:$F&lt;&gt;""""),R877)*100,""""))"),"")</f>
        <v/>
      </c>
      <c r="V877" s="15" t="str">
        <f>IFERROR(__xludf.DUMMYFUNCTION("IF($A877="""","""",IFERROR(PERCENTRANK.INC(FILTER(S:S,$F:$F&lt;&gt;""""),S877)*100,""""))"),"")</f>
        <v/>
      </c>
      <c r="W877" s="15" t="str">
        <f t="shared" si="5"/>
        <v/>
      </c>
    </row>
    <row r="878">
      <c r="B878" t="str">
        <f t="array" ref="B878">IFERROR(INDEX('Player Raw Data'!C:C,Match($A878,'Player Raw Data'!$B:$B,0)),"")</f>
        <v/>
      </c>
      <c r="C878" t="str">
        <f t="array" ref="C878">IFERROR(INDEX('Player Raw Data'!D:D,Match($A878,'Player Raw Data'!$B:$B,0)),"")</f>
        <v/>
      </c>
      <c r="D878" t="str">
        <f t="array" ref="D878">IFERROR(IF(A878=A877, INDEX('Player Raw Data'!E:E,Match($A878,'Player Raw Data'!$B:$B,0)+2),INDEX('Player Raw Data'!E:E,Match($A878,'Player Raw Data'!$B:$B,0))),"")</f>
        <v/>
      </c>
      <c r="E878" t="str">
        <f t="array" ref="E878">IFERROR(INDEX('Day Range Raw Data'!D:D,Match($A878,'Day Range Raw Data'!$B:$B,0)),"")</f>
        <v/>
      </c>
      <c r="F878" t="str">
        <f t="array" ref="F878">IFERROR(INDEX('Day Range Raw Data'!F:F,Match($A878,'Day Range Raw Data'!$B:$B,0)),"")</f>
        <v/>
      </c>
      <c r="G878" t="str">
        <f t="array" ref="G878">IFERROR(INDEX('Day Range Raw Data'!G:G,Match($A878,'Day Range Raw Data'!$B:$B,0)),"")</f>
        <v/>
      </c>
      <c r="H878" t="str">
        <f t="array" ref="H878">IFERROR(INDEX('Day Range Raw Data'!H:H,Match($A878,'Day Range Raw Data'!$B:$B,0)),"")</f>
        <v/>
      </c>
      <c r="I878" t="str">
        <f t="array" ref="I878">IFERROR(INDEX('Day Range Raw Data'!M:M,Match($A878,'Day Range Raw Data'!$B:$B,0)),"")</f>
        <v/>
      </c>
      <c r="J878" t="str">
        <f t="array" ref="J878">IFERROR(INDEX('Day Range Raw Data'!N:N,Match($A878,'Day Range Raw Data'!$B:$B,0)),"")</f>
        <v/>
      </c>
      <c r="K878" t="str">
        <f t="array" ref="K878">IFERROR(INDEX('Day Range Raw Data'!R:R,Match($A878,'Day Range Raw Data'!$B:$B,0)),"")</f>
        <v/>
      </c>
      <c r="L878" t="str">
        <f t="array" ref="L878">IFERROR(INDEX('Day Range Raw Data'!S:S,Match($A878,'Day Range Raw Data'!$B:$B,0)),"")</f>
        <v/>
      </c>
      <c r="M878" t="str">
        <f t="array" ref="M878">IFERROR(INDEX('Day Range Raw Data'!T:T,Match($A878,'Day Range Raw Data'!$B:$B,0)),"")</f>
        <v/>
      </c>
      <c r="N878" t="str">
        <f t="array" ref="N878">IFERROR(INDEX('Day Range Raw Data'!U:U,Match($A878,'Day Range Raw Data'!$B:$B,0)),"")</f>
        <v/>
      </c>
      <c r="O878" t="str">
        <f t="array" ref="O878">IFERROR(INDEX('Day Range Raw Data'!V:V,Match($A878,'Day Range Raw Data'!$B:$B,0)),"")</f>
        <v/>
      </c>
      <c r="P878" t="str">
        <f t="array" ref="P878">IFERROR(INDEX('Day Range Raw Data'!X:X,Match($A878,'Day Range Raw Data'!$B:$B,0)),"")</f>
        <v/>
      </c>
      <c r="Q878" t="str">
        <f t="shared" si="1"/>
        <v/>
      </c>
      <c r="R878" s="9" t="str">
        <f t="shared" si="2"/>
        <v/>
      </c>
      <c r="S878" s="14" t="str">
        <f t="shared" si="3"/>
        <v/>
      </c>
      <c r="T878" s="15" t="str">
        <f>IFERROR(__xludf.DUMMYFUNCTION("IF($A878="""","""",IFERROR(PERCENTRANK.INC(FILTER(Q:Q,$F:$F&lt;&gt;""""),Q878)*100,""""))"),"")</f>
        <v/>
      </c>
      <c r="U878" s="15" t="str">
        <f>IFERROR(__xludf.DUMMYFUNCTION("IF($A878="""","""",IFERROR(PERCENTRANK.INC(FILTER(R:R,$F:$F&lt;&gt;""""),R878)*100,""""))"),"")</f>
        <v/>
      </c>
      <c r="V878" s="15" t="str">
        <f>IFERROR(__xludf.DUMMYFUNCTION("IF($A878="""","""",IFERROR(PERCENTRANK.INC(FILTER(S:S,$F:$F&lt;&gt;""""),S878)*100,""""))"),"")</f>
        <v/>
      </c>
      <c r="W878" s="15" t="str">
        <f t="shared" si="5"/>
        <v/>
      </c>
    </row>
    <row r="879">
      <c r="B879" t="str">
        <f t="array" ref="B879">IFERROR(INDEX('Player Raw Data'!C:C,Match($A879,'Player Raw Data'!$B:$B,0)),"")</f>
        <v/>
      </c>
      <c r="C879" t="str">
        <f t="array" ref="C879">IFERROR(INDEX('Player Raw Data'!D:D,Match($A879,'Player Raw Data'!$B:$B,0)),"")</f>
        <v/>
      </c>
      <c r="D879" t="str">
        <f t="array" ref="D879">IFERROR(IF(A879=A878, INDEX('Player Raw Data'!E:E,Match($A879,'Player Raw Data'!$B:$B,0)+2),INDEX('Player Raw Data'!E:E,Match($A879,'Player Raw Data'!$B:$B,0))),"")</f>
        <v/>
      </c>
      <c r="E879" t="str">
        <f t="array" ref="E879">IFERROR(INDEX('Day Range Raw Data'!D:D,Match($A879,'Day Range Raw Data'!$B:$B,0)),"")</f>
        <v/>
      </c>
      <c r="F879" t="str">
        <f t="array" ref="F879">IFERROR(INDEX('Day Range Raw Data'!F:F,Match($A879,'Day Range Raw Data'!$B:$B,0)),"")</f>
        <v/>
      </c>
      <c r="G879" t="str">
        <f t="array" ref="G879">IFERROR(INDEX('Day Range Raw Data'!G:G,Match($A879,'Day Range Raw Data'!$B:$B,0)),"")</f>
        <v/>
      </c>
      <c r="H879" t="str">
        <f t="array" ref="H879">IFERROR(INDEX('Day Range Raw Data'!H:H,Match($A879,'Day Range Raw Data'!$B:$B,0)),"")</f>
        <v/>
      </c>
      <c r="I879" t="str">
        <f t="array" ref="I879">IFERROR(INDEX('Day Range Raw Data'!M:M,Match($A879,'Day Range Raw Data'!$B:$B,0)),"")</f>
        <v/>
      </c>
      <c r="J879" t="str">
        <f t="array" ref="J879">IFERROR(INDEX('Day Range Raw Data'!N:N,Match($A879,'Day Range Raw Data'!$B:$B,0)),"")</f>
        <v/>
      </c>
      <c r="K879" t="str">
        <f t="array" ref="K879">IFERROR(INDEX('Day Range Raw Data'!R:R,Match($A879,'Day Range Raw Data'!$B:$B,0)),"")</f>
        <v/>
      </c>
      <c r="L879" t="str">
        <f t="array" ref="L879">IFERROR(INDEX('Day Range Raw Data'!S:S,Match($A879,'Day Range Raw Data'!$B:$B,0)),"")</f>
        <v/>
      </c>
      <c r="M879" t="str">
        <f t="array" ref="M879">IFERROR(INDEX('Day Range Raw Data'!T:T,Match($A879,'Day Range Raw Data'!$B:$B,0)),"")</f>
        <v/>
      </c>
      <c r="N879" t="str">
        <f t="array" ref="N879">IFERROR(INDEX('Day Range Raw Data'!U:U,Match($A879,'Day Range Raw Data'!$B:$B,0)),"")</f>
        <v/>
      </c>
      <c r="O879" t="str">
        <f t="array" ref="O879">IFERROR(INDEX('Day Range Raw Data'!V:V,Match($A879,'Day Range Raw Data'!$B:$B,0)),"")</f>
        <v/>
      </c>
      <c r="P879" t="str">
        <f t="array" ref="P879">IFERROR(INDEX('Day Range Raw Data'!X:X,Match($A879,'Day Range Raw Data'!$B:$B,0)),"")</f>
        <v/>
      </c>
      <c r="Q879" t="str">
        <f t="shared" si="1"/>
        <v/>
      </c>
      <c r="R879" s="9" t="str">
        <f t="shared" si="2"/>
        <v/>
      </c>
      <c r="S879" s="14" t="str">
        <f t="shared" si="3"/>
        <v/>
      </c>
      <c r="T879" s="15" t="str">
        <f>IFERROR(__xludf.DUMMYFUNCTION("IF($A879="""","""",IFERROR(PERCENTRANK.INC(FILTER(Q:Q,$F:$F&lt;&gt;""""),Q879)*100,""""))"),"")</f>
        <v/>
      </c>
      <c r="U879" s="15" t="str">
        <f>IFERROR(__xludf.DUMMYFUNCTION("IF($A879="""","""",IFERROR(PERCENTRANK.INC(FILTER(R:R,$F:$F&lt;&gt;""""),R879)*100,""""))"),"")</f>
        <v/>
      </c>
      <c r="V879" s="15" t="str">
        <f>IFERROR(__xludf.DUMMYFUNCTION("IF($A879="""","""",IFERROR(PERCENTRANK.INC(FILTER(S:S,$F:$F&lt;&gt;""""),S879)*100,""""))"),"")</f>
        <v/>
      </c>
      <c r="W879" s="15" t="str">
        <f t="shared" si="5"/>
        <v/>
      </c>
    </row>
    <row r="880">
      <c r="B880" t="str">
        <f t="array" ref="B880">IFERROR(INDEX('Player Raw Data'!C:C,Match($A880,'Player Raw Data'!$B:$B,0)),"")</f>
        <v/>
      </c>
      <c r="C880" t="str">
        <f t="array" ref="C880">IFERROR(INDEX('Player Raw Data'!D:D,Match($A880,'Player Raw Data'!$B:$B,0)),"")</f>
        <v/>
      </c>
      <c r="D880" t="str">
        <f t="array" ref="D880">IFERROR(IF(A880=A879, INDEX('Player Raw Data'!E:E,Match($A880,'Player Raw Data'!$B:$B,0)+2),INDEX('Player Raw Data'!E:E,Match($A880,'Player Raw Data'!$B:$B,0))),"")</f>
        <v/>
      </c>
      <c r="E880" t="str">
        <f t="array" ref="E880">IFERROR(INDEX('Day Range Raw Data'!D:D,Match($A880,'Day Range Raw Data'!$B:$B,0)),"")</f>
        <v/>
      </c>
      <c r="F880" t="str">
        <f t="array" ref="F880">IFERROR(INDEX('Day Range Raw Data'!F:F,Match($A880,'Day Range Raw Data'!$B:$B,0)),"")</f>
        <v/>
      </c>
      <c r="G880" t="str">
        <f t="array" ref="G880">IFERROR(INDEX('Day Range Raw Data'!G:G,Match($A880,'Day Range Raw Data'!$B:$B,0)),"")</f>
        <v/>
      </c>
      <c r="H880" t="str">
        <f t="array" ref="H880">IFERROR(INDEX('Day Range Raw Data'!H:H,Match($A880,'Day Range Raw Data'!$B:$B,0)),"")</f>
        <v/>
      </c>
      <c r="I880" t="str">
        <f t="array" ref="I880">IFERROR(INDEX('Day Range Raw Data'!M:M,Match($A880,'Day Range Raw Data'!$B:$B,0)),"")</f>
        <v/>
      </c>
      <c r="J880" t="str">
        <f t="array" ref="J880">IFERROR(INDEX('Day Range Raw Data'!N:N,Match($A880,'Day Range Raw Data'!$B:$B,0)),"")</f>
        <v/>
      </c>
      <c r="K880" t="str">
        <f t="array" ref="K880">IFERROR(INDEX('Day Range Raw Data'!R:R,Match($A880,'Day Range Raw Data'!$B:$B,0)),"")</f>
        <v/>
      </c>
      <c r="L880" t="str">
        <f t="array" ref="L880">IFERROR(INDEX('Day Range Raw Data'!S:S,Match($A880,'Day Range Raw Data'!$B:$B,0)),"")</f>
        <v/>
      </c>
      <c r="M880" t="str">
        <f t="array" ref="M880">IFERROR(INDEX('Day Range Raw Data'!T:T,Match($A880,'Day Range Raw Data'!$B:$B,0)),"")</f>
        <v/>
      </c>
      <c r="N880" t="str">
        <f t="array" ref="N880">IFERROR(INDEX('Day Range Raw Data'!U:U,Match($A880,'Day Range Raw Data'!$B:$B,0)),"")</f>
        <v/>
      </c>
      <c r="O880" t="str">
        <f t="array" ref="O880">IFERROR(INDEX('Day Range Raw Data'!V:V,Match($A880,'Day Range Raw Data'!$B:$B,0)),"")</f>
        <v/>
      </c>
      <c r="P880" t="str">
        <f t="array" ref="P880">IFERROR(INDEX('Day Range Raw Data'!X:X,Match($A880,'Day Range Raw Data'!$B:$B,0)),"")</f>
        <v/>
      </c>
      <c r="Q880" t="str">
        <f t="shared" si="1"/>
        <v/>
      </c>
      <c r="R880" s="9" t="str">
        <f t="shared" si="2"/>
        <v/>
      </c>
      <c r="S880" s="14" t="str">
        <f t="shared" si="3"/>
        <v/>
      </c>
      <c r="T880" s="15" t="str">
        <f>IFERROR(__xludf.DUMMYFUNCTION("IF($A880="""","""",IFERROR(PERCENTRANK.INC(FILTER(Q:Q,$F:$F&lt;&gt;""""),Q880)*100,""""))"),"")</f>
        <v/>
      </c>
      <c r="U880" s="15" t="str">
        <f>IFERROR(__xludf.DUMMYFUNCTION("IF($A880="""","""",IFERROR(PERCENTRANK.INC(FILTER(R:R,$F:$F&lt;&gt;""""),R880)*100,""""))"),"")</f>
        <v/>
      </c>
      <c r="V880" s="15" t="str">
        <f>IFERROR(__xludf.DUMMYFUNCTION("IF($A880="""","""",IFERROR(PERCENTRANK.INC(FILTER(S:S,$F:$F&lt;&gt;""""),S880)*100,""""))"),"")</f>
        <v/>
      </c>
      <c r="W880" s="15" t="str">
        <f t="shared" si="5"/>
        <v/>
      </c>
    </row>
    <row r="881">
      <c r="B881" t="str">
        <f t="array" ref="B881">IFERROR(INDEX('Player Raw Data'!C:C,Match($A881,'Player Raw Data'!$B:$B,0)),"")</f>
        <v/>
      </c>
      <c r="C881" t="str">
        <f t="array" ref="C881">IFERROR(INDEX('Player Raw Data'!D:D,Match($A881,'Player Raw Data'!$B:$B,0)),"")</f>
        <v/>
      </c>
      <c r="D881" t="str">
        <f t="array" ref="D881">IFERROR(IF(A881=A880, INDEX('Player Raw Data'!E:E,Match($A881,'Player Raw Data'!$B:$B,0)+2),INDEX('Player Raw Data'!E:E,Match($A881,'Player Raw Data'!$B:$B,0))),"")</f>
        <v/>
      </c>
      <c r="E881" t="str">
        <f t="array" ref="E881">IFERROR(INDEX('Day Range Raw Data'!D:D,Match($A881,'Day Range Raw Data'!$B:$B,0)),"")</f>
        <v/>
      </c>
      <c r="F881" t="str">
        <f t="array" ref="F881">IFERROR(INDEX('Day Range Raw Data'!F:F,Match($A881,'Day Range Raw Data'!$B:$B,0)),"")</f>
        <v/>
      </c>
      <c r="G881" t="str">
        <f t="array" ref="G881">IFERROR(INDEX('Day Range Raw Data'!G:G,Match($A881,'Day Range Raw Data'!$B:$B,0)),"")</f>
        <v/>
      </c>
      <c r="H881" t="str">
        <f t="array" ref="H881">IFERROR(INDEX('Day Range Raw Data'!H:H,Match($A881,'Day Range Raw Data'!$B:$B,0)),"")</f>
        <v/>
      </c>
      <c r="I881" t="str">
        <f t="array" ref="I881">IFERROR(INDEX('Day Range Raw Data'!M:M,Match($A881,'Day Range Raw Data'!$B:$B,0)),"")</f>
        <v/>
      </c>
      <c r="J881" t="str">
        <f t="array" ref="J881">IFERROR(INDEX('Day Range Raw Data'!N:N,Match($A881,'Day Range Raw Data'!$B:$B,0)),"")</f>
        <v/>
      </c>
      <c r="K881" t="str">
        <f t="array" ref="K881">IFERROR(INDEX('Day Range Raw Data'!R:R,Match($A881,'Day Range Raw Data'!$B:$B,0)),"")</f>
        <v/>
      </c>
      <c r="L881" t="str">
        <f t="array" ref="L881">IFERROR(INDEX('Day Range Raw Data'!S:S,Match($A881,'Day Range Raw Data'!$B:$B,0)),"")</f>
        <v/>
      </c>
      <c r="M881" t="str">
        <f t="array" ref="M881">IFERROR(INDEX('Day Range Raw Data'!T:T,Match($A881,'Day Range Raw Data'!$B:$B,0)),"")</f>
        <v/>
      </c>
      <c r="N881" t="str">
        <f t="array" ref="N881">IFERROR(INDEX('Day Range Raw Data'!U:U,Match($A881,'Day Range Raw Data'!$B:$B,0)),"")</f>
        <v/>
      </c>
      <c r="O881" t="str">
        <f t="array" ref="O881">IFERROR(INDEX('Day Range Raw Data'!V:V,Match($A881,'Day Range Raw Data'!$B:$B,0)),"")</f>
        <v/>
      </c>
      <c r="P881" t="str">
        <f t="array" ref="P881">IFERROR(INDEX('Day Range Raw Data'!X:X,Match($A881,'Day Range Raw Data'!$B:$B,0)),"")</f>
        <v/>
      </c>
      <c r="Q881" t="str">
        <f t="shared" si="1"/>
        <v/>
      </c>
      <c r="R881" s="9" t="str">
        <f t="shared" si="2"/>
        <v/>
      </c>
      <c r="S881" s="14" t="str">
        <f t="shared" si="3"/>
        <v/>
      </c>
      <c r="T881" s="15" t="str">
        <f>IFERROR(__xludf.DUMMYFUNCTION("IF($A881="""","""",IFERROR(PERCENTRANK.INC(FILTER(Q:Q,$F:$F&lt;&gt;""""),Q881)*100,""""))"),"")</f>
        <v/>
      </c>
      <c r="U881" s="15" t="str">
        <f>IFERROR(__xludf.DUMMYFUNCTION("IF($A881="""","""",IFERROR(PERCENTRANK.INC(FILTER(R:R,$F:$F&lt;&gt;""""),R881)*100,""""))"),"")</f>
        <v/>
      </c>
      <c r="V881" s="15" t="str">
        <f>IFERROR(__xludf.DUMMYFUNCTION("IF($A881="""","""",IFERROR(PERCENTRANK.INC(FILTER(S:S,$F:$F&lt;&gt;""""),S881)*100,""""))"),"")</f>
        <v/>
      </c>
      <c r="W881" s="15" t="str">
        <f t="shared" si="5"/>
        <v/>
      </c>
    </row>
    <row r="882">
      <c r="B882" t="str">
        <f t="array" ref="B882">IFERROR(INDEX('Player Raw Data'!C:C,Match($A882,'Player Raw Data'!$B:$B,0)),"")</f>
        <v/>
      </c>
      <c r="C882" t="str">
        <f t="array" ref="C882">IFERROR(INDEX('Player Raw Data'!D:D,Match($A882,'Player Raw Data'!$B:$B,0)),"")</f>
        <v/>
      </c>
      <c r="D882" t="str">
        <f t="array" ref="D882">IFERROR(IF(A882=A881, INDEX('Player Raw Data'!E:E,Match($A882,'Player Raw Data'!$B:$B,0)+2),INDEX('Player Raw Data'!E:E,Match($A882,'Player Raw Data'!$B:$B,0))),"")</f>
        <v/>
      </c>
      <c r="E882" t="str">
        <f t="array" ref="E882">IFERROR(INDEX('Day Range Raw Data'!D:D,Match($A882,'Day Range Raw Data'!$B:$B,0)),"")</f>
        <v/>
      </c>
      <c r="F882" t="str">
        <f t="array" ref="F882">IFERROR(INDEX('Day Range Raw Data'!F:F,Match($A882,'Day Range Raw Data'!$B:$B,0)),"")</f>
        <v/>
      </c>
      <c r="G882" t="str">
        <f t="array" ref="G882">IFERROR(INDEX('Day Range Raw Data'!G:G,Match($A882,'Day Range Raw Data'!$B:$B,0)),"")</f>
        <v/>
      </c>
      <c r="H882" t="str">
        <f t="array" ref="H882">IFERROR(INDEX('Day Range Raw Data'!H:H,Match($A882,'Day Range Raw Data'!$B:$B,0)),"")</f>
        <v/>
      </c>
      <c r="I882" t="str">
        <f t="array" ref="I882">IFERROR(INDEX('Day Range Raw Data'!M:M,Match($A882,'Day Range Raw Data'!$B:$B,0)),"")</f>
        <v/>
      </c>
      <c r="J882" t="str">
        <f t="array" ref="J882">IFERROR(INDEX('Day Range Raw Data'!N:N,Match($A882,'Day Range Raw Data'!$B:$B,0)),"")</f>
        <v/>
      </c>
      <c r="K882" t="str">
        <f t="array" ref="K882">IFERROR(INDEX('Day Range Raw Data'!R:R,Match($A882,'Day Range Raw Data'!$B:$B,0)),"")</f>
        <v/>
      </c>
      <c r="L882" t="str">
        <f t="array" ref="L882">IFERROR(INDEX('Day Range Raw Data'!S:S,Match($A882,'Day Range Raw Data'!$B:$B,0)),"")</f>
        <v/>
      </c>
      <c r="M882" t="str">
        <f t="array" ref="M882">IFERROR(INDEX('Day Range Raw Data'!T:T,Match($A882,'Day Range Raw Data'!$B:$B,0)),"")</f>
        <v/>
      </c>
      <c r="N882" t="str">
        <f t="array" ref="N882">IFERROR(INDEX('Day Range Raw Data'!U:U,Match($A882,'Day Range Raw Data'!$B:$B,0)),"")</f>
        <v/>
      </c>
      <c r="O882" t="str">
        <f t="array" ref="O882">IFERROR(INDEX('Day Range Raw Data'!V:V,Match($A882,'Day Range Raw Data'!$B:$B,0)),"")</f>
        <v/>
      </c>
      <c r="P882" t="str">
        <f t="array" ref="P882">IFERROR(INDEX('Day Range Raw Data'!X:X,Match($A882,'Day Range Raw Data'!$B:$B,0)),"")</f>
        <v/>
      </c>
      <c r="Q882" t="str">
        <f t="shared" si="1"/>
        <v/>
      </c>
      <c r="R882" s="9" t="str">
        <f t="shared" si="2"/>
        <v/>
      </c>
      <c r="S882" s="14" t="str">
        <f t="shared" si="3"/>
        <v/>
      </c>
      <c r="T882" s="15" t="str">
        <f>IFERROR(__xludf.DUMMYFUNCTION("IF($A882="""","""",IFERROR(PERCENTRANK.INC(FILTER(Q:Q,$F:$F&lt;&gt;""""),Q882)*100,""""))"),"")</f>
        <v/>
      </c>
      <c r="U882" s="15" t="str">
        <f>IFERROR(__xludf.DUMMYFUNCTION("IF($A882="""","""",IFERROR(PERCENTRANK.INC(FILTER(R:R,$F:$F&lt;&gt;""""),R882)*100,""""))"),"")</f>
        <v/>
      </c>
      <c r="V882" s="15" t="str">
        <f>IFERROR(__xludf.DUMMYFUNCTION("IF($A882="""","""",IFERROR(PERCENTRANK.INC(FILTER(S:S,$F:$F&lt;&gt;""""),S882)*100,""""))"),"")</f>
        <v/>
      </c>
      <c r="W882" s="15" t="str">
        <f t="shared" si="5"/>
        <v/>
      </c>
    </row>
    <row r="883">
      <c r="B883" t="str">
        <f t="array" ref="B883">IFERROR(INDEX('Player Raw Data'!C:C,Match($A883,'Player Raw Data'!$B:$B,0)),"")</f>
        <v/>
      </c>
      <c r="C883" t="str">
        <f t="array" ref="C883">IFERROR(INDEX('Player Raw Data'!D:D,Match($A883,'Player Raw Data'!$B:$B,0)),"")</f>
        <v/>
      </c>
      <c r="D883" t="str">
        <f t="array" ref="D883">IFERROR(IF(A883=A882, INDEX('Player Raw Data'!E:E,Match($A883,'Player Raw Data'!$B:$B,0)+2),INDEX('Player Raw Data'!E:E,Match($A883,'Player Raw Data'!$B:$B,0))),"")</f>
        <v/>
      </c>
      <c r="E883" t="str">
        <f t="array" ref="E883">IFERROR(INDEX('Day Range Raw Data'!D:D,Match($A883,'Day Range Raw Data'!$B:$B,0)),"")</f>
        <v/>
      </c>
      <c r="F883" t="str">
        <f t="array" ref="F883">IFERROR(INDEX('Day Range Raw Data'!F:F,Match($A883,'Day Range Raw Data'!$B:$B,0)),"")</f>
        <v/>
      </c>
      <c r="G883" t="str">
        <f t="array" ref="G883">IFERROR(INDEX('Day Range Raw Data'!G:G,Match($A883,'Day Range Raw Data'!$B:$B,0)),"")</f>
        <v/>
      </c>
      <c r="H883" t="str">
        <f t="array" ref="H883">IFERROR(INDEX('Day Range Raw Data'!H:H,Match($A883,'Day Range Raw Data'!$B:$B,0)),"")</f>
        <v/>
      </c>
      <c r="I883" t="str">
        <f t="array" ref="I883">IFERROR(INDEX('Day Range Raw Data'!M:M,Match($A883,'Day Range Raw Data'!$B:$B,0)),"")</f>
        <v/>
      </c>
      <c r="J883" t="str">
        <f t="array" ref="J883">IFERROR(INDEX('Day Range Raw Data'!N:N,Match($A883,'Day Range Raw Data'!$B:$B,0)),"")</f>
        <v/>
      </c>
      <c r="K883" t="str">
        <f t="array" ref="K883">IFERROR(INDEX('Day Range Raw Data'!R:R,Match($A883,'Day Range Raw Data'!$B:$B,0)),"")</f>
        <v/>
      </c>
      <c r="L883" t="str">
        <f t="array" ref="L883">IFERROR(INDEX('Day Range Raw Data'!S:S,Match($A883,'Day Range Raw Data'!$B:$B,0)),"")</f>
        <v/>
      </c>
      <c r="M883" t="str">
        <f t="array" ref="M883">IFERROR(INDEX('Day Range Raw Data'!T:T,Match($A883,'Day Range Raw Data'!$B:$B,0)),"")</f>
        <v/>
      </c>
      <c r="N883" t="str">
        <f t="array" ref="N883">IFERROR(INDEX('Day Range Raw Data'!U:U,Match($A883,'Day Range Raw Data'!$B:$B,0)),"")</f>
        <v/>
      </c>
      <c r="O883" t="str">
        <f t="array" ref="O883">IFERROR(INDEX('Day Range Raw Data'!V:V,Match($A883,'Day Range Raw Data'!$B:$B,0)),"")</f>
        <v/>
      </c>
      <c r="P883" t="str">
        <f t="array" ref="P883">IFERROR(INDEX('Day Range Raw Data'!X:X,Match($A883,'Day Range Raw Data'!$B:$B,0)),"")</f>
        <v/>
      </c>
      <c r="Q883" t="str">
        <f t="shared" si="1"/>
        <v/>
      </c>
      <c r="R883" s="9" t="str">
        <f t="shared" si="2"/>
        <v/>
      </c>
      <c r="S883" s="14" t="str">
        <f t="shared" si="3"/>
        <v/>
      </c>
      <c r="T883" s="15" t="str">
        <f>IFERROR(__xludf.DUMMYFUNCTION("IF($A883="""","""",IFERROR(PERCENTRANK.INC(FILTER(Q:Q,$F:$F&lt;&gt;""""),Q883)*100,""""))"),"")</f>
        <v/>
      </c>
      <c r="U883" s="15" t="str">
        <f>IFERROR(__xludf.DUMMYFUNCTION("IF($A883="""","""",IFERROR(PERCENTRANK.INC(FILTER(R:R,$F:$F&lt;&gt;""""),R883)*100,""""))"),"")</f>
        <v/>
      </c>
      <c r="V883" s="15" t="str">
        <f>IFERROR(__xludf.DUMMYFUNCTION("IF($A883="""","""",IFERROR(PERCENTRANK.INC(FILTER(S:S,$F:$F&lt;&gt;""""),S883)*100,""""))"),"")</f>
        <v/>
      </c>
      <c r="W883" s="15" t="str">
        <f t="shared" si="5"/>
        <v/>
      </c>
    </row>
    <row r="884">
      <c r="B884" t="str">
        <f t="array" ref="B884">IFERROR(INDEX('Player Raw Data'!C:C,Match($A884,'Player Raw Data'!$B:$B,0)),"")</f>
        <v/>
      </c>
      <c r="C884" t="str">
        <f t="array" ref="C884">IFERROR(INDEX('Player Raw Data'!D:D,Match($A884,'Player Raw Data'!$B:$B,0)),"")</f>
        <v/>
      </c>
      <c r="D884" t="str">
        <f t="array" ref="D884">IFERROR(IF(A884=A883, INDEX('Player Raw Data'!E:E,Match($A884,'Player Raw Data'!$B:$B,0)+2),INDEX('Player Raw Data'!E:E,Match($A884,'Player Raw Data'!$B:$B,0))),"")</f>
        <v/>
      </c>
      <c r="E884" t="str">
        <f t="array" ref="E884">IFERROR(INDEX('Day Range Raw Data'!D:D,Match($A884,'Day Range Raw Data'!$B:$B,0)),"")</f>
        <v/>
      </c>
      <c r="F884" t="str">
        <f t="array" ref="F884">IFERROR(INDEX('Day Range Raw Data'!F:F,Match($A884,'Day Range Raw Data'!$B:$B,0)),"")</f>
        <v/>
      </c>
      <c r="G884" t="str">
        <f t="array" ref="G884">IFERROR(INDEX('Day Range Raw Data'!G:G,Match($A884,'Day Range Raw Data'!$B:$B,0)),"")</f>
        <v/>
      </c>
      <c r="H884" t="str">
        <f t="array" ref="H884">IFERROR(INDEX('Day Range Raw Data'!H:H,Match($A884,'Day Range Raw Data'!$B:$B,0)),"")</f>
        <v/>
      </c>
      <c r="I884" t="str">
        <f t="array" ref="I884">IFERROR(INDEX('Day Range Raw Data'!M:M,Match($A884,'Day Range Raw Data'!$B:$B,0)),"")</f>
        <v/>
      </c>
      <c r="J884" t="str">
        <f t="array" ref="J884">IFERROR(INDEX('Day Range Raw Data'!N:N,Match($A884,'Day Range Raw Data'!$B:$B,0)),"")</f>
        <v/>
      </c>
      <c r="K884" t="str">
        <f t="array" ref="K884">IFERROR(INDEX('Day Range Raw Data'!R:R,Match($A884,'Day Range Raw Data'!$B:$B,0)),"")</f>
        <v/>
      </c>
      <c r="L884" t="str">
        <f t="array" ref="L884">IFERROR(INDEX('Day Range Raw Data'!S:S,Match($A884,'Day Range Raw Data'!$B:$B,0)),"")</f>
        <v/>
      </c>
      <c r="M884" t="str">
        <f t="array" ref="M884">IFERROR(INDEX('Day Range Raw Data'!T:T,Match($A884,'Day Range Raw Data'!$B:$B,0)),"")</f>
        <v/>
      </c>
      <c r="N884" t="str">
        <f t="array" ref="N884">IFERROR(INDEX('Day Range Raw Data'!U:U,Match($A884,'Day Range Raw Data'!$B:$B,0)),"")</f>
        <v/>
      </c>
      <c r="O884" t="str">
        <f t="array" ref="O884">IFERROR(INDEX('Day Range Raw Data'!V:V,Match($A884,'Day Range Raw Data'!$B:$B,0)),"")</f>
        <v/>
      </c>
      <c r="P884" t="str">
        <f t="array" ref="P884">IFERROR(INDEX('Day Range Raw Data'!X:X,Match($A884,'Day Range Raw Data'!$B:$B,0)),"")</f>
        <v/>
      </c>
      <c r="Q884" t="str">
        <f t="shared" si="1"/>
        <v/>
      </c>
      <c r="R884" s="9" t="str">
        <f t="shared" si="2"/>
        <v/>
      </c>
      <c r="S884" s="14" t="str">
        <f t="shared" si="3"/>
        <v/>
      </c>
      <c r="T884" s="15" t="str">
        <f>IFERROR(__xludf.DUMMYFUNCTION("IF($A884="""","""",IFERROR(PERCENTRANK.INC(FILTER(Q:Q,$F:$F&lt;&gt;""""),Q884)*100,""""))"),"")</f>
        <v/>
      </c>
      <c r="U884" s="15" t="str">
        <f>IFERROR(__xludf.DUMMYFUNCTION("IF($A884="""","""",IFERROR(PERCENTRANK.INC(FILTER(R:R,$F:$F&lt;&gt;""""),R884)*100,""""))"),"")</f>
        <v/>
      </c>
      <c r="V884" s="15" t="str">
        <f>IFERROR(__xludf.DUMMYFUNCTION("IF($A884="""","""",IFERROR(PERCENTRANK.INC(FILTER(S:S,$F:$F&lt;&gt;""""),S884)*100,""""))"),"")</f>
        <v/>
      </c>
      <c r="W884" s="15" t="str">
        <f t="shared" si="5"/>
        <v/>
      </c>
    </row>
    <row r="885">
      <c r="B885" t="str">
        <f t="array" ref="B885">IFERROR(INDEX('Player Raw Data'!C:C,Match($A885,'Player Raw Data'!$B:$B,0)),"")</f>
        <v/>
      </c>
      <c r="C885" t="str">
        <f t="array" ref="C885">IFERROR(INDEX('Player Raw Data'!D:D,Match($A885,'Player Raw Data'!$B:$B,0)),"")</f>
        <v/>
      </c>
      <c r="D885" t="str">
        <f t="array" ref="D885">IFERROR(IF(A885=A884, INDEX('Player Raw Data'!E:E,Match($A885,'Player Raw Data'!$B:$B,0)+2),INDEX('Player Raw Data'!E:E,Match($A885,'Player Raw Data'!$B:$B,0))),"")</f>
        <v/>
      </c>
      <c r="E885" t="str">
        <f t="array" ref="E885">IFERROR(INDEX('Day Range Raw Data'!D:D,Match($A885,'Day Range Raw Data'!$B:$B,0)),"")</f>
        <v/>
      </c>
      <c r="F885" t="str">
        <f t="array" ref="F885">IFERROR(INDEX('Day Range Raw Data'!F:F,Match($A885,'Day Range Raw Data'!$B:$B,0)),"")</f>
        <v/>
      </c>
      <c r="G885" t="str">
        <f t="array" ref="G885">IFERROR(INDEX('Day Range Raw Data'!G:G,Match($A885,'Day Range Raw Data'!$B:$B,0)),"")</f>
        <v/>
      </c>
      <c r="H885" t="str">
        <f t="array" ref="H885">IFERROR(INDEX('Day Range Raw Data'!H:H,Match($A885,'Day Range Raw Data'!$B:$B,0)),"")</f>
        <v/>
      </c>
      <c r="I885" t="str">
        <f t="array" ref="I885">IFERROR(INDEX('Day Range Raw Data'!M:M,Match($A885,'Day Range Raw Data'!$B:$B,0)),"")</f>
        <v/>
      </c>
      <c r="J885" t="str">
        <f t="array" ref="J885">IFERROR(INDEX('Day Range Raw Data'!N:N,Match($A885,'Day Range Raw Data'!$B:$B,0)),"")</f>
        <v/>
      </c>
      <c r="K885" t="str">
        <f t="array" ref="K885">IFERROR(INDEX('Day Range Raw Data'!R:R,Match($A885,'Day Range Raw Data'!$B:$B,0)),"")</f>
        <v/>
      </c>
      <c r="L885" t="str">
        <f t="array" ref="L885">IFERROR(INDEX('Day Range Raw Data'!S:S,Match($A885,'Day Range Raw Data'!$B:$B,0)),"")</f>
        <v/>
      </c>
      <c r="M885" t="str">
        <f t="array" ref="M885">IFERROR(INDEX('Day Range Raw Data'!T:T,Match($A885,'Day Range Raw Data'!$B:$B,0)),"")</f>
        <v/>
      </c>
      <c r="N885" t="str">
        <f t="array" ref="N885">IFERROR(INDEX('Day Range Raw Data'!U:U,Match($A885,'Day Range Raw Data'!$B:$B,0)),"")</f>
        <v/>
      </c>
      <c r="O885" t="str">
        <f t="array" ref="O885">IFERROR(INDEX('Day Range Raw Data'!V:V,Match($A885,'Day Range Raw Data'!$B:$B,0)),"")</f>
        <v/>
      </c>
      <c r="P885" t="str">
        <f t="array" ref="P885">IFERROR(INDEX('Day Range Raw Data'!X:X,Match($A885,'Day Range Raw Data'!$B:$B,0)),"")</f>
        <v/>
      </c>
      <c r="Q885" t="str">
        <f t="shared" si="1"/>
        <v/>
      </c>
      <c r="R885" s="9" t="str">
        <f t="shared" si="2"/>
        <v/>
      </c>
      <c r="S885" s="14" t="str">
        <f t="shared" si="3"/>
        <v/>
      </c>
      <c r="T885" s="15" t="str">
        <f>IFERROR(__xludf.DUMMYFUNCTION("IF($A885="""","""",IFERROR(PERCENTRANK.INC(FILTER(Q:Q,$F:$F&lt;&gt;""""),Q885)*100,""""))"),"")</f>
        <v/>
      </c>
      <c r="U885" s="15" t="str">
        <f>IFERROR(__xludf.DUMMYFUNCTION("IF($A885="""","""",IFERROR(PERCENTRANK.INC(FILTER(R:R,$F:$F&lt;&gt;""""),R885)*100,""""))"),"")</f>
        <v/>
      </c>
      <c r="V885" s="15" t="str">
        <f>IFERROR(__xludf.DUMMYFUNCTION("IF($A885="""","""",IFERROR(PERCENTRANK.INC(FILTER(S:S,$F:$F&lt;&gt;""""),S885)*100,""""))"),"")</f>
        <v/>
      </c>
      <c r="W885" s="15" t="str">
        <f t="shared" si="5"/>
        <v/>
      </c>
    </row>
    <row r="886">
      <c r="B886" t="str">
        <f t="array" ref="B886">IFERROR(INDEX('Player Raw Data'!C:C,Match($A886,'Player Raw Data'!$B:$B,0)),"")</f>
        <v/>
      </c>
      <c r="C886" t="str">
        <f t="array" ref="C886">IFERROR(INDEX('Player Raw Data'!D:D,Match($A886,'Player Raw Data'!$B:$B,0)),"")</f>
        <v/>
      </c>
      <c r="D886" t="str">
        <f t="array" ref="D886">IFERROR(IF(A886=A885, INDEX('Player Raw Data'!E:E,Match($A886,'Player Raw Data'!$B:$B,0)+2),INDEX('Player Raw Data'!E:E,Match($A886,'Player Raw Data'!$B:$B,0))),"")</f>
        <v/>
      </c>
      <c r="E886" t="str">
        <f t="array" ref="E886">IFERROR(INDEX('Day Range Raw Data'!D:D,Match($A886,'Day Range Raw Data'!$B:$B,0)),"")</f>
        <v/>
      </c>
      <c r="F886" t="str">
        <f t="array" ref="F886">IFERROR(INDEX('Day Range Raw Data'!F:F,Match($A886,'Day Range Raw Data'!$B:$B,0)),"")</f>
        <v/>
      </c>
      <c r="G886" t="str">
        <f t="array" ref="G886">IFERROR(INDEX('Day Range Raw Data'!G:G,Match($A886,'Day Range Raw Data'!$B:$B,0)),"")</f>
        <v/>
      </c>
      <c r="H886" t="str">
        <f t="array" ref="H886">IFERROR(INDEX('Day Range Raw Data'!H:H,Match($A886,'Day Range Raw Data'!$B:$B,0)),"")</f>
        <v/>
      </c>
      <c r="I886" t="str">
        <f t="array" ref="I886">IFERROR(INDEX('Day Range Raw Data'!M:M,Match($A886,'Day Range Raw Data'!$B:$B,0)),"")</f>
        <v/>
      </c>
      <c r="J886" t="str">
        <f t="array" ref="J886">IFERROR(INDEX('Day Range Raw Data'!N:N,Match($A886,'Day Range Raw Data'!$B:$B,0)),"")</f>
        <v/>
      </c>
      <c r="K886" t="str">
        <f t="array" ref="K886">IFERROR(INDEX('Day Range Raw Data'!R:R,Match($A886,'Day Range Raw Data'!$B:$B,0)),"")</f>
        <v/>
      </c>
      <c r="L886" t="str">
        <f t="array" ref="L886">IFERROR(INDEX('Day Range Raw Data'!S:S,Match($A886,'Day Range Raw Data'!$B:$B,0)),"")</f>
        <v/>
      </c>
      <c r="M886" t="str">
        <f t="array" ref="M886">IFERROR(INDEX('Day Range Raw Data'!T:T,Match($A886,'Day Range Raw Data'!$B:$B,0)),"")</f>
        <v/>
      </c>
      <c r="N886" t="str">
        <f t="array" ref="N886">IFERROR(INDEX('Day Range Raw Data'!U:U,Match($A886,'Day Range Raw Data'!$B:$B,0)),"")</f>
        <v/>
      </c>
      <c r="O886" t="str">
        <f t="array" ref="O886">IFERROR(INDEX('Day Range Raw Data'!V:V,Match($A886,'Day Range Raw Data'!$B:$B,0)),"")</f>
        <v/>
      </c>
      <c r="P886" t="str">
        <f t="array" ref="P886">IFERROR(INDEX('Day Range Raw Data'!X:X,Match($A886,'Day Range Raw Data'!$B:$B,0)),"")</f>
        <v/>
      </c>
      <c r="Q886" t="str">
        <f t="shared" si="1"/>
        <v/>
      </c>
      <c r="R886" s="9" t="str">
        <f t="shared" si="2"/>
        <v/>
      </c>
      <c r="S886" s="14" t="str">
        <f t="shared" si="3"/>
        <v/>
      </c>
      <c r="T886" s="15" t="str">
        <f>IFERROR(__xludf.DUMMYFUNCTION("IF($A886="""","""",IFERROR(PERCENTRANK.INC(FILTER(Q:Q,$F:$F&lt;&gt;""""),Q886)*100,""""))"),"")</f>
        <v/>
      </c>
      <c r="U886" s="15" t="str">
        <f>IFERROR(__xludf.DUMMYFUNCTION("IF($A886="""","""",IFERROR(PERCENTRANK.INC(FILTER(R:R,$F:$F&lt;&gt;""""),R886)*100,""""))"),"")</f>
        <v/>
      </c>
      <c r="V886" s="15" t="str">
        <f>IFERROR(__xludf.DUMMYFUNCTION("IF($A886="""","""",IFERROR(PERCENTRANK.INC(FILTER(S:S,$F:$F&lt;&gt;""""),S886)*100,""""))"),"")</f>
        <v/>
      </c>
      <c r="W886" s="15" t="str">
        <f t="shared" si="5"/>
        <v/>
      </c>
    </row>
    <row r="887">
      <c r="B887" t="str">
        <f t="array" ref="B887">IFERROR(INDEX('Player Raw Data'!C:C,Match($A887,'Player Raw Data'!$B:$B,0)),"")</f>
        <v/>
      </c>
      <c r="C887" t="str">
        <f t="array" ref="C887">IFERROR(INDEX('Player Raw Data'!D:D,Match($A887,'Player Raw Data'!$B:$B,0)),"")</f>
        <v/>
      </c>
      <c r="D887" t="str">
        <f t="array" ref="D887">IFERROR(IF(A887=A886, INDEX('Player Raw Data'!E:E,Match($A887,'Player Raw Data'!$B:$B,0)+2),INDEX('Player Raw Data'!E:E,Match($A887,'Player Raw Data'!$B:$B,0))),"")</f>
        <v/>
      </c>
      <c r="E887" t="str">
        <f t="array" ref="E887">IFERROR(INDEX('Day Range Raw Data'!D:D,Match($A887,'Day Range Raw Data'!$B:$B,0)),"")</f>
        <v/>
      </c>
      <c r="F887" t="str">
        <f t="array" ref="F887">IFERROR(INDEX('Day Range Raw Data'!F:F,Match($A887,'Day Range Raw Data'!$B:$B,0)),"")</f>
        <v/>
      </c>
      <c r="G887" t="str">
        <f t="array" ref="G887">IFERROR(INDEX('Day Range Raw Data'!G:G,Match($A887,'Day Range Raw Data'!$B:$B,0)),"")</f>
        <v/>
      </c>
      <c r="H887" t="str">
        <f t="array" ref="H887">IFERROR(INDEX('Day Range Raw Data'!H:H,Match($A887,'Day Range Raw Data'!$B:$B,0)),"")</f>
        <v/>
      </c>
      <c r="I887" t="str">
        <f t="array" ref="I887">IFERROR(INDEX('Day Range Raw Data'!M:M,Match($A887,'Day Range Raw Data'!$B:$B,0)),"")</f>
        <v/>
      </c>
      <c r="J887" t="str">
        <f t="array" ref="J887">IFERROR(INDEX('Day Range Raw Data'!N:N,Match($A887,'Day Range Raw Data'!$B:$B,0)),"")</f>
        <v/>
      </c>
      <c r="K887" t="str">
        <f t="array" ref="K887">IFERROR(INDEX('Day Range Raw Data'!R:R,Match($A887,'Day Range Raw Data'!$B:$B,0)),"")</f>
        <v/>
      </c>
      <c r="L887" t="str">
        <f t="array" ref="L887">IFERROR(INDEX('Day Range Raw Data'!S:S,Match($A887,'Day Range Raw Data'!$B:$B,0)),"")</f>
        <v/>
      </c>
      <c r="M887" t="str">
        <f t="array" ref="M887">IFERROR(INDEX('Day Range Raw Data'!T:T,Match($A887,'Day Range Raw Data'!$B:$B,0)),"")</f>
        <v/>
      </c>
      <c r="N887" t="str">
        <f t="array" ref="N887">IFERROR(INDEX('Day Range Raw Data'!U:U,Match($A887,'Day Range Raw Data'!$B:$B,0)),"")</f>
        <v/>
      </c>
      <c r="O887" t="str">
        <f t="array" ref="O887">IFERROR(INDEX('Day Range Raw Data'!V:V,Match($A887,'Day Range Raw Data'!$B:$B,0)),"")</f>
        <v/>
      </c>
      <c r="P887" t="str">
        <f t="array" ref="P887">IFERROR(INDEX('Day Range Raw Data'!X:X,Match($A887,'Day Range Raw Data'!$B:$B,0)),"")</f>
        <v/>
      </c>
      <c r="Q887" t="str">
        <f t="shared" si="1"/>
        <v/>
      </c>
      <c r="R887" s="9" t="str">
        <f t="shared" si="2"/>
        <v/>
      </c>
      <c r="S887" s="14" t="str">
        <f t="shared" si="3"/>
        <v/>
      </c>
      <c r="T887" s="15" t="str">
        <f>IFERROR(__xludf.DUMMYFUNCTION("IF($A887="""","""",IFERROR(PERCENTRANK.INC(FILTER(Q:Q,$F:$F&lt;&gt;""""),Q887)*100,""""))"),"")</f>
        <v/>
      </c>
      <c r="U887" s="15" t="str">
        <f>IFERROR(__xludf.DUMMYFUNCTION("IF($A887="""","""",IFERROR(PERCENTRANK.INC(FILTER(R:R,$F:$F&lt;&gt;""""),R887)*100,""""))"),"")</f>
        <v/>
      </c>
      <c r="V887" s="15" t="str">
        <f>IFERROR(__xludf.DUMMYFUNCTION("IF($A887="""","""",IFERROR(PERCENTRANK.INC(FILTER(S:S,$F:$F&lt;&gt;""""),S887)*100,""""))"),"")</f>
        <v/>
      </c>
      <c r="W887" s="15" t="str">
        <f t="shared" si="5"/>
        <v/>
      </c>
    </row>
    <row r="888">
      <c r="B888" t="str">
        <f t="array" ref="B888">IFERROR(INDEX('Player Raw Data'!C:C,Match($A888,'Player Raw Data'!$B:$B,0)),"")</f>
        <v/>
      </c>
      <c r="C888" t="str">
        <f t="array" ref="C888">IFERROR(INDEX('Player Raw Data'!D:D,Match($A888,'Player Raw Data'!$B:$B,0)),"")</f>
        <v/>
      </c>
      <c r="D888" t="str">
        <f t="array" ref="D888">IFERROR(IF(A888=A887, INDEX('Player Raw Data'!E:E,Match($A888,'Player Raw Data'!$B:$B,0)+2),INDEX('Player Raw Data'!E:E,Match($A888,'Player Raw Data'!$B:$B,0))),"")</f>
        <v/>
      </c>
      <c r="E888" t="str">
        <f t="array" ref="E888">IFERROR(INDEX('Day Range Raw Data'!D:D,Match($A888,'Day Range Raw Data'!$B:$B,0)),"")</f>
        <v/>
      </c>
      <c r="F888" t="str">
        <f t="array" ref="F888">IFERROR(INDEX('Day Range Raw Data'!F:F,Match($A888,'Day Range Raw Data'!$B:$B,0)),"")</f>
        <v/>
      </c>
      <c r="G888" t="str">
        <f t="array" ref="G888">IFERROR(INDEX('Day Range Raw Data'!G:G,Match($A888,'Day Range Raw Data'!$B:$B,0)),"")</f>
        <v/>
      </c>
      <c r="H888" t="str">
        <f t="array" ref="H888">IFERROR(INDEX('Day Range Raw Data'!H:H,Match($A888,'Day Range Raw Data'!$B:$B,0)),"")</f>
        <v/>
      </c>
      <c r="I888" t="str">
        <f t="array" ref="I888">IFERROR(INDEX('Day Range Raw Data'!M:M,Match($A888,'Day Range Raw Data'!$B:$B,0)),"")</f>
        <v/>
      </c>
      <c r="J888" t="str">
        <f t="array" ref="J888">IFERROR(INDEX('Day Range Raw Data'!N:N,Match($A888,'Day Range Raw Data'!$B:$B,0)),"")</f>
        <v/>
      </c>
      <c r="K888" t="str">
        <f t="array" ref="K888">IFERROR(INDEX('Day Range Raw Data'!R:R,Match($A888,'Day Range Raw Data'!$B:$B,0)),"")</f>
        <v/>
      </c>
      <c r="L888" t="str">
        <f t="array" ref="L888">IFERROR(INDEX('Day Range Raw Data'!S:S,Match($A888,'Day Range Raw Data'!$B:$B,0)),"")</f>
        <v/>
      </c>
      <c r="M888" t="str">
        <f t="array" ref="M888">IFERROR(INDEX('Day Range Raw Data'!T:T,Match($A888,'Day Range Raw Data'!$B:$B,0)),"")</f>
        <v/>
      </c>
      <c r="N888" t="str">
        <f t="array" ref="N888">IFERROR(INDEX('Day Range Raw Data'!U:U,Match($A888,'Day Range Raw Data'!$B:$B,0)),"")</f>
        <v/>
      </c>
      <c r="O888" t="str">
        <f t="array" ref="O888">IFERROR(INDEX('Day Range Raw Data'!V:V,Match($A888,'Day Range Raw Data'!$B:$B,0)),"")</f>
        <v/>
      </c>
      <c r="P888" t="str">
        <f t="array" ref="P888">IFERROR(INDEX('Day Range Raw Data'!X:X,Match($A888,'Day Range Raw Data'!$B:$B,0)),"")</f>
        <v/>
      </c>
      <c r="Q888" t="str">
        <f t="shared" si="1"/>
        <v/>
      </c>
      <c r="R888" s="9" t="str">
        <f t="shared" si="2"/>
        <v/>
      </c>
      <c r="S888" s="14" t="str">
        <f t="shared" si="3"/>
        <v/>
      </c>
      <c r="T888" s="15" t="str">
        <f>IFERROR(__xludf.DUMMYFUNCTION("IF($A888="""","""",IFERROR(PERCENTRANK.INC(FILTER(Q:Q,$F:$F&lt;&gt;""""),Q888)*100,""""))"),"")</f>
        <v/>
      </c>
      <c r="U888" s="15" t="str">
        <f>IFERROR(__xludf.DUMMYFUNCTION("IF($A888="""","""",IFERROR(PERCENTRANK.INC(FILTER(R:R,$F:$F&lt;&gt;""""),R888)*100,""""))"),"")</f>
        <v/>
      </c>
      <c r="V888" s="15" t="str">
        <f>IFERROR(__xludf.DUMMYFUNCTION("IF($A888="""","""",IFERROR(PERCENTRANK.INC(FILTER(S:S,$F:$F&lt;&gt;""""),S888)*100,""""))"),"")</f>
        <v/>
      </c>
      <c r="W888" s="15" t="str">
        <f t="shared" si="5"/>
        <v/>
      </c>
    </row>
    <row r="889">
      <c r="B889" t="str">
        <f t="array" ref="B889">IFERROR(INDEX('Player Raw Data'!C:C,Match($A889,'Player Raw Data'!$B:$B,0)),"")</f>
        <v/>
      </c>
      <c r="C889" t="str">
        <f t="array" ref="C889">IFERROR(INDEX('Player Raw Data'!D:D,Match($A889,'Player Raw Data'!$B:$B,0)),"")</f>
        <v/>
      </c>
      <c r="D889" t="str">
        <f t="array" ref="D889">IFERROR(IF(A889=A888, INDEX('Player Raw Data'!E:E,Match($A889,'Player Raw Data'!$B:$B,0)+2),INDEX('Player Raw Data'!E:E,Match($A889,'Player Raw Data'!$B:$B,0))),"")</f>
        <v/>
      </c>
      <c r="E889" t="str">
        <f t="array" ref="E889">IFERROR(INDEX('Day Range Raw Data'!D:D,Match($A889,'Day Range Raw Data'!$B:$B,0)),"")</f>
        <v/>
      </c>
      <c r="F889" t="str">
        <f t="array" ref="F889">IFERROR(INDEX('Day Range Raw Data'!F:F,Match($A889,'Day Range Raw Data'!$B:$B,0)),"")</f>
        <v/>
      </c>
      <c r="G889" t="str">
        <f t="array" ref="G889">IFERROR(INDEX('Day Range Raw Data'!G:G,Match($A889,'Day Range Raw Data'!$B:$B,0)),"")</f>
        <v/>
      </c>
      <c r="H889" t="str">
        <f t="array" ref="H889">IFERROR(INDEX('Day Range Raw Data'!H:H,Match($A889,'Day Range Raw Data'!$B:$B,0)),"")</f>
        <v/>
      </c>
      <c r="I889" t="str">
        <f t="array" ref="I889">IFERROR(INDEX('Day Range Raw Data'!M:M,Match($A889,'Day Range Raw Data'!$B:$B,0)),"")</f>
        <v/>
      </c>
      <c r="J889" t="str">
        <f t="array" ref="J889">IFERROR(INDEX('Day Range Raw Data'!N:N,Match($A889,'Day Range Raw Data'!$B:$B,0)),"")</f>
        <v/>
      </c>
      <c r="K889" t="str">
        <f t="array" ref="K889">IFERROR(INDEX('Day Range Raw Data'!R:R,Match($A889,'Day Range Raw Data'!$B:$B,0)),"")</f>
        <v/>
      </c>
      <c r="L889" t="str">
        <f t="array" ref="L889">IFERROR(INDEX('Day Range Raw Data'!S:S,Match($A889,'Day Range Raw Data'!$B:$B,0)),"")</f>
        <v/>
      </c>
      <c r="M889" t="str">
        <f t="array" ref="M889">IFERROR(INDEX('Day Range Raw Data'!T:T,Match($A889,'Day Range Raw Data'!$B:$B,0)),"")</f>
        <v/>
      </c>
      <c r="N889" t="str">
        <f t="array" ref="N889">IFERROR(INDEX('Day Range Raw Data'!U:U,Match($A889,'Day Range Raw Data'!$B:$B,0)),"")</f>
        <v/>
      </c>
      <c r="O889" t="str">
        <f t="array" ref="O889">IFERROR(INDEX('Day Range Raw Data'!V:V,Match($A889,'Day Range Raw Data'!$B:$B,0)),"")</f>
        <v/>
      </c>
      <c r="P889" t="str">
        <f t="array" ref="P889">IFERROR(INDEX('Day Range Raw Data'!X:X,Match($A889,'Day Range Raw Data'!$B:$B,0)),"")</f>
        <v/>
      </c>
      <c r="Q889" t="str">
        <f t="shared" si="1"/>
        <v/>
      </c>
      <c r="R889" s="9" t="str">
        <f t="shared" si="2"/>
        <v/>
      </c>
      <c r="S889" s="14" t="str">
        <f t="shared" si="3"/>
        <v/>
      </c>
      <c r="T889" s="15" t="str">
        <f>IFERROR(__xludf.DUMMYFUNCTION("IF($A889="""","""",IFERROR(PERCENTRANK.INC(FILTER(Q:Q,$F:$F&lt;&gt;""""),Q889)*100,""""))"),"")</f>
        <v/>
      </c>
      <c r="U889" s="15" t="str">
        <f>IFERROR(__xludf.DUMMYFUNCTION("IF($A889="""","""",IFERROR(PERCENTRANK.INC(FILTER(R:R,$F:$F&lt;&gt;""""),R889)*100,""""))"),"")</f>
        <v/>
      </c>
      <c r="V889" s="15" t="str">
        <f>IFERROR(__xludf.DUMMYFUNCTION("IF($A889="""","""",IFERROR(PERCENTRANK.INC(FILTER(S:S,$F:$F&lt;&gt;""""),S889)*100,""""))"),"")</f>
        <v/>
      </c>
      <c r="W889" s="15" t="str">
        <f t="shared" si="5"/>
        <v/>
      </c>
    </row>
    <row r="890">
      <c r="B890" t="str">
        <f t="array" ref="B890">IFERROR(INDEX('Player Raw Data'!C:C,Match($A890,'Player Raw Data'!$B:$B,0)),"")</f>
        <v/>
      </c>
      <c r="C890" t="str">
        <f t="array" ref="C890">IFERROR(INDEX('Player Raw Data'!D:D,Match($A890,'Player Raw Data'!$B:$B,0)),"")</f>
        <v/>
      </c>
      <c r="D890" t="str">
        <f t="array" ref="D890">IFERROR(IF(A890=A889, INDEX('Player Raw Data'!E:E,Match($A890,'Player Raw Data'!$B:$B,0)+2),INDEX('Player Raw Data'!E:E,Match($A890,'Player Raw Data'!$B:$B,0))),"")</f>
        <v/>
      </c>
      <c r="E890" t="str">
        <f t="array" ref="E890">IFERROR(INDEX('Day Range Raw Data'!D:D,Match($A890,'Day Range Raw Data'!$B:$B,0)),"")</f>
        <v/>
      </c>
      <c r="F890" t="str">
        <f t="array" ref="F890">IFERROR(INDEX('Day Range Raw Data'!F:F,Match($A890,'Day Range Raw Data'!$B:$B,0)),"")</f>
        <v/>
      </c>
      <c r="G890" t="str">
        <f t="array" ref="G890">IFERROR(INDEX('Day Range Raw Data'!G:G,Match($A890,'Day Range Raw Data'!$B:$B,0)),"")</f>
        <v/>
      </c>
      <c r="H890" t="str">
        <f t="array" ref="H890">IFERROR(INDEX('Day Range Raw Data'!H:H,Match($A890,'Day Range Raw Data'!$B:$B,0)),"")</f>
        <v/>
      </c>
      <c r="I890" t="str">
        <f t="array" ref="I890">IFERROR(INDEX('Day Range Raw Data'!M:M,Match($A890,'Day Range Raw Data'!$B:$B,0)),"")</f>
        <v/>
      </c>
      <c r="J890" t="str">
        <f t="array" ref="J890">IFERROR(INDEX('Day Range Raw Data'!N:N,Match($A890,'Day Range Raw Data'!$B:$B,0)),"")</f>
        <v/>
      </c>
      <c r="K890" t="str">
        <f t="array" ref="K890">IFERROR(INDEX('Day Range Raw Data'!R:R,Match($A890,'Day Range Raw Data'!$B:$B,0)),"")</f>
        <v/>
      </c>
      <c r="L890" t="str">
        <f t="array" ref="L890">IFERROR(INDEX('Day Range Raw Data'!S:S,Match($A890,'Day Range Raw Data'!$B:$B,0)),"")</f>
        <v/>
      </c>
      <c r="M890" t="str">
        <f t="array" ref="M890">IFERROR(INDEX('Day Range Raw Data'!T:T,Match($A890,'Day Range Raw Data'!$B:$B,0)),"")</f>
        <v/>
      </c>
      <c r="N890" t="str">
        <f t="array" ref="N890">IFERROR(INDEX('Day Range Raw Data'!U:U,Match($A890,'Day Range Raw Data'!$B:$B,0)),"")</f>
        <v/>
      </c>
      <c r="O890" t="str">
        <f t="array" ref="O890">IFERROR(INDEX('Day Range Raw Data'!V:V,Match($A890,'Day Range Raw Data'!$B:$B,0)),"")</f>
        <v/>
      </c>
      <c r="P890" t="str">
        <f t="array" ref="P890">IFERROR(INDEX('Day Range Raw Data'!X:X,Match($A890,'Day Range Raw Data'!$B:$B,0)),"")</f>
        <v/>
      </c>
      <c r="Q890" t="str">
        <f t="shared" si="1"/>
        <v/>
      </c>
      <c r="R890" s="9" t="str">
        <f t="shared" si="2"/>
        <v/>
      </c>
      <c r="S890" s="14" t="str">
        <f t="shared" si="3"/>
        <v/>
      </c>
      <c r="T890" s="15" t="str">
        <f>IFERROR(__xludf.DUMMYFUNCTION("IF($A890="""","""",IFERROR(PERCENTRANK.INC(FILTER(Q:Q,$F:$F&lt;&gt;""""),Q890)*100,""""))"),"")</f>
        <v/>
      </c>
      <c r="U890" s="15" t="str">
        <f>IFERROR(__xludf.DUMMYFUNCTION("IF($A890="""","""",IFERROR(PERCENTRANK.INC(FILTER(R:R,$F:$F&lt;&gt;""""),R890)*100,""""))"),"")</f>
        <v/>
      </c>
      <c r="V890" s="15" t="str">
        <f>IFERROR(__xludf.DUMMYFUNCTION("IF($A890="""","""",IFERROR(PERCENTRANK.INC(FILTER(S:S,$F:$F&lt;&gt;""""),S890)*100,""""))"),"")</f>
        <v/>
      </c>
      <c r="W890" s="15" t="str">
        <f t="shared" si="5"/>
        <v/>
      </c>
    </row>
    <row r="891">
      <c r="B891" t="str">
        <f t="array" ref="B891">IFERROR(INDEX('Player Raw Data'!C:C,Match($A891,'Player Raw Data'!$B:$B,0)),"")</f>
        <v/>
      </c>
      <c r="C891" t="str">
        <f t="array" ref="C891">IFERROR(INDEX('Player Raw Data'!D:D,Match($A891,'Player Raw Data'!$B:$B,0)),"")</f>
        <v/>
      </c>
      <c r="D891" t="str">
        <f t="array" ref="D891">IFERROR(IF(A891=A890, INDEX('Player Raw Data'!E:E,Match($A891,'Player Raw Data'!$B:$B,0)+2),INDEX('Player Raw Data'!E:E,Match($A891,'Player Raw Data'!$B:$B,0))),"")</f>
        <v/>
      </c>
      <c r="E891" t="str">
        <f t="array" ref="E891">IFERROR(INDEX('Day Range Raw Data'!D:D,Match($A891,'Day Range Raw Data'!$B:$B,0)),"")</f>
        <v/>
      </c>
      <c r="F891" t="str">
        <f t="array" ref="F891">IFERROR(INDEX('Day Range Raw Data'!F:F,Match($A891,'Day Range Raw Data'!$B:$B,0)),"")</f>
        <v/>
      </c>
      <c r="G891" t="str">
        <f t="array" ref="G891">IFERROR(INDEX('Day Range Raw Data'!G:G,Match($A891,'Day Range Raw Data'!$B:$B,0)),"")</f>
        <v/>
      </c>
      <c r="H891" t="str">
        <f t="array" ref="H891">IFERROR(INDEX('Day Range Raw Data'!H:H,Match($A891,'Day Range Raw Data'!$B:$B,0)),"")</f>
        <v/>
      </c>
      <c r="I891" t="str">
        <f t="array" ref="I891">IFERROR(INDEX('Day Range Raw Data'!M:M,Match($A891,'Day Range Raw Data'!$B:$B,0)),"")</f>
        <v/>
      </c>
      <c r="J891" t="str">
        <f t="array" ref="J891">IFERROR(INDEX('Day Range Raw Data'!N:N,Match($A891,'Day Range Raw Data'!$B:$B,0)),"")</f>
        <v/>
      </c>
      <c r="K891" t="str">
        <f t="array" ref="K891">IFERROR(INDEX('Day Range Raw Data'!R:R,Match($A891,'Day Range Raw Data'!$B:$B,0)),"")</f>
        <v/>
      </c>
      <c r="L891" t="str">
        <f t="array" ref="L891">IFERROR(INDEX('Day Range Raw Data'!S:S,Match($A891,'Day Range Raw Data'!$B:$B,0)),"")</f>
        <v/>
      </c>
      <c r="M891" t="str">
        <f t="array" ref="M891">IFERROR(INDEX('Day Range Raw Data'!T:T,Match($A891,'Day Range Raw Data'!$B:$B,0)),"")</f>
        <v/>
      </c>
      <c r="N891" t="str">
        <f t="array" ref="N891">IFERROR(INDEX('Day Range Raw Data'!U:U,Match($A891,'Day Range Raw Data'!$B:$B,0)),"")</f>
        <v/>
      </c>
      <c r="O891" t="str">
        <f t="array" ref="O891">IFERROR(INDEX('Day Range Raw Data'!V:V,Match($A891,'Day Range Raw Data'!$B:$B,0)),"")</f>
        <v/>
      </c>
      <c r="P891" t="str">
        <f t="array" ref="P891">IFERROR(INDEX('Day Range Raw Data'!X:X,Match($A891,'Day Range Raw Data'!$B:$B,0)),"")</f>
        <v/>
      </c>
      <c r="Q891" t="str">
        <f t="shared" si="1"/>
        <v/>
      </c>
      <c r="R891" s="9" t="str">
        <f t="shared" si="2"/>
        <v/>
      </c>
      <c r="S891" s="14" t="str">
        <f t="shared" si="3"/>
        <v/>
      </c>
      <c r="T891" s="15" t="str">
        <f>IFERROR(__xludf.DUMMYFUNCTION("IF($A891="""","""",IFERROR(PERCENTRANK.INC(FILTER(Q:Q,$F:$F&lt;&gt;""""),Q891)*100,""""))"),"")</f>
        <v/>
      </c>
      <c r="U891" s="15" t="str">
        <f>IFERROR(__xludf.DUMMYFUNCTION("IF($A891="""","""",IFERROR(PERCENTRANK.INC(FILTER(R:R,$F:$F&lt;&gt;""""),R891)*100,""""))"),"")</f>
        <v/>
      </c>
      <c r="V891" s="15" t="str">
        <f>IFERROR(__xludf.DUMMYFUNCTION("IF($A891="""","""",IFERROR(PERCENTRANK.INC(FILTER(S:S,$F:$F&lt;&gt;""""),S891)*100,""""))"),"")</f>
        <v/>
      </c>
      <c r="W891" s="15" t="str">
        <f t="shared" si="5"/>
        <v/>
      </c>
    </row>
    <row r="892">
      <c r="B892" t="str">
        <f t="array" ref="B892">IFERROR(INDEX('Player Raw Data'!C:C,Match($A892,'Player Raw Data'!$B:$B,0)),"")</f>
        <v/>
      </c>
      <c r="C892" t="str">
        <f t="array" ref="C892">IFERROR(INDEX('Player Raw Data'!D:D,Match($A892,'Player Raw Data'!$B:$B,0)),"")</f>
        <v/>
      </c>
      <c r="D892" t="str">
        <f t="array" ref="D892">IFERROR(IF(A892=A891, INDEX('Player Raw Data'!E:E,Match($A892,'Player Raw Data'!$B:$B,0)+2),INDEX('Player Raw Data'!E:E,Match($A892,'Player Raw Data'!$B:$B,0))),"")</f>
        <v/>
      </c>
      <c r="E892" t="str">
        <f t="array" ref="E892">IFERROR(INDEX('Day Range Raw Data'!D:D,Match($A892,'Day Range Raw Data'!$B:$B,0)),"")</f>
        <v/>
      </c>
      <c r="F892" t="str">
        <f t="array" ref="F892">IFERROR(INDEX('Day Range Raw Data'!F:F,Match($A892,'Day Range Raw Data'!$B:$B,0)),"")</f>
        <v/>
      </c>
      <c r="G892" t="str">
        <f t="array" ref="G892">IFERROR(INDEX('Day Range Raw Data'!G:G,Match($A892,'Day Range Raw Data'!$B:$B,0)),"")</f>
        <v/>
      </c>
      <c r="H892" t="str">
        <f t="array" ref="H892">IFERROR(INDEX('Day Range Raw Data'!H:H,Match($A892,'Day Range Raw Data'!$B:$B,0)),"")</f>
        <v/>
      </c>
      <c r="I892" t="str">
        <f t="array" ref="I892">IFERROR(INDEX('Day Range Raw Data'!M:M,Match($A892,'Day Range Raw Data'!$B:$B,0)),"")</f>
        <v/>
      </c>
      <c r="J892" t="str">
        <f t="array" ref="J892">IFERROR(INDEX('Day Range Raw Data'!N:N,Match($A892,'Day Range Raw Data'!$B:$B,0)),"")</f>
        <v/>
      </c>
      <c r="K892" t="str">
        <f t="array" ref="K892">IFERROR(INDEX('Day Range Raw Data'!R:R,Match($A892,'Day Range Raw Data'!$B:$B,0)),"")</f>
        <v/>
      </c>
      <c r="L892" t="str">
        <f t="array" ref="L892">IFERROR(INDEX('Day Range Raw Data'!S:S,Match($A892,'Day Range Raw Data'!$B:$B,0)),"")</f>
        <v/>
      </c>
      <c r="M892" t="str">
        <f t="array" ref="M892">IFERROR(INDEX('Day Range Raw Data'!T:T,Match($A892,'Day Range Raw Data'!$B:$B,0)),"")</f>
        <v/>
      </c>
      <c r="N892" t="str">
        <f t="array" ref="N892">IFERROR(INDEX('Day Range Raw Data'!U:U,Match($A892,'Day Range Raw Data'!$B:$B,0)),"")</f>
        <v/>
      </c>
      <c r="O892" t="str">
        <f t="array" ref="O892">IFERROR(INDEX('Day Range Raw Data'!V:V,Match($A892,'Day Range Raw Data'!$B:$B,0)),"")</f>
        <v/>
      </c>
      <c r="P892" t="str">
        <f t="array" ref="P892">IFERROR(INDEX('Day Range Raw Data'!X:X,Match($A892,'Day Range Raw Data'!$B:$B,0)),"")</f>
        <v/>
      </c>
      <c r="Q892" t="str">
        <f t="shared" si="1"/>
        <v/>
      </c>
      <c r="R892" s="9" t="str">
        <f t="shared" si="2"/>
        <v/>
      </c>
      <c r="S892" s="14" t="str">
        <f t="shared" si="3"/>
        <v/>
      </c>
      <c r="T892" s="15" t="str">
        <f>IFERROR(__xludf.DUMMYFUNCTION("IF($A892="""","""",IFERROR(PERCENTRANK.INC(FILTER(Q:Q,$F:$F&lt;&gt;""""),Q892)*100,""""))"),"")</f>
        <v/>
      </c>
      <c r="U892" s="15" t="str">
        <f>IFERROR(__xludf.DUMMYFUNCTION("IF($A892="""","""",IFERROR(PERCENTRANK.INC(FILTER(R:R,$F:$F&lt;&gt;""""),R892)*100,""""))"),"")</f>
        <v/>
      </c>
      <c r="V892" s="15" t="str">
        <f>IFERROR(__xludf.DUMMYFUNCTION("IF($A892="""","""",IFERROR(PERCENTRANK.INC(FILTER(S:S,$F:$F&lt;&gt;""""),S892)*100,""""))"),"")</f>
        <v/>
      </c>
      <c r="W892" s="15" t="str">
        <f t="shared" si="5"/>
        <v/>
      </c>
    </row>
    <row r="893">
      <c r="B893" t="str">
        <f t="array" ref="B893">IFERROR(INDEX('Player Raw Data'!C:C,Match($A893,'Player Raw Data'!$B:$B,0)),"")</f>
        <v/>
      </c>
      <c r="C893" t="str">
        <f t="array" ref="C893">IFERROR(INDEX('Player Raw Data'!D:D,Match($A893,'Player Raw Data'!$B:$B,0)),"")</f>
        <v/>
      </c>
      <c r="D893" t="str">
        <f t="array" ref="D893">IFERROR(IF(A893=A892, INDEX('Player Raw Data'!E:E,Match($A893,'Player Raw Data'!$B:$B,0)+2),INDEX('Player Raw Data'!E:E,Match($A893,'Player Raw Data'!$B:$B,0))),"")</f>
        <v/>
      </c>
      <c r="E893" t="str">
        <f t="array" ref="E893">IFERROR(INDEX('Day Range Raw Data'!D:D,Match($A893,'Day Range Raw Data'!$B:$B,0)),"")</f>
        <v/>
      </c>
      <c r="F893" t="str">
        <f t="array" ref="F893">IFERROR(INDEX('Day Range Raw Data'!F:F,Match($A893,'Day Range Raw Data'!$B:$B,0)),"")</f>
        <v/>
      </c>
      <c r="G893" t="str">
        <f t="array" ref="G893">IFERROR(INDEX('Day Range Raw Data'!G:G,Match($A893,'Day Range Raw Data'!$B:$B,0)),"")</f>
        <v/>
      </c>
      <c r="H893" t="str">
        <f t="array" ref="H893">IFERROR(INDEX('Day Range Raw Data'!H:H,Match($A893,'Day Range Raw Data'!$B:$B,0)),"")</f>
        <v/>
      </c>
      <c r="I893" t="str">
        <f t="array" ref="I893">IFERROR(INDEX('Day Range Raw Data'!M:M,Match($A893,'Day Range Raw Data'!$B:$B,0)),"")</f>
        <v/>
      </c>
      <c r="J893" t="str">
        <f t="array" ref="J893">IFERROR(INDEX('Day Range Raw Data'!N:N,Match($A893,'Day Range Raw Data'!$B:$B,0)),"")</f>
        <v/>
      </c>
      <c r="K893" t="str">
        <f t="array" ref="K893">IFERROR(INDEX('Day Range Raw Data'!R:R,Match($A893,'Day Range Raw Data'!$B:$B,0)),"")</f>
        <v/>
      </c>
      <c r="L893" t="str">
        <f t="array" ref="L893">IFERROR(INDEX('Day Range Raw Data'!S:S,Match($A893,'Day Range Raw Data'!$B:$B,0)),"")</f>
        <v/>
      </c>
      <c r="M893" t="str">
        <f t="array" ref="M893">IFERROR(INDEX('Day Range Raw Data'!T:T,Match($A893,'Day Range Raw Data'!$B:$B,0)),"")</f>
        <v/>
      </c>
      <c r="N893" t="str">
        <f t="array" ref="N893">IFERROR(INDEX('Day Range Raw Data'!U:U,Match($A893,'Day Range Raw Data'!$B:$B,0)),"")</f>
        <v/>
      </c>
      <c r="O893" t="str">
        <f t="array" ref="O893">IFERROR(INDEX('Day Range Raw Data'!V:V,Match($A893,'Day Range Raw Data'!$B:$B,0)),"")</f>
        <v/>
      </c>
      <c r="P893" t="str">
        <f t="array" ref="P893">IFERROR(INDEX('Day Range Raw Data'!X:X,Match($A893,'Day Range Raw Data'!$B:$B,0)),"")</f>
        <v/>
      </c>
      <c r="Q893" t="str">
        <f t="shared" si="1"/>
        <v/>
      </c>
      <c r="R893" s="9" t="str">
        <f t="shared" si="2"/>
        <v/>
      </c>
      <c r="S893" s="14" t="str">
        <f t="shared" si="3"/>
        <v/>
      </c>
      <c r="T893" s="15" t="str">
        <f>IFERROR(__xludf.DUMMYFUNCTION("IF($A893="""","""",IFERROR(PERCENTRANK.INC(FILTER(Q:Q,$F:$F&lt;&gt;""""),Q893)*100,""""))"),"")</f>
        <v/>
      </c>
      <c r="U893" s="15" t="str">
        <f>IFERROR(__xludf.DUMMYFUNCTION("IF($A893="""","""",IFERROR(PERCENTRANK.INC(FILTER(R:R,$F:$F&lt;&gt;""""),R893)*100,""""))"),"")</f>
        <v/>
      </c>
      <c r="V893" s="15" t="str">
        <f>IFERROR(__xludf.DUMMYFUNCTION("IF($A893="""","""",IFERROR(PERCENTRANK.INC(FILTER(S:S,$F:$F&lt;&gt;""""),S893)*100,""""))"),"")</f>
        <v/>
      </c>
      <c r="W893" s="15" t="str">
        <f t="shared" si="5"/>
        <v/>
      </c>
    </row>
    <row r="894">
      <c r="B894" t="str">
        <f t="array" ref="B894">IFERROR(INDEX('Player Raw Data'!C:C,Match($A894,'Player Raw Data'!$B:$B,0)),"")</f>
        <v/>
      </c>
      <c r="C894" t="str">
        <f t="array" ref="C894">IFERROR(INDEX('Player Raw Data'!D:D,Match($A894,'Player Raw Data'!$B:$B,0)),"")</f>
        <v/>
      </c>
      <c r="D894" t="str">
        <f t="array" ref="D894">IFERROR(IF(A894=A893, INDEX('Player Raw Data'!E:E,Match($A894,'Player Raw Data'!$B:$B,0)+2),INDEX('Player Raw Data'!E:E,Match($A894,'Player Raw Data'!$B:$B,0))),"")</f>
        <v/>
      </c>
      <c r="E894" t="str">
        <f t="array" ref="E894">IFERROR(INDEX('Day Range Raw Data'!D:D,Match($A894,'Day Range Raw Data'!$B:$B,0)),"")</f>
        <v/>
      </c>
      <c r="F894" t="str">
        <f t="array" ref="F894">IFERROR(INDEX('Day Range Raw Data'!F:F,Match($A894,'Day Range Raw Data'!$B:$B,0)),"")</f>
        <v/>
      </c>
      <c r="G894" t="str">
        <f t="array" ref="G894">IFERROR(INDEX('Day Range Raw Data'!G:G,Match($A894,'Day Range Raw Data'!$B:$B,0)),"")</f>
        <v/>
      </c>
      <c r="H894" t="str">
        <f t="array" ref="H894">IFERROR(INDEX('Day Range Raw Data'!H:H,Match($A894,'Day Range Raw Data'!$B:$B,0)),"")</f>
        <v/>
      </c>
      <c r="I894" t="str">
        <f t="array" ref="I894">IFERROR(INDEX('Day Range Raw Data'!M:M,Match($A894,'Day Range Raw Data'!$B:$B,0)),"")</f>
        <v/>
      </c>
      <c r="J894" t="str">
        <f t="array" ref="J894">IFERROR(INDEX('Day Range Raw Data'!N:N,Match($A894,'Day Range Raw Data'!$B:$B,0)),"")</f>
        <v/>
      </c>
      <c r="K894" t="str">
        <f t="array" ref="K894">IFERROR(INDEX('Day Range Raw Data'!R:R,Match($A894,'Day Range Raw Data'!$B:$B,0)),"")</f>
        <v/>
      </c>
      <c r="L894" t="str">
        <f t="array" ref="L894">IFERROR(INDEX('Day Range Raw Data'!S:S,Match($A894,'Day Range Raw Data'!$B:$B,0)),"")</f>
        <v/>
      </c>
      <c r="M894" t="str">
        <f t="array" ref="M894">IFERROR(INDEX('Day Range Raw Data'!T:T,Match($A894,'Day Range Raw Data'!$B:$B,0)),"")</f>
        <v/>
      </c>
      <c r="N894" t="str">
        <f t="array" ref="N894">IFERROR(INDEX('Day Range Raw Data'!U:U,Match($A894,'Day Range Raw Data'!$B:$B,0)),"")</f>
        <v/>
      </c>
      <c r="O894" t="str">
        <f t="array" ref="O894">IFERROR(INDEX('Day Range Raw Data'!V:V,Match($A894,'Day Range Raw Data'!$B:$B,0)),"")</f>
        <v/>
      </c>
      <c r="P894" t="str">
        <f t="array" ref="P894">IFERROR(INDEX('Day Range Raw Data'!X:X,Match($A894,'Day Range Raw Data'!$B:$B,0)),"")</f>
        <v/>
      </c>
      <c r="Q894" t="str">
        <f t="shared" si="1"/>
        <v/>
      </c>
      <c r="R894" s="9" t="str">
        <f t="shared" si="2"/>
        <v/>
      </c>
      <c r="S894" s="14" t="str">
        <f t="shared" si="3"/>
        <v/>
      </c>
      <c r="T894" s="15" t="str">
        <f>IFERROR(__xludf.DUMMYFUNCTION("IF($A894="""","""",IFERROR(PERCENTRANK.INC(FILTER(Q:Q,$F:$F&lt;&gt;""""),Q894)*100,""""))"),"")</f>
        <v/>
      </c>
      <c r="U894" s="15" t="str">
        <f>IFERROR(__xludf.DUMMYFUNCTION("IF($A894="""","""",IFERROR(PERCENTRANK.INC(FILTER(R:R,$F:$F&lt;&gt;""""),R894)*100,""""))"),"")</f>
        <v/>
      </c>
      <c r="V894" s="15" t="str">
        <f>IFERROR(__xludf.DUMMYFUNCTION("IF($A894="""","""",IFERROR(PERCENTRANK.INC(FILTER(S:S,$F:$F&lt;&gt;""""),S894)*100,""""))"),"")</f>
        <v/>
      </c>
      <c r="W894" s="15" t="str">
        <f t="shared" si="5"/>
        <v/>
      </c>
    </row>
    <row r="895">
      <c r="B895" t="str">
        <f t="array" ref="B895">IFERROR(INDEX('Player Raw Data'!C:C,Match($A895,'Player Raw Data'!$B:$B,0)),"")</f>
        <v/>
      </c>
      <c r="C895" t="str">
        <f t="array" ref="C895">IFERROR(INDEX('Player Raw Data'!D:D,Match($A895,'Player Raw Data'!$B:$B,0)),"")</f>
        <v/>
      </c>
      <c r="D895" t="str">
        <f t="array" ref="D895">IFERROR(IF(A895=A894, INDEX('Player Raw Data'!E:E,Match($A895,'Player Raw Data'!$B:$B,0)+2),INDEX('Player Raw Data'!E:E,Match($A895,'Player Raw Data'!$B:$B,0))),"")</f>
        <v/>
      </c>
      <c r="E895" t="str">
        <f t="array" ref="E895">IFERROR(INDEX('Day Range Raw Data'!D:D,Match($A895,'Day Range Raw Data'!$B:$B,0)),"")</f>
        <v/>
      </c>
      <c r="F895" t="str">
        <f t="array" ref="F895">IFERROR(INDEX('Day Range Raw Data'!F:F,Match($A895,'Day Range Raw Data'!$B:$B,0)),"")</f>
        <v/>
      </c>
      <c r="G895" t="str">
        <f t="array" ref="G895">IFERROR(INDEX('Day Range Raw Data'!G:G,Match($A895,'Day Range Raw Data'!$B:$B,0)),"")</f>
        <v/>
      </c>
      <c r="H895" t="str">
        <f t="array" ref="H895">IFERROR(INDEX('Day Range Raw Data'!H:H,Match($A895,'Day Range Raw Data'!$B:$B,0)),"")</f>
        <v/>
      </c>
      <c r="I895" t="str">
        <f t="array" ref="I895">IFERROR(INDEX('Day Range Raw Data'!M:M,Match($A895,'Day Range Raw Data'!$B:$B,0)),"")</f>
        <v/>
      </c>
      <c r="J895" t="str">
        <f t="array" ref="J895">IFERROR(INDEX('Day Range Raw Data'!N:N,Match($A895,'Day Range Raw Data'!$B:$B,0)),"")</f>
        <v/>
      </c>
      <c r="K895" t="str">
        <f t="array" ref="K895">IFERROR(INDEX('Day Range Raw Data'!R:R,Match($A895,'Day Range Raw Data'!$B:$B,0)),"")</f>
        <v/>
      </c>
      <c r="L895" t="str">
        <f t="array" ref="L895">IFERROR(INDEX('Day Range Raw Data'!S:S,Match($A895,'Day Range Raw Data'!$B:$B,0)),"")</f>
        <v/>
      </c>
      <c r="M895" t="str">
        <f t="array" ref="M895">IFERROR(INDEX('Day Range Raw Data'!T:T,Match($A895,'Day Range Raw Data'!$B:$B,0)),"")</f>
        <v/>
      </c>
      <c r="N895" t="str">
        <f t="array" ref="N895">IFERROR(INDEX('Day Range Raw Data'!U:U,Match($A895,'Day Range Raw Data'!$B:$B,0)),"")</f>
        <v/>
      </c>
      <c r="O895" t="str">
        <f t="array" ref="O895">IFERROR(INDEX('Day Range Raw Data'!V:V,Match($A895,'Day Range Raw Data'!$B:$B,0)),"")</f>
        <v/>
      </c>
      <c r="P895" t="str">
        <f t="array" ref="P895">IFERROR(INDEX('Day Range Raw Data'!X:X,Match($A895,'Day Range Raw Data'!$B:$B,0)),"")</f>
        <v/>
      </c>
      <c r="Q895" t="str">
        <f t="shared" si="1"/>
        <v/>
      </c>
      <c r="R895" s="9" t="str">
        <f t="shared" si="2"/>
        <v/>
      </c>
      <c r="S895" s="14" t="str">
        <f t="shared" si="3"/>
        <v/>
      </c>
      <c r="T895" s="15" t="str">
        <f>IFERROR(__xludf.DUMMYFUNCTION("IF($A895="""","""",IFERROR(PERCENTRANK.INC(FILTER(Q:Q,$F:$F&lt;&gt;""""),Q895)*100,""""))"),"")</f>
        <v/>
      </c>
      <c r="U895" s="15" t="str">
        <f>IFERROR(__xludf.DUMMYFUNCTION("IF($A895="""","""",IFERROR(PERCENTRANK.INC(FILTER(R:R,$F:$F&lt;&gt;""""),R895)*100,""""))"),"")</f>
        <v/>
      </c>
      <c r="V895" s="15" t="str">
        <f>IFERROR(__xludf.DUMMYFUNCTION("IF($A895="""","""",IFERROR(PERCENTRANK.INC(FILTER(S:S,$F:$F&lt;&gt;""""),S895)*100,""""))"),"")</f>
        <v/>
      </c>
      <c r="W895" s="15" t="str">
        <f t="shared" si="5"/>
        <v/>
      </c>
    </row>
    <row r="896">
      <c r="B896" t="str">
        <f t="array" ref="B896">IFERROR(INDEX('Player Raw Data'!C:C,Match($A896,'Player Raw Data'!$B:$B,0)),"")</f>
        <v/>
      </c>
      <c r="C896" t="str">
        <f t="array" ref="C896">IFERROR(INDEX('Player Raw Data'!D:D,Match($A896,'Player Raw Data'!$B:$B,0)),"")</f>
        <v/>
      </c>
      <c r="D896" t="str">
        <f t="array" ref="D896">IFERROR(IF(A896=A895, INDEX('Player Raw Data'!E:E,Match($A896,'Player Raw Data'!$B:$B,0)+2),INDEX('Player Raw Data'!E:E,Match($A896,'Player Raw Data'!$B:$B,0))),"")</f>
        <v/>
      </c>
      <c r="E896" t="str">
        <f t="array" ref="E896">IFERROR(INDEX('Day Range Raw Data'!D:D,Match($A896,'Day Range Raw Data'!$B:$B,0)),"")</f>
        <v/>
      </c>
      <c r="F896" t="str">
        <f t="array" ref="F896">IFERROR(INDEX('Day Range Raw Data'!F:F,Match($A896,'Day Range Raw Data'!$B:$B,0)),"")</f>
        <v/>
      </c>
      <c r="G896" t="str">
        <f t="array" ref="G896">IFERROR(INDEX('Day Range Raw Data'!G:G,Match($A896,'Day Range Raw Data'!$B:$B,0)),"")</f>
        <v/>
      </c>
      <c r="H896" t="str">
        <f t="array" ref="H896">IFERROR(INDEX('Day Range Raw Data'!H:H,Match($A896,'Day Range Raw Data'!$B:$B,0)),"")</f>
        <v/>
      </c>
      <c r="I896" t="str">
        <f t="array" ref="I896">IFERROR(INDEX('Day Range Raw Data'!M:M,Match($A896,'Day Range Raw Data'!$B:$B,0)),"")</f>
        <v/>
      </c>
      <c r="J896" t="str">
        <f t="array" ref="J896">IFERROR(INDEX('Day Range Raw Data'!N:N,Match($A896,'Day Range Raw Data'!$B:$B,0)),"")</f>
        <v/>
      </c>
      <c r="K896" t="str">
        <f t="array" ref="K896">IFERROR(INDEX('Day Range Raw Data'!R:R,Match($A896,'Day Range Raw Data'!$B:$B,0)),"")</f>
        <v/>
      </c>
      <c r="L896" t="str">
        <f t="array" ref="L896">IFERROR(INDEX('Day Range Raw Data'!S:S,Match($A896,'Day Range Raw Data'!$B:$B,0)),"")</f>
        <v/>
      </c>
      <c r="M896" t="str">
        <f t="array" ref="M896">IFERROR(INDEX('Day Range Raw Data'!T:T,Match($A896,'Day Range Raw Data'!$B:$B,0)),"")</f>
        <v/>
      </c>
      <c r="N896" t="str">
        <f t="array" ref="N896">IFERROR(INDEX('Day Range Raw Data'!U:U,Match($A896,'Day Range Raw Data'!$B:$B,0)),"")</f>
        <v/>
      </c>
      <c r="O896" t="str">
        <f t="array" ref="O896">IFERROR(INDEX('Day Range Raw Data'!V:V,Match($A896,'Day Range Raw Data'!$B:$B,0)),"")</f>
        <v/>
      </c>
      <c r="P896" t="str">
        <f t="array" ref="P896">IFERROR(INDEX('Day Range Raw Data'!X:X,Match($A896,'Day Range Raw Data'!$B:$B,0)),"")</f>
        <v/>
      </c>
      <c r="Q896" t="str">
        <f t="shared" si="1"/>
        <v/>
      </c>
      <c r="R896" s="9" t="str">
        <f t="shared" si="2"/>
        <v/>
      </c>
      <c r="S896" s="14" t="str">
        <f t="shared" si="3"/>
        <v/>
      </c>
      <c r="T896" s="15" t="str">
        <f>IFERROR(__xludf.DUMMYFUNCTION("IF($A896="""","""",IFERROR(PERCENTRANK.INC(FILTER(Q:Q,$F:$F&lt;&gt;""""),Q896)*100,""""))"),"")</f>
        <v/>
      </c>
      <c r="U896" s="15" t="str">
        <f>IFERROR(__xludf.DUMMYFUNCTION("IF($A896="""","""",IFERROR(PERCENTRANK.INC(FILTER(R:R,$F:$F&lt;&gt;""""),R896)*100,""""))"),"")</f>
        <v/>
      </c>
      <c r="V896" s="15" t="str">
        <f>IFERROR(__xludf.DUMMYFUNCTION("IF($A896="""","""",IFERROR(PERCENTRANK.INC(FILTER(S:S,$F:$F&lt;&gt;""""),S896)*100,""""))"),"")</f>
        <v/>
      </c>
      <c r="W896" s="15" t="str">
        <f t="shared" si="5"/>
        <v/>
      </c>
    </row>
    <row r="897">
      <c r="B897" t="str">
        <f t="array" ref="B897">IFERROR(INDEX('Player Raw Data'!C:C,Match($A897,'Player Raw Data'!$B:$B,0)),"")</f>
        <v/>
      </c>
      <c r="C897" t="str">
        <f t="array" ref="C897">IFERROR(INDEX('Player Raw Data'!D:D,Match($A897,'Player Raw Data'!$B:$B,0)),"")</f>
        <v/>
      </c>
      <c r="D897" t="str">
        <f t="array" ref="D897">IFERROR(IF(A897=A896, INDEX('Player Raw Data'!E:E,Match($A897,'Player Raw Data'!$B:$B,0)+2),INDEX('Player Raw Data'!E:E,Match($A897,'Player Raw Data'!$B:$B,0))),"")</f>
        <v/>
      </c>
      <c r="E897" t="str">
        <f t="array" ref="E897">IFERROR(INDEX('Day Range Raw Data'!D:D,Match($A897,'Day Range Raw Data'!$B:$B,0)),"")</f>
        <v/>
      </c>
      <c r="F897" t="str">
        <f t="array" ref="F897">IFERROR(INDEX('Day Range Raw Data'!F:F,Match($A897,'Day Range Raw Data'!$B:$B,0)),"")</f>
        <v/>
      </c>
      <c r="G897" t="str">
        <f t="array" ref="G897">IFERROR(INDEX('Day Range Raw Data'!G:G,Match($A897,'Day Range Raw Data'!$B:$B,0)),"")</f>
        <v/>
      </c>
      <c r="H897" t="str">
        <f t="array" ref="H897">IFERROR(INDEX('Day Range Raw Data'!H:H,Match($A897,'Day Range Raw Data'!$B:$B,0)),"")</f>
        <v/>
      </c>
      <c r="I897" t="str">
        <f t="array" ref="I897">IFERROR(INDEX('Day Range Raw Data'!M:M,Match($A897,'Day Range Raw Data'!$B:$B,0)),"")</f>
        <v/>
      </c>
      <c r="J897" t="str">
        <f t="array" ref="J897">IFERROR(INDEX('Day Range Raw Data'!N:N,Match($A897,'Day Range Raw Data'!$B:$B,0)),"")</f>
        <v/>
      </c>
      <c r="K897" t="str">
        <f t="array" ref="K897">IFERROR(INDEX('Day Range Raw Data'!R:R,Match($A897,'Day Range Raw Data'!$B:$B,0)),"")</f>
        <v/>
      </c>
      <c r="L897" t="str">
        <f t="array" ref="L897">IFERROR(INDEX('Day Range Raw Data'!S:S,Match($A897,'Day Range Raw Data'!$B:$B,0)),"")</f>
        <v/>
      </c>
      <c r="M897" t="str">
        <f t="array" ref="M897">IFERROR(INDEX('Day Range Raw Data'!T:T,Match($A897,'Day Range Raw Data'!$B:$B,0)),"")</f>
        <v/>
      </c>
      <c r="N897" t="str">
        <f t="array" ref="N897">IFERROR(INDEX('Day Range Raw Data'!U:U,Match($A897,'Day Range Raw Data'!$B:$B,0)),"")</f>
        <v/>
      </c>
      <c r="O897" t="str">
        <f t="array" ref="O897">IFERROR(INDEX('Day Range Raw Data'!V:V,Match($A897,'Day Range Raw Data'!$B:$B,0)),"")</f>
        <v/>
      </c>
      <c r="P897" t="str">
        <f t="array" ref="P897">IFERROR(INDEX('Day Range Raw Data'!X:X,Match($A897,'Day Range Raw Data'!$B:$B,0)),"")</f>
        <v/>
      </c>
      <c r="Q897" t="str">
        <f t="shared" si="1"/>
        <v/>
      </c>
      <c r="R897" s="9" t="str">
        <f t="shared" si="2"/>
        <v/>
      </c>
      <c r="S897" s="14" t="str">
        <f t="shared" si="3"/>
        <v/>
      </c>
      <c r="T897" s="15" t="str">
        <f>IFERROR(__xludf.DUMMYFUNCTION("IF($A897="""","""",IFERROR(PERCENTRANK.INC(FILTER(Q:Q,$F:$F&lt;&gt;""""),Q897)*100,""""))"),"")</f>
        <v/>
      </c>
      <c r="U897" s="15" t="str">
        <f>IFERROR(__xludf.DUMMYFUNCTION("IF($A897="""","""",IFERROR(PERCENTRANK.INC(FILTER(R:R,$F:$F&lt;&gt;""""),R897)*100,""""))"),"")</f>
        <v/>
      </c>
      <c r="V897" s="15" t="str">
        <f>IFERROR(__xludf.DUMMYFUNCTION("IF($A897="""","""",IFERROR(PERCENTRANK.INC(FILTER(S:S,$F:$F&lt;&gt;""""),S897)*100,""""))"),"")</f>
        <v/>
      </c>
      <c r="W897" s="15" t="str">
        <f t="shared" si="5"/>
        <v/>
      </c>
    </row>
    <row r="898">
      <c r="B898" t="str">
        <f t="array" ref="B898">IFERROR(INDEX('Player Raw Data'!C:C,Match($A898,'Player Raw Data'!$B:$B,0)),"")</f>
        <v/>
      </c>
      <c r="C898" t="str">
        <f t="array" ref="C898">IFERROR(INDEX('Player Raw Data'!D:D,Match($A898,'Player Raw Data'!$B:$B,0)),"")</f>
        <v/>
      </c>
      <c r="D898" t="str">
        <f t="array" ref="D898">IFERROR(IF(A898=A897, INDEX('Player Raw Data'!E:E,Match($A898,'Player Raw Data'!$B:$B,0)+2),INDEX('Player Raw Data'!E:E,Match($A898,'Player Raw Data'!$B:$B,0))),"")</f>
        <v/>
      </c>
      <c r="E898" t="str">
        <f t="array" ref="E898">IFERROR(INDEX('Day Range Raw Data'!D:D,Match($A898,'Day Range Raw Data'!$B:$B,0)),"")</f>
        <v/>
      </c>
      <c r="F898" t="str">
        <f t="array" ref="F898">IFERROR(INDEX('Day Range Raw Data'!F:F,Match($A898,'Day Range Raw Data'!$B:$B,0)),"")</f>
        <v/>
      </c>
      <c r="G898" t="str">
        <f t="array" ref="G898">IFERROR(INDEX('Day Range Raw Data'!G:G,Match($A898,'Day Range Raw Data'!$B:$B,0)),"")</f>
        <v/>
      </c>
      <c r="H898" t="str">
        <f t="array" ref="H898">IFERROR(INDEX('Day Range Raw Data'!H:H,Match($A898,'Day Range Raw Data'!$B:$B,0)),"")</f>
        <v/>
      </c>
      <c r="I898" t="str">
        <f t="array" ref="I898">IFERROR(INDEX('Day Range Raw Data'!M:M,Match($A898,'Day Range Raw Data'!$B:$B,0)),"")</f>
        <v/>
      </c>
      <c r="J898" t="str">
        <f t="array" ref="J898">IFERROR(INDEX('Day Range Raw Data'!N:N,Match($A898,'Day Range Raw Data'!$B:$B,0)),"")</f>
        <v/>
      </c>
      <c r="K898" t="str">
        <f t="array" ref="K898">IFERROR(INDEX('Day Range Raw Data'!R:R,Match($A898,'Day Range Raw Data'!$B:$B,0)),"")</f>
        <v/>
      </c>
      <c r="L898" t="str">
        <f t="array" ref="L898">IFERROR(INDEX('Day Range Raw Data'!S:S,Match($A898,'Day Range Raw Data'!$B:$B,0)),"")</f>
        <v/>
      </c>
      <c r="M898" t="str">
        <f t="array" ref="M898">IFERROR(INDEX('Day Range Raw Data'!T:T,Match($A898,'Day Range Raw Data'!$B:$B,0)),"")</f>
        <v/>
      </c>
      <c r="N898" t="str">
        <f t="array" ref="N898">IFERROR(INDEX('Day Range Raw Data'!U:U,Match($A898,'Day Range Raw Data'!$B:$B,0)),"")</f>
        <v/>
      </c>
      <c r="O898" t="str">
        <f t="array" ref="O898">IFERROR(INDEX('Day Range Raw Data'!V:V,Match($A898,'Day Range Raw Data'!$B:$B,0)),"")</f>
        <v/>
      </c>
      <c r="P898" t="str">
        <f t="array" ref="P898">IFERROR(INDEX('Day Range Raw Data'!X:X,Match($A898,'Day Range Raw Data'!$B:$B,0)),"")</f>
        <v/>
      </c>
      <c r="Q898" t="str">
        <f t="shared" si="1"/>
        <v/>
      </c>
      <c r="R898" s="9" t="str">
        <f t="shared" si="2"/>
        <v/>
      </c>
      <c r="S898" s="14" t="str">
        <f t="shared" si="3"/>
        <v/>
      </c>
      <c r="T898" s="15" t="str">
        <f>IFERROR(__xludf.DUMMYFUNCTION("IF($A898="""","""",IFERROR(PERCENTRANK.INC(FILTER(Q:Q,$F:$F&lt;&gt;""""),Q898)*100,""""))"),"")</f>
        <v/>
      </c>
      <c r="U898" s="15" t="str">
        <f>IFERROR(__xludf.DUMMYFUNCTION("IF($A898="""","""",IFERROR(PERCENTRANK.INC(FILTER(R:R,$F:$F&lt;&gt;""""),R898)*100,""""))"),"")</f>
        <v/>
      </c>
      <c r="V898" s="15" t="str">
        <f>IFERROR(__xludf.DUMMYFUNCTION("IF($A898="""","""",IFERROR(PERCENTRANK.INC(FILTER(S:S,$F:$F&lt;&gt;""""),S898)*100,""""))"),"")</f>
        <v/>
      </c>
      <c r="W898" s="15" t="str">
        <f t="shared" si="5"/>
        <v/>
      </c>
    </row>
    <row r="899">
      <c r="B899" t="str">
        <f t="array" ref="B899">IFERROR(INDEX('Player Raw Data'!C:C,Match($A899,'Player Raw Data'!$B:$B,0)),"")</f>
        <v/>
      </c>
      <c r="C899" t="str">
        <f t="array" ref="C899">IFERROR(INDEX('Player Raw Data'!D:D,Match($A899,'Player Raw Data'!$B:$B,0)),"")</f>
        <v/>
      </c>
      <c r="D899" t="str">
        <f t="array" ref="D899">IFERROR(IF(A899=A898, INDEX('Player Raw Data'!E:E,Match($A899,'Player Raw Data'!$B:$B,0)+2),INDEX('Player Raw Data'!E:E,Match($A899,'Player Raw Data'!$B:$B,0))),"")</f>
        <v/>
      </c>
      <c r="E899" t="str">
        <f t="array" ref="E899">IFERROR(INDEX('Day Range Raw Data'!D:D,Match($A899,'Day Range Raw Data'!$B:$B,0)),"")</f>
        <v/>
      </c>
      <c r="F899" t="str">
        <f t="array" ref="F899">IFERROR(INDEX('Day Range Raw Data'!F:F,Match($A899,'Day Range Raw Data'!$B:$B,0)),"")</f>
        <v/>
      </c>
      <c r="G899" t="str">
        <f t="array" ref="G899">IFERROR(INDEX('Day Range Raw Data'!G:G,Match($A899,'Day Range Raw Data'!$B:$B,0)),"")</f>
        <v/>
      </c>
      <c r="H899" t="str">
        <f t="array" ref="H899">IFERROR(INDEX('Day Range Raw Data'!H:H,Match($A899,'Day Range Raw Data'!$B:$B,0)),"")</f>
        <v/>
      </c>
      <c r="I899" t="str">
        <f t="array" ref="I899">IFERROR(INDEX('Day Range Raw Data'!M:M,Match($A899,'Day Range Raw Data'!$B:$B,0)),"")</f>
        <v/>
      </c>
      <c r="J899" t="str">
        <f t="array" ref="J899">IFERROR(INDEX('Day Range Raw Data'!N:N,Match($A899,'Day Range Raw Data'!$B:$B,0)),"")</f>
        <v/>
      </c>
      <c r="K899" t="str">
        <f t="array" ref="K899">IFERROR(INDEX('Day Range Raw Data'!R:R,Match($A899,'Day Range Raw Data'!$B:$B,0)),"")</f>
        <v/>
      </c>
      <c r="L899" t="str">
        <f t="array" ref="L899">IFERROR(INDEX('Day Range Raw Data'!S:S,Match($A899,'Day Range Raw Data'!$B:$B,0)),"")</f>
        <v/>
      </c>
      <c r="M899" t="str">
        <f t="array" ref="M899">IFERROR(INDEX('Day Range Raw Data'!T:T,Match($A899,'Day Range Raw Data'!$B:$B,0)),"")</f>
        <v/>
      </c>
      <c r="N899" t="str">
        <f t="array" ref="N899">IFERROR(INDEX('Day Range Raw Data'!U:U,Match($A899,'Day Range Raw Data'!$B:$B,0)),"")</f>
        <v/>
      </c>
      <c r="O899" t="str">
        <f t="array" ref="O899">IFERROR(INDEX('Day Range Raw Data'!V:V,Match($A899,'Day Range Raw Data'!$B:$B,0)),"")</f>
        <v/>
      </c>
      <c r="P899" t="str">
        <f t="array" ref="P899">IFERROR(INDEX('Day Range Raw Data'!X:X,Match($A899,'Day Range Raw Data'!$B:$B,0)),"")</f>
        <v/>
      </c>
      <c r="Q899" t="str">
        <f t="shared" si="1"/>
        <v/>
      </c>
      <c r="R899" s="9" t="str">
        <f t="shared" si="2"/>
        <v/>
      </c>
      <c r="S899" s="14" t="str">
        <f t="shared" si="3"/>
        <v/>
      </c>
      <c r="T899" s="15" t="str">
        <f>IFERROR(__xludf.DUMMYFUNCTION("IF($A899="""","""",IFERROR(PERCENTRANK.INC(FILTER(Q:Q,$F:$F&lt;&gt;""""),Q899)*100,""""))"),"")</f>
        <v/>
      </c>
      <c r="U899" s="15" t="str">
        <f>IFERROR(__xludf.DUMMYFUNCTION("IF($A899="""","""",IFERROR(PERCENTRANK.INC(FILTER(R:R,$F:$F&lt;&gt;""""),R899)*100,""""))"),"")</f>
        <v/>
      </c>
      <c r="V899" s="15" t="str">
        <f>IFERROR(__xludf.DUMMYFUNCTION("IF($A899="""","""",IFERROR(PERCENTRANK.INC(FILTER(S:S,$F:$F&lt;&gt;""""),S899)*100,""""))"),"")</f>
        <v/>
      </c>
      <c r="W899" s="15" t="str">
        <f t="shared" si="5"/>
        <v/>
      </c>
    </row>
    <row r="900">
      <c r="B900" t="str">
        <f t="array" ref="B900">IFERROR(INDEX('Player Raw Data'!C:C,Match($A900,'Player Raw Data'!$B:$B,0)),"")</f>
        <v/>
      </c>
      <c r="C900" t="str">
        <f t="array" ref="C900">IFERROR(INDEX('Player Raw Data'!D:D,Match($A900,'Player Raw Data'!$B:$B,0)),"")</f>
        <v/>
      </c>
      <c r="D900" t="str">
        <f t="array" ref="D900">IFERROR(IF(A900=A899, INDEX('Player Raw Data'!E:E,Match($A900,'Player Raw Data'!$B:$B,0)+2),INDEX('Player Raw Data'!E:E,Match($A900,'Player Raw Data'!$B:$B,0))),"")</f>
        <v/>
      </c>
      <c r="E900" t="str">
        <f t="array" ref="E900">IFERROR(INDEX('Day Range Raw Data'!D:D,Match($A900,'Day Range Raw Data'!$B:$B,0)),"")</f>
        <v/>
      </c>
      <c r="F900" t="str">
        <f t="array" ref="F900">IFERROR(INDEX('Day Range Raw Data'!F:F,Match($A900,'Day Range Raw Data'!$B:$B,0)),"")</f>
        <v/>
      </c>
      <c r="G900" t="str">
        <f t="array" ref="G900">IFERROR(INDEX('Day Range Raw Data'!G:G,Match($A900,'Day Range Raw Data'!$B:$B,0)),"")</f>
        <v/>
      </c>
      <c r="H900" t="str">
        <f t="array" ref="H900">IFERROR(INDEX('Day Range Raw Data'!H:H,Match($A900,'Day Range Raw Data'!$B:$B,0)),"")</f>
        <v/>
      </c>
      <c r="I900" t="str">
        <f t="array" ref="I900">IFERROR(INDEX('Day Range Raw Data'!M:M,Match($A900,'Day Range Raw Data'!$B:$B,0)),"")</f>
        <v/>
      </c>
      <c r="J900" t="str">
        <f t="array" ref="J900">IFERROR(INDEX('Day Range Raw Data'!N:N,Match($A900,'Day Range Raw Data'!$B:$B,0)),"")</f>
        <v/>
      </c>
      <c r="K900" t="str">
        <f t="array" ref="K900">IFERROR(INDEX('Day Range Raw Data'!R:R,Match($A900,'Day Range Raw Data'!$B:$B,0)),"")</f>
        <v/>
      </c>
      <c r="L900" t="str">
        <f t="array" ref="L900">IFERROR(INDEX('Day Range Raw Data'!S:S,Match($A900,'Day Range Raw Data'!$B:$B,0)),"")</f>
        <v/>
      </c>
      <c r="M900" t="str">
        <f t="array" ref="M900">IFERROR(INDEX('Day Range Raw Data'!T:T,Match($A900,'Day Range Raw Data'!$B:$B,0)),"")</f>
        <v/>
      </c>
      <c r="N900" t="str">
        <f t="array" ref="N900">IFERROR(INDEX('Day Range Raw Data'!U:U,Match($A900,'Day Range Raw Data'!$B:$B,0)),"")</f>
        <v/>
      </c>
      <c r="O900" t="str">
        <f t="array" ref="O900">IFERROR(INDEX('Day Range Raw Data'!V:V,Match($A900,'Day Range Raw Data'!$B:$B,0)),"")</f>
        <v/>
      </c>
      <c r="P900" t="str">
        <f t="array" ref="P900">IFERROR(INDEX('Day Range Raw Data'!X:X,Match($A900,'Day Range Raw Data'!$B:$B,0)),"")</f>
        <v/>
      </c>
      <c r="Q900" t="str">
        <f t="shared" si="1"/>
        <v/>
      </c>
      <c r="R900" s="9" t="str">
        <f t="shared" si="2"/>
        <v/>
      </c>
      <c r="S900" s="14" t="str">
        <f t="shared" si="3"/>
        <v/>
      </c>
      <c r="T900" s="15" t="str">
        <f>IFERROR(__xludf.DUMMYFUNCTION("IF($A900="""","""",IFERROR(PERCENTRANK.INC(FILTER(Q:Q,$F:$F&lt;&gt;""""),Q900)*100,""""))"),"")</f>
        <v/>
      </c>
      <c r="U900" s="15" t="str">
        <f>IFERROR(__xludf.DUMMYFUNCTION("IF($A900="""","""",IFERROR(PERCENTRANK.INC(FILTER(R:R,$F:$F&lt;&gt;""""),R900)*100,""""))"),"")</f>
        <v/>
      </c>
      <c r="V900" s="15" t="str">
        <f>IFERROR(__xludf.DUMMYFUNCTION("IF($A900="""","""",IFERROR(PERCENTRANK.INC(FILTER(S:S,$F:$F&lt;&gt;""""),S900)*100,""""))"),"")</f>
        <v/>
      </c>
      <c r="W900" s="15" t="str">
        <f t="shared" si="5"/>
        <v/>
      </c>
    </row>
    <row r="901">
      <c r="B901" t="str">
        <f t="array" ref="B901">IFERROR(INDEX('Player Raw Data'!C:C,Match($A901,'Player Raw Data'!$B:$B,0)),"")</f>
        <v/>
      </c>
      <c r="C901" t="str">
        <f t="array" ref="C901">IFERROR(INDEX('Player Raw Data'!D:D,Match($A901,'Player Raw Data'!$B:$B,0)),"")</f>
        <v/>
      </c>
      <c r="D901" t="str">
        <f t="array" ref="D901">IFERROR(IF(A901=A900, INDEX('Player Raw Data'!E:E,Match($A901,'Player Raw Data'!$B:$B,0)+2),INDEX('Player Raw Data'!E:E,Match($A901,'Player Raw Data'!$B:$B,0))),"")</f>
        <v/>
      </c>
      <c r="E901" t="str">
        <f t="array" ref="E901">IFERROR(INDEX('Day Range Raw Data'!D:D,Match($A901,'Day Range Raw Data'!$B:$B,0)),"")</f>
        <v/>
      </c>
      <c r="F901" t="str">
        <f t="array" ref="F901">IFERROR(INDEX('Day Range Raw Data'!F:F,Match($A901,'Day Range Raw Data'!$B:$B,0)),"")</f>
        <v/>
      </c>
      <c r="G901" t="str">
        <f t="array" ref="G901">IFERROR(INDEX('Day Range Raw Data'!G:G,Match($A901,'Day Range Raw Data'!$B:$B,0)),"")</f>
        <v/>
      </c>
      <c r="H901" t="str">
        <f t="array" ref="H901">IFERROR(INDEX('Day Range Raw Data'!H:H,Match($A901,'Day Range Raw Data'!$B:$B,0)),"")</f>
        <v/>
      </c>
      <c r="I901" t="str">
        <f t="array" ref="I901">IFERROR(INDEX('Day Range Raw Data'!M:M,Match($A901,'Day Range Raw Data'!$B:$B,0)),"")</f>
        <v/>
      </c>
      <c r="J901" t="str">
        <f t="array" ref="J901">IFERROR(INDEX('Day Range Raw Data'!N:N,Match($A901,'Day Range Raw Data'!$B:$B,0)),"")</f>
        <v/>
      </c>
      <c r="K901" t="str">
        <f t="array" ref="K901">IFERROR(INDEX('Day Range Raw Data'!R:R,Match($A901,'Day Range Raw Data'!$B:$B,0)),"")</f>
        <v/>
      </c>
      <c r="L901" t="str">
        <f t="array" ref="L901">IFERROR(INDEX('Day Range Raw Data'!S:S,Match($A901,'Day Range Raw Data'!$B:$B,0)),"")</f>
        <v/>
      </c>
      <c r="M901" t="str">
        <f t="array" ref="M901">IFERROR(INDEX('Day Range Raw Data'!T:T,Match($A901,'Day Range Raw Data'!$B:$B,0)),"")</f>
        <v/>
      </c>
      <c r="N901" t="str">
        <f t="array" ref="N901">IFERROR(INDEX('Day Range Raw Data'!U:U,Match($A901,'Day Range Raw Data'!$B:$B,0)),"")</f>
        <v/>
      </c>
      <c r="O901" t="str">
        <f t="array" ref="O901">IFERROR(INDEX('Day Range Raw Data'!V:V,Match($A901,'Day Range Raw Data'!$B:$B,0)),"")</f>
        <v/>
      </c>
      <c r="P901" t="str">
        <f t="array" ref="P901">IFERROR(INDEX('Day Range Raw Data'!X:X,Match($A901,'Day Range Raw Data'!$B:$B,0)),"")</f>
        <v/>
      </c>
      <c r="Q901" t="str">
        <f t="shared" si="1"/>
        <v/>
      </c>
      <c r="R901" s="9" t="str">
        <f t="shared" si="2"/>
        <v/>
      </c>
      <c r="S901" s="14" t="str">
        <f t="shared" si="3"/>
        <v/>
      </c>
      <c r="T901" s="15" t="str">
        <f>IFERROR(__xludf.DUMMYFUNCTION("IF($A901="""","""",IFERROR(PERCENTRANK.INC(FILTER(Q:Q,$F:$F&lt;&gt;""""),Q901)*100,""""))"),"")</f>
        <v/>
      </c>
      <c r="U901" s="15" t="str">
        <f>IFERROR(__xludf.DUMMYFUNCTION("IF($A901="""","""",IFERROR(PERCENTRANK.INC(FILTER(R:R,$F:$F&lt;&gt;""""),R901)*100,""""))"),"")</f>
        <v/>
      </c>
      <c r="V901" s="15" t="str">
        <f>IFERROR(__xludf.DUMMYFUNCTION("IF($A901="""","""",IFERROR(PERCENTRANK.INC(FILTER(S:S,$F:$F&lt;&gt;""""),S901)*100,""""))"),"")</f>
        <v/>
      </c>
      <c r="W901" s="15" t="str">
        <f t="shared" si="5"/>
        <v/>
      </c>
    </row>
    <row r="902">
      <c r="B902" t="str">
        <f t="array" ref="B902">IFERROR(INDEX('Player Raw Data'!C:C,Match($A902,'Player Raw Data'!$B:$B,0)),"")</f>
        <v/>
      </c>
      <c r="C902" t="str">
        <f t="array" ref="C902">IFERROR(INDEX('Player Raw Data'!D:D,Match($A902,'Player Raw Data'!$B:$B,0)),"")</f>
        <v/>
      </c>
      <c r="D902" t="str">
        <f t="array" ref="D902">IFERROR(IF(A902=A901, INDEX('Player Raw Data'!E:E,Match($A902,'Player Raw Data'!$B:$B,0)+2),INDEX('Player Raw Data'!E:E,Match($A902,'Player Raw Data'!$B:$B,0))),"")</f>
        <v/>
      </c>
      <c r="E902" t="str">
        <f t="array" ref="E902">IFERROR(INDEX('Day Range Raw Data'!D:D,Match($A902,'Day Range Raw Data'!$B:$B,0)),"")</f>
        <v/>
      </c>
      <c r="F902" t="str">
        <f t="array" ref="F902">IFERROR(INDEX('Day Range Raw Data'!F:F,Match($A902,'Day Range Raw Data'!$B:$B,0)),"")</f>
        <v/>
      </c>
      <c r="G902" t="str">
        <f t="array" ref="G902">IFERROR(INDEX('Day Range Raw Data'!G:G,Match($A902,'Day Range Raw Data'!$B:$B,0)),"")</f>
        <v/>
      </c>
      <c r="H902" t="str">
        <f t="array" ref="H902">IFERROR(INDEX('Day Range Raw Data'!H:H,Match($A902,'Day Range Raw Data'!$B:$B,0)),"")</f>
        <v/>
      </c>
      <c r="I902" t="str">
        <f t="array" ref="I902">IFERROR(INDEX('Day Range Raw Data'!M:M,Match($A902,'Day Range Raw Data'!$B:$B,0)),"")</f>
        <v/>
      </c>
      <c r="J902" t="str">
        <f t="array" ref="J902">IFERROR(INDEX('Day Range Raw Data'!N:N,Match($A902,'Day Range Raw Data'!$B:$B,0)),"")</f>
        <v/>
      </c>
      <c r="K902" t="str">
        <f t="array" ref="K902">IFERROR(INDEX('Day Range Raw Data'!R:R,Match($A902,'Day Range Raw Data'!$B:$B,0)),"")</f>
        <v/>
      </c>
      <c r="L902" t="str">
        <f t="array" ref="L902">IFERROR(INDEX('Day Range Raw Data'!S:S,Match($A902,'Day Range Raw Data'!$B:$B,0)),"")</f>
        <v/>
      </c>
      <c r="M902" t="str">
        <f t="array" ref="M902">IFERROR(INDEX('Day Range Raw Data'!T:T,Match($A902,'Day Range Raw Data'!$B:$B,0)),"")</f>
        <v/>
      </c>
      <c r="N902" t="str">
        <f t="array" ref="N902">IFERROR(INDEX('Day Range Raw Data'!U:U,Match($A902,'Day Range Raw Data'!$B:$B,0)),"")</f>
        <v/>
      </c>
      <c r="O902" t="str">
        <f t="array" ref="O902">IFERROR(INDEX('Day Range Raw Data'!V:V,Match($A902,'Day Range Raw Data'!$B:$B,0)),"")</f>
        <v/>
      </c>
      <c r="P902" t="str">
        <f t="array" ref="P902">IFERROR(INDEX('Day Range Raw Data'!X:X,Match($A902,'Day Range Raw Data'!$B:$B,0)),"")</f>
        <v/>
      </c>
      <c r="Q902" t="str">
        <f t="shared" si="1"/>
        <v/>
      </c>
      <c r="R902" s="9" t="str">
        <f t="shared" si="2"/>
        <v/>
      </c>
      <c r="S902" s="14" t="str">
        <f t="shared" si="3"/>
        <v/>
      </c>
      <c r="T902" s="15" t="str">
        <f>IFERROR(__xludf.DUMMYFUNCTION("IF($A902="""","""",IFERROR(PERCENTRANK.INC(FILTER(Q:Q,$F:$F&lt;&gt;""""),Q902)*100,""""))"),"")</f>
        <v/>
      </c>
      <c r="U902" s="15" t="str">
        <f>IFERROR(__xludf.DUMMYFUNCTION("IF($A902="""","""",IFERROR(PERCENTRANK.INC(FILTER(R:R,$F:$F&lt;&gt;""""),R902)*100,""""))"),"")</f>
        <v/>
      </c>
      <c r="V902" s="15" t="str">
        <f>IFERROR(__xludf.DUMMYFUNCTION("IF($A902="""","""",IFERROR(PERCENTRANK.INC(FILTER(S:S,$F:$F&lt;&gt;""""),S902)*100,""""))"),"")</f>
        <v/>
      </c>
      <c r="W902" s="15" t="str">
        <f t="shared" si="5"/>
        <v/>
      </c>
    </row>
    <row r="903">
      <c r="B903" t="str">
        <f t="array" ref="B903">IFERROR(INDEX('Player Raw Data'!C:C,Match($A903,'Player Raw Data'!$B:$B,0)),"")</f>
        <v/>
      </c>
      <c r="C903" t="str">
        <f t="array" ref="C903">IFERROR(INDEX('Player Raw Data'!D:D,Match($A903,'Player Raw Data'!$B:$B,0)),"")</f>
        <v/>
      </c>
      <c r="D903" t="str">
        <f t="array" ref="D903">IFERROR(IF(A903=A902, INDEX('Player Raw Data'!E:E,Match($A903,'Player Raw Data'!$B:$B,0)+2),INDEX('Player Raw Data'!E:E,Match($A903,'Player Raw Data'!$B:$B,0))),"")</f>
        <v/>
      </c>
      <c r="E903" t="str">
        <f t="array" ref="E903">IFERROR(INDEX('Day Range Raw Data'!D:D,Match($A903,'Day Range Raw Data'!$B:$B,0)),"")</f>
        <v/>
      </c>
      <c r="F903" t="str">
        <f t="array" ref="F903">IFERROR(INDEX('Day Range Raw Data'!F:F,Match($A903,'Day Range Raw Data'!$B:$B,0)),"")</f>
        <v/>
      </c>
      <c r="G903" t="str">
        <f t="array" ref="G903">IFERROR(INDEX('Day Range Raw Data'!G:G,Match($A903,'Day Range Raw Data'!$B:$B,0)),"")</f>
        <v/>
      </c>
      <c r="H903" t="str">
        <f t="array" ref="H903">IFERROR(INDEX('Day Range Raw Data'!H:H,Match($A903,'Day Range Raw Data'!$B:$B,0)),"")</f>
        <v/>
      </c>
      <c r="I903" t="str">
        <f t="array" ref="I903">IFERROR(INDEX('Day Range Raw Data'!M:M,Match($A903,'Day Range Raw Data'!$B:$B,0)),"")</f>
        <v/>
      </c>
      <c r="J903" t="str">
        <f t="array" ref="J903">IFERROR(INDEX('Day Range Raw Data'!N:N,Match($A903,'Day Range Raw Data'!$B:$B,0)),"")</f>
        <v/>
      </c>
      <c r="K903" t="str">
        <f t="array" ref="K903">IFERROR(INDEX('Day Range Raw Data'!R:R,Match($A903,'Day Range Raw Data'!$B:$B,0)),"")</f>
        <v/>
      </c>
      <c r="L903" t="str">
        <f t="array" ref="L903">IFERROR(INDEX('Day Range Raw Data'!S:S,Match($A903,'Day Range Raw Data'!$B:$B,0)),"")</f>
        <v/>
      </c>
      <c r="M903" t="str">
        <f t="array" ref="M903">IFERROR(INDEX('Day Range Raw Data'!T:T,Match($A903,'Day Range Raw Data'!$B:$B,0)),"")</f>
        <v/>
      </c>
      <c r="N903" t="str">
        <f t="array" ref="N903">IFERROR(INDEX('Day Range Raw Data'!U:U,Match($A903,'Day Range Raw Data'!$B:$B,0)),"")</f>
        <v/>
      </c>
      <c r="O903" t="str">
        <f t="array" ref="O903">IFERROR(INDEX('Day Range Raw Data'!V:V,Match($A903,'Day Range Raw Data'!$B:$B,0)),"")</f>
        <v/>
      </c>
      <c r="P903" t="str">
        <f t="array" ref="P903">IFERROR(INDEX('Day Range Raw Data'!X:X,Match($A903,'Day Range Raw Data'!$B:$B,0)),"")</f>
        <v/>
      </c>
      <c r="Q903" t="str">
        <f t="shared" si="1"/>
        <v/>
      </c>
      <c r="R903" s="9" t="str">
        <f t="shared" si="2"/>
        <v/>
      </c>
      <c r="S903" s="14" t="str">
        <f t="shared" si="3"/>
        <v/>
      </c>
      <c r="T903" s="15" t="str">
        <f>IFERROR(__xludf.DUMMYFUNCTION("IF($A903="""","""",IFERROR(PERCENTRANK.INC(FILTER(Q:Q,$F:$F&lt;&gt;""""),Q903)*100,""""))"),"")</f>
        <v/>
      </c>
      <c r="U903" s="15" t="str">
        <f>IFERROR(__xludf.DUMMYFUNCTION("IF($A903="""","""",IFERROR(PERCENTRANK.INC(FILTER(R:R,$F:$F&lt;&gt;""""),R903)*100,""""))"),"")</f>
        <v/>
      </c>
      <c r="V903" s="15" t="str">
        <f>IFERROR(__xludf.DUMMYFUNCTION("IF($A903="""","""",IFERROR(PERCENTRANK.INC(FILTER(S:S,$F:$F&lt;&gt;""""),S903)*100,""""))"),"")</f>
        <v/>
      </c>
      <c r="W903" s="15" t="str">
        <f t="shared" si="5"/>
        <v/>
      </c>
    </row>
    <row r="904">
      <c r="B904" t="str">
        <f t="array" ref="B904">IFERROR(INDEX('Player Raw Data'!C:C,Match($A904,'Player Raw Data'!$B:$B,0)),"")</f>
        <v/>
      </c>
      <c r="C904" t="str">
        <f t="array" ref="C904">IFERROR(INDEX('Player Raw Data'!D:D,Match($A904,'Player Raw Data'!$B:$B,0)),"")</f>
        <v/>
      </c>
      <c r="D904" t="str">
        <f t="array" ref="D904">IFERROR(IF(A904=A903, INDEX('Player Raw Data'!E:E,Match($A904,'Player Raw Data'!$B:$B,0)+2),INDEX('Player Raw Data'!E:E,Match($A904,'Player Raw Data'!$B:$B,0))),"")</f>
        <v/>
      </c>
      <c r="E904" t="str">
        <f t="array" ref="E904">IFERROR(INDEX('Day Range Raw Data'!D:D,Match($A904,'Day Range Raw Data'!$B:$B,0)),"")</f>
        <v/>
      </c>
      <c r="F904" t="str">
        <f t="array" ref="F904">IFERROR(INDEX('Day Range Raw Data'!F:F,Match($A904,'Day Range Raw Data'!$B:$B,0)),"")</f>
        <v/>
      </c>
      <c r="G904" t="str">
        <f t="array" ref="G904">IFERROR(INDEX('Day Range Raw Data'!G:G,Match($A904,'Day Range Raw Data'!$B:$B,0)),"")</f>
        <v/>
      </c>
      <c r="H904" t="str">
        <f t="array" ref="H904">IFERROR(INDEX('Day Range Raw Data'!H:H,Match($A904,'Day Range Raw Data'!$B:$B,0)),"")</f>
        <v/>
      </c>
      <c r="I904" t="str">
        <f t="array" ref="I904">IFERROR(INDEX('Day Range Raw Data'!M:M,Match($A904,'Day Range Raw Data'!$B:$B,0)),"")</f>
        <v/>
      </c>
      <c r="J904" t="str">
        <f t="array" ref="J904">IFERROR(INDEX('Day Range Raw Data'!N:N,Match($A904,'Day Range Raw Data'!$B:$B,0)),"")</f>
        <v/>
      </c>
      <c r="K904" t="str">
        <f t="array" ref="K904">IFERROR(INDEX('Day Range Raw Data'!R:R,Match($A904,'Day Range Raw Data'!$B:$B,0)),"")</f>
        <v/>
      </c>
      <c r="L904" t="str">
        <f t="array" ref="L904">IFERROR(INDEX('Day Range Raw Data'!S:S,Match($A904,'Day Range Raw Data'!$B:$B,0)),"")</f>
        <v/>
      </c>
      <c r="M904" t="str">
        <f t="array" ref="M904">IFERROR(INDEX('Day Range Raw Data'!T:T,Match($A904,'Day Range Raw Data'!$B:$B,0)),"")</f>
        <v/>
      </c>
      <c r="N904" t="str">
        <f t="array" ref="N904">IFERROR(INDEX('Day Range Raw Data'!U:U,Match($A904,'Day Range Raw Data'!$B:$B,0)),"")</f>
        <v/>
      </c>
      <c r="O904" t="str">
        <f t="array" ref="O904">IFERROR(INDEX('Day Range Raw Data'!V:V,Match($A904,'Day Range Raw Data'!$B:$B,0)),"")</f>
        <v/>
      </c>
      <c r="P904" t="str">
        <f t="array" ref="P904">IFERROR(INDEX('Day Range Raw Data'!X:X,Match($A904,'Day Range Raw Data'!$B:$B,0)),"")</f>
        <v/>
      </c>
      <c r="Q904" t="str">
        <f t="shared" si="1"/>
        <v/>
      </c>
      <c r="R904" s="9" t="str">
        <f t="shared" si="2"/>
        <v/>
      </c>
      <c r="S904" s="14" t="str">
        <f t="shared" si="3"/>
        <v/>
      </c>
      <c r="T904" s="15" t="str">
        <f>IFERROR(__xludf.DUMMYFUNCTION("IF($A904="""","""",IFERROR(PERCENTRANK.INC(FILTER(Q:Q,$F:$F&lt;&gt;""""),Q904)*100,""""))"),"")</f>
        <v/>
      </c>
      <c r="U904" s="15" t="str">
        <f>IFERROR(__xludf.DUMMYFUNCTION("IF($A904="""","""",IFERROR(PERCENTRANK.INC(FILTER(R:R,$F:$F&lt;&gt;""""),R904)*100,""""))"),"")</f>
        <v/>
      </c>
      <c r="V904" s="15" t="str">
        <f>IFERROR(__xludf.DUMMYFUNCTION("IF($A904="""","""",IFERROR(PERCENTRANK.INC(FILTER(S:S,$F:$F&lt;&gt;""""),S904)*100,""""))"),"")</f>
        <v/>
      </c>
      <c r="W904" s="15" t="str">
        <f t="shared" si="5"/>
        <v/>
      </c>
    </row>
    <row r="905">
      <c r="B905" t="str">
        <f t="array" ref="B905">IFERROR(INDEX('Player Raw Data'!C:C,Match($A905,'Player Raw Data'!$B:$B,0)),"")</f>
        <v/>
      </c>
      <c r="C905" t="str">
        <f t="array" ref="C905">IFERROR(INDEX('Player Raw Data'!D:D,Match($A905,'Player Raw Data'!$B:$B,0)),"")</f>
        <v/>
      </c>
      <c r="D905" t="str">
        <f t="array" ref="D905">IFERROR(IF(A905=A904, INDEX('Player Raw Data'!E:E,Match($A905,'Player Raw Data'!$B:$B,0)+2),INDEX('Player Raw Data'!E:E,Match($A905,'Player Raw Data'!$B:$B,0))),"")</f>
        <v/>
      </c>
      <c r="E905" t="str">
        <f t="array" ref="E905">IFERROR(INDEX('Day Range Raw Data'!D:D,Match($A905,'Day Range Raw Data'!$B:$B,0)),"")</f>
        <v/>
      </c>
      <c r="F905" t="str">
        <f t="array" ref="F905">IFERROR(INDEX('Day Range Raw Data'!F:F,Match($A905,'Day Range Raw Data'!$B:$B,0)),"")</f>
        <v/>
      </c>
      <c r="G905" t="str">
        <f t="array" ref="G905">IFERROR(INDEX('Day Range Raw Data'!G:G,Match($A905,'Day Range Raw Data'!$B:$B,0)),"")</f>
        <v/>
      </c>
      <c r="H905" t="str">
        <f t="array" ref="H905">IFERROR(INDEX('Day Range Raw Data'!H:H,Match($A905,'Day Range Raw Data'!$B:$B,0)),"")</f>
        <v/>
      </c>
      <c r="I905" t="str">
        <f t="array" ref="I905">IFERROR(INDEX('Day Range Raw Data'!M:M,Match($A905,'Day Range Raw Data'!$B:$B,0)),"")</f>
        <v/>
      </c>
      <c r="J905" t="str">
        <f t="array" ref="J905">IFERROR(INDEX('Day Range Raw Data'!N:N,Match($A905,'Day Range Raw Data'!$B:$B,0)),"")</f>
        <v/>
      </c>
      <c r="K905" t="str">
        <f t="array" ref="K905">IFERROR(INDEX('Day Range Raw Data'!R:R,Match($A905,'Day Range Raw Data'!$B:$B,0)),"")</f>
        <v/>
      </c>
      <c r="L905" t="str">
        <f t="array" ref="L905">IFERROR(INDEX('Day Range Raw Data'!S:S,Match($A905,'Day Range Raw Data'!$B:$B,0)),"")</f>
        <v/>
      </c>
      <c r="M905" t="str">
        <f t="array" ref="M905">IFERROR(INDEX('Day Range Raw Data'!T:T,Match($A905,'Day Range Raw Data'!$B:$B,0)),"")</f>
        <v/>
      </c>
      <c r="N905" t="str">
        <f t="array" ref="N905">IFERROR(INDEX('Day Range Raw Data'!U:U,Match($A905,'Day Range Raw Data'!$B:$B,0)),"")</f>
        <v/>
      </c>
      <c r="O905" t="str">
        <f t="array" ref="O905">IFERROR(INDEX('Day Range Raw Data'!V:V,Match($A905,'Day Range Raw Data'!$B:$B,0)),"")</f>
        <v/>
      </c>
      <c r="P905" t="str">
        <f t="array" ref="P905">IFERROR(INDEX('Day Range Raw Data'!X:X,Match($A905,'Day Range Raw Data'!$B:$B,0)),"")</f>
        <v/>
      </c>
      <c r="Q905" t="str">
        <f t="shared" si="1"/>
        <v/>
      </c>
      <c r="R905" s="9" t="str">
        <f t="shared" si="2"/>
        <v/>
      </c>
      <c r="S905" s="14" t="str">
        <f t="shared" si="3"/>
        <v/>
      </c>
      <c r="T905" s="15" t="str">
        <f>IFERROR(__xludf.DUMMYFUNCTION("IF($A905="""","""",IFERROR(PERCENTRANK.INC(FILTER(Q:Q,$F:$F&lt;&gt;""""),Q905)*100,""""))"),"")</f>
        <v/>
      </c>
      <c r="U905" s="15" t="str">
        <f>IFERROR(__xludf.DUMMYFUNCTION("IF($A905="""","""",IFERROR(PERCENTRANK.INC(FILTER(R:R,$F:$F&lt;&gt;""""),R905)*100,""""))"),"")</f>
        <v/>
      </c>
      <c r="V905" s="15" t="str">
        <f>IFERROR(__xludf.DUMMYFUNCTION("IF($A905="""","""",IFERROR(PERCENTRANK.INC(FILTER(S:S,$F:$F&lt;&gt;""""),S905)*100,""""))"),"")</f>
        <v/>
      </c>
      <c r="W905" s="15" t="str">
        <f t="shared" si="5"/>
        <v/>
      </c>
    </row>
    <row r="906">
      <c r="B906" t="str">
        <f t="array" ref="B906">IFERROR(INDEX('Player Raw Data'!C:C,Match($A906,'Player Raw Data'!$B:$B,0)),"")</f>
        <v/>
      </c>
      <c r="C906" t="str">
        <f t="array" ref="C906">IFERROR(INDEX('Player Raw Data'!D:D,Match($A906,'Player Raw Data'!$B:$B,0)),"")</f>
        <v/>
      </c>
      <c r="D906" t="str">
        <f t="array" ref="D906">IFERROR(IF(A906=A905, INDEX('Player Raw Data'!E:E,Match($A906,'Player Raw Data'!$B:$B,0)+2),INDEX('Player Raw Data'!E:E,Match($A906,'Player Raw Data'!$B:$B,0))),"")</f>
        <v/>
      </c>
      <c r="E906" t="str">
        <f t="array" ref="E906">IFERROR(INDEX('Day Range Raw Data'!D:D,Match($A906,'Day Range Raw Data'!$B:$B,0)),"")</f>
        <v/>
      </c>
      <c r="F906" t="str">
        <f t="array" ref="F906">IFERROR(INDEX('Day Range Raw Data'!F:F,Match($A906,'Day Range Raw Data'!$B:$B,0)),"")</f>
        <v/>
      </c>
      <c r="G906" t="str">
        <f t="array" ref="G906">IFERROR(INDEX('Day Range Raw Data'!G:G,Match($A906,'Day Range Raw Data'!$B:$B,0)),"")</f>
        <v/>
      </c>
      <c r="H906" t="str">
        <f t="array" ref="H906">IFERROR(INDEX('Day Range Raw Data'!H:H,Match($A906,'Day Range Raw Data'!$B:$B,0)),"")</f>
        <v/>
      </c>
      <c r="I906" t="str">
        <f t="array" ref="I906">IFERROR(INDEX('Day Range Raw Data'!M:M,Match($A906,'Day Range Raw Data'!$B:$B,0)),"")</f>
        <v/>
      </c>
      <c r="J906" t="str">
        <f t="array" ref="J906">IFERROR(INDEX('Day Range Raw Data'!N:N,Match($A906,'Day Range Raw Data'!$B:$B,0)),"")</f>
        <v/>
      </c>
      <c r="K906" t="str">
        <f t="array" ref="K906">IFERROR(INDEX('Day Range Raw Data'!R:R,Match($A906,'Day Range Raw Data'!$B:$B,0)),"")</f>
        <v/>
      </c>
      <c r="L906" t="str">
        <f t="array" ref="L906">IFERROR(INDEX('Day Range Raw Data'!S:S,Match($A906,'Day Range Raw Data'!$B:$B,0)),"")</f>
        <v/>
      </c>
      <c r="M906" t="str">
        <f t="array" ref="M906">IFERROR(INDEX('Day Range Raw Data'!T:T,Match($A906,'Day Range Raw Data'!$B:$B,0)),"")</f>
        <v/>
      </c>
      <c r="N906" t="str">
        <f t="array" ref="N906">IFERROR(INDEX('Day Range Raw Data'!U:U,Match($A906,'Day Range Raw Data'!$B:$B,0)),"")</f>
        <v/>
      </c>
      <c r="O906" t="str">
        <f t="array" ref="O906">IFERROR(INDEX('Day Range Raw Data'!V:V,Match($A906,'Day Range Raw Data'!$B:$B,0)),"")</f>
        <v/>
      </c>
      <c r="P906" t="str">
        <f t="array" ref="P906">IFERROR(INDEX('Day Range Raw Data'!X:X,Match($A906,'Day Range Raw Data'!$B:$B,0)),"")</f>
        <v/>
      </c>
      <c r="Q906" t="str">
        <f t="shared" si="1"/>
        <v/>
      </c>
      <c r="R906" s="9" t="str">
        <f t="shared" si="2"/>
        <v/>
      </c>
      <c r="S906" s="14" t="str">
        <f t="shared" si="3"/>
        <v/>
      </c>
      <c r="T906" s="15" t="str">
        <f>IFERROR(__xludf.DUMMYFUNCTION("IF($A906="""","""",IFERROR(PERCENTRANK.INC(FILTER(Q:Q,$F:$F&lt;&gt;""""),Q906)*100,""""))"),"")</f>
        <v/>
      </c>
      <c r="U906" s="15" t="str">
        <f>IFERROR(__xludf.DUMMYFUNCTION("IF($A906="""","""",IFERROR(PERCENTRANK.INC(FILTER(R:R,$F:$F&lt;&gt;""""),R906)*100,""""))"),"")</f>
        <v/>
      </c>
      <c r="V906" s="15" t="str">
        <f>IFERROR(__xludf.DUMMYFUNCTION("IF($A906="""","""",IFERROR(PERCENTRANK.INC(FILTER(S:S,$F:$F&lt;&gt;""""),S906)*100,""""))"),"")</f>
        <v/>
      </c>
      <c r="W906" s="15" t="str">
        <f t="shared" si="5"/>
        <v/>
      </c>
    </row>
    <row r="907">
      <c r="B907" t="str">
        <f t="array" ref="B907">IFERROR(INDEX('Player Raw Data'!C:C,Match($A907,'Player Raw Data'!$B:$B,0)),"")</f>
        <v/>
      </c>
      <c r="C907" t="str">
        <f t="array" ref="C907">IFERROR(INDEX('Player Raw Data'!D:D,Match($A907,'Player Raw Data'!$B:$B,0)),"")</f>
        <v/>
      </c>
      <c r="D907" t="str">
        <f t="array" ref="D907">IFERROR(IF(A907=A906, INDEX('Player Raw Data'!E:E,Match($A907,'Player Raw Data'!$B:$B,0)+2),INDEX('Player Raw Data'!E:E,Match($A907,'Player Raw Data'!$B:$B,0))),"")</f>
        <v/>
      </c>
      <c r="E907" t="str">
        <f t="array" ref="E907">IFERROR(INDEX('Day Range Raw Data'!D:D,Match($A907,'Day Range Raw Data'!$B:$B,0)),"")</f>
        <v/>
      </c>
      <c r="F907" t="str">
        <f t="array" ref="F907">IFERROR(INDEX('Day Range Raw Data'!F:F,Match($A907,'Day Range Raw Data'!$B:$B,0)),"")</f>
        <v/>
      </c>
      <c r="G907" t="str">
        <f t="array" ref="G907">IFERROR(INDEX('Day Range Raw Data'!G:G,Match($A907,'Day Range Raw Data'!$B:$B,0)),"")</f>
        <v/>
      </c>
      <c r="H907" t="str">
        <f t="array" ref="H907">IFERROR(INDEX('Day Range Raw Data'!H:H,Match($A907,'Day Range Raw Data'!$B:$B,0)),"")</f>
        <v/>
      </c>
      <c r="I907" t="str">
        <f t="array" ref="I907">IFERROR(INDEX('Day Range Raw Data'!M:M,Match($A907,'Day Range Raw Data'!$B:$B,0)),"")</f>
        <v/>
      </c>
      <c r="J907" t="str">
        <f t="array" ref="J907">IFERROR(INDEX('Day Range Raw Data'!N:N,Match($A907,'Day Range Raw Data'!$B:$B,0)),"")</f>
        <v/>
      </c>
      <c r="K907" t="str">
        <f t="array" ref="K907">IFERROR(INDEX('Day Range Raw Data'!R:R,Match($A907,'Day Range Raw Data'!$B:$B,0)),"")</f>
        <v/>
      </c>
      <c r="L907" t="str">
        <f t="array" ref="L907">IFERROR(INDEX('Day Range Raw Data'!S:S,Match($A907,'Day Range Raw Data'!$B:$B,0)),"")</f>
        <v/>
      </c>
      <c r="M907" t="str">
        <f t="array" ref="M907">IFERROR(INDEX('Day Range Raw Data'!T:T,Match($A907,'Day Range Raw Data'!$B:$B,0)),"")</f>
        <v/>
      </c>
      <c r="N907" t="str">
        <f t="array" ref="N907">IFERROR(INDEX('Day Range Raw Data'!U:U,Match($A907,'Day Range Raw Data'!$B:$B,0)),"")</f>
        <v/>
      </c>
      <c r="O907" t="str">
        <f t="array" ref="O907">IFERROR(INDEX('Day Range Raw Data'!V:V,Match($A907,'Day Range Raw Data'!$B:$B,0)),"")</f>
        <v/>
      </c>
      <c r="P907" t="str">
        <f t="array" ref="P907">IFERROR(INDEX('Day Range Raw Data'!X:X,Match($A907,'Day Range Raw Data'!$B:$B,0)),"")</f>
        <v/>
      </c>
      <c r="Q907" t="str">
        <f t="shared" si="1"/>
        <v/>
      </c>
      <c r="R907" s="9" t="str">
        <f t="shared" si="2"/>
        <v/>
      </c>
      <c r="S907" s="14" t="str">
        <f t="shared" si="3"/>
        <v/>
      </c>
      <c r="T907" s="15" t="str">
        <f>IFERROR(__xludf.DUMMYFUNCTION("IF($A907="""","""",IFERROR(PERCENTRANK.INC(FILTER(Q:Q,$F:$F&lt;&gt;""""),Q907)*100,""""))"),"")</f>
        <v/>
      </c>
      <c r="U907" s="15" t="str">
        <f>IFERROR(__xludf.DUMMYFUNCTION("IF($A907="""","""",IFERROR(PERCENTRANK.INC(FILTER(R:R,$F:$F&lt;&gt;""""),R907)*100,""""))"),"")</f>
        <v/>
      </c>
      <c r="V907" s="15" t="str">
        <f>IFERROR(__xludf.DUMMYFUNCTION("IF($A907="""","""",IFERROR(PERCENTRANK.INC(FILTER(S:S,$F:$F&lt;&gt;""""),S907)*100,""""))"),"")</f>
        <v/>
      </c>
      <c r="W907" s="15" t="str">
        <f t="shared" si="5"/>
        <v/>
      </c>
    </row>
    <row r="908">
      <c r="B908" t="str">
        <f t="array" ref="B908">IFERROR(INDEX('Player Raw Data'!C:C,Match($A908,'Player Raw Data'!$B:$B,0)),"")</f>
        <v/>
      </c>
      <c r="C908" t="str">
        <f t="array" ref="C908">IFERROR(INDEX('Player Raw Data'!D:D,Match($A908,'Player Raw Data'!$B:$B,0)),"")</f>
        <v/>
      </c>
      <c r="D908" t="str">
        <f t="array" ref="D908">IFERROR(IF(A908=A907, INDEX('Player Raw Data'!E:E,Match($A908,'Player Raw Data'!$B:$B,0)+2),INDEX('Player Raw Data'!E:E,Match($A908,'Player Raw Data'!$B:$B,0))),"")</f>
        <v/>
      </c>
      <c r="E908" t="str">
        <f t="array" ref="E908">IFERROR(INDEX('Day Range Raw Data'!D:D,Match($A908,'Day Range Raw Data'!$B:$B,0)),"")</f>
        <v/>
      </c>
      <c r="F908" t="str">
        <f t="array" ref="F908">IFERROR(INDEX('Day Range Raw Data'!F:F,Match($A908,'Day Range Raw Data'!$B:$B,0)),"")</f>
        <v/>
      </c>
      <c r="G908" t="str">
        <f t="array" ref="G908">IFERROR(INDEX('Day Range Raw Data'!G:G,Match($A908,'Day Range Raw Data'!$B:$B,0)),"")</f>
        <v/>
      </c>
      <c r="H908" t="str">
        <f t="array" ref="H908">IFERROR(INDEX('Day Range Raw Data'!H:H,Match($A908,'Day Range Raw Data'!$B:$B,0)),"")</f>
        <v/>
      </c>
      <c r="I908" t="str">
        <f t="array" ref="I908">IFERROR(INDEX('Day Range Raw Data'!M:M,Match($A908,'Day Range Raw Data'!$B:$B,0)),"")</f>
        <v/>
      </c>
      <c r="J908" t="str">
        <f t="array" ref="J908">IFERROR(INDEX('Day Range Raw Data'!N:N,Match($A908,'Day Range Raw Data'!$B:$B,0)),"")</f>
        <v/>
      </c>
      <c r="K908" t="str">
        <f t="array" ref="K908">IFERROR(INDEX('Day Range Raw Data'!R:R,Match($A908,'Day Range Raw Data'!$B:$B,0)),"")</f>
        <v/>
      </c>
      <c r="L908" t="str">
        <f t="array" ref="L908">IFERROR(INDEX('Day Range Raw Data'!S:S,Match($A908,'Day Range Raw Data'!$B:$B,0)),"")</f>
        <v/>
      </c>
      <c r="M908" t="str">
        <f t="array" ref="M908">IFERROR(INDEX('Day Range Raw Data'!T:T,Match($A908,'Day Range Raw Data'!$B:$B,0)),"")</f>
        <v/>
      </c>
      <c r="N908" t="str">
        <f t="array" ref="N908">IFERROR(INDEX('Day Range Raw Data'!U:U,Match($A908,'Day Range Raw Data'!$B:$B,0)),"")</f>
        <v/>
      </c>
      <c r="O908" t="str">
        <f t="array" ref="O908">IFERROR(INDEX('Day Range Raw Data'!V:V,Match($A908,'Day Range Raw Data'!$B:$B,0)),"")</f>
        <v/>
      </c>
      <c r="P908" t="str">
        <f t="array" ref="P908">IFERROR(INDEX('Day Range Raw Data'!X:X,Match($A908,'Day Range Raw Data'!$B:$B,0)),"")</f>
        <v/>
      </c>
      <c r="Q908" t="str">
        <f t="shared" si="1"/>
        <v/>
      </c>
      <c r="R908" s="9" t="str">
        <f t="shared" si="2"/>
        <v/>
      </c>
      <c r="S908" s="14" t="str">
        <f t="shared" si="3"/>
        <v/>
      </c>
      <c r="T908" s="15" t="str">
        <f>IFERROR(__xludf.DUMMYFUNCTION("IF($A908="""","""",IFERROR(PERCENTRANK.INC(FILTER(Q:Q,$F:$F&lt;&gt;""""),Q908)*100,""""))"),"")</f>
        <v/>
      </c>
      <c r="U908" s="15" t="str">
        <f>IFERROR(__xludf.DUMMYFUNCTION("IF($A908="""","""",IFERROR(PERCENTRANK.INC(FILTER(R:R,$F:$F&lt;&gt;""""),R908)*100,""""))"),"")</f>
        <v/>
      </c>
      <c r="V908" s="15" t="str">
        <f>IFERROR(__xludf.DUMMYFUNCTION("IF($A908="""","""",IFERROR(PERCENTRANK.INC(FILTER(S:S,$F:$F&lt;&gt;""""),S908)*100,""""))"),"")</f>
        <v/>
      </c>
      <c r="W908" s="15" t="str">
        <f t="shared" si="5"/>
        <v/>
      </c>
    </row>
    <row r="909">
      <c r="B909" t="str">
        <f t="array" ref="B909">IFERROR(INDEX('Player Raw Data'!C:C,Match($A909,'Player Raw Data'!$B:$B,0)),"")</f>
        <v/>
      </c>
      <c r="C909" t="str">
        <f t="array" ref="C909">IFERROR(INDEX('Player Raw Data'!D:D,Match($A909,'Player Raw Data'!$B:$B,0)),"")</f>
        <v/>
      </c>
      <c r="D909" t="str">
        <f t="array" ref="D909">IFERROR(IF(A909=A908, INDEX('Player Raw Data'!E:E,Match($A909,'Player Raw Data'!$B:$B,0)+2),INDEX('Player Raw Data'!E:E,Match($A909,'Player Raw Data'!$B:$B,0))),"")</f>
        <v/>
      </c>
      <c r="E909" t="str">
        <f t="array" ref="E909">IFERROR(INDEX('Day Range Raw Data'!D:D,Match($A909,'Day Range Raw Data'!$B:$B,0)),"")</f>
        <v/>
      </c>
      <c r="F909" t="str">
        <f t="array" ref="F909">IFERROR(INDEX('Day Range Raw Data'!F:F,Match($A909,'Day Range Raw Data'!$B:$B,0)),"")</f>
        <v/>
      </c>
      <c r="G909" t="str">
        <f t="array" ref="G909">IFERROR(INDEX('Day Range Raw Data'!G:G,Match($A909,'Day Range Raw Data'!$B:$B,0)),"")</f>
        <v/>
      </c>
      <c r="H909" t="str">
        <f t="array" ref="H909">IFERROR(INDEX('Day Range Raw Data'!H:H,Match($A909,'Day Range Raw Data'!$B:$B,0)),"")</f>
        <v/>
      </c>
      <c r="I909" t="str">
        <f t="array" ref="I909">IFERROR(INDEX('Day Range Raw Data'!M:M,Match($A909,'Day Range Raw Data'!$B:$B,0)),"")</f>
        <v/>
      </c>
      <c r="J909" t="str">
        <f t="array" ref="J909">IFERROR(INDEX('Day Range Raw Data'!N:N,Match($A909,'Day Range Raw Data'!$B:$B,0)),"")</f>
        <v/>
      </c>
      <c r="K909" t="str">
        <f t="array" ref="K909">IFERROR(INDEX('Day Range Raw Data'!R:R,Match($A909,'Day Range Raw Data'!$B:$B,0)),"")</f>
        <v/>
      </c>
      <c r="L909" t="str">
        <f t="array" ref="L909">IFERROR(INDEX('Day Range Raw Data'!S:S,Match($A909,'Day Range Raw Data'!$B:$B,0)),"")</f>
        <v/>
      </c>
      <c r="M909" t="str">
        <f t="array" ref="M909">IFERROR(INDEX('Day Range Raw Data'!T:T,Match($A909,'Day Range Raw Data'!$B:$B,0)),"")</f>
        <v/>
      </c>
      <c r="N909" t="str">
        <f t="array" ref="N909">IFERROR(INDEX('Day Range Raw Data'!U:U,Match($A909,'Day Range Raw Data'!$B:$B,0)),"")</f>
        <v/>
      </c>
      <c r="O909" t="str">
        <f t="array" ref="O909">IFERROR(INDEX('Day Range Raw Data'!V:V,Match($A909,'Day Range Raw Data'!$B:$B,0)),"")</f>
        <v/>
      </c>
      <c r="P909" t="str">
        <f t="array" ref="P909">IFERROR(INDEX('Day Range Raw Data'!X:X,Match($A909,'Day Range Raw Data'!$B:$B,0)),"")</f>
        <v/>
      </c>
      <c r="Q909" t="str">
        <f t="shared" si="1"/>
        <v/>
      </c>
      <c r="R909" s="9" t="str">
        <f t="shared" si="2"/>
        <v/>
      </c>
      <c r="S909" s="14" t="str">
        <f t="shared" si="3"/>
        <v/>
      </c>
      <c r="T909" s="15" t="str">
        <f>IFERROR(__xludf.DUMMYFUNCTION("IF($A909="""","""",IFERROR(PERCENTRANK.INC(FILTER(Q:Q,$F:$F&lt;&gt;""""),Q909)*100,""""))"),"")</f>
        <v/>
      </c>
      <c r="U909" s="15" t="str">
        <f>IFERROR(__xludf.DUMMYFUNCTION("IF($A909="""","""",IFERROR(PERCENTRANK.INC(FILTER(R:R,$F:$F&lt;&gt;""""),R909)*100,""""))"),"")</f>
        <v/>
      </c>
      <c r="V909" s="15" t="str">
        <f>IFERROR(__xludf.DUMMYFUNCTION("IF($A909="""","""",IFERROR(PERCENTRANK.INC(FILTER(S:S,$F:$F&lt;&gt;""""),S909)*100,""""))"),"")</f>
        <v/>
      </c>
      <c r="W909" s="15" t="str">
        <f t="shared" si="5"/>
        <v/>
      </c>
    </row>
    <row r="910">
      <c r="B910" t="str">
        <f t="array" ref="B910">IFERROR(INDEX('Player Raw Data'!C:C,Match($A910,'Player Raw Data'!$B:$B,0)),"")</f>
        <v/>
      </c>
      <c r="C910" t="str">
        <f t="array" ref="C910">IFERROR(INDEX('Player Raw Data'!D:D,Match($A910,'Player Raw Data'!$B:$B,0)),"")</f>
        <v/>
      </c>
      <c r="D910" t="str">
        <f t="array" ref="D910">IFERROR(IF(A910=A909, INDEX('Player Raw Data'!E:E,Match($A910,'Player Raw Data'!$B:$B,0)+2),INDEX('Player Raw Data'!E:E,Match($A910,'Player Raw Data'!$B:$B,0))),"")</f>
        <v/>
      </c>
      <c r="E910" t="str">
        <f t="array" ref="E910">IFERROR(INDEX('Day Range Raw Data'!D:D,Match($A910,'Day Range Raw Data'!$B:$B,0)),"")</f>
        <v/>
      </c>
      <c r="F910" t="str">
        <f t="array" ref="F910">IFERROR(INDEX('Day Range Raw Data'!F:F,Match($A910,'Day Range Raw Data'!$B:$B,0)),"")</f>
        <v/>
      </c>
      <c r="G910" t="str">
        <f t="array" ref="G910">IFERROR(INDEX('Day Range Raw Data'!G:G,Match($A910,'Day Range Raw Data'!$B:$B,0)),"")</f>
        <v/>
      </c>
      <c r="H910" t="str">
        <f t="array" ref="H910">IFERROR(INDEX('Day Range Raw Data'!H:H,Match($A910,'Day Range Raw Data'!$B:$B,0)),"")</f>
        <v/>
      </c>
      <c r="I910" t="str">
        <f t="array" ref="I910">IFERROR(INDEX('Day Range Raw Data'!M:M,Match($A910,'Day Range Raw Data'!$B:$B,0)),"")</f>
        <v/>
      </c>
      <c r="J910" t="str">
        <f t="array" ref="J910">IFERROR(INDEX('Day Range Raw Data'!N:N,Match($A910,'Day Range Raw Data'!$B:$B,0)),"")</f>
        <v/>
      </c>
      <c r="K910" t="str">
        <f t="array" ref="K910">IFERROR(INDEX('Day Range Raw Data'!R:R,Match($A910,'Day Range Raw Data'!$B:$B,0)),"")</f>
        <v/>
      </c>
      <c r="L910" t="str">
        <f t="array" ref="L910">IFERROR(INDEX('Day Range Raw Data'!S:S,Match($A910,'Day Range Raw Data'!$B:$B,0)),"")</f>
        <v/>
      </c>
      <c r="M910" t="str">
        <f t="array" ref="M910">IFERROR(INDEX('Day Range Raw Data'!T:T,Match($A910,'Day Range Raw Data'!$B:$B,0)),"")</f>
        <v/>
      </c>
      <c r="N910" t="str">
        <f t="array" ref="N910">IFERROR(INDEX('Day Range Raw Data'!U:U,Match($A910,'Day Range Raw Data'!$B:$B,0)),"")</f>
        <v/>
      </c>
      <c r="O910" t="str">
        <f t="array" ref="O910">IFERROR(INDEX('Day Range Raw Data'!V:V,Match($A910,'Day Range Raw Data'!$B:$B,0)),"")</f>
        <v/>
      </c>
      <c r="P910" t="str">
        <f t="array" ref="P910">IFERROR(INDEX('Day Range Raw Data'!X:X,Match($A910,'Day Range Raw Data'!$B:$B,0)),"")</f>
        <v/>
      </c>
      <c r="Q910" t="str">
        <f t="shared" si="1"/>
        <v/>
      </c>
      <c r="R910" s="9" t="str">
        <f t="shared" si="2"/>
        <v/>
      </c>
      <c r="S910" s="14" t="str">
        <f t="shared" si="3"/>
        <v/>
      </c>
      <c r="T910" s="15" t="str">
        <f>IFERROR(__xludf.DUMMYFUNCTION("IF($A910="""","""",IFERROR(PERCENTRANK.INC(FILTER(Q:Q,$F:$F&lt;&gt;""""),Q910)*100,""""))"),"")</f>
        <v/>
      </c>
      <c r="U910" s="15" t="str">
        <f>IFERROR(__xludf.DUMMYFUNCTION("IF($A910="""","""",IFERROR(PERCENTRANK.INC(FILTER(R:R,$F:$F&lt;&gt;""""),R910)*100,""""))"),"")</f>
        <v/>
      </c>
      <c r="V910" s="15" t="str">
        <f>IFERROR(__xludf.DUMMYFUNCTION("IF($A910="""","""",IFERROR(PERCENTRANK.INC(FILTER(S:S,$F:$F&lt;&gt;""""),S910)*100,""""))"),"")</f>
        <v/>
      </c>
      <c r="W910" s="15" t="str">
        <f t="shared" si="5"/>
        <v/>
      </c>
    </row>
    <row r="911">
      <c r="B911" t="str">
        <f t="array" ref="B911">IFERROR(INDEX('Player Raw Data'!C:C,Match($A911,'Player Raw Data'!$B:$B,0)),"")</f>
        <v/>
      </c>
      <c r="C911" t="str">
        <f t="array" ref="C911">IFERROR(INDEX('Player Raw Data'!D:D,Match($A911,'Player Raw Data'!$B:$B,0)),"")</f>
        <v/>
      </c>
      <c r="D911" t="str">
        <f t="array" ref="D911">IFERROR(IF(A911=A910, INDEX('Player Raw Data'!E:E,Match($A911,'Player Raw Data'!$B:$B,0)+2),INDEX('Player Raw Data'!E:E,Match($A911,'Player Raw Data'!$B:$B,0))),"")</f>
        <v/>
      </c>
      <c r="E911" t="str">
        <f t="array" ref="E911">IFERROR(INDEX('Day Range Raw Data'!D:D,Match($A911,'Day Range Raw Data'!$B:$B,0)),"")</f>
        <v/>
      </c>
      <c r="F911" t="str">
        <f t="array" ref="F911">IFERROR(INDEX('Day Range Raw Data'!F:F,Match($A911,'Day Range Raw Data'!$B:$B,0)),"")</f>
        <v/>
      </c>
      <c r="G911" t="str">
        <f t="array" ref="G911">IFERROR(INDEX('Day Range Raw Data'!G:G,Match($A911,'Day Range Raw Data'!$B:$B,0)),"")</f>
        <v/>
      </c>
      <c r="H911" t="str">
        <f t="array" ref="H911">IFERROR(INDEX('Day Range Raw Data'!H:H,Match($A911,'Day Range Raw Data'!$B:$B,0)),"")</f>
        <v/>
      </c>
      <c r="I911" t="str">
        <f t="array" ref="I911">IFERROR(INDEX('Day Range Raw Data'!M:M,Match($A911,'Day Range Raw Data'!$B:$B,0)),"")</f>
        <v/>
      </c>
      <c r="J911" t="str">
        <f t="array" ref="J911">IFERROR(INDEX('Day Range Raw Data'!N:N,Match($A911,'Day Range Raw Data'!$B:$B,0)),"")</f>
        <v/>
      </c>
      <c r="K911" t="str">
        <f t="array" ref="K911">IFERROR(INDEX('Day Range Raw Data'!R:R,Match($A911,'Day Range Raw Data'!$B:$B,0)),"")</f>
        <v/>
      </c>
      <c r="L911" t="str">
        <f t="array" ref="L911">IFERROR(INDEX('Day Range Raw Data'!S:S,Match($A911,'Day Range Raw Data'!$B:$B,0)),"")</f>
        <v/>
      </c>
      <c r="M911" t="str">
        <f t="array" ref="M911">IFERROR(INDEX('Day Range Raw Data'!T:T,Match($A911,'Day Range Raw Data'!$B:$B,0)),"")</f>
        <v/>
      </c>
      <c r="N911" t="str">
        <f t="array" ref="N911">IFERROR(INDEX('Day Range Raw Data'!U:U,Match($A911,'Day Range Raw Data'!$B:$B,0)),"")</f>
        <v/>
      </c>
      <c r="O911" t="str">
        <f t="array" ref="O911">IFERROR(INDEX('Day Range Raw Data'!V:V,Match($A911,'Day Range Raw Data'!$B:$B,0)),"")</f>
        <v/>
      </c>
      <c r="P911" t="str">
        <f t="array" ref="P911">IFERROR(INDEX('Day Range Raw Data'!X:X,Match($A911,'Day Range Raw Data'!$B:$B,0)),"")</f>
        <v/>
      </c>
      <c r="Q911" t="str">
        <f t="shared" si="1"/>
        <v/>
      </c>
      <c r="R911" s="9" t="str">
        <f t="shared" si="2"/>
        <v/>
      </c>
      <c r="S911" s="14" t="str">
        <f t="shared" si="3"/>
        <v/>
      </c>
      <c r="T911" s="15" t="str">
        <f>IFERROR(__xludf.DUMMYFUNCTION("IF($A911="""","""",IFERROR(PERCENTRANK.INC(FILTER(Q:Q,$F:$F&lt;&gt;""""),Q911)*100,""""))"),"")</f>
        <v/>
      </c>
      <c r="U911" s="15" t="str">
        <f>IFERROR(__xludf.DUMMYFUNCTION("IF($A911="""","""",IFERROR(PERCENTRANK.INC(FILTER(R:R,$F:$F&lt;&gt;""""),R911)*100,""""))"),"")</f>
        <v/>
      </c>
      <c r="V911" s="15" t="str">
        <f>IFERROR(__xludf.DUMMYFUNCTION("IF($A911="""","""",IFERROR(PERCENTRANK.INC(FILTER(S:S,$F:$F&lt;&gt;""""),S911)*100,""""))"),"")</f>
        <v/>
      </c>
      <c r="W911" s="15" t="str">
        <f t="shared" si="5"/>
        <v/>
      </c>
    </row>
    <row r="912">
      <c r="B912" t="str">
        <f t="array" ref="B912">IFERROR(INDEX('Player Raw Data'!C:C,Match($A912,'Player Raw Data'!$B:$B,0)),"")</f>
        <v/>
      </c>
      <c r="C912" t="str">
        <f t="array" ref="C912">IFERROR(INDEX('Player Raw Data'!D:D,Match($A912,'Player Raw Data'!$B:$B,0)),"")</f>
        <v/>
      </c>
      <c r="D912" t="str">
        <f t="array" ref="D912">IFERROR(IF(A912=A911, INDEX('Player Raw Data'!E:E,Match($A912,'Player Raw Data'!$B:$B,0)+2),INDEX('Player Raw Data'!E:E,Match($A912,'Player Raw Data'!$B:$B,0))),"")</f>
        <v/>
      </c>
      <c r="E912" t="str">
        <f t="array" ref="E912">IFERROR(INDEX('Day Range Raw Data'!D:D,Match($A912,'Day Range Raw Data'!$B:$B,0)),"")</f>
        <v/>
      </c>
      <c r="F912" t="str">
        <f t="array" ref="F912">IFERROR(INDEX('Day Range Raw Data'!F:F,Match($A912,'Day Range Raw Data'!$B:$B,0)),"")</f>
        <v/>
      </c>
      <c r="G912" t="str">
        <f t="array" ref="G912">IFERROR(INDEX('Day Range Raw Data'!G:G,Match($A912,'Day Range Raw Data'!$B:$B,0)),"")</f>
        <v/>
      </c>
      <c r="H912" t="str">
        <f t="array" ref="H912">IFERROR(INDEX('Day Range Raw Data'!H:H,Match($A912,'Day Range Raw Data'!$B:$B,0)),"")</f>
        <v/>
      </c>
      <c r="I912" t="str">
        <f t="array" ref="I912">IFERROR(INDEX('Day Range Raw Data'!M:M,Match($A912,'Day Range Raw Data'!$B:$B,0)),"")</f>
        <v/>
      </c>
      <c r="J912" t="str">
        <f t="array" ref="J912">IFERROR(INDEX('Day Range Raw Data'!N:N,Match($A912,'Day Range Raw Data'!$B:$B,0)),"")</f>
        <v/>
      </c>
      <c r="K912" t="str">
        <f t="array" ref="K912">IFERROR(INDEX('Day Range Raw Data'!R:R,Match($A912,'Day Range Raw Data'!$B:$B,0)),"")</f>
        <v/>
      </c>
      <c r="L912" t="str">
        <f t="array" ref="L912">IFERROR(INDEX('Day Range Raw Data'!S:S,Match($A912,'Day Range Raw Data'!$B:$B,0)),"")</f>
        <v/>
      </c>
      <c r="M912" t="str">
        <f t="array" ref="M912">IFERROR(INDEX('Day Range Raw Data'!T:T,Match($A912,'Day Range Raw Data'!$B:$B,0)),"")</f>
        <v/>
      </c>
      <c r="N912" t="str">
        <f t="array" ref="N912">IFERROR(INDEX('Day Range Raw Data'!U:U,Match($A912,'Day Range Raw Data'!$B:$B,0)),"")</f>
        <v/>
      </c>
      <c r="O912" t="str">
        <f t="array" ref="O912">IFERROR(INDEX('Day Range Raw Data'!V:V,Match($A912,'Day Range Raw Data'!$B:$B,0)),"")</f>
        <v/>
      </c>
      <c r="P912" t="str">
        <f t="array" ref="P912">IFERROR(INDEX('Day Range Raw Data'!X:X,Match($A912,'Day Range Raw Data'!$B:$B,0)),"")</f>
        <v/>
      </c>
      <c r="Q912" t="str">
        <f t="shared" si="1"/>
        <v/>
      </c>
      <c r="R912" s="9" t="str">
        <f t="shared" si="2"/>
        <v/>
      </c>
      <c r="S912" s="14" t="str">
        <f t="shared" si="3"/>
        <v/>
      </c>
      <c r="T912" s="15" t="str">
        <f>IFERROR(__xludf.DUMMYFUNCTION("IF($A912="""","""",IFERROR(PERCENTRANK.INC(FILTER(Q:Q,$F:$F&lt;&gt;""""),Q912)*100,""""))"),"")</f>
        <v/>
      </c>
      <c r="U912" s="15" t="str">
        <f>IFERROR(__xludf.DUMMYFUNCTION("IF($A912="""","""",IFERROR(PERCENTRANK.INC(FILTER(R:R,$F:$F&lt;&gt;""""),R912)*100,""""))"),"")</f>
        <v/>
      </c>
      <c r="V912" s="15" t="str">
        <f>IFERROR(__xludf.DUMMYFUNCTION("IF($A912="""","""",IFERROR(PERCENTRANK.INC(FILTER(S:S,$F:$F&lt;&gt;""""),S912)*100,""""))"),"")</f>
        <v/>
      </c>
      <c r="W912" s="15" t="str">
        <f t="shared" si="5"/>
        <v/>
      </c>
    </row>
    <row r="913">
      <c r="B913" t="str">
        <f t="array" ref="B913">IFERROR(INDEX('Player Raw Data'!C:C,Match($A913,'Player Raw Data'!$B:$B,0)),"")</f>
        <v/>
      </c>
      <c r="C913" t="str">
        <f t="array" ref="C913">IFERROR(INDEX('Player Raw Data'!D:D,Match($A913,'Player Raw Data'!$B:$B,0)),"")</f>
        <v/>
      </c>
      <c r="D913" t="str">
        <f t="array" ref="D913">IFERROR(IF(A913=A912, INDEX('Player Raw Data'!E:E,Match($A913,'Player Raw Data'!$B:$B,0)+2),INDEX('Player Raw Data'!E:E,Match($A913,'Player Raw Data'!$B:$B,0))),"")</f>
        <v/>
      </c>
      <c r="E913" t="str">
        <f t="array" ref="E913">IFERROR(INDEX('Day Range Raw Data'!D:D,Match($A913,'Day Range Raw Data'!$B:$B,0)),"")</f>
        <v/>
      </c>
      <c r="F913" t="str">
        <f t="array" ref="F913">IFERROR(INDEX('Day Range Raw Data'!F:F,Match($A913,'Day Range Raw Data'!$B:$B,0)),"")</f>
        <v/>
      </c>
      <c r="G913" t="str">
        <f t="array" ref="G913">IFERROR(INDEX('Day Range Raw Data'!G:G,Match($A913,'Day Range Raw Data'!$B:$B,0)),"")</f>
        <v/>
      </c>
      <c r="H913" t="str">
        <f t="array" ref="H913">IFERROR(INDEX('Day Range Raw Data'!H:H,Match($A913,'Day Range Raw Data'!$B:$B,0)),"")</f>
        <v/>
      </c>
      <c r="I913" t="str">
        <f t="array" ref="I913">IFERROR(INDEX('Day Range Raw Data'!M:M,Match($A913,'Day Range Raw Data'!$B:$B,0)),"")</f>
        <v/>
      </c>
      <c r="J913" t="str">
        <f t="array" ref="J913">IFERROR(INDEX('Day Range Raw Data'!N:N,Match($A913,'Day Range Raw Data'!$B:$B,0)),"")</f>
        <v/>
      </c>
      <c r="K913" t="str">
        <f t="array" ref="K913">IFERROR(INDEX('Day Range Raw Data'!R:R,Match($A913,'Day Range Raw Data'!$B:$B,0)),"")</f>
        <v/>
      </c>
      <c r="L913" t="str">
        <f t="array" ref="L913">IFERROR(INDEX('Day Range Raw Data'!S:S,Match($A913,'Day Range Raw Data'!$B:$B,0)),"")</f>
        <v/>
      </c>
      <c r="M913" t="str">
        <f t="array" ref="M913">IFERROR(INDEX('Day Range Raw Data'!T:T,Match($A913,'Day Range Raw Data'!$B:$B,0)),"")</f>
        <v/>
      </c>
      <c r="N913" t="str">
        <f t="array" ref="N913">IFERROR(INDEX('Day Range Raw Data'!U:U,Match($A913,'Day Range Raw Data'!$B:$B,0)),"")</f>
        <v/>
      </c>
      <c r="O913" t="str">
        <f t="array" ref="O913">IFERROR(INDEX('Day Range Raw Data'!V:V,Match($A913,'Day Range Raw Data'!$B:$B,0)),"")</f>
        <v/>
      </c>
      <c r="P913" t="str">
        <f t="array" ref="P913">IFERROR(INDEX('Day Range Raw Data'!X:X,Match($A913,'Day Range Raw Data'!$B:$B,0)),"")</f>
        <v/>
      </c>
      <c r="Q913" t="str">
        <f t="shared" si="1"/>
        <v/>
      </c>
      <c r="R913" s="9" t="str">
        <f t="shared" si="2"/>
        <v/>
      </c>
      <c r="S913" s="14" t="str">
        <f t="shared" si="3"/>
        <v/>
      </c>
      <c r="T913" s="15" t="str">
        <f>IFERROR(__xludf.DUMMYFUNCTION("IF($A913="""","""",IFERROR(PERCENTRANK.INC(FILTER(Q:Q,$F:$F&lt;&gt;""""),Q913)*100,""""))"),"")</f>
        <v/>
      </c>
      <c r="U913" s="15" t="str">
        <f>IFERROR(__xludf.DUMMYFUNCTION("IF($A913="""","""",IFERROR(PERCENTRANK.INC(FILTER(R:R,$F:$F&lt;&gt;""""),R913)*100,""""))"),"")</f>
        <v/>
      </c>
      <c r="V913" s="15" t="str">
        <f>IFERROR(__xludf.DUMMYFUNCTION("IF($A913="""","""",IFERROR(PERCENTRANK.INC(FILTER(S:S,$F:$F&lt;&gt;""""),S913)*100,""""))"),"")</f>
        <v/>
      </c>
      <c r="W913" s="15" t="str">
        <f t="shared" si="5"/>
        <v/>
      </c>
    </row>
    <row r="914">
      <c r="B914" t="str">
        <f t="array" ref="B914">IFERROR(INDEX('Player Raw Data'!C:C,Match($A914,'Player Raw Data'!$B:$B,0)),"")</f>
        <v/>
      </c>
      <c r="C914" t="str">
        <f t="array" ref="C914">IFERROR(INDEX('Player Raw Data'!D:D,Match($A914,'Player Raw Data'!$B:$B,0)),"")</f>
        <v/>
      </c>
      <c r="D914" t="str">
        <f t="array" ref="D914">IFERROR(IF(A914=A913, INDEX('Player Raw Data'!E:E,Match($A914,'Player Raw Data'!$B:$B,0)+2),INDEX('Player Raw Data'!E:E,Match($A914,'Player Raw Data'!$B:$B,0))),"")</f>
        <v/>
      </c>
      <c r="E914" t="str">
        <f t="array" ref="E914">IFERROR(INDEX('Day Range Raw Data'!D:D,Match($A914,'Day Range Raw Data'!$B:$B,0)),"")</f>
        <v/>
      </c>
      <c r="F914" t="str">
        <f t="array" ref="F914">IFERROR(INDEX('Day Range Raw Data'!F:F,Match($A914,'Day Range Raw Data'!$B:$B,0)),"")</f>
        <v/>
      </c>
      <c r="G914" t="str">
        <f t="array" ref="G914">IFERROR(INDEX('Day Range Raw Data'!G:G,Match($A914,'Day Range Raw Data'!$B:$B,0)),"")</f>
        <v/>
      </c>
      <c r="H914" t="str">
        <f t="array" ref="H914">IFERROR(INDEX('Day Range Raw Data'!H:H,Match($A914,'Day Range Raw Data'!$B:$B,0)),"")</f>
        <v/>
      </c>
      <c r="I914" t="str">
        <f t="array" ref="I914">IFERROR(INDEX('Day Range Raw Data'!M:M,Match($A914,'Day Range Raw Data'!$B:$B,0)),"")</f>
        <v/>
      </c>
      <c r="J914" t="str">
        <f t="array" ref="J914">IFERROR(INDEX('Day Range Raw Data'!N:N,Match($A914,'Day Range Raw Data'!$B:$B,0)),"")</f>
        <v/>
      </c>
      <c r="K914" t="str">
        <f t="array" ref="K914">IFERROR(INDEX('Day Range Raw Data'!R:R,Match($A914,'Day Range Raw Data'!$B:$B,0)),"")</f>
        <v/>
      </c>
      <c r="L914" t="str">
        <f t="array" ref="L914">IFERROR(INDEX('Day Range Raw Data'!S:S,Match($A914,'Day Range Raw Data'!$B:$B,0)),"")</f>
        <v/>
      </c>
      <c r="M914" t="str">
        <f t="array" ref="M914">IFERROR(INDEX('Day Range Raw Data'!T:T,Match($A914,'Day Range Raw Data'!$B:$B,0)),"")</f>
        <v/>
      </c>
      <c r="N914" t="str">
        <f t="array" ref="N914">IFERROR(INDEX('Day Range Raw Data'!U:U,Match($A914,'Day Range Raw Data'!$B:$B,0)),"")</f>
        <v/>
      </c>
      <c r="O914" t="str">
        <f t="array" ref="O914">IFERROR(INDEX('Day Range Raw Data'!V:V,Match($A914,'Day Range Raw Data'!$B:$B,0)),"")</f>
        <v/>
      </c>
      <c r="P914" t="str">
        <f t="array" ref="P914">IFERROR(INDEX('Day Range Raw Data'!X:X,Match($A914,'Day Range Raw Data'!$B:$B,0)),"")</f>
        <v/>
      </c>
      <c r="Q914" t="str">
        <f t="shared" si="1"/>
        <v/>
      </c>
      <c r="R914" s="9" t="str">
        <f t="shared" si="2"/>
        <v/>
      </c>
      <c r="S914" s="14" t="str">
        <f t="shared" si="3"/>
        <v/>
      </c>
      <c r="T914" s="15" t="str">
        <f>IFERROR(__xludf.DUMMYFUNCTION("IF($A914="""","""",IFERROR(PERCENTRANK.INC(FILTER(Q:Q,$F:$F&lt;&gt;""""),Q914)*100,""""))"),"")</f>
        <v/>
      </c>
      <c r="U914" s="15" t="str">
        <f>IFERROR(__xludf.DUMMYFUNCTION("IF($A914="""","""",IFERROR(PERCENTRANK.INC(FILTER(R:R,$F:$F&lt;&gt;""""),R914)*100,""""))"),"")</f>
        <v/>
      </c>
      <c r="V914" s="15" t="str">
        <f>IFERROR(__xludf.DUMMYFUNCTION("IF($A914="""","""",IFERROR(PERCENTRANK.INC(FILTER(S:S,$F:$F&lt;&gt;""""),S914)*100,""""))"),"")</f>
        <v/>
      </c>
      <c r="W914" s="15" t="str">
        <f t="shared" si="5"/>
        <v/>
      </c>
    </row>
    <row r="915">
      <c r="B915" t="str">
        <f t="array" ref="B915">IFERROR(INDEX('Player Raw Data'!C:C,Match($A915,'Player Raw Data'!$B:$B,0)),"")</f>
        <v/>
      </c>
      <c r="C915" t="str">
        <f t="array" ref="C915">IFERROR(INDEX('Player Raw Data'!D:D,Match($A915,'Player Raw Data'!$B:$B,0)),"")</f>
        <v/>
      </c>
      <c r="D915" t="str">
        <f t="array" ref="D915">IFERROR(IF(A915=A914, INDEX('Player Raw Data'!E:E,Match($A915,'Player Raw Data'!$B:$B,0)+2),INDEX('Player Raw Data'!E:E,Match($A915,'Player Raw Data'!$B:$B,0))),"")</f>
        <v/>
      </c>
      <c r="E915" t="str">
        <f t="array" ref="E915">IFERROR(INDEX('Day Range Raw Data'!D:D,Match($A915,'Day Range Raw Data'!$B:$B,0)),"")</f>
        <v/>
      </c>
      <c r="F915" t="str">
        <f t="array" ref="F915">IFERROR(INDEX('Day Range Raw Data'!F:F,Match($A915,'Day Range Raw Data'!$B:$B,0)),"")</f>
        <v/>
      </c>
      <c r="G915" t="str">
        <f t="array" ref="G915">IFERROR(INDEX('Day Range Raw Data'!G:G,Match($A915,'Day Range Raw Data'!$B:$B,0)),"")</f>
        <v/>
      </c>
      <c r="H915" t="str">
        <f t="array" ref="H915">IFERROR(INDEX('Day Range Raw Data'!H:H,Match($A915,'Day Range Raw Data'!$B:$B,0)),"")</f>
        <v/>
      </c>
      <c r="I915" t="str">
        <f t="array" ref="I915">IFERROR(INDEX('Day Range Raw Data'!M:M,Match($A915,'Day Range Raw Data'!$B:$B,0)),"")</f>
        <v/>
      </c>
      <c r="J915" t="str">
        <f t="array" ref="J915">IFERROR(INDEX('Day Range Raw Data'!N:N,Match($A915,'Day Range Raw Data'!$B:$B,0)),"")</f>
        <v/>
      </c>
      <c r="K915" t="str">
        <f t="array" ref="K915">IFERROR(INDEX('Day Range Raw Data'!R:R,Match($A915,'Day Range Raw Data'!$B:$B,0)),"")</f>
        <v/>
      </c>
      <c r="L915" t="str">
        <f t="array" ref="L915">IFERROR(INDEX('Day Range Raw Data'!S:S,Match($A915,'Day Range Raw Data'!$B:$B,0)),"")</f>
        <v/>
      </c>
      <c r="M915" t="str">
        <f t="array" ref="M915">IFERROR(INDEX('Day Range Raw Data'!T:T,Match($A915,'Day Range Raw Data'!$B:$B,0)),"")</f>
        <v/>
      </c>
      <c r="N915" t="str">
        <f t="array" ref="N915">IFERROR(INDEX('Day Range Raw Data'!U:U,Match($A915,'Day Range Raw Data'!$B:$B,0)),"")</f>
        <v/>
      </c>
      <c r="O915" t="str">
        <f t="array" ref="O915">IFERROR(INDEX('Day Range Raw Data'!V:V,Match($A915,'Day Range Raw Data'!$B:$B,0)),"")</f>
        <v/>
      </c>
      <c r="P915" t="str">
        <f t="array" ref="P915">IFERROR(INDEX('Day Range Raw Data'!X:X,Match($A915,'Day Range Raw Data'!$B:$B,0)),"")</f>
        <v/>
      </c>
      <c r="Q915" t="str">
        <f t="shared" si="1"/>
        <v/>
      </c>
      <c r="R915" s="9" t="str">
        <f t="shared" si="2"/>
        <v/>
      </c>
      <c r="S915" s="14" t="str">
        <f t="shared" si="3"/>
        <v/>
      </c>
      <c r="T915" s="15" t="str">
        <f>IFERROR(__xludf.DUMMYFUNCTION("IF($A915="""","""",IFERROR(PERCENTRANK.INC(FILTER(Q:Q,$F:$F&lt;&gt;""""),Q915)*100,""""))"),"")</f>
        <v/>
      </c>
      <c r="U915" s="15" t="str">
        <f>IFERROR(__xludf.DUMMYFUNCTION("IF($A915="""","""",IFERROR(PERCENTRANK.INC(FILTER(R:R,$F:$F&lt;&gt;""""),R915)*100,""""))"),"")</f>
        <v/>
      </c>
      <c r="V915" s="15" t="str">
        <f>IFERROR(__xludf.DUMMYFUNCTION("IF($A915="""","""",IFERROR(PERCENTRANK.INC(FILTER(S:S,$F:$F&lt;&gt;""""),S915)*100,""""))"),"")</f>
        <v/>
      </c>
      <c r="W915" s="15" t="str">
        <f t="shared" si="5"/>
        <v/>
      </c>
    </row>
    <row r="916">
      <c r="B916" t="str">
        <f t="array" ref="B916">IFERROR(INDEX('Player Raw Data'!C:C,Match($A916,'Player Raw Data'!$B:$B,0)),"")</f>
        <v/>
      </c>
      <c r="C916" t="str">
        <f t="array" ref="C916">IFERROR(INDEX('Player Raw Data'!D:D,Match($A916,'Player Raw Data'!$B:$B,0)),"")</f>
        <v/>
      </c>
      <c r="D916" t="str">
        <f t="array" ref="D916">IFERROR(IF(A916=A915, INDEX('Player Raw Data'!E:E,Match($A916,'Player Raw Data'!$B:$B,0)+2),INDEX('Player Raw Data'!E:E,Match($A916,'Player Raw Data'!$B:$B,0))),"")</f>
        <v/>
      </c>
      <c r="E916" t="str">
        <f t="array" ref="E916">IFERROR(INDEX('Day Range Raw Data'!D:D,Match($A916,'Day Range Raw Data'!$B:$B,0)),"")</f>
        <v/>
      </c>
      <c r="F916" t="str">
        <f t="array" ref="F916">IFERROR(INDEX('Day Range Raw Data'!F:F,Match($A916,'Day Range Raw Data'!$B:$B,0)),"")</f>
        <v/>
      </c>
      <c r="G916" t="str">
        <f t="array" ref="G916">IFERROR(INDEX('Day Range Raw Data'!G:G,Match($A916,'Day Range Raw Data'!$B:$B,0)),"")</f>
        <v/>
      </c>
      <c r="H916" t="str">
        <f t="array" ref="H916">IFERROR(INDEX('Day Range Raw Data'!H:H,Match($A916,'Day Range Raw Data'!$B:$B,0)),"")</f>
        <v/>
      </c>
      <c r="I916" t="str">
        <f t="array" ref="I916">IFERROR(INDEX('Day Range Raw Data'!M:M,Match($A916,'Day Range Raw Data'!$B:$B,0)),"")</f>
        <v/>
      </c>
      <c r="J916" t="str">
        <f t="array" ref="J916">IFERROR(INDEX('Day Range Raw Data'!N:N,Match($A916,'Day Range Raw Data'!$B:$B,0)),"")</f>
        <v/>
      </c>
      <c r="K916" t="str">
        <f t="array" ref="K916">IFERROR(INDEX('Day Range Raw Data'!R:R,Match($A916,'Day Range Raw Data'!$B:$B,0)),"")</f>
        <v/>
      </c>
      <c r="L916" t="str">
        <f t="array" ref="L916">IFERROR(INDEX('Day Range Raw Data'!S:S,Match($A916,'Day Range Raw Data'!$B:$B,0)),"")</f>
        <v/>
      </c>
      <c r="M916" t="str">
        <f t="array" ref="M916">IFERROR(INDEX('Day Range Raw Data'!T:T,Match($A916,'Day Range Raw Data'!$B:$B,0)),"")</f>
        <v/>
      </c>
      <c r="N916" t="str">
        <f t="array" ref="N916">IFERROR(INDEX('Day Range Raw Data'!U:U,Match($A916,'Day Range Raw Data'!$B:$B,0)),"")</f>
        <v/>
      </c>
      <c r="O916" t="str">
        <f t="array" ref="O916">IFERROR(INDEX('Day Range Raw Data'!V:V,Match($A916,'Day Range Raw Data'!$B:$B,0)),"")</f>
        <v/>
      </c>
      <c r="P916" t="str">
        <f t="array" ref="P916">IFERROR(INDEX('Day Range Raw Data'!X:X,Match($A916,'Day Range Raw Data'!$B:$B,0)),"")</f>
        <v/>
      </c>
      <c r="Q916" t="str">
        <f t="shared" si="1"/>
        <v/>
      </c>
      <c r="R916" s="9" t="str">
        <f t="shared" si="2"/>
        <v/>
      </c>
      <c r="S916" s="14" t="str">
        <f t="shared" si="3"/>
        <v/>
      </c>
      <c r="T916" s="15" t="str">
        <f>IFERROR(__xludf.DUMMYFUNCTION("IF($A916="""","""",IFERROR(PERCENTRANK.INC(FILTER(Q:Q,$F:$F&lt;&gt;""""),Q916)*100,""""))"),"")</f>
        <v/>
      </c>
      <c r="U916" s="15" t="str">
        <f>IFERROR(__xludf.DUMMYFUNCTION("IF($A916="""","""",IFERROR(PERCENTRANK.INC(FILTER(R:R,$F:$F&lt;&gt;""""),R916)*100,""""))"),"")</f>
        <v/>
      </c>
      <c r="V916" s="15" t="str">
        <f>IFERROR(__xludf.DUMMYFUNCTION("IF($A916="""","""",IFERROR(PERCENTRANK.INC(FILTER(S:S,$F:$F&lt;&gt;""""),S916)*100,""""))"),"")</f>
        <v/>
      </c>
      <c r="W916" s="15" t="str">
        <f t="shared" si="5"/>
        <v/>
      </c>
    </row>
    <row r="917">
      <c r="B917" t="str">
        <f t="array" ref="B917">IFERROR(INDEX('Player Raw Data'!C:C,Match($A917,'Player Raw Data'!$B:$B,0)),"")</f>
        <v/>
      </c>
      <c r="C917" t="str">
        <f t="array" ref="C917">IFERROR(INDEX('Player Raw Data'!D:D,Match($A917,'Player Raw Data'!$B:$B,0)),"")</f>
        <v/>
      </c>
      <c r="D917" t="str">
        <f t="array" ref="D917">IFERROR(IF(A917=A916, INDEX('Player Raw Data'!E:E,Match($A917,'Player Raw Data'!$B:$B,0)+2),INDEX('Player Raw Data'!E:E,Match($A917,'Player Raw Data'!$B:$B,0))),"")</f>
        <v/>
      </c>
      <c r="E917" t="str">
        <f t="array" ref="E917">IFERROR(INDEX('Day Range Raw Data'!D:D,Match($A917,'Day Range Raw Data'!$B:$B,0)),"")</f>
        <v/>
      </c>
      <c r="F917" t="str">
        <f t="array" ref="F917">IFERROR(INDEX('Day Range Raw Data'!F:F,Match($A917,'Day Range Raw Data'!$B:$B,0)),"")</f>
        <v/>
      </c>
      <c r="G917" t="str">
        <f t="array" ref="G917">IFERROR(INDEX('Day Range Raw Data'!G:G,Match($A917,'Day Range Raw Data'!$B:$B,0)),"")</f>
        <v/>
      </c>
      <c r="H917" t="str">
        <f t="array" ref="H917">IFERROR(INDEX('Day Range Raw Data'!H:H,Match($A917,'Day Range Raw Data'!$B:$B,0)),"")</f>
        <v/>
      </c>
      <c r="I917" t="str">
        <f t="array" ref="I917">IFERROR(INDEX('Day Range Raw Data'!M:M,Match($A917,'Day Range Raw Data'!$B:$B,0)),"")</f>
        <v/>
      </c>
      <c r="J917" t="str">
        <f t="array" ref="J917">IFERROR(INDEX('Day Range Raw Data'!N:N,Match($A917,'Day Range Raw Data'!$B:$B,0)),"")</f>
        <v/>
      </c>
      <c r="K917" t="str">
        <f t="array" ref="K917">IFERROR(INDEX('Day Range Raw Data'!R:R,Match($A917,'Day Range Raw Data'!$B:$B,0)),"")</f>
        <v/>
      </c>
      <c r="L917" t="str">
        <f t="array" ref="L917">IFERROR(INDEX('Day Range Raw Data'!S:S,Match($A917,'Day Range Raw Data'!$B:$B,0)),"")</f>
        <v/>
      </c>
      <c r="M917" t="str">
        <f t="array" ref="M917">IFERROR(INDEX('Day Range Raw Data'!T:T,Match($A917,'Day Range Raw Data'!$B:$B,0)),"")</f>
        <v/>
      </c>
      <c r="N917" t="str">
        <f t="array" ref="N917">IFERROR(INDEX('Day Range Raw Data'!U:U,Match($A917,'Day Range Raw Data'!$B:$B,0)),"")</f>
        <v/>
      </c>
      <c r="O917" t="str">
        <f t="array" ref="O917">IFERROR(INDEX('Day Range Raw Data'!V:V,Match($A917,'Day Range Raw Data'!$B:$B,0)),"")</f>
        <v/>
      </c>
      <c r="P917" t="str">
        <f t="array" ref="P917">IFERROR(INDEX('Day Range Raw Data'!X:X,Match($A917,'Day Range Raw Data'!$B:$B,0)),"")</f>
        <v/>
      </c>
      <c r="Q917" t="str">
        <f t="shared" si="1"/>
        <v/>
      </c>
      <c r="R917" s="9" t="str">
        <f t="shared" si="2"/>
        <v/>
      </c>
      <c r="S917" s="14" t="str">
        <f t="shared" si="3"/>
        <v/>
      </c>
      <c r="T917" s="15" t="str">
        <f>IFERROR(__xludf.DUMMYFUNCTION("IF($A917="""","""",IFERROR(PERCENTRANK.INC(FILTER(Q:Q,$F:$F&lt;&gt;""""),Q917)*100,""""))"),"")</f>
        <v/>
      </c>
      <c r="U917" s="15" t="str">
        <f>IFERROR(__xludf.DUMMYFUNCTION("IF($A917="""","""",IFERROR(PERCENTRANK.INC(FILTER(R:R,$F:$F&lt;&gt;""""),R917)*100,""""))"),"")</f>
        <v/>
      </c>
      <c r="V917" s="15" t="str">
        <f>IFERROR(__xludf.DUMMYFUNCTION("IF($A917="""","""",IFERROR(PERCENTRANK.INC(FILTER(S:S,$F:$F&lt;&gt;""""),S917)*100,""""))"),"")</f>
        <v/>
      </c>
      <c r="W917" s="15" t="str">
        <f t="shared" si="5"/>
        <v/>
      </c>
    </row>
    <row r="918">
      <c r="B918" t="str">
        <f t="array" ref="B918">IFERROR(INDEX('Player Raw Data'!C:C,Match($A918,'Player Raw Data'!$B:$B,0)),"")</f>
        <v/>
      </c>
      <c r="C918" t="str">
        <f t="array" ref="C918">IFERROR(INDEX('Player Raw Data'!D:D,Match($A918,'Player Raw Data'!$B:$B,0)),"")</f>
        <v/>
      </c>
      <c r="D918" t="str">
        <f t="array" ref="D918">IFERROR(IF(A918=A917, INDEX('Player Raw Data'!E:E,Match($A918,'Player Raw Data'!$B:$B,0)+2),INDEX('Player Raw Data'!E:E,Match($A918,'Player Raw Data'!$B:$B,0))),"")</f>
        <v/>
      </c>
      <c r="E918" t="str">
        <f t="array" ref="E918">IFERROR(INDEX('Day Range Raw Data'!D:D,Match($A918,'Day Range Raw Data'!$B:$B,0)),"")</f>
        <v/>
      </c>
      <c r="F918" t="str">
        <f t="array" ref="F918">IFERROR(INDEX('Day Range Raw Data'!F:F,Match($A918,'Day Range Raw Data'!$B:$B,0)),"")</f>
        <v/>
      </c>
      <c r="G918" t="str">
        <f t="array" ref="G918">IFERROR(INDEX('Day Range Raw Data'!G:G,Match($A918,'Day Range Raw Data'!$B:$B,0)),"")</f>
        <v/>
      </c>
      <c r="H918" t="str">
        <f t="array" ref="H918">IFERROR(INDEX('Day Range Raw Data'!H:H,Match($A918,'Day Range Raw Data'!$B:$B,0)),"")</f>
        <v/>
      </c>
      <c r="I918" t="str">
        <f t="array" ref="I918">IFERROR(INDEX('Day Range Raw Data'!M:M,Match($A918,'Day Range Raw Data'!$B:$B,0)),"")</f>
        <v/>
      </c>
      <c r="J918" t="str">
        <f t="array" ref="J918">IFERROR(INDEX('Day Range Raw Data'!N:N,Match($A918,'Day Range Raw Data'!$B:$B,0)),"")</f>
        <v/>
      </c>
      <c r="K918" t="str">
        <f t="array" ref="K918">IFERROR(INDEX('Day Range Raw Data'!R:R,Match($A918,'Day Range Raw Data'!$B:$B,0)),"")</f>
        <v/>
      </c>
      <c r="L918" t="str">
        <f t="array" ref="L918">IFERROR(INDEX('Day Range Raw Data'!S:S,Match($A918,'Day Range Raw Data'!$B:$B,0)),"")</f>
        <v/>
      </c>
      <c r="M918" t="str">
        <f t="array" ref="M918">IFERROR(INDEX('Day Range Raw Data'!T:T,Match($A918,'Day Range Raw Data'!$B:$B,0)),"")</f>
        <v/>
      </c>
      <c r="N918" t="str">
        <f t="array" ref="N918">IFERROR(INDEX('Day Range Raw Data'!U:U,Match($A918,'Day Range Raw Data'!$B:$B,0)),"")</f>
        <v/>
      </c>
      <c r="O918" t="str">
        <f t="array" ref="O918">IFERROR(INDEX('Day Range Raw Data'!V:V,Match($A918,'Day Range Raw Data'!$B:$B,0)),"")</f>
        <v/>
      </c>
      <c r="P918" t="str">
        <f t="array" ref="P918">IFERROR(INDEX('Day Range Raw Data'!X:X,Match($A918,'Day Range Raw Data'!$B:$B,0)),"")</f>
        <v/>
      </c>
      <c r="Q918" t="str">
        <f t="shared" si="1"/>
        <v/>
      </c>
      <c r="R918" s="9" t="str">
        <f t="shared" si="2"/>
        <v/>
      </c>
      <c r="S918" s="14" t="str">
        <f t="shared" si="3"/>
        <v/>
      </c>
      <c r="T918" s="15" t="str">
        <f>IFERROR(__xludf.DUMMYFUNCTION("IF($A918="""","""",IFERROR(PERCENTRANK.INC(FILTER(Q:Q,$F:$F&lt;&gt;""""),Q918)*100,""""))"),"")</f>
        <v/>
      </c>
      <c r="U918" s="15" t="str">
        <f>IFERROR(__xludf.DUMMYFUNCTION("IF($A918="""","""",IFERROR(PERCENTRANK.INC(FILTER(R:R,$F:$F&lt;&gt;""""),R918)*100,""""))"),"")</f>
        <v/>
      </c>
      <c r="V918" s="15" t="str">
        <f>IFERROR(__xludf.DUMMYFUNCTION("IF($A918="""","""",IFERROR(PERCENTRANK.INC(FILTER(S:S,$F:$F&lt;&gt;""""),S918)*100,""""))"),"")</f>
        <v/>
      </c>
      <c r="W918" s="15" t="str">
        <f t="shared" si="5"/>
        <v/>
      </c>
    </row>
    <row r="919">
      <c r="B919" t="str">
        <f t="array" ref="B919">IFERROR(INDEX('Player Raw Data'!C:C,Match($A919,'Player Raw Data'!$B:$B,0)),"")</f>
        <v/>
      </c>
      <c r="C919" t="str">
        <f t="array" ref="C919">IFERROR(INDEX('Player Raw Data'!D:D,Match($A919,'Player Raw Data'!$B:$B,0)),"")</f>
        <v/>
      </c>
      <c r="D919" t="str">
        <f t="array" ref="D919">IFERROR(IF(A919=A918, INDEX('Player Raw Data'!E:E,Match($A919,'Player Raw Data'!$B:$B,0)+2),INDEX('Player Raw Data'!E:E,Match($A919,'Player Raw Data'!$B:$B,0))),"")</f>
        <v/>
      </c>
      <c r="E919" t="str">
        <f t="array" ref="E919">IFERROR(INDEX('Day Range Raw Data'!D:D,Match($A919,'Day Range Raw Data'!$B:$B,0)),"")</f>
        <v/>
      </c>
      <c r="F919" t="str">
        <f t="array" ref="F919">IFERROR(INDEX('Day Range Raw Data'!F:F,Match($A919,'Day Range Raw Data'!$B:$B,0)),"")</f>
        <v/>
      </c>
      <c r="G919" t="str">
        <f t="array" ref="G919">IFERROR(INDEX('Day Range Raw Data'!G:G,Match($A919,'Day Range Raw Data'!$B:$B,0)),"")</f>
        <v/>
      </c>
      <c r="H919" t="str">
        <f t="array" ref="H919">IFERROR(INDEX('Day Range Raw Data'!H:H,Match($A919,'Day Range Raw Data'!$B:$B,0)),"")</f>
        <v/>
      </c>
      <c r="I919" t="str">
        <f t="array" ref="I919">IFERROR(INDEX('Day Range Raw Data'!M:M,Match($A919,'Day Range Raw Data'!$B:$B,0)),"")</f>
        <v/>
      </c>
      <c r="J919" t="str">
        <f t="array" ref="J919">IFERROR(INDEX('Day Range Raw Data'!N:N,Match($A919,'Day Range Raw Data'!$B:$B,0)),"")</f>
        <v/>
      </c>
      <c r="K919" t="str">
        <f t="array" ref="K919">IFERROR(INDEX('Day Range Raw Data'!R:R,Match($A919,'Day Range Raw Data'!$B:$B,0)),"")</f>
        <v/>
      </c>
      <c r="L919" t="str">
        <f t="array" ref="L919">IFERROR(INDEX('Day Range Raw Data'!S:S,Match($A919,'Day Range Raw Data'!$B:$B,0)),"")</f>
        <v/>
      </c>
      <c r="M919" t="str">
        <f t="array" ref="M919">IFERROR(INDEX('Day Range Raw Data'!T:T,Match($A919,'Day Range Raw Data'!$B:$B,0)),"")</f>
        <v/>
      </c>
      <c r="N919" t="str">
        <f t="array" ref="N919">IFERROR(INDEX('Day Range Raw Data'!U:U,Match($A919,'Day Range Raw Data'!$B:$B,0)),"")</f>
        <v/>
      </c>
      <c r="O919" t="str">
        <f t="array" ref="O919">IFERROR(INDEX('Day Range Raw Data'!V:V,Match($A919,'Day Range Raw Data'!$B:$B,0)),"")</f>
        <v/>
      </c>
      <c r="P919" t="str">
        <f t="array" ref="P919">IFERROR(INDEX('Day Range Raw Data'!X:X,Match($A919,'Day Range Raw Data'!$B:$B,0)),"")</f>
        <v/>
      </c>
      <c r="Q919" t="str">
        <f t="shared" si="1"/>
        <v/>
      </c>
      <c r="R919" s="9" t="str">
        <f t="shared" si="2"/>
        <v/>
      </c>
      <c r="S919" s="14" t="str">
        <f t="shared" si="3"/>
        <v/>
      </c>
      <c r="T919" s="15" t="str">
        <f>IFERROR(__xludf.DUMMYFUNCTION("IF($A919="""","""",IFERROR(PERCENTRANK.INC(FILTER(Q:Q,$F:$F&lt;&gt;""""),Q919)*100,""""))"),"")</f>
        <v/>
      </c>
      <c r="U919" s="15" t="str">
        <f>IFERROR(__xludf.DUMMYFUNCTION("IF($A919="""","""",IFERROR(PERCENTRANK.INC(FILTER(R:R,$F:$F&lt;&gt;""""),R919)*100,""""))"),"")</f>
        <v/>
      </c>
      <c r="V919" s="15" t="str">
        <f>IFERROR(__xludf.DUMMYFUNCTION("IF($A919="""","""",IFERROR(PERCENTRANK.INC(FILTER(S:S,$F:$F&lt;&gt;""""),S919)*100,""""))"),"")</f>
        <v/>
      </c>
      <c r="W919" s="15" t="str">
        <f t="shared" si="5"/>
        <v/>
      </c>
    </row>
    <row r="920">
      <c r="B920" t="str">
        <f t="array" ref="B920">IFERROR(INDEX('Player Raw Data'!C:C,Match($A920,'Player Raw Data'!$B:$B,0)),"")</f>
        <v/>
      </c>
      <c r="C920" t="str">
        <f t="array" ref="C920">IFERROR(INDEX('Player Raw Data'!D:D,Match($A920,'Player Raw Data'!$B:$B,0)),"")</f>
        <v/>
      </c>
      <c r="D920" t="str">
        <f t="array" ref="D920">IFERROR(IF(A920=A919, INDEX('Player Raw Data'!E:E,Match($A920,'Player Raw Data'!$B:$B,0)+2),INDEX('Player Raw Data'!E:E,Match($A920,'Player Raw Data'!$B:$B,0))),"")</f>
        <v/>
      </c>
      <c r="E920" t="str">
        <f t="array" ref="E920">IFERROR(INDEX('Day Range Raw Data'!D:D,Match($A920,'Day Range Raw Data'!$B:$B,0)),"")</f>
        <v/>
      </c>
      <c r="F920" t="str">
        <f t="array" ref="F920">IFERROR(INDEX('Day Range Raw Data'!F:F,Match($A920,'Day Range Raw Data'!$B:$B,0)),"")</f>
        <v/>
      </c>
      <c r="G920" t="str">
        <f t="array" ref="G920">IFERROR(INDEX('Day Range Raw Data'!G:G,Match($A920,'Day Range Raw Data'!$B:$B,0)),"")</f>
        <v/>
      </c>
      <c r="H920" t="str">
        <f t="array" ref="H920">IFERROR(INDEX('Day Range Raw Data'!H:H,Match($A920,'Day Range Raw Data'!$B:$B,0)),"")</f>
        <v/>
      </c>
      <c r="I920" t="str">
        <f t="array" ref="I920">IFERROR(INDEX('Day Range Raw Data'!M:M,Match($A920,'Day Range Raw Data'!$B:$B,0)),"")</f>
        <v/>
      </c>
      <c r="J920" t="str">
        <f t="array" ref="J920">IFERROR(INDEX('Day Range Raw Data'!N:N,Match($A920,'Day Range Raw Data'!$B:$B,0)),"")</f>
        <v/>
      </c>
      <c r="K920" t="str">
        <f t="array" ref="K920">IFERROR(INDEX('Day Range Raw Data'!R:R,Match($A920,'Day Range Raw Data'!$B:$B,0)),"")</f>
        <v/>
      </c>
      <c r="L920" t="str">
        <f t="array" ref="L920">IFERROR(INDEX('Day Range Raw Data'!S:S,Match($A920,'Day Range Raw Data'!$B:$B,0)),"")</f>
        <v/>
      </c>
      <c r="M920" t="str">
        <f t="array" ref="M920">IFERROR(INDEX('Day Range Raw Data'!T:T,Match($A920,'Day Range Raw Data'!$B:$B,0)),"")</f>
        <v/>
      </c>
      <c r="N920" t="str">
        <f t="array" ref="N920">IFERROR(INDEX('Day Range Raw Data'!U:U,Match($A920,'Day Range Raw Data'!$B:$B,0)),"")</f>
        <v/>
      </c>
      <c r="O920" t="str">
        <f t="array" ref="O920">IFERROR(INDEX('Day Range Raw Data'!V:V,Match($A920,'Day Range Raw Data'!$B:$B,0)),"")</f>
        <v/>
      </c>
      <c r="P920" t="str">
        <f t="array" ref="P920">IFERROR(INDEX('Day Range Raw Data'!X:X,Match($A920,'Day Range Raw Data'!$B:$B,0)),"")</f>
        <v/>
      </c>
      <c r="Q920" t="str">
        <f t="shared" si="1"/>
        <v/>
      </c>
      <c r="R920" s="9" t="str">
        <f t="shared" si="2"/>
        <v/>
      </c>
      <c r="S920" s="14" t="str">
        <f t="shared" si="3"/>
        <v/>
      </c>
      <c r="T920" s="15" t="str">
        <f>IFERROR(__xludf.DUMMYFUNCTION("IF($A920="""","""",IFERROR(PERCENTRANK.INC(FILTER(Q:Q,$F:$F&lt;&gt;""""),Q920)*100,""""))"),"")</f>
        <v/>
      </c>
      <c r="U920" s="15" t="str">
        <f>IFERROR(__xludf.DUMMYFUNCTION("IF($A920="""","""",IFERROR(PERCENTRANK.INC(FILTER(R:R,$F:$F&lt;&gt;""""),R920)*100,""""))"),"")</f>
        <v/>
      </c>
      <c r="V920" s="15" t="str">
        <f>IFERROR(__xludf.DUMMYFUNCTION("IF($A920="""","""",IFERROR(PERCENTRANK.INC(FILTER(S:S,$F:$F&lt;&gt;""""),S920)*100,""""))"),"")</f>
        <v/>
      </c>
      <c r="W920" s="15" t="str">
        <f t="shared" si="5"/>
        <v/>
      </c>
    </row>
    <row r="921">
      <c r="B921" t="str">
        <f t="array" ref="B921">IFERROR(INDEX('Player Raw Data'!C:C,Match($A921,'Player Raw Data'!$B:$B,0)),"")</f>
        <v/>
      </c>
      <c r="C921" t="str">
        <f t="array" ref="C921">IFERROR(INDEX('Player Raw Data'!D:D,Match($A921,'Player Raw Data'!$B:$B,0)),"")</f>
        <v/>
      </c>
      <c r="D921" t="str">
        <f t="array" ref="D921">IFERROR(IF(A921=A920, INDEX('Player Raw Data'!E:E,Match($A921,'Player Raw Data'!$B:$B,0)+2),INDEX('Player Raw Data'!E:E,Match($A921,'Player Raw Data'!$B:$B,0))),"")</f>
        <v/>
      </c>
      <c r="E921" t="str">
        <f t="array" ref="E921">IFERROR(INDEX('Day Range Raw Data'!D:D,Match($A921,'Day Range Raw Data'!$B:$B,0)),"")</f>
        <v/>
      </c>
      <c r="F921" t="str">
        <f t="array" ref="F921">IFERROR(INDEX('Day Range Raw Data'!F:F,Match($A921,'Day Range Raw Data'!$B:$B,0)),"")</f>
        <v/>
      </c>
      <c r="G921" t="str">
        <f t="array" ref="G921">IFERROR(INDEX('Day Range Raw Data'!G:G,Match($A921,'Day Range Raw Data'!$B:$B,0)),"")</f>
        <v/>
      </c>
      <c r="H921" t="str">
        <f t="array" ref="H921">IFERROR(INDEX('Day Range Raw Data'!H:H,Match($A921,'Day Range Raw Data'!$B:$B,0)),"")</f>
        <v/>
      </c>
      <c r="I921" t="str">
        <f t="array" ref="I921">IFERROR(INDEX('Day Range Raw Data'!M:M,Match($A921,'Day Range Raw Data'!$B:$B,0)),"")</f>
        <v/>
      </c>
      <c r="J921" t="str">
        <f t="array" ref="J921">IFERROR(INDEX('Day Range Raw Data'!N:N,Match($A921,'Day Range Raw Data'!$B:$B,0)),"")</f>
        <v/>
      </c>
      <c r="K921" t="str">
        <f t="array" ref="K921">IFERROR(INDEX('Day Range Raw Data'!R:R,Match($A921,'Day Range Raw Data'!$B:$B,0)),"")</f>
        <v/>
      </c>
      <c r="L921" t="str">
        <f t="array" ref="L921">IFERROR(INDEX('Day Range Raw Data'!S:S,Match($A921,'Day Range Raw Data'!$B:$B,0)),"")</f>
        <v/>
      </c>
      <c r="M921" t="str">
        <f t="array" ref="M921">IFERROR(INDEX('Day Range Raw Data'!T:T,Match($A921,'Day Range Raw Data'!$B:$B,0)),"")</f>
        <v/>
      </c>
      <c r="N921" t="str">
        <f t="array" ref="N921">IFERROR(INDEX('Day Range Raw Data'!U:U,Match($A921,'Day Range Raw Data'!$B:$B,0)),"")</f>
        <v/>
      </c>
      <c r="O921" t="str">
        <f t="array" ref="O921">IFERROR(INDEX('Day Range Raw Data'!V:V,Match($A921,'Day Range Raw Data'!$B:$B,0)),"")</f>
        <v/>
      </c>
      <c r="P921" t="str">
        <f t="array" ref="P921">IFERROR(INDEX('Day Range Raw Data'!X:X,Match($A921,'Day Range Raw Data'!$B:$B,0)),"")</f>
        <v/>
      </c>
      <c r="Q921" t="str">
        <f t="shared" si="1"/>
        <v/>
      </c>
      <c r="R921" s="9" t="str">
        <f t="shared" si="2"/>
        <v/>
      </c>
      <c r="S921" s="14" t="str">
        <f t="shared" si="3"/>
        <v/>
      </c>
      <c r="T921" s="15" t="str">
        <f>IFERROR(__xludf.DUMMYFUNCTION("IF($A921="""","""",IFERROR(PERCENTRANK.INC(FILTER(Q:Q,$F:$F&lt;&gt;""""),Q921)*100,""""))"),"")</f>
        <v/>
      </c>
      <c r="U921" s="15" t="str">
        <f>IFERROR(__xludf.DUMMYFUNCTION("IF($A921="""","""",IFERROR(PERCENTRANK.INC(FILTER(R:R,$F:$F&lt;&gt;""""),R921)*100,""""))"),"")</f>
        <v/>
      </c>
      <c r="V921" s="15" t="str">
        <f>IFERROR(__xludf.DUMMYFUNCTION("IF($A921="""","""",IFERROR(PERCENTRANK.INC(FILTER(S:S,$F:$F&lt;&gt;""""),S921)*100,""""))"),"")</f>
        <v/>
      </c>
      <c r="W921" s="15" t="str">
        <f t="shared" si="5"/>
        <v/>
      </c>
    </row>
    <row r="922">
      <c r="B922" t="str">
        <f t="array" ref="B922">IFERROR(INDEX('Player Raw Data'!C:C,Match($A922,'Player Raw Data'!$B:$B,0)),"")</f>
        <v/>
      </c>
      <c r="C922" t="str">
        <f t="array" ref="C922">IFERROR(INDEX('Player Raw Data'!D:D,Match($A922,'Player Raw Data'!$B:$B,0)),"")</f>
        <v/>
      </c>
      <c r="D922" t="str">
        <f t="array" ref="D922">IFERROR(IF(A922=A921, INDEX('Player Raw Data'!E:E,Match($A922,'Player Raw Data'!$B:$B,0)+2),INDEX('Player Raw Data'!E:E,Match($A922,'Player Raw Data'!$B:$B,0))),"")</f>
        <v/>
      </c>
      <c r="E922" t="str">
        <f t="array" ref="E922">IFERROR(INDEX('Day Range Raw Data'!D:D,Match($A922,'Day Range Raw Data'!$B:$B,0)),"")</f>
        <v/>
      </c>
      <c r="F922" t="str">
        <f t="array" ref="F922">IFERROR(INDEX('Day Range Raw Data'!F:F,Match($A922,'Day Range Raw Data'!$B:$B,0)),"")</f>
        <v/>
      </c>
      <c r="G922" t="str">
        <f t="array" ref="G922">IFERROR(INDEX('Day Range Raw Data'!G:G,Match($A922,'Day Range Raw Data'!$B:$B,0)),"")</f>
        <v/>
      </c>
      <c r="H922" t="str">
        <f t="array" ref="H922">IFERROR(INDEX('Day Range Raw Data'!H:H,Match($A922,'Day Range Raw Data'!$B:$B,0)),"")</f>
        <v/>
      </c>
      <c r="I922" t="str">
        <f t="array" ref="I922">IFERROR(INDEX('Day Range Raw Data'!M:M,Match($A922,'Day Range Raw Data'!$B:$B,0)),"")</f>
        <v/>
      </c>
      <c r="J922" t="str">
        <f t="array" ref="J922">IFERROR(INDEX('Day Range Raw Data'!N:N,Match($A922,'Day Range Raw Data'!$B:$B,0)),"")</f>
        <v/>
      </c>
      <c r="K922" t="str">
        <f t="array" ref="K922">IFERROR(INDEX('Day Range Raw Data'!R:R,Match($A922,'Day Range Raw Data'!$B:$B,0)),"")</f>
        <v/>
      </c>
      <c r="L922" t="str">
        <f t="array" ref="L922">IFERROR(INDEX('Day Range Raw Data'!S:S,Match($A922,'Day Range Raw Data'!$B:$B,0)),"")</f>
        <v/>
      </c>
      <c r="M922" t="str">
        <f t="array" ref="M922">IFERROR(INDEX('Day Range Raw Data'!T:T,Match($A922,'Day Range Raw Data'!$B:$B,0)),"")</f>
        <v/>
      </c>
      <c r="N922" t="str">
        <f t="array" ref="N922">IFERROR(INDEX('Day Range Raw Data'!U:U,Match($A922,'Day Range Raw Data'!$B:$B,0)),"")</f>
        <v/>
      </c>
      <c r="O922" t="str">
        <f t="array" ref="O922">IFERROR(INDEX('Day Range Raw Data'!V:V,Match($A922,'Day Range Raw Data'!$B:$B,0)),"")</f>
        <v/>
      </c>
      <c r="P922" t="str">
        <f t="array" ref="P922">IFERROR(INDEX('Day Range Raw Data'!X:X,Match($A922,'Day Range Raw Data'!$B:$B,0)),"")</f>
        <v/>
      </c>
      <c r="Q922" t="str">
        <f t="shared" si="1"/>
        <v/>
      </c>
      <c r="R922" s="9" t="str">
        <f t="shared" si="2"/>
        <v/>
      </c>
      <c r="S922" s="14" t="str">
        <f t="shared" si="3"/>
        <v/>
      </c>
      <c r="T922" s="15" t="str">
        <f>IFERROR(__xludf.DUMMYFUNCTION("IF($A922="""","""",IFERROR(PERCENTRANK.INC(FILTER(Q:Q,$F:$F&lt;&gt;""""),Q922)*100,""""))"),"")</f>
        <v/>
      </c>
      <c r="U922" s="15" t="str">
        <f>IFERROR(__xludf.DUMMYFUNCTION("IF($A922="""","""",IFERROR(PERCENTRANK.INC(FILTER(R:R,$F:$F&lt;&gt;""""),R922)*100,""""))"),"")</f>
        <v/>
      </c>
      <c r="V922" s="15" t="str">
        <f>IFERROR(__xludf.DUMMYFUNCTION("IF($A922="""","""",IFERROR(PERCENTRANK.INC(FILTER(S:S,$F:$F&lt;&gt;""""),S922)*100,""""))"),"")</f>
        <v/>
      </c>
      <c r="W922" s="15" t="str">
        <f t="shared" si="5"/>
        <v/>
      </c>
    </row>
    <row r="923">
      <c r="B923" t="str">
        <f t="array" ref="B923">IFERROR(INDEX('Player Raw Data'!C:C,Match($A923,'Player Raw Data'!$B:$B,0)),"")</f>
        <v/>
      </c>
      <c r="C923" t="str">
        <f t="array" ref="C923">IFERROR(INDEX('Player Raw Data'!D:D,Match($A923,'Player Raw Data'!$B:$B,0)),"")</f>
        <v/>
      </c>
      <c r="D923" t="str">
        <f t="array" ref="D923">IFERROR(IF(A923=A922, INDEX('Player Raw Data'!E:E,Match($A923,'Player Raw Data'!$B:$B,0)+2),INDEX('Player Raw Data'!E:E,Match($A923,'Player Raw Data'!$B:$B,0))),"")</f>
        <v/>
      </c>
      <c r="E923" t="str">
        <f t="array" ref="E923">IFERROR(INDEX('Day Range Raw Data'!D:D,Match($A923,'Day Range Raw Data'!$B:$B,0)),"")</f>
        <v/>
      </c>
      <c r="F923" t="str">
        <f t="array" ref="F923">IFERROR(INDEX('Day Range Raw Data'!F:F,Match($A923,'Day Range Raw Data'!$B:$B,0)),"")</f>
        <v/>
      </c>
      <c r="G923" t="str">
        <f t="array" ref="G923">IFERROR(INDEX('Day Range Raw Data'!G:G,Match($A923,'Day Range Raw Data'!$B:$B,0)),"")</f>
        <v/>
      </c>
      <c r="H923" t="str">
        <f t="array" ref="H923">IFERROR(INDEX('Day Range Raw Data'!H:H,Match($A923,'Day Range Raw Data'!$B:$B,0)),"")</f>
        <v/>
      </c>
      <c r="I923" t="str">
        <f t="array" ref="I923">IFERROR(INDEX('Day Range Raw Data'!M:M,Match($A923,'Day Range Raw Data'!$B:$B,0)),"")</f>
        <v/>
      </c>
      <c r="J923" t="str">
        <f t="array" ref="J923">IFERROR(INDEX('Day Range Raw Data'!N:N,Match($A923,'Day Range Raw Data'!$B:$B,0)),"")</f>
        <v/>
      </c>
      <c r="K923" t="str">
        <f t="array" ref="K923">IFERROR(INDEX('Day Range Raw Data'!R:R,Match($A923,'Day Range Raw Data'!$B:$B,0)),"")</f>
        <v/>
      </c>
      <c r="L923" t="str">
        <f t="array" ref="L923">IFERROR(INDEX('Day Range Raw Data'!S:S,Match($A923,'Day Range Raw Data'!$B:$B,0)),"")</f>
        <v/>
      </c>
      <c r="M923" t="str">
        <f t="array" ref="M923">IFERROR(INDEX('Day Range Raw Data'!T:T,Match($A923,'Day Range Raw Data'!$B:$B,0)),"")</f>
        <v/>
      </c>
      <c r="N923" t="str">
        <f t="array" ref="N923">IFERROR(INDEX('Day Range Raw Data'!U:U,Match($A923,'Day Range Raw Data'!$B:$B,0)),"")</f>
        <v/>
      </c>
      <c r="O923" t="str">
        <f t="array" ref="O923">IFERROR(INDEX('Day Range Raw Data'!V:V,Match($A923,'Day Range Raw Data'!$B:$B,0)),"")</f>
        <v/>
      </c>
      <c r="P923" t="str">
        <f t="array" ref="P923">IFERROR(INDEX('Day Range Raw Data'!X:X,Match($A923,'Day Range Raw Data'!$B:$B,0)),"")</f>
        <v/>
      </c>
      <c r="Q923" t="str">
        <f t="shared" si="1"/>
        <v/>
      </c>
      <c r="R923" s="9" t="str">
        <f t="shared" si="2"/>
        <v/>
      </c>
      <c r="S923" s="14" t="str">
        <f t="shared" si="3"/>
        <v/>
      </c>
      <c r="T923" s="15" t="str">
        <f>IFERROR(__xludf.DUMMYFUNCTION("IF($A923="""","""",IFERROR(PERCENTRANK.INC(FILTER(Q:Q,$F:$F&lt;&gt;""""),Q923)*100,""""))"),"")</f>
        <v/>
      </c>
      <c r="U923" s="15" t="str">
        <f>IFERROR(__xludf.DUMMYFUNCTION("IF($A923="""","""",IFERROR(PERCENTRANK.INC(FILTER(R:R,$F:$F&lt;&gt;""""),R923)*100,""""))"),"")</f>
        <v/>
      </c>
      <c r="V923" s="15" t="str">
        <f>IFERROR(__xludf.DUMMYFUNCTION("IF($A923="""","""",IFERROR(PERCENTRANK.INC(FILTER(S:S,$F:$F&lt;&gt;""""),S923)*100,""""))"),"")</f>
        <v/>
      </c>
      <c r="W923" s="15" t="str">
        <f t="shared" si="5"/>
        <v/>
      </c>
    </row>
    <row r="924">
      <c r="B924" t="str">
        <f t="array" ref="B924">IFERROR(INDEX('Player Raw Data'!C:C,Match($A924,'Player Raw Data'!$B:$B,0)),"")</f>
        <v/>
      </c>
      <c r="C924" t="str">
        <f t="array" ref="C924">IFERROR(INDEX('Player Raw Data'!D:D,Match($A924,'Player Raw Data'!$B:$B,0)),"")</f>
        <v/>
      </c>
      <c r="D924" t="str">
        <f t="array" ref="D924">IFERROR(IF(A924=A923, INDEX('Player Raw Data'!E:E,Match($A924,'Player Raw Data'!$B:$B,0)+2),INDEX('Player Raw Data'!E:E,Match($A924,'Player Raw Data'!$B:$B,0))),"")</f>
        <v/>
      </c>
      <c r="E924" t="str">
        <f t="array" ref="E924">IFERROR(INDEX('Day Range Raw Data'!D:D,Match($A924,'Day Range Raw Data'!$B:$B,0)),"")</f>
        <v/>
      </c>
      <c r="F924" t="str">
        <f t="array" ref="F924">IFERROR(INDEX('Day Range Raw Data'!F:F,Match($A924,'Day Range Raw Data'!$B:$B,0)),"")</f>
        <v/>
      </c>
      <c r="G924" t="str">
        <f t="array" ref="G924">IFERROR(INDEX('Day Range Raw Data'!G:G,Match($A924,'Day Range Raw Data'!$B:$B,0)),"")</f>
        <v/>
      </c>
      <c r="H924" t="str">
        <f t="array" ref="H924">IFERROR(INDEX('Day Range Raw Data'!H:H,Match($A924,'Day Range Raw Data'!$B:$B,0)),"")</f>
        <v/>
      </c>
      <c r="I924" t="str">
        <f t="array" ref="I924">IFERROR(INDEX('Day Range Raw Data'!M:M,Match($A924,'Day Range Raw Data'!$B:$B,0)),"")</f>
        <v/>
      </c>
      <c r="J924" t="str">
        <f t="array" ref="J924">IFERROR(INDEX('Day Range Raw Data'!N:N,Match($A924,'Day Range Raw Data'!$B:$B,0)),"")</f>
        <v/>
      </c>
      <c r="K924" t="str">
        <f t="array" ref="K924">IFERROR(INDEX('Day Range Raw Data'!R:R,Match($A924,'Day Range Raw Data'!$B:$B,0)),"")</f>
        <v/>
      </c>
      <c r="L924" t="str">
        <f t="array" ref="L924">IFERROR(INDEX('Day Range Raw Data'!S:S,Match($A924,'Day Range Raw Data'!$B:$B,0)),"")</f>
        <v/>
      </c>
      <c r="M924" t="str">
        <f t="array" ref="M924">IFERROR(INDEX('Day Range Raw Data'!T:T,Match($A924,'Day Range Raw Data'!$B:$B,0)),"")</f>
        <v/>
      </c>
      <c r="N924" t="str">
        <f t="array" ref="N924">IFERROR(INDEX('Day Range Raw Data'!U:U,Match($A924,'Day Range Raw Data'!$B:$B,0)),"")</f>
        <v/>
      </c>
      <c r="O924" t="str">
        <f t="array" ref="O924">IFERROR(INDEX('Day Range Raw Data'!V:V,Match($A924,'Day Range Raw Data'!$B:$B,0)),"")</f>
        <v/>
      </c>
      <c r="P924" t="str">
        <f t="array" ref="P924">IFERROR(INDEX('Day Range Raw Data'!X:X,Match($A924,'Day Range Raw Data'!$B:$B,0)),"")</f>
        <v/>
      </c>
      <c r="Q924" t="str">
        <f t="shared" si="1"/>
        <v/>
      </c>
      <c r="R924" s="9" t="str">
        <f t="shared" si="2"/>
        <v/>
      </c>
      <c r="S924" s="14" t="str">
        <f t="shared" si="3"/>
        <v/>
      </c>
      <c r="T924" s="15" t="str">
        <f>IFERROR(__xludf.DUMMYFUNCTION("IF($A924="""","""",IFERROR(PERCENTRANK.INC(FILTER(Q:Q,$F:$F&lt;&gt;""""),Q924)*100,""""))"),"")</f>
        <v/>
      </c>
      <c r="U924" s="15" t="str">
        <f>IFERROR(__xludf.DUMMYFUNCTION("IF($A924="""","""",IFERROR(PERCENTRANK.INC(FILTER(R:R,$F:$F&lt;&gt;""""),R924)*100,""""))"),"")</f>
        <v/>
      </c>
      <c r="V924" s="15" t="str">
        <f>IFERROR(__xludf.DUMMYFUNCTION("IF($A924="""","""",IFERROR(PERCENTRANK.INC(FILTER(S:S,$F:$F&lt;&gt;""""),S924)*100,""""))"),"")</f>
        <v/>
      </c>
      <c r="W924" s="15" t="str">
        <f t="shared" si="5"/>
        <v/>
      </c>
    </row>
    <row r="925">
      <c r="B925" t="str">
        <f t="array" ref="B925">IFERROR(INDEX('Player Raw Data'!C:C,Match($A925,'Player Raw Data'!$B:$B,0)),"")</f>
        <v/>
      </c>
      <c r="C925" t="str">
        <f t="array" ref="C925">IFERROR(INDEX('Player Raw Data'!D:D,Match($A925,'Player Raw Data'!$B:$B,0)),"")</f>
        <v/>
      </c>
      <c r="D925" t="str">
        <f t="array" ref="D925">IFERROR(IF(A925=A924, INDEX('Player Raw Data'!E:E,Match($A925,'Player Raw Data'!$B:$B,0)+2),INDEX('Player Raw Data'!E:E,Match($A925,'Player Raw Data'!$B:$B,0))),"")</f>
        <v/>
      </c>
      <c r="E925" t="str">
        <f t="array" ref="E925">IFERROR(INDEX('Day Range Raw Data'!D:D,Match($A925,'Day Range Raw Data'!$B:$B,0)),"")</f>
        <v/>
      </c>
      <c r="F925" t="str">
        <f t="array" ref="F925">IFERROR(INDEX('Day Range Raw Data'!F:F,Match($A925,'Day Range Raw Data'!$B:$B,0)),"")</f>
        <v/>
      </c>
      <c r="G925" t="str">
        <f t="array" ref="G925">IFERROR(INDEX('Day Range Raw Data'!G:G,Match($A925,'Day Range Raw Data'!$B:$B,0)),"")</f>
        <v/>
      </c>
      <c r="H925" t="str">
        <f t="array" ref="H925">IFERROR(INDEX('Day Range Raw Data'!H:H,Match($A925,'Day Range Raw Data'!$B:$B,0)),"")</f>
        <v/>
      </c>
      <c r="I925" t="str">
        <f t="array" ref="I925">IFERROR(INDEX('Day Range Raw Data'!M:M,Match($A925,'Day Range Raw Data'!$B:$B,0)),"")</f>
        <v/>
      </c>
      <c r="J925" t="str">
        <f t="array" ref="J925">IFERROR(INDEX('Day Range Raw Data'!N:N,Match($A925,'Day Range Raw Data'!$B:$B,0)),"")</f>
        <v/>
      </c>
      <c r="K925" t="str">
        <f t="array" ref="K925">IFERROR(INDEX('Day Range Raw Data'!R:R,Match($A925,'Day Range Raw Data'!$B:$B,0)),"")</f>
        <v/>
      </c>
      <c r="L925" t="str">
        <f t="array" ref="L925">IFERROR(INDEX('Day Range Raw Data'!S:S,Match($A925,'Day Range Raw Data'!$B:$B,0)),"")</f>
        <v/>
      </c>
      <c r="M925" t="str">
        <f t="array" ref="M925">IFERROR(INDEX('Day Range Raw Data'!T:T,Match($A925,'Day Range Raw Data'!$B:$B,0)),"")</f>
        <v/>
      </c>
      <c r="N925" t="str">
        <f t="array" ref="N925">IFERROR(INDEX('Day Range Raw Data'!U:U,Match($A925,'Day Range Raw Data'!$B:$B,0)),"")</f>
        <v/>
      </c>
      <c r="O925" t="str">
        <f t="array" ref="O925">IFERROR(INDEX('Day Range Raw Data'!V:V,Match($A925,'Day Range Raw Data'!$B:$B,0)),"")</f>
        <v/>
      </c>
      <c r="P925" t="str">
        <f t="array" ref="P925">IFERROR(INDEX('Day Range Raw Data'!X:X,Match($A925,'Day Range Raw Data'!$B:$B,0)),"")</f>
        <v/>
      </c>
      <c r="Q925" t="str">
        <f t="shared" si="1"/>
        <v/>
      </c>
      <c r="R925" s="9" t="str">
        <f t="shared" si="2"/>
        <v/>
      </c>
      <c r="S925" s="14" t="str">
        <f t="shared" si="3"/>
        <v/>
      </c>
      <c r="T925" s="15" t="str">
        <f>IFERROR(__xludf.DUMMYFUNCTION("IF($A925="""","""",IFERROR(PERCENTRANK.INC(FILTER(Q:Q,$F:$F&lt;&gt;""""),Q925)*100,""""))"),"")</f>
        <v/>
      </c>
      <c r="U925" s="15" t="str">
        <f>IFERROR(__xludf.DUMMYFUNCTION("IF($A925="""","""",IFERROR(PERCENTRANK.INC(FILTER(R:R,$F:$F&lt;&gt;""""),R925)*100,""""))"),"")</f>
        <v/>
      </c>
      <c r="V925" s="15" t="str">
        <f>IFERROR(__xludf.DUMMYFUNCTION("IF($A925="""","""",IFERROR(PERCENTRANK.INC(FILTER(S:S,$F:$F&lt;&gt;""""),S925)*100,""""))"),"")</f>
        <v/>
      </c>
      <c r="W925" s="15" t="str">
        <f t="shared" si="5"/>
        <v/>
      </c>
    </row>
    <row r="926">
      <c r="B926" t="str">
        <f t="array" ref="B926">IFERROR(INDEX('Player Raw Data'!C:C,Match($A926,'Player Raw Data'!$B:$B,0)),"")</f>
        <v/>
      </c>
      <c r="C926" t="str">
        <f t="array" ref="C926">IFERROR(INDEX('Player Raw Data'!D:D,Match($A926,'Player Raw Data'!$B:$B,0)),"")</f>
        <v/>
      </c>
      <c r="D926" t="str">
        <f t="array" ref="D926">IFERROR(IF(A926=A925, INDEX('Player Raw Data'!E:E,Match($A926,'Player Raw Data'!$B:$B,0)+2),INDEX('Player Raw Data'!E:E,Match($A926,'Player Raw Data'!$B:$B,0))),"")</f>
        <v/>
      </c>
      <c r="E926" t="str">
        <f t="array" ref="E926">IFERROR(INDEX('Day Range Raw Data'!D:D,Match($A926,'Day Range Raw Data'!$B:$B,0)),"")</f>
        <v/>
      </c>
      <c r="F926" t="str">
        <f t="array" ref="F926">IFERROR(INDEX('Day Range Raw Data'!F:F,Match($A926,'Day Range Raw Data'!$B:$B,0)),"")</f>
        <v/>
      </c>
      <c r="G926" t="str">
        <f t="array" ref="G926">IFERROR(INDEX('Day Range Raw Data'!G:G,Match($A926,'Day Range Raw Data'!$B:$B,0)),"")</f>
        <v/>
      </c>
      <c r="H926" t="str">
        <f t="array" ref="H926">IFERROR(INDEX('Day Range Raw Data'!H:H,Match($A926,'Day Range Raw Data'!$B:$B,0)),"")</f>
        <v/>
      </c>
      <c r="I926" t="str">
        <f t="array" ref="I926">IFERROR(INDEX('Day Range Raw Data'!M:M,Match($A926,'Day Range Raw Data'!$B:$B,0)),"")</f>
        <v/>
      </c>
      <c r="J926" t="str">
        <f t="array" ref="J926">IFERROR(INDEX('Day Range Raw Data'!N:N,Match($A926,'Day Range Raw Data'!$B:$B,0)),"")</f>
        <v/>
      </c>
      <c r="K926" t="str">
        <f t="array" ref="K926">IFERROR(INDEX('Day Range Raw Data'!R:R,Match($A926,'Day Range Raw Data'!$B:$B,0)),"")</f>
        <v/>
      </c>
      <c r="L926" t="str">
        <f t="array" ref="L926">IFERROR(INDEX('Day Range Raw Data'!S:S,Match($A926,'Day Range Raw Data'!$B:$B,0)),"")</f>
        <v/>
      </c>
      <c r="M926" t="str">
        <f t="array" ref="M926">IFERROR(INDEX('Day Range Raw Data'!T:T,Match($A926,'Day Range Raw Data'!$B:$B,0)),"")</f>
        <v/>
      </c>
      <c r="N926" t="str">
        <f t="array" ref="N926">IFERROR(INDEX('Day Range Raw Data'!U:U,Match($A926,'Day Range Raw Data'!$B:$B,0)),"")</f>
        <v/>
      </c>
      <c r="O926" t="str">
        <f t="array" ref="O926">IFERROR(INDEX('Day Range Raw Data'!V:V,Match($A926,'Day Range Raw Data'!$B:$B,0)),"")</f>
        <v/>
      </c>
      <c r="P926" t="str">
        <f t="array" ref="P926">IFERROR(INDEX('Day Range Raw Data'!X:X,Match($A926,'Day Range Raw Data'!$B:$B,0)),"")</f>
        <v/>
      </c>
      <c r="Q926" t="str">
        <f t="shared" si="1"/>
        <v/>
      </c>
      <c r="R926" s="9" t="str">
        <f t="shared" si="2"/>
        <v/>
      </c>
      <c r="S926" s="14" t="str">
        <f t="shared" si="3"/>
        <v/>
      </c>
      <c r="T926" s="15" t="str">
        <f>IFERROR(__xludf.DUMMYFUNCTION("IF($A926="""","""",IFERROR(PERCENTRANK.INC(FILTER(Q:Q,$F:$F&lt;&gt;""""),Q926)*100,""""))"),"")</f>
        <v/>
      </c>
      <c r="U926" s="15" t="str">
        <f>IFERROR(__xludf.DUMMYFUNCTION("IF($A926="""","""",IFERROR(PERCENTRANK.INC(FILTER(R:R,$F:$F&lt;&gt;""""),R926)*100,""""))"),"")</f>
        <v/>
      </c>
      <c r="V926" s="15" t="str">
        <f>IFERROR(__xludf.DUMMYFUNCTION("IF($A926="""","""",IFERROR(PERCENTRANK.INC(FILTER(S:S,$F:$F&lt;&gt;""""),S926)*100,""""))"),"")</f>
        <v/>
      </c>
      <c r="W926" s="15" t="str">
        <f t="shared" si="5"/>
        <v/>
      </c>
    </row>
    <row r="927">
      <c r="B927" t="str">
        <f t="array" ref="B927">IFERROR(INDEX('Player Raw Data'!C:C,Match($A927,'Player Raw Data'!$B:$B,0)),"")</f>
        <v/>
      </c>
      <c r="C927" t="str">
        <f t="array" ref="C927">IFERROR(INDEX('Player Raw Data'!D:D,Match($A927,'Player Raw Data'!$B:$B,0)),"")</f>
        <v/>
      </c>
      <c r="D927" t="str">
        <f t="array" ref="D927">IFERROR(IF(A927=A926, INDEX('Player Raw Data'!E:E,Match($A927,'Player Raw Data'!$B:$B,0)+2),INDEX('Player Raw Data'!E:E,Match($A927,'Player Raw Data'!$B:$B,0))),"")</f>
        <v/>
      </c>
      <c r="E927" t="str">
        <f t="array" ref="E927">IFERROR(INDEX('Day Range Raw Data'!D:D,Match($A927,'Day Range Raw Data'!$B:$B,0)),"")</f>
        <v/>
      </c>
      <c r="F927" t="str">
        <f t="array" ref="F927">IFERROR(INDEX('Day Range Raw Data'!F:F,Match($A927,'Day Range Raw Data'!$B:$B,0)),"")</f>
        <v/>
      </c>
      <c r="G927" t="str">
        <f t="array" ref="G927">IFERROR(INDEX('Day Range Raw Data'!G:G,Match($A927,'Day Range Raw Data'!$B:$B,0)),"")</f>
        <v/>
      </c>
      <c r="H927" t="str">
        <f t="array" ref="H927">IFERROR(INDEX('Day Range Raw Data'!H:H,Match($A927,'Day Range Raw Data'!$B:$B,0)),"")</f>
        <v/>
      </c>
      <c r="I927" t="str">
        <f t="array" ref="I927">IFERROR(INDEX('Day Range Raw Data'!M:M,Match($A927,'Day Range Raw Data'!$B:$B,0)),"")</f>
        <v/>
      </c>
      <c r="J927" t="str">
        <f t="array" ref="J927">IFERROR(INDEX('Day Range Raw Data'!N:N,Match($A927,'Day Range Raw Data'!$B:$B,0)),"")</f>
        <v/>
      </c>
      <c r="K927" t="str">
        <f t="array" ref="K927">IFERROR(INDEX('Day Range Raw Data'!R:R,Match($A927,'Day Range Raw Data'!$B:$B,0)),"")</f>
        <v/>
      </c>
      <c r="L927" t="str">
        <f t="array" ref="L927">IFERROR(INDEX('Day Range Raw Data'!S:S,Match($A927,'Day Range Raw Data'!$B:$B,0)),"")</f>
        <v/>
      </c>
      <c r="M927" t="str">
        <f t="array" ref="M927">IFERROR(INDEX('Day Range Raw Data'!T:T,Match($A927,'Day Range Raw Data'!$B:$B,0)),"")</f>
        <v/>
      </c>
      <c r="N927" t="str">
        <f t="array" ref="N927">IFERROR(INDEX('Day Range Raw Data'!U:U,Match($A927,'Day Range Raw Data'!$B:$B,0)),"")</f>
        <v/>
      </c>
      <c r="O927" t="str">
        <f t="array" ref="O927">IFERROR(INDEX('Day Range Raw Data'!V:V,Match($A927,'Day Range Raw Data'!$B:$B,0)),"")</f>
        <v/>
      </c>
      <c r="P927" t="str">
        <f t="array" ref="P927">IFERROR(INDEX('Day Range Raw Data'!X:X,Match($A927,'Day Range Raw Data'!$B:$B,0)),"")</f>
        <v/>
      </c>
      <c r="Q927" t="str">
        <f t="shared" si="1"/>
        <v/>
      </c>
      <c r="R927" s="9" t="str">
        <f t="shared" si="2"/>
        <v/>
      </c>
      <c r="S927" s="14" t="str">
        <f t="shared" si="3"/>
        <v/>
      </c>
      <c r="T927" s="15" t="str">
        <f>IFERROR(__xludf.DUMMYFUNCTION("IF($A927="""","""",IFERROR(PERCENTRANK.INC(FILTER(Q:Q,$F:$F&lt;&gt;""""),Q927)*100,""""))"),"")</f>
        <v/>
      </c>
      <c r="U927" s="15" t="str">
        <f>IFERROR(__xludf.DUMMYFUNCTION("IF($A927="""","""",IFERROR(PERCENTRANK.INC(FILTER(R:R,$F:$F&lt;&gt;""""),R927)*100,""""))"),"")</f>
        <v/>
      </c>
      <c r="V927" s="15" t="str">
        <f>IFERROR(__xludf.DUMMYFUNCTION("IF($A927="""","""",IFERROR(PERCENTRANK.INC(FILTER(S:S,$F:$F&lt;&gt;""""),S927)*100,""""))"),"")</f>
        <v/>
      </c>
      <c r="W927" s="15" t="str">
        <f t="shared" si="5"/>
        <v/>
      </c>
    </row>
    <row r="928">
      <c r="B928" t="str">
        <f t="array" ref="B928">IFERROR(INDEX('Player Raw Data'!C:C,Match($A928,'Player Raw Data'!$B:$B,0)),"")</f>
        <v/>
      </c>
      <c r="C928" t="str">
        <f t="array" ref="C928">IFERROR(INDEX('Player Raw Data'!D:D,Match($A928,'Player Raw Data'!$B:$B,0)),"")</f>
        <v/>
      </c>
      <c r="D928" t="str">
        <f t="array" ref="D928">IFERROR(IF(A928=A927, INDEX('Player Raw Data'!E:E,Match($A928,'Player Raw Data'!$B:$B,0)+2),INDEX('Player Raw Data'!E:E,Match($A928,'Player Raw Data'!$B:$B,0))),"")</f>
        <v/>
      </c>
      <c r="E928" t="str">
        <f t="array" ref="E928">IFERROR(INDEX('Day Range Raw Data'!D:D,Match($A928,'Day Range Raw Data'!$B:$B,0)),"")</f>
        <v/>
      </c>
      <c r="F928" t="str">
        <f t="array" ref="F928">IFERROR(INDEX('Day Range Raw Data'!F:F,Match($A928,'Day Range Raw Data'!$B:$B,0)),"")</f>
        <v/>
      </c>
      <c r="G928" t="str">
        <f t="array" ref="G928">IFERROR(INDEX('Day Range Raw Data'!G:G,Match($A928,'Day Range Raw Data'!$B:$B,0)),"")</f>
        <v/>
      </c>
      <c r="H928" t="str">
        <f t="array" ref="H928">IFERROR(INDEX('Day Range Raw Data'!H:H,Match($A928,'Day Range Raw Data'!$B:$B,0)),"")</f>
        <v/>
      </c>
      <c r="I928" t="str">
        <f t="array" ref="I928">IFERROR(INDEX('Day Range Raw Data'!M:M,Match($A928,'Day Range Raw Data'!$B:$B,0)),"")</f>
        <v/>
      </c>
      <c r="J928" t="str">
        <f t="array" ref="J928">IFERROR(INDEX('Day Range Raw Data'!N:N,Match($A928,'Day Range Raw Data'!$B:$B,0)),"")</f>
        <v/>
      </c>
      <c r="K928" t="str">
        <f t="array" ref="K928">IFERROR(INDEX('Day Range Raw Data'!R:R,Match($A928,'Day Range Raw Data'!$B:$B,0)),"")</f>
        <v/>
      </c>
      <c r="L928" t="str">
        <f t="array" ref="L928">IFERROR(INDEX('Day Range Raw Data'!S:S,Match($A928,'Day Range Raw Data'!$B:$B,0)),"")</f>
        <v/>
      </c>
      <c r="M928" t="str">
        <f t="array" ref="M928">IFERROR(INDEX('Day Range Raw Data'!T:T,Match($A928,'Day Range Raw Data'!$B:$B,0)),"")</f>
        <v/>
      </c>
      <c r="N928" t="str">
        <f t="array" ref="N928">IFERROR(INDEX('Day Range Raw Data'!U:U,Match($A928,'Day Range Raw Data'!$B:$B,0)),"")</f>
        <v/>
      </c>
      <c r="O928" t="str">
        <f t="array" ref="O928">IFERROR(INDEX('Day Range Raw Data'!V:V,Match($A928,'Day Range Raw Data'!$B:$B,0)),"")</f>
        <v/>
      </c>
      <c r="P928" t="str">
        <f t="array" ref="P928">IFERROR(INDEX('Day Range Raw Data'!X:X,Match($A928,'Day Range Raw Data'!$B:$B,0)),"")</f>
        <v/>
      </c>
      <c r="Q928" t="str">
        <f t="shared" si="1"/>
        <v/>
      </c>
      <c r="R928" s="9" t="str">
        <f t="shared" si="2"/>
        <v/>
      </c>
      <c r="S928" s="14" t="str">
        <f t="shared" si="3"/>
        <v/>
      </c>
      <c r="T928" s="15" t="str">
        <f>IFERROR(__xludf.DUMMYFUNCTION("IF($A928="""","""",IFERROR(PERCENTRANK.INC(FILTER(Q:Q,$F:$F&lt;&gt;""""),Q928)*100,""""))"),"")</f>
        <v/>
      </c>
      <c r="U928" s="15" t="str">
        <f>IFERROR(__xludf.DUMMYFUNCTION("IF($A928="""","""",IFERROR(PERCENTRANK.INC(FILTER(R:R,$F:$F&lt;&gt;""""),R928)*100,""""))"),"")</f>
        <v/>
      </c>
      <c r="V928" s="15" t="str">
        <f>IFERROR(__xludf.DUMMYFUNCTION("IF($A928="""","""",IFERROR(PERCENTRANK.INC(FILTER(S:S,$F:$F&lt;&gt;""""),S928)*100,""""))"),"")</f>
        <v/>
      </c>
      <c r="W928" s="15" t="str">
        <f t="shared" si="5"/>
        <v/>
      </c>
    </row>
    <row r="929">
      <c r="B929" t="str">
        <f t="array" ref="B929">IFERROR(INDEX('Player Raw Data'!C:C,Match($A929,'Player Raw Data'!$B:$B,0)),"")</f>
        <v/>
      </c>
      <c r="C929" t="str">
        <f t="array" ref="C929">IFERROR(INDEX('Player Raw Data'!D:D,Match($A929,'Player Raw Data'!$B:$B,0)),"")</f>
        <v/>
      </c>
      <c r="D929" t="str">
        <f t="array" ref="D929">IFERROR(IF(A929=A928, INDEX('Player Raw Data'!E:E,Match($A929,'Player Raw Data'!$B:$B,0)+2),INDEX('Player Raw Data'!E:E,Match($A929,'Player Raw Data'!$B:$B,0))),"")</f>
        <v/>
      </c>
      <c r="E929" t="str">
        <f t="array" ref="E929">IFERROR(INDEX('Day Range Raw Data'!D:D,Match($A929,'Day Range Raw Data'!$B:$B,0)),"")</f>
        <v/>
      </c>
      <c r="F929" t="str">
        <f t="array" ref="F929">IFERROR(INDEX('Day Range Raw Data'!F:F,Match($A929,'Day Range Raw Data'!$B:$B,0)),"")</f>
        <v/>
      </c>
      <c r="G929" t="str">
        <f t="array" ref="G929">IFERROR(INDEX('Day Range Raw Data'!G:G,Match($A929,'Day Range Raw Data'!$B:$B,0)),"")</f>
        <v/>
      </c>
      <c r="H929" t="str">
        <f t="array" ref="H929">IFERROR(INDEX('Day Range Raw Data'!H:H,Match($A929,'Day Range Raw Data'!$B:$B,0)),"")</f>
        <v/>
      </c>
      <c r="I929" t="str">
        <f t="array" ref="I929">IFERROR(INDEX('Day Range Raw Data'!M:M,Match($A929,'Day Range Raw Data'!$B:$B,0)),"")</f>
        <v/>
      </c>
      <c r="J929" t="str">
        <f t="array" ref="J929">IFERROR(INDEX('Day Range Raw Data'!N:N,Match($A929,'Day Range Raw Data'!$B:$B,0)),"")</f>
        <v/>
      </c>
      <c r="K929" t="str">
        <f t="array" ref="K929">IFERROR(INDEX('Day Range Raw Data'!R:R,Match($A929,'Day Range Raw Data'!$B:$B,0)),"")</f>
        <v/>
      </c>
      <c r="L929" t="str">
        <f t="array" ref="L929">IFERROR(INDEX('Day Range Raw Data'!S:S,Match($A929,'Day Range Raw Data'!$B:$B,0)),"")</f>
        <v/>
      </c>
      <c r="M929" t="str">
        <f t="array" ref="M929">IFERROR(INDEX('Day Range Raw Data'!T:T,Match($A929,'Day Range Raw Data'!$B:$B,0)),"")</f>
        <v/>
      </c>
      <c r="N929" t="str">
        <f t="array" ref="N929">IFERROR(INDEX('Day Range Raw Data'!U:U,Match($A929,'Day Range Raw Data'!$B:$B,0)),"")</f>
        <v/>
      </c>
      <c r="O929" t="str">
        <f t="array" ref="O929">IFERROR(INDEX('Day Range Raw Data'!V:V,Match($A929,'Day Range Raw Data'!$B:$B,0)),"")</f>
        <v/>
      </c>
      <c r="P929" t="str">
        <f t="array" ref="P929">IFERROR(INDEX('Day Range Raw Data'!X:X,Match($A929,'Day Range Raw Data'!$B:$B,0)),"")</f>
        <v/>
      </c>
      <c r="Q929" t="str">
        <f t="shared" si="1"/>
        <v/>
      </c>
      <c r="R929" s="9" t="str">
        <f t="shared" si="2"/>
        <v/>
      </c>
      <c r="S929" s="14" t="str">
        <f t="shared" si="3"/>
        <v/>
      </c>
      <c r="T929" s="15" t="str">
        <f>IFERROR(__xludf.DUMMYFUNCTION("IF($A929="""","""",IFERROR(PERCENTRANK.INC(FILTER(Q:Q,$F:$F&lt;&gt;""""),Q929)*100,""""))"),"")</f>
        <v/>
      </c>
      <c r="U929" s="15" t="str">
        <f>IFERROR(__xludf.DUMMYFUNCTION("IF($A929="""","""",IFERROR(PERCENTRANK.INC(FILTER(R:R,$F:$F&lt;&gt;""""),R929)*100,""""))"),"")</f>
        <v/>
      </c>
      <c r="V929" s="15" t="str">
        <f>IFERROR(__xludf.DUMMYFUNCTION("IF($A929="""","""",IFERROR(PERCENTRANK.INC(FILTER(S:S,$F:$F&lt;&gt;""""),S929)*100,""""))"),"")</f>
        <v/>
      </c>
      <c r="W929" s="15" t="str">
        <f t="shared" si="5"/>
        <v/>
      </c>
    </row>
    <row r="930">
      <c r="B930" t="str">
        <f t="array" ref="B930">IFERROR(INDEX('Player Raw Data'!C:C,Match($A930,'Player Raw Data'!$B:$B,0)),"")</f>
        <v/>
      </c>
      <c r="C930" t="str">
        <f t="array" ref="C930">IFERROR(INDEX('Player Raw Data'!D:D,Match($A930,'Player Raw Data'!$B:$B,0)),"")</f>
        <v/>
      </c>
      <c r="D930" t="str">
        <f t="array" ref="D930">IFERROR(IF(A930=A929, INDEX('Player Raw Data'!E:E,Match($A930,'Player Raw Data'!$B:$B,0)+2),INDEX('Player Raw Data'!E:E,Match($A930,'Player Raw Data'!$B:$B,0))),"")</f>
        <v/>
      </c>
      <c r="E930" t="str">
        <f t="array" ref="E930">IFERROR(INDEX('Day Range Raw Data'!D:D,Match($A930,'Day Range Raw Data'!$B:$B,0)),"")</f>
        <v/>
      </c>
      <c r="F930" t="str">
        <f t="array" ref="F930">IFERROR(INDEX('Day Range Raw Data'!F:F,Match($A930,'Day Range Raw Data'!$B:$B,0)),"")</f>
        <v/>
      </c>
      <c r="G930" t="str">
        <f t="array" ref="G930">IFERROR(INDEX('Day Range Raw Data'!G:G,Match($A930,'Day Range Raw Data'!$B:$B,0)),"")</f>
        <v/>
      </c>
      <c r="H930" t="str">
        <f t="array" ref="H930">IFERROR(INDEX('Day Range Raw Data'!H:H,Match($A930,'Day Range Raw Data'!$B:$B,0)),"")</f>
        <v/>
      </c>
      <c r="I930" t="str">
        <f t="array" ref="I930">IFERROR(INDEX('Day Range Raw Data'!M:M,Match($A930,'Day Range Raw Data'!$B:$B,0)),"")</f>
        <v/>
      </c>
      <c r="J930" t="str">
        <f t="array" ref="J930">IFERROR(INDEX('Day Range Raw Data'!N:N,Match($A930,'Day Range Raw Data'!$B:$B,0)),"")</f>
        <v/>
      </c>
      <c r="K930" t="str">
        <f t="array" ref="K930">IFERROR(INDEX('Day Range Raw Data'!R:R,Match($A930,'Day Range Raw Data'!$B:$B,0)),"")</f>
        <v/>
      </c>
      <c r="L930" t="str">
        <f t="array" ref="L930">IFERROR(INDEX('Day Range Raw Data'!S:S,Match($A930,'Day Range Raw Data'!$B:$B,0)),"")</f>
        <v/>
      </c>
      <c r="M930" t="str">
        <f t="array" ref="M930">IFERROR(INDEX('Day Range Raw Data'!T:T,Match($A930,'Day Range Raw Data'!$B:$B,0)),"")</f>
        <v/>
      </c>
      <c r="N930" t="str">
        <f t="array" ref="N930">IFERROR(INDEX('Day Range Raw Data'!U:U,Match($A930,'Day Range Raw Data'!$B:$B,0)),"")</f>
        <v/>
      </c>
      <c r="O930" t="str">
        <f t="array" ref="O930">IFERROR(INDEX('Day Range Raw Data'!V:V,Match($A930,'Day Range Raw Data'!$B:$B,0)),"")</f>
        <v/>
      </c>
      <c r="P930" t="str">
        <f t="array" ref="P930">IFERROR(INDEX('Day Range Raw Data'!X:X,Match($A930,'Day Range Raw Data'!$B:$B,0)),"")</f>
        <v/>
      </c>
      <c r="Q930" t="str">
        <f t="shared" si="1"/>
        <v/>
      </c>
      <c r="R930" s="9" t="str">
        <f t="shared" si="2"/>
        <v/>
      </c>
      <c r="S930" s="14" t="str">
        <f t="shared" si="3"/>
        <v/>
      </c>
      <c r="T930" s="15" t="str">
        <f>IFERROR(__xludf.DUMMYFUNCTION("IF($A930="""","""",IFERROR(PERCENTRANK.INC(FILTER(Q:Q,$F:$F&lt;&gt;""""),Q930)*100,""""))"),"")</f>
        <v/>
      </c>
      <c r="U930" s="15" t="str">
        <f>IFERROR(__xludf.DUMMYFUNCTION("IF($A930="""","""",IFERROR(PERCENTRANK.INC(FILTER(R:R,$F:$F&lt;&gt;""""),R930)*100,""""))"),"")</f>
        <v/>
      </c>
      <c r="V930" s="15" t="str">
        <f>IFERROR(__xludf.DUMMYFUNCTION("IF($A930="""","""",IFERROR(PERCENTRANK.INC(FILTER(S:S,$F:$F&lt;&gt;""""),S930)*100,""""))"),"")</f>
        <v/>
      </c>
      <c r="W930" s="15" t="str">
        <f t="shared" si="5"/>
        <v/>
      </c>
    </row>
    <row r="931">
      <c r="B931" t="str">
        <f t="array" ref="B931">IFERROR(INDEX('Player Raw Data'!C:C,Match($A931,'Player Raw Data'!$B:$B,0)),"")</f>
        <v/>
      </c>
      <c r="C931" t="str">
        <f t="array" ref="C931">IFERROR(INDEX('Player Raw Data'!D:D,Match($A931,'Player Raw Data'!$B:$B,0)),"")</f>
        <v/>
      </c>
      <c r="D931" t="str">
        <f t="array" ref="D931">IFERROR(IF(A931=A930, INDEX('Player Raw Data'!E:E,Match($A931,'Player Raw Data'!$B:$B,0)+2),INDEX('Player Raw Data'!E:E,Match($A931,'Player Raw Data'!$B:$B,0))),"")</f>
        <v/>
      </c>
      <c r="E931" t="str">
        <f t="array" ref="E931">IFERROR(INDEX('Day Range Raw Data'!D:D,Match($A931,'Day Range Raw Data'!$B:$B,0)),"")</f>
        <v/>
      </c>
      <c r="F931" t="str">
        <f t="array" ref="F931">IFERROR(INDEX('Day Range Raw Data'!F:F,Match($A931,'Day Range Raw Data'!$B:$B,0)),"")</f>
        <v/>
      </c>
      <c r="G931" t="str">
        <f t="array" ref="G931">IFERROR(INDEX('Day Range Raw Data'!G:G,Match($A931,'Day Range Raw Data'!$B:$B,0)),"")</f>
        <v/>
      </c>
      <c r="H931" t="str">
        <f t="array" ref="H931">IFERROR(INDEX('Day Range Raw Data'!H:H,Match($A931,'Day Range Raw Data'!$B:$B,0)),"")</f>
        <v/>
      </c>
      <c r="I931" t="str">
        <f t="array" ref="I931">IFERROR(INDEX('Day Range Raw Data'!M:M,Match($A931,'Day Range Raw Data'!$B:$B,0)),"")</f>
        <v/>
      </c>
      <c r="J931" t="str">
        <f t="array" ref="J931">IFERROR(INDEX('Day Range Raw Data'!N:N,Match($A931,'Day Range Raw Data'!$B:$B,0)),"")</f>
        <v/>
      </c>
      <c r="K931" t="str">
        <f t="array" ref="K931">IFERROR(INDEX('Day Range Raw Data'!R:R,Match($A931,'Day Range Raw Data'!$B:$B,0)),"")</f>
        <v/>
      </c>
      <c r="L931" t="str">
        <f t="array" ref="L931">IFERROR(INDEX('Day Range Raw Data'!S:S,Match($A931,'Day Range Raw Data'!$B:$B,0)),"")</f>
        <v/>
      </c>
      <c r="M931" t="str">
        <f t="array" ref="M931">IFERROR(INDEX('Day Range Raw Data'!T:T,Match($A931,'Day Range Raw Data'!$B:$B,0)),"")</f>
        <v/>
      </c>
      <c r="N931" t="str">
        <f t="array" ref="N931">IFERROR(INDEX('Day Range Raw Data'!U:U,Match($A931,'Day Range Raw Data'!$B:$B,0)),"")</f>
        <v/>
      </c>
      <c r="O931" t="str">
        <f t="array" ref="O931">IFERROR(INDEX('Day Range Raw Data'!V:V,Match($A931,'Day Range Raw Data'!$B:$B,0)),"")</f>
        <v/>
      </c>
      <c r="P931" t="str">
        <f t="array" ref="P931">IFERROR(INDEX('Day Range Raw Data'!X:X,Match($A931,'Day Range Raw Data'!$B:$B,0)),"")</f>
        <v/>
      </c>
      <c r="Q931" t="str">
        <f t="shared" si="1"/>
        <v/>
      </c>
      <c r="R931" s="9" t="str">
        <f t="shared" si="2"/>
        <v/>
      </c>
      <c r="S931" s="14" t="str">
        <f t="shared" si="3"/>
        <v/>
      </c>
      <c r="T931" s="15" t="str">
        <f>IFERROR(__xludf.DUMMYFUNCTION("IF($A931="""","""",IFERROR(PERCENTRANK.INC(FILTER(Q:Q,$F:$F&lt;&gt;""""),Q931)*100,""""))"),"")</f>
        <v/>
      </c>
      <c r="U931" s="15" t="str">
        <f>IFERROR(__xludf.DUMMYFUNCTION("IF($A931="""","""",IFERROR(PERCENTRANK.INC(FILTER(R:R,$F:$F&lt;&gt;""""),R931)*100,""""))"),"")</f>
        <v/>
      </c>
      <c r="V931" s="15" t="str">
        <f>IFERROR(__xludf.DUMMYFUNCTION("IF($A931="""","""",IFERROR(PERCENTRANK.INC(FILTER(S:S,$F:$F&lt;&gt;""""),S931)*100,""""))"),"")</f>
        <v/>
      </c>
      <c r="W931" s="15" t="str">
        <f t="shared" si="5"/>
        <v/>
      </c>
    </row>
    <row r="932">
      <c r="B932" t="str">
        <f t="array" ref="B932">IFERROR(INDEX('Player Raw Data'!C:C,Match($A932,'Player Raw Data'!$B:$B,0)),"")</f>
        <v/>
      </c>
      <c r="C932" t="str">
        <f t="array" ref="C932">IFERROR(INDEX('Player Raw Data'!D:D,Match($A932,'Player Raw Data'!$B:$B,0)),"")</f>
        <v/>
      </c>
      <c r="D932" t="str">
        <f t="array" ref="D932">IFERROR(IF(A932=A931, INDEX('Player Raw Data'!E:E,Match($A932,'Player Raw Data'!$B:$B,0)+2),INDEX('Player Raw Data'!E:E,Match($A932,'Player Raw Data'!$B:$B,0))),"")</f>
        <v/>
      </c>
      <c r="E932" t="str">
        <f t="array" ref="E932">IFERROR(INDEX('Day Range Raw Data'!D:D,Match($A932,'Day Range Raw Data'!$B:$B,0)),"")</f>
        <v/>
      </c>
      <c r="F932" t="str">
        <f t="array" ref="F932">IFERROR(INDEX('Day Range Raw Data'!F:F,Match($A932,'Day Range Raw Data'!$B:$B,0)),"")</f>
        <v/>
      </c>
      <c r="G932" t="str">
        <f t="array" ref="G932">IFERROR(INDEX('Day Range Raw Data'!G:G,Match($A932,'Day Range Raw Data'!$B:$B,0)),"")</f>
        <v/>
      </c>
      <c r="H932" t="str">
        <f t="array" ref="H932">IFERROR(INDEX('Day Range Raw Data'!H:H,Match($A932,'Day Range Raw Data'!$B:$B,0)),"")</f>
        <v/>
      </c>
      <c r="I932" t="str">
        <f t="array" ref="I932">IFERROR(INDEX('Day Range Raw Data'!M:M,Match($A932,'Day Range Raw Data'!$B:$B,0)),"")</f>
        <v/>
      </c>
      <c r="J932" t="str">
        <f t="array" ref="J932">IFERROR(INDEX('Day Range Raw Data'!N:N,Match($A932,'Day Range Raw Data'!$B:$B,0)),"")</f>
        <v/>
      </c>
      <c r="K932" t="str">
        <f t="array" ref="K932">IFERROR(INDEX('Day Range Raw Data'!R:R,Match($A932,'Day Range Raw Data'!$B:$B,0)),"")</f>
        <v/>
      </c>
      <c r="L932" t="str">
        <f t="array" ref="L932">IFERROR(INDEX('Day Range Raw Data'!S:S,Match($A932,'Day Range Raw Data'!$B:$B,0)),"")</f>
        <v/>
      </c>
      <c r="M932" t="str">
        <f t="array" ref="M932">IFERROR(INDEX('Day Range Raw Data'!T:T,Match($A932,'Day Range Raw Data'!$B:$B,0)),"")</f>
        <v/>
      </c>
      <c r="N932" t="str">
        <f t="array" ref="N932">IFERROR(INDEX('Day Range Raw Data'!U:U,Match($A932,'Day Range Raw Data'!$B:$B,0)),"")</f>
        <v/>
      </c>
      <c r="O932" t="str">
        <f t="array" ref="O932">IFERROR(INDEX('Day Range Raw Data'!V:V,Match($A932,'Day Range Raw Data'!$B:$B,0)),"")</f>
        <v/>
      </c>
      <c r="P932" t="str">
        <f t="array" ref="P932">IFERROR(INDEX('Day Range Raw Data'!X:X,Match($A932,'Day Range Raw Data'!$B:$B,0)),"")</f>
        <v/>
      </c>
      <c r="Q932" t="str">
        <f t="shared" si="1"/>
        <v/>
      </c>
      <c r="R932" s="9" t="str">
        <f t="shared" si="2"/>
        <v/>
      </c>
      <c r="S932" s="14" t="str">
        <f t="shared" si="3"/>
        <v/>
      </c>
      <c r="T932" s="15" t="str">
        <f>IFERROR(__xludf.DUMMYFUNCTION("IF($A932="""","""",IFERROR(PERCENTRANK.INC(FILTER(Q:Q,$F:$F&lt;&gt;""""),Q932)*100,""""))"),"")</f>
        <v/>
      </c>
      <c r="U932" s="15" t="str">
        <f>IFERROR(__xludf.DUMMYFUNCTION("IF($A932="""","""",IFERROR(PERCENTRANK.INC(FILTER(R:R,$F:$F&lt;&gt;""""),R932)*100,""""))"),"")</f>
        <v/>
      </c>
      <c r="V932" s="15" t="str">
        <f>IFERROR(__xludf.DUMMYFUNCTION("IF($A932="""","""",IFERROR(PERCENTRANK.INC(FILTER(S:S,$F:$F&lt;&gt;""""),S932)*100,""""))"),"")</f>
        <v/>
      </c>
      <c r="W932" s="15" t="str">
        <f t="shared" si="5"/>
        <v/>
      </c>
    </row>
    <row r="933">
      <c r="B933" t="str">
        <f t="array" ref="B933">IFERROR(INDEX('Player Raw Data'!C:C,Match($A933,'Player Raw Data'!$B:$B,0)),"")</f>
        <v/>
      </c>
      <c r="C933" t="str">
        <f t="array" ref="C933">IFERROR(INDEX('Player Raw Data'!D:D,Match($A933,'Player Raw Data'!$B:$B,0)),"")</f>
        <v/>
      </c>
      <c r="D933" t="str">
        <f t="array" ref="D933">IFERROR(IF(A933=A932, INDEX('Player Raw Data'!E:E,Match($A933,'Player Raw Data'!$B:$B,0)+2),INDEX('Player Raw Data'!E:E,Match($A933,'Player Raw Data'!$B:$B,0))),"")</f>
        <v/>
      </c>
      <c r="E933" t="str">
        <f t="array" ref="E933">IFERROR(INDEX('Day Range Raw Data'!D:D,Match($A933,'Day Range Raw Data'!$B:$B,0)),"")</f>
        <v/>
      </c>
      <c r="F933" t="str">
        <f t="array" ref="F933">IFERROR(INDEX('Day Range Raw Data'!F:F,Match($A933,'Day Range Raw Data'!$B:$B,0)),"")</f>
        <v/>
      </c>
      <c r="G933" t="str">
        <f t="array" ref="G933">IFERROR(INDEX('Day Range Raw Data'!G:G,Match($A933,'Day Range Raw Data'!$B:$B,0)),"")</f>
        <v/>
      </c>
      <c r="H933" t="str">
        <f t="array" ref="H933">IFERROR(INDEX('Day Range Raw Data'!H:H,Match($A933,'Day Range Raw Data'!$B:$B,0)),"")</f>
        <v/>
      </c>
      <c r="I933" t="str">
        <f t="array" ref="I933">IFERROR(INDEX('Day Range Raw Data'!M:M,Match($A933,'Day Range Raw Data'!$B:$B,0)),"")</f>
        <v/>
      </c>
      <c r="J933" t="str">
        <f t="array" ref="J933">IFERROR(INDEX('Day Range Raw Data'!N:N,Match($A933,'Day Range Raw Data'!$B:$B,0)),"")</f>
        <v/>
      </c>
      <c r="K933" t="str">
        <f t="array" ref="K933">IFERROR(INDEX('Day Range Raw Data'!R:R,Match($A933,'Day Range Raw Data'!$B:$B,0)),"")</f>
        <v/>
      </c>
      <c r="L933" t="str">
        <f t="array" ref="L933">IFERROR(INDEX('Day Range Raw Data'!S:S,Match($A933,'Day Range Raw Data'!$B:$B,0)),"")</f>
        <v/>
      </c>
      <c r="M933" t="str">
        <f t="array" ref="M933">IFERROR(INDEX('Day Range Raw Data'!T:T,Match($A933,'Day Range Raw Data'!$B:$B,0)),"")</f>
        <v/>
      </c>
      <c r="N933" t="str">
        <f t="array" ref="N933">IFERROR(INDEX('Day Range Raw Data'!U:U,Match($A933,'Day Range Raw Data'!$B:$B,0)),"")</f>
        <v/>
      </c>
      <c r="O933" t="str">
        <f t="array" ref="O933">IFERROR(INDEX('Day Range Raw Data'!V:V,Match($A933,'Day Range Raw Data'!$B:$B,0)),"")</f>
        <v/>
      </c>
      <c r="P933" t="str">
        <f t="array" ref="P933">IFERROR(INDEX('Day Range Raw Data'!X:X,Match($A933,'Day Range Raw Data'!$B:$B,0)),"")</f>
        <v/>
      </c>
      <c r="Q933" t="str">
        <f t="shared" si="1"/>
        <v/>
      </c>
      <c r="R933" s="9" t="str">
        <f t="shared" si="2"/>
        <v/>
      </c>
      <c r="S933" s="14" t="str">
        <f t="shared" si="3"/>
        <v/>
      </c>
      <c r="T933" s="15" t="str">
        <f>IFERROR(__xludf.DUMMYFUNCTION("IF($A933="""","""",IFERROR(PERCENTRANK.INC(FILTER(Q:Q,$F:$F&lt;&gt;""""),Q933)*100,""""))"),"")</f>
        <v/>
      </c>
      <c r="U933" s="15" t="str">
        <f>IFERROR(__xludf.DUMMYFUNCTION("IF($A933="""","""",IFERROR(PERCENTRANK.INC(FILTER(R:R,$F:$F&lt;&gt;""""),R933)*100,""""))"),"")</f>
        <v/>
      </c>
      <c r="V933" s="15" t="str">
        <f>IFERROR(__xludf.DUMMYFUNCTION("IF($A933="""","""",IFERROR(PERCENTRANK.INC(FILTER(S:S,$F:$F&lt;&gt;""""),S933)*100,""""))"),"")</f>
        <v/>
      </c>
      <c r="W933" s="15" t="str">
        <f t="shared" si="5"/>
        <v/>
      </c>
    </row>
    <row r="934">
      <c r="B934" t="str">
        <f t="array" ref="B934">IFERROR(INDEX('Player Raw Data'!C:C,Match($A934,'Player Raw Data'!$B:$B,0)),"")</f>
        <v/>
      </c>
      <c r="C934" t="str">
        <f t="array" ref="C934">IFERROR(INDEX('Player Raw Data'!D:D,Match($A934,'Player Raw Data'!$B:$B,0)),"")</f>
        <v/>
      </c>
      <c r="D934" t="str">
        <f t="array" ref="D934">IFERROR(IF(A934=A933, INDEX('Player Raw Data'!E:E,Match($A934,'Player Raw Data'!$B:$B,0)+2),INDEX('Player Raw Data'!E:E,Match($A934,'Player Raw Data'!$B:$B,0))),"")</f>
        <v/>
      </c>
      <c r="E934" t="str">
        <f t="array" ref="E934">IFERROR(INDEX('Day Range Raw Data'!D:D,Match($A934,'Day Range Raw Data'!$B:$B,0)),"")</f>
        <v/>
      </c>
      <c r="F934" t="str">
        <f t="array" ref="F934">IFERROR(INDEX('Day Range Raw Data'!F:F,Match($A934,'Day Range Raw Data'!$B:$B,0)),"")</f>
        <v/>
      </c>
      <c r="G934" t="str">
        <f t="array" ref="G934">IFERROR(INDEX('Day Range Raw Data'!G:G,Match($A934,'Day Range Raw Data'!$B:$B,0)),"")</f>
        <v/>
      </c>
      <c r="H934" t="str">
        <f t="array" ref="H934">IFERROR(INDEX('Day Range Raw Data'!H:H,Match($A934,'Day Range Raw Data'!$B:$B,0)),"")</f>
        <v/>
      </c>
      <c r="I934" t="str">
        <f t="array" ref="I934">IFERROR(INDEX('Day Range Raw Data'!M:M,Match($A934,'Day Range Raw Data'!$B:$B,0)),"")</f>
        <v/>
      </c>
      <c r="J934" t="str">
        <f t="array" ref="J934">IFERROR(INDEX('Day Range Raw Data'!N:N,Match($A934,'Day Range Raw Data'!$B:$B,0)),"")</f>
        <v/>
      </c>
      <c r="K934" t="str">
        <f t="array" ref="K934">IFERROR(INDEX('Day Range Raw Data'!R:R,Match($A934,'Day Range Raw Data'!$B:$B,0)),"")</f>
        <v/>
      </c>
      <c r="L934" t="str">
        <f t="array" ref="L934">IFERROR(INDEX('Day Range Raw Data'!S:S,Match($A934,'Day Range Raw Data'!$B:$B,0)),"")</f>
        <v/>
      </c>
      <c r="M934" t="str">
        <f t="array" ref="M934">IFERROR(INDEX('Day Range Raw Data'!T:T,Match($A934,'Day Range Raw Data'!$B:$B,0)),"")</f>
        <v/>
      </c>
      <c r="N934" t="str">
        <f t="array" ref="N934">IFERROR(INDEX('Day Range Raw Data'!U:U,Match($A934,'Day Range Raw Data'!$B:$B,0)),"")</f>
        <v/>
      </c>
      <c r="O934" t="str">
        <f t="array" ref="O934">IFERROR(INDEX('Day Range Raw Data'!V:V,Match($A934,'Day Range Raw Data'!$B:$B,0)),"")</f>
        <v/>
      </c>
      <c r="P934" t="str">
        <f t="array" ref="P934">IFERROR(INDEX('Day Range Raw Data'!X:X,Match($A934,'Day Range Raw Data'!$B:$B,0)),"")</f>
        <v/>
      </c>
      <c r="Q934" t="str">
        <f t="shared" si="1"/>
        <v/>
      </c>
      <c r="R934" s="9" t="str">
        <f t="shared" si="2"/>
        <v/>
      </c>
      <c r="S934" s="14" t="str">
        <f t="shared" si="3"/>
        <v/>
      </c>
      <c r="T934" s="15" t="str">
        <f>IFERROR(__xludf.DUMMYFUNCTION("IF($A934="""","""",IFERROR(PERCENTRANK.INC(FILTER(Q:Q,$F:$F&lt;&gt;""""),Q934)*100,""""))"),"")</f>
        <v/>
      </c>
      <c r="U934" s="15" t="str">
        <f>IFERROR(__xludf.DUMMYFUNCTION("IF($A934="""","""",IFERROR(PERCENTRANK.INC(FILTER(R:R,$F:$F&lt;&gt;""""),R934)*100,""""))"),"")</f>
        <v/>
      </c>
      <c r="V934" s="15" t="str">
        <f>IFERROR(__xludf.DUMMYFUNCTION("IF($A934="""","""",IFERROR(PERCENTRANK.INC(FILTER(S:S,$F:$F&lt;&gt;""""),S934)*100,""""))"),"")</f>
        <v/>
      </c>
      <c r="W934" s="15" t="str">
        <f t="shared" si="5"/>
        <v/>
      </c>
    </row>
    <row r="935">
      <c r="B935" t="str">
        <f t="array" ref="B935">IFERROR(INDEX('Player Raw Data'!C:C,Match($A935,'Player Raw Data'!$B:$B,0)),"")</f>
        <v/>
      </c>
      <c r="C935" t="str">
        <f t="array" ref="C935">IFERROR(INDEX('Player Raw Data'!D:D,Match($A935,'Player Raw Data'!$B:$B,0)),"")</f>
        <v/>
      </c>
      <c r="D935" t="str">
        <f t="array" ref="D935">IFERROR(IF(A935=A934, INDEX('Player Raw Data'!E:E,Match($A935,'Player Raw Data'!$B:$B,0)+2),INDEX('Player Raw Data'!E:E,Match($A935,'Player Raw Data'!$B:$B,0))),"")</f>
        <v/>
      </c>
      <c r="E935" t="str">
        <f t="array" ref="E935">IFERROR(INDEX('Day Range Raw Data'!D:D,Match($A935,'Day Range Raw Data'!$B:$B,0)),"")</f>
        <v/>
      </c>
      <c r="F935" t="str">
        <f t="array" ref="F935">IFERROR(INDEX('Day Range Raw Data'!F:F,Match($A935,'Day Range Raw Data'!$B:$B,0)),"")</f>
        <v/>
      </c>
      <c r="G935" t="str">
        <f t="array" ref="G935">IFERROR(INDEX('Day Range Raw Data'!G:G,Match($A935,'Day Range Raw Data'!$B:$B,0)),"")</f>
        <v/>
      </c>
      <c r="H935" t="str">
        <f t="array" ref="H935">IFERROR(INDEX('Day Range Raw Data'!H:H,Match($A935,'Day Range Raw Data'!$B:$B,0)),"")</f>
        <v/>
      </c>
      <c r="I935" t="str">
        <f t="array" ref="I935">IFERROR(INDEX('Day Range Raw Data'!M:M,Match($A935,'Day Range Raw Data'!$B:$B,0)),"")</f>
        <v/>
      </c>
      <c r="J935" t="str">
        <f t="array" ref="J935">IFERROR(INDEX('Day Range Raw Data'!N:N,Match($A935,'Day Range Raw Data'!$B:$B,0)),"")</f>
        <v/>
      </c>
      <c r="K935" t="str">
        <f t="array" ref="K935">IFERROR(INDEX('Day Range Raw Data'!R:R,Match($A935,'Day Range Raw Data'!$B:$B,0)),"")</f>
        <v/>
      </c>
      <c r="L935" t="str">
        <f t="array" ref="L935">IFERROR(INDEX('Day Range Raw Data'!S:S,Match($A935,'Day Range Raw Data'!$B:$B,0)),"")</f>
        <v/>
      </c>
      <c r="M935" t="str">
        <f t="array" ref="M935">IFERROR(INDEX('Day Range Raw Data'!T:T,Match($A935,'Day Range Raw Data'!$B:$B,0)),"")</f>
        <v/>
      </c>
      <c r="N935" t="str">
        <f t="array" ref="N935">IFERROR(INDEX('Day Range Raw Data'!U:U,Match($A935,'Day Range Raw Data'!$B:$B,0)),"")</f>
        <v/>
      </c>
      <c r="O935" t="str">
        <f t="array" ref="O935">IFERROR(INDEX('Day Range Raw Data'!V:V,Match($A935,'Day Range Raw Data'!$B:$B,0)),"")</f>
        <v/>
      </c>
      <c r="P935" t="str">
        <f t="array" ref="P935">IFERROR(INDEX('Day Range Raw Data'!X:X,Match($A935,'Day Range Raw Data'!$B:$B,0)),"")</f>
        <v/>
      </c>
      <c r="Q935" t="str">
        <f t="shared" si="1"/>
        <v/>
      </c>
      <c r="R935" s="9" t="str">
        <f t="shared" si="2"/>
        <v/>
      </c>
      <c r="S935" s="14" t="str">
        <f t="shared" si="3"/>
        <v/>
      </c>
      <c r="T935" s="15" t="str">
        <f>IFERROR(__xludf.DUMMYFUNCTION("IF($A935="""","""",IFERROR(PERCENTRANK.INC(FILTER(Q:Q,$F:$F&lt;&gt;""""),Q935)*100,""""))"),"")</f>
        <v/>
      </c>
      <c r="U935" s="15" t="str">
        <f>IFERROR(__xludf.DUMMYFUNCTION("IF($A935="""","""",IFERROR(PERCENTRANK.INC(FILTER(R:R,$F:$F&lt;&gt;""""),R935)*100,""""))"),"")</f>
        <v/>
      </c>
      <c r="V935" s="15" t="str">
        <f>IFERROR(__xludf.DUMMYFUNCTION("IF($A935="""","""",IFERROR(PERCENTRANK.INC(FILTER(S:S,$F:$F&lt;&gt;""""),S935)*100,""""))"),"")</f>
        <v/>
      </c>
      <c r="W935" s="15" t="str">
        <f t="shared" si="5"/>
        <v/>
      </c>
    </row>
    <row r="936">
      <c r="B936" t="str">
        <f t="array" ref="B936">IFERROR(INDEX('Player Raw Data'!C:C,Match($A936,'Player Raw Data'!$B:$B,0)),"")</f>
        <v/>
      </c>
      <c r="C936" t="str">
        <f t="array" ref="C936">IFERROR(INDEX('Player Raw Data'!D:D,Match($A936,'Player Raw Data'!$B:$B,0)),"")</f>
        <v/>
      </c>
      <c r="D936" t="str">
        <f t="array" ref="D936">IFERROR(IF(A936=A935, INDEX('Player Raw Data'!E:E,Match($A936,'Player Raw Data'!$B:$B,0)+2),INDEX('Player Raw Data'!E:E,Match($A936,'Player Raw Data'!$B:$B,0))),"")</f>
        <v/>
      </c>
      <c r="E936" t="str">
        <f t="array" ref="E936">IFERROR(INDEX('Day Range Raw Data'!D:D,Match($A936,'Day Range Raw Data'!$B:$B,0)),"")</f>
        <v/>
      </c>
      <c r="F936" t="str">
        <f t="array" ref="F936">IFERROR(INDEX('Day Range Raw Data'!F:F,Match($A936,'Day Range Raw Data'!$B:$B,0)),"")</f>
        <v/>
      </c>
      <c r="G936" t="str">
        <f t="array" ref="G936">IFERROR(INDEX('Day Range Raw Data'!G:G,Match($A936,'Day Range Raw Data'!$B:$B,0)),"")</f>
        <v/>
      </c>
      <c r="H936" t="str">
        <f t="array" ref="H936">IFERROR(INDEX('Day Range Raw Data'!H:H,Match($A936,'Day Range Raw Data'!$B:$B,0)),"")</f>
        <v/>
      </c>
      <c r="I936" t="str">
        <f t="array" ref="I936">IFERROR(INDEX('Day Range Raw Data'!M:M,Match($A936,'Day Range Raw Data'!$B:$B,0)),"")</f>
        <v/>
      </c>
      <c r="J936" t="str">
        <f t="array" ref="J936">IFERROR(INDEX('Day Range Raw Data'!N:N,Match($A936,'Day Range Raw Data'!$B:$B,0)),"")</f>
        <v/>
      </c>
      <c r="K936" t="str">
        <f t="array" ref="K936">IFERROR(INDEX('Day Range Raw Data'!R:R,Match($A936,'Day Range Raw Data'!$B:$B,0)),"")</f>
        <v/>
      </c>
      <c r="L936" t="str">
        <f t="array" ref="L936">IFERROR(INDEX('Day Range Raw Data'!S:S,Match($A936,'Day Range Raw Data'!$B:$B,0)),"")</f>
        <v/>
      </c>
      <c r="M936" t="str">
        <f t="array" ref="M936">IFERROR(INDEX('Day Range Raw Data'!T:T,Match($A936,'Day Range Raw Data'!$B:$B,0)),"")</f>
        <v/>
      </c>
      <c r="N936" t="str">
        <f t="array" ref="N936">IFERROR(INDEX('Day Range Raw Data'!U:U,Match($A936,'Day Range Raw Data'!$B:$B,0)),"")</f>
        <v/>
      </c>
      <c r="O936" t="str">
        <f t="array" ref="O936">IFERROR(INDEX('Day Range Raw Data'!V:V,Match($A936,'Day Range Raw Data'!$B:$B,0)),"")</f>
        <v/>
      </c>
      <c r="P936" t="str">
        <f t="array" ref="P936">IFERROR(INDEX('Day Range Raw Data'!X:X,Match($A936,'Day Range Raw Data'!$B:$B,0)),"")</f>
        <v/>
      </c>
      <c r="Q936" t="str">
        <f t="shared" si="1"/>
        <v/>
      </c>
      <c r="R936" s="9" t="str">
        <f t="shared" si="2"/>
        <v/>
      </c>
      <c r="S936" s="14" t="str">
        <f t="shared" si="3"/>
        <v/>
      </c>
      <c r="T936" s="15" t="str">
        <f>IFERROR(__xludf.DUMMYFUNCTION("IF($A936="""","""",IFERROR(PERCENTRANK.INC(FILTER(Q:Q,$F:$F&lt;&gt;""""),Q936)*100,""""))"),"")</f>
        <v/>
      </c>
      <c r="U936" s="15" t="str">
        <f>IFERROR(__xludf.DUMMYFUNCTION("IF($A936="""","""",IFERROR(PERCENTRANK.INC(FILTER(R:R,$F:$F&lt;&gt;""""),R936)*100,""""))"),"")</f>
        <v/>
      </c>
      <c r="V936" s="15" t="str">
        <f>IFERROR(__xludf.DUMMYFUNCTION("IF($A936="""","""",IFERROR(PERCENTRANK.INC(FILTER(S:S,$F:$F&lt;&gt;""""),S936)*100,""""))"),"")</f>
        <v/>
      </c>
      <c r="W936" s="15" t="str">
        <f t="shared" si="5"/>
        <v/>
      </c>
    </row>
    <row r="937">
      <c r="B937" t="str">
        <f t="array" ref="B937">IFERROR(INDEX('Player Raw Data'!C:C,Match($A937,'Player Raw Data'!$B:$B,0)),"")</f>
        <v/>
      </c>
      <c r="C937" t="str">
        <f t="array" ref="C937">IFERROR(INDEX('Player Raw Data'!D:D,Match($A937,'Player Raw Data'!$B:$B,0)),"")</f>
        <v/>
      </c>
      <c r="D937" t="str">
        <f t="array" ref="D937">IFERROR(IF(A937=A936, INDEX('Player Raw Data'!E:E,Match($A937,'Player Raw Data'!$B:$B,0)+2),INDEX('Player Raw Data'!E:E,Match($A937,'Player Raw Data'!$B:$B,0))),"")</f>
        <v/>
      </c>
      <c r="E937" t="str">
        <f t="array" ref="E937">IFERROR(INDEX('Day Range Raw Data'!D:D,Match($A937,'Day Range Raw Data'!$B:$B,0)),"")</f>
        <v/>
      </c>
      <c r="F937" t="str">
        <f t="array" ref="F937">IFERROR(INDEX('Day Range Raw Data'!F:F,Match($A937,'Day Range Raw Data'!$B:$B,0)),"")</f>
        <v/>
      </c>
      <c r="G937" t="str">
        <f t="array" ref="G937">IFERROR(INDEX('Day Range Raw Data'!G:G,Match($A937,'Day Range Raw Data'!$B:$B,0)),"")</f>
        <v/>
      </c>
      <c r="H937" t="str">
        <f t="array" ref="H937">IFERROR(INDEX('Day Range Raw Data'!H:H,Match($A937,'Day Range Raw Data'!$B:$B,0)),"")</f>
        <v/>
      </c>
      <c r="I937" t="str">
        <f t="array" ref="I937">IFERROR(INDEX('Day Range Raw Data'!M:M,Match($A937,'Day Range Raw Data'!$B:$B,0)),"")</f>
        <v/>
      </c>
      <c r="J937" t="str">
        <f t="array" ref="J937">IFERROR(INDEX('Day Range Raw Data'!N:N,Match($A937,'Day Range Raw Data'!$B:$B,0)),"")</f>
        <v/>
      </c>
      <c r="K937" t="str">
        <f t="array" ref="K937">IFERROR(INDEX('Day Range Raw Data'!R:R,Match($A937,'Day Range Raw Data'!$B:$B,0)),"")</f>
        <v/>
      </c>
      <c r="L937" t="str">
        <f t="array" ref="L937">IFERROR(INDEX('Day Range Raw Data'!S:S,Match($A937,'Day Range Raw Data'!$B:$B,0)),"")</f>
        <v/>
      </c>
      <c r="M937" t="str">
        <f t="array" ref="M937">IFERROR(INDEX('Day Range Raw Data'!T:T,Match($A937,'Day Range Raw Data'!$B:$B,0)),"")</f>
        <v/>
      </c>
      <c r="N937" t="str">
        <f t="array" ref="N937">IFERROR(INDEX('Day Range Raw Data'!U:U,Match($A937,'Day Range Raw Data'!$B:$B,0)),"")</f>
        <v/>
      </c>
      <c r="O937" t="str">
        <f t="array" ref="O937">IFERROR(INDEX('Day Range Raw Data'!V:V,Match($A937,'Day Range Raw Data'!$B:$B,0)),"")</f>
        <v/>
      </c>
      <c r="P937" t="str">
        <f t="array" ref="P937">IFERROR(INDEX('Day Range Raw Data'!X:X,Match($A937,'Day Range Raw Data'!$B:$B,0)),"")</f>
        <v/>
      </c>
      <c r="Q937" t="str">
        <f t="shared" si="1"/>
        <v/>
      </c>
      <c r="R937" s="9" t="str">
        <f t="shared" si="2"/>
        <v/>
      </c>
      <c r="S937" s="14" t="str">
        <f t="shared" si="3"/>
        <v/>
      </c>
      <c r="T937" s="15" t="str">
        <f>IFERROR(__xludf.DUMMYFUNCTION("IF($A937="""","""",IFERROR(PERCENTRANK.INC(FILTER(Q:Q,$F:$F&lt;&gt;""""),Q937)*100,""""))"),"")</f>
        <v/>
      </c>
      <c r="U937" s="15" t="str">
        <f>IFERROR(__xludf.DUMMYFUNCTION("IF($A937="""","""",IFERROR(PERCENTRANK.INC(FILTER(R:R,$F:$F&lt;&gt;""""),R937)*100,""""))"),"")</f>
        <v/>
      </c>
      <c r="V937" s="15" t="str">
        <f>IFERROR(__xludf.DUMMYFUNCTION("IF($A937="""","""",IFERROR(PERCENTRANK.INC(FILTER(S:S,$F:$F&lt;&gt;""""),S937)*100,""""))"),"")</f>
        <v/>
      </c>
      <c r="W937" s="15" t="str">
        <f t="shared" si="5"/>
        <v/>
      </c>
    </row>
    <row r="938">
      <c r="B938" t="str">
        <f t="array" ref="B938">IFERROR(INDEX('Player Raw Data'!C:C,Match($A938,'Player Raw Data'!$B:$B,0)),"")</f>
        <v/>
      </c>
      <c r="C938" t="str">
        <f t="array" ref="C938">IFERROR(INDEX('Player Raw Data'!D:D,Match($A938,'Player Raw Data'!$B:$B,0)),"")</f>
        <v/>
      </c>
      <c r="D938" t="str">
        <f t="array" ref="D938">IFERROR(IF(A938=A937, INDEX('Player Raw Data'!E:E,Match($A938,'Player Raw Data'!$B:$B,0)+2),INDEX('Player Raw Data'!E:E,Match($A938,'Player Raw Data'!$B:$B,0))),"")</f>
        <v/>
      </c>
      <c r="E938" t="str">
        <f t="array" ref="E938">IFERROR(INDEX('Day Range Raw Data'!D:D,Match($A938,'Day Range Raw Data'!$B:$B,0)),"")</f>
        <v/>
      </c>
      <c r="F938" t="str">
        <f t="array" ref="F938">IFERROR(INDEX('Day Range Raw Data'!F:F,Match($A938,'Day Range Raw Data'!$B:$B,0)),"")</f>
        <v/>
      </c>
      <c r="G938" t="str">
        <f t="array" ref="G938">IFERROR(INDEX('Day Range Raw Data'!G:G,Match($A938,'Day Range Raw Data'!$B:$B,0)),"")</f>
        <v/>
      </c>
      <c r="H938" t="str">
        <f t="array" ref="H938">IFERROR(INDEX('Day Range Raw Data'!H:H,Match($A938,'Day Range Raw Data'!$B:$B,0)),"")</f>
        <v/>
      </c>
      <c r="I938" t="str">
        <f t="array" ref="I938">IFERROR(INDEX('Day Range Raw Data'!M:M,Match($A938,'Day Range Raw Data'!$B:$B,0)),"")</f>
        <v/>
      </c>
      <c r="J938" t="str">
        <f t="array" ref="J938">IFERROR(INDEX('Day Range Raw Data'!N:N,Match($A938,'Day Range Raw Data'!$B:$B,0)),"")</f>
        <v/>
      </c>
      <c r="K938" t="str">
        <f t="array" ref="K938">IFERROR(INDEX('Day Range Raw Data'!R:R,Match($A938,'Day Range Raw Data'!$B:$B,0)),"")</f>
        <v/>
      </c>
      <c r="L938" t="str">
        <f t="array" ref="L938">IFERROR(INDEX('Day Range Raw Data'!S:S,Match($A938,'Day Range Raw Data'!$B:$B,0)),"")</f>
        <v/>
      </c>
      <c r="M938" t="str">
        <f t="array" ref="M938">IFERROR(INDEX('Day Range Raw Data'!T:T,Match($A938,'Day Range Raw Data'!$B:$B,0)),"")</f>
        <v/>
      </c>
      <c r="N938" t="str">
        <f t="array" ref="N938">IFERROR(INDEX('Day Range Raw Data'!U:U,Match($A938,'Day Range Raw Data'!$B:$B,0)),"")</f>
        <v/>
      </c>
      <c r="O938" t="str">
        <f t="array" ref="O938">IFERROR(INDEX('Day Range Raw Data'!V:V,Match($A938,'Day Range Raw Data'!$B:$B,0)),"")</f>
        <v/>
      </c>
      <c r="P938" t="str">
        <f t="array" ref="P938">IFERROR(INDEX('Day Range Raw Data'!X:X,Match($A938,'Day Range Raw Data'!$B:$B,0)),"")</f>
        <v/>
      </c>
      <c r="Q938" t="str">
        <f t="shared" si="1"/>
        <v/>
      </c>
      <c r="R938" s="9" t="str">
        <f t="shared" si="2"/>
        <v/>
      </c>
      <c r="S938" s="14" t="str">
        <f t="shared" si="3"/>
        <v/>
      </c>
      <c r="T938" s="15" t="str">
        <f>IFERROR(__xludf.DUMMYFUNCTION("IF($A938="""","""",IFERROR(PERCENTRANK.INC(FILTER(Q:Q,$F:$F&lt;&gt;""""),Q938)*100,""""))"),"")</f>
        <v/>
      </c>
      <c r="U938" s="15" t="str">
        <f>IFERROR(__xludf.DUMMYFUNCTION("IF($A938="""","""",IFERROR(PERCENTRANK.INC(FILTER(R:R,$F:$F&lt;&gt;""""),R938)*100,""""))"),"")</f>
        <v/>
      </c>
      <c r="V938" s="15" t="str">
        <f>IFERROR(__xludf.DUMMYFUNCTION("IF($A938="""","""",IFERROR(PERCENTRANK.INC(FILTER(S:S,$F:$F&lt;&gt;""""),S938)*100,""""))"),"")</f>
        <v/>
      </c>
      <c r="W938" s="15" t="str">
        <f t="shared" si="5"/>
        <v/>
      </c>
    </row>
    <row r="939">
      <c r="B939" t="str">
        <f t="array" ref="B939">IFERROR(INDEX('Player Raw Data'!C:C,Match($A939,'Player Raw Data'!$B:$B,0)),"")</f>
        <v/>
      </c>
      <c r="C939" t="str">
        <f t="array" ref="C939">IFERROR(INDEX('Player Raw Data'!D:D,Match($A939,'Player Raw Data'!$B:$B,0)),"")</f>
        <v/>
      </c>
      <c r="D939" t="str">
        <f t="array" ref="D939">IFERROR(IF(A939=A938, INDEX('Player Raw Data'!E:E,Match($A939,'Player Raw Data'!$B:$B,0)+2),INDEX('Player Raw Data'!E:E,Match($A939,'Player Raw Data'!$B:$B,0))),"")</f>
        <v/>
      </c>
      <c r="E939" t="str">
        <f t="array" ref="E939">IFERROR(INDEX('Day Range Raw Data'!D:D,Match($A939,'Day Range Raw Data'!$B:$B,0)),"")</f>
        <v/>
      </c>
      <c r="F939" t="str">
        <f t="array" ref="F939">IFERROR(INDEX('Day Range Raw Data'!F:F,Match($A939,'Day Range Raw Data'!$B:$B,0)),"")</f>
        <v/>
      </c>
      <c r="G939" t="str">
        <f t="array" ref="G939">IFERROR(INDEX('Day Range Raw Data'!G:G,Match($A939,'Day Range Raw Data'!$B:$B,0)),"")</f>
        <v/>
      </c>
      <c r="H939" t="str">
        <f t="array" ref="H939">IFERROR(INDEX('Day Range Raw Data'!H:H,Match($A939,'Day Range Raw Data'!$B:$B,0)),"")</f>
        <v/>
      </c>
      <c r="I939" t="str">
        <f t="array" ref="I939">IFERROR(INDEX('Day Range Raw Data'!M:M,Match($A939,'Day Range Raw Data'!$B:$B,0)),"")</f>
        <v/>
      </c>
      <c r="J939" t="str">
        <f t="array" ref="J939">IFERROR(INDEX('Day Range Raw Data'!N:N,Match($A939,'Day Range Raw Data'!$B:$B,0)),"")</f>
        <v/>
      </c>
      <c r="K939" t="str">
        <f t="array" ref="K939">IFERROR(INDEX('Day Range Raw Data'!R:R,Match($A939,'Day Range Raw Data'!$B:$B,0)),"")</f>
        <v/>
      </c>
      <c r="L939" t="str">
        <f t="array" ref="L939">IFERROR(INDEX('Day Range Raw Data'!S:S,Match($A939,'Day Range Raw Data'!$B:$B,0)),"")</f>
        <v/>
      </c>
      <c r="M939" t="str">
        <f t="array" ref="M939">IFERROR(INDEX('Day Range Raw Data'!T:T,Match($A939,'Day Range Raw Data'!$B:$B,0)),"")</f>
        <v/>
      </c>
      <c r="N939" t="str">
        <f t="array" ref="N939">IFERROR(INDEX('Day Range Raw Data'!U:U,Match($A939,'Day Range Raw Data'!$B:$B,0)),"")</f>
        <v/>
      </c>
      <c r="O939" t="str">
        <f t="array" ref="O939">IFERROR(INDEX('Day Range Raw Data'!V:V,Match($A939,'Day Range Raw Data'!$B:$B,0)),"")</f>
        <v/>
      </c>
      <c r="P939" t="str">
        <f t="array" ref="P939">IFERROR(INDEX('Day Range Raw Data'!X:X,Match($A939,'Day Range Raw Data'!$B:$B,0)),"")</f>
        <v/>
      </c>
      <c r="Q939" t="str">
        <f t="shared" si="1"/>
        <v/>
      </c>
      <c r="R939" s="9" t="str">
        <f t="shared" si="2"/>
        <v/>
      </c>
      <c r="S939" s="14" t="str">
        <f t="shared" si="3"/>
        <v/>
      </c>
      <c r="T939" s="15" t="str">
        <f>IFERROR(__xludf.DUMMYFUNCTION("IF($A939="""","""",IFERROR(PERCENTRANK.INC(FILTER(Q:Q,$F:$F&lt;&gt;""""),Q939)*100,""""))"),"")</f>
        <v/>
      </c>
      <c r="U939" s="15" t="str">
        <f>IFERROR(__xludf.DUMMYFUNCTION("IF($A939="""","""",IFERROR(PERCENTRANK.INC(FILTER(R:R,$F:$F&lt;&gt;""""),R939)*100,""""))"),"")</f>
        <v/>
      </c>
      <c r="V939" s="15" t="str">
        <f>IFERROR(__xludf.DUMMYFUNCTION("IF($A939="""","""",IFERROR(PERCENTRANK.INC(FILTER(S:S,$F:$F&lt;&gt;""""),S939)*100,""""))"),"")</f>
        <v/>
      </c>
      <c r="W939" s="15" t="str">
        <f t="shared" si="5"/>
        <v/>
      </c>
    </row>
    <row r="940">
      <c r="B940" t="str">
        <f t="array" ref="B940">IFERROR(INDEX('Player Raw Data'!C:C,Match($A940,'Player Raw Data'!$B:$B,0)),"")</f>
        <v/>
      </c>
      <c r="C940" t="str">
        <f t="array" ref="C940">IFERROR(INDEX('Player Raw Data'!D:D,Match($A940,'Player Raw Data'!$B:$B,0)),"")</f>
        <v/>
      </c>
      <c r="D940" t="str">
        <f t="array" ref="D940">IFERROR(IF(A940=A939, INDEX('Player Raw Data'!E:E,Match($A940,'Player Raw Data'!$B:$B,0)+2),INDEX('Player Raw Data'!E:E,Match($A940,'Player Raw Data'!$B:$B,0))),"")</f>
        <v/>
      </c>
      <c r="E940" t="str">
        <f t="array" ref="E940">IFERROR(INDEX('Day Range Raw Data'!D:D,Match($A940,'Day Range Raw Data'!$B:$B,0)),"")</f>
        <v/>
      </c>
      <c r="F940" t="str">
        <f t="array" ref="F940">IFERROR(INDEX('Day Range Raw Data'!F:F,Match($A940,'Day Range Raw Data'!$B:$B,0)),"")</f>
        <v/>
      </c>
      <c r="G940" t="str">
        <f t="array" ref="G940">IFERROR(INDEX('Day Range Raw Data'!G:G,Match($A940,'Day Range Raw Data'!$B:$B,0)),"")</f>
        <v/>
      </c>
      <c r="H940" t="str">
        <f t="array" ref="H940">IFERROR(INDEX('Day Range Raw Data'!H:H,Match($A940,'Day Range Raw Data'!$B:$B,0)),"")</f>
        <v/>
      </c>
      <c r="I940" t="str">
        <f t="array" ref="I940">IFERROR(INDEX('Day Range Raw Data'!M:M,Match($A940,'Day Range Raw Data'!$B:$B,0)),"")</f>
        <v/>
      </c>
      <c r="J940" t="str">
        <f t="array" ref="J940">IFERROR(INDEX('Day Range Raw Data'!N:N,Match($A940,'Day Range Raw Data'!$B:$B,0)),"")</f>
        <v/>
      </c>
      <c r="K940" t="str">
        <f t="array" ref="K940">IFERROR(INDEX('Day Range Raw Data'!R:R,Match($A940,'Day Range Raw Data'!$B:$B,0)),"")</f>
        <v/>
      </c>
      <c r="L940" t="str">
        <f t="array" ref="L940">IFERROR(INDEX('Day Range Raw Data'!S:S,Match($A940,'Day Range Raw Data'!$B:$B,0)),"")</f>
        <v/>
      </c>
      <c r="M940" t="str">
        <f t="array" ref="M940">IFERROR(INDEX('Day Range Raw Data'!T:T,Match($A940,'Day Range Raw Data'!$B:$B,0)),"")</f>
        <v/>
      </c>
      <c r="N940" t="str">
        <f t="array" ref="N940">IFERROR(INDEX('Day Range Raw Data'!U:U,Match($A940,'Day Range Raw Data'!$B:$B,0)),"")</f>
        <v/>
      </c>
      <c r="O940" t="str">
        <f t="array" ref="O940">IFERROR(INDEX('Day Range Raw Data'!V:V,Match($A940,'Day Range Raw Data'!$B:$B,0)),"")</f>
        <v/>
      </c>
      <c r="P940" t="str">
        <f t="array" ref="P940">IFERROR(INDEX('Day Range Raw Data'!X:X,Match($A940,'Day Range Raw Data'!$B:$B,0)),"")</f>
        <v/>
      </c>
      <c r="Q940" t="str">
        <f t="shared" si="1"/>
        <v/>
      </c>
      <c r="R940" s="9" t="str">
        <f t="shared" si="2"/>
        <v/>
      </c>
      <c r="S940" s="14" t="str">
        <f t="shared" si="3"/>
        <v/>
      </c>
      <c r="T940" s="15" t="str">
        <f>IFERROR(__xludf.DUMMYFUNCTION("IF($A940="""","""",IFERROR(PERCENTRANK.INC(FILTER(Q:Q,$F:$F&lt;&gt;""""),Q940)*100,""""))"),"")</f>
        <v/>
      </c>
      <c r="U940" s="15" t="str">
        <f>IFERROR(__xludf.DUMMYFUNCTION("IF($A940="""","""",IFERROR(PERCENTRANK.INC(FILTER(R:R,$F:$F&lt;&gt;""""),R940)*100,""""))"),"")</f>
        <v/>
      </c>
      <c r="V940" s="15" t="str">
        <f>IFERROR(__xludf.DUMMYFUNCTION("IF($A940="""","""",IFERROR(PERCENTRANK.INC(FILTER(S:S,$F:$F&lt;&gt;""""),S940)*100,""""))"),"")</f>
        <v/>
      </c>
      <c r="W940" s="15" t="str">
        <f t="shared" si="5"/>
        <v/>
      </c>
    </row>
    <row r="941">
      <c r="B941" t="str">
        <f t="array" ref="B941">IFERROR(INDEX('Player Raw Data'!C:C,Match($A941,'Player Raw Data'!$B:$B,0)),"")</f>
        <v/>
      </c>
      <c r="C941" t="str">
        <f t="array" ref="C941">IFERROR(INDEX('Player Raw Data'!D:D,Match($A941,'Player Raw Data'!$B:$B,0)),"")</f>
        <v/>
      </c>
      <c r="D941" t="str">
        <f t="array" ref="D941">IFERROR(IF(A941=A940, INDEX('Player Raw Data'!E:E,Match($A941,'Player Raw Data'!$B:$B,0)+2),INDEX('Player Raw Data'!E:E,Match($A941,'Player Raw Data'!$B:$B,0))),"")</f>
        <v/>
      </c>
      <c r="E941" t="str">
        <f t="array" ref="E941">IFERROR(INDEX('Day Range Raw Data'!D:D,Match($A941,'Day Range Raw Data'!$B:$B,0)),"")</f>
        <v/>
      </c>
      <c r="F941" t="str">
        <f t="array" ref="F941">IFERROR(INDEX('Day Range Raw Data'!F:F,Match($A941,'Day Range Raw Data'!$B:$B,0)),"")</f>
        <v/>
      </c>
      <c r="G941" t="str">
        <f t="array" ref="G941">IFERROR(INDEX('Day Range Raw Data'!G:G,Match($A941,'Day Range Raw Data'!$B:$B,0)),"")</f>
        <v/>
      </c>
      <c r="H941" t="str">
        <f t="array" ref="H941">IFERROR(INDEX('Day Range Raw Data'!H:H,Match($A941,'Day Range Raw Data'!$B:$B,0)),"")</f>
        <v/>
      </c>
      <c r="I941" t="str">
        <f t="array" ref="I941">IFERROR(INDEX('Day Range Raw Data'!M:M,Match($A941,'Day Range Raw Data'!$B:$B,0)),"")</f>
        <v/>
      </c>
      <c r="J941" t="str">
        <f t="array" ref="J941">IFERROR(INDEX('Day Range Raw Data'!N:N,Match($A941,'Day Range Raw Data'!$B:$B,0)),"")</f>
        <v/>
      </c>
      <c r="K941" t="str">
        <f t="array" ref="K941">IFERROR(INDEX('Day Range Raw Data'!R:R,Match($A941,'Day Range Raw Data'!$B:$B,0)),"")</f>
        <v/>
      </c>
      <c r="L941" t="str">
        <f t="array" ref="L941">IFERROR(INDEX('Day Range Raw Data'!S:S,Match($A941,'Day Range Raw Data'!$B:$B,0)),"")</f>
        <v/>
      </c>
      <c r="M941" t="str">
        <f t="array" ref="M941">IFERROR(INDEX('Day Range Raw Data'!T:T,Match($A941,'Day Range Raw Data'!$B:$B,0)),"")</f>
        <v/>
      </c>
      <c r="N941" t="str">
        <f t="array" ref="N941">IFERROR(INDEX('Day Range Raw Data'!U:U,Match($A941,'Day Range Raw Data'!$B:$B,0)),"")</f>
        <v/>
      </c>
      <c r="O941" t="str">
        <f t="array" ref="O941">IFERROR(INDEX('Day Range Raw Data'!V:V,Match($A941,'Day Range Raw Data'!$B:$B,0)),"")</f>
        <v/>
      </c>
      <c r="P941" t="str">
        <f t="array" ref="P941">IFERROR(INDEX('Day Range Raw Data'!X:X,Match($A941,'Day Range Raw Data'!$B:$B,0)),"")</f>
        <v/>
      </c>
      <c r="Q941" t="str">
        <f t="shared" si="1"/>
        <v/>
      </c>
      <c r="R941" s="9" t="str">
        <f t="shared" si="2"/>
        <v/>
      </c>
      <c r="S941" s="14" t="str">
        <f t="shared" si="3"/>
        <v/>
      </c>
      <c r="T941" s="15" t="str">
        <f>IFERROR(__xludf.DUMMYFUNCTION("IF($A941="""","""",IFERROR(PERCENTRANK.INC(FILTER(Q:Q,$F:$F&lt;&gt;""""),Q941)*100,""""))"),"")</f>
        <v/>
      </c>
      <c r="U941" s="15" t="str">
        <f>IFERROR(__xludf.DUMMYFUNCTION("IF($A941="""","""",IFERROR(PERCENTRANK.INC(FILTER(R:R,$F:$F&lt;&gt;""""),R941)*100,""""))"),"")</f>
        <v/>
      </c>
      <c r="V941" s="15" t="str">
        <f>IFERROR(__xludf.DUMMYFUNCTION("IF($A941="""","""",IFERROR(PERCENTRANK.INC(FILTER(S:S,$F:$F&lt;&gt;""""),S941)*100,""""))"),"")</f>
        <v/>
      </c>
      <c r="W941" s="15" t="str">
        <f t="shared" si="5"/>
        <v/>
      </c>
    </row>
    <row r="942">
      <c r="B942" t="str">
        <f t="array" ref="B942">IFERROR(INDEX('Player Raw Data'!C:C,Match($A942,'Player Raw Data'!$B:$B,0)),"")</f>
        <v/>
      </c>
      <c r="C942" t="str">
        <f t="array" ref="C942">IFERROR(INDEX('Player Raw Data'!D:D,Match($A942,'Player Raw Data'!$B:$B,0)),"")</f>
        <v/>
      </c>
      <c r="D942" t="str">
        <f t="array" ref="D942">IFERROR(IF(A942=A941, INDEX('Player Raw Data'!E:E,Match($A942,'Player Raw Data'!$B:$B,0)+2),INDEX('Player Raw Data'!E:E,Match($A942,'Player Raw Data'!$B:$B,0))),"")</f>
        <v/>
      </c>
      <c r="E942" t="str">
        <f t="array" ref="E942">IFERROR(INDEX('Day Range Raw Data'!D:D,Match($A942,'Day Range Raw Data'!$B:$B,0)),"")</f>
        <v/>
      </c>
      <c r="F942" t="str">
        <f t="array" ref="F942">IFERROR(INDEX('Day Range Raw Data'!F:F,Match($A942,'Day Range Raw Data'!$B:$B,0)),"")</f>
        <v/>
      </c>
      <c r="G942" t="str">
        <f t="array" ref="G942">IFERROR(INDEX('Day Range Raw Data'!G:G,Match($A942,'Day Range Raw Data'!$B:$B,0)),"")</f>
        <v/>
      </c>
      <c r="H942" t="str">
        <f t="array" ref="H942">IFERROR(INDEX('Day Range Raw Data'!H:H,Match($A942,'Day Range Raw Data'!$B:$B,0)),"")</f>
        <v/>
      </c>
      <c r="I942" t="str">
        <f t="array" ref="I942">IFERROR(INDEX('Day Range Raw Data'!M:M,Match($A942,'Day Range Raw Data'!$B:$B,0)),"")</f>
        <v/>
      </c>
      <c r="J942" t="str">
        <f t="array" ref="J942">IFERROR(INDEX('Day Range Raw Data'!N:N,Match($A942,'Day Range Raw Data'!$B:$B,0)),"")</f>
        <v/>
      </c>
      <c r="K942" t="str">
        <f t="array" ref="K942">IFERROR(INDEX('Day Range Raw Data'!R:R,Match($A942,'Day Range Raw Data'!$B:$B,0)),"")</f>
        <v/>
      </c>
      <c r="L942" t="str">
        <f t="array" ref="L942">IFERROR(INDEX('Day Range Raw Data'!S:S,Match($A942,'Day Range Raw Data'!$B:$B,0)),"")</f>
        <v/>
      </c>
      <c r="M942" t="str">
        <f t="array" ref="M942">IFERROR(INDEX('Day Range Raw Data'!T:T,Match($A942,'Day Range Raw Data'!$B:$B,0)),"")</f>
        <v/>
      </c>
      <c r="N942" t="str">
        <f t="array" ref="N942">IFERROR(INDEX('Day Range Raw Data'!U:U,Match($A942,'Day Range Raw Data'!$B:$B,0)),"")</f>
        <v/>
      </c>
      <c r="O942" t="str">
        <f t="array" ref="O942">IFERROR(INDEX('Day Range Raw Data'!V:V,Match($A942,'Day Range Raw Data'!$B:$B,0)),"")</f>
        <v/>
      </c>
      <c r="P942" t="str">
        <f t="array" ref="P942">IFERROR(INDEX('Day Range Raw Data'!X:X,Match($A942,'Day Range Raw Data'!$B:$B,0)),"")</f>
        <v/>
      </c>
      <c r="Q942" t="str">
        <f t="shared" si="1"/>
        <v/>
      </c>
      <c r="R942" s="9" t="str">
        <f t="shared" si="2"/>
        <v/>
      </c>
      <c r="S942" s="14" t="str">
        <f t="shared" si="3"/>
        <v/>
      </c>
      <c r="T942" s="15" t="str">
        <f>IFERROR(__xludf.DUMMYFUNCTION("IF($A942="""","""",IFERROR(PERCENTRANK.INC(FILTER(Q:Q,$F:$F&lt;&gt;""""),Q942)*100,""""))"),"")</f>
        <v/>
      </c>
      <c r="U942" s="15" t="str">
        <f>IFERROR(__xludf.DUMMYFUNCTION("IF($A942="""","""",IFERROR(PERCENTRANK.INC(FILTER(R:R,$F:$F&lt;&gt;""""),R942)*100,""""))"),"")</f>
        <v/>
      </c>
      <c r="V942" s="15" t="str">
        <f>IFERROR(__xludf.DUMMYFUNCTION("IF($A942="""","""",IFERROR(PERCENTRANK.INC(FILTER(S:S,$F:$F&lt;&gt;""""),S942)*100,""""))"),"")</f>
        <v/>
      </c>
      <c r="W942" s="15" t="str">
        <f t="shared" si="5"/>
        <v/>
      </c>
    </row>
    <row r="943">
      <c r="B943" t="str">
        <f t="array" ref="B943">IFERROR(INDEX('Player Raw Data'!C:C,Match($A943,'Player Raw Data'!$B:$B,0)),"")</f>
        <v/>
      </c>
      <c r="C943" t="str">
        <f t="array" ref="C943">IFERROR(INDEX('Player Raw Data'!D:D,Match($A943,'Player Raw Data'!$B:$B,0)),"")</f>
        <v/>
      </c>
      <c r="D943" t="str">
        <f t="array" ref="D943">IFERROR(IF(A943=A942, INDEX('Player Raw Data'!E:E,Match($A943,'Player Raw Data'!$B:$B,0)+2),INDEX('Player Raw Data'!E:E,Match($A943,'Player Raw Data'!$B:$B,0))),"")</f>
        <v/>
      </c>
      <c r="E943" t="str">
        <f t="array" ref="E943">IFERROR(INDEX('Day Range Raw Data'!D:D,Match($A943,'Day Range Raw Data'!$B:$B,0)),"")</f>
        <v/>
      </c>
      <c r="F943" t="str">
        <f t="array" ref="F943">IFERROR(INDEX('Day Range Raw Data'!F:F,Match($A943,'Day Range Raw Data'!$B:$B,0)),"")</f>
        <v/>
      </c>
      <c r="G943" t="str">
        <f t="array" ref="G943">IFERROR(INDEX('Day Range Raw Data'!G:G,Match($A943,'Day Range Raw Data'!$B:$B,0)),"")</f>
        <v/>
      </c>
      <c r="H943" t="str">
        <f t="array" ref="H943">IFERROR(INDEX('Day Range Raw Data'!H:H,Match($A943,'Day Range Raw Data'!$B:$B,0)),"")</f>
        <v/>
      </c>
      <c r="I943" t="str">
        <f t="array" ref="I943">IFERROR(INDEX('Day Range Raw Data'!M:M,Match($A943,'Day Range Raw Data'!$B:$B,0)),"")</f>
        <v/>
      </c>
      <c r="J943" t="str">
        <f t="array" ref="J943">IFERROR(INDEX('Day Range Raw Data'!N:N,Match($A943,'Day Range Raw Data'!$B:$B,0)),"")</f>
        <v/>
      </c>
      <c r="K943" t="str">
        <f t="array" ref="K943">IFERROR(INDEX('Day Range Raw Data'!R:R,Match($A943,'Day Range Raw Data'!$B:$B,0)),"")</f>
        <v/>
      </c>
      <c r="L943" t="str">
        <f t="array" ref="L943">IFERROR(INDEX('Day Range Raw Data'!S:S,Match($A943,'Day Range Raw Data'!$B:$B,0)),"")</f>
        <v/>
      </c>
      <c r="M943" t="str">
        <f t="array" ref="M943">IFERROR(INDEX('Day Range Raw Data'!T:T,Match($A943,'Day Range Raw Data'!$B:$B,0)),"")</f>
        <v/>
      </c>
      <c r="N943" t="str">
        <f t="array" ref="N943">IFERROR(INDEX('Day Range Raw Data'!U:U,Match($A943,'Day Range Raw Data'!$B:$B,0)),"")</f>
        <v/>
      </c>
      <c r="O943" t="str">
        <f t="array" ref="O943">IFERROR(INDEX('Day Range Raw Data'!V:V,Match($A943,'Day Range Raw Data'!$B:$B,0)),"")</f>
        <v/>
      </c>
      <c r="P943" t="str">
        <f t="array" ref="P943">IFERROR(INDEX('Day Range Raw Data'!X:X,Match($A943,'Day Range Raw Data'!$B:$B,0)),"")</f>
        <v/>
      </c>
      <c r="Q943" t="str">
        <f t="shared" si="1"/>
        <v/>
      </c>
      <c r="R943" s="9" t="str">
        <f t="shared" si="2"/>
        <v/>
      </c>
      <c r="S943" s="14" t="str">
        <f t="shared" si="3"/>
        <v/>
      </c>
      <c r="T943" s="15" t="str">
        <f>IFERROR(__xludf.DUMMYFUNCTION("IF($A943="""","""",IFERROR(PERCENTRANK.INC(FILTER(Q:Q,$F:$F&lt;&gt;""""),Q943)*100,""""))"),"")</f>
        <v/>
      </c>
      <c r="U943" s="15" t="str">
        <f>IFERROR(__xludf.DUMMYFUNCTION("IF($A943="""","""",IFERROR(PERCENTRANK.INC(FILTER(R:R,$F:$F&lt;&gt;""""),R943)*100,""""))"),"")</f>
        <v/>
      </c>
      <c r="V943" s="15" t="str">
        <f>IFERROR(__xludf.DUMMYFUNCTION("IF($A943="""","""",IFERROR(PERCENTRANK.INC(FILTER(S:S,$F:$F&lt;&gt;""""),S943)*100,""""))"),"")</f>
        <v/>
      </c>
      <c r="W943" s="15" t="str">
        <f t="shared" si="5"/>
        <v/>
      </c>
    </row>
    <row r="944">
      <c r="B944" t="str">
        <f t="array" ref="B944">IFERROR(INDEX('Player Raw Data'!C:C,Match($A944,'Player Raw Data'!$B:$B,0)),"")</f>
        <v/>
      </c>
      <c r="C944" t="str">
        <f t="array" ref="C944">IFERROR(INDEX('Player Raw Data'!D:D,Match($A944,'Player Raw Data'!$B:$B,0)),"")</f>
        <v/>
      </c>
      <c r="D944" t="str">
        <f t="array" ref="D944">IFERROR(IF(A944=A943, INDEX('Player Raw Data'!E:E,Match($A944,'Player Raw Data'!$B:$B,0)+2),INDEX('Player Raw Data'!E:E,Match($A944,'Player Raw Data'!$B:$B,0))),"")</f>
        <v/>
      </c>
      <c r="E944" t="str">
        <f t="array" ref="E944">IFERROR(INDEX('Day Range Raw Data'!D:D,Match($A944,'Day Range Raw Data'!$B:$B,0)),"")</f>
        <v/>
      </c>
      <c r="F944" t="str">
        <f t="array" ref="F944">IFERROR(INDEX('Day Range Raw Data'!F:F,Match($A944,'Day Range Raw Data'!$B:$B,0)),"")</f>
        <v/>
      </c>
      <c r="G944" t="str">
        <f t="array" ref="G944">IFERROR(INDEX('Day Range Raw Data'!G:G,Match($A944,'Day Range Raw Data'!$B:$B,0)),"")</f>
        <v/>
      </c>
      <c r="H944" t="str">
        <f t="array" ref="H944">IFERROR(INDEX('Day Range Raw Data'!H:H,Match($A944,'Day Range Raw Data'!$B:$B,0)),"")</f>
        <v/>
      </c>
      <c r="I944" t="str">
        <f t="array" ref="I944">IFERROR(INDEX('Day Range Raw Data'!M:M,Match($A944,'Day Range Raw Data'!$B:$B,0)),"")</f>
        <v/>
      </c>
      <c r="J944" t="str">
        <f t="array" ref="J944">IFERROR(INDEX('Day Range Raw Data'!N:N,Match($A944,'Day Range Raw Data'!$B:$B,0)),"")</f>
        <v/>
      </c>
      <c r="K944" t="str">
        <f t="array" ref="K944">IFERROR(INDEX('Day Range Raw Data'!R:R,Match($A944,'Day Range Raw Data'!$B:$B,0)),"")</f>
        <v/>
      </c>
      <c r="L944" t="str">
        <f t="array" ref="L944">IFERROR(INDEX('Day Range Raw Data'!S:S,Match($A944,'Day Range Raw Data'!$B:$B,0)),"")</f>
        <v/>
      </c>
      <c r="M944" t="str">
        <f t="array" ref="M944">IFERROR(INDEX('Day Range Raw Data'!T:T,Match($A944,'Day Range Raw Data'!$B:$B,0)),"")</f>
        <v/>
      </c>
      <c r="N944" t="str">
        <f t="array" ref="N944">IFERROR(INDEX('Day Range Raw Data'!U:U,Match($A944,'Day Range Raw Data'!$B:$B,0)),"")</f>
        <v/>
      </c>
      <c r="O944" t="str">
        <f t="array" ref="O944">IFERROR(INDEX('Day Range Raw Data'!V:V,Match($A944,'Day Range Raw Data'!$B:$B,0)),"")</f>
        <v/>
      </c>
      <c r="P944" t="str">
        <f t="array" ref="P944">IFERROR(INDEX('Day Range Raw Data'!X:X,Match($A944,'Day Range Raw Data'!$B:$B,0)),"")</f>
        <v/>
      </c>
      <c r="Q944" t="str">
        <f t="shared" si="1"/>
        <v/>
      </c>
      <c r="R944" s="9" t="str">
        <f t="shared" si="2"/>
        <v/>
      </c>
      <c r="S944" s="14" t="str">
        <f t="shared" si="3"/>
        <v/>
      </c>
      <c r="T944" s="15" t="str">
        <f>IFERROR(__xludf.DUMMYFUNCTION("IF($A944="""","""",IFERROR(PERCENTRANK.INC(FILTER(Q:Q,$F:$F&lt;&gt;""""),Q944)*100,""""))"),"")</f>
        <v/>
      </c>
      <c r="U944" s="15" t="str">
        <f>IFERROR(__xludf.DUMMYFUNCTION("IF($A944="""","""",IFERROR(PERCENTRANK.INC(FILTER(R:R,$F:$F&lt;&gt;""""),R944)*100,""""))"),"")</f>
        <v/>
      </c>
      <c r="V944" s="15" t="str">
        <f>IFERROR(__xludf.DUMMYFUNCTION("IF($A944="""","""",IFERROR(PERCENTRANK.INC(FILTER(S:S,$F:$F&lt;&gt;""""),S944)*100,""""))"),"")</f>
        <v/>
      </c>
      <c r="W944" s="15" t="str">
        <f t="shared" si="5"/>
        <v/>
      </c>
    </row>
    <row r="945">
      <c r="B945" t="str">
        <f t="array" ref="B945">IFERROR(INDEX('Player Raw Data'!C:C,Match($A945,'Player Raw Data'!$B:$B,0)),"")</f>
        <v/>
      </c>
      <c r="C945" t="str">
        <f t="array" ref="C945">IFERROR(INDEX('Player Raw Data'!D:D,Match($A945,'Player Raw Data'!$B:$B,0)),"")</f>
        <v/>
      </c>
      <c r="D945" t="str">
        <f t="array" ref="D945">IFERROR(IF(A945=A944, INDEX('Player Raw Data'!E:E,Match($A945,'Player Raw Data'!$B:$B,0)+2),INDEX('Player Raw Data'!E:E,Match($A945,'Player Raw Data'!$B:$B,0))),"")</f>
        <v/>
      </c>
      <c r="E945" t="str">
        <f t="array" ref="E945">IFERROR(INDEX('Day Range Raw Data'!D:D,Match($A945,'Day Range Raw Data'!$B:$B,0)),"")</f>
        <v/>
      </c>
      <c r="F945" t="str">
        <f t="array" ref="F945">IFERROR(INDEX('Day Range Raw Data'!F:F,Match($A945,'Day Range Raw Data'!$B:$B,0)),"")</f>
        <v/>
      </c>
      <c r="G945" t="str">
        <f t="array" ref="G945">IFERROR(INDEX('Day Range Raw Data'!G:G,Match($A945,'Day Range Raw Data'!$B:$B,0)),"")</f>
        <v/>
      </c>
      <c r="H945" t="str">
        <f t="array" ref="H945">IFERROR(INDEX('Day Range Raw Data'!H:H,Match($A945,'Day Range Raw Data'!$B:$B,0)),"")</f>
        <v/>
      </c>
      <c r="I945" t="str">
        <f t="array" ref="I945">IFERROR(INDEX('Day Range Raw Data'!M:M,Match($A945,'Day Range Raw Data'!$B:$B,0)),"")</f>
        <v/>
      </c>
      <c r="J945" t="str">
        <f t="array" ref="J945">IFERROR(INDEX('Day Range Raw Data'!N:N,Match($A945,'Day Range Raw Data'!$B:$B,0)),"")</f>
        <v/>
      </c>
      <c r="K945" t="str">
        <f t="array" ref="K945">IFERROR(INDEX('Day Range Raw Data'!R:R,Match($A945,'Day Range Raw Data'!$B:$B,0)),"")</f>
        <v/>
      </c>
      <c r="L945" t="str">
        <f t="array" ref="L945">IFERROR(INDEX('Day Range Raw Data'!S:S,Match($A945,'Day Range Raw Data'!$B:$B,0)),"")</f>
        <v/>
      </c>
      <c r="M945" t="str">
        <f t="array" ref="M945">IFERROR(INDEX('Day Range Raw Data'!T:T,Match($A945,'Day Range Raw Data'!$B:$B,0)),"")</f>
        <v/>
      </c>
      <c r="N945" t="str">
        <f t="array" ref="N945">IFERROR(INDEX('Day Range Raw Data'!U:U,Match($A945,'Day Range Raw Data'!$B:$B,0)),"")</f>
        <v/>
      </c>
      <c r="O945" t="str">
        <f t="array" ref="O945">IFERROR(INDEX('Day Range Raw Data'!V:V,Match($A945,'Day Range Raw Data'!$B:$B,0)),"")</f>
        <v/>
      </c>
      <c r="P945" t="str">
        <f t="array" ref="P945">IFERROR(INDEX('Day Range Raw Data'!X:X,Match($A945,'Day Range Raw Data'!$B:$B,0)),"")</f>
        <v/>
      </c>
      <c r="Q945" t="str">
        <f t="shared" si="1"/>
        <v/>
      </c>
      <c r="R945" s="9" t="str">
        <f t="shared" si="2"/>
        <v/>
      </c>
      <c r="S945" s="14" t="str">
        <f t="shared" si="3"/>
        <v/>
      </c>
      <c r="T945" s="15" t="str">
        <f>IFERROR(__xludf.DUMMYFUNCTION("IF($A945="""","""",IFERROR(PERCENTRANK.INC(FILTER(Q:Q,$F:$F&lt;&gt;""""),Q945)*100,""""))"),"")</f>
        <v/>
      </c>
      <c r="U945" s="15" t="str">
        <f>IFERROR(__xludf.DUMMYFUNCTION("IF($A945="""","""",IFERROR(PERCENTRANK.INC(FILTER(R:R,$F:$F&lt;&gt;""""),R945)*100,""""))"),"")</f>
        <v/>
      </c>
      <c r="V945" s="15" t="str">
        <f>IFERROR(__xludf.DUMMYFUNCTION("IF($A945="""","""",IFERROR(PERCENTRANK.INC(FILTER(S:S,$F:$F&lt;&gt;""""),S945)*100,""""))"),"")</f>
        <v/>
      </c>
      <c r="W945" s="15" t="str">
        <f t="shared" si="5"/>
        <v/>
      </c>
    </row>
    <row r="946">
      <c r="B946" t="str">
        <f t="array" ref="B946">IFERROR(INDEX('Player Raw Data'!C:C,Match($A946,'Player Raw Data'!$B:$B,0)),"")</f>
        <v/>
      </c>
      <c r="C946" t="str">
        <f t="array" ref="C946">IFERROR(INDEX('Player Raw Data'!D:D,Match($A946,'Player Raw Data'!$B:$B,0)),"")</f>
        <v/>
      </c>
      <c r="D946" t="str">
        <f t="array" ref="D946">IFERROR(IF(A946=A945, INDEX('Player Raw Data'!E:E,Match($A946,'Player Raw Data'!$B:$B,0)+2),INDEX('Player Raw Data'!E:E,Match($A946,'Player Raw Data'!$B:$B,0))),"")</f>
        <v/>
      </c>
      <c r="E946" t="str">
        <f t="array" ref="E946">IFERROR(INDEX('Day Range Raw Data'!D:D,Match($A946,'Day Range Raw Data'!$B:$B,0)),"")</f>
        <v/>
      </c>
      <c r="F946" t="str">
        <f t="array" ref="F946">IFERROR(INDEX('Day Range Raw Data'!F:F,Match($A946,'Day Range Raw Data'!$B:$B,0)),"")</f>
        <v/>
      </c>
      <c r="G946" t="str">
        <f t="array" ref="G946">IFERROR(INDEX('Day Range Raw Data'!G:G,Match($A946,'Day Range Raw Data'!$B:$B,0)),"")</f>
        <v/>
      </c>
      <c r="H946" t="str">
        <f t="array" ref="H946">IFERROR(INDEX('Day Range Raw Data'!H:H,Match($A946,'Day Range Raw Data'!$B:$B,0)),"")</f>
        <v/>
      </c>
      <c r="I946" t="str">
        <f t="array" ref="I946">IFERROR(INDEX('Day Range Raw Data'!M:M,Match($A946,'Day Range Raw Data'!$B:$B,0)),"")</f>
        <v/>
      </c>
      <c r="J946" t="str">
        <f t="array" ref="J946">IFERROR(INDEX('Day Range Raw Data'!N:N,Match($A946,'Day Range Raw Data'!$B:$B,0)),"")</f>
        <v/>
      </c>
      <c r="K946" t="str">
        <f t="array" ref="K946">IFERROR(INDEX('Day Range Raw Data'!R:R,Match($A946,'Day Range Raw Data'!$B:$B,0)),"")</f>
        <v/>
      </c>
      <c r="L946" t="str">
        <f t="array" ref="L946">IFERROR(INDEX('Day Range Raw Data'!S:S,Match($A946,'Day Range Raw Data'!$B:$B,0)),"")</f>
        <v/>
      </c>
      <c r="M946" t="str">
        <f t="array" ref="M946">IFERROR(INDEX('Day Range Raw Data'!T:T,Match($A946,'Day Range Raw Data'!$B:$B,0)),"")</f>
        <v/>
      </c>
      <c r="N946" t="str">
        <f t="array" ref="N946">IFERROR(INDEX('Day Range Raw Data'!U:U,Match($A946,'Day Range Raw Data'!$B:$B,0)),"")</f>
        <v/>
      </c>
      <c r="O946" t="str">
        <f t="array" ref="O946">IFERROR(INDEX('Day Range Raw Data'!V:V,Match($A946,'Day Range Raw Data'!$B:$B,0)),"")</f>
        <v/>
      </c>
      <c r="P946" t="str">
        <f t="array" ref="P946">IFERROR(INDEX('Day Range Raw Data'!X:X,Match($A946,'Day Range Raw Data'!$B:$B,0)),"")</f>
        <v/>
      </c>
      <c r="Q946" t="str">
        <f t="shared" si="1"/>
        <v/>
      </c>
      <c r="R946" s="9" t="str">
        <f t="shared" si="2"/>
        <v/>
      </c>
      <c r="S946" s="14" t="str">
        <f t="shared" si="3"/>
        <v/>
      </c>
      <c r="T946" s="15" t="str">
        <f>IFERROR(__xludf.DUMMYFUNCTION("IF($A946="""","""",IFERROR(PERCENTRANK.INC(FILTER(Q:Q,$F:$F&lt;&gt;""""),Q946)*100,""""))"),"")</f>
        <v/>
      </c>
      <c r="U946" s="15" t="str">
        <f>IFERROR(__xludf.DUMMYFUNCTION("IF($A946="""","""",IFERROR(PERCENTRANK.INC(FILTER(R:R,$F:$F&lt;&gt;""""),R946)*100,""""))"),"")</f>
        <v/>
      </c>
      <c r="V946" s="15" t="str">
        <f>IFERROR(__xludf.DUMMYFUNCTION("IF($A946="""","""",IFERROR(PERCENTRANK.INC(FILTER(S:S,$F:$F&lt;&gt;""""),S946)*100,""""))"),"")</f>
        <v/>
      </c>
      <c r="W946" s="15" t="str">
        <f t="shared" si="5"/>
        <v/>
      </c>
    </row>
    <row r="947">
      <c r="B947" t="str">
        <f t="array" ref="B947">IFERROR(INDEX('Player Raw Data'!C:C,Match($A947,'Player Raw Data'!$B:$B,0)),"")</f>
        <v/>
      </c>
      <c r="C947" t="str">
        <f t="array" ref="C947">IFERROR(INDEX('Player Raw Data'!D:D,Match($A947,'Player Raw Data'!$B:$B,0)),"")</f>
        <v/>
      </c>
      <c r="D947" t="str">
        <f t="array" ref="D947">IFERROR(IF(A947=A946, INDEX('Player Raw Data'!E:E,Match($A947,'Player Raw Data'!$B:$B,0)+2),INDEX('Player Raw Data'!E:E,Match($A947,'Player Raw Data'!$B:$B,0))),"")</f>
        <v/>
      </c>
      <c r="E947" t="str">
        <f t="array" ref="E947">IFERROR(INDEX('Day Range Raw Data'!D:D,Match($A947,'Day Range Raw Data'!$B:$B,0)),"")</f>
        <v/>
      </c>
      <c r="F947" t="str">
        <f t="array" ref="F947">IFERROR(INDEX('Day Range Raw Data'!F:F,Match($A947,'Day Range Raw Data'!$B:$B,0)),"")</f>
        <v/>
      </c>
      <c r="G947" t="str">
        <f t="array" ref="G947">IFERROR(INDEX('Day Range Raw Data'!G:G,Match($A947,'Day Range Raw Data'!$B:$B,0)),"")</f>
        <v/>
      </c>
      <c r="H947" t="str">
        <f t="array" ref="H947">IFERROR(INDEX('Day Range Raw Data'!H:H,Match($A947,'Day Range Raw Data'!$B:$B,0)),"")</f>
        <v/>
      </c>
      <c r="I947" t="str">
        <f t="array" ref="I947">IFERROR(INDEX('Day Range Raw Data'!M:M,Match($A947,'Day Range Raw Data'!$B:$B,0)),"")</f>
        <v/>
      </c>
      <c r="J947" t="str">
        <f t="array" ref="J947">IFERROR(INDEX('Day Range Raw Data'!N:N,Match($A947,'Day Range Raw Data'!$B:$B,0)),"")</f>
        <v/>
      </c>
      <c r="K947" t="str">
        <f t="array" ref="K947">IFERROR(INDEX('Day Range Raw Data'!R:R,Match($A947,'Day Range Raw Data'!$B:$B,0)),"")</f>
        <v/>
      </c>
      <c r="L947" t="str">
        <f t="array" ref="L947">IFERROR(INDEX('Day Range Raw Data'!S:S,Match($A947,'Day Range Raw Data'!$B:$B,0)),"")</f>
        <v/>
      </c>
      <c r="M947" t="str">
        <f t="array" ref="M947">IFERROR(INDEX('Day Range Raw Data'!T:T,Match($A947,'Day Range Raw Data'!$B:$B,0)),"")</f>
        <v/>
      </c>
      <c r="N947" t="str">
        <f t="array" ref="N947">IFERROR(INDEX('Day Range Raw Data'!U:U,Match($A947,'Day Range Raw Data'!$B:$B,0)),"")</f>
        <v/>
      </c>
      <c r="O947" t="str">
        <f t="array" ref="O947">IFERROR(INDEX('Day Range Raw Data'!V:V,Match($A947,'Day Range Raw Data'!$B:$B,0)),"")</f>
        <v/>
      </c>
      <c r="P947" t="str">
        <f t="array" ref="P947">IFERROR(INDEX('Day Range Raw Data'!X:X,Match($A947,'Day Range Raw Data'!$B:$B,0)),"")</f>
        <v/>
      </c>
      <c r="Q947" t="str">
        <f t="shared" si="1"/>
        <v/>
      </c>
      <c r="R947" s="9" t="str">
        <f t="shared" si="2"/>
        <v/>
      </c>
      <c r="S947" s="14" t="str">
        <f t="shared" si="3"/>
        <v/>
      </c>
      <c r="T947" s="15" t="str">
        <f>IFERROR(__xludf.DUMMYFUNCTION("IF($A947="""","""",IFERROR(PERCENTRANK.INC(FILTER(Q:Q,$F:$F&lt;&gt;""""),Q947)*100,""""))"),"")</f>
        <v/>
      </c>
      <c r="U947" s="15" t="str">
        <f>IFERROR(__xludf.DUMMYFUNCTION("IF($A947="""","""",IFERROR(PERCENTRANK.INC(FILTER(R:R,$F:$F&lt;&gt;""""),R947)*100,""""))"),"")</f>
        <v/>
      </c>
      <c r="V947" s="15" t="str">
        <f>IFERROR(__xludf.DUMMYFUNCTION("IF($A947="""","""",IFERROR(PERCENTRANK.INC(FILTER(S:S,$F:$F&lt;&gt;""""),S947)*100,""""))"),"")</f>
        <v/>
      </c>
      <c r="W947" s="15" t="str">
        <f t="shared" si="5"/>
        <v/>
      </c>
    </row>
    <row r="948">
      <c r="B948" t="str">
        <f t="array" ref="B948">IFERROR(INDEX('Player Raw Data'!C:C,Match($A948,'Player Raw Data'!$B:$B,0)),"")</f>
        <v/>
      </c>
      <c r="C948" t="str">
        <f t="array" ref="C948">IFERROR(INDEX('Player Raw Data'!D:D,Match($A948,'Player Raw Data'!$B:$B,0)),"")</f>
        <v/>
      </c>
      <c r="D948" t="str">
        <f t="array" ref="D948">IFERROR(IF(A948=A947, INDEX('Player Raw Data'!E:E,Match($A948,'Player Raw Data'!$B:$B,0)+2),INDEX('Player Raw Data'!E:E,Match($A948,'Player Raw Data'!$B:$B,0))),"")</f>
        <v/>
      </c>
      <c r="E948" t="str">
        <f t="array" ref="E948">IFERROR(INDEX('Day Range Raw Data'!D:D,Match($A948,'Day Range Raw Data'!$B:$B,0)),"")</f>
        <v/>
      </c>
      <c r="F948" t="str">
        <f t="array" ref="F948">IFERROR(INDEX('Day Range Raw Data'!F:F,Match($A948,'Day Range Raw Data'!$B:$B,0)),"")</f>
        <v/>
      </c>
      <c r="G948" t="str">
        <f t="array" ref="G948">IFERROR(INDEX('Day Range Raw Data'!G:G,Match($A948,'Day Range Raw Data'!$B:$B,0)),"")</f>
        <v/>
      </c>
      <c r="H948" t="str">
        <f t="array" ref="H948">IFERROR(INDEX('Day Range Raw Data'!H:H,Match($A948,'Day Range Raw Data'!$B:$B,0)),"")</f>
        <v/>
      </c>
      <c r="I948" t="str">
        <f t="array" ref="I948">IFERROR(INDEX('Day Range Raw Data'!M:M,Match($A948,'Day Range Raw Data'!$B:$B,0)),"")</f>
        <v/>
      </c>
      <c r="J948" t="str">
        <f t="array" ref="J948">IFERROR(INDEX('Day Range Raw Data'!N:N,Match($A948,'Day Range Raw Data'!$B:$B,0)),"")</f>
        <v/>
      </c>
      <c r="K948" t="str">
        <f t="array" ref="K948">IFERROR(INDEX('Day Range Raw Data'!R:R,Match($A948,'Day Range Raw Data'!$B:$B,0)),"")</f>
        <v/>
      </c>
      <c r="L948" t="str">
        <f t="array" ref="L948">IFERROR(INDEX('Day Range Raw Data'!S:S,Match($A948,'Day Range Raw Data'!$B:$B,0)),"")</f>
        <v/>
      </c>
      <c r="M948" t="str">
        <f t="array" ref="M948">IFERROR(INDEX('Day Range Raw Data'!T:T,Match($A948,'Day Range Raw Data'!$B:$B,0)),"")</f>
        <v/>
      </c>
      <c r="N948" t="str">
        <f t="array" ref="N948">IFERROR(INDEX('Day Range Raw Data'!U:U,Match($A948,'Day Range Raw Data'!$B:$B,0)),"")</f>
        <v/>
      </c>
      <c r="O948" t="str">
        <f t="array" ref="O948">IFERROR(INDEX('Day Range Raw Data'!V:V,Match($A948,'Day Range Raw Data'!$B:$B,0)),"")</f>
        <v/>
      </c>
      <c r="P948" t="str">
        <f t="array" ref="P948">IFERROR(INDEX('Day Range Raw Data'!X:X,Match($A948,'Day Range Raw Data'!$B:$B,0)),"")</f>
        <v/>
      </c>
      <c r="Q948" t="str">
        <f t="shared" si="1"/>
        <v/>
      </c>
      <c r="R948" s="9" t="str">
        <f t="shared" si="2"/>
        <v/>
      </c>
      <c r="S948" s="14" t="str">
        <f t="shared" si="3"/>
        <v/>
      </c>
      <c r="T948" s="15" t="str">
        <f>IFERROR(__xludf.DUMMYFUNCTION("IF($A948="""","""",IFERROR(PERCENTRANK.INC(FILTER(Q:Q,$F:$F&lt;&gt;""""),Q948)*100,""""))"),"")</f>
        <v/>
      </c>
      <c r="U948" s="15" t="str">
        <f>IFERROR(__xludf.DUMMYFUNCTION("IF($A948="""","""",IFERROR(PERCENTRANK.INC(FILTER(R:R,$F:$F&lt;&gt;""""),R948)*100,""""))"),"")</f>
        <v/>
      </c>
      <c r="V948" s="15" t="str">
        <f>IFERROR(__xludf.DUMMYFUNCTION("IF($A948="""","""",IFERROR(PERCENTRANK.INC(FILTER(S:S,$F:$F&lt;&gt;""""),S948)*100,""""))"),"")</f>
        <v/>
      </c>
      <c r="W948" s="15" t="str">
        <f t="shared" si="5"/>
        <v/>
      </c>
    </row>
    <row r="949">
      <c r="B949" t="str">
        <f t="array" ref="B949">IFERROR(INDEX('Player Raw Data'!C:C,Match($A949,'Player Raw Data'!$B:$B,0)),"")</f>
        <v/>
      </c>
      <c r="C949" t="str">
        <f t="array" ref="C949">IFERROR(INDEX('Player Raw Data'!D:D,Match($A949,'Player Raw Data'!$B:$B,0)),"")</f>
        <v/>
      </c>
      <c r="D949" t="str">
        <f t="array" ref="D949">IFERROR(IF(A949=A948, INDEX('Player Raw Data'!E:E,Match($A949,'Player Raw Data'!$B:$B,0)+2),INDEX('Player Raw Data'!E:E,Match($A949,'Player Raw Data'!$B:$B,0))),"")</f>
        <v/>
      </c>
      <c r="E949" t="str">
        <f t="array" ref="E949">IFERROR(INDEX('Day Range Raw Data'!D:D,Match($A949,'Day Range Raw Data'!$B:$B,0)),"")</f>
        <v/>
      </c>
      <c r="F949" t="str">
        <f t="array" ref="F949">IFERROR(INDEX('Day Range Raw Data'!F:F,Match($A949,'Day Range Raw Data'!$B:$B,0)),"")</f>
        <v/>
      </c>
      <c r="G949" t="str">
        <f t="array" ref="G949">IFERROR(INDEX('Day Range Raw Data'!G:G,Match($A949,'Day Range Raw Data'!$B:$B,0)),"")</f>
        <v/>
      </c>
      <c r="H949" t="str">
        <f t="array" ref="H949">IFERROR(INDEX('Day Range Raw Data'!H:H,Match($A949,'Day Range Raw Data'!$B:$B,0)),"")</f>
        <v/>
      </c>
      <c r="I949" t="str">
        <f t="array" ref="I949">IFERROR(INDEX('Day Range Raw Data'!M:M,Match($A949,'Day Range Raw Data'!$B:$B,0)),"")</f>
        <v/>
      </c>
      <c r="J949" t="str">
        <f t="array" ref="J949">IFERROR(INDEX('Day Range Raw Data'!N:N,Match($A949,'Day Range Raw Data'!$B:$B,0)),"")</f>
        <v/>
      </c>
      <c r="K949" t="str">
        <f t="array" ref="K949">IFERROR(INDEX('Day Range Raw Data'!R:R,Match($A949,'Day Range Raw Data'!$B:$B,0)),"")</f>
        <v/>
      </c>
      <c r="L949" t="str">
        <f t="array" ref="L949">IFERROR(INDEX('Day Range Raw Data'!S:S,Match($A949,'Day Range Raw Data'!$B:$B,0)),"")</f>
        <v/>
      </c>
      <c r="M949" t="str">
        <f t="array" ref="M949">IFERROR(INDEX('Day Range Raw Data'!T:T,Match($A949,'Day Range Raw Data'!$B:$B,0)),"")</f>
        <v/>
      </c>
      <c r="N949" t="str">
        <f t="array" ref="N949">IFERROR(INDEX('Day Range Raw Data'!U:U,Match($A949,'Day Range Raw Data'!$B:$B,0)),"")</f>
        <v/>
      </c>
      <c r="O949" t="str">
        <f t="array" ref="O949">IFERROR(INDEX('Day Range Raw Data'!V:V,Match($A949,'Day Range Raw Data'!$B:$B,0)),"")</f>
        <v/>
      </c>
      <c r="P949" t="str">
        <f t="array" ref="P949">IFERROR(INDEX('Day Range Raw Data'!X:X,Match($A949,'Day Range Raw Data'!$B:$B,0)),"")</f>
        <v/>
      </c>
      <c r="Q949" t="str">
        <f t="shared" si="1"/>
        <v/>
      </c>
      <c r="R949" s="9" t="str">
        <f t="shared" si="2"/>
        <v/>
      </c>
      <c r="S949" s="14" t="str">
        <f t="shared" si="3"/>
        <v/>
      </c>
      <c r="T949" s="15" t="str">
        <f>IFERROR(__xludf.DUMMYFUNCTION("IF($A949="""","""",IFERROR(PERCENTRANK.INC(FILTER(Q:Q,$F:$F&lt;&gt;""""),Q949)*100,""""))"),"")</f>
        <v/>
      </c>
      <c r="U949" s="15" t="str">
        <f>IFERROR(__xludf.DUMMYFUNCTION("IF($A949="""","""",IFERROR(PERCENTRANK.INC(FILTER(R:R,$F:$F&lt;&gt;""""),R949)*100,""""))"),"")</f>
        <v/>
      </c>
      <c r="V949" s="15" t="str">
        <f>IFERROR(__xludf.DUMMYFUNCTION("IF($A949="""","""",IFERROR(PERCENTRANK.INC(FILTER(S:S,$F:$F&lt;&gt;""""),S949)*100,""""))"),"")</f>
        <v/>
      </c>
      <c r="W949" s="15" t="str">
        <f t="shared" si="5"/>
        <v/>
      </c>
    </row>
    <row r="950">
      <c r="B950" t="str">
        <f t="array" ref="B950">IFERROR(INDEX('Player Raw Data'!C:C,Match($A950,'Player Raw Data'!$B:$B,0)),"")</f>
        <v/>
      </c>
      <c r="C950" t="str">
        <f t="array" ref="C950">IFERROR(INDEX('Player Raw Data'!D:D,Match($A950,'Player Raw Data'!$B:$B,0)),"")</f>
        <v/>
      </c>
      <c r="D950" t="str">
        <f t="array" ref="D950">IFERROR(IF(A950=A949, INDEX('Player Raw Data'!E:E,Match($A950,'Player Raw Data'!$B:$B,0)+2),INDEX('Player Raw Data'!E:E,Match($A950,'Player Raw Data'!$B:$B,0))),"")</f>
        <v/>
      </c>
      <c r="E950" t="str">
        <f t="array" ref="E950">IFERROR(INDEX('Day Range Raw Data'!D:D,Match($A950,'Day Range Raw Data'!$B:$B,0)),"")</f>
        <v/>
      </c>
      <c r="F950" t="str">
        <f t="array" ref="F950">IFERROR(INDEX('Day Range Raw Data'!F:F,Match($A950,'Day Range Raw Data'!$B:$B,0)),"")</f>
        <v/>
      </c>
      <c r="G950" t="str">
        <f t="array" ref="G950">IFERROR(INDEX('Day Range Raw Data'!G:G,Match($A950,'Day Range Raw Data'!$B:$B,0)),"")</f>
        <v/>
      </c>
      <c r="H950" t="str">
        <f t="array" ref="H950">IFERROR(INDEX('Day Range Raw Data'!H:H,Match($A950,'Day Range Raw Data'!$B:$B,0)),"")</f>
        <v/>
      </c>
      <c r="I950" t="str">
        <f t="array" ref="I950">IFERROR(INDEX('Day Range Raw Data'!M:M,Match($A950,'Day Range Raw Data'!$B:$B,0)),"")</f>
        <v/>
      </c>
      <c r="J950" t="str">
        <f t="array" ref="J950">IFERROR(INDEX('Day Range Raw Data'!N:N,Match($A950,'Day Range Raw Data'!$B:$B,0)),"")</f>
        <v/>
      </c>
      <c r="K950" t="str">
        <f t="array" ref="K950">IFERROR(INDEX('Day Range Raw Data'!R:R,Match($A950,'Day Range Raw Data'!$B:$B,0)),"")</f>
        <v/>
      </c>
      <c r="L950" t="str">
        <f t="array" ref="L950">IFERROR(INDEX('Day Range Raw Data'!S:S,Match($A950,'Day Range Raw Data'!$B:$B,0)),"")</f>
        <v/>
      </c>
      <c r="M950" t="str">
        <f t="array" ref="M950">IFERROR(INDEX('Day Range Raw Data'!T:T,Match($A950,'Day Range Raw Data'!$B:$B,0)),"")</f>
        <v/>
      </c>
      <c r="N950" t="str">
        <f t="array" ref="N950">IFERROR(INDEX('Day Range Raw Data'!U:U,Match($A950,'Day Range Raw Data'!$B:$B,0)),"")</f>
        <v/>
      </c>
      <c r="O950" t="str">
        <f t="array" ref="O950">IFERROR(INDEX('Day Range Raw Data'!V:V,Match($A950,'Day Range Raw Data'!$B:$B,0)),"")</f>
        <v/>
      </c>
      <c r="P950" t="str">
        <f t="array" ref="P950">IFERROR(INDEX('Day Range Raw Data'!X:X,Match($A950,'Day Range Raw Data'!$B:$B,0)),"")</f>
        <v/>
      </c>
      <c r="Q950" t="str">
        <f t="shared" si="1"/>
        <v/>
      </c>
      <c r="R950" s="9" t="str">
        <f t="shared" si="2"/>
        <v/>
      </c>
      <c r="S950" s="14" t="str">
        <f t="shared" si="3"/>
        <v/>
      </c>
      <c r="T950" s="15" t="str">
        <f>IFERROR(__xludf.DUMMYFUNCTION("IF($A950="""","""",IFERROR(PERCENTRANK.INC(FILTER(Q:Q,$F:$F&lt;&gt;""""),Q950)*100,""""))"),"")</f>
        <v/>
      </c>
      <c r="U950" s="15" t="str">
        <f>IFERROR(__xludf.DUMMYFUNCTION("IF($A950="""","""",IFERROR(PERCENTRANK.INC(FILTER(R:R,$F:$F&lt;&gt;""""),R950)*100,""""))"),"")</f>
        <v/>
      </c>
      <c r="V950" s="15" t="str">
        <f>IFERROR(__xludf.DUMMYFUNCTION("IF($A950="""","""",IFERROR(PERCENTRANK.INC(FILTER(S:S,$F:$F&lt;&gt;""""),S950)*100,""""))"),"")</f>
        <v/>
      </c>
      <c r="W950" s="15" t="str">
        <f t="shared" si="5"/>
        <v/>
      </c>
    </row>
    <row r="951">
      <c r="B951" t="str">
        <f t="array" ref="B951">IFERROR(INDEX('Player Raw Data'!C:C,Match($A951,'Player Raw Data'!$B:$B,0)),"")</f>
        <v/>
      </c>
      <c r="C951" t="str">
        <f t="array" ref="C951">IFERROR(INDEX('Player Raw Data'!D:D,Match($A951,'Player Raw Data'!$B:$B,0)),"")</f>
        <v/>
      </c>
      <c r="D951" t="str">
        <f t="array" ref="D951">IFERROR(IF(A951=A950, INDEX('Player Raw Data'!E:E,Match($A951,'Player Raw Data'!$B:$B,0)+2),INDEX('Player Raw Data'!E:E,Match($A951,'Player Raw Data'!$B:$B,0))),"")</f>
        <v/>
      </c>
      <c r="E951" t="str">
        <f t="array" ref="E951">IFERROR(INDEX('Day Range Raw Data'!D:D,Match($A951,'Day Range Raw Data'!$B:$B,0)),"")</f>
        <v/>
      </c>
      <c r="F951" t="str">
        <f t="array" ref="F951">IFERROR(INDEX('Day Range Raw Data'!F:F,Match($A951,'Day Range Raw Data'!$B:$B,0)),"")</f>
        <v/>
      </c>
      <c r="G951" t="str">
        <f t="array" ref="G951">IFERROR(INDEX('Day Range Raw Data'!G:G,Match($A951,'Day Range Raw Data'!$B:$B,0)),"")</f>
        <v/>
      </c>
      <c r="H951" t="str">
        <f t="array" ref="H951">IFERROR(INDEX('Day Range Raw Data'!H:H,Match($A951,'Day Range Raw Data'!$B:$B,0)),"")</f>
        <v/>
      </c>
      <c r="I951" t="str">
        <f t="array" ref="I951">IFERROR(INDEX('Day Range Raw Data'!M:M,Match($A951,'Day Range Raw Data'!$B:$B,0)),"")</f>
        <v/>
      </c>
      <c r="J951" t="str">
        <f t="array" ref="J951">IFERROR(INDEX('Day Range Raw Data'!N:N,Match($A951,'Day Range Raw Data'!$B:$B,0)),"")</f>
        <v/>
      </c>
      <c r="K951" t="str">
        <f t="array" ref="K951">IFERROR(INDEX('Day Range Raw Data'!R:R,Match($A951,'Day Range Raw Data'!$B:$B,0)),"")</f>
        <v/>
      </c>
      <c r="L951" t="str">
        <f t="array" ref="L951">IFERROR(INDEX('Day Range Raw Data'!S:S,Match($A951,'Day Range Raw Data'!$B:$B,0)),"")</f>
        <v/>
      </c>
      <c r="M951" t="str">
        <f t="array" ref="M951">IFERROR(INDEX('Day Range Raw Data'!T:T,Match($A951,'Day Range Raw Data'!$B:$B,0)),"")</f>
        <v/>
      </c>
      <c r="N951" t="str">
        <f t="array" ref="N951">IFERROR(INDEX('Day Range Raw Data'!U:U,Match($A951,'Day Range Raw Data'!$B:$B,0)),"")</f>
        <v/>
      </c>
      <c r="O951" t="str">
        <f t="array" ref="O951">IFERROR(INDEX('Day Range Raw Data'!V:V,Match($A951,'Day Range Raw Data'!$B:$B,0)),"")</f>
        <v/>
      </c>
      <c r="P951" t="str">
        <f t="array" ref="P951">IFERROR(INDEX('Day Range Raw Data'!X:X,Match($A951,'Day Range Raw Data'!$B:$B,0)),"")</f>
        <v/>
      </c>
      <c r="Q951" t="str">
        <f t="shared" si="1"/>
        <v/>
      </c>
      <c r="R951" s="9" t="str">
        <f t="shared" si="2"/>
        <v/>
      </c>
      <c r="S951" s="14" t="str">
        <f t="shared" si="3"/>
        <v/>
      </c>
      <c r="T951" s="15" t="str">
        <f>IFERROR(__xludf.DUMMYFUNCTION("IF($A951="""","""",IFERROR(PERCENTRANK.INC(FILTER(Q:Q,$F:$F&lt;&gt;""""),Q951)*100,""""))"),"")</f>
        <v/>
      </c>
      <c r="U951" s="15" t="str">
        <f>IFERROR(__xludf.DUMMYFUNCTION("IF($A951="""","""",IFERROR(PERCENTRANK.INC(FILTER(R:R,$F:$F&lt;&gt;""""),R951)*100,""""))"),"")</f>
        <v/>
      </c>
      <c r="V951" s="15" t="str">
        <f>IFERROR(__xludf.DUMMYFUNCTION("IF($A951="""","""",IFERROR(PERCENTRANK.INC(FILTER(S:S,$F:$F&lt;&gt;""""),S951)*100,""""))"),"")</f>
        <v/>
      </c>
      <c r="W951" s="15" t="str">
        <f t="shared" si="5"/>
        <v/>
      </c>
    </row>
    <row r="952">
      <c r="B952" t="str">
        <f t="array" ref="B952">IFERROR(INDEX('Player Raw Data'!C:C,Match($A952,'Player Raw Data'!$B:$B,0)),"")</f>
        <v/>
      </c>
      <c r="C952" t="str">
        <f t="array" ref="C952">IFERROR(INDEX('Player Raw Data'!D:D,Match($A952,'Player Raw Data'!$B:$B,0)),"")</f>
        <v/>
      </c>
      <c r="D952" t="str">
        <f t="array" ref="D952">IFERROR(IF(A952=A951, INDEX('Player Raw Data'!E:E,Match($A952,'Player Raw Data'!$B:$B,0)+2),INDEX('Player Raw Data'!E:E,Match($A952,'Player Raw Data'!$B:$B,0))),"")</f>
        <v/>
      </c>
      <c r="E952" t="str">
        <f t="array" ref="E952">IFERROR(INDEX('Day Range Raw Data'!D:D,Match($A952,'Day Range Raw Data'!$B:$B,0)),"")</f>
        <v/>
      </c>
      <c r="F952" t="str">
        <f t="array" ref="F952">IFERROR(INDEX('Day Range Raw Data'!F:F,Match($A952,'Day Range Raw Data'!$B:$B,0)),"")</f>
        <v/>
      </c>
      <c r="G952" t="str">
        <f t="array" ref="G952">IFERROR(INDEX('Day Range Raw Data'!G:G,Match($A952,'Day Range Raw Data'!$B:$B,0)),"")</f>
        <v/>
      </c>
      <c r="H952" t="str">
        <f t="array" ref="H952">IFERROR(INDEX('Day Range Raw Data'!H:H,Match($A952,'Day Range Raw Data'!$B:$B,0)),"")</f>
        <v/>
      </c>
      <c r="I952" t="str">
        <f t="array" ref="I952">IFERROR(INDEX('Day Range Raw Data'!M:M,Match($A952,'Day Range Raw Data'!$B:$B,0)),"")</f>
        <v/>
      </c>
      <c r="J952" t="str">
        <f t="array" ref="J952">IFERROR(INDEX('Day Range Raw Data'!N:N,Match($A952,'Day Range Raw Data'!$B:$B,0)),"")</f>
        <v/>
      </c>
      <c r="K952" t="str">
        <f t="array" ref="K952">IFERROR(INDEX('Day Range Raw Data'!R:R,Match($A952,'Day Range Raw Data'!$B:$B,0)),"")</f>
        <v/>
      </c>
      <c r="L952" t="str">
        <f t="array" ref="L952">IFERROR(INDEX('Day Range Raw Data'!S:S,Match($A952,'Day Range Raw Data'!$B:$B,0)),"")</f>
        <v/>
      </c>
      <c r="M952" t="str">
        <f t="array" ref="M952">IFERROR(INDEX('Day Range Raw Data'!T:T,Match($A952,'Day Range Raw Data'!$B:$B,0)),"")</f>
        <v/>
      </c>
      <c r="N952" t="str">
        <f t="array" ref="N952">IFERROR(INDEX('Day Range Raw Data'!U:U,Match($A952,'Day Range Raw Data'!$B:$B,0)),"")</f>
        <v/>
      </c>
      <c r="O952" t="str">
        <f t="array" ref="O952">IFERROR(INDEX('Day Range Raw Data'!V:V,Match($A952,'Day Range Raw Data'!$B:$B,0)),"")</f>
        <v/>
      </c>
      <c r="P952" t="str">
        <f t="array" ref="P952">IFERROR(INDEX('Day Range Raw Data'!X:X,Match($A952,'Day Range Raw Data'!$B:$B,0)),"")</f>
        <v/>
      </c>
      <c r="Q952" t="str">
        <f t="shared" si="1"/>
        <v/>
      </c>
      <c r="R952" s="9" t="str">
        <f t="shared" si="2"/>
        <v/>
      </c>
      <c r="S952" s="14" t="str">
        <f t="shared" si="3"/>
        <v/>
      </c>
      <c r="T952" s="15" t="str">
        <f>IFERROR(__xludf.DUMMYFUNCTION("IF($A952="""","""",IFERROR(PERCENTRANK.INC(FILTER(Q:Q,$F:$F&lt;&gt;""""),Q952)*100,""""))"),"")</f>
        <v/>
      </c>
      <c r="U952" s="15" t="str">
        <f>IFERROR(__xludf.DUMMYFUNCTION("IF($A952="""","""",IFERROR(PERCENTRANK.INC(FILTER(R:R,$F:$F&lt;&gt;""""),R952)*100,""""))"),"")</f>
        <v/>
      </c>
      <c r="V952" s="15" t="str">
        <f>IFERROR(__xludf.DUMMYFUNCTION("IF($A952="""","""",IFERROR(PERCENTRANK.INC(FILTER(S:S,$F:$F&lt;&gt;""""),S952)*100,""""))"),"")</f>
        <v/>
      </c>
      <c r="W952" s="15" t="str">
        <f t="shared" si="5"/>
        <v/>
      </c>
    </row>
    <row r="953">
      <c r="B953" t="str">
        <f t="array" ref="B953">IFERROR(INDEX('Player Raw Data'!C:C,Match($A953,'Player Raw Data'!$B:$B,0)),"")</f>
        <v/>
      </c>
      <c r="C953" t="str">
        <f t="array" ref="C953">IFERROR(INDEX('Player Raw Data'!D:D,Match($A953,'Player Raw Data'!$B:$B,0)),"")</f>
        <v/>
      </c>
      <c r="D953" t="str">
        <f t="array" ref="D953">IFERROR(IF(A953=A952, INDEX('Player Raw Data'!E:E,Match($A953,'Player Raw Data'!$B:$B,0)+2),INDEX('Player Raw Data'!E:E,Match($A953,'Player Raw Data'!$B:$B,0))),"")</f>
        <v/>
      </c>
      <c r="E953" t="str">
        <f t="array" ref="E953">IFERROR(INDEX('Day Range Raw Data'!D:D,Match($A953,'Day Range Raw Data'!$B:$B,0)),"")</f>
        <v/>
      </c>
      <c r="F953" t="str">
        <f t="array" ref="F953">IFERROR(INDEX('Day Range Raw Data'!F:F,Match($A953,'Day Range Raw Data'!$B:$B,0)),"")</f>
        <v/>
      </c>
      <c r="G953" t="str">
        <f t="array" ref="G953">IFERROR(INDEX('Day Range Raw Data'!G:G,Match($A953,'Day Range Raw Data'!$B:$B,0)),"")</f>
        <v/>
      </c>
      <c r="H953" t="str">
        <f t="array" ref="H953">IFERROR(INDEX('Day Range Raw Data'!H:H,Match($A953,'Day Range Raw Data'!$B:$B,0)),"")</f>
        <v/>
      </c>
      <c r="I953" t="str">
        <f t="array" ref="I953">IFERROR(INDEX('Day Range Raw Data'!M:M,Match($A953,'Day Range Raw Data'!$B:$B,0)),"")</f>
        <v/>
      </c>
      <c r="J953" t="str">
        <f t="array" ref="J953">IFERROR(INDEX('Day Range Raw Data'!N:N,Match($A953,'Day Range Raw Data'!$B:$B,0)),"")</f>
        <v/>
      </c>
      <c r="K953" t="str">
        <f t="array" ref="K953">IFERROR(INDEX('Day Range Raw Data'!R:R,Match($A953,'Day Range Raw Data'!$B:$B,0)),"")</f>
        <v/>
      </c>
      <c r="L953" t="str">
        <f t="array" ref="L953">IFERROR(INDEX('Day Range Raw Data'!S:S,Match($A953,'Day Range Raw Data'!$B:$B,0)),"")</f>
        <v/>
      </c>
      <c r="M953" t="str">
        <f t="array" ref="M953">IFERROR(INDEX('Day Range Raw Data'!T:T,Match($A953,'Day Range Raw Data'!$B:$B,0)),"")</f>
        <v/>
      </c>
      <c r="N953" t="str">
        <f t="array" ref="N953">IFERROR(INDEX('Day Range Raw Data'!U:U,Match($A953,'Day Range Raw Data'!$B:$B,0)),"")</f>
        <v/>
      </c>
      <c r="O953" t="str">
        <f t="array" ref="O953">IFERROR(INDEX('Day Range Raw Data'!V:V,Match($A953,'Day Range Raw Data'!$B:$B,0)),"")</f>
        <v/>
      </c>
      <c r="P953" t="str">
        <f t="array" ref="P953">IFERROR(INDEX('Day Range Raw Data'!X:X,Match($A953,'Day Range Raw Data'!$B:$B,0)),"")</f>
        <v/>
      </c>
      <c r="Q953" t="str">
        <f t="shared" si="1"/>
        <v/>
      </c>
      <c r="R953" s="9" t="str">
        <f t="shared" si="2"/>
        <v/>
      </c>
      <c r="S953" s="14" t="str">
        <f t="shared" si="3"/>
        <v/>
      </c>
      <c r="T953" s="15" t="str">
        <f>IFERROR(__xludf.DUMMYFUNCTION("IF($A953="""","""",IFERROR(PERCENTRANK.INC(FILTER(Q:Q,$F:$F&lt;&gt;""""),Q953)*100,""""))"),"")</f>
        <v/>
      </c>
      <c r="U953" s="15" t="str">
        <f>IFERROR(__xludf.DUMMYFUNCTION("IF($A953="""","""",IFERROR(PERCENTRANK.INC(FILTER(R:R,$F:$F&lt;&gt;""""),R953)*100,""""))"),"")</f>
        <v/>
      </c>
      <c r="V953" s="15" t="str">
        <f>IFERROR(__xludf.DUMMYFUNCTION("IF($A953="""","""",IFERROR(PERCENTRANK.INC(FILTER(S:S,$F:$F&lt;&gt;""""),S953)*100,""""))"),"")</f>
        <v/>
      </c>
      <c r="W953" s="15" t="str">
        <f t="shared" si="5"/>
        <v/>
      </c>
    </row>
    <row r="954">
      <c r="B954" t="str">
        <f t="array" ref="B954">IFERROR(INDEX('Player Raw Data'!C:C,Match($A954,'Player Raw Data'!$B:$B,0)),"")</f>
        <v/>
      </c>
      <c r="C954" t="str">
        <f t="array" ref="C954">IFERROR(INDEX('Player Raw Data'!D:D,Match($A954,'Player Raw Data'!$B:$B,0)),"")</f>
        <v/>
      </c>
      <c r="D954" t="str">
        <f t="array" ref="D954">IFERROR(IF(A954=A953, INDEX('Player Raw Data'!E:E,Match($A954,'Player Raw Data'!$B:$B,0)+2),INDEX('Player Raw Data'!E:E,Match($A954,'Player Raw Data'!$B:$B,0))),"")</f>
        <v/>
      </c>
      <c r="E954" t="str">
        <f t="array" ref="E954">IFERROR(INDEX('Day Range Raw Data'!D:D,Match($A954,'Day Range Raw Data'!$B:$B,0)),"")</f>
        <v/>
      </c>
      <c r="F954" t="str">
        <f t="array" ref="F954">IFERROR(INDEX('Day Range Raw Data'!F:F,Match($A954,'Day Range Raw Data'!$B:$B,0)),"")</f>
        <v/>
      </c>
      <c r="G954" t="str">
        <f t="array" ref="G954">IFERROR(INDEX('Day Range Raw Data'!G:G,Match($A954,'Day Range Raw Data'!$B:$B,0)),"")</f>
        <v/>
      </c>
      <c r="H954" t="str">
        <f t="array" ref="H954">IFERROR(INDEX('Day Range Raw Data'!H:H,Match($A954,'Day Range Raw Data'!$B:$B,0)),"")</f>
        <v/>
      </c>
      <c r="I954" t="str">
        <f t="array" ref="I954">IFERROR(INDEX('Day Range Raw Data'!M:M,Match($A954,'Day Range Raw Data'!$B:$B,0)),"")</f>
        <v/>
      </c>
      <c r="J954" t="str">
        <f t="array" ref="J954">IFERROR(INDEX('Day Range Raw Data'!N:N,Match($A954,'Day Range Raw Data'!$B:$B,0)),"")</f>
        <v/>
      </c>
      <c r="K954" t="str">
        <f t="array" ref="K954">IFERROR(INDEX('Day Range Raw Data'!R:R,Match($A954,'Day Range Raw Data'!$B:$B,0)),"")</f>
        <v/>
      </c>
      <c r="L954" t="str">
        <f t="array" ref="L954">IFERROR(INDEX('Day Range Raw Data'!S:S,Match($A954,'Day Range Raw Data'!$B:$B,0)),"")</f>
        <v/>
      </c>
      <c r="M954" t="str">
        <f t="array" ref="M954">IFERROR(INDEX('Day Range Raw Data'!T:T,Match($A954,'Day Range Raw Data'!$B:$B,0)),"")</f>
        <v/>
      </c>
      <c r="N954" t="str">
        <f t="array" ref="N954">IFERROR(INDEX('Day Range Raw Data'!U:U,Match($A954,'Day Range Raw Data'!$B:$B,0)),"")</f>
        <v/>
      </c>
      <c r="O954" t="str">
        <f t="array" ref="O954">IFERROR(INDEX('Day Range Raw Data'!V:V,Match($A954,'Day Range Raw Data'!$B:$B,0)),"")</f>
        <v/>
      </c>
      <c r="P954" t="str">
        <f t="array" ref="P954">IFERROR(INDEX('Day Range Raw Data'!X:X,Match($A954,'Day Range Raw Data'!$B:$B,0)),"")</f>
        <v/>
      </c>
      <c r="Q954" t="str">
        <f t="shared" si="1"/>
        <v/>
      </c>
      <c r="R954" s="9" t="str">
        <f t="shared" si="2"/>
        <v/>
      </c>
      <c r="S954" s="14" t="str">
        <f t="shared" si="3"/>
        <v/>
      </c>
      <c r="T954" s="15" t="str">
        <f>IFERROR(__xludf.DUMMYFUNCTION("IF($A954="""","""",IFERROR(PERCENTRANK.INC(FILTER(Q:Q,$F:$F&lt;&gt;""""),Q954)*100,""""))"),"")</f>
        <v/>
      </c>
      <c r="U954" s="15" t="str">
        <f>IFERROR(__xludf.DUMMYFUNCTION("IF($A954="""","""",IFERROR(PERCENTRANK.INC(FILTER(R:R,$F:$F&lt;&gt;""""),R954)*100,""""))"),"")</f>
        <v/>
      </c>
      <c r="V954" s="15" t="str">
        <f>IFERROR(__xludf.DUMMYFUNCTION("IF($A954="""","""",IFERROR(PERCENTRANK.INC(FILTER(S:S,$F:$F&lt;&gt;""""),S954)*100,""""))"),"")</f>
        <v/>
      </c>
      <c r="W954" s="15" t="str">
        <f t="shared" si="5"/>
        <v/>
      </c>
    </row>
    <row r="955">
      <c r="B955" t="str">
        <f t="array" ref="B955">IFERROR(INDEX('Player Raw Data'!C:C,Match($A955,'Player Raw Data'!$B:$B,0)),"")</f>
        <v/>
      </c>
      <c r="C955" t="str">
        <f t="array" ref="C955">IFERROR(INDEX('Player Raw Data'!D:D,Match($A955,'Player Raw Data'!$B:$B,0)),"")</f>
        <v/>
      </c>
      <c r="D955" t="str">
        <f t="array" ref="D955">IFERROR(IF(A955=A954, INDEX('Player Raw Data'!E:E,Match($A955,'Player Raw Data'!$B:$B,0)+2),INDEX('Player Raw Data'!E:E,Match($A955,'Player Raw Data'!$B:$B,0))),"")</f>
        <v/>
      </c>
      <c r="E955" t="str">
        <f t="array" ref="E955">IFERROR(INDEX('Day Range Raw Data'!D:D,Match($A955,'Day Range Raw Data'!$B:$B,0)),"")</f>
        <v/>
      </c>
      <c r="F955" t="str">
        <f t="array" ref="F955">IFERROR(INDEX('Day Range Raw Data'!F:F,Match($A955,'Day Range Raw Data'!$B:$B,0)),"")</f>
        <v/>
      </c>
      <c r="G955" t="str">
        <f t="array" ref="G955">IFERROR(INDEX('Day Range Raw Data'!G:G,Match($A955,'Day Range Raw Data'!$B:$B,0)),"")</f>
        <v/>
      </c>
      <c r="H955" t="str">
        <f t="array" ref="H955">IFERROR(INDEX('Day Range Raw Data'!H:H,Match($A955,'Day Range Raw Data'!$B:$B,0)),"")</f>
        <v/>
      </c>
      <c r="I955" t="str">
        <f t="array" ref="I955">IFERROR(INDEX('Day Range Raw Data'!M:M,Match($A955,'Day Range Raw Data'!$B:$B,0)),"")</f>
        <v/>
      </c>
      <c r="J955" t="str">
        <f t="array" ref="J955">IFERROR(INDEX('Day Range Raw Data'!N:N,Match($A955,'Day Range Raw Data'!$B:$B,0)),"")</f>
        <v/>
      </c>
      <c r="K955" t="str">
        <f t="array" ref="K955">IFERROR(INDEX('Day Range Raw Data'!R:R,Match($A955,'Day Range Raw Data'!$B:$B,0)),"")</f>
        <v/>
      </c>
      <c r="L955" t="str">
        <f t="array" ref="L955">IFERROR(INDEX('Day Range Raw Data'!S:S,Match($A955,'Day Range Raw Data'!$B:$B,0)),"")</f>
        <v/>
      </c>
      <c r="M955" t="str">
        <f t="array" ref="M955">IFERROR(INDEX('Day Range Raw Data'!T:T,Match($A955,'Day Range Raw Data'!$B:$B,0)),"")</f>
        <v/>
      </c>
      <c r="N955" t="str">
        <f t="array" ref="N955">IFERROR(INDEX('Day Range Raw Data'!U:U,Match($A955,'Day Range Raw Data'!$B:$B,0)),"")</f>
        <v/>
      </c>
      <c r="O955" t="str">
        <f t="array" ref="O955">IFERROR(INDEX('Day Range Raw Data'!V:V,Match($A955,'Day Range Raw Data'!$B:$B,0)),"")</f>
        <v/>
      </c>
      <c r="P955" t="str">
        <f t="array" ref="P955">IFERROR(INDEX('Day Range Raw Data'!X:X,Match($A955,'Day Range Raw Data'!$B:$B,0)),"")</f>
        <v/>
      </c>
      <c r="Q955" t="str">
        <f t="shared" si="1"/>
        <v/>
      </c>
      <c r="R955" s="9" t="str">
        <f t="shared" si="2"/>
        <v/>
      </c>
      <c r="S955" s="14" t="str">
        <f t="shared" si="3"/>
        <v/>
      </c>
      <c r="T955" s="15" t="str">
        <f>IFERROR(__xludf.DUMMYFUNCTION("IF($A955="""","""",IFERROR(PERCENTRANK.INC(FILTER(Q:Q,$F:$F&lt;&gt;""""),Q955)*100,""""))"),"")</f>
        <v/>
      </c>
      <c r="U955" s="15" t="str">
        <f>IFERROR(__xludf.DUMMYFUNCTION("IF($A955="""","""",IFERROR(PERCENTRANK.INC(FILTER(R:R,$F:$F&lt;&gt;""""),R955)*100,""""))"),"")</f>
        <v/>
      </c>
      <c r="V955" s="15" t="str">
        <f>IFERROR(__xludf.DUMMYFUNCTION("IF($A955="""","""",IFERROR(PERCENTRANK.INC(FILTER(S:S,$F:$F&lt;&gt;""""),S955)*100,""""))"),"")</f>
        <v/>
      </c>
      <c r="W955" s="15" t="str">
        <f t="shared" si="5"/>
        <v/>
      </c>
    </row>
    <row r="956">
      <c r="B956" t="str">
        <f t="array" ref="B956">IFERROR(INDEX('Player Raw Data'!C:C,Match($A956,'Player Raw Data'!$B:$B,0)),"")</f>
        <v/>
      </c>
      <c r="C956" t="str">
        <f t="array" ref="C956">IFERROR(INDEX('Player Raw Data'!D:D,Match($A956,'Player Raw Data'!$B:$B,0)),"")</f>
        <v/>
      </c>
      <c r="D956" t="str">
        <f t="array" ref="D956">IFERROR(IF(A956=A955, INDEX('Player Raw Data'!E:E,Match($A956,'Player Raw Data'!$B:$B,0)+2),INDEX('Player Raw Data'!E:E,Match($A956,'Player Raw Data'!$B:$B,0))),"")</f>
        <v/>
      </c>
      <c r="E956" t="str">
        <f t="array" ref="E956">IFERROR(INDEX('Day Range Raw Data'!D:D,Match($A956,'Day Range Raw Data'!$B:$B,0)),"")</f>
        <v/>
      </c>
      <c r="F956" t="str">
        <f t="array" ref="F956">IFERROR(INDEX('Day Range Raw Data'!F:F,Match($A956,'Day Range Raw Data'!$B:$B,0)),"")</f>
        <v/>
      </c>
      <c r="G956" t="str">
        <f t="array" ref="G956">IFERROR(INDEX('Day Range Raw Data'!G:G,Match($A956,'Day Range Raw Data'!$B:$B,0)),"")</f>
        <v/>
      </c>
      <c r="H956" t="str">
        <f t="array" ref="H956">IFERROR(INDEX('Day Range Raw Data'!H:H,Match($A956,'Day Range Raw Data'!$B:$B,0)),"")</f>
        <v/>
      </c>
      <c r="I956" t="str">
        <f t="array" ref="I956">IFERROR(INDEX('Day Range Raw Data'!M:M,Match($A956,'Day Range Raw Data'!$B:$B,0)),"")</f>
        <v/>
      </c>
      <c r="J956" t="str">
        <f t="array" ref="J956">IFERROR(INDEX('Day Range Raw Data'!N:N,Match($A956,'Day Range Raw Data'!$B:$B,0)),"")</f>
        <v/>
      </c>
      <c r="K956" t="str">
        <f t="array" ref="K956">IFERROR(INDEX('Day Range Raw Data'!R:R,Match($A956,'Day Range Raw Data'!$B:$B,0)),"")</f>
        <v/>
      </c>
      <c r="L956" t="str">
        <f t="array" ref="L956">IFERROR(INDEX('Day Range Raw Data'!S:S,Match($A956,'Day Range Raw Data'!$B:$B,0)),"")</f>
        <v/>
      </c>
      <c r="M956" t="str">
        <f t="array" ref="M956">IFERROR(INDEX('Day Range Raw Data'!T:T,Match($A956,'Day Range Raw Data'!$B:$B,0)),"")</f>
        <v/>
      </c>
      <c r="N956" t="str">
        <f t="array" ref="N956">IFERROR(INDEX('Day Range Raw Data'!U:U,Match($A956,'Day Range Raw Data'!$B:$B,0)),"")</f>
        <v/>
      </c>
      <c r="O956" t="str">
        <f t="array" ref="O956">IFERROR(INDEX('Day Range Raw Data'!V:V,Match($A956,'Day Range Raw Data'!$B:$B,0)),"")</f>
        <v/>
      </c>
      <c r="P956" t="str">
        <f t="array" ref="P956">IFERROR(INDEX('Day Range Raw Data'!X:X,Match($A956,'Day Range Raw Data'!$B:$B,0)),"")</f>
        <v/>
      </c>
      <c r="Q956" t="str">
        <f t="shared" si="1"/>
        <v/>
      </c>
      <c r="R956" s="9" t="str">
        <f t="shared" si="2"/>
        <v/>
      </c>
      <c r="S956" s="14" t="str">
        <f t="shared" si="3"/>
        <v/>
      </c>
      <c r="T956" s="15" t="str">
        <f>IFERROR(__xludf.DUMMYFUNCTION("IF($A956="""","""",IFERROR(PERCENTRANK.INC(FILTER(Q:Q,$F:$F&lt;&gt;""""),Q956)*100,""""))"),"")</f>
        <v/>
      </c>
      <c r="U956" s="15" t="str">
        <f>IFERROR(__xludf.DUMMYFUNCTION("IF($A956="""","""",IFERROR(PERCENTRANK.INC(FILTER(R:R,$F:$F&lt;&gt;""""),R956)*100,""""))"),"")</f>
        <v/>
      </c>
      <c r="V956" s="15" t="str">
        <f>IFERROR(__xludf.DUMMYFUNCTION("IF($A956="""","""",IFERROR(PERCENTRANK.INC(FILTER(S:S,$F:$F&lt;&gt;""""),S956)*100,""""))"),"")</f>
        <v/>
      </c>
      <c r="W956" s="15" t="str">
        <f t="shared" si="5"/>
        <v/>
      </c>
    </row>
    <row r="957">
      <c r="B957" t="str">
        <f t="array" ref="B957">IFERROR(INDEX('Player Raw Data'!C:C,Match($A957,'Player Raw Data'!$B:$B,0)),"")</f>
        <v/>
      </c>
      <c r="C957" t="str">
        <f t="array" ref="C957">IFERROR(INDEX('Player Raw Data'!D:D,Match($A957,'Player Raw Data'!$B:$B,0)),"")</f>
        <v/>
      </c>
      <c r="D957" t="str">
        <f t="array" ref="D957">IFERROR(IF(A957=A956, INDEX('Player Raw Data'!E:E,Match($A957,'Player Raw Data'!$B:$B,0)+2),INDEX('Player Raw Data'!E:E,Match($A957,'Player Raw Data'!$B:$B,0))),"")</f>
        <v/>
      </c>
      <c r="E957" t="str">
        <f t="array" ref="E957">IFERROR(INDEX('Day Range Raw Data'!D:D,Match($A957,'Day Range Raw Data'!$B:$B,0)),"")</f>
        <v/>
      </c>
      <c r="F957" t="str">
        <f t="array" ref="F957">IFERROR(INDEX('Day Range Raw Data'!F:F,Match($A957,'Day Range Raw Data'!$B:$B,0)),"")</f>
        <v/>
      </c>
      <c r="G957" t="str">
        <f t="array" ref="G957">IFERROR(INDEX('Day Range Raw Data'!G:G,Match($A957,'Day Range Raw Data'!$B:$B,0)),"")</f>
        <v/>
      </c>
      <c r="H957" t="str">
        <f t="array" ref="H957">IFERROR(INDEX('Day Range Raw Data'!H:H,Match($A957,'Day Range Raw Data'!$B:$B,0)),"")</f>
        <v/>
      </c>
      <c r="I957" t="str">
        <f t="array" ref="I957">IFERROR(INDEX('Day Range Raw Data'!M:M,Match($A957,'Day Range Raw Data'!$B:$B,0)),"")</f>
        <v/>
      </c>
      <c r="J957" t="str">
        <f t="array" ref="J957">IFERROR(INDEX('Day Range Raw Data'!N:N,Match($A957,'Day Range Raw Data'!$B:$B,0)),"")</f>
        <v/>
      </c>
      <c r="K957" t="str">
        <f t="array" ref="K957">IFERROR(INDEX('Day Range Raw Data'!R:R,Match($A957,'Day Range Raw Data'!$B:$B,0)),"")</f>
        <v/>
      </c>
      <c r="L957" t="str">
        <f t="array" ref="L957">IFERROR(INDEX('Day Range Raw Data'!S:S,Match($A957,'Day Range Raw Data'!$B:$B,0)),"")</f>
        <v/>
      </c>
      <c r="M957" t="str">
        <f t="array" ref="M957">IFERROR(INDEX('Day Range Raw Data'!T:T,Match($A957,'Day Range Raw Data'!$B:$B,0)),"")</f>
        <v/>
      </c>
      <c r="N957" t="str">
        <f t="array" ref="N957">IFERROR(INDEX('Day Range Raw Data'!U:U,Match($A957,'Day Range Raw Data'!$B:$B,0)),"")</f>
        <v/>
      </c>
      <c r="O957" t="str">
        <f t="array" ref="O957">IFERROR(INDEX('Day Range Raw Data'!V:V,Match($A957,'Day Range Raw Data'!$B:$B,0)),"")</f>
        <v/>
      </c>
      <c r="P957" t="str">
        <f t="array" ref="P957">IFERROR(INDEX('Day Range Raw Data'!X:X,Match($A957,'Day Range Raw Data'!$B:$B,0)),"")</f>
        <v/>
      </c>
      <c r="Q957" t="str">
        <f t="shared" si="1"/>
        <v/>
      </c>
      <c r="R957" s="9" t="str">
        <f t="shared" si="2"/>
        <v/>
      </c>
      <c r="S957" s="14" t="str">
        <f t="shared" si="3"/>
        <v/>
      </c>
      <c r="T957" s="15" t="str">
        <f>IFERROR(__xludf.DUMMYFUNCTION("IF($A957="""","""",IFERROR(PERCENTRANK.INC(FILTER(Q:Q,$F:$F&lt;&gt;""""),Q957)*100,""""))"),"")</f>
        <v/>
      </c>
      <c r="U957" s="15" t="str">
        <f>IFERROR(__xludf.DUMMYFUNCTION("IF($A957="""","""",IFERROR(PERCENTRANK.INC(FILTER(R:R,$F:$F&lt;&gt;""""),R957)*100,""""))"),"")</f>
        <v/>
      </c>
      <c r="V957" s="15" t="str">
        <f>IFERROR(__xludf.DUMMYFUNCTION("IF($A957="""","""",IFERROR(PERCENTRANK.INC(FILTER(S:S,$F:$F&lt;&gt;""""),S957)*100,""""))"),"")</f>
        <v/>
      </c>
      <c r="W957" s="15" t="str">
        <f t="shared" si="5"/>
        <v/>
      </c>
    </row>
    <row r="958">
      <c r="B958" t="str">
        <f t="array" ref="B958">IFERROR(INDEX('Player Raw Data'!C:C,Match($A958,'Player Raw Data'!$B:$B,0)),"")</f>
        <v/>
      </c>
      <c r="C958" t="str">
        <f t="array" ref="C958">IFERROR(INDEX('Player Raw Data'!D:D,Match($A958,'Player Raw Data'!$B:$B,0)),"")</f>
        <v/>
      </c>
      <c r="D958" t="str">
        <f t="array" ref="D958">IFERROR(IF(A958=A957, INDEX('Player Raw Data'!E:E,Match($A958,'Player Raw Data'!$B:$B,0)+2),INDEX('Player Raw Data'!E:E,Match($A958,'Player Raw Data'!$B:$B,0))),"")</f>
        <v/>
      </c>
      <c r="E958" t="str">
        <f t="array" ref="E958">IFERROR(INDEX('Day Range Raw Data'!D:D,Match($A958,'Day Range Raw Data'!$B:$B,0)),"")</f>
        <v/>
      </c>
      <c r="F958" t="str">
        <f t="array" ref="F958">IFERROR(INDEX('Day Range Raw Data'!F:F,Match($A958,'Day Range Raw Data'!$B:$B,0)),"")</f>
        <v/>
      </c>
      <c r="G958" t="str">
        <f t="array" ref="G958">IFERROR(INDEX('Day Range Raw Data'!G:G,Match($A958,'Day Range Raw Data'!$B:$B,0)),"")</f>
        <v/>
      </c>
      <c r="H958" t="str">
        <f t="array" ref="H958">IFERROR(INDEX('Day Range Raw Data'!H:H,Match($A958,'Day Range Raw Data'!$B:$B,0)),"")</f>
        <v/>
      </c>
      <c r="I958" t="str">
        <f t="array" ref="I958">IFERROR(INDEX('Day Range Raw Data'!M:M,Match($A958,'Day Range Raw Data'!$B:$B,0)),"")</f>
        <v/>
      </c>
      <c r="J958" t="str">
        <f t="array" ref="J958">IFERROR(INDEX('Day Range Raw Data'!N:N,Match($A958,'Day Range Raw Data'!$B:$B,0)),"")</f>
        <v/>
      </c>
      <c r="K958" t="str">
        <f t="array" ref="K958">IFERROR(INDEX('Day Range Raw Data'!R:R,Match($A958,'Day Range Raw Data'!$B:$B,0)),"")</f>
        <v/>
      </c>
      <c r="L958" t="str">
        <f t="array" ref="L958">IFERROR(INDEX('Day Range Raw Data'!S:S,Match($A958,'Day Range Raw Data'!$B:$B,0)),"")</f>
        <v/>
      </c>
      <c r="M958" t="str">
        <f t="array" ref="M958">IFERROR(INDEX('Day Range Raw Data'!T:T,Match($A958,'Day Range Raw Data'!$B:$B,0)),"")</f>
        <v/>
      </c>
      <c r="N958" t="str">
        <f t="array" ref="N958">IFERROR(INDEX('Day Range Raw Data'!U:U,Match($A958,'Day Range Raw Data'!$B:$B,0)),"")</f>
        <v/>
      </c>
      <c r="O958" t="str">
        <f t="array" ref="O958">IFERROR(INDEX('Day Range Raw Data'!V:V,Match($A958,'Day Range Raw Data'!$B:$B,0)),"")</f>
        <v/>
      </c>
      <c r="P958" t="str">
        <f t="array" ref="P958">IFERROR(INDEX('Day Range Raw Data'!X:X,Match($A958,'Day Range Raw Data'!$B:$B,0)),"")</f>
        <v/>
      </c>
      <c r="Q958" t="str">
        <f t="shared" si="1"/>
        <v/>
      </c>
      <c r="R958" s="9" t="str">
        <f t="shared" si="2"/>
        <v/>
      </c>
      <c r="S958" s="14" t="str">
        <f t="shared" si="3"/>
        <v/>
      </c>
      <c r="T958" s="15" t="str">
        <f>IFERROR(__xludf.DUMMYFUNCTION("IF($A958="""","""",IFERROR(PERCENTRANK.INC(FILTER(Q:Q,$F:$F&lt;&gt;""""),Q958)*100,""""))"),"")</f>
        <v/>
      </c>
      <c r="U958" s="15" t="str">
        <f>IFERROR(__xludf.DUMMYFUNCTION("IF($A958="""","""",IFERROR(PERCENTRANK.INC(FILTER(R:R,$F:$F&lt;&gt;""""),R958)*100,""""))"),"")</f>
        <v/>
      </c>
      <c r="V958" s="15" t="str">
        <f>IFERROR(__xludf.DUMMYFUNCTION("IF($A958="""","""",IFERROR(PERCENTRANK.INC(FILTER(S:S,$F:$F&lt;&gt;""""),S958)*100,""""))"),"")</f>
        <v/>
      </c>
      <c r="W958" s="15" t="str">
        <f t="shared" si="5"/>
        <v/>
      </c>
    </row>
    <row r="959">
      <c r="B959" t="str">
        <f t="array" ref="B959">IFERROR(INDEX('Player Raw Data'!C:C,Match($A959,'Player Raw Data'!$B:$B,0)),"")</f>
        <v/>
      </c>
      <c r="C959" t="str">
        <f t="array" ref="C959">IFERROR(INDEX('Player Raw Data'!D:D,Match($A959,'Player Raw Data'!$B:$B,0)),"")</f>
        <v/>
      </c>
      <c r="D959" t="str">
        <f t="array" ref="D959">IFERROR(IF(A959=A958, INDEX('Player Raw Data'!E:E,Match($A959,'Player Raw Data'!$B:$B,0)+2),INDEX('Player Raw Data'!E:E,Match($A959,'Player Raw Data'!$B:$B,0))),"")</f>
        <v/>
      </c>
      <c r="E959" t="str">
        <f t="array" ref="E959">IFERROR(INDEX('Day Range Raw Data'!D:D,Match($A959,'Day Range Raw Data'!$B:$B,0)),"")</f>
        <v/>
      </c>
      <c r="F959" t="str">
        <f t="array" ref="F959">IFERROR(INDEX('Day Range Raw Data'!F:F,Match($A959,'Day Range Raw Data'!$B:$B,0)),"")</f>
        <v/>
      </c>
      <c r="G959" t="str">
        <f t="array" ref="G959">IFERROR(INDEX('Day Range Raw Data'!G:G,Match($A959,'Day Range Raw Data'!$B:$B,0)),"")</f>
        <v/>
      </c>
      <c r="H959" t="str">
        <f t="array" ref="H959">IFERROR(INDEX('Day Range Raw Data'!H:H,Match($A959,'Day Range Raw Data'!$B:$B,0)),"")</f>
        <v/>
      </c>
      <c r="I959" t="str">
        <f t="array" ref="I959">IFERROR(INDEX('Day Range Raw Data'!M:M,Match($A959,'Day Range Raw Data'!$B:$B,0)),"")</f>
        <v/>
      </c>
      <c r="J959" t="str">
        <f t="array" ref="J959">IFERROR(INDEX('Day Range Raw Data'!N:N,Match($A959,'Day Range Raw Data'!$B:$B,0)),"")</f>
        <v/>
      </c>
      <c r="K959" t="str">
        <f t="array" ref="K959">IFERROR(INDEX('Day Range Raw Data'!R:R,Match($A959,'Day Range Raw Data'!$B:$B,0)),"")</f>
        <v/>
      </c>
      <c r="L959" t="str">
        <f t="array" ref="L959">IFERROR(INDEX('Day Range Raw Data'!S:S,Match($A959,'Day Range Raw Data'!$B:$B,0)),"")</f>
        <v/>
      </c>
      <c r="M959" t="str">
        <f t="array" ref="M959">IFERROR(INDEX('Day Range Raw Data'!T:T,Match($A959,'Day Range Raw Data'!$B:$B,0)),"")</f>
        <v/>
      </c>
      <c r="N959" t="str">
        <f t="array" ref="N959">IFERROR(INDEX('Day Range Raw Data'!U:U,Match($A959,'Day Range Raw Data'!$B:$B,0)),"")</f>
        <v/>
      </c>
      <c r="O959" t="str">
        <f t="array" ref="O959">IFERROR(INDEX('Day Range Raw Data'!V:V,Match($A959,'Day Range Raw Data'!$B:$B,0)),"")</f>
        <v/>
      </c>
      <c r="P959" t="str">
        <f t="array" ref="P959">IFERROR(INDEX('Day Range Raw Data'!X:X,Match($A959,'Day Range Raw Data'!$B:$B,0)),"")</f>
        <v/>
      </c>
      <c r="Q959" t="str">
        <f t="shared" si="1"/>
        <v/>
      </c>
      <c r="R959" s="9" t="str">
        <f t="shared" si="2"/>
        <v/>
      </c>
      <c r="S959" s="14" t="str">
        <f t="shared" si="3"/>
        <v/>
      </c>
      <c r="T959" s="15" t="str">
        <f>IFERROR(__xludf.DUMMYFUNCTION("IF($A959="""","""",IFERROR(PERCENTRANK.INC(FILTER(Q:Q,$F:$F&lt;&gt;""""),Q959)*100,""""))"),"")</f>
        <v/>
      </c>
      <c r="U959" s="15" t="str">
        <f>IFERROR(__xludf.DUMMYFUNCTION("IF($A959="""","""",IFERROR(PERCENTRANK.INC(FILTER(R:R,$F:$F&lt;&gt;""""),R959)*100,""""))"),"")</f>
        <v/>
      </c>
      <c r="V959" s="15" t="str">
        <f>IFERROR(__xludf.DUMMYFUNCTION("IF($A959="""","""",IFERROR(PERCENTRANK.INC(FILTER(S:S,$F:$F&lt;&gt;""""),S959)*100,""""))"),"")</f>
        <v/>
      </c>
      <c r="W959" s="15" t="str">
        <f t="shared" si="5"/>
        <v/>
      </c>
    </row>
    <row r="960">
      <c r="B960" t="str">
        <f t="array" ref="B960">IFERROR(INDEX('Player Raw Data'!C:C,Match($A960,'Player Raw Data'!$B:$B,0)),"")</f>
        <v/>
      </c>
      <c r="C960" t="str">
        <f t="array" ref="C960">IFERROR(INDEX('Player Raw Data'!D:D,Match($A960,'Player Raw Data'!$B:$B,0)),"")</f>
        <v/>
      </c>
      <c r="D960" t="str">
        <f t="array" ref="D960">IFERROR(IF(A960=A959, INDEX('Player Raw Data'!E:E,Match($A960,'Player Raw Data'!$B:$B,0)+2),INDEX('Player Raw Data'!E:E,Match($A960,'Player Raw Data'!$B:$B,0))),"")</f>
        <v/>
      </c>
      <c r="E960" t="str">
        <f t="array" ref="E960">IFERROR(INDEX('Day Range Raw Data'!D:D,Match($A960,'Day Range Raw Data'!$B:$B,0)),"")</f>
        <v/>
      </c>
      <c r="F960" t="str">
        <f t="array" ref="F960">IFERROR(INDEX('Day Range Raw Data'!F:F,Match($A960,'Day Range Raw Data'!$B:$B,0)),"")</f>
        <v/>
      </c>
      <c r="G960" t="str">
        <f t="array" ref="G960">IFERROR(INDEX('Day Range Raw Data'!G:G,Match($A960,'Day Range Raw Data'!$B:$B,0)),"")</f>
        <v/>
      </c>
      <c r="H960" t="str">
        <f t="array" ref="H960">IFERROR(INDEX('Day Range Raw Data'!H:H,Match($A960,'Day Range Raw Data'!$B:$B,0)),"")</f>
        <v/>
      </c>
      <c r="I960" t="str">
        <f t="array" ref="I960">IFERROR(INDEX('Day Range Raw Data'!M:M,Match($A960,'Day Range Raw Data'!$B:$B,0)),"")</f>
        <v/>
      </c>
      <c r="J960" t="str">
        <f t="array" ref="J960">IFERROR(INDEX('Day Range Raw Data'!N:N,Match($A960,'Day Range Raw Data'!$B:$B,0)),"")</f>
        <v/>
      </c>
      <c r="K960" t="str">
        <f t="array" ref="K960">IFERROR(INDEX('Day Range Raw Data'!R:R,Match($A960,'Day Range Raw Data'!$B:$B,0)),"")</f>
        <v/>
      </c>
      <c r="L960" t="str">
        <f t="array" ref="L960">IFERROR(INDEX('Day Range Raw Data'!S:S,Match($A960,'Day Range Raw Data'!$B:$B,0)),"")</f>
        <v/>
      </c>
      <c r="M960" t="str">
        <f t="array" ref="M960">IFERROR(INDEX('Day Range Raw Data'!T:T,Match($A960,'Day Range Raw Data'!$B:$B,0)),"")</f>
        <v/>
      </c>
      <c r="N960" t="str">
        <f t="array" ref="N960">IFERROR(INDEX('Day Range Raw Data'!U:U,Match($A960,'Day Range Raw Data'!$B:$B,0)),"")</f>
        <v/>
      </c>
      <c r="O960" t="str">
        <f t="array" ref="O960">IFERROR(INDEX('Day Range Raw Data'!V:V,Match($A960,'Day Range Raw Data'!$B:$B,0)),"")</f>
        <v/>
      </c>
      <c r="P960" t="str">
        <f t="array" ref="P960">IFERROR(INDEX('Day Range Raw Data'!X:X,Match($A960,'Day Range Raw Data'!$B:$B,0)),"")</f>
        <v/>
      </c>
      <c r="Q960" t="str">
        <f t="shared" si="1"/>
        <v/>
      </c>
      <c r="R960" s="9" t="str">
        <f t="shared" si="2"/>
        <v/>
      </c>
      <c r="S960" s="14" t="str">
        <f t="shared" si="3"/>
        <v/>
      </c>
      <c r="T960" s="15" t="str">
        <f>IFERROR(__xludf.DUMMYFUNCTION("IF($A960="""","""",IFERROR(PERCENTRANK.INC(FILTER(Q:Q,$F:$F&lt;&gt;""""),Q960)*100,""""))"),"")</f>
        <v/>
      </c>
      <c r="U960" s="15" t="str">
        <f>IFERROR(__xludf.DUMMYFUNCTION("IF($A960="""","""",IFERROR(PERCENTRANK.INC(FILTER(R:R,$F:$F&lt;&gt;""""),R960)*100,""""))"),"")</f>
        <v/>
      </c>
      <c r="V960" s="15" t="str">
        <f>IFERROR(__xludf.DUMMYFUNCTION("IF($A960="""","""",IFERROR(PERCENTRANK.INC(FILTER(S:S,$F:$F&lt;&gt;""""),S960)*100,""""))"),"")</f>
        <v/>
      </c>
      <c r="W960" s="15" t="str">
        <f t="shared" si="5"/>
        <v/>
      </c>
    </row>
    <row r="961">
      <c r="B961" t="str">
        <f t="array" ref="B961">IFERROR(INDEX('Player Raw Data'!C:C,Match($A961,'Player Raw Data'!$B:$B,0)),"")</f>
        <v/>
      </c>
      <c r="C961" t="str">
        <f t="array" ref="C961">IFERROR(INDEX('Player Raw Data'!D:D,Match($A961,'Player Raw Data'!$B:$B,0)),"")</f>
        <v/>
      </c>
      <c r="D961" t="str">
        <f t="array" ref="D961">IFERROR(IF(A961=A960, INDEX('Player Raw Data'!E:E,Match($A961,'Player Raw Data'!$B:$B,0)+2),INDEX('Player Raw Data'!E:E,Match($A961,'Player Raw Data'!$B:$B,0))),"")</f>
        <v/>
      </c>
      <c r="E961" t="str">
        <f t="array" ref="E961">IFERROR(INDEX('Day Range Raw Data'!D:D,Match($A961,'Day Range Raw Data'!$B:$B,0)),"")</f>
        <v/>
      </c>
      <c r="F961" t="str">
        <f t="array" ref="F961">IFERROR(INDEX('Day Range Raw Data'!F:F,Match($A961,'Day Range Raw Data'!$B:$B,0)),"")</f>
        <v/>
      </c>
      <c r="G961" t="str">
        <f t="array" ref="G961">IFERROR(INDEX('Day Range Raw Data'!G:G,Match($A961,'Day Range Raw Data'!$B:$B,0)),"")</f>
        <v/>
      </c>
      <c r="H961" t="str">
        <f t="array" ref="H961">IFERROR(INDEX('Day Range Raw Data'!H:H,Match($A961,'Day Range Raw Data'!$B:$B,0)),"")</f>
        <v/>
      </c>
      <c r="I961" t="str">
        <f t="array" ref="I961">IFERROR(INDEX('Day Range Raw Data'!M:M,Match($A961,'Day Range Raw Data'!$B:$B,0)),"")</f>
        <v/>
      </c>
      <c r="J961" t="str">
        <f t="array" ref="J961">IFERROR(INDEX('Day Range Raw Data'!N:N,Match($A961,'Day Range Raw Data'!$B:$B,0)),"")</f>
        <v/>
      </c>
      <c r="K961" t="str">
        <f t="array" ref="K961">IFERROR(INDEX('Day Range Raw Data'!R:R,Match($A961,'Day Range Raw Data'!$B:$B,0)),"")</f>
        <v/>
      </c>
      <c r="L961" t="str">
        <f t="array" ref="L961">IFERROR(INDEX('Day Range Raw Data'!S:S,Match($A961,'Day Range Raw Data'!$B:$B,0)),"")</f>
        <v/>
      </c>
      <c r="M961" t="str">
        <f t="array" ref="M961">IFERROR(INDEX('Day Range Raw Data'!T:T,Match($A961,'Day Range Raw Data'!$B:$B,0)),"")</f>
        <v/>
      </c>
      <c r="N961" t="str">
        <f t="array" ref="N961">IFERROR(INDEX('Day Range Raw Data'!U:U,Match($A961,'Day Range Raw Data'!$B:$B,0)),"")</f>
        <v/>
      </c>
      <c r="O961" t="str">
        <f t="array" ref="O961">IFERROR(INDEX('Day Range Raw Data'!V:V,Match($A961,'Day Range Raw Data'!$B:$B,0)),"")</f>
        <v/>
      </c>
      <c r="P961" t="str">
        <f t="array" ref="P961">IFERROR(INDEX('Day Range Raw Data'!X:X,Match($A961,'Day Range Raw Data'!$B:$B,0)),"")</f>
        <v/>
      </c>
      <c r="Q961" t="str">
        <f t="shared" si="1"/>
        <v/>
      </c>
      <c r="R961" s="9" t="str">
        <f t="shared" si="2"/>
        <v/>
      </c>
      <c r="S961" s="14" t="str">
        <f t="shared" si="3"/>
        <v/>
      </c>
      <c r="T961" s="15" t="str">
        <f>IFERROR(__xludf.DUMMYFUNCTION("IF($A961="""","""",IFERROR(PERCENTRANK.INC(FILTER(Q:Q,$F:$F&lt;&gt;""""),Q961)*100,""""))"),"")</f>
        <v/>
      </c>
      <c r="U961" s="15" t="str">
        <f>IFERROR(__xludf.DUMMYFUNCTION("IF($A961="""","""",IFERROR(PERCENTRANK.INC(FILTER(R:R,$F:$F&lt;&gt;""""),R961)*100,""""))"),"")</f>
        <v/>
      </c>
      <c r="V961" s="15" t="str">
        <f>IFERROR(__xludf.DUMMYFUNCTION("IF($A961="""","""",IFERROR(PERCENTRANK.INC(FILTER(S:S,$F:$F&lt;&gt;""""),S961)*100,""""))"),"")</f>
        <v/>
      </c>
      <c r="W961" s="15" t="str">
        <f t="shared" si="5"/>
        <v/>
      </c>
    </row>
    <row r="962">
      <c r="B962" t="str">
        <f t="array" ref="B962">IFERROR(INDEX('Player Raw Data'!C:C,Match($A962,'Player Raw Data'!$B:$B,0)),"")</f>
        <v/>
      </c>
      <c r="C962" t="str">
        <f t="array" ref="C962">IFERROR(INDEX('Player Raw Data'!D:D,Match($A962,'Player Raw Data'!$B:$B,0)),"")</f>
        <v/>
      </c>
      <c r="D962" t="str">
        <f t="array" ref="D962">IFERROR(IF(A962=A961, INDEX('Player Raw Data'!E:E,Match($A962,'Player Raw Data'!$B:$B,0)+2),INDEX('Player Raw Data'!E:E,Match($A962,'Player Raw Data'!$B:$B,0))),"")</f>
        <v/>
      </c>
      <c r="E962" t="str">
        <f t="array" ref="E962">IFERROR(INDEX('Day Range Raw Data'!D:D,Match($A962,'Day Range Raw Data'!$B:$B,0)),"")</f>
        <v/>
      </c>
      <c r="F962" t="str">
        <f t="array" ref="F962">IFERROR(INDEX('Day Range Raw Data'!F:F,Match($A962,'Day Range Raw Data'!$B:$B,0)),"")</f>
        <v/>
      </c>
      <c r="G962" t="str">
        <f t="array" ref="G962">IFERROR(INDEX('Day Range Raw Data'!G:G,Match($A962,'Day Range Raw Data'!$B:$B,0)),"")</f>
        <v/>
      </c>
      <c r="H962" t="str">
        <f t="array" ref="H962">IFERROR(INDEX('Day Range Raw Data'!H:H,Match($A962,'Day Range Raw Data'!$B:$B,0)),"")</f>
        <v/>
      </c>
      <c r="I962" t="str">
        <f t="array" ref="I962">IFERROR(INDEX('Day Range Raw Data'!M:M,Match($A962,'Day Range Raw Data'!$B:$B,0)),"")</f>
        <v/>
      </c>
      <c r="J962" t="str">
        <f t="array" ref="J962">IFERROR(INDEX('Day Range Raw Data'!N:N,Match($A962,'Day Range Raw Data'!$B:$B,0)),"")</f>
        <v/>
      </c>
      <c r="K962" t="str">
        <f t="array" ref="K962">IFERROR(INDEX('Day Range Raw Data'!R:R,Match($A962,'Day Range Raw Data'!$B:$B,0)),"")</f>
        <v/>
      </c>
      <c r="L962" t="str">
        <f t="array" ref="L962">IFERROR(INDEX('Day Range Raw Data'!S:S,Match($A962,'Day Range Raw Data'!$B:$B,0)),"")</f>
        <v/>
      </c>
      <c r="M962" t="str">
        <f t="array" ref="M962">IFERROR(INDEX('Day Range Raw Data'!T:T,Match($A962,'Day Range Raw Data'!$B:$B,0)),"")</f>
        <v/>
      </c>
      <c r="N962" t="str">
        <f t="array" ref="N962">IFERROR(INDEX('Day Range Raw Data'!U:U,Match($A962,'Day Range Raw Data'!$B:$B,0)),"")</f>
        <v/>
      </c>
      <c r="O962" t="str">
        <f t="array" ref="O962">IFERROR(INDEX('Day Range Raw Data'!V:V,Match($A962,'Day Range Raw Data'!$B:$B,0)),"")</f>
        <v/>
      </c>
      <c r="P962" t="str">
        <f t="array" ref="P962">IFERROR(INDEX('Day Range Raw Data'!X:X,Match($A962,'Day Range Raw Data'!$B:$B,0)),"")</f>
        <v/>
      </c>
      <c r="Q962" t="str">
        <f t="shared" si="1"/>
        <v/>
      </c>
      <c r="R962" s="9" t="str">
        <f t="shared" si="2"/>
        <v/>
      </c>
      <c r="S962" s="14" t="str">
        <f t="shared" si="3"/>
        <v/>
      </c>
      <c r="T962" s="15" t="str">
        <f>IFERROR(__xludf.DUMMYFUNCTION("IF($A962="""","""",IFERROR(PERCENTRANK.INC(FILTER(Q:Q,$F:$F&lt;&gt;""""),Q962)*100,""""))"),"")</f>
        <v/>
      </c>
      <c r="U962" s="15" t="str">
        <f>IFERROR(__xludf.DUMMYFUNCTION("IF($A962="""","""",IFERROR(PERCENTRANK.INC(FILTER(R:R,$F:$F&lt;&gt;""""),R962)*100,""""))"),"")</f>
        <v/>
      </c>
      <c r="V962" s="15" t="str">
        <f>IFERROR(__xludf.DUMMYFUNCTION("IF($A962="""","""",IFERROR(PERCENTRANK.INC(FILTER(S:S,$F:$F&lt;&gt;""""),S962)*100,""""))"),"")</f>
        <v/>
      </c>
      <c r="W962" s="15" t="str">
        <f t="shared" si="5"/>
        <v/>
      </c>
    </row>
    <row r="963">
      <c r="B963" t="str">
        <f t="array" ref="B963">IFERROR(INDEX('Player Raw Data'!C:C,Match($A963,'Player Raw Data'!$B:$B,0)),"")</f>
        <v/>
      </c>
      <c r="C963" t="str">
        <f t="array" ref="C963">IFERROR(INDEX('Player Raw Data'!D:D,Match($A963,'Player Raw Data'!$B:$B,0)),"")</f>
        <v/>
      </c>
      <c r="D963" t="str">
        <f t="array" ref="D963">IFERROR(IF(A963=A962, INDEX('Player Raw Data'!E:E,Match($A963,'Player Raw Data'!$B:$B,0)+2),INDEX('Player Raw Data'!E:E,Match($A963,'Player Raw Data'!$B:$B,0))),"")</f>
        <v/>
      </c>
      <c r="E963" t="str">
        <f t="array" ref="E963">IFERROR(INDEX('Day Range Raw Data'!D:D,Match($A963,'Day Range Raw Data'!$B:$B,0)),"")</f>
        <v/>
      </c>
      <c r="F963" t="str">
        <f t="array" ref="F963">IFERROR(INDEX('Day Range Raw Data'!F:F,Match($A963,'Day Range Raw Data'!$B:$B,0)),"")</f>
        <v/>
      </c>
      <c r="G963" t="str">
        <f t="array" ref="G963">IFERROR(INDEX('Day Range Raw Data'!G:G,Match($A963,'Day Range Raw Data'!$B:$B,0)),"")</f>
        <v/>
      </c>
      <c r="H963" t="str">
        <f t="array" ref="H963">IFERROR(INDEX('Day Range Raw Data'!H:H,Match($A963,'Day Range Raw Data'!$B:$B,0)),"")</f>
        <v/>
      </c>
      <c r="I963" t="str">
        <f t="array" ref="I963">IFERROR(INDEX('Day Range Raw Data'!M:M,Match($A963,'Day Range Raw Data'!$B:$B,0)),"")</f>
        <v/>
      </c>
      <c r="J963" t="str">
        <f t="array" ref="J963">IFERROR(INDEX('Day Range Raw Data'!N:N,Match($A963,'Day Range Raw Data'!$B:$B,0)),"")</f>
        <v/>
      </c>
      <c r="K963" t="str">
        <f t="array" ref="K963">IFERROR(INDEX('Day Range Raw Data'!R:R,Match($A963,'Day Range Raw Data'!$B:$B,0)),"")</f>
        <v/>
      </c>
      <c r="L963" t="str">
        <f t="array" ref="L963">IFERROR(INDEX('Day Range Raw Data'!S:S,Match($A963,'Day Range Raw Data'!$B:$B,0)),"")</f>
        <v/>
      </c>
      <c r="M963" t="str">
        <f t="array" ref="M963">IFERROR(INDEX('Day Range Raw Data'!T:T,Match($A963,'Day Range Raw Data'!$B:$B,0)),"")</f>
        <v/>
      </c>
      <c r="N963" t="str">
        <f t="array" ref="N963">IFERROR(INDEX('Day Range Raw Data'!U:U,Match($A963,'Day Range Raw Data'!$B:$B,0)),"")</f>
        <v/>
      </c>
      <c r="O963" t="str">
        <f t="array" ref="O963">IFERROR(INDEX('Day Range Raw Data'!V:V,Match($A963,'Day Range Raw Data'!$B:$B,0)),"")</f>
        <v/>
      </c>
      <c r="P963" t="str">
        <f t="array" ref="P963">IFERROR(INDEX('Day Range Raw Data'!X:X,Match($A963,'Day Range Raw Data'!$B:$B,0)),"")</f>
        <v/>
      </c>
      <c r="Q963" t="str">
        <f t="shared" si="1"/>
        <v/>
      </c>
      <c r="R963" s="9" t="str">
        <f t="shared" si="2"/>
        <v/>
      </c>
      <c r="S963" s="14" t="str">
        <f t="shared" si="3"/>
        <v/>
      </c>
      <c r="T963" s="15" t="str">
        <f>IFERROR(__xludf.DUMMYFUNCTION("IF($A963="""","""",IFERROR(PERCENTRANK.INC(FILTER(Q:Q,$F:$F&lt;&gt;""""),Q963)*100,""""))"),"")</f>
        <v/>
      </c>
      <c r="U963" s="15" t="str">
        <f>IFERROR(__xludf.DUMMYFUNCTION("IF($A963="""","""",IFERROR(PERCENTRANK.INC(FILTER(R:R,$F:$F&lt;&gt;""""),R963)*100,""""))"),"")</f>
        <v/>
      </c>
      <c r="V963" s="15" t="str">
        <f>IFERROR(__xludf.DUMMYFUNCTION("IF($A963="""","""",IFERROR(PERCENTRANK.INC(FILTER(S:S,$F:$F&lt;&gt;""""),S963)*100,""""))"),"")</f>
        <v/>
      </c>
      <c r="W963" s="15" t="str">
        <f t="shared" si="5"/>
        <v/>
      </c>
    </row>
    <row r="964">
      <c r="B964" t="str">
        <f t="array" ref="B964">IFERROR(INDEX('Player Raw Data'!C:C,Match($A964,'Player Raw Data'!$B:$B,0)),"")</f>
        <v/>
      </c>
      <c r="C964" t="str">
        <f t="array" ref="C964">IFERROR(INDEX('Player Raw Data'!D:D,Match($A964,'Player Raw Data'!$B:$B,0)),"")</f>
        <v/>
      </c>
      <c r="D964" t="str">
        <f t="array" ref="D964">IFERROR(IF(A964=A963, INDEX('Player Raw Data'!E:E,Match($A964,'Player Raw Data'!$B:$B,0)+2),INDEX('Player Raw Data'!E:E,Match($A964,'Player Raw Data'!$B:$B,0))),"")</f>
        <v/>
      </c>
      <c r="E964" t="str">
        <f t="array" ref="E964">IFERROR(INDEX('Day Range Raw Data'!D:D,Match($A964,'Day Range Raw Data'!$B:$B,0)),"")</f>
        <v/>
      </c>
      <c r="F964" t="str">
        <f t="array" ref="F964">IFERROR(INDEX('Day Range Raw Data'!F:F,Match($A964,'Day Range Raw Data'!$B:$B,0)),"")</f>
        <v/>
      </c>
      <c r="G964" t="str">
        <f t="array" ref="G964">IFERROR(INDEX('Day Range Raw Data'!G:G,Match($A964,'Day Range Raw Data'!$B:$B,0)),"")</f>
        <v/>
      </c>
      <c r="H964" t="str">
        <f t="array" ref="H964">IFERROR(INDEX('Day Range Raw Data'!H:H,Match($A964,'Day Range Raw Data'!$B:$B,0)),"")</f>
        <v/>
      </c>
      <c r="I964" t="str">
        <f t="array" ref="I964">IFERROR(INDEX('Day Range Raw Data'!M:M,Match($A964,'Day Range Raw Data'!$B:$B,0)),"")</f>
        <v/>
      </c>
      <c r="J964" t="str">
        <f t="array" ref="J964">IFERROR(INDEX('Day Range Raw Data'!N:N,Match($A964,'Day Range Raw Data'!$B:$B,0)),"")</f>
        <v/>
      </c>
      <c r="K964" t="str">
        <f t="array" ref="K964">IFERROR(INDEX('Day Range Raw Data'!R:R,Match($A964,'Day Range Raw Data'!$B:$B,0)),"")</f>
        <v/>
      </c>
      <c r="L964" t="str">
        <f t="array" ref="L964">IFERROR(INDEX('Day Range Raw Data'!S:S,Match($A964,'Day Range Raw Data'!$B:$B,0)),"")</f>
        <v/>
      </c>
      <c r="M964" t="str">
        <f t="array" ref="M964">IFERROR(INDEX('Day Range Raw Data'!T:T,Match($A964,'Day Range Raw Data'!$B:$B,0)),"")</f>
        <v/>
      </c>
      <c r="N964" t="str">
        <f t="array" ref="N964">IFERROR(INDEX('Day Range Raw Data'!U:U,Match($A964,'Day Range Raw Data'!$B:$B,0)),"")</f>
        <v/>
      </c>
      <c r="O964" t="str">
        <f t="array" ref="O964">IFERROR(INDEX('Day Range Raw Data'!V:V,Match($A964,'Day Range Raw Data'!$B:$B,0)),"")</f>
        <v/>
      </c>
      <c r="P964" t="str">
        <f t="array" ref="P964">IFERROR(INDEX('Day Range Raw Data'!X:X,Match($A964,'Day Range Raw Data'!$B:$B,0)),"")</f>
        <v/>
      </c>
      <c r="Q964" t="str">
        <f t="shared" si="1"/>
        <v/>
      </c>
      <c r="R964" s="9" t="str">
        <f t="shared" si="2"/>
        <v/>
      </c>
      <c r="S964" s="14" t="str">
        <f t="shared" si="3"/>
        <v/>
      </c>
      <c r="T964" s="15" t="str">
        <f>IFERROR(__xludf.DUMMYFUNCTION("IF($A964="""","""",IFERROR(PERCENTRANK.INC(FILTER(Q:Q,$F:$F&lt;&gt;""""),Q964)*100,""""))"),"")</f>
        <v/>
      </c>
      <c r="U964" s="15" t="str">
        <f>IFERROR(__xludf.DUMMYFUNCTION("IF($A964="""","""",IFERROR(PERCENTRANK.INC(FILTER(R:R,$F:$F&lt;&gt;""""),R964)*100,""""))"),"")</f>
        <v/>
      </c>
      <c r="V964" s="15" t="str">
        <f>IFERROR(__xludf.DUMMYFUNCTION("IF($A964="""","""",IFERROR(PERCENTRANK.INC(FILTER(S:S,$F:$F&lt;&gt;""""),S964)*100,""""))"),"")</f>
        <v/>
      </c>
      <c r="W964" s="15" t="str">
        <f t="shared" si="5"/>
        <v/>
      </c>
    </row>
    <row r="965">
      <c r="B965" t="str">
        <f t="array" ref="B965">IFERROR(INDEX('Player Raw Data'!C:C,Match($A965,'Player Raw Data'!$B:$B,0)),"")</f>
        <v/>
      </c>
      <c r="C965" t="str">
        <f t="array" ref="C965">IFERROR(INDEX('Player Raw Data'!D:D,Match($A965,'Player Raw Data'!$B:$B,0)),"")</f>
        <v/>
      </c>
      <c r="D965" t="str">
        <f t="array" ref="D965">IFERROR(IF(A965=A964, INDEX('Player Raw Data'!E:E,Match($A965,'Player Raw Data'!$B:$B,0)+2),INDEX('Player Raw Data'!E:E,Match($A965,'Player Raw Data'!$B:$B,0))),"")</f>
        <v/>
      </c>
      <c r="E965" t="str">
        <f t="array" ref="E965">IFERROR(INDEX('Day Range Raw Data'!D:D,Match($A965,'Day Range Raw Data'!$B:$B,0)),"")</f>
        <v/>
      </c>
      <c r="F965" t="str">
        <f t="array" ref="F965">IFERROR(INDEX('Day Range Raw Data'!F:F,Match($A965,'Day Range Raw Data'!$B:$B,0)),"")</f>
        <v/>
      </c>
      <c r="G965" t="str">
        <f t="array" ref="G965">IFERROR(INDEX('Day Range Raw Data'!G:G,Match($A965,'Day Range Raw Data'!$B:$B,0)),"")</f>
        <v/>
      </c>
      <c r="H965" t="str">
        <f t="array" ref="H965">IFERROR(INDEX('Day Range Raw Data'!H:H,Match($A965,'Day Range Raw Data'!$B:$B,0)),"")</f>
        <v/>
      </c>
      <c r="I965" t="str">
        <f t="array" ref="I965">IFERROR(INDEX('Day Range Raw Data'!M:M,Match($A965,'Day Range Raw Data'!$B:$B,0)),"")</f>
        <v/>
      </c>
      <c r="J965" t="str">
        <f t="array" ref="J965">IFERROR(INDEX('Day Range Raw Data'!N:N,Match($A965,'Day Range Raw Data'!$B:$B,0)),"")</f>
        <v/>
      </c>
      <c r="K965" t="str">
        <f t="array" ref="K965">IFERROR(INDEX('Day Range Raw Data'!R:R,Match($A965,'Day Range Raw Data'!$B:$B,0)),"")</f>
        <v/>
      </c>
      <c r="L965" t="str">
        <f t="array" ref="L965">IFERROR(INDEX('Day Range Raw Data'!S:S,Match($A965,'Day Range Raw Data'!$B:$B,0)),"")</f>
        <v/>
      </c>
      <c r="M965" t="str">
        <f t="array" ref="M965">IFERROR(INDEX('Day Range Raw Data'!T:T,Match($A965,'Day Range Raw Data'!$B:$B,0)),"")</f>
        <v/>
      </c>
      <c r="N965" t="str">
        <f t="array" ref="N965">IFERROR(INDEX('Day Range Raw Data'!U:U,Match($A965,'Day Range Raw Data'!$B:$B,0)),"")</f>
        <v/>
      </c>
      <c r="O965" t="str">
        <f t="array" ref="O965">IFERROR(INDEX('Day Range Raw Data'!V:V,Match($A965,'Day Range Raw Data'!$B:$B,0)),"")</f>
        <v/>
      </c>
      <c r="P965" t="str">
        <f t="array" ref="P965">IFERROR(INDEX('Day Range Raw Data'!X:X,Match($A965,'Day Range Raw Data'!$B:$B,0)),"")</f>
        <v/>
      </c>
      <c r="Q965" t="str">
        <f t="shared" si="1"/>
        <v/>
      </c>
      <c r="R965" s="9" t="str">
        <f t="shared" si="2"/>
        <v/>
      </c>
      <c r="S965" s="14" t="str">
        <f t="shared" si="3"/>
        <v/>
      </c>
      <c r="T965" s="15" t="str">
        <f>IFERROR(__xludf.DUMMYFUNCTION("IF($A965="""","""",IFERROR(PERCENTRANK.INC(FILTER(Q:Q,$F:$F&lt;&gt;""""),Q965)*100,""""))"),"")</f>
        <v/>
      </c>
      <c r="U965" s="15" t="str">
        <f>IFERROR(__xludf.DUMMYFUNCTION("IF($A965="""","""",IFERROR(PERCENTRANK.INC(FILTER(R:R,$F:$F&lt;&gt;""""),R965)*100,""""))"),"")</f>
        <v/>
      </c>
      <c r="V965" s="15" t="str">
        <f>IFERROR(__xludf.DUMMYFUNCTION("IF($A965="""","""",IFERROR(PERCENTRANK.INC(FILTER(S:S,$F:$F&lt;&gt;""""),S965)*100,""""))"),"")</f>
        <v/>
      </c>
      <c r="W965" s="15" t="str">
        <f t="shared" si="5"/>
        <v/>
      </c>
    </row>
    <row r="966">
      <c r="B966" t="str">
        <f t="array" ref="B966">IFERROR(INDEX('Player Raw Data'!C:C,Match($A966,'Player Raw Data'!$B:$B,0)),"")</f>
        <v/>
      </c>
      <c r="C966" t="str">
        <f t="array" ref="C966">IFERROR(INDEX('Player Raw Data'!D:D,Match($A966,'Player Raw Data'!$B:$B,0)),"")</f>
        <v/>
      </c>
      <c r="D966" t="str">
        <f t="array" ref="D966">IFERROR(IF(A966=A965, INDEX('Player Raw Data'!E:E,Match($A966,'Player Raw Data'!$B:$B,0)+2),INDEX('Player Raw Data'!E:E,Match($A966,'Player Raw Data'!$B:$B,0))),"")</f>
        <v/>
      </c>
      <c r="E966" t="str">
        <f t="array" ref="E966">IFERROR(INDEX('Day Range Raw Data'!D:D,Match($A966,'Day Range Raw Data'!$B:$B,0)),"")</f>
        <v/>
      </c>
      <c r="F966" t="str">
        <f t="array" ref="F966">IFERROR(INDEX('Day Range Raw Data'!F:F,Match($A966,'Day Range Raw Data'!$B:$B,0)),"")</f>
        <v/>
      </c>
      <c r="G966" t="str">
        <f t="array" ref="G966">IFERROR(INDEX('Day Range Raw Data'!G:G,Match($A966,'Day Range Raw Data'!$B:$B,0)),"")</f>
        <v/>
      </c>
      <c r="H966" t="str">
        <f t="array" ref="H966">IFERROR(INDEX('Day Range Raw Data'!H:H,Match($A966,'Day Range Raw Data'!$B:$B,0)),"")</f>
        <v/>
      </c>
      <c r="I966" t="str">
        <f t="array" ref="I966">IFERROR(INDEX('Day Range Raw Data'!M:M,Match($A966,'Day Range Raw Data'!$B:$B,0)),"")</f>
        <v/>
      </c>
      <c r="J966" t="str">
        <f t="array" ref="J966">IFERROR(INDEX('Day Range Raw Data'!N:N,Match($A966,'Day Range Raw Data'!$B:$B,0)),"")</f>
        <v/>
      </c>
      <c r="K966" t="str">
        <f t="array" ref="K966">IFERROR(INDEX('Day Range Raw Data'!R:R,Match($A966,'Day Range Raw Data'!$B:$B,0)),"")</f>
        <v/>
      </c>
      <c r="L966" t="str">
        <f t="array" ref="L966">IFERROR(INDEX('Day Range Raw Data'!S:S,Match($A966,'Day Range Raw Data'!$B:$B,0)),"")</f>
        <v/>
      </c>
      <c r="M966" t="str">
        <f t="array" ref="M966">IFERROR(INDEX('Day Range Raw Data'!T:T,Match($A966,'Day Range Raw Data'!$B:$B,0)),"")</f>
        <v/>
      </c>
      <c r="N966" t="str">
        <f t="array" ref="N966">IFERROR(INDEX('Day Range Raw Data'!U:U,Match($A966,'Day Range Raw Data'!$B:$B,0)),"")</f>
        <v/>
      </c>
      <c r="O966" t="str">
        <f t="array" ref="O966">IFERROR(INDEX('Day Range Raw Data'!V:V,Match($A966,'Day Range Raw Data'!$B:$B,0)),"")</f>
        <v/>
      </c>
      <c r="P966" t="str">
        <f t="array" ref="P966">IFERROR(INDEX('Day Range Raw Data'!X:X,Match($A966,'Day Range Raw Data'!$B:$B,0)),"")</f>
        <v/>
      </c>
      <c r="Q966" t="str">
        <f t="shared" si="1"/>
        <v/>
      </c>
      <c r="R966" s="9" t="str">
        <f t="shared" si="2"/>
        <v/>
      </c>
      <c r="S966" s="14" t="str">
        <f t="shared" si="3"/>
        <v/>
      </c>
      <c r="T966" s="15" t="str">
        <f>IFERROR(__xludf.DUMMYFUNCTION("IF($A966="""","""",IFERROR(PERCENTRANK.INC(FILTER(Q:Q,$F:$F&lt;&gt;""""),Q966)*100,""""))"),"")</f>
        <v/>
      </c>
      <c r="U966" s="15" t="str">
        <f>IFERROR(__xludf.DUMMYFUNCTION("IF($A966="""","""",IFERROR(PERCENTRANK.INC(FILTER(R:R,$F:$F&lt;&gt;""""),R966)*100,""""))"),"")</f>
        <v/>
      </c>
      <c r="V966" s="15" t="str">
        <f>IFERROR(__xludf.DUMMYFUNCTION("IF($A966="""","""",IFERROR(PERCENTRANK.INC(FILTER(S:S,$F:$F&lt;&gt;""""),S966)*100,""""))"),"")</f>
        <v/>
      </c>
      <c r="W966" s="15" t="str">
        <f t="shared" si="5"/>
        <v/>
      </c>
    </row>
    <row r="967">
      <c r="B967" t="str">
        <f t="array" ref="B967">IFERROR(INDEX('Player Raw Data'!C:C,Match($A967,'Player Raw Data'!$B:$B,0)),"")</f>
        <v/>
      </c>
      <c r="C967" t="str">
        <f t="array" ref="C967">IFERROR(INDEX('Player Raw Data'!D:D,Match($A967,'Player Raw Data'!$B:$B,0)),"")</f>
        <v/>
      </c>
      <c r="D967" t="str">
        <f t="array" ref="D967">IFERROR(IF(A967=A966, INDEX('Player Raw Data'!E:E,Match($A967,'Player Raw Data'!$B:$B,0)+2),INDEX('Player Raw Data'!E:E,Match($A967,'Player Raw Data'!$B:$B,0))),"")</f>
        <v/>
      </c>
      <c r="E967" t="str">
        <f t="array" ref="E967">IFERROR(INDEX('Day Range Raw Data'!D:D,Match($A967,'Day Range Raw Data'!$B:$B,0)),"")</f>
        <v/>
      </c>
      <c r="F967" t="str">
        <f t="array" ref="F967">IFERROR(INDEX('Day Range Raw Data'!F:F,Match($A967,'Day Range Raw Data'!$B:$B,0)),"")</f>
        <v/>
      </c>
      <c r="G967" t="str">
        <f t="array" ref="G967">IFERROR(INDEX('Day Range Raw Data'!G:G,Match($A967,'Day Range Raw Data'!$B:$B,0)),"")</f>
        <v/>
      </c>
      <c r="H967" t="str">
        <f t="array" ref="H967">IFERROR(INDEX('Day Range Raw Data'!H:H,Match($A967,'Day Range Raw Data'!$B:$B,0)),"")</f>
        <v/>
      </c>
      <c r="I967" t="str">
        <f t="array" ref="I967">IFERROR(INDEX('Day Range Raw Data'!M:M,Match($A967,'Day Range Raw Data'!$B:$B,0)),"")</f>
        <v/>
      </c>
      <c r="J967" t="str">
        <f t="array" ref="J967">IFERROR(INDEX('Day Range Raw Data'!N:N,Match($A967,'Day Range Raw Data'!$B:$B,0)),"")</f>
        <v/>
      </c>
      <c r="K967" t="str">
        <f t="array" ref="K967">IFERROR(INDEX('Day Range Raw Data'!R:R,Match($A967,'Day Range Raw Data'!$B:$B,0)),"")</f>
        <v/>
      </c>
      <c r="L967" t="str">
        <f t="array" ref="L967">IFERROR(INDEX('Day Range Raw Data'!S:S,Match($A967,'Day Range Raw Data'!$B:$B,0)),"")</f>
        <v/>
      </c>
      <c r="M967" t="str">
        <f t="array" ref="M967">IFERROR(INDEX('Day Range Raw Data'!T:T,Match($A967,'Day Range Raw Data'!$B:$B,0)),"")</f>
        <v/>
      </c>
      <c r="N967" t="str">
        <f t="array" ref="N967">IFERROR(INDEX('Day Range Raw Data'!U:U,Match($A967,'Day Range Raw Data'!$B:$B,0)),"")</f>
        <v/>
      </c>
      <c r="O967" t="str">
        <f t="array" ref="O967">IFERROR(INDEX('Day Range Raw Data'!V:V,Match($A967,'Day Range Raw Data'!$B:$B,0)),"")</f>
        <v/>
      </c>
      <c r="P967" t="str">
        <f t="array" ref="P967">IFERROR(INDEX('Day Range Raw Data'!X:X,Match($A967,'Day Range Raw Data'!$B:$B,0)),"")</f>
        <v/>
      </c>
      <c r="Q967" t="str">
        <f t="shared" si="1"/>
        <v/>
      </c>
      <c r="R967" s="9" t="str">
        <f t="shared" si="2"/>
        <v/>
      </c>
      <c r="S967" s="14" t="str">
        <f t="shared" si="3"/>
        <v/>
      </c>
      <c r="T967" s="15" t="str">
        <f>IFERROR(__xludf.DUMMYFUNCTION("IF($A967="""","""",IFERROR(PERCENTRANK.INC(FILTER(Q:Q,$F:$F&lt;&gt;""""),Q967)*100,""""))"),"")</f>
        <v/>
      </c>
      <c r="U967" s="15" t="str">
        <f>IFERROR(__xludf.DUMMYFUNCTION("IF($A967="""","""",IFERROR(PERCENTRANK.INC(FILTER(R:R,$F:$F&lt;&gt;""""),R967)*100,""""))"),"")</f>
        <v/>
      </c>
      <c r="V967" s="15" t="str">
        <f>IFERROR(__xludf.DUMMYFUNCTION("IF($A967="""","""",IFERROR(PERCENTRANK.INC(FILTER(S:S,$F:$F&lt;&gt;""""),S967)*100,""""))"),"")</f>
        <v/>
      </c>
      <c r="W967" s="15" t="str">
        <f t="shared" si="5"/>
        <v/>
      </c>
    </row>
    <row r="968">
      <c r="B968" t="str">
        <f t="array" ref="B968">IFERROR(INDEX('Player Raw Data'!C:C,Match($A968,'Player Raw Data'!$B:$B,0)),"")</f>
        <v/>
      </c>
      <c r="C968" t="str">
        <f t="array" ref="C968">IFERROR(INDEX('Player Raw Data'!D:D,Match($A968,'Player Raw Data'!$B:$B,0)),"")</f>
        <v/>
      </c>
      <c r="D968" t="str">
        <f t="array" ref="D968">IFERROR(IF(A968=A967, INDEX('Player Raw Data'!E:E,Match($A968,'Player Raw Data'!$B:$B,0)+2),INDEX('Player Raw Data'!E:E,Match($A968,'Player Raw Data'!$B:$B,0))),"")</f>
        <v/>
      </c>
      <c r="E968" t="str">
        <f t="array" ref="E968">IFERROR(INDEX('Day Range Raw Data'!D:D,Match($A968,'Day Range Raw Data'!$B:$B,0)),"")</f>
        <v/>
      </c>
      <c r="F968" t="str">
        <f t="array" ref="F968">IFERROR(INDEX('Day Range Raw Data'!F:F,Match($A968,'Day Range Raw Data'!$B:$B,0)),"")</f>
        <v/>
      </c>
      <c r="G968" t="str">
        <f t="array" ref="G968">IFERROR(INDEX('Day Range Raw Data'!G:G,Match($A968,'Day Range Raw Data'!$B:$B,0)),"")</f>
        <v/>
      </c>
      <c r="H968" t="str">
        <f t="array" ref="H968">IFERROR(INDEX('Day Range Raw Data'!H:H,Match($A968,'Day Range Raw Data'!$B:$B,0)),"")</f>
        <v/>
      </c>
      <c r="I968" t="str">
        <f t="array" ref="I968">IFERROR(INDEX('Day Range Raw Data'!M:M,Match($A968,'Day Range Raw Data'!$B:$B,0)),"")</f>
        <v/>
      </c>
      <c r="J968" t="str">
        <f t="array" ref="J968">IFERROR(INDEX('Day Range Raw Data'!N:N,Match($A968,'Day Range Raw Data'!$B:$B,0)),"")</f>
        <v/>
      </c>
      <c r="K968" t="str">
        <f t="array" ref="K968">IFERROR(INDEX('Day Range Raw Data'!R:R,Match($A968,'Day Range Raw Data'!$B:$B,0)),"")</f>
        <v/>
      </c>
      <c r="L968" t="str">
        <f t="array" ref="L968">IFERROR(INDEX('Day Range Raw Data'!S:S,Match($A968,'Day Range Raw Data'!$B:$B,0)),"")</f>
        <v/>
      </c>
      <c r="M968" t="str">
        <f t="array" ref="M968">IFERROR(INDEX('Day Range Raw Data'!T:T,Match($A968,'Day Range Raw Data'!$B:$B,0)),"")</f>
        <v/>
      </c>
      <c r="N968" t="str">
        <f t="array" ref="N968">IFERROR(INDEX('Day Range Raw Data'!U:U,Match($A968,'Day Range Raw Data'!$B:$B,0)),"")</f>
        <v/>
      </c>
      <c r="O968" t="str">
        <f t="array" ref="O968">IFERROR(INDEX('Day Range Raw Data'!V:V,Match($A968,'Day Range Raw Data'!$B:$B,0)),"")</f>
        <v/>
      </c>
      <c r="P968" t="str">
        <f t="array" ref="P968">IFERROR(INDEX('Day Range Raw Data'!X:X,Match($A968,'Day Range Raw Data'!$B:$B,0)),"")</f>
        <v/>
      </c>
      <c r="Q968" t="str">
        <f t="shared" si="1"/>
        <v/>
      </c>
      <c r="R968" s="9" t="str">
        <f t="shared" si="2"/>
        <v/>
      </c>
      <c r="S968" s="14" t="str">
        <f t="shared" si="3"/>
        <v/>
      </c>
      <c r="T968" s="15" t="str">
        <f>IFERROR(__xludf.DUMMYFUNCTION("IF($A968="""","""",IFERROR(PERCENTRANK.INC(FILTER(Q:Q,$F:$F&lt;&gt;""""),Q968)*100,""""))"),"")</f>
        <v/>
      </c>
      <c r="U968" s="15" t="str">
        <f>IFERROR(__xludf.DUMMYFUNCTION("IF($A968="""","""",IFERROR(PERCENTRANK.INC(FILTER(R:R,$F:$F&lt;&gt;""""),R968)*100,""""))"),"")</f>
        <v/>
      </c>
      <c r="V968" s="15" t="str">
        <f>IFERROR(__xludf.DUMMYFUNCTION("IF($A968="""","""",IFERROR(PERCENTRANK.INC(FILTER(S:S,$F:$F&lt;&gt;""""),S968)*100,""""))"),"")</f>
        <v/>
      </c>
      <c r="W968" s="15" t="str">
        <f t="shared" si="5"/>
        <v/>
      </c>
    </row>
    <row r="969">
      <c r="B969" t="str">
        <f t="array" ref="B969">IFERROR(INDEX('Player Raw Data'!C:C,Match($A969,'Player Raw Data'!$B:$B,0)),"")</f>
        <v/>
      </c>
      <c r="C969" t="str">
        <f t="array" ref="C969">IFERROR(INDEX('Player Raw Data'!D:D,Match($A969,'Player Raw Data'!$B:$B,0)),"")</f>
        <v/>
      </c>
      <c r="D969" t="str">
        <f t="array" ref="D969">IFERROR(IF(A969=A968, INDEX('Player Raw Data'!E:E,Match($A969,'Player Raw Data'!$B:$B,0)+2),INDEX('Player Raw Data'!E:E,Match($A969,'Player Raw Data'!$B:$B,0))),"")</f>
        <v/>
      </c>
      <c r="E969" t="str">
        <f t="array" ref="E969">IFERROR(INDEX('Day Range Raw Data'!D:D,Match($A969,'Day Range Raw Data'!$B:$B,0)),"")</f>
        <v/>
      </c>
      <c r="F969" t="str">
        <f t="array" ref="F969">IFERROR(INDEX('Day Range Raw Data'!F:F,Match($A969,'Day Range Raw Data'!$B:$B,0)),"")</f>
        <v/>
      </c>
      <c r="G969" t="str">
        <f t="array" ref="G969">IFERROR(INDEX('Day Range Raw Data'!G:G,Match($A969,'Day Range Raw Data'!$B:$B,0)),"")</f>
        <v/>
      </c>
      <c r="H969" t="str">
        <f t="array" ref="H969">IFERROR(INDEX('Day Range Raw Data'!H:H,Match($A969,'Day Range Raw Data'!$B:$B,0)),"")</f>
        <v/>
      </c>
      <c r="I969" t="str">
        <f t="array" ref="I969">IFERROR(INDEX('Day Range Raw Data'!M:M,Match($A969,'Day Range Raw Data'!$B:$B,0)),"")</f>
        <v/>
      </c>
      <c r="J969" t="str">
        <f t="array" ref="J969">IFERROR(INDEX('Day Range Raw Data'!N:N,Match($A969,'Day Range Raw Data'!$B:$B,0)),"")</f>
        <v/>
      </c>
      <c r="K969" t="str">
        <f t="array" ref="K969">IFERROR(INDEX('Day Range Raw Data'!R:R,Match($A969,'Day Range Raw Data'!$B:$B,0)),"")</f>
        <v/>
      </c>
      <c r="L969" t="str">
        <f t="array" ref="L969">IFERROR(INDEX('Day Range Raw Data'!S:S,Match($A969,'Day Range Raw Data'!$B:$B,0)),"")</f>
        <v/>
      </c>
      <c r="M969" t="str">
        <f t="array" ref="M969">IFERROR(INDEX('Day Range Raw Data'!T:T,Match($A969,'Day Range Raw Data'!$B:$B,0)),"")</f>
        <v/>
      </c>
      <c r="N969" t="str">
        <f t="array" ref="N969">IFERROR(INDEX('Day Range Raw Data'!U:U,Match($A969,'Day Range Raw Data'!$B:$B,0)),"")</f>
        <v/>
      </c>
      <c r="O969" t="str">
        <f t="array" ref="O969">IFERROR(INDEX('Day Range Raw Data'!V:V,Match($A969,'Day Range Raw Data'!$B:$B,0)),"")</f>
        <v/>
      </c>
      <c r="P969" t="str">
        <f t="array" ref="P969">IFERROR(INDEX('Day Range Raw Data'!X:X,Match($A969,'Day Range Raw Data'!$B:$B,0)),"")</f>
        <v/>
      </c>
      <c r="Q969" t="str">
        <f t="shared" si="1"/>
        <v/>
      </c>
      <c r="R969" s="9" t="str">
        <f t="shared" si="2"/>
        <v/>
      </c>
      <c r="S969" s="14" t="str">
        <f t="shared" si="3"/>
        <v/>
      </c>
      <c r="T969" s="15" t="str">
        <f>IFERROR(__xludf.DUMMYFUNCTION("IF($A969="""","""",IFERROR(PERCENTRANK.INC(FILTER(Q:Q,$F:$F&lt;&gt;""""),Q969)*100,""""))"),"")</f>
        <v/>
      </c>
      <c r="U969" s="15" t="str">
        <f>IFERROR(__xludf.DUMMYFUNCTION("IF($A969="""","""",IFERROR(PERCENTRANK.INC(FILTER(R:R,$F:$F&lt;&gt;""""),R969)*100,""""))"),"")</f>
        <v/>
      </c>
      <c r="V969" s="15" t="str">
        <f>IFERROR(__xludf.DUMMYFUNCTION("IF($A969="""","""",IFERROR(PERCENTRANK.INC(FILTER(S:S,$F:$F&lt;&gt;""""),S969)*100,""""))"),"")</f>
        <v/>
      </c>
      <c r="W969" s="15" t="str">
        <f t="shared" si="5"/>
        <v/>
      </c>
    </row>
    <row r="970">
      <c r="B970" t="str">
        <f t="array" ref="B970">IFERROR(INDEX('Player Raw Data'!C:C,Match($A970,'Player Raw Data'!$B:$B,0)),"")</f>
        <v/>
      </c>
      <c r="C970" t="str">
        <f t="array" ref="C970">IFERROR(INDEX('Player Raw Data'!D:D,Match($A970,'Player Raw Data'!$B:$B,0)),"")</f>
        <v/>
      </c>
      <c r="D970" t="str">
        <f t="array" ref="D970">IFERROR(IF(A970=A969, INDEX('Player Raw Data'!E:E,Match($A970,'Player Raw Data'!$B:$B,0)+2),INDEX('Player Raw Data'!E:E,Match($A970,'Player Raw Data'!$B:$B,0))),"")</f>
        <v/>
      </c>
      <c r="E970" t="str">
        <f t="array" ref="E970">IFERROR(INDEX('Day Range Raw Data'!D:D,Match($A970,'Day Range Raw Data'!$B:$B,0)),"")</f>
        <v/>
      </c>
      <c r="F970" t="str">
        <f t="array" ref="F970">IFERROR(INDEX('Day Range Raw Data'!F:F,Match($A970,'Day Range Raw Data'!$B:$B,0)),"")</f>
        <v/>
      </c>
      <c r="G970" t="str">
        <f t="array" ref="G970">IFERROR(INDEX('Day Range Raw Data'!G:G,Match($A970,'Day Range Raw Data'!$B:$B,0)),"")</f>
        <v/>
      </c>
      <c r="H970" t="str">
        <f t="array" ref="H970">IFERROR(INDEX('Day Range Raw Data'!H:H,Match($A970,'Day Range Raw Data'!$B:$B,0)),"")</f>
        <v/>
      </c>
      <c r="I970" t="str">
        <f t="array" ref="I970">IFERROR(INDEX('Day Range Raw Data'!M:M,Match($A970,'Day Range Raw Data'!$B:$B,0)),"")</f>
        <v/>
      </c>
      <c r="J970" t="str">
        <f t="array" ref="J970">IFERROR(INDEX('Day Range Raw Data'!N:N,Match($A970,'Day Range Raw Data'!$B:$B,0)),"")</f>
        <v/>
      </c>
      <c r="K970" t="str">
        <f t="array" ref="K970">IFERROR(INDEX('Day Range Raw Data'!R:R,Match($A970,'Day Range Raw Data'!$B:$B,0)),"")</f>
        <v/>
      </c>
      <c r="L970" t="str">
        <f t="array" ref="L970">IFERROR(INDEX('Day Range Raw Data'!S:S,Match($A970,'Day Range Raw Data'!$B:$B,0)),"")</f>
        <v/>
      </c>
      <c r="M970" t="str">
        <f t="array" ref="M970">IFERROR(INDEX('Day Range Raw Data'!T:T,Match($A970,'Day Range Raw Data'!$B:$B,0)),"")</f>
        <v/>
      </c>
      <c r="N970" t="str">
        <f t="array" ref="N970">IFERROR(INDEX('Day Range Raw Data'!U:U,Match($A970,'Day Range Raw Data'!$B:$B,0)),"")</f>
        <v/>
      </c>
      <c r="O970" t="str">
        <f t="array" ref="O970">IFERROR(INDEX('Day Range Raw Data'!V:V,Match($A970,'Day Range Raw Data'!$B:$B,0)),"")</f>
        <v/>
      </c>
      <c r="P970" t="str">
        <f t="array" ref="P970">IFERROR(INDEX('Day Range Raw Data'!X:X,Match($A970,'Day Range Raw Data'!$B:$B,0)),"")</f>
        <v/>
      </c>
      <c r="Q970" t="str">
        <f t="shared" si="1"/>
        <v/>
      </c>
      <c r="R970" s="9" t="str">
        <f t="shared" si="2"/>
        <v/>
      </c>
      <c r="S970" s="14" t="str">
        <f t="shared" si="3"/>
        <v/>
      </c>
      <c r="T970" s="15" t="str">
        <f>IFERROR(__xludf.DUMMYFUNCTION("IF($A970="""","""",IFERROR(PERCENTRANK.INC(FILTER(Q:Q,$F:$F&lt;&gt;""""),Q970)*100,""""))"),"")</f>
        <v/>
      </c>
      <c r="U970" s="15" t="str">
        <f>IFERROR(__xludf.DUMMYFUNCTION("IF($A970="""","""",IFERROR(PERCENTRANK.INC(FILTER(R:R,$F:$F&lt;&gt;""""),R970)*100,""""))"),"")</f>
        <v/>
      </c>
      <c r="V970" s="15" t="str">
        <f>IFERROR(__xludf.DUMMYFUNCTION("IF($A970="""","""",IFERROR(PERCENTRANK.INC(FILTER(S:S,$F:$F&lt;&gt;""""),S970)*100,""""))"),"")</f>
        <v/>
      </c>
      <c r="W970" s="15" t="str">
        <f t="shared" si="5"/>
        <v/>
      </c>
    </row>
    <row r="971">
      <c r="B971" t="str">
        <f t="array" ref="B971">IFERROR(INDEX('Player Raw Data'!C:C,Match($A971,'Player Raw Data'!$B:$B,0)),"")</f>
        <v/>
      </c>
      <c r="C971" t="str">
        <f t="array" ref="C971">IFERROR(INDEX('Player Raw Data'!D:D,Match($A971,'Player Raw Data'!$B:$B,0)),"")</f>
        <v/>
      </c>
      <c r="D971" t="str">
        <f t="array" ref="D971">IFERROR(IF(A971=A970, INDEX('Player Raw Data'!E:E,Match($A971,'Player Raw Data'!$B:$B,0)+2),INDEX('Player Raw Data'!E:E,Match($A971,'Player Raw Data'!$B:$B,0))),"")</f>
        <v/>
      </c>
      <c r="E971" t="str">
        <f t="array" ref="E971">IFERROR(INDEX('Day Range Raw Data'!D:D,Match($A971,'Day Range Raw Data'!$B:$B,0)),"")</f>
        <v/>
      </c>
      <c r="F971" t="str">
        <f t="array" ref="F971">IFERROR(INDEX('Day Range Raw Data'!F:F,Match($A971,'Day Range Raw Data'!$B:$B,0)),"")</f>
        <v/>
      </c>
      <c r="G971" t="str">
        <f t="array" ref="G971">IFERROR(INDEX('Day Range Raw Data'!G:G,Match($A971,'Day Range Raw Data'!$B:$B,0)),"")</f>
        <v/>
      </c>
      <c r="H971" t="str">
        <f t="array" ref="H971">IFERROR(INDEX('Day Range Raw Data'!H:H,Match($A971,'Day Range Raw Data'!$B:$B,0)),"")</f>
        <v/>
      </c>
      <c r="I971" t="str">
        <f t="array" ref="I971">IFERROR(INDEX('Day Range Raw Data'!M:M,Match($A971,'Day Range Raw Data'!$B:$B,0)),"")</f>
        <v/>
      </c>
      <c r="J971" t="str">
        <f t="array" ref="J971">IFERROR(INDEX('Day Range Raw Data'!N:N,Match($A971,'Day Range Raw Data'!$B:$B,0)),"")</f>
        <v/>
      </c>
      <c r="K971" t="str">
        <f t="array" ref="K971">IFERROR(INDEX('Day Range Raw Data'!R:R,Match($A971,'Day Range Raw Data'!$B:$B,0)),"")</f>
        <v/>
      </c>
      <c r="L971" t="str">
        <f t="array" ref="L971">IFERROR(INDEX('Day Range Raw Data'!S:S,Match($A971,'Day Range Raw Data'!$B:$B,0)),"")</f>
        <v/>
      </c>
      <c r="M971" t="str">
        <f t="array" ref="M971">IFERROR(INDEX('Day Range Raw Data'!T:T,Match($A971,'Day Range Raw Data'!$B:$B,0)),"")</f>
        <v/>
      </c>
      <c r="N971" t="str">
        <f t="array" ref="N971">IFERROR(INDEX('Day Range Raw Data'!U:U,Match($A971,'Day Range Raw Data'!$B:$B,0)),"")</f>
        <v/>
      </c>
      <c r="O971" t="str">
        <f t="array" ref="O971">IFERROR(INDEX('Day Range Raw Data'!V:V,Match($A971,'Day Range Raw Data'!$B:$B,0)),"")</f>
        <v/>
      </c>
      <c r="P971" t="str">
        <f t="array" ref="P971">IFERROR(INDEX('Day Range Raw Data'!X:X,Match($A971,'Day Range Raw Data'!$B:$B,0)),"")</f>
        <v/>
      </c>
      <c r="Q971" t="str">
        <f t="shared" si="1"/>
        <v/>
      </c>
      <c r="R971" s="9" t="str">
        <f t="shared" si="2"/>
        <v/>
      </c>
      <c r="S971" s="14" t="str">
        <f t="shared" si="3"/>
        <v/>
      </c>
      <c r="T971" s="15" t="str">
        <f>IFERROR(__xludf.DUMMYFUNCTION("IF($A971="""","""",IFERROR(PERCENTRANK.INC(FILTER(Q:Q,$F:$F&lt;&gt;""""),Q971)*100,""""))"),"")</f>
        <v/>
      </c>
      <c r="U971" s="15" t="str">
        <f>IFERROR(__xludf.DUMMYFUNCTION("IF($A971="""","""",IFERROR(PERCENTRANK.INC(FILTER(R:R,$F:$F&lt;&gt;""""),R971)*100,""""))"),"")</f>
        <v/>
      </c>
      <c r="V971" s="15" t="str">
        <f>IFERROR(__xludf.DUMMYFUNCTION("IF($A971="""","""",IFERROR(PERCENTRANK.INC(FILTER(S:S,$F:$F&lt;&gt;""""),S971)*100,""""))"),"")</f>
        <v/>
      </c>
      <c r="W971" s="15" t="str">
        <f t="shared" si="5"/>
        <v/>
      </c>
    </row>
    <row r="972">
      <c r="B972" t="str">
        <f t="array" ref="B972">IFERROR(INDEX('Player Raw Data'!C:C,Match($A972,'Player Raw Data'!$B:$B,0)),"")</f>
        <v/>
      </c>
      <c r="C972" t="str">
        <f t="array" ref="C972">IFERROR(INDEX('Player Raw Data'!D:D,Match($A972,'Player Raw Data'!$B:$B,0)),"")</f>
        <v/>
      </c>
      <c r="D972" t="str">
        <f t="array" ref="D972">IFERROR(IF(A972=A971, INDEX('Player Raw Data'!E:E,Match($A972,'Player Raw Data'!$B:$B,0)+2),INDEX('Player Raw Data'!E:E,Match($A972,'Player Raw Data'!$B:$B,0))),"")</f>
        <v/>
      </c>
      <c r="E972" t="str">
        <f t="array" ref="E972">IFERROR(INDEX('Day Range Raw Data'!D:D,Match($A972,'Day Range Raw Data'!$B:$B,0)),"")</f>
        <v/>
      </c>
      <c r="F972" t="str">
        <f t="array" ref="F972">IFERROR(INDEX('Day Range Raw Data'!F:F,Match($A972,'Day Range Raw Data'!$B:$B,0)),"")</f>
        <v/>
      </c>
      <c r="G972" t="str">
        <f t="array" ref="G972">IFERROR(INDEX('Day Range Raw Data'!G:G,Match($A972,'Day Range Raw Data'!$B:$B,0)),"")</f>
        <v/>
      </c>
      <c r="H972" t="str">
        <f t="array" ref="H972">IFERROR(INDEX('Day Range Raw Data'!H:H,Match($A972,'Day Range Raw Data'!$B:$B,0)),"")</f>
        <v/>
      </c>
      <c r="I972" t="str">
        <f t="array" ref="I972">IFERROR(INDEX('Day Range Raw Data'!M:M,Match($A972,'Day Range Raw Data'!$B:$B,0)),"")</f>
        <v/>
      </c>
      <c r="J972" t="str">
        <f t="array" ref="J972">IFERROR(INDEX('Day Range Raw Data'!N:N,Match($A972,'Day Range Raw Data'!$B:$B,0)),"")</f>
        <v/>
      </c>
      <c r="K972" t="str">
        <f t="array" ref="K972">IFERROR(INDEX('Day Range Raw Data'!R:R,Match($A972,'Day Range Raw Data'!$B:$B,0)),"")</f>
        <v/>
      </c>
      <c r="L972" t="str">
        <f t="array" ref="L972">IFERROR(INDEX('Day Range Raw Data'!S:S,Match($A972,'Day Range Raw Data'!$B:$B,0)),"")</f>
        <v/>
      </c>
      <c r="M972" t="str">
        <f t="array" ref="M972">IFERROR(INDEX('Day Range Raw Data'!T:T,Match($A972,'Day Range Raw Data'!$B:$B,0)),"")</f>
        <v/>
      </c>
      <c r="N972" t="str">
        <f t="array" ref="N972">IFERROR(INDEX('Day Range Raw Data'!U:U,Match($A972,'Day Range Raw Data'!$B:$B,0)),"")</f>
        <v/>
      </c>
      <c r="O972" t="str">
        <f t="array" ref="O972">IFERROR(INDEX('Day Range Raw Data'!V:V,Match($A972,'Day Range Raw Data'!$B:$B,0)),"")</f>
        <v/>
      </c>
      <c r="P972" t="str">
        <f t="array" ref="P972">IFERROR(INDEX('Day Range Raw Data'!X:X,Match($A972,'Day Range Raw Data'!$B:$B,0)),"")</f>
        <v/>
      </c>
      <c r="Q972" t="str">
        <f t="shared" si="1"/>
        <v/>
      </c>
      <c r="R972" s="9" t="str">
        <f t="shared" si="2"/>
        <v/>
      </c>
      <c r="S972" s="14" t="str">
        <f t="shared" si="3"/>
        <v/>
      </c>
      <c r="T972" s="15" t="str">
        <f>IFERROR(__xludf.DUMMYFUNCTION("IF($A972="""","""",IFERROR(PERCENTRANK.INC(FILTER(Q:Q,$F:$F&lt;&gt;""""),Q972)*100,""""))"),"")</f>
        <v/>
      </c>
      <c r="U972" s="15" t="str">
        <f>IFERROR(__xludf.DUMMYFUNCTION("IF($A972="""","""",IFERROR(PERCENTRANK.INC(FILTER(R:R,$F:$F&lt;&gt;""""),R972)*100,""""))"),"")</f>
        <v/>
      </c>
      <c r="V972" s="15" t="str">
        <f>IFERROR(__xludf.DUMMYFUNCTION("IF($A972="""","""",IFERROR(PERCENTRANK.INC(FILTER(S:S,$F:$F&lt;&gt;""""),S972)*100,""""))"),"")</f>
        <v/>
      </c>
      <c r="W972" s="15" t="str">
        <f t="shared" si="5"/>
        <v/>
      </c>
    </row>
    <row r="973">
      <c r="B973" t="str">
        <f t="array" ref="B973">IFERROR(INDEX('Player Raw Data'!C:C,Match($A973,'Player Raw Data'!$B:$B,0)),"")</f>
        <v/>
      </c>
      <c r="C973" t="str">
        <f t="array" ref="C973">IFERROR(INDEX('Player Raw Data'!D:D,Match($A973,'Player Raw Data'!$B:$B,0)),"")</f>
        <v/>
      </c>
      <c r="D973" t="str">
        <f t="array" ref="D973">IFERROR(IF(A973=A972, INDEX('Player Raw Data'!E:E,Match($A973,'Player Raw Data'!$B:$B,0)+2),INDEX('Player Raw Data'!E:E,Match($A973,'Player Raw Data'!$B:$B,0))),"")</f>
        <v/>
      </c>
      <c r="E973" t="str">
        <f t="array" ref="E973">IFERROR(INDEX('Day Range Raw Data'!D:D,Match($A973,'Day Range Raw Data'!$B:$B,0)),"")</f>
        <v/>
      </c>
      <c r="F973" t="str">
        <f t="array" ref="F973">IFERROR(INDEX('Day Range Raw Data'!F:F,Match($A973,'Day Range Raw Data'!$B:$B,0)),"")</f>
        <v/>
      </c>
      <c r="G973" t="str">
        <f t="array" ref="G973">IFERROR(INDEX('Day Range Raw Data'!G:G,Match($A973,'Day Range Raw Data'!$B:$B,0)),"")</f>
        <v/>
      </c>
      <c r="H973" t="str">
        <f t="array" ref="H973">IFERROR(INDEX('Day Range Raw Data'!H:H,Match($A973,'Day Range Raw Data'!$B:$B,0)),"")</f>
        <v/>
      </c>
      <c r="I973" t="str">
        <f t="array" ref="I973">IFERROR(INDEX('Day Range Raw Data'!M:M,Match($A973,'Day Range Raw Data'!$B:$B,0)),"")</f>
        <v/>
      </c>
      <c r="J973" t="str">
        <f t="array" ref="J973">IFERROR(INDEX('Day Range Raw Data'!N:N,Match($A973,'Day Range Raw Data'!$B:$B,0)),"")</f>
        <v/>
      </c>
      <c r="K973" t="str">
        <f t="array" ref="K973">IFERROR(INDEX('Day Range Raw Data'!R:R,Match($A973,'Day Range Raw Data'!$B:$B,0)),"")</f>
        <v/>
      </c>
      <c r="L973" t="str">
        <f t="array" ref="L973">IFERROR(INDEX('Day Range Raw Data'!S:S,Match($A973,'Day Range Raw Data'!$B:$B,0)),"")</f>
        <v/>
      </c>
      <c r="M973" t="str">
        <f t="array" ref="M973">IFERROR(INDEX('Day Range Raw Data'!T:T,Match($A973,'Day Range Raw Data'!$B:$B,0)),"")</f>
        <v/>
      </c>
      <c r="N973" t="str">
        <f t="array" ref="N973">IFERROR(INDEX('Day Range Raw Data'!U:U,Match($A973,'Day Range Raw Data'!$B:$B,0)),"")</f>
        <v/>
      </c>
      <c r="O973" t="str">
        <f t="array" ref="O973">IFERROR(INDEX('Day Range Raw Data'!V:V,Match($A973,'Day Range Raw Data'!$B:$B,0)),"")</f>
        <v/>
      </c>
      <c r="P973" t="str">
        <f t="array" ref="P973">IFERROR(INDEX('Day Range Raw Data'!X:X,Match($A973,'Day Range Raw Data'!$B:$B,0)),"")</f>
        <v/>
      </c>
      <c r="Q973" t="str">
        <f t="shared" si="1"/>
        <v/>
      </c>
      <c r="R973" s="9" t="str">
        <f t="shared" si="2"/>
        <v/>
      </c>
      <c r="S973" s="14" t="str">
        <f t="shared" si="3"/>
        <v/>
      </c>
      <c r="T973" s="15" t="str">
        <f>IFERROR(__xludf.DUMMYFUNCTION("IF($A973="""","""",IFERROR(PERCENTRANK.INC(FILTER(Q:Q,$F:$F&lt;&gt;""""),Q973)*100,""""))"),"")</f>
        <v/>
      </c>
      <c r="U973" s="15" t="str">
        <f>IFERROR(__xludf.DUMMYFUNCTION("IF($A973="""","""",IFERROR(PERCENTRANK.INC(FILTER(R:R,$F:$F&lt;&gt;""""),R973)*100,""""))"),"")</f>
        <v/>
      </c>
      <c r="V973" s="15" t="str">
        <f>IFERROR(__xludf.DUMMYFUNCTION("IF($A973="""","""",IFERROR(PERCENTRANK.INC(FILTER(S:S,$F:$F&lt;&gt;""""),S973)*100,""""))"),"")</f>
        <v/>
      </c>
      <c r="W973" s="15" t="str">
        <f t="shared" si="5"/>
        <v/>
      </c>
    </row>
    <row r="974">
      <c r="B974" t="str">
        <f t="array" ref="B974">IFERROR(INDEX('Player Raw Data'!C:C,Match($A974,'Player Raw Data'!$B:$B,0)),"")</f>
        <v/>
      </c>
      <c r="C974" t="str">
        <f t="array" ref="C974">IFERROR(INDEX('Player Raw Data'!D:D,Match($A974,'Player Raw Data'!$B:$B,0)),"")</f>
        <v/>
      </c>
      <c r="D974" t="str">
        <f t="array" ref="D974">IFERROR(IF(A974=A973, INDEX('Player Raw Data'!E:E,Match($A974,'Player Raw Data'!$B:$B,0)+2),INDEX('Player Raw Data'!E:E,Match($A974,'Player Raw Data'!$B:$B,0))),"")</f>
        <v/>
      </c>
      <c r="E974" t="str">
        <f t="array" ref="E974">IFERROR(INDEX('Day Range Raw Data'!D:D,Match($A974,'Day Range Raw Data'!$B:$B,0)),"")</f>
        <v/>
      </c>
      <c r="F974" t="str">
        <f t="array" ref="F974">IFERROR(INDEX('Day Range Raw Data'!F:F,Match($A974,'Day Range Raw Data'!$B:$B,0)),"")</f>
        <v/>
      </c>
      <c r="G974" t="str">
        <f t="array" ref="G974">IFERROR(INDEX('Day Range Raw Data'!G:G,Match($A974,'Day Range Raw Data'!$B:$B,0)),"")</f>
        <v/>
      </c>
      <c r="H974" t="str">
        <f t="array" ref="H974">IFERROR(INDEX('Day Range Raw Data'!H:H,Match($A974,'Day Range Raw Data'!$B:$B,0)),"")</f>
        <v/>
      </c>
      <c r="I974" t="str">
        <f t="array" ref="I974">IFERROR(INDEX('Day Range Raw Data'!M:M,Match($A974,'Day Range Raw Data'!$B:$B,0)),"")</f>
        <v/>
      </c>
      <c r="J974" t="str">
        <f t="array" ref="J974">IFERROR(INDEX('Day Range Raw Data'!N:N,Match($A974,'Day Range Raw Data'!$B:$B,0)),"")</f>
        <v/>
      </c>
      <c r="K974" t="str">
        <f t="array" ref="K974">IFERROR(INDEX('Day Range Raw Data'!R:R,Match($A974,'Day Range Raw Data'!$B:$B,0)),"")</f>
        <v/>
      </c>
      <c r="L974" t="str">
        <f t="array" ref="L974">IFERROR(INDEX('Day Range Raw Data'!S:S,Match($A974,'Day Range Raw Data'!$B:$B,0)),"")</f>
        <v/>
      </c>
      <c r="M974" t="str">
        <f t="array" ref="M974">IFERROR(INDEX('Day Range Raw Data'!T:T,Match($A974,'Day Range Raw Data'!$B:$B,0)),"")</f>
        <v/>
      </c>
      <c r="N974" t="str">
        <f t="array" ref="N974">IFERROR(INDEX('Day Range Raw Data'!U:U,Match($A974,'Day Range Raw Data'!$B:$B,0)),"")</f>
        <v/>
      </c>
      <c r="O974" t="str">
        <f t="array" ref="O974">IFERROR(INDEX('Day Range Raw Data'!V:V,Match($A974,'Day Range Raw Data'!$B:$B,0)),"")</f>
        <v/>
      </c>
      <c r="P974" t="str">
        <f t="array" ref="P974">IFERROR(INDEX('Day Range Raw Data'!X:X,Match($A974,'Day Range Raw Data'!$B:$B,0)),"")</f>
        <v/>
      </c>
      <c r="Q974" t="str">
        <f t="shared" si="1"/>
        <v/>
      </c>
      <c r="R974" s="9" t="str">
        <f t="shared" si="2"/>
        <v/>
      </c>
      <c r="S974" s="14" t="str">
        <f t="shared" si="3"/>
        <v/>
      </c>
      <c r="T974" s="15" t="str">
        <f>IFERROR(__xludf.DUMMYFUNCTION("IF($A974="""","""",IFERROR(PERCENTRANK.INC(FILTER(Q:Q,$F:$F&lt;&gt;""""),Q974)*100,""""))"),"")</f>
        <v/>
      </c>
      <c r="U974" s="15" t="str">
        <f>IFERROR(__xludf.DUMMYFUNCTION("IF($A974="""","""",IFERROR(PERCENTRANK.INC(FILTER(R:R,$F:$F&lt;&gt;""""),R974)*100,""""))"),"")</f>
        <v/>
      </c>
      <c r="V974" s="15" t="str">
        <f>IFERROR(__xludf.DUMMYFUNCTION("IF($A974="""","""",IFERROR(PERCENTRANK.INC(FILTER(S:S,$F:$F&lt;&gt;""""),S974)*100,""""))"),"")</f>
        <v/>
      </c>
      <c r="W974" s="15" t="str">
        <f t="shared" si="5"/>
        <v/>
      </c>
    </row>
    <row r="975">
      <c r="B975" t="str">
        <f t="array" ref="B975">IFERROR(INDEX('Player Raw Data'!C:C,Match($A975,'Player Raw Data'!$B:$B,0)),"")</f>
        <v/>
      </c>
      <c r="C975" t="str">
        <f t="array" ref="C975">IFERROR(INDEX('Player Raw Data'!D:D,Match($A975,'Player Raw Data'!$B:$B,0)),"")</f>
        <v/>
      </c>
      <c r="D975" t="str">
        <f t="array" ref="D975">IFERROR(IF(A975=A974, INDEX('Player Raw Data'!E:E,Match($A975,'Player Raw Data'!$B:$B,0)+2),INDEX('Player Raw Data'!E:E,Match($A975,'Player Raw Data'!$B:$B,0))),"")</f>
        <v/>
      </c>
      <c r="E975" t="str">
        <f t="array" ref="E975">IFERROR(INDEX('Day Range Raw Data'!D:D,Match($A975,'Day Range Raw Data'!$B:$B,0)),"")</f>
        <v/>
      </c>
      <c r="F975" t="str">
        <f t="array" ref="F975">IFERROR(INDEX('Day Range Raw Data'!F:F,Match($A975,'Day Range Raw Data'!$B:$B,0)),"")</f>
        <v/>
      </c>
      <c r="G975" t="str">
        <f t="array" ref="G975">IFERROR(INDEX('Day Range Raw Data'!G:G,Match($A975,'Day Range Raw Data'!$B:$B,0)),"")</f>
        <v/>
      </c>
      <c r="H975" t="str">
        <f t="array" ref="H975">IFERROR(INDEX('Day Range Raw Data'!H:H,Match($A975,'Day Range Raw Data'!$B:$B,0)),"")</f>
        <v/>
      </c>
      <c r="I975" t="str">
        <f t="array" ref="I975">IFERROR(INDEX('Day Range Raw Data'!M:M,Match($A975,'Day Range Raw Data'!$B:$B,0)),"")</f>
        <v/>
      </c>
      <c r="J975" t="str">
        <f t="array" ref="J975">IFERROR(INDEX('Day Range Raw Data'!N:N,Match($A975,'Day Range Raw Data'!$B:$B,0)),"")</f>
        <v/>
      </c>
      <c r="K975" t="str">
        <f t="array" ref="K975">IFERROR(INDEX('Day Range Raw Data'!R:R,Match($A975,'Day Range Raw Data'!$B:$B,0)),"")</f>
        <v/>
      </c>
      <c r="L975" t="str">
        <f t="array" ref="L975">IFERROR(INDEX('Day Range Raw Data'!S:S,Match($A975,'Day Range Raw Data'!$B:$B,0)),"")</f>
        <v/>
      </c>
      <c r="M975" t="str">
        <f t="array" ref="M975">IFERROR(INDEX('Day Range Raw Data'!T:T,Match($A975,'Day Range Raw Data'!$B:$B,0)),"")</f>
        <v/>
      </c>
      <c r="N975" t="str">
        <f t="array" ref="N975">IFERROR(INDEX('Day Range Raw Data'!U:U,Match($A975,'Day Range Raw Data'!$B:$B,0)),"")</f>
        <v/>
      </c>
      <c r="O975" t="str">
        <f t="array" ref="O975">IFERROR(INDEX('Day Range Raw Data'!V:V,Match($A975,'Day Range Raw Data'!$B:$B,0)),"")</f>
        <v/>
      </c>
      <c r="P975" t="str">
        <f t="array" ref="P975">IFERROR(INDEX('Day Range Raw Data'!X:X,Match($A975,'Day Range Raw Data'!$B:$B,0)),"")</f>
        <v/>
      </c>
      <c r="Q975" t="str">
        <f t="shared" si="1"/>
        <v/>
      </c>
      <c r="R975" s="9" t="str">
        <f t="shared" si="2"/>
        <v/>
      </c>
      <c r="S975" s="14" t="str">
        <f t="shared" si="3"/>
        <v/>
      </c>
      <c r="T975" s="15" t="str">
        <f>IFERROR(__xludf.DUMMYFUNCTION("IF($A975="""","""",IFERROR(PERCENTRANK.INC(FILTER(Q:Q,$F:$F&lt;&gt;""""),Q975)*100,""""))"),"")</f>
        <v/>
      </c>
      <c r="U975" s="15" t="str">
        <f>IFERROR(__xludf.DUMMYFUNCTION("IF($A975="""","""",IFERROR(PERCENTRANK.INC(FILTER(R:R,$F:$F&lt;&gt;""""),R975)*100,""""))"),"")</f>
        <v/>
      </c>
      <c r="V975" s="15" t="str">
        <f>IFERROR(__xludf.DUMMYFUNCTION("IF($A975="""","""",IFERROR(PERCENTRANK.INC(FILTER(S:S,$F:$F&lt;&gt;""""),S975)*100,""""))"),"")</f>
        <v/>
      </c>
      <c r="W975" s="15" t="str">
        <f t="shared" si="5"/>
        <v/>
      </c>
    </row>
    <row r="976">
      <c r="B976" t="str">
        <f t="array" ref="B976">IFERROR(INDEX('Player Raw Data'!C:C,Match($A976,'Player Raw Data'!$B:$B,0)),"")</f>
        <v/>
      </c>
      <c r="C976" t="str">
        <f t="array" ref="C976">IFERROR(INDEX('Player Raw Data'!D:D,Match($A976,'Player Raw Data'!$B:$B,0)),"")</f>
        <v/>
      </c>
      <c r="D976" t="str">
        <f t="array" ref="D976">IFERROR(IF(A976=A975, INDEX('Player Raw Data'!E:E,Match($A976,'Player Raw Data'!$B:$B,0)+2),INDEX('Player Raw Data'!E:E,Match($A976,'Player Raw Data'!$B:$B,0))),"")</f>
        <v/>
      </c>
      <c r="E976" t="str">
        <f t="array" ref="E976">IFERROR(INDEX('Day Range Raw Data'!D:D,Match($A976,'Day Range Raw Data'!$B:$B,0)),"")</f>
        <v/>
      </c>
      <c r="F976" t="str">
        <f t="array" ref="F976">IFERROR(INDEX('Day Range Raw Data'!F:F,Match($A976,'Day Range Raw Data'!$B:$B,0)),"")</f>
        <v/>
      </c>
      <c r="G976" t="str">
        <f t="array" ref="G976">IFERROR(INDEX('Day Range Raw Data'!G:G,Match($A976,'Day Range Raw Data'!$B:$B,0)),"")</f>
        <v/>
      </c>
      <c r="H976" t="str">
        <f t="array" ref="H976">IFERROR(INDEX('Day Range Raw Data'!H:H,Match($A976,'Day Range Raw Data'!$B:$B,0)),"")</f>
        <v/>
      </c>
      <c r="I976" t="str">
        <f t="array" ref="I976">IFERROR(INDEX('Day Range Raw Data'!M:M,Match($A976,'Day Range Raw Data'!$B:$B,0)),"")</f>
        <v/>
      </c>
      <c r="J976" t="str">
        <f t="array" ref="J976">IFERROR(INDEX('Day Range Raw Data'!N:N,Match($A976,'Day Range Raw Data'!$B:$B,0)),"")</f>
        <v/>
      </c>
      <c r="K976" t="str">
        <f t="array" ref="K976">IFERROR(INDEX('Day Range Raw Data'!R:R,Match($A976,'Day Range Raw Data'!$B:$B,0)),"")</f>
        <v/>
      </c>
      <c r="L976" t="str">
        <f t="array" ref="L976">IFERROR(INDEX('Day Range Raw Data'!S:S,Match($A976,'Day Range Raw Data'!$B:$B,0)),"")</f>
        <v/>
      </c>
      <c r="M976" t="str">
        <f t="array" ref="M976">IFERROR(INDEX('Day Range Raw Data'!T:T,Match($A976,'Day Range Raw Data'!$B:$B,0)),"")</f>
        <v/>
      </c>
      <c r="N976" t="str">
        <f t="array" ref="N976">IFERROR(INDEX('Day Range Raw Data'!U:U,Match($A976,'Day Range Raw Data'!$B:$B,0)),"")</f>
        <v/>
      </c>
      <c r="O976" t="str">
        <f t="array" ref="O976">IFERROR(INDEX('Day Range Raw Data'!V:V,Match($A976,'Day Range Raw Data'!$B:$B,0)),"")</f>
        <v/>
      </c>
      <c r="P976" t="str">
        <f t="array" ref="P976">IFERROR(INDEX('Day Range Raw Data'!X:X,Match($A976,'Day Range Raw Data'!$B:$B,0)),"")</f>
        <v/>
      </c>
      <c r="Q976" t="str">
        <f t="shared" si="1"/>
        <v/>
      </c>
      <c r="R976" s="9" t="str">
        <f t="shared" si="2"/>
        <v/>
      </c>
      <c r="S976" s="14" t="str">
        <f t="shared" si="3"/>
        <v/>
      </c>
      <c r="T976" s="15" t="str">
        <f>IFERROR(__xludf.DUMMYFUNCTION("IF($A976="""","""",IFERROR(PERCENTRANK.INC(FILTER(Q:Q,$F:$F&lt;&gt;""""),Q976)*100,""""))"),"")</f>
        <v/>
      </c>
      <c r="U976" s="15" t="str">
        <f>IFERROR(__xludf.DUMMYFUNCTION("IF($A976="""","""",IFERROR(PERCENTRANK.INC(FILTER(R:R,$F:$F&lt;&gt;""""),R976)*100,""""))"),"")</f>
        <v/>
      </c>
      <c r="V976" s="15" t="str">
        <f>IFERROR(__xludf.DUMMYFUNCTION("IF($A976="""","""",IFERROR(PERCENTRANK.INC(FILTER(S:S,$F:$F&lt;&gt;""""),S976)*100,""""))"),"")</f>
        <v/>
      </c>
      <c r="W976" s="15" t="str">
        <f t="shared" si="5"/>
        <v/>
      </c>
    </row>
    <row r="977">
      <c r="B977" t="str">
        <f t="array" ref="B977">IFERROR(INDEX('Player Raw Data'!C:C,Match($A977,'Player Raw Data'!$B:$B,0)),"")</f>
        <v/>
      </c>
      <c r="C977" t="str">
        <f t="array" ref="C977">IFERROR(INDEX('Player Raw Data'!D:D,Match($A977,'Player Raw Data'!$B:$B,0)),"")</f>
        <v/>
      </c>
      <c r="D977" t="str">
        <f t="array" ref="D977">IFERROR(IF(A977=A976, INDEX('Player Raw Data'!E:E,Match($A977,'Player Raw Data'!$B:$B,0)+2),INDEX('Player Raw Data'!E:E,Match($A977,'Player Raw Data'!$B:$B,0))),"")</f>
        <v/>
      </c>
      <c r="E977" t="str">
        <f t="array" ref="E977">IFERROR(INDEX('Day Range Raw Data'!D:D,Match($A977,'Day Range Raw Data'!$B:$B,0)),"")</f>
        <v/>
      </c>
      <c r="F977" t="str">
        <f t="array" ref="F977">IFERROR(INDEX('Day Range Raw Data'!F:F,Match($A977,'Day Range Raw Data'!$B:$B,0)),"")</f>
        <v/>
      </c>
      <c r="G977" t="str">
        <f t="array" ref="G977">IFERROR(INDEX('Day Range Raw Data'!G:G,Match($A977,'Day Range Raw Data'!$B:$B,0)),"")</f>
        <v/>
      </c>
      <c r="H977" t="str">
        <f t="array" ref="H977">IFERROR(INDEX('Day Range Raw Data'!H:H,Match($A977,'Day Range Raw Data'!$B:$B,0)),"")</f>
        <v/>
      </c>
      <c r="I977" t="str">
        <f t="array" ref="I977">IFERROR(INDEX('Day Range Raw Data'!M:M,Match($A977,'Day Range Raw Data'!$B:$B,0)),"")</f>
        <v/>
      </c>
      <c r="J977" t="str">
        <f t="array" ref="J977">IFERROR(INDEX('Day Range Raw Data'!N:N,Match($A977,'Day Range Raw Data'!$B:$B,0)),"")</f>
        <v/>
      </c>
      <c r="K977" t="str">
        <f t="array" ref="K977">IFERROR(INDEX('Day Range Raw Data'!R:R,Match($A977,'Day Range Raw Data'!$B:$B,0)),"")</f>
        <v/>
      </c>
      <c r="L977" t="str">
        <f t="array" ref="L977">IFERROR(INDEX('Day Range Raw Data'!S:S,Match($A977,'Day Range Raw Data'!$B:$B,0)),"")</f>
        <v/>
      </c>
      <c r="M977" t="str">
        <f t="array" ref="M977">IFERROR(INDEX('Day Range Raw Data'!T:T,Match($A977,'Day Range Raw Data'!$B:$B,0)),"")</f>
        <v/>
      </c>
      <c r="N977" t="str">
        <f t="array" ref="N977">IFERROR(INDEX('Day Range Raw Data'!U:U,Match($A977,'Day Range Raw Data'!$B:$B,0)),"")</f>
        <v/>
      </c>
      <c r="O977" t="str">
        <f t="array" ref="O977">IFERROR(INDEX('Day Range Raw Data'!V:V,Match($A977,'Day Range Raw Data'!$B:$B,0)),"")</f>
        <v/>
      </c>
      <c r="P977" t="str">
        <f t="array" ref="P977">IFERROR(INDEX('Day Range Raw Data'!X:X,Match($A977,'Day Range Raw Data'!$B:$B,0)),"")</f>
        <v/>
      </c>
      <c r="Q977" t="str">
        <f t="shared" si="1"/>
        <v/>
      </c>
      <c r="R977" s="9" t="str">
        <f t="shared" si="2"/>
        <v/>
      </c>
      <c r="S977" s="14" t="str">
        <f t="shared" si="3"/>
        <v/>
      </c>
      <c r="T977" s="15" t="str">
        <f>IFERROR(__xludf.DUMMYFUNCTION("IF($A977="""","""",IFERROR(PERCENTRANK.INC(FILTER(Q:Q,$F:$F&lt;&gt;""""),Q977)*100,""""))"),"")</f>
        <v/>
      </c>
      <c r="U977" s="15" t="str">
        <f>IFERROR(__xludf.DUMMYFUNCTION("IF($A977="""","""",IFERROR(PERCENTRANK.INC(FILTER(R:R,$F:$F&lt;&gt;""""),R977)*100,""""))"),"")</f>
        <v/>
      </c>
      <c r="V977" s="15" t="str">
        <f>IFERROR(__xludf.DUMMYFUNCTION("IF($A977="""","""",IFERROR(PERCENTRANK.INC(FILTER(S:S,$F:$F&lt;&gt;""""),S977)*100,""""))"),"")</f>
        <v/>
      </c>
      <c r="W977" s="15" t="str">
        <f t="shared" si="5"/>
        <v/>
      </c>
    </row>
    <row r="978">
      <c r="B978" t="str">
        <f t="array" ref="B978">IFERROR(INDEX('Player Raw Data'!C:C,Match($A978,'Player Raw Data'!$B:$B,0)),"")</f>
        <v/>
      </c>
      <c r="C978" t="str">
        <f t="array" ref="C978">IFERROR(INDEX('Player Raw Data'!D:D,Match($A978,'Player Raw Data'!$B:$B,0)),"")</f>
        <v/>
      </c>
      <c r="D978" t="str">
        <f t="array" ref="D978">IFERROR(IF(A978=A977, INDEX('Player Raw Data'!E:E,Match($A978,'Player Raw Data'!$B:$B,0)+2),INDEX('Player Raw Data'!E:E,Match($A978,'Player Raw Data'!$B:$B,0))),"")</f>
        <v/>
      </c>
      <c r="E978" t="str">
        <f t="array" ref="E978">IFERROR(INDEX('Day Range Raw Data'!D:D,Match($A978,'Day Range Raw Data'!$B:$B,0)),"")</f>
        <v/>
      </c>
      <c r="F978" t="str">
        <f t="array" ref="F978">IFERROR(INDEX('Day Range Raw Data'!F:F,Match($A978,'Day Range Raw Data'!$B:$B,0)),"")</f>
        <v/>
      </c>
      <c r="G978" t="str">
        <f t="array" ref="G978">IFERROR(INDEX('Day Range Raw Data'!G:G,Match($A978,'Day Range Raw Data'!$B:$B,0)),"")</f>
        <v/>
      </c>
      <c r="H978" t="str">
        <f t="array" ref="H978">IFERROR(INDEX('Day Range Raw Data'!H:H,Match($A978,'Day Range Raw Data'!$B:$B,0)),"")</f>
        <v/>
      </c>
      <c r="I978" t="str">
        <f t="array" ref="I978">IFERROR(INDEX('Day Range Raw Data'!M:M,Match($A978,'Day Range Raw Data'!$B:$B,0)),"")</f>
        <v/>
      </c>
      <c r="J978" t="str">
        <f t="array" ref="J978">IFERROR(INDEX('Day Range Raw Data'!N:N,Match($A978,'Day Range Raw Data'!$B:$B,0)),"")</f>
        <v/>
      </c>
      <c r="K978" t="str">
        <f t="array" ref="K978">IFERROR(INDEX('Day Range Raw Data'!R:R,Match($A978,'Day Range Raw Data'!$B:$B,0)),"")</f>
        <v/>
      </c>
      <c r="L978" t="str">
        <f t="array" ref="L978">IFERROR(INDEX('Day Range Raw Data'!S:S,Match($A978,'Day Range Raw Data'!$B:$B,0)),"")</f>
        <v/>
      </c>
      <c r="M978" t="str">
        <f t="array" ref="M978">IFERROR(INDEX('Day Range Raw Data'!T:T,Match($A978,'Day Range Raw Data'!$B:$B,0)),"")</f>
        <v/>
      </c>
      <c r="N978" t="str">
        <f t="array" ref="N978">IFERROR(INDEX('Day Range Raw Data'!U:U,Match($A978,'Day Range Raw Data'!$B:$B,0)),"")</f>
        <v/>
      </c>
      <c r="O978" t="str">
        <f t="array" ref="O978">IFERROR(INDEX('Day Range Raw Data'!V:V,Match($A978,'Day Range Raw Data'!$B:$B,0)),"")</f>
        <v/>
      </c>
      <c r="P978" t="str">
        <f t="array" ref="P978">IFERROR(INDEX('Day Range Raw Data'!X:X,Match($A978,'Day Range Raw Data'!$B:$B,0)),"")</f>
        <v/>
      </c>
      <c r="Q978" t="str">
        <f t="shared" si="1"/>
        <v/>
      </c>
      <c r="R978" s="9" t="str">
        <f t="shared" si="2"/>
        <v/>
      </c>
      <c r="S978" s="14" t="str">
        <f t="shared" si="3"/>
        <v/>
      </c>
      <c r="T978" s="15" t="str">
        <f>IFERROR(__xludf.DUMMYFUNCTION("IF($A978="""","""",IFERROR(PERCENTRANK.INC(FILTER(Q:Q,$F:$F&lt;&gt;""""),Q978)*100,""""))"),"")</f>
        <v/>
      </c>
      <c r="U978" s="15" t="str">
        <f>IFERROR(__xludf.DUMMYFUNCTION("IF($A978="""","""",IFERROR(PERCENTRANK.INC(FILTER(R:R,$F:$F&lt;&gt;""""),R978)*100,""""))"),"")</f>
        <v/>
      </c>
      <c r="V978" s="15" t="str">
        <f>IFERROR(__xludf.DUMMYFUNCTION("IF($A978="""","""",IFERROR(PERCENTRANK.INC(FILTER(S:S,$F:$F&lt;&gt;""""),S978)*100,""""))"),"")</f>
        <v/>
      </c>
      <c r="W978" s="15" t="str">
        <f t="shared" si="5"/>
        <v/>
      </c>
    </row>
    <row r="979">
      <c r="B979" t="str">
        <f t="array" ref="B979">IFERROR(INDEX('Player Raw Data'!C:C,Match($A979,'Player Raw Data'!$B:$B,0)),"")</f>
        <v/>
      </c>
      <c r="C979" t="str">
        <f t="array" ref="C979">IFERROR(INDEX('Player Raw Data'!D:D,Match($A979,'Player Raw Data'!$B:$B,0)),"")</f>
        <v/>
      </c>
      <c r="D979" t="str">
        <f t="array" ref="D979">IFERROR(IF(A979=A978, INDEX('Player Raw Data'!E:E,Match($A979,'Player Raw Data'!$B:$B,0)+2),INDEX('Player Raw Data'!E:E,Match($A979,'Player Raw Data'!$B:$B,0))),"")</f>
        <v/>
      </c>
      <c r="E979" t="str">
        <f t="array" ref="E979">IFERROR(INDEX('Day Range Raw Data'!D:D,Match($A979,'Day Range Raw Data'!$B:$B,0)),"")</f>
        <v/>
      </c>
      <c r="F979" t="str">
        <f t="array" ref="F979">IFERROR(INDEX('Day Range Raw Data'!F:F,Match($A979,'Day Range Raw Data'!$B:$B,0)),"")</f>
        <v/>
      </c>
      <c r="G979" t="str">
        <f t="array" ref="G979">IFERROR(INDEX('Day Range Raw Data'!G:G,Match($A979,'Day Range Raw Data'!$B:$B,0)),"")</f>
        <v/>
      </c>
      <c r="H979" t="str">
        <f t="array" ref="H979">IFERROR(INDEX('Day Range Raw Data'!H:H,Match($A979,'Day Range Raw Data'!$B:$B,0)),"")</f>
        <v/>
      </c>
      <c r="I979" t="str">
        <f t="array" ref="I979">IFERROR(INDEX('Day Range Raw Data'!M:M,Match($A979,'Day Range Raw Data'!$B:$B,0)),"")</f>
        <v/>
      </c>
      <c r="J979" t="str">
        <f t="array" ref="J979">IFERROR(INDEX('Day Range Raw Data'!N:N,Match($A979,'Day Range Raw Data'!$B:$B,0)),"")</f>
        <v/>
      </c>
      <c r="K979" t="str">
        <f t="array" ref="K979">IFERROR(INDEX('Day Range Raw Data'!R:R,Match($A979,'Day Range Raw Data'!$B:$B,0)),"")</f>
        <v/>
      </c>
      <c r="L979" t="str">
        <f t="array" ref="L979">IFERROR(INDEX('Day Range Raw Data'!S:S,Match($A979,'Day Range Raw Data'!$B:$B,0)),"")</f>
        <v/>
      </c>
      <c r="M979" t="str">
        <f t="array" ref="M979">IFERROR(INDEX('Day Range Raw Data'!T:T,Match($A979,'Day Range Raw Data'!$B:$B,0)),"")</f>
        <v/>
      </c>
      <c r="N979" t="str">
        <f t="array" ref="N979">IFERROR(INDEX('Day Range Raw Data'!U:U,Match($A979,'Day Range Raw Data'!$B:$B,0)),"")</f>
        <v/>
      </c>
      <c r="O979" t="str">
        <f t="array" ref="O979">IFERROR(INDEX('Day Range Raw Data'!V:V,Match($A979,'Day Range Raw Data'!$B:$B,0)),"")</f>
        <v/>
      </c>
      <c r="P979" t="str">
        <f t="array" ref="P979">IFERROR(INDEX('Day Range Raw Data'!X:X,Match($A979,'Day Range Raw Data'!$B:$B,0)),"")</f>
        <v/>
      </c>
      <c r="Q979" t="str">
        <f t="shared" si="1"/>
        <v/>
      </c>
      <c r="R979" s="9" t="str">
        <f t="shared" si="2"/>
        <v/>
      </c>
      <c r="S979" s="14" t="str">
        <f t="shared" si="3"/>
        <v/>
      </c>
      <c r="T979" s="15" t="str">
        <f>IFERROR(__xludf.DUMMYFUNCTION("IF($A979="""","""",IFERROR(PERCENTRANK.INC(FILTER(Q:Q,$F:$F&lt;&gt;""""),Q979)*100,""""))"),"")</f>
        <v/>
      </c>
      <c r="U979" s="15" t="str">
        <f>IFERROR(__xludf.DUMMYFUNCTION("IF($A979="""","""",IFERROR(PERCENTRANK.INC(FILTER(R:R,$F:$F&lt;&gt;""""),R979)*100,""""))"),"")</f>
        <v/>
      </c>
      <c r="V979" s="15" t="str">
        <f>IFERROR(__xludf.DUMMYFUNCTION("IF($A979="""","""",IFERROR(PERCENTRANK.INC(FILTER(S:S,$F:$F&lt;&gt;""""),S979)*100,""""))"),"")</f>
        <v/>
      </c>
      <c r="W979" s="15" t="str">
        <f t="shared" si="5"/>
        <v/>
      </c>
    </row>
    <row r="980">
      <c r="B980" t="str">
        <f t="array" ref="B980">IFERROR(INDEX('Player Raw Data'!C:C,Match($A980,'Player Raw Data'!$B:$B,0)),"")</f>
        <v/>
      </c>
      <c r="C980" t="str">
        <f t="array" ref="C980">IFERROR(INDEX('Player Raw Data'!D:D,Match($A980,'Player Raw Data'!$B:$B,0)),"")</f>
        <v/>
      </c>
      <c r="D980" t="str">
        <f t="array" ref="D980">IFERROR(IF(A980=A979, INDEX('Player Raw Data'!E:E,Match($A980,'Player Raw Data'!$B:$B,0)+2),INDEX('Player Raw Data'!E:E,Match($A980,'Player Raw Data'!$B:$B,0))),"")</f>
        <v/>
      </c>
      <c r="E980" t="str">
        <f t="array" ref="E980">IFERROR(INDEX('Day Range Raw Data'!D:D,Match($A980,'Day Range Raw Data'!$B:$B,0)),"")</f>
        <v/>
      </c>
      <c r="F980" t="str">
        <f t="array" ref="F980">IFERROR(INDEX('Day Range Raw Data'!F:F,Match($A980,'Day Range Raw Data'!$B:$B,0)),"")</f>
        <v/>
      </c>
      <c r="G980" t="str">
        <f t="array" ref="G980">IFERROR(INDEX('Day Range Raw Data'!G:G,Match($A980,'Day Range Raw Data'!$B:$B,0)),"")</f>
        <v/>
      </c>
      <c r="H980" t="str">
        <f t="array" ref="H980">IFERROR(INDEX('Day Range Raw Data'!H:H,Match($A980,'Day Range Raw Data'!$B:$B,0)),"")</f>
        <v/>
      </c>
      <c r="I980" t="str">
        <f t="array" ref="I980">IFERROR(INDEX('Day Range Raw Data'!M:M,Match($A980,'Day Range Raw Data'!$B:$B,0)),"")</f>
        <v/>
      </c>
      <c r="J980" t="str">
        <f t="array" ref="J980">IFERROR(INDEX('Day Range Raw Data'!N:N,Match($A980,'Day Range Raw Data'!$B:$B,0)),"")</f>
        <v/>
      </c>
      <c r="K980" t="str">
        <f t="array" ref="K980">IFERROR(INDEX('Day Range Raw Data'!R:R,Match($A980,'Day Range Raw Data'!$B:$B,0)),"")</f>
        <v/>
      </c>
      <c r="L980" t="str">
        <f t="array" ref="L980">IFERROR(INDEX('Day Range Raw Data'!S:S,Match($A980,'Day Range Raw Data'!$B:$B,0)),"")</f>
        <v/>
      </c>
      <c r="M980" t="str">
        <f t="array" ref="M980">IFERROR(INDEX('Day Range Raw Data'!T:T,Match($A980,'Day Range Raw Data'!$B:$B,0)),"")</f>
        <v/>
      </c>
      <c r="N980" t="str">
        <f t="array" ref="N980">IFERROR(INDEX('Day Range Raw Data'!U:U,Match($A980,'Day Range Raw Data'!$B:$B,0)),"")</f>
        <v/>
      </c>
      <c r="O980" t="str">
        <f t="array" ref="O980">IFERROR(INDEX('Day Range Raw Data'!V:V,Match($A980,'Day Range Raw Data'!$B:$B,0)),"")</f>
        <v/>
      </c>
      <c r="P980" t="str">
        <f t="array" ref="P980">IFERROR(INDEX('Day Range Raw Data'!X:X,Match($A980,'Day Range Raw Data'!$B:$B,0)),"")</f>
        <v/>
      </c>
      <c r="Q980" t="str">
        <f t="shared" si="1"/>
        <v/>
      </c>
      <c r="R980" s="9" t="str">
        <f t="shared" si="2"/>
        <v/>
      </c>
      <c r="S980" s="14" t="str">
        <f t="shared" si="3"/>
        <v/>
      </c>
      <c r="T980" s="15" t="str">
        <f>IFERROR(__xludf.DUMMYFUNCTION("IF($A980="""","""",IFERROR(PERCENTRANK.INC(FILTER(Q:Q,$F:$F&lt;&gt;""""),Q980)*100,""""))"),"")</f>
        <v/>
      </c>
      <c r="U980" s="15" t="str">
        <f>IFERROR(__xludf.DUMMYFUNCTION("IF($A980="""","""",IFERROR(PERCENTRANK.INC(FILTER(R:R,$F:$F&lt;&gt;""""),R980)*100,""""))"),"")</f>
        <v/>
      </c>
      <c r="V980" s="15" t="str">
        <f>IFERROR(__xludf.DUMMYFUNCTION("IF($A980="""","""",IFERROR(PERCENTRANK.INC(FILTER(S:S,$F:$F&lt;&gt;""""),S980)*100,""""))"),"")</f>
        <v/>
      </c>
      <c r="W980" s="15" t="str">
        <f t="shared" si="5"/>
        <v/>
      </c>
    </row>
    <row r="981">
      <c r="B981" t="str">
        <f t="array" ref="B981">IFERROR(INDEX('Player Raw Data'!C:C,Match($A981,'Player Raw Data'!$B:$B,0)),"")</f>
        <v/>
      </c>
      <c r="C981" t="str">
        <f t="array" ref="C981">IFERROR(INDEX('Player Raw Data'!D:D,Match($A981,'Player Raw Data'!$B:$B,0)),"")</f>
        <v/>
      </c>
      <c r="D981" t="str">
        <f t="array" ref="D981">IFERROR(IF(A981=A980, INDEX('Player Raw Data'!E:E,Match($A981,'Player Raw Data'!$B:$B,0)+2),INDEX('Player Raw Data'!E:E,Match($A981,'Player Raw Data'!$B:$B,0))),"")</f>
        <v/>
      </c>
      <c r="E981" t="str">
        <f t="array" ref="E981">IFERROR(INDEX('Day Range Raw Data'!D:D,Match($A981,'Day Range Raw Data'!$B:$B,0)),"")</f>
        <v/>
      </c>
      <c r="F981" t="str">
        <f t="array" ref="F981">IFERROR(INDEX('Day Range Raw Data'!F:F,Match($A981,'Day Range Raw Data'!$B:$B,0)),"")</f>
        <v/>
      </c>
      <c r="G981" t="str">
        <f t="array" ref="G981">IFERROR(INDEX('Day Range Raw Data'!G:G,Match($A981,'Day Range Raw Data'!$B:$B,0)),"")</f>
        <v/>
      </c>
      <c r="H981" t="str">
        <f t="array" ref="H981">IFERROR(INDEX('Day Range Raw Data'!H:H,Match($A981,'Day Range Raw Data'!$B:$B,0)),"")</f>
        <v/>
      </c>
      <c r="I981" t="str">
        <f t="array" ref="I981">IFERROR(INDEX('Day Range Raw Data'!M:M,Match($A981,'Day Range Raw Data'!$B:$B,0)),"")</f>
        <v/>
      </c>
      <c r="J981" t="str">
        <f t="array" ref="J981">IFERROR(INDEX('Day Range Raw Data'!N:N,Match($A981,'Day Range Raw Data'!$B:$B,0)),"")</f>
        <v/>
      </c>
      <c r="K981" t="str">
        <f t="array" ref="K981">IFERROR(INDEX('Day Range Raw Data'!R:R,Match($A981,'Day Range Raw Data'!$B:$B,0)),"")</f>
        <v/>
      </c>
      <c r="L981" t="str">
        <f t="array" ref="L981">IFERROR(INDEX('Day Range Raw Data'!S:S,Match($A981,'Day Range Raw Data'!$B:$B,0)),"")</f>
        <v/>
      </c>
      <c r="M981" t="str">
        <f t="array" ref="M981">IFERROR(INDEX('Day Range Raw Data'!T:T,Match($A981,'Day Range Raw Data'!$B:$B,0)),"")</f>
        <v/>
      </c>
      <c r="N981" t="str">
        <f t="array" ref="N981">IFERROR(INDEX('Day Range Raw Data'!U:U,Match($A981,'Day Range Raw Data'!$B:$B,0)),"")</f>
        <v/>
      </c>
      <c r="O981" t="str">
        <f t="array" ref="O981">IFERROR(INDEX('Day Range Raw Data'!V:V,Match($A981,'Day Range Raw Data'!$B:$B,0)),"")</f>
        <v/>
      </c>
      <c r="P981" t="str">
        <f t="array" ref="P981">IFERROR(INDEX('Day Range Raw Data'!X:X,Match($A981,'Day Range Raw Data'!$B:$B,0)),"")</f>
        <v/>
      </c>
      <c r="Q981" t="str">
        <f t="shared" si="1"/>
        <v/>
      </c>
      <c r="R981" s="9" t="str">
        <f t="shared" si="2"/>
        <v/>
      </c>
      <c r="S981" s="14" t="str">
        <f t="shared" si="3"/>
        <v/>
      </c>
      <c r="T981" s="15" t="str">
        <f>IFERROR(__xludf.DUMMYFUNCTION("IF($A981="""","""",IFERROR(PERCENTRANK.INC(FILTER(Q:Q,$F:$F&lt;&gt;""""),Q981)*100,""""))"),"")</f>
        <v/>
      </c>
      <c r="U981" s="15" t="str">
        <f>IFERROR(__xludf.DUMMYFUNCTION("IF($A981="""","""",IFERROR(PERCENTRANK.INC(FILTER(R:R,$F:$F&lt;&gt;""""),R981)*100,""""))"),"")</f>
        <v/>
      </c>
      <c r="V981" s="15" t="str">
        <f>IFERROR(__xludf.DUMMYFUNCTION("IF($A981="""","""",IFERROR(PERCENTRANK.INC(FILTER(S:S,$F:$F&lt;&gt;""""),S981)*100,""""))"),"")</f>
        <v/>
      </c>
      <c r="W981" s="15" t="str">
        <f t="shared" si="5"/>
        <v/>
      </c>
    </row>
    <row r="982">
      <c r="B982" t="str">
        <f t="array" ref="B982">IFERROR(INDEX('Player Raw Data'!C:C,Match($A982,'Player Raw Data'!$B:$B,0)),"")</f>
        <v/>
      </c>
      <c r="C982" t="str">
        <f t="array" ref="C982">IFERROR(INDEX('Player Raw Data'!D:D,Match($A982,'Player Raw Data'!$B:$B,0)),"")</f>
        <v/>
      </c>
      <c r="D982" t="str">
        <f t="array" ref="D982">IFERROR(IF(A982=A981, INDEX('Player Raw Data'!E:E,Match($A982,'Player Raw Data'!$B:$B,0)+2),INDEX('Player Raw Data'!E:E,Match($A982,'Player Raw Data'!$B:$B,0))),"")</f>
        <v/>
      </c>
      <c r="E982" t="str">
        <f t="array" ref="E982">IFERROR(INDEX('Day Range Raw Data'!D:D,Match($A982,'Day Range Raw Data'!$B:$B,0)),"")</f>
        <v/>
      </c>
      <c r="F982" t="str">
        <f t="array" ref="F982">IFERROR(INDEX('Day Range Raw Data'!F:F,Match($A982,'Day Range Raw Data'!$B:$B,0)),"")</f>
        <v/>
      </c>
      <c r="G982" t="str">
        <f t="array" ref="G982">IFERROR(INDEX('Day Range Raw Data'!G:G,Match($A982,'Day Range Raw Data'!$B:$B,0)),"")</f>
        <v/>
      </c>
      <c r="H982" t="str">
        <f t="array" ref="H982">IFERROR(INDEX('Day Range Raw Data'!H:H,Match($A982,'Day Range Raw Data'!$B:$B,0)),"")</f>
        <v/>
      </c>
      <c r="I982" t="str">
        <f t="array" ref="I982">IFERROR(INDEX('Day Range Raw Data'!M:M,Match($A982,'Day Range Raw Data'!$B:$B,0)),"")</f>
        <v/>
      </c>
      <c r="J982" t="str">
        <f t="array" ref="J982">IFERROR(INDEX('Day Range Raw Data'!N:N,Match($A982,'Day Range Raw Data'!$B:$B,0)),"")</f>
        <v/>
      </c>
      <c r="K982" t="str">
        <f t="array" ref="K982">IFERROR(INDEX('Day Range Raw Data'!R:R,Match($A982,'Day Range Raw Data'!$B:$B,0)),"")</f>
        <v/>
      </c>
      <c r="L982" t="str">
        <f t="array" ref="L982">IFERROR(INDEX('Day Range Raw Data'!S:S,Match($A982,'Day Range Raw Data'!$B:$B,0)),"")</f>
        <v/>
      </c>
      <c r="M982" t="str">
        <f t="array" ref="M982">IFERROR(INDEX('Day Range Raw Data'!T:T,Match($A982,'Day Range Raw Data'!$B:$B,0)),"")</f>
        <v/>
      </c>
      <c r="N982" t="str">
        <f t="array" ref="N982">IFERROR(INDEX('Day Range Raw Data'!U:U,Match($A982,'Day Range Raw Data'!$B:$B,0)),"")</f>
        <v/>
      </c>
      <c r="O982" t="str">
        <f t="array" ref="O982">IFERROR(INDEX('Day Range Raw Data'!V:V,Match($A982,'Day Range Raw Data'!$B:$B,0)),"")</f>
        <v/>
      </c>
      <c r="P982" t="str">
        <f t="array" ref="P982">IFERROR(INDEX('Day Range Raw Data'!X:X,Match($A982,'Day Range Raw Data'!$B:$B,0)),"")</f>
        <v/>
      </c>
      <c r="Q982" t="str">
        <f t="shared" si="1"/>
        <v/>
      </c>
      <c r="R982" s="9" t="str">
        <f t="shared" si="2"/>
        <v/>
      </c>
      <c r="S982" s="14" t="str">
        <f t="shared" si="3"/>
        <v/>
      </c>
      <c r="T982" s="15" t="str">
        <f>IFERROR(__xludf.DUMMYFUNCTION("IF($A982="""","""",IFERROR(PERCENTRANK.INC(FILTER(Q:Q,$F:$F&lt;&gt;""""),Q982)*100,""""))"),"")</f>
        <v/>
      </c>
      <c r="U982" s="15" t="str">
        <f>IFERROR(__xludf.DUMMYFUNCTION("IF($A982="""","""",IFERROR(PERCENTRANK.INC(FILTER(R:R,$F:$F&lt;&gt;""""),R982)*100,""""))"),"")</f>
        <v/>
      </c>
      <c r="V982" s="15" t="str">
        <f>IFERROR(__xludf.DUMMYFUNCTION("IF($A982="""","""",IFERROR(PERCENTRANK.INC(FILTER(S:S,$F:$F&lt;&gt;""""),S982)*100,""""))"),"")</f>
        <v/>
      </c>
      <c r="W982" s="15" t="str">
        <f t="shared" si="5"/>
        <v/>
      </c>
    </row>
    <row r="983">
      <c r="B983" t="str">
        <f t="array" ref="B983">IFERROR(INDEX('Player Raw Data'!C:C,Match($A983,'Player Raw Data'!$B:$B,0)),"")</f>
        <v/>
      </c>
      <c r="C983" t="str">
        <f t="array" ref="C983">IFERROR(INDEX('Player Raw Data'!D:D,Match($A983,'Player Raw Data'!$B:$B,0)),"")</f>
        <v/>
      </c>
      <c r="D983" t="str">
        <f t="array" ref="D983">IFERROR(IF(A983=A982, INDEX('Player Raw Data'!E:E,Match($A983,'Player Raw Data'!$B:$B,0)+2),INDEX('Player Raw Data'!E:E,Match($A983,'Player Raw Data'!$B:$B,0))),"")</f>
        <v/>
      </c>
      <c r="E983" t="str">
        <f t="array" ref="E983">IFERROR(INDEX('Day Range Raw Data'!D:D,Match($A983,'Day Range Raw Data'!$B:$B,0)),"")</f>
        <v/>
      </c>
      <c r="F983" t="str">
        <f t="array" ref="F983">IFERROR(INDEX('Day Range Raw Data'!F:F,Match($A983,'Day Range Raw Data'!$B:$B,0)),"")</f>
        <v/>
      </c>
      <c r="G983" t="str">
        <f t="array" ref="G983">IFERROR(INDEX('Day Range Raw Data'!G:G,Match($A983,'Day Range Raw Data'!$B:$B,0)),"")</f>
        <v/>
      </c>
      <c r="H983" t="str">
        <f t="array" ref="H983">IFERROR(INDEX('Day Range Raw Data'!H:H,Match($A983,'Day Range Raw Data'!$B:$B,0)),"")</f>
        <v/>
      </c>
      <c r="I983" t="str">
        <f t="array" ref="I983">IFERROR(INDEX('Day Range Raw Data'!M:M,Match($A983,'Day Range Raw Data'!$B:$B,0)),"")</f>
        <v/>
      </c>
      <c r="J983" t="str">
        <f t="array" ref="J983">IFERROR(INDEX('Day Range Raw Data'!N:N,Match($A983,'Day Range Raw Data'!$B:$B,0)),"")</f>
        <v/>
      </c>
      <c r="K983" t="str">
        <f t="array" ref="K983">IFERROR(INDEX('Day Range Raw Data'!R:R,Match($A983,'Day Range Raw Data'!$B:$B,0)),"")</f>
        <v/>
      </c>
      <c r="L983" t="str">
        <f t="array" ref="L983">IFERROR(INDEX('Day Range Raw Data'!S:S,Match($A983,'Day Range Raw Data'!$B:$B,0)),"")</f>
        <v/>
      </c>
      <c r="M983" t="str">
        <f t="array" ref="M983">IFERROR(INDEX('Day Range Raw Data'!T:T,Match($A983,'Day Range Raw Data'!$B:$B,0)),"")</f>
        <v/>
      </c>
      <c r="N983" t="str">
        <f t="array" ref="N983">IFERROR(INDEX('Day Range Raw Data'!U:U,Match($A983,'Day Range Raw Data'!$B:$B,0)),"")</f>
        <v/>
      </c>
      <c r="O983" t="str">
        <f t="array" ref="O983">IFERROR(INDEX('Day Range Raw Data'!V:V,Match($A983,'Day Range Raw Data'!$B:$B,0)),"")</f>
        <v/>
      </c>
      <c r="P983" t="str">
        <f t="array" ref="P983">IFERROR(INDEX('Day Range Raw Data'!X:X,Match($A983,'Day Range Raw Data'!$B:$B,0)),"")</f>
        <v/>
      </c>
      <c r="Q983" t="str">
        <f t="shared" si="1"/>
        <v/>
      </c>
      <c r="R983" s="9" t="str">
        <f t="shared" si="2"/>
        <v/>
      </c>
      <c r="S983" s="14" t="str">
        <f t="shared" si="3"/>
        <v/>
      </c>
      <c r="T983" s="15" t="str">
        <f>IFERROR(__xludf.DUMMYFUNCTION("IF($A983="""","""",IFERROR(PERCENTRANK.INC(FILTER(Q:Q,$F:$F&lt;&gt;""""),Q983)*100,""""))"),"")</f>
        <v/>
      </c>
      <c r="U983" s="15" t="str">
        <f>IFERROR(__xludf.DUMMYFUNCTION("IF($A983="""","""",IFERROR(PERCENTRANK.INC(FILTER(R:R,$F:$F&lt;&gt;""""),R983)*100,""""))"),"")</f>
        <v/>
      </c>
      <c r="V983" s="15" t="str">
        <f>IFERROR(__xludf.DUMMYFUNCTION("IF($A983="""","""",IFERROR(PERCENTRANK.INC(FILTER(S:S,$F:$F&lt;&gt;""""),S983)*100,""""))"),"")</f>
        <v/>
      </c>
      <c r="W983" s="15" t="str">
        <f t="shared" si="5"/>
        <v/>
      </c>
    </row>
    <row r="984">
      <c r="B984" t="str">
        <f t="array" ref="B984">IFERROR(INDEX('Player Raw Data'!C:C,Match($A984,'Player Raw Data'!$B:$B,0)),"")</f>
        <v/>
      </c>
      <c r="C984" t="str">
        <f t="array" ref="C984">IFERROR(INDEX('Player Raw Data'!D:D,Match($A984,'Player Raw Data'!$B:$B,0)),"")</f>
        <v/>
      </c>
      <c r="D984" t="str">
        <f t="array" ref="D984">IFERROR(IF(A984=A983, INDEX('Player Raw Data'!E:E,Match($A984,'Player Raw Data'!$B:$B,0)+2),INDEX('Player Raw Data'!E:E,Match($A984,'Player Raw Data'!$B:$B,0))),"")</f>
        <v/>
      </c>
      <c r="E984" t="str">
        <f t="array" ref="E984">IFERROR(INDEX('Day Range Raw Data'!D:D,Match($A984,'Day Range Raw Data'!$B:$B,0)),"")</f>
        <v/>
      </c>
      <c r="F984" t="str">
        <f t="array" ref="F984">IFERROR(INDEX('Day Range Raw Data'!F:F,Match($A984,'Day Range Raw Data'!$B:$B,0)),"")</f>
        <v/>
      </c>
      <c r="G984" t="str">
        <f t="array" ref="G984">IFERROR(INDEX('Day Range Raw Data'!G:G,Match($A984,'Day Range Raw Data'!$B:$B,0)),"")</f>
        <v/>
      </c>
      <c r="H984" t="str">
        <f t="array" ref="H984">IFERROR(INDEX('Day Range Raw Data'!H:H,Match($A984,'Day Range Raw Data'!$B:$B,0)),"")</f>
        <v/>
      </c>
      <c r="I984" t="str">
        <f t="array" ref="I984">IFERROR(INDEX('Day Range Raw Data'!M:M,Match($A984,'Day Range Raw Data'!$B:$B,0)),"")</f>
        <v/>
      </c>
      <c r="J984" t="str">
        <f t="array" ref="J984">IFERROR(INDEX('Day Range Raw Data'!N:N,Match($A984,'Day Range Raw Data'!$B:$B,0)),"")</f>
        <v/>
      </c>
      <c r="K984" t="str">
        <f t="array" ref="K984">IFERROR(INDEX('Day Range Raw Data'!R:R,Match($A984,'Day Range Raw Data'!$B:$B,0)),"")</f>
        <v/>
      </c>
      <c r="L984" t="str">
        <f t="array" ref="L984">IFERROR(INDEX('Day Range Raw Data'!S:S,Match($A984,'Day Range Raw Data'!$B:$B,0)),"")</f>
        <v/>
      </c>
      <c r="M984" t="str">
        <f t="array" ref="M984">IFERROR(INDEX('Day Range Raw Data'!T:T,Match($A984,'Day Range Raw Data'!$B:$B,0)),"")</f>
        <v/>
      </c>
      <c r="N984" t="str">
        <f t="array" ref="N984">IFERROR(INDEX('Day Range Raw Data'!U:U,Match($A984,'Day Range Raw Data'!$B:$B,0)),"")</f>
        <v/>
      </c>
      <c r="O984" t="str">
        <f t="array" ref="O984">IFERROR(INDEX('Day Range Raw Data'!V:V,Match($A984,'Day Range Raw Data'!$B:$B,0)),"")</f>
        <v/>
      </c>
      <c r="P984" t="str">
        <f t="array" ref="P984">IFERROR(INDEX('Day Range Raw Data'!X:X,Match($A984,'Day Range Raw Data'!$B:$B,0)),"")</f>
        <v/>
      </c>
      <c r="Q984" t="str">
        <f t="shared" si="1"/>
        <v/>
      </c>
      <c r="R984" s="9" t="str">
        <f t="shared" si="2"/>
        <v/>
      </c>
      <c r="S984" s="14" t="str">
        <f t="shared" si="3"/>
        <v/>
      </c>
      <c r="T984" s="15" t="str">
        <f>IFERROR(__xludf.DUMMYFUNCTION("IF($A984="""","""",IFERROR(PERCENTRANK.INC(FILTER(Q:Q,$F:$F&lt;&gt;""""),Q984)*100,""""))"),"")</f>
        <v/>
      </c>
      <c r="U984" s="15" t="str">
        <f>IFERROR(__xludf.DUMMYFUNCTION("IF($A984="""","""",IFERROR(PERCENTRANK.INC(FILTER(R:R,$F:$F&lt;&gt;""""),R984)*100,""""))"),"")</f>
        <v/>
      </c>
      <c r="V984" s="15" t="str">
        <f>IFERROR(__xludf.DUMMYFUNCTION("IF($A984="""","""",IFERROR(PERCENTRANK.INC(FILTER(S:S,$F:$F&lt;&gt;""""),S984)*100,""""))"),"")</f>
        <v/>
      </c>
      <c r="W984" s="15" t="str">
        <f t="shared" si="5"/>
        <v/>
      </c>
    </row>
    <row r="985">
      <c r="B985" t="str">
        <f t="array" ref="B985">IFERROR(INDEX('Player Raw Data'!C:C,Match($A985,'Player Raw Data'!$B:$B,0)),"")</f>
        <v/>
      </c>
      <c r="C985" t="str">
        <f t="array" ref="C985">IFERROR(INDEX('Player Raw Data'!D:D,Match($A985,'Player Raw Data'!$B:$B,0)),"")</f>
        <v/>
      </c>
      <c r="D985" t="str">
        <f t="array" ref="D985">IFERROR(IF(A985=A984, INDEX('Player Raw Data'!E:E,Match($A985,'Player Raw Data'!$B:$B,0)+2),INDEX('Player Raw Data'!E:E,Match($A985,'Player Raw Data'!$B:$B,0))),"")</f>
        <v/>
      </c>
      <c r="E985" t="str">
        <f t="array" ref="E985">IFERROR(INDEX('Day Range Raw Data'!D:D,Match($A985,'Day Range Raw Data'!$B:$B,0)),"")</f>
        <v/>
      </c>
      <c r="F985" t="str">
        <f t="array" ref="F985">IFERROR(INDEX('Day Range Raw Data'!F:F,Match($A985,'Day Range Raw Data'!$B:$B,0)),"")</f>
        <v/>
      </c>
      <c r="G985" t="str">
        <f t="array" ref="G985">IFERROR(INDEX('Day Range Raw Data'!G:G,Match($A985,'Day Range Raw Data'!$B:$B,0)),"")</f>
        <v/>
      </c>
      <c r="H985" t="str">
        <f t="array" ref="H985">IFERROR(INDEX('Day Range Raw Data'!H:H,Match($A985,'Day Range Raw Data'!$B:$B,0)),"")</f>
        <v/>
      </c>
      <c r="I985" t="str">
        <f t="array" ref="I985">IFERROR(INDEX('Day Range Raw Data'!M:M,Match($A985,'Day Range Raw Data'!$B:$B,0)),"")</f>
        <v/>
      </c>
      <c r="J985" t="str">
        <f t="array" ref="J985">IFERROR(INDEX('Day Range Raw Data'!N:N,Match($A985,'Day Range Raw Data'!$B:$B,0)),"")</f>
        <v/>
      </c>
      <c r="K985" t="str">
        <f t="array" ref="K985">IFERROR(INDEX('Day Range Raw Data'!R:R,Match($A985,'Day Range Raw Data'!$B:$B,0)),"")</f>
        <v/>
      </c>
      <c r="L985" t="str">
        <f t="array" ref="L985">IFERROR(INDEX('Day Range Raw Data'!S:S,Match($A985,'Day Range Raw Data'!$B:$B,0)),"")</f>
        <v/>
      </c>
      <c r="M985" t="str">
        <f t="array" ref="M985">IFERROR(INDEX('Day Range Raw Data'!T:T,Match($A985,'Day Range Raw Data'!$B:$B,0)),"")</f>
        <v/>
      </c>
      <c r="N985" t="str">
        <f t="array" ref="N985">IFERROR(INDEX('Day Range Raw Data'!U:U,Match($A985,'Day Range Raw Data'!$B:$B,0)),"")</f>
        <v/>
      </c>
      <c r="O985" t="str">
        <f t="array" ref="O985">IFERROR(INDEX('Day Range Raw Data'!V:V,Match($A985,'Day Range Raw Data'!$B:$B,0)),"")</f>
        <v/>
      </c>
      <c r="P985" t="str">
        <f t="array" ref="P985">IFERROR(INDEX('Day Range Raw Data'!X:X,Match($A985,'Day Range Raw Data'!$B:$B,0)),"")</f>
        <v/>
      </c>
      <c r="Q985" t="str">
        <f t="shared" si="1"/>
        <v/>
      </c>
      <c r="R985" s="9" t="str">
        <f t="shared" si="2"/>
        <v/>
      </c>
      <c r="S985" s="14" t="str">
        <f t="shared" si="3"/>
        <v/>
      </c>
      <c r="T985" s="15" t="str">
        <f>IFERROR(__xludf.DUMMYFUNCTION("IF($A985="""","""",IFERROR(PERCENTRANK.INC(FILTER(Q:Q,$F:$F&lt;&gt;""""),Q985)*100,""""))"),"")</f>
        <v/>
      </c>
      <c r="U985" s="15" t="str">
        <f>IFERROR(__xludf.DUMMYFUNCTION("IF($A985="""","""",IFERROR(PERCENTRANK.INC(FILTER(R:R,$F:$F&lt;&gt;""""),R985)*100,""""))"),"")</f>
        <v/>
      </c>
      <c r="V985" s="15" t="str">
        <f>IFERROR(__xludf.DUMMYFUNCTION("IF($A985="""","""",IFERROR(PERCENTRANK.INC(FILTER(S:S,$F:$F&lt;&gt;""""),S985)*100,""""))"),"")</f>
        <v/>
      </c>
      <c r="W985" s="15" t="str">
        <f t="shared" si="5"/>
        <v/>
      </c>
    </row>
    <row r="986">
      <c r="B986" t="str">
        <f t="array" ref="B986">IFERROR(INDEX('Player Raw Data'!C:C,Match($A986,'Player Raw Data'!$B:$B,0)),"")</f>
        <v/>
      </c>
      <c r="C986" t="str">
        <f t="array" ref="C986">IFERROR(INDEX('Player Raw Data'!D:D,Match($A986,'Player Raw Data'!$B:$B,0)),"")</f>
        <v/>
      </c>
      <c r="D986" t="str">
        <f t="array" ref="D986">IFERROR(IF(A986=A985, INDEX('Player Raw Data'!E:E,Match($A986,'Player Raw Data'!$B:$B,0)+2),INDEX('Player Raw Data'!E:E,Match($A986,'Player Raw Data'!$B:$B,0))),"")</f>
        <v/>
      </c>
      <c r="E986" t="str">
        <f t="array" ref="E986">IFERROR(INDEX('Day Range Raw Data'!D:D,Match($A986,'Day Range Raw Data'!$B:$B,0)),"")</f>
        <v/>
      </c>
      <c r="F986" t="str">
        <f t="array" ref="F986">IFERROR(INDEX('Day Range Raw Data'!F:F,Match($A986,'Day Range Raw Data'!$B:$B,0)),"")</f>
        <v/>
      </c>
      <c r="G986" t="str">
        <f t="array" ref="G986">IFERROR(INDEX('Day Range Raw Data'!G:G,Match($A986,'Day Range Raw Data'!$B:$B,0)),"")</f>
        <v/>
      </c>
      <c r="H986" t="str">
        <f t="array" ref="H986">IFERROR(INDEX('Day Range Raw Data'!H:H,Match($A986,'Day Range Raw Data'!$B:$B,0)),"")</f>
        <v/>
      </c>
      <c r="I986" t="str">
        <f t="array" ref="I986">IFERROR(INDEX('Day Range Raw Data'!M:M,Match($A986,'Day Range Raw Data'!$B:$B,0)),"")</f>
        <v/>
      </c>
      <c r="J986" t="str">
        <f t="array" ref="J986">IFERROR(INDEX('Day Range Raw Data'!N:N,Match($A986,'Day Range Raw Data'!$B:$B,0)),"")</f>
        <v/>
      </c>
      <c r="K986" t="str">
        <f t="array" ref="K986">IFERROR(INDEX('Day Range Raw Data'!R:R,Match($A986,'Day Range Raw Data'!$B:$B,0)),"")</f>
        <v/>
      </c>
      <c r="L986" t="str">
        <f t="array" ref="L986">IFERROR(INDEX('Day Range Raw Data'!S:S,Match($A986,'Day Range Raw Data'!$B:$B,0)),"")</f>
        <v/>
      </c>
      <c r="M986" t="str">
        <f t="array" ref="M986">IFERROR(INDEX('Day Range Raw Data'!T:T,Match($A986,'Day Range Raw Data'!$B:$B,0)),"")</f>
        <v/>
      </c>
      <c r="N986" t="str">
        <f t="array" ref="N986">IFERROR(INDEX('Day Range Raw Data'!U:U,Match($A986,'Day Range Raw Data'!$B:$B,0)),"")</f>
        <v/>
      </c>
      <c r="O986" t="str">
        <f t="array" ref="O986">IFERROR(INDEX('Day Range Raw Data'!V:V,Match($A986,'Day Range Raw Data'!$B:$B,0)),"")</f>
        <v/>
      </c>
      <c r="P986" t="str">
        <f t="array" ref="P986">IFERROR(INDEX('Day Range Raw Data'!X:X,Match($A986,'Day Range Raw Data'!$B:$B,0)),"")</f>
        <v/>
      </c>
      <c r="Q986" t="str">
        <f t="shared" si="1"/>
        <v/>
      </c>
      <c r="R986" s="9" t="str">
        <f t="shared" si="2"/>
        <v/>
      </c>
      <c r="S986" s="14" t="str">
        <f t="shared" si="3"/>
        <v/>
      </c>
      <c r="T986" s="15" t="str">
        <f>IFERROR(__xludf.DUMMYFUNCTION("IF($A986="""","""",IFERROR(PERCENTRANK.INC(FILTER(Q:Q,$F:$F&lt;&gt;""""),Q986)*100,""""))"),"")</f>
        <v/>
      </c>
      <c r="U986" s="15" t="str">
        <f>IFERROR(__xludf.DUMMYFUNCTION("IF($A986="""","""",IFERROR(PERCENTRANK.INC(FILTER(R:R,$F:$F&lt;&gt;""""),R986)*100,""""))"),"")</f>
        <v/>
      </c>
      <c r="V986" s="15" t="str">
        <f>IFERROR(__xludf.DUMMYFUNCTION("IF($A986="""","""",IFERROR(PERCENTRANK.INC(FILTER(S:S,$F:$F&lt;&gt;""""),S986)*100,""""))"),"")</f>
        <v/>
      </c>
      <c r="W986" s="15" t="str">
        <f t="shared" si="5"/>
        <v/>
      </c>
    </row>
    <row r="987">
      <c r="B987" t="str">
        <f t="array" ref="B987">IFERROR(INDEX('Player Raw Data'!C:C,Match($A987,'Player Raw Data'!$B:$B,0)),"")</f>
        <v/>
      </c>
      <c r="C987" t="str">
        <f t="array" ref="C987">IFERROR(INDEX('Player Raw Data'!D:D,Match($A987,'Player Raw Data'!$B:$B,0)),"")</f>
        <v/>
      </c>
      <c r="D987" t="str">
        <f t="array" ref="D987">IFERROR(IF(A987=A986, INDEX('Player Raw Data'!E:E,Match($A987,'Player Raw Data'!$B:$B,0)+2),INDEX('Player Raw Data'!E:E,Match($A987,'Player Raw Data'!$B:$B,0))),"")</f>
        <v/>
      </c>
      <c r="E987" t="str">
        <f t="array" ref="E987">IFERROR(INDEX('Day Range Raw Data'!D:D,Match($A987,'Day Range Raw Data'!$B:$B,0)),"")</f>
        <v/>
      </c>
      <c r="F987" t="str">
        <f t="array" ref="F987">IFERROR(INDEX('Day Range Raw Data'!F:F,Match($A987,'Day Range Raw Data'!$B:$B,0)),"")</f>
        <v/>
      </c>
      <c r="G987" t="str">
        <f t="array" ref="G987">IFERROR(INDEX('Day Range Raw Data'!G:G,Match($A987,'Day Range Raw Data'!$B:$B,0)),"")</f>
        <v/>
      </c>
      <c r="H987" t="str">
        <f t="array" ref="H987">IFERROR(INDEX('Day Range Raw Data'!H:H,Match($A987,'Day Range Raw Data'!$B:$B,0)),"")</f>
        <v/>
      </c>
      <c r="I987" t="str">
        <f t="array" ref="I987">IFERROR(INDEX('Day Range Raw Data'!M:M,Match($A987,'Day Range Raw Data'!$B:$B,0)),"")</f>
        <v/>
      </c>
      <c r="J987" t="str">
        <f t="array" ref="J987">IFERROR(INDEX('Day Range Raw Data'!N:N,Match($A987,'Day Range Raw Data'!$B:$B,0)),"")</f>
        <v/>
      </c>
      <c r="K987" t="str">
        <f t="array" ref="K987">IFERROR(INDEX('Day Range Raw Data'!R:R,Match($A987,'Day Range Raw Data'!$B:$B,0)),"")</f>
        <v/>
      </c>
      <c r="L987" t="str">
        <f t="array" ref="L987">IFERROR(INDEX('Day Range Raw Data'!S:S,Match($A987,'Day Range Raw Data'!$B:$B,0)),"")</f>
        <v/>
      </c>
      <c r="M987" t="str">
        <f t="array" ref="M987">IFERROR(INDEX('Day Range Raw Data'!T:T,Match($A987,'Day Range Raw Data'!$B:$B,0)),"")</f>
        <v/>
      </c>
      <c r="N987" t="str">
        <f t="array" ref="N987">IFERROR(INDEX('Day Range Raw Data'!U:U,Match($A987,'Day Range Raw Data'!$B:$B,0)),"")</f>
        <v/>
      </c>
      <c r="O987" t="str">
        <f t="array" ref="O987">IFERROR(INDEX('Day Range Raw Data'!V:V,Match($A987,'Day Range Raw Data'!$B:$B,0)),"")</f>
        <v/>
      </c>
      <c r="P987" t="str">
        <f t="array" ref="P987">IFERROR(INDEX('Day Range Raw Data'!X:X,Match($A987,'Day Range Raw Data'!$B:$B,0)),"")</f>
        <v/>
      </c>
      <c r="Q987" t="str">
        <f t="shared" si="1"/>
        <v/>
      </c>
      <c r="R987" s="9" t="str">
        <f t="shared" si="2"/>
        <v/>
      </c>
      <c r="S987" s="14" t="str">
        <f t="shared" si="3"/>
        <v/>
      </c>
      <c r="T987" s="15" t="str">
        <f>IFERROR(__xludf.DUMMYFUNCTION("IF($A987="""","""",IFERROR(PERCENTRANK.INC(FILTER(Q:Q,$F:$F&lt;&gt;""""),Q987)*100,""""))"),"")</f>
        <v/>
      </c>
      <c r="U987" s="15" t="str">
        <f>IFERROR(__xludf.DUMMYFUNCTION("IF($A987="""","""",IFERROR(PERCENTRANK.INC(FILTER(R:R,$F:$F&lt;&gt;""""),R987)*100,""""))"),"")</f>
        <v/>
      </c>
      <c r="V987" s="15" t="str">
        <f>IFERROR(__xludf.DUMMYFUNCTION("IF($A987="""","""",IFERROR(PERCENTRANK.INC(FILTER(S:S,$F:$F&lt;&gt;""""),S987)*100,""""))"),"")</f>
        <v/>
      </c>
      <c r="W987" s="15" t="str">
        <f t="shared" si="5"/>
        <v/>
      </c>
    </row>
    <row r="988">
      <c r="B988" t="str">
        <f t="array" ref="B988">IFERROR(INDEX('Player Raw Data'!C:C,Match($A988,'Player Raw Data'!$B:$B,0)),"")</f>
        <v/>
      </c>
      <c r="C988" t="str">
        <f t="array" ref="C988">IFERROR(INDEX('Player Raw Data'!D:D,Match($A988,'Player Raw Data'!$B:$B,0)),"")</f>
        <v/>
      </c>
      <c r="D988" t="str">
        <f t="array" ref="D988">IFERROR(IF(A988=A987, INDEX('Player Raw Data'!E:E,Match($A988,'Player Raw Data'!$B:$B,0)+2),INDEX('Player Raw Data'!E:E,Match($A988,'Player Raw Data'!$B:$B,0))),"")</f>
        <v/>
      </c>
      <c r="E988" t="str">
        <f t="array" ref="E988">IFERROR(INDEX('Day Range Raw Data'!D:D,Match($A988,'Day Range Raw Data'!$B:$B,0)),"")</f>
        <v/>
      </c>
      <c r="F988" t="str">
        <f t="array" ref="F988">IFERROR(INDEX('Day Range Raw Data'!F:F,Match($A988,'Day Range Raw Data'!$B:$B,0)),"")</f>
        <v/>
      </c>
      <c r="G988" t="str">
        <f t="array" ref="G988">IFERROR(INDEX('Day Range Raw Data'!G:G,Match($A988,'Day Range Raw Data'!$B:$B,0)),"")</f>
        <v/>
      </c>
      <c r="H988" t="str">
        <f t="array" ref="H988">IFERROR(INDEX('Day Range Raw Data'!H:H,Match($A988,'Day Range Raw Data'!$B:$B,0)),"")</f>
        <v/>
      </c>
      <c r="I988" t="str">
        <f t="array" ref="I988">IFERROR(INDEX('Day Range Raw Data'!M:M,Match($A988,'Day Range Raw Data'!$B:$B,0)),"")</f>
        <v/>
      </c>
      <c r="J988" t="str">
        <f t="array" ref="J988">IFERROR(INDEX('Day Range Raw Data'!N:N,Match($A988,'Day Range Raw Data'!$B:$B,0)),"")</f>
        <v/>
      </c>
      <c r="K988" t="str">
        <f t="array" ref="K988">IFERROR(INDEX('Day Range Raw Data'!R:R,Match($A988,'Day Range Raw Data'!$B:$B,0)),"")</f>
        <v/>
      </c>
      <c r="L988" t="str">
        <f t="array" ref="L988">IFERROR(INDEX('Day Range Raw Data'!S:S,Match($A988,'Day Range Raw Data'!$B:$B,0)),"")</f>
        <v/>
      </c>
      <c r="M988" t="str">
        <f t="array" ref="M988">IFERROR(INDEX('Day Range Raw Data'!T:T,Match($A988,'Day Range Raw Data'!$B:$B,0)),"")</f>
        <v/>
      </c>
      <c r="N988" t="str">
        <f t="array" ref="N988">IFERROR(INDEX('Day Range Raw Data'!U:U,Match($A988,'Day Range Raw Data'!$B:$B,0)),"")</f>
        <v/>
      </c>
      <c r="O988" t="str">
        <f t="array" ref="O988">IFERROR(INDEX('Day Range Raw Data'!V:V,Match($A988,'Day Range Raw Data'!$B:$B,0)),"")</f>
        <v/>
      </c>
      <c r="P988" t="str">
        <f t="array" ref="P988">IFERROR(INDEX('Day Range Raw Data'!X:X,Match($A988,'Day Range Raw Data'!$B:$B,0)),"")</f>
        <v/>
      </c>
      <c r="Q988" t="str">
        <f t="shared" si="1"/>
        <v/>
      </c>
      <c r="R988" s="9" t="str">
        <f t="shared" si="2"/>
        <v/>
      </c>
      <c r="S988" s="14" t="str">
        <f t="shared" si="3"/>
        <v/>
      </c>
      <c r="T988" s="15" t="str">
        <f>IFERROR(__xludf.DUMMYFUNCTION("IF($A988="""","""",IFERROR(PERCENTRANK.INC(FILTER(Q:Q,$F:$F&lt;&gt;""""),Q988)*100,""""))"),"")</f>
        <v/>
      </c>
      <c r="U988" s="15" t="str">
        <f>IFERROR(__xludf.DUMMYFUNCTION("IF($A988="""","""",IFERROR(PERCENTRANK.INC(FILTER(R:R,$F:$F&lt;&gt;""""),R988)*100,""""))"),"")</f>
        <v/>
      </c>
      <c r="V988" s="15" t="str">
        <f>IFERROR(__xludf.DUMMYFUNCTION("IF($A988="""","""",IFERROR(PERCENTRANK.INC(FILTER(S:S,$F:$F&lt;&gt;""""),S988)*100,""""))"),"")</f>
        <v/>
      </c>
      <c r="W988" s="15" t="str">
        <f t="shared" si="5"/>
        <v/>
      </c>
    </row>
    <row r="989">
      <c r="B989" t="str">
        <f t="array" ref="B989">IFERROR(INDEX('Player Raw Data'!C:C,Match($A989,'Player Raw Data'!$B:$B,0)),"")</f>
        <v/>
      </c>
      <c r="C989" t="str">
        <f t="array" ref="C989">IFERROR(INDEX('Player Raw Data'!D:D,Match($A989,'Player Raw Data'!$B:$B,0)),"")</f>
        <v/>
      </c>
      <c r="D989" t="str">
        <f t="array" ref="D989">IFERROR(IF(A989=A988, INDEX('Player Raw Data'!E:E,Match($A989,'Player Raw Data'!$B:$B,0)+2),INDEX('Player Raw Data'!E:E,Match($A989,'Player Raw Data'!$B:$B,0))),"")</f>
        <v/>
      </c>
      <c r="E989" t="str">
        <f t="array" ref="E989">IFERROR(INDEX('Day Range Raw Data'!D:D,Match($A989,'Day Range Raw Data'!$B:$B,0)),"")</f>
        <v/>
      </c>
      <c r="F989" t="str">
        <f t="array" ref="F989">IFERROR(INDEX('Day Range Raw Data'!F:F,Match($A989,'Day Range Raw Data'!$B:$B,0)),"")</f>
        <v/>
      </c>
      <c r="G989" t="str">
        <f t="array" ref="G989">IFERROR(INDEX('Day Range Raw Data'!G:G,Match($A989,'Day Range Raw Data'!$B:$B,0)),"")</f>
        <v/>
      </c>
      <c r="H989" t="str">
        <f t="array" ref="H989">IFERROR(INDEX('Day Range Raw Data'!H:H,Match($A989,'Day Range Raw Data'!$B:$B,0)),"")</f>
        <v/>
      </c>
      <c r="I989" t="str">
        <f t="array" ref="I989">IFERROR(INDEX('Day Range Raw Data'!M:M,Match($A989,'Day Range Raw Data'!$B:$B,0)),"")</f>
        <v/>
      </c>
      <c r="J989" t="str">
        <f t="array" ref="J989">IFERROR(INDEX('Day Range Raw Data'!N:N,Match($A989,'Day Range Raw Data'!$B:$B,0)),"")</f>
        <v/>
      </c>
      <c r="K989" t="str">
        <f t="array" ref="K989">IFERROR(INDEX('Day Range Raw Data'!R:R,Match($A989,'Day Range Raw Data'!$B:$B,0)),"")</f>
        <v/>
      </c>
      <c r="L989" t="str">
        <f t="array" ref="L989">IFERROR(INDEX('Day Range Raw Data'!S:S,Match($A989,'Day Range Raw Data'!$B:$B,0)),"")</f>
        <v/>
      </c>
      <c r="M989" t="str">
        <f t="array" ref="M989">IFERROR(INDEX('Day Range Raw Data'!T:T,Match($A989,'Day Range Raw Data'!$B:$B,0)),"")</f>
        <v/>
      </c>
      <c r="N989" t="str">
        <f t="array" ref="N989">IFERROR(INDEX('Day Range Raw Data'!U:U,Match($A989,'Day Range Raw Data'!$B:$B,0)),"")</f>
        <v/>
      </c>
      <c r="O989" t="str">
        <f t="array" ref="O989">IFERROR(INDEX('Day Range Raw Data'!V:V,Match($A989,'Day Range Raw Data'!$B:$B,0)),"")</f>
        <v/>
      </c>
      <c r="P989" t="str">
        <f t="array" ref="P989">IFERROR(INDEX('Day Range Raw Data'!X:X,Match($A989,'Day Range Raw Data'!$B:$B,0)),"")</f>
        <v/>
      </c>
      <c r="Q989" t="str">
        <f t="shared" si="1"/>
        <v/>
      </c>
      <c r="R989" s="9" t="str">
        <f t="shared" si="2"/>
        <v/>
      </c>
      <c r="S989" s="14" t="str">
        <f t="shared" si="3"/>
        <v/>
      </c>
      <c r="T989" s="15" t="str">
        <f>IFERROR(__xludf.DUMMYFUNCTION("IF($A989="""","""",IFERROR(PERCENTRANK.INC(FILTER(Q:Q,$F:$F&lt;&gt;""""),Q989)*100,""""))"),"")</f>
        <v/>
      </c>
      <c r="U989" s="15" t="str">
        <f>IFERROR(__xludf.DUMMYFUNCTION("IF($A989="""","""",IFERROR(PERCENTRANK.INC(FILTER(R:R,$F:$F&lt;&gt;""""),R989)*100,""""))"),"")</f>
        <v/>
      </c>
      <c r="V989" s="15" t="str">
        <f>IFERROR(__xludf.DUMMYFUNCTION("IF($A989="""","""",IFERROR(PERCENTRANK.INC(FILTER(S:S,$F:$F&lt;&gt;""""),S989)*100,""""))"),"")</f>
        <v/>
      </c>
      <c r="W989" s="15" t="str">
        <f t="shared" si="5"/>
        <v/>
      </c>
    </row>
    <row r="990">
      <c r="B990" t="str">
        <f t="array" ref="B990">IFERROR(INDEX('Player Raw Data'!C:C,Match($A990,'Player Raw Data'!$B:$B,0)),"")</f>
        <v/>
      </c>
      <c r="C990" t="str">
        <f t="array" ref="C990">IFERROR(INDEX('Player Raw Data'!D:D,Match($A990,'Player Raw Data'!$B:$B,0)),"")</f>
        <v/>
      </c>
      <c r="D990" t="str">
        <f t="array" ref="D990">IFERROR(IF(A990=A989, INDEX('Player Raw Data'!E:E,Match($A990,'Player Raw Data'!$B:$B,0)+2),INDEX('Player Raw Data'!E:E,Match($A990,'Player Raw Data'!$B:$B,0))),"")</f>
        <v/>
      </c>
      <c r="E990" t="str">
        <f t="array" ref="E990">IFERROR(INDEX('Day Range Raw Data'!D:D,Match($A990,'Day Range Raw Data'!$B:$B,0)),"")</f>
        <v/>
      </c>
      <c r="F990" t="str">
        <f t="array" ref="F990">IFERROR(INDEX('Day Range Raw Data'!F:F,Match($A990,'Day Range Raw Data'!$B:$B,0)),"")</f>
        <v/>
      </c>
      <c r="G990" t="str">
        <f t="array" ref="G990">IFERROR(INDEX('Day Range Raw Data'!G:G,Match($A990,'Day Range Raw Data'!$B:$B,0)),"")</f>
        <v/>
      </c>
      <c r="H990" t="str">
        <f t="array" ref="H990">IFERROR(INDEX('Day Range Raw Data'!H:H,Match($A990,'Day Range Raw Data'!$B:$B,0)),"")</f>
        <v/>
      </c>
      <c r="I990" t="str">
        <f t="array" ref="I990">IFERROR(INDEX('Day Range Raw Data'!M:M,Match($A990,'Day Range Raw Data'!$B:$B,0)),"")</f>
        <v/>
      </c>
      <c r="J990" t="str">
        <f t="array" ref="J990">IFERROR(INDEX('Day Range Raw Data'!N:N,Match($A990,'Day Range Raw Data'!$B:$B,0)),"")</f>
        <v/>
      </c>
      <c r="K990" t="str">
        <f t="array" ref="K990">IFERROR(INDEX('Day Range Raw Data'!R:R,Match($A990,'Day Range Raw Data'!$B:$B,0)),"")</f>
        <v/>
      </c>
      <c r="L990" t="str">
        <f t="array" ref="L990">IFERROR(INDEX('Day Range Raw Data'!S:S,Match($A990,'Day Range Raw Data'!$B:$B,0)),"")</f>
        <v/>
      </c>
      <c r="M990" t="str">
        <f t="array" ref="M990">IFERROR(INDEX('Day Range Raw Data'!T:T,Match($A990,'Day Range Raw Data'!$B:$B,0)),"")</f>
        <v/>
      </c>
      <c r="N990" t="str">
        <f t="array" ref="N990">IFERROR(INDEX('Day Range Raw Data'!U:U,Match($A990,'Day Range Raw Data'!$B:$B,0)),"")</f>
        <v/>
      </c>
      <c r="O990" t="str">
        <f t="array" ref="O990">IFERROR(INDEX('Day Range Raw Data'!V:V,Match($A990,'Day Range Raw Data'!$B:$B,0)),"")</f>
        <v/>
      </c>
      <c r="P990" t="str">
        <f t="array" ref="P990">IFERROR(INDEX('Day Range Raw Data'!X:X,Match($A990,'Day Range Raw Data'!$B:$B,0)),"")</f>
        <v/>
      </c>
      <c r="Q990" t="str">
        <f t="shared" si="1"/>
        <v/>
      </c>
      <c r="R990" s="9" t="str">
        <f t="shared" si="2"/>
        <v/>
      </c>
      <c r="S990" s="14" t="str">
        <f t="shared" si="3"/>
        <v/>
      </c>
      <c r="T990" s="15" t="str">
        <f>IFERROR(__xludf.DUMMYFUNCTION("IF($A990="""","""",IFERROR(PERCENTRANK.INC(FILTER(Q:Q,$F:$F&lt;&gt;""""),Q990)*100,""""))"),"")</f>
        <v/>
      </c>
      <c r="U990" s="15" t="str">
        <f>IFERROR(__xludf.DUMMYFUNCTION("IF($A990="""","""",IFERROR(PERCENTRANK.INC(FILTER(R:R,$F:$F&lt;&gt;""""),R990)*100,""""))"),"")</f>
        <v/>
      </c>
      <c r="V990" s="15" t="str">
        <f>IFERROR(__xludf.DUMMYFUNCTION("IF($A990="""","""",IFERROR(PERCENTRANK.INC(FILTER(S:S,$F:$F&lt;&gt;""""),S990)*100,""""))"),"")</f>
        <v/>
      </c>
      <c r="W990" s="15" t="str">
        <f t="shared" si="5"/>
        <v/>
      </c>
    </row>
    <row r="991">
      <c r="B991" t="str">
        <f t="array" ref="B991">IFERROR(INDEX('Player Raw Data'!C:C,Match($A991,'Player Raw Data'!$B:$B,0)),"")</f>
        <v/>
      </c>
      <c r="C991" t="str">
        <f t="array" ref="C991">IFERROR(INDEX('Player Raw Data'!D:D,Match($A991,'Player Raw Data'!$B:$B,0)),"")</f>
        <v/>
      </c>
      <c r="D991" t="str">
        <f t="array" ref="D991">IFERROR(IF(A991=A990, INDEX('Player Raw Data'!E:E,Match($A991,'Player Raw Data'!$B:$B,0)+2),INDEX('Player Raw Data'!E:E,Match($A991,'Player Raw Data'!$B:$B,0))),"")</f>
        <v/>
      </c>
      <c r="E991" t="str">
        <f t="array" ref="E991">IFERROR(INDEX('Day Range Raw Data'!D:D,Match($A991,'Day Range Raw Data'!$B:$B,0)),"")</f>
        <v/>
      </c>
      <c r="F991" t="str">
        <f t="array" ref="F991">IFERROR(INDEX('Day Range Raw Data'!F:F,Match($A991,'Day Range Raw Data'!$B:$B,0)),"")</f>
        <v/>
      </c>
      <c r="G991" t="str">
        <f t="array" ref="G991">IFERROR(INDEX('Day Range Raw Data'!G:G,Match($A991,'Day Range Raw Data'!$B:$B,0)),"")</f>
        <v/>
      </c>
      <c r="H991" t="str">
        <f t="array" ref="H991">IFERROR(INDEX('Day Range Raw Data'!H:H,Match($A991,'Day Range Raw Data'!$B:$B,0)),"")</f>
        <v/>
      </c>
      <c r="I991" t="str">
        <f t="array" ref="I991">IFERROR(INDEX('Day Range Raw Data'!M:M,Match($A991,'Day Range Raw Data'!$B:$B,0)),"")</f>
        <v/>
      </c>
      <c r="J991" t="str">
        <f t="array" ref="J991">IFERROR(INDEX('Day Range Raw Data'!N:N,Match($A991,'Day Range Raw Data'!$B:$B,0)),"")</f>
        <v/>
      </c>
      <c r="K991" t="str">
        <f t="array" ref="K991">IFERROR(INDEX('Day Range Raw Data'!R:R,Match($A991,'Day Range Raw Data'!$B:$B,0)),"")</f>
        <v/>
      </c>
      <c r="L991" t="str">
        <f t="array" ref="L991">IFERROR(INDEX('Day Range Raw Data'!S:S,Match($A991,'Day Range Raw Data'!$B:$B,0)),"")</f>
        <v/>
      </c>
      <c r="M991" t="str">
        <f t="array" ref="M991">IFERROR(INDEX('Day Range Raw Data'!T:T,Match($A991,'Day Range Raw Data'!$B:$B,0)),"")</f>
        <v/>
      </c>
      <c r="N991" t="str">
        <f t="array" ref="N991">IFERROR(INDEX('Day Range Raw Data'!U:U,Match($A991,'Day Range Raw Data'!$B:$B,0)),"")</f>
        <v/>
      </c>
      <c r="O991" t="str">
        <f t="array" ref="O991">IFERROR(INDEX('Day Range Raw Data'!V:V,Match($A991,'Day Range Raw Data'!$B:$B,0)),"")</f>
        <v/>
      </c>
      <c r="P991" t="str">
        <f t="array" ref="P991">IFERROR(INDEX('Day Range Raw Data'!X:X,Match($A991,'Day Range Raw Data'!$B:$B,0)),"")</f>
        <v/>
      </c>
      <c r="Q991" t="str">
        <f t="shared" si="1"/>
        <v/>
      </c>
      <c r="R991" s="9" t="str">
        <f t="shared" si="2"/>
        <v/>
      </c>
      <c r="S991" s="14" t="str">
        <f t="shared" si="3"/>
        <v/>
      </c>
      <c r="T991" s="15" t="str">
        <f>IFERROR(__xludf.DUMMYFUNCTION("IF($A991="""","""",IFERROR(PERCENTRANK.INC(FILTER(Q:Q,$F:$F&lt;&gt;""""),Q991)*100,""""))"),"")</f>
        <v/>
      </c>
      <c r="U991" s="15" t="str">
        <f>IFERROR(__xludf.DUMMYFUNCTION("IF($A991="""","""",IFERROR(PERCENTRANK.INC(FILTER(R:R,$F:$F&lt;&gt;""""),R991)*100,""""))"),"")</f>
        <v/>
      </c>
      <c r="V991" s="15" t="str">
        <f>IFERROR(__xludf.DUMMYFUNCTION("IF($A991="""","""",IFERROR(PERCENTRANK.INC(FILTER(S:S,$F:$F&lt;&gt;""""),S991)*100,""""))"),"")</f>
        <v/>
      </c>
      <c r="W991" s="15" t="str">
        <f t="shared" si="5"/>
        <v/>
      </c>
    </row>
    <row r="992">
      <c r="B992" t="str">
        <f t="array" ref="B992">IFERROR(INDEX('Player Raw Data'!C:C,Match($A992,'Player Raw Data'!$B:$B,0)),"")</f>
        <v/>
      </c>
      <c r="C992" t="str">
        <f t="array" ref="C992">IFERROR(INDEX('Player Raw Data'!D:D,Match($A992,'Player Raw Data'!$B:$B,0)),"")</f>
        <v/>
      </c>
      <c r="D992" t="str">
        <f t="array" ref="D992">IFERROR(IF(A992=A991, INDEX('Player Raw Data'!E:E,Match($A992,'Player Raw Data'!$B:$B,0)+2),INDEX('Player Raw Data'!E:E,Match($A992,'Player Raw Data'!$B:$B,0))),"")</f>
        <v/>
      </c>
      <c r="E992" t="str">
        <f t="array" ref="E992">IFERROR(INDEX('Day Range Raw Data'!D:D,Match($A992,'Day Range Raw Data'!$B:$B,0)),"")</f>
        <v/>
      </c>
      <c r="F992" t="str">
        <f t="array" ref="F992">IFERROR(INDEX('Day Range Raw Data'!F:F,Match($A992,'Day Range Raw Data'!$B:$B,0)),"")</f>
        <v/>
      </c>
      <c r="G992" t="str">
        <f t="array" ref="G992">IFERROR(INDEX('Day Range Raw Data'!G:G,Match($A992,'Day Range Raw Data'!$B:$B,0)),"")</f>
        <v/>
      </c>
      <c r="H992" t="str">
        <f t="array" ref="H992">IFERROR(INDEX('Day Range Raw Data'!H:H,Match($A992,'Day Range Raw Data'!$B:$B,0)),"")</f>
        <v/>
      </c>
      <c r="I992" t="str">
        <f t="array" ref="I992">IFERROR(INDEX('Day Range Raw Data'!M:M,Match($A992,'Day Range Raw Data'!$B:$B,0)),"")</f>
        <v/>
      </c>
      <c r="J992" t="str">
        <f t="array" ref="J992">IFERROR(INDEX('Day Range Raw Data'!N:N,Match($A992,'Day Range Raw Data'!$B:$B,0)),"")</f>
        <v/>
      </c>
      <c r="K992" t="str">
        <f t="array" ref="K992">IFERROR(INDEX('Day Range Raw Data'!R:R,Match($A992,'Day Range Raw Data'!$B:$B,0)),"")</f>
        <v/>
      </c>
      <c r="L992" t="str">
        <f t="array" ref="L992">IFERROR(INDEX('Day Range Raw Data'!S:S,Match($A992,'Day Range Raw Data'!$B:$B,0)),"")</f>
        <v/>
      </c>
      <c r="M992" t="str">
        <f t="array" ref="M992">IFERROR(INDEX('Day Range Raw Data'!T:T,Match($A992,'Day Range Raw Data'!$B:$B,0)),"")</f>
        <v/>
      </c>
      <c r="N992" t="str">
        <f t="array" ref="N992">IFERROR(INDEX('Day Range Raw Data'!U:U,Match($A992,'Day Range Raw Data'!$B:$B,0)),"")</f>
        <v/>
      </c>
      <c r="O992" t="str">
        <f t="array" ref="O992">IFERROR(INDEX('Day Range Raw Data'!V:V,Match($A992,'Day Range Raw Data'!$B:$B,0)),"")</f>
        <v/>
      </c>
      <c r="P992" t="str">
        <f t="array" ref="P992">IFERROR(INDEX('Day Range Raw Data'!X:X,Match($A992,'Day Range Raw Data'!$B:$B,0)),"")</f>
        <v/>
      </c>
      <c r="Q992" t="str">
        <f t="shared" si="1"/>
        <v/>
      </c>
      <c r="R992" s="9" t="str">
        <f t="shared" si="2"/>
        <v/>
      </c>
      <c r="S992" s="14" t="str">
        <f t="shared" si="3"/>
        <v/>
      </c>
      <c r="T992" s="15" t="str">
        <f>IFERROR(__xludf.DUMMYFUNCTION("IF($A992="""","""",IFERROR(PERCENTRANK.INC(FILTER(Q:Q,$F:$F&lt;&gt;""""),Q992)*100,""""))"),"")</f>
        <v/>
      </c>
      <c r="U992" s="15" t="str">
        <f>IFERROR(__xludf.DUMMYFUNCTION("IF($A992="""","""",IFERROR(PERCENTRANK.INC(FILTER(R:R,$F:$F&lt;&gt;""""),R992)*100,""""))"),"")</f>
        <v/>
      </c>
      <c r="V992" s="15" t="str">
        <f>IFERROR(__xludf.DUMMYFUNCTION("IF($A992="""","""",IFERROR(PERCENTRANK.INC(FILTER(S:S,$F:$F&lt;&gt;""""),S992)*100,""""))"),"")</f>
        <v/>
      </c>
      <c r="W992" s="15" t="str">
        <f t="shared" si="5"/>
        <v/>
      </c>
    </row>
    <row r="993">
      <c r="B993" t="str">
        <f t="array" ref="B993">IFERROR(INDEX('Player Raw Data'!C:C,Match($A993,'Player Raw Data'!$B:$B,0)),"")</f>
        <v/>
      </c>
      <c r="C993" t="str">
        <f t="array" ref="C993">IFERROR(INDEX('Player Raw Data'!D:D,Match($A993,'Player Raw Data'!$B:$B,0)),"")</f>
        <v/>
      </c>
      <c r="D993" t="str">
        <f t="array" ref="D993">IFERROR(IF(A993=A992, INDEX('Player Raw Data'!E:E,Match($A993,'Player Raw Data'!$B:$B,0)+2),INDEX('Player Raw Data'!E:E,Match($A993,'Player Raw Data'!$B:$B,0))),"")</f>
        <v/>
      </c>
      <c r="E993" t="str">
        <f t="array" ref="E993">IFERROR(INDEX('Day Range Raw Data'!D:D,Match($A993,'Day Range Raw Data'!$B:$B,0)),"")</f>
        <v/>
      </c>
      <c r="F993" t="str">
        <f t="array" ref="F993">IFERROR(INDEX('Day Range Raw Data'!F:F,Match($A993,'Day Range Raw Data'!$B:$B,0)),"")</f>
        <v/>
      </c>
      <c r="G993" t="str">
        <f t="array" ref="G993">IFERROR(INDEX('Day Range Raw Data'!G:G,Match($A993,'Day Range Raw Data'!$B:$B,0)),"")</f>
        <v/>
      </c>
      <c r="H993" t="str">
        <f t="array" ref="H993">IFERROR(INDEX('Day Range Raw Data'!H:H,Match($A993,'Day Range Raw Data'!$B:$B,0)),"")</f>
        <v/>
      </c>
      <c r="I993" t="str">
        <f t="array" ref="I993">IFERROR(INDEX('Day Range Raw Data'!M:M,Match($A993,'Day Range Raw Data'!$B:$B,0)),"")</f>
        <v/>
      </c>
      <c r="J993" t="str">
        <f t="array" ref="J993">IFERROR(INDEX('Day Range Raw Data'!N:N,Match($A993,'Day Range Raw Data'!$B:$B,0)),"")</f>
        <v/>
      </c>
      <c r="K993" t="str">
        <f t="array" ref="K993">IFERROR(INDEX('Day Range Raw Data'!R:R,Match($A993,'Day Range Raw Data'!$B:$B,0)),"")</f>
        <v/>
      </c>
      <c r="L993" t="str">
        <f t="array" ref="L993">IFERROR(INDEX('Day Range Raw Data'!S:S,Match($A993,'Day Range Raw Data'!$B:$B,0)),"")</f>
        <v/>
      </c>
      <c r="M993" t="str">
        <f t="array" ref="M993">IFERROR(INDEX('Day Range Raw Data'!T:T,Match($A993,'Day Range Raw Data'!$B:$B,0)),"")</f>
        <v/>
      </c>
      <c r="N993" t="str">
        <f t="array" ref="N993">IFERROR(INDEX('Day Range Raw Data'!U:U,Match($A993,'Day Range Raw Data'!$B:$B,0)),"")</f>
        <v/>
      </c>
      <c r="O993" t="str">
        <f t="array" ref="O993">IFERROR(INDEX('Day Range Raw Data'!V:V,Match($A993,'Day Range Raw Data'!$B:$B,0)),"")</f>
        <v/>
      </c>
      <c r="P993" t="str">
        <f t="array" ref="P993">IFERROR(INDEX('Day Range Raw Data'!X:X,Match($A993,'Day Range Raw Data'!$B:$B,0)),"")</f>
        <v/>
      </c>
      <c r="Q993" t="str">
        <f t="shared" si="1"/>
        <v/>
      </c>
      <c r="R993" s="9" t="str">
        <f t="shared" si="2"/>
        <v/>
      </c>
      <c r="S993" s="14" t="str">
        <f t="shared" si="3"/>
        <v/>
      </c>
      <c r="T993" s="15" t="str">
        <f>IFERROR(__xludf.DUMMYFUNCTION("IF($A993="""","""",IFERROR(PERCENTRANK.INC(FILTER(Q:Q,$F:$F&lt;&gt;""""),Q993)*100,""""))"),"")</f>
        <v/>
      </c>
      <c r="U993" s="15" t="str">
        <f>IFERROR(__xludf.DUMMYFUNCTION("IF($A993="""","""",IFERROR(PERCENTRANK.INC(FILTER(R:R,$F:$F&lt;&gt;""""),R993)*100,""""))"),"")</f>
        <v/>
      </c>
      <c r="V993" s="15" t="str">
        <f>IFERROR(__xludf.DUMMYFUNCTION("IF($A993="""","""",IFERROR(PERCENTRANK.INC(FILTER(S:S,$F:$F&lt;&gt;""""),S993)*100,""""))"),"")</f>
        <v/>
      </c>
      <c r="W993" s="15" t="str">
        <f t="shared" si="5"/>
        <v/>
      </c>
    </row>
    <row r="994">
      <c r="B994" t="str">
        <f t="array" ref="B994">IFERROR(INDEX('Player Raw Data'!C:C,Match($A994,'Player Raw Data'!$B:$B,0)),"")</f>
        <v/>
      </c>
      <c r="C994" t="str">
        <f t="array" ref="C994">IFERROR(INDEX('Player Raw Data'!D:D,Match($A994,'Player Raw Data'!$B:$B,0)),"")</f>
        <v/>
      </c>
      <c r="D994" t="str">
        <f t="array" ref="D994">IFERROR(IF(A994=A993, INDEX('Player Raw Data'!E:E,Match($A994,'Player Raw Data'!$B:$B,0)+2),INDEX('Player Raw Data'!E:E,Match($A994,'Player Raw Data'!$B:$B,0))),"")</f>
        <v/>
      </c>
      <c r="E994" t="str">
        <f t="array" ref="E994">IFERROR(INDEX('Day Range Raw Data'!D:D,Match($A994,'Day Range Raw Data'!$B:$B,0)),"")</f>
        <v/>
      </c>
      <c r="F994" t="str">
        <f t="array" ref="F994">IFERROR(INDEX('Day Range Raw Data'!F:F,Match($A994,'Day Range Raw Data'!$B:$B,0)),"")</f>
        <v/>
      </c>
      <c r="G994" t="str">
        <f t="array" ref="G994">IFERROR(INDEX('Day Range Raw Data'!G:G,Match($A994,'Day Range Raw Data'!$B:$B,0)),"")</f>
        <v/>
      </c>
      <c r="H994" t="str">
        <f t="array" ref="H994">IFERROR(INDEX('Day Range Raw Data'!H:H,Match($A994,'Day Range Raw Data'!$B:$B,0)),"")</f>
        <v/>
      </c>
      <c r="I994" t="str">
        <f t="array" ref="I994">IFERROR(INDEX('Day Range Raw Data'!M:M,Match($A994,'Day Range Raw Data'!$B:$B,0)),"")</f>
        <v/>
      </c>
      <c r="J994" t="str">
        <f t="array" ref="J994">IFERROR(INDEX('Day Range Raw Data'!N:N,Match($A994,'Day Range Raw Data'!$B:$B,0)),"")</f>
        <v/>
      </c>
      <c r="K994" t="str">
        <f t="array" ref="K994">IFERROR(INDEX('Day Range Raw Data'!R:R,Match($A994,'Day Range Raw Data'!$B:$B,0)),"")</f>
        <v/>
      </c>
      <c r="L994" t="str">
        <f t="array" ref="L994">IFERROR(INDEX('Day Range Raw Data'!S:S,Match($A994,'Day Range Raw Data'!$B:$B,0)),"")</f>
        <v/>
      </c>
      <c r="M994" t="str">
        <f t="array" ref="M994">IFERROR(INDEX('Day Range Raw Data'!T:T,Match($A994,'Day Range Raw Data'!$B:$B,0)),"")</f>
        <v/>
      </c>
      <c r="N994" t="str">
        <f t="array" ref="N994">IFERROR(INDEX('Day Range Raw Data'!U:U,Match($A994,'Day Range Raw Data'!$B:$B,0)),"")</f>
        <v/>
      </c>
      <c r="O994" t="str">
        <f t="array" ref="O994">IFERROR(INDEX('Day Range Raw Data'!V:V,Match($A994,'Day Range Raw Data'!$B:$B,0)),"")</f>
        <v/>
      </c>
      <c r="P994" t="str">
        <f t="array" ref="P994">IFERROR(INDEX('Day Range Raw Data'!X:X,Match($A994,'Day Range Raw Data'!$B:$B,0)),"")</f>
        <v/>
      </c>
      <c r="Q994" t="str">
        <f t="shared" si="1"/>
        <v/>
      </c>
      <c r="R994" s="9" t="str">
        <f t="shared" si="2"/>
        <v/>
      </c>
      <c r="S994" s="14" t="str">
        <f t="shared" si="3"/>
        <v/>
      </c>
      <c r="T994" s="15" t="str">
        <f>IFERROR(__xludf.DUMMYFUNCTION("IF($A994="""","""",IFERROR(PERCENTRANK.INC(FILTER(Q:Q,$F:$F&lt;&gt;""""),Q994)*100,""""))"),"")</f>
        <v/>
      </c>
      <c r="U994" s="15" t="str">
        <f>IFERROR(__xludf.DUMMYFUNCTION("IF($A994="""","""",IFERROR(PERCENTRANK.INC(FILTER(R:R,$F:$F&lt;&gt;""""),R994)*100,""""))"),"")</f>
        <v/>
      </c>
      <c r="V994" s="15" t="str">
        <f>IFERROR(__xludf.DUMMYFUNCTION("IF($A994="""","""",IFERROR(PERCENTRANK.INC(FILTER(S:S,$F:$F&lt;&gt;""""),S994)*100,""""))"),"")</f>
        <v/>
      </c>
      <c r="W994" s="15" t="str">
        <f t="shared" si="5"/>
        <v/>
      </c>
    </row>
    <row r="995">
      <c r="B995" t="str">
        <f t="array" ref="B995">IFERROR(INDEX('Player Raw Data'!C:C,Match($A995,'Player Raw Data'!$B:$B,0)),"")</f>
        <v/>
      </c>
      <c r="C995" t="str">
        <f t="array" ref="C995">IFERROR(INDEX('Player Raw Data'!D:D,Match($A995,'Player Raw Data'!$B:$B,0)),"")</f>
        <v/>
      </c>
      <c r="D995" t="str">
        <f t="array" ref="D995">IFERROR(IF(A995=A994, INDEX('Player Raw Data'!E:E,Match($A995,'Player Raw Data'!$B:$B,0)+2),INDEX('Player Raw Data'!E:E,Match($A995,'Player Raw Data'!$B:$B,0))),"")</f>
        <v/>
      </c>
      <c r="E995" t="str">
        <f t="array" ref="E995">IFERROR(INDEX('Day Range Raw Data'!D:D,Match($A995,'Day Range Raw Data'!$B:$B,0)),"")</f>
        <v/>
      </c>
      <c r="F995" t="str">
        <f t="array" ref="F995">IFERROR(INDEX('Day Range Raw Data'!F:F,Match($A995,'Day Range Raw Data'!$B:$B,0)),"")</f>
        <v/>
      </c>
      <c r="G995" t="str">
        <f t="array" ref="G995">IFERROR(INDEX('Day Range Raw Data'!G:G,Match($A995,'Day Range Raw Data'!$B:$B,0)),"")</f>
        <v/>
      </c>
      <c r="H995" t="str">
        <f t="array" ref="H995">IFERROR(INDEX('Day Range Raw Data'!H:H,Match($A995,'Day Range Raw Data'!$B:$B,0)),"")</f>
        <v/>
      </c>
      <c r="I995" t="str">
        <f t="array" ref="I995">IFERROR(INDEX('Day Range Raw Data'!M:M,Match($A995,'Day Range Raw Data'!$B:$B,0)),"")</f>
        <v/>
      </c>
      <c r="J995" t="str">
        <f t="array" ref="J995">IFERROR(INDEX('Day Range Raw Data'!N:N,Match($A995,'Day Range Raw Data'!$B:$B,0)),"")</f>
        <v/>
      </c>
      <c r="K995" t="str">
        <f t="array" ref="K995">IFERROR(INDEX('Day Range Raw Data'!R:R,Match($A995,'Day Range Raw Data'!$B:$B,0)),"")</f>
        <v/>
      </c>
      <c r="L995" t="str">
        <f t="array" ref="L995">IFERROR(INDEX('Day Range Raw Data'!S:S,Match($A995,'Day Range Raw Data'!$B:$B,0)),"")</f>
        <v/>
      </c>
      <c r="M995" t="str">
        <f t="array" ref="M995">IFERROR(INDEX('Day Range Raw Data'!T:T,Match($A995,'Day Range Raw Data'!$B:$B,0)),"")</f>
        <v/>
      </c>
      <c r="N995" t="str">
        <f t="array" ref="N995">IFERROR(INDEX('Day Range Raw Data'!U:U,Match($A995,'Day Range Raw Data'!$B:$B,0)),"")</f>
        <v/>
      </c>
      <c r="O995" t="str">
        <f t="array" ref="O995">IFERROR(INDEX('Day Range Raw Data'!V:V,Match($A995,'Day Range Raw Data'!$B:$B,0)),"")</f>
        <v/>
      </c>
      <c r="P995" t="str">
        <f t="array" ref="P995">IFERROR(INDEX('Day Range Raw Data'!X:X,Match($A995,'Day Range Raw Data'!$B:$B,0)),"")</f>
        <v/>
      </c>
      <c r="Q995" t="str">
        <f t="shared" si="1"/>
        <v/>
      </c>
      <c r="R995" s="9" t="str">
        <f t="shared" si="2"/>
        <v/>
      </c>
      <c r="S995" s="14" t="str">
        <f t="shared" si="3"/>
        <v/>
      </c>
      <c r="T995" s="15" t="str">
        <f>IFERROR(__xludf.DUMMYFUNCTION("IF($A995="""","""",IFERROR(PERCENTRANK.INC(FILTER(Q:Q,$F:$F&lt;&gt;""""),Q995)*100,""""))"),"")</f>
        <v/>
      </c>
      <c r="U995" s="15" t="str">
        <f>IFERROR(__xludf.DUMMYFUNCTION("IF($A995="""","""",IFERROR(PERCENTRANK.INC(FILTER(R:R,$F:$F&lt;&gt;""""),R995)*100,""""))"),"")</f>
        <v/>
      </c>
      <c r="V995" s="15" t="str">
        <f>IFERROR(__xludf.DUMMYFUNCTION("IF($A995="""","""",IFERROR(PERCENTRANK.INC(FILTER(S:S,$F:$F&lt;&gt;""""),S995)*100,""""))"),"")</f>
        <v/>
      </c>
      <c r="W995" s="15" t="str">
        <f t="shared" si="5"/>
        <v/>
      </c>
    </row>
    <row r="996">
      <c r="B996" t="str">
        <f t="array" ref="B996">IFERROR(INDEX('Player Raw Data'!C:C,Match($A996,'Player Raw Data'!$B:$B,0)),"")</f>
        <v/>
      </c>
      <c r="C996" t="str">
        <f t="array" ref="C996">IFERROR(INDEX('Player Raw Data'!D:D,Match($A996,'Player Raw Data'!$B:$B,0)),"")</f>
        <v/>
      </c>
      <c r="D996" t="str">
        <f t="array" ref="D996">IFERROR(IF(A996=A995, INDEX('Player Raw Data'!E:E,Match($A996,'Player Raw Data'!$B:$B,0)+2),INDEX('Player Raw Data'!E:E,Match($A996,'Player Raw Data'!$B:$B,0))),"")</f>
        <v/>
      </c>
      <c r="E996" t="str">
        <f t="array" ref="E996">IFERROR(INDEX('Day Range Raw Data'!D:D,Match($A996,'Day Range Raw Data'!$B:$B,0)),"")</f>
        <v/>
      </c>
      <c r="F996" t="str">
        <f t="array" ref="F996">IFERROR(INDEX('Day Range Raw Data'!F:F,Match($A996,'Day Range Raw Data'!$B:$B,0)),"")</f>
        <v/>
      </c>
      <c r="G996" t="str">
        <f t="array" ref="G996">IFERROR(INDEX('Day Range Raw Data'!G:G,Match($A996,'Day Range Raw Data'!$B:$B,0)),"")</f>
        <v/>
      </c>
      <c r="H996" t="str">
        <f t="array" ref="H996">IFERROR(INDEX('Day Range Raw Data'!H:H,Match($A996,'Day Range Raw Data'!$B:$B,0)),"")</f>
        <v/>
      </c>
      <c r="I996" t="str">
        <f t="array" ref="I996">IFERROR(INDEX('Day Range Raw Data'!M:M,Match($A996,'Day Range Raw Data'!$B:$B,0)),"")</f>
        <v/>
      </c>
      <c r="J996" t="str">
        <f t="array" ref="J996">IFERROR(INDEX('Day Range Raw Data'!N:N,Match($A996,'Day Range Raw Data'!$B:$B,0)),"")</f>
        <v/>
      </c>
      <c r="K996" t="str">
        <f t="array" ref="K996">IFERROR(INDEX('Day Range Raw Data'!R:R,Match($A996,'Day Range Raw Data'!$B:$B,0)),"")</f>
        <v/>
      </c>
      <c r="L996" t="str">
        <f t="array" ref="L996">IFERROR(INDEX('Day Range Raw Data'!S:S,Match($A996,'Day Range Raw Data'!$B:$B,0)),"")</f>
        <v/>
      </c>
      <c r="M996" t="str">
        <f t="array" ref="M996">IFERROR(INDEX('Day Range Raw Data'!T:T,Match($A996,'Day Range Raw Data'!$B:$B,0)),"")</f>
        <v/>
      </c>
      <c r="N996" t="str">
        <f t="array" ref="N996">IFERROR(INDEX('Day Range Raw Data'!U:U,Match($A996,'Day Range Raw Data'!$B:$B,0)),"")</f>
        <v/>
      </c>
      <c r="O996" t="str">
        <f t="array" ref="O996">IFERROR(INDEX('Day Range Raw Data'!V:V,Match($A996,'Day Range Raw Data'!$B:$B,0)),"")</f>
        <v/>
      </c>
      <c r="P996" t="str">
        <f t="array" ref="P996">IFERROR(INDEX('Day Range Raw Data'!X:X,Match($A996,'Day Range Raw Data'!$B:$B,0)),"")</f>
        <v/>
      </c>
      <c r="Q996" t="str">
        <f t="shared" si="1"/>
        <v/>
      </c>
      <c r="R996" s="9" t="str">
        <f t="shared" si="2"/>
        <v/>
      </c>
      <c r="S996" s="14" t="str">
        <f t="shared" si="3"/>
        <v/>
      </c>
      <c r="T996" s="15" t="str">
        <f>IFERROR(__xludf.DUMMYFUNCTION("IF($A996="""","""",IFERROR(PERCENTRANK.INC(FILTER(Q:Q,$F:$F&lt;&gt;""""),Q996)*100,""""))"),"")</f>
        <v/>
      </c>
      <c r="U996" s="15" t="str">
        <f>IFERROR(__xludf.DUMMYFUNCTION("IF($A996="""","""",IFERROR(PERCENTRANK.INC(FILTER(R:R,$F:$F&lt;&gt;""""),R996)*100,""""))"),"")</f>
        <v/>
      </c>
      <c r="V996" s="15" t="str">
        <f>IFERROR(__xludf.DUMMYFUNCTION("IF($A996="""","""",IFERROR(PERCENTRANK.INC(FILTER(S:S,$F:$F&lt;&gt;""""),S996)*100,""""))"),"")</f>
        <v/>
      </c>
      <c r="W996" s="15" t="str">
        <f t="shared" si="5"/>
        <v/>
      </c>
    </row>
    <row r="997">
      <c r="B997" t="str">
        <f t="array" ref="B997">IFERROR(INDEX('Player Raw Data'!C:C,Match($A997,'Player Raw Data'!$B:$B,0)),"")</f>
        <v/>
      </c>
      <c r="C997" t="str">
        <f t="array" ref="C997">IFERROR(INDEX('Player Raw Data'!D:D,Match($A997,'Player Raw Data'!$B:$B,0)),"")</f>
        <v/>
      </c>
      <c r="D997" t="str">
        <f t="array" ref="D997">IFERROR(IF(A997=A996, INDEX('Player Raw Data'!E:E,Match($A997,'Player Raw Data'!$B:$B,0)+2),INDEX('Player Raw Data'!E:E,Match($A997,'Player Raw Data'!$B:$B,0))),"")</f>
        <v/>
      </c>
      <c r="E997" t="str">
        <f t="array" ref="E997">IFERROR(INDEX('Day Range Raw Data'!D:D,Match($A997,'Day Range Raw Data'!$B:$B,0)),"")</f>
        <v/>
      </c>
      <c r="F997" t="str">
        <f t="array" ref="F997">IFERROR(INDEX('Day Range Raw Data'!F:F,Match($A997,'Day Range Raw Data'!$B:$B,0)),"")</f>
        <v/>
      </c>
      <c r="G997" t="str">
        <f t="array" ref="G997">IFERROR(INDEX('Day Range Raw Data'!G:G,Match($A997,'Day Range Raw Data'!$B:$B,0)),"")</f>
        <v/>
      </c>
      <c r="H997" t="str">
        <f t="array" ref="H997">IFERROR(INDEX('Day Range Raw Data'!H:H,Match($A997,'Day Range Raw Data'!$B:$B,0)),"")</f>
        <v/>
      </c>
      <c r="I997" t="str">
        <f t="array" ref="I997">IFERROR(INDEX('Day Range Raw Data'!M:M,Match($A997,'Day Range Raw Data'!$B:$B,0)),"")</f>
        <v/>
      </c>
      <c r="J997" t="str">
        <f t="array" ref="J997">IFERROR(INDEX('Day Range Raw Data'!N:N,Match($A997,'Day Range Raw Data'!$B:$B,0)),"")</f>
        <v/>
      </c>
      <c r="K997" t="str">
        <f t="array" ref="K997">IFERROR(INDEX('Day Range Raw Data'!R:R,Match($A997,'Day Range Raw Data'!$B:$B,0)),"")</f>
        <v/>
      </c>
      <c r="L997" t="str">
        <f t="array" ref="L997">IFERROR(INDEX('Day Range Raw Data'!S:S,Match($A997,'Day Range Raw Data'!$B:$B,0)),"")</f>
        <v/>
      </c>
      <c r="M997" t="str">
        <f t="array" ref="M997">IFERROR(INDEX('Day Range Raw Data'!T:T,Match($A997,'Day Range Raw Data'!$B:$B,0)),"")</f>
        <v/>
      </c>
      <c r="N997" t="str">
        <f t="array" ref="N997">IFERROR(INDEX('Day Range Raw Data'!U:U,Match($A997,'Day Range Raw Data'!$B:$B,0)),"")</f>
        <v/>
      </c>
      <c r="O997" t="str">
        <f t="array" ref="O997">IFERROR(INDEX('Day Range Raw Data'!V:V,Match($A997,'Day Range Raw Data'!$B:$B,0)),"")</f>
        <v/>
      </c>
      <c r="P997" t="str">
        <f t="array" ref="P997">IFERROR(INDEX('Day Range Raw Data'!X:X,Match($A997,'Day Range Raw Data'!$B:$B,0)),"")</f>
        <v/>
      </c>
      <c r="Q997" t="str">
        <f t="shared" si="1"/>
        <v/>
      </c>
      <c r="R997" s="9" t="str">
        <f t="shared" si="2"/>
        <v/>
      </c>
      <c r="S997" s="14" t="str">
        <f t="shared" si="3"/>
        <v/>
      </c>
      <c r="T997" s="15" t="str">
        <f>IFERROR(__xludf.DUMMYFUNCTION("IF($A997="""","""",IFERROR(PERCENTRANK.INC(FILTER(Q:Q,$F:$F&lt;&gt;""""),Q997)*100,""""))"),"")</f>
        <v/>
      </c>
      <c r="U997" s="15" t="str">
        <f>IFERROR(__xludf.DUMMYFUNCTION("IF($A997="""","""",IFERROR(PERCENTRANK.INC(FILTER(R:R,$F:$F&lt;&gt;""""),R997)*100,""""))"),"")</f>
        <v/>
      </c>
      <c r="V997" s="15" t="str">
        <f>IFERROR(__xludf.DUMMYFUNCTION("IF($A997="""","""",IFERROR(PERCENTRANK.INC(FILTER(S:S,$F:$F&lt;&gt;""""),S997)*100,""""))"),"")</f>
        <v/>
      </c>
      <c r="W997" s="15" t="str">
        <f t="shared" si="5"/>
        <v/>
      </c>
    </row>
    <row r="998">
      <c r="B998" t="str">
        <f t="array" ref="B998">IFERROR(INDEX('Player Raw Data'!C:C,Match($A998,'Player Raw Data'!$B:$B,0)),"")</f>
        <v/>
      </c>
      <c r="C998" t="str">
        <f t="array" ref="C998">IFERROR(INDEX('Player Raw Data'!D:D,Match($A998,'Player Raw Data'!$B:$B,0)),"")</f>
        <v/>
      </c>
      <c r="D998" t="str">
        <f t="array" ref="D998">IFERROR(IF(A998=A997, INDEX('Player Raw Data'!E:E,Match($A998,'Player Raw Data'!$B:$B,0)+2),INDEX('Player Raw Data'!E:E,Match($A998,'Player Raw Data'!$B:$B,0))),"")</f>
        <v/>
      </c>
      <c r="E998" t="str">
        <f t="array" ref="E998">IFERROR(INDEX('Day Range Raw Data'!D:D,Match($A998,'Day Range Raw Data'!$B:$B,0)),"")</f>
        <v/>
      </c>
      <c r="F998" t="str">
        <f t="array" ref="F998">IFERROR(INDEX('Day Range Raw Data'!F:F,Match($A998,'Day Range Raw Data'!$B:$B,0)),"")</f>
        <v/>
      </c>
      <c r="G998" t="str">
        <f t="array" ref="G998">IFERROR(INDEX('Day Range Raw Data'!G:G,Match($A998,'Day Range Raw Data'!$B:$B,0)),"")</f>
        <v/>
      </c>
      <c r="H998" t="str">
        <f t="array" ref="H998">IFERROR(INDEX('Day Range Raw Data'!H:H,Match($A998,'Day Range Raw Data'!$B:$B,0)),"")</f>
        <v/>
      </c>
      <c r="I998" t="str">
        <f t="array" ref="I998">IFERROR(INDEX('Day Range Raw Data'!M:M,Match($A998,'Day Range Raw Data'!$B:$B,0)),"")</f>
        <v/>
      </c>
      <c r="J998" t="str">
        <f t="array" ref="J998">IFERROR(INDEX('Day Range Raw Data'!N:N,Match($A998,'Day Range Raw Data'!$B:$B,0)),"")</f>
        <v/>
      </c>
      <c r="K998" t="str">
        <f t="array" ref="K998">IFERROR(INDEX('Day Range Raw Data'!R:R,Match($A998,'Day Range Raw Data'!$B:$B,0)),"")</f>
        <v/>
      </c>
      <c r="L998" t="str">
        <f t="array" ref="L998">IFERROR(INDEX('Day Range Raw Data'!S:S,Match($A998,'Day Range Raw Data'!$B:$B,0)),"")</f>
        <v/>
      </c>
      <c r="M998" t="str">
        <f t="array" ref="M998">IFERROR(INDEX('Day Range Raw Data'!T:T,Match($A998,'Day Range Raw Data'!$B:$B,0)),"")</f>
        <v/>
      </c>
      <c r="N998" t="str">
        <f t="array" ref="N998">IFERROR(INDEX('Day Range Raw Data'!U:U,Match($A998,'Day Range Raw Data'!$B:$B,0)),"")</f>
        <v/>
      </c>
      <c r="O998" t="str">
        <f t="array" ref="O998">IFERROR(INDEX('Day Range Raw Data'!V:V,Match($A998,'Day Range Raw Data'!$B:$B,0)),"")</f>
        <v/>
      </c>
      <c r="P998" t="str">
        <f t="array" ref="P998">IFERROR(INDEX('Day Range Raw Data'!X:X,Match($A998,'Day Range Raw Data'!$B:$B,0)),"")</f>
        <v/>
      </c>
      <c r="Q998" t="str">
        <f t="shared" si="1"/>
        <v/>
      </c>
      <c r="R998" s="9" t="str">
        <f t="shared" si="2"/>
        <v/>
      </c>
      <c r="S998" s="14" t="str">
        <f t="shared" si="3"/>
        <v/>
      </c>
      <c r="T998" s="15" t="str">
        <f>IFERROR(__xludf.DUMMYFUNCTION("IF($A998="""","""",IFERROR(PERCENTRANK.INC(FILTER(Q:Q,$F:$F&lt;&gt;""""),Q998)*100,""""))"),"")</f>
        <v/>
      </c>
      <c r="U998" s="15" t="str">
        <f>IFERROR(__xludf.DUMMYFUNCTION("IF($A998="""","""",IFERROR(PERCENTRANK.INC(FILTER(R:R,$F:$F&lt;&gt;""""),R998)*100,""""))"),"")</f>
        <v/>
      </c>
      <c r="V998" s="15" t="str">
        <f>IFERROR(__xludf.DUMMYFUNCTION("IF($A998="""","""",IFERROR(PERCENTRANK.INC(FILTER(S:S,$F:$F&lt;&gt;""""),S998)*100,""""))"),"")</f>
        <v/>
      </c>
      <c r="W998" s="15" t="str">
        <f t="shared" si="5"/>
        <v/>
      </c>
    </row>
    <row r="999">
      <c r="B999" t="str">
        <f t="array" ref="B999">IFERROR(INDEX('Player Raw Data'!C:C,Match($A999,'Player Raw Data'!$B:$B,0)),"")</f>
        <v/>
      </c>
      <c r="C999" t="str">
        <f t="array" ref="C999">IFERROR(INDEX('Player Raw Data'!D:D,Match($A999,'Player Raw Data'!$B:$B,0)),"")</f>
        <v/>
      </c>
      <c r="D999" t="str">
        <f t="array" ref="D999">IFERROR(IF(A999=A998, INDEX('Player Raw Data'!E:E,Match($A999,'Player Raw Data'!$B:$B,0)+2),INDEX('Player Raw Data'!E:E,Match($A999,'Player Raw Data'!$B:$B,0))),"")</f>
        <v/>
      </c>
      <c r="E999" t="str">
        <f t="array" ref="E999">IFERROR(INDEX('Day Range Raw Data'!D:D,Match($A999,'Day Range Raw Data'!$B:$B,0)),"")</f>
        <v/>
      </c>
      <c r="F999" t="str">
        <f t="array" ref="F999">IFERROR(INDEX('Day Range Raw Data'!F:F,Match($A999,'Day Range Raw Data'!$B:$B,0)),"")</f>
        <v/>
      </c>
      <c r="G999" t="str">
        <f t="array" ref="G999">IFERROR(INDEX('Day Range Raw Data'!G:G,Match($A999,'Day Range Raw Data'!$B:$B,0)),"")</f>
        <v/>
      </c>
      <c r="H999" t="str">
        <f t="array" ref="H999">IFERROR(INDEX('Day Range Raw Data'!H:H,Match($A999,'Day Range Raw Data'!$B:$B,0)),"")</f>
        <v/>
      </c>
      <c r="I999" t="str">
        <f t="array" ref="I999">IFERROR(INDEX('Day Range Raw Data'!M:M,Match($A999,'Day Range Raw Data'!$B:$B,0)),"")</f>
        <v/>
      </c>
      <c r="J999" t="str">
        <f t="array" ref="J999">IFERROR(INDEX('Day Range Raw Data'!N:N,Match($A999,'Day Range Raw Data'!$B:$B,0)),"")</f>
        <v/>
      </c>
      <c r="K999" t="str">
        <f t="array" ref="K999">IFERROR(INDEX('Day Range Raw Data'!R:R,Match($A999,'Day Range Raw Data'!$B:$B,0)),"")</f>
        <v/>
      </c>
      <c r="L999" t="str">
        <f t="array" ref="L999">IFERROR(INDEX('Day Range Raw Data'!S:S,Match($A999,'Day Range Raw Data'!$B:$B,0)),"")</f>
        <v/>
      </c>
      <c r="M999" t="str">
        <f t="array" ref="M999">IFERROR(INDEX('Day Range Raw Data'!T:T,Match($A999,'Day Range Raw Data'!$B:$B,0)),"")</f>
        <v/>
      </c>
      <c r="N999" t="str">
        <f t="array" ref="N999">IFERROR(INDEX('Day Range Raw Data'!U:U,Match($A999,'Day Range Raw Data'!$B:$B,0)),"")</f>
        <v/>
      </c>
      <c r="O999" t="str">
        <f t="array" ref="O999">IFERROR(INDEX('Day Range Raw Data'!V:V,Match($A999,'Day Range Raw Data'!$B:$B,0)),"")</f>
        <v/>
      </c>
      <c r="P999" t="str">
        <f t="array" ref="P999">IFERROR(INDEX('Day Range Raw Data'!X:X,Match($A999,'Day Range Raw Data'!$B:$B,0)),"")</f>
        <v/>
      </c>
      <c r="Q999" t="str">
        <f t="shared" si="1"/>
        <v/>
      </c>
      <c r="R999" s="9" t="str">
        <f t="shared" si="2"/>
        <v/>
      </c>
      <c r="S999" s="14" t="str">
        <f t="shared" si="3"/>
        <v/>
      </c>
      <c r="T999" s="15" t="str">
        <f>IFERROR(__xludf.DUMMYFUNCTION("IF($A999="""","""",IFERROR(PERCENTRANK.INC(FILTER(Q:Q,$F:$F&lt;&gt;""""),Q999)*100,""""))"),"")</f>
        <v/>
      </c>
      <c r="U999" s="15" t="str">
        <f>IFERROR(__xludf.DUMMYFUNCTION("IF($A999="""","""",IFERROR(PERCENTRANK.INC(FILTER(R:R,$F:$F&lt;&gt;""""),R999)*100,""""))"),"")</f>
        <v/>
      </c>
      <c r="V999" s="15" t="str">
        <f>IFERROR(__xludf.DUMMYFUNCTION("IF($A999="""","""",IFERROR(PERCENTRANK.INC(FILTER(S:S,$F:$F&lt;&gt;""""),S999)*100,""""))"),"")</f>
        <v/>
      </c>
      <c r="W999" s="15" t="str">
        <f t="shared" si="5"/>
        <v/>
      </c>
    </row>
    <row r="1000">
      <c r="B1000" t="str">
        <f t="array" ref="B1000">IFERROR(INDEX('Player Raw Data'!C:C,Match($A1000,'Player Raw Data'!$B:$B,0)),"")</f>
        <v/>
      </c>
      <c r="C1000" t="str">
        <f t="array" ref="C1000">IFERROR(INDEX('Player Raw Data'!D:D,Match($A1000,'Player Raw Data'!$B:$B,0)),"")</f>
        <v/>
      </c>
      <c r="D1000" t="str">
        <f t="array" ref="D1000">IFERROR(IF(A1000=A999, INDEX('Player Raw Data'!E:E,Match($A1000,'Player Raw Data'!$B:$B,0)+2),INDEX('Player Raw Data'!E:E,Match($A1000,'Player Raw Data'!$B:$B,0))),"")</f>
        <v/>
      </c>
      <c r="E1000" t="str">
        <f t="array" ref="E1000">IFERROR(INDEX('Day Range Raw Data'!D:D,Match($A1000,'Day Range Raw Data'!$B:$B,0)),"")</f>
        <v/>
      </c>
      <c r="F1000" t="str">
        <f t="array" ref="F1000">IFERROR(INDEX('Day Range Raw Data'!F:F,Match($A1000,'Day Range Raw Data'!$B:$B,0)),"")</f>
        <v/>
      </c>
      <c r="G1000" t="str">
        <f t="array" ref="G1000">IFERROR(INDEX('Day Range Raw Data'!G:G,Match($A1000,'Day Range Raw Data'!$B:$B,0)),"")</f>
        <v/>
      </c>
      <c r="H1000" t="str">
        <f t="array" ref="H1000">IFERROR(INDEX('Day Range Raw Data'!H:H,Match($A1000,'Day Range Raw Data'!$B:$B,0)),"")</f>
        <v/>
      </c>
      <c r="I1000" t="str">
        <f t="array" ref="I1000">IFERROR(INDEX('Day Range Raw Data'!M:M,Match($A1000,'Day Range Raw Data'!$B:$B,0)),"")</f>
        <v/>
      </c>
      <c r="J1000" t="str">
        <f t="array" ref="J1000">IFERROR(INDEX('Day Range Raw Data'!N:N,Match($A1000,'Day Range Raw Data'!$B:$B,0)),"")</f>
        <v/>
      </c>
      <c r="K1000" t="str">
        <f t="array" ref="K1000">IFERROR(INDEX('Day Range Raw Data'!R:R,Match($A1000,'Day Range Raw Data'!$B:$B,0)),"")</f>
        <v/>
      </c>
      <c r="L1000" t="str">
        <f t="array" ref="L1000">IFERROR(INDEX('Day Range Raw Data'!S:S,Match($A1000,'Day Range Raw Data'!$B:$B,0)),"")</f>
        <v/>
      </c>
      <c r="M1000" t="str">
        <f t="array" ref="M1000">IFERROR(INDEX('Day Range Raw Data'!T:T,Match($A1000,'Day Range Raw Data'!$B:$B,0)),"")</f>
        <v/>
      </c>
      <c r="N1000" t="str">
        <f t="array" ref="N1000">IFERROR(INDEX('Day Range Raw Data'!U:U,Match($A1000,'Day Range Raw Data'!$B:$B,0)),"")</f>
        <v/>
      </c>
      <c r="O1000" t="str">
        <f t="array" ref="O1000">IFERROR(INDEX('Day Range Raw Data'!V:V,Match($A1000,'Day Range Raw Data'!$B:$B,0)),"")</f>
        <v/>
      </c>
      <c r="P1000" t="str">
        <f t="array" ref="P1000">IFERROR(INDEX('Day Range Raw Data'!X:X,Match($A1000,'Day Range Raw Data'!$B:$B,0)),"")</f>
        <v/>
      </c>
      <c r="Q1000" t="str">
        <f t="shared" si="1"/>
        <v/>
      </c>
      <c r="R1000" s="9" t="str">
        <f t="shared" si="2"/>
        <v/>
      </c>
      <c r="S1000" s="14" t="str">
        <f t="shared" si="3"/>
        <v/>
      </c>
      <c r="T1000" s="15" t="str">
        <f>IFERROR(__xludf.DUMMYFUNCTION("IF($A1000="""","""",IFERROR(PERCENTRANK.INC(FILTER(Q:Q,$F:$F&lt;&gt;""""),Q1000)*100,""""))"),"")</f>
        <v/>
      </c>
      <c r="U1000" s="15" t="str">
        <f>IFERROR(__xludf.DUMMYFUNCTION("IF($A1000="""","""",IFERROR(PERCENTRANK.INC(FILTER(R:R,$F:$F&lt;&gt;""""),R1000)*100,""""))"),"")</f>
        <v/>
      </c>
      <c r="V1000" s="15" t="str">
        <f>IFERROR(__xludf.DUMMYFUNCTION("IF($A1000="""","""",IFERROR(PERCENTRANK.INC(FILTER(S:S,$F:$F&lt;&gt;""""),S1000)*100,""""))"),"")</f>
        <v/>
      </c>
      <c r="W1000" s="15" t="str">
        <f t="shared" si="5"/>
        <v/>
      </c>
    </row>
    <row r="1001">
      <c r="R1001" s="9"/>
      <c r="S1001" s="14"/>
      <c r="T1001" s="15"/>
      <c r="U1001" s="15"/>
      <c r="V1001" s="15"/>
      <c r="W1001" s="15"/>
    </row>
    <row r="1002">
      <c r="R1002" s="9"/>
      <c r="S1002" s="14"/>
      <c r="T1002" s="15"/>
      <c r="U1002" s="15"/>
      <c r="V1002" s="15"/>
      <c r="W1002" s="15"/>
    </row>
    <row r="1003">
      <c r="R1003" s="9"/>
      <c r="S1003" s="14"/>
      <c r="T1003" s="15"/>
      <c r="U1003" s="15"/>
      <c r="V1003" s="15"/>
      <c r="W1003" s="15"/>
    </row>
    <row r="1004">
      <c r="R1004" s="9"/>
      <c r="S1004" s="14"/>
      <c r="T1004" s="15"/>
      <c r="U1004" s="15"/>
      <c r="V1004" s="15"/>
      <c r="W1004" s="15"/>
    </row>
    <row r="1005">
      <c r="R1005" s="9"/>
      <c r="S1005" s="14"/>
      <c r="T1005" s="15"/>
      <c r="U1005" s="15"/>
      <c r="V1005" s="15"/>
      <c r="W1005" s="15"/>
    </row>
    <row r="1006">
      <c r="R1006" s="9"/>
      <c r="S1006" s="14"/>
      <c r="T1006" s="15"/>
      <c r="U1006" s="15"/>
      <c r="V1006" s="15"/>
      <c r="W1006" s="15"/>
    </row>
    <row r="1007">
      <c r="R1007" s="9"/>
      <c r="S1007" s="14"/>
      <c r="T1007" s="15"/>
      <c r="U1007" s="15"/>
      <c r="V1007" s="15"/>
      <c r="W1007" s="15"/>
    </row>
    <row r="1008">
      <c r="R1008" s="9"/>
      <c r="S1008" s="14"/>
      <c r="T1008" s="15"/>
      <c r="U1008" s="15"/>
      <c r="V1008" s="15"/>
      <c r="W1008" s="15"/>
    </row>
    <row r="1009">
      <c r="R1009" s="9"/>
      <c r="S1009" s="14"/>
      <c r="T1009" s="15"/>
      <c r="U1009" s="15"/>
      <c r="V1009" s="15"/>
      <c r="W1009" s="15"/>
    </row>
    <row r="1010">
      <c r="R1010" s="9"/>
      <c r="S1010" s="14"/>
      <c r="T1010" s="15"/>
      <c r="U1010" s="15"/>
      <c r="V1010" s="15"/>
      <c r="W1010" s="15"/>
    </row>
    <row r="1011">
      <c r="R1011" s="9"/>
      <c r="S1011" s="14"/>
      <c r="T1011" s="15"/>
      <c r="U1011" s="15"/>
      <c r="V1011" s="15"/>
      <c r="W1011" s="15"/>
    </row>
    <row r="1012">
      <c r="R1012" s="9"/>
      <c r="S1012" s="14"/>
      <c r="T1012" s="15"/>
      <c r="U1012" s="15"/>
      <c r="V1012" s="15"/>
      <c r="W1012" s="15"/>
    </row>
    <row r="1013">
      <c r="R1013" s="9"/>
      <c r="S1013" s="14"/>
      <c r="T1013" s="15"/>
      <c r="U1013" s="15"/>
      <c r="V1013" s="15"/>
      <c r="W1013" s="15"/>
    </row>
    <row r="1014">
      <c r="R1014" s="9"/>
      <c r="S1014" s="14"/>
      <c r="T1014" s="15"/>
      <c r="U1014" s="15"/>
      <c r="V1014" s="15"/>
      <c r="W1014" s="15"/>
    </row>
    <row r="1015">
      <c r="R1015" s="9"/>
      <c r="S1015" s="14"/>
      <c r="T1015" s="15"/>
      <c r="U1015" s="15"/>
      <c r="V1015" s="15"/>
      <c r="W1015" s="15"/>
    </row>
    <row r="1016">
      <c r="R1016" s="9"/>
      <c r="S1016" s="14"/>
      <c r="T1016" s="15"/>
      <c r="U1016" s="15"/>
      <c r="V1016" s="15"/>
      <c r="W1016" s="15"/>
    </row>
    <row r="1017">
      <c r="R1017" s="9"/>
      <c r="S1017" s="14"/>
      <c r="T1017" s="15"/>
      <c r="U1017" s="15"/>
      <c r="V1017" s="15"/>
      <c r="W1017" s="15"/>
    </row>
    <row r="1018">
      <c r="R1018" s="9"/>
      <c r="S1018" s="14"/>
      <c r="T1018" s="15"/>
      <c r="U1018" s="15"/>
      <c r="V1018" s="15"/>
      <c r="W1018" s="15"/>
    </row>
    <row r="1019">
      <c r="R1019" s="9"/>
      <c r="S1019" s="14"/>
      <c r="T1019" s="15"/>
      <c r="U1019" s="15"/>
      <c r="V1019" s="15"/>
      <c r="W1019" s="15"/>
    </row>
    <row r="1020">
      <c r="R1020" s="9"/>
      <c r="S1020" s="14"/>
      <c r="T1020" s="15"/>
      <c r="U1020" s="15"/>
      <c r="V1020" s="15"/>
      <c r="W1020" s="15"/>
    </row>
    <row r="1021">
      <c r="R1021" s="9"/>
      <c r="S1021" s="14"/>
      <c r="T1021" s="15"/>
      <c r="U1021" s="15"/>
      <c r="V1021" s="15"/>
      <c r="W1021" s="15"/>
    </row>
    <row r="1022">
      <c r="R1022" s="9"/>
      <c r="S1022" s="14"/>
      <c r="T1022" s="15"/>
      <c r="U1022" s="15"/>
      <c r="V1022" s="15"/>
      <c r="W1022" s="15"/>
    </row>
    <row r="1023">
      <c r="R1023" s="9"/>
      <c r="S1023" s="14"/>
      <c r="T1023" s="15"/>
      <c r="U1023" s="15"/>
      <c r="V1023" s="15"/>
      <c r="W1023" s="15"/>
    </row>
    <row r="1024">
      <c r="R1024" s="9"/>
      <c r="S1024" s="14"/>
      <c r="T1024" s="15"/>
      <c r="U1024" s="15"/>
      <c r="V1024" s="15"/>
      <c r="W1024" s="15"/>
    </row>
    <row r="1025">
      <c r="R1025" s="9"/>
      <c r="S1025" s="14"/>
      <c r="T1025" s="15"/>
      <c r="U1025" s="15"/>
      <c r="V1025" s="15"/>
      <c r="W1025" s="15"/>
    </row>
    <row r="1026">
      <c r="R1026" s="9"/>
      <c r="S1026" s="14"/>
      <c r="T1026" s="15"/>
      <c r="U1026" s="15"/>
      <c r="V1026" s="15"/>
      <c r="W1026" s="15"/>
    </row>
    <row r="1027">
      <c r="R1027" s="9"/>
      <c r="S1027" s="14"/>
      <c r="T1027" s="15"/>
      <c r="U1027" s="15"/>
      <c r="V1027" s="15"/>
      <c r="W1027" s="15"/>
    </row>
    <row r="1028">
      <c r="R1028" s="9"/>
      <c r="S1028" s="14"/>
      <c r="T1028" s="15"/>
      <c r="U1028" s="15"/>
      <c r="V1028" s="15"/>
      <c r="W1028" s="15"/>
    </row>
    <row r="1029">
      <c r="R1029" s="9"/>
      <c r="S1029" s="14"/>
      <c r="T1029" s="15"/>
      <c r="U1029" s="15"/>
      <c r="V1029" s="15"/>
      <c r="W1029" s="15"/>
    </row>
    <row r="1030">
      <c r="R1030" s="9"/>
      <c r="S1030" s="14"/>
      <c r="T1030" s="15"/>
      <c r="U1030" s="15"/>
      <c r="V1030" s="15"/>
      <c r="W1030" s="15"/>
    </row>
    <row r="1031">
      <c r="R1031" s="9"/>
      <c r="S1031" s="14"/>
      <c r="T1031" s="15"/>
      <c r="U1031" s="15"/>
      <c r="V1031" s="15"/>
      <c r="W1031" s="15"/>
    </row>
    <row r="1032">
      <c r="R1032" s="9"/>
      <c r="S1032" s="14"/>
      <c r="T1032" s="15"/>
      <c r="U1032" s="15"/>
      <c r="V1032" s="15"/>
      <c r="W1032" s="15"/>
    </row>
    <row r="1033">
      <c r="R1033" s="9"/>
      <c r="S1033" s="14"/>
      <c r="T1033" s="15"/>
      <c r="U1033" s="15"/>
      <c r="V1033" s="15"/>
      <c r="W1033" s="15"/>
    </row>
    <row r="1034">
      <c r="R1034" s="9"/>
      <c r="S1034" s="14"/>
      <c r="T1034" s="15"/>
      <c r="U1034" s="15"/>
      <c r="V1034" s="15"/>
      <c r="W1034" s="15"/>
    </row>
    <row r="1035">
      <c r="R1035" s="9"/>
      <c r="S1035" s="14"/>
      <c r="T1035" s="15"/>
      <c r="U1035" s="15"/>
      <c r="V1035" s="15"/>
      <c r="W1035" s="15"/>
    </row>
    <row r="1036">
      <c r="R1036" s="9"/>
      <c r="S1036" s="14"/>
      <c r="T1036" s="15"/>
      <c r="U1036" s="15"/>
      <c r="V1036" s="15"/>
      <c r="W1036" s="15"/>
    </row>
    <row r="1037">
      <c r="R1037" s="9"/>
      <c r="S1037" s="14"/>
      <c r="T1037" s="15"/>
      <c r="U1037" s="15"/>
      <c r="V1037" s="15"/>
      <c r="W1037" s="15"/>
    </row>
    <row r="1038">
      <c r="R1038" s="9"/>
      <c r="S1038" s="14"/>
      <c r="T1038" s="15"/>
      <c r="U1038" s="15"/>
      <c r="V1038" s="15"/>
      <c r="W1038" s="15"/>
    </row>
    <row r="1039">
      <c r="R1039" s="9"/>
      <c r="S1039" s="14"/>
      <c r="T1039" s="15"/>
      <c r="U1039" s="15"/>
      <c r="V1039" s="15"/>
      <c r="W1039" s="15"/>
    </row>
    <row r="1040">
      <c r="R1040" s="9"/>
      <c r="S1040" s="14"/>
      <c r="T1040" s="15"/>
      <c r="U1040" s="15"/>
      <c r="V1040" s="15"/>
      <c r="W1040" s="15"/>
    </row>
    <row r="1041">
      <c r="R1041" s="9"/>
      <c r="S1041" s="14"/>
      <c r="T1041" s="15"/>
      <c r="U1041" s="15"/>
      <c r="V1041" s="15"/>
      <c r="W1041" s="15"/>
    </row>
    <row r="1042">
      <c r="R1042" s="9"/>
      <c r="S1042" s="14"/>
      <c r="T1042" s="15"/>
      <c r="U1042" s="15"/>
      <c r="V1042" s="15"/>
      <c r="W1042" s="15"/>
    </row>
    <row r="1043">
      <c r="R1043" s="9"/>
      <c r="S1043" s="14"/>
      <c r="T1043" s="15"/>
      <c r="U1043" s="15"/>
      <c r="V1043" s="15"/>
      <c r="W1043" s="15"/>
    </row>
    <row r="1044">
      <c r="R1044" s="9"/>
      <c r="S1044" s="14"/>
      <c r="T1044" s="15"/>
      <c r="U1044" s="15"/>
      <c r="V1044" s="15"/>
      <c r="W1044" s="15"/>
    </row>
    <row r="1045">
      <c r="R1045" s="9"/>
      <c r="S1045" s="14"/>
      <c r="T1045" s="15"/>
      <c r="U1045" s="15"/>
      <c r="V1045" s="15"/>
      <c r="W1045" s="15"/>
    </row>
    <row r="1046">
      <c r="R1046" s="9"/>
      <c r="S1046" s="14"/>
      <c r="T1046" s="15"/>
      <c r="U1046" s="15"/>
      <c r="V1046" s="15"/>
      <c r="W1046" s="15"/>
    </row>
    <row r="1047">
      <c r="R1047" s="9"/>
      <c r="S1047" s="14"/>
      <c r="T1047" s="15"/>
      <c r="U1047" s="15"/>
      <c r="V1047" s="15"/>
      <c r="W1047" s="15"/>
    </row>
    <row r="1048">
      <c r="R1048" s="9"/>
      <c r="S1048" s="14"/>
      <c r="T1048" s="15"/>
      <c r="U1048" s="15"/>
      <c r="V1048" s="15"/>
      <c r="W1048" s="15"/>
    </row>
    <row r="1049">
      <c r="R1049" s="9"/>
      <c r="S1049" s="14"/>
      <c r="T1049" s="15"/>
      <c r="U1049" s="15"/>
      <c r="V1049" s="15"/>
      <c r="W1049" s="15"/>
    </row>
    <row r="1050">
      <c r="R1050" s="9"/>
      <c r="S1050" s="14"/>
      <c r="T1050" s="15"/>
      <c r="U1050" s="15"/>
      <c r="V1050" s="15"/>
      <c r="W1050" s="15"/>
    </row>
    <row r="1051">
      <c r="R1051" s="9"/>
      <c r="S1051" s="14"/>
      <c r="T1051" s="15"/>
      <c r="U1051" s="15"/>
      <c r="V1051" s="15"/>
      <c r="W1051" s="15"/>
    </row>
    <row r="1052">
      <c r="R1052" s="9"/>
      <c r="S1052" s="14"/>
      <c r="T1052" s="15"/>
      <c r="U1052" s="15"/>
      <c r="V1052" s="15"/>
      <c r="W1052" s="15"/>
    </row>
    <row r="1053">
      <c r="R1053" s="9"/>
      <c r="S1053" s="14"/>
      <c r="T1053" s="15"/>
      <c r="U1053" s="15"/>
      <c r="V1053" s="15"/>
      <c r="W1053" s="15"/>
    </row>
    <row r="1054">
      <c r="R1054" s="9"/>
      <c r="S1054" s="14"/>
      <c r="T1054" s="15"/>
      <c r="U1054" s="15"/>
      <c r="V1054" s="15"/>
      <c r="W1054" s="15"/>
    </row>
    <row r="1055">
      <c r="R1055" s="9"/>
      <c r="S1055" s="14"/>
      <c r="T1055" s="15"/>
      <c r="U1055" s="15"/>
      <c r="V1055" s="15"/>
      <c r="W1055" s="15"/>
    </row>
    <row r="1056">
      <c r="R1056" s="9"/>
      <c r="S1056" s="14"/>
      <c r="T1056" s="15"/>
      <c r="U1056" s="15"/>
      <c r="V1056" s="15"/>
      <c r="W1056" s="15"/>
    </row>
    <row r="1057">
      <c r="R1057" s="9"/>
      <c r="S1057" s="14"/>
      <c r="T1057" s="15"/>
      <c r="U1057" s="15"/>
      <c r="V1057" s="15"/>
      <c r="W1057" s="15"/>
    </row>
    <row r="1058">
      <c r="R1058" s="9"/>
      <c r="S1058" s="14"/>
      <c r="T1058" s="15"/>
      <c r="U1058" s="15"/>
      <c r="V1058" s="15"/>
      <c r="W1058" s="15"/>
    </row>
    <row r="1059">
      <c r="R1059" s="9"/>
      <c r="S1059" s="14"/>
      <c r="T1059" s="15"/>
      <c r="U1059" s="15"/>
      <c r="V1059" s="15"/>
      <c r="W1059" s="15"/>
    </row>
    <row r="1060">
      <c r="R1060" s="9"/>
      <c r="S1060" s="14"/>
      <c r="T1060" s="15"/>
      <c r="U1060" s="15"/>
      <c r="V1060" s="15"/>
      <c r="W1060" s="15"/>
    </row>
    <row r="1061">
      <c r="R1061" s="9"/>
      <c r="S1061" s="14"/>
      <c r="T1061" s="15"/>
      <c r="U1061" s="15"/>
      <c r="V1061" s="15"/>
      <c r="W1061" s="15"/>
    </row>
    <row r="1062">
      <c r="R1062" s="9"/>
      <c r="S1062" s="14"/>
      <c r="T1062" s="15"/>
      <c r="U1062" s="15"/>
      <c r="V1062" s="15"/>
      <c r="W1062" s="15"/>
    </row>
    <row r="1063">
      <c r="R1063" s="9"/>
      <c r="S1063" s="14"/>
      <c r="T1063" s="15"/>
      <c r="U1063" s="15"/>
      <c r="V1063" s="15"/>
      <c r="W1063" s="15"/>
    </row>
    <row r="1064">
      <c r="R1064" s="9"/>
      <c r="S1064" s="14"/>
      <c r="T1064" s="15"/>
      <c r="U1064" s="15"/>
      <c r="V1064" s="15"/>
      <c r="W1064" s="15"/>
    </row>
    <row r="1065">
      <c r="R1065" s="9"/>
      <c r="S1065" s="14"/>
      <c r="T1065" s="15"/>
      <c r="U1065" s="15"/>
      <c r="V1065" s="15"/>
      <c r="W1065" s="15"/>
    </row>
    <row r="1066">
      <c r="R1066" s="9"/>
      <c r="S1066" s="14"/>
      <c r="T1066" s="15"/>
      <c r="U1066" s="15"/>
      <c r="V1066" s="15"/>
      <c r="W1066" s="15"/>
    </row>
    <row r="1067">
      <c r="R1067" s="9"/>
      <c r="S1067" s="14"/>
      <c r="T1067" s="15"/>
      <c r="U1067" s="15"/>
      <c r="V1067" s="15"/>
      <c r="W1067" s="15"/>
    </row>
    <row r="1068">
      <c r="R1068" s="9"/>
      <c r="S1068" s="14"/>
      <c r="T1068" s="15"/>
      <c r="U1068" s="15"/>
      <c r="V1068" s="15"/>
      <c r="W1068" s="15"/>
    </row>
    <row r="1069">
      <c r="R1069" s="9"/>
      <c r="S1069" s="14"/>
      <c r="T1069" s="15"/>
      <c r="U1069" s="15"/>
      <c r="V1069" s="15"/>
      <c r="W1069" s="15"/>
    </row>
    <row r="1070">
      <c r="R1070" s="9"/>
      <c r="S1070" s="14"/>
      <c r="T1070" s="15"/>
      <c r="U1070" s="15"/>
      <c r="V1070" s="15"/>
      <c r="W1070" s="15"/>
    </row>
    <row r="1071">
      <c r="R1071" s="9"/>
      <c r="S1071" s="14"/>
      <c r="T1071" s="15"/>
      <c r="U1071" s="15"/>
      <c r="V1071" s="15"/>
      <c r="W1071" s="15"/>
    </row>
    <row r="1072">
      <c r="R1072" s="9"/>
      <c r="S1072" s="14"/>
      <c r="T1072" s="15"/>
      <c r="U1072" s="15"/>
      <c r="V1072" s="15"/>
      <c r="W1072" s="15"/>
    </row>
    <row r="1073">
      <c r="R1073" s="9"/>
      <c r="S1073" s="14"/>
      <c r="T1073" s="15"/>
      <c r="U1073" s="15"/>
      <c r="V1073" s="15"/>
      <c r="W1073" s="15"/>
    </row>
    <row r="1074">
      <c r="R1074" s="9"/>
      <c r="S1074" s="14"/>
      <c r="T1074" s="15"/>
      <c r="U1074" s="15"/>
      <c r="V1074" s="15"/>
      <c r="W1074" s="15"/>
    </row>
    <row r="1075">
      <c r="R1075" s="9"/>
      <c r="S1075" s="14"/>
      <c r="T1075" s="15"/>
      <c r="U1075" s="15"/>
      <c r="V1075" s="15"/>
      <c r="W1075" s="15"/>
    </row>
    <row r="1076">
      <c r="R1076" s="9"/>
      <c r="S1076" s="14"/>
      <c r="T1076" s="15"/>
      <c r="U1076" s="15"/>
      <c r="V1076" s="15"/>
      <c r="W1076" s="15"/>
    </row>
    <row r="1077">
      <c r="R1077" s="9"/>
      <c r="S1077" s="14"/>
      <c r="T1077" s="15"/>
      <c r="U1077" s="15"/>
      <c r="V1077" s="15"/>
      <c r="W1077" s="15"/>
    </row>
    <row r="1078">
      <c r="R1078" s="9"/>
      <c r="S1078" s="14"/>
      <c r="T1078" s="15"/>
      <c r="U1078" s="15"/>
      <c r="V1078" s="15"/>
      <c r="W1078" s="15"/>
    </row>
    <row r="1079">
      <c r="R1079" s="9"/>
      <c r="S1079" s="14"/>
      <c r="T1079" s="15"/>
      <c r="U1079" s="15"/>
      <c r="V1079" s="15"/>
      <c r="W1079" s="15"/>
    </row>
    <row r="1080">
      <c r="R1080" s="9"/>
      <c r="S1080" s="14"/>
      <c r="T1080" s="15"/>
      <c r="U1080" s="15"/>
      <c r="V1080" s="15"/>
      <c r="W1080" s="15"/>
    </row>
    <row r="1081">
      <c r="R1081" s="9"/>
      <c r="S1081" s="14"/>
      <c r="T1081" s="15"/>
      <c r="U1081" s="15"/>
      <c r="V1081" s="15"/>
      <c r="W1081" s="15"/>
    </row>
    <row r="1082">
      <c r="R1082" s="9"/>
      <c r="S1082" s="14"/>
      <c r="T1082" s="15"/>
      <c r="U1082" s="15"/>
      <c r="V1082" s="15"/>
      <c r="W1082" s="15"/>
    </row>
    <row r="1083">
      <c r="R1083" s="9"/>
      <c r="S1083" s="14"/>
      <c r="T1083" s="15"/>
      <c r="U1083" s="15"/>
      <c r="V1083" s="15"/>
      <c r="W1083" s="15"/>
    </row>
    <row r="1084">
      <c r="R1084" s="9"/>
      <c r="S1084" s="14"/>
      <c r="T1084" s="15"/>
      <c r="U1084" s="15"/>
      <c r="V1084" s="15"/>
      <c r="W1084" s="15"/>
    </row>
    <row r="1085">
      <c r="R1085" s="9"/>
      <c r="S1085" s="14"/>
      <c r="T1085" s="15"/>
      <c r="U1085" s="15"/>
      <c r="V1085" s="15"/>
      <c r="W1085" s="15"/>
    </row>
    <row r="1086">
      <c r="R1086" s="9"/>
      <c r="S1086" s="14"/>
      <c r="T1086" s="15"/>
      <c r="U1086" s="15"/>
      <c r="V1086" s="15"/>
      <c r="W1086" s="15"/>
    </row>
    <row r="1087">
      <c r="R1087" s="9"/>
      <c r="S1087" s="14"/>
      <c r="T1087" s="15"/>
      <c r="U1087" s="15"/>
      <c r="V1087" s="15"/>
      <c r="W1087" s="15"/>
    </row>
    <row r="1088">
      <c r="R1088" s="9"/>
      <c r="S1088" s="14"/>
      <c r="T1088" s="15"/>
      <c r="U1088" s="15"/>
      <c r="V1088" s="15"/>
      <c r="W1088" s="15"/>
    </row>
    <row r="1089">
      <c r="R1089" s="9"/>
      <c r="S1089" s="14"/>
      <c r="T1089" s="15"/>
      <c r="U1089" s="15"/>
      <c r="V1089" s="15"/>
      <c r="W1089" s="15"/>
    </row>
    <row r="1090">
      <c r="R1090" s="9"/>
      <c r="S1090" s="14"/>
      <c r="T1090" s="15"/>
      <c r="U1090" s="15"/>
      <c r="V1090" s="15"/>
      <c r="W1090" s="15"/>
    </row>
    <row r="1091">
      <c r="R1091" s="9"/>
      <c r="S1091" s="14"/>
      <c r="T1091" s="15"/>
      <c r="U1091" s="15"/>
      <c r="V1091" s="15"/>
      <c r="W1091" s="15"/>
    </row>
    <row r="1092">
      <c r="R1092" s="9"/>
      <c r="S1092" s="14"/>
      <c r="T1092" s="15"/>
      <c r="U1092" s="15"/>
      <c r="V1092" s="15"/>
      <c r="W1092" s="15"/>
    </row>
    <row r="1093">
      <c r="R1093" s="9"/>
      <c r="S1093" s="14"/>
      <c r="T1093" s="15"/>
      <c r="U1093" s="15"/>
      <c r="V1093" s="15"/>
      <c r="W1093" s="15"/>
    </row>
    <row r="1094">
      <c r="R1094" s="9"/>
      <c r="S1094" s="14"/>
      <c r="T1094" s="15"/>
      <c r="U1094" s="15"/>
      <c r="V1094" s="15"/>
      <c r="W1094" s="15"/>
    </row>
    <row r="1095">
      <c r="R1095" s="9"/>
      <c r="S1095" s="14"/>
      <c r="T1095" s="15"/>
      <c r="U1095" s="15"/>
      <c r="V1095" s="15"/>
      <c r="W1095" s="15"/>
    </row>
    <row r="1096">
      <c r="R1096" s="9"/>
      <c r="S1096" s="14"/>
      <c r="T1096" s="15"/>
      <c r="U1096" s="15"/>
      <c r="V1096" s="15"/>
      <c r="W1096" s="15"/>
    </row>
    <row r="1097">
      <c r="R1097" s="9"/>
      <c r="S1097" s="14"/>
      <c r="T1097" s="15"/>
      <c r="U1097" s="15"/>
      <c r="V1097" s="15"/>
      <c r="W1097" s="15"/>
    </row>
    <row r="1098">
      <c r="R1098" s="9"/>
      <c r="S1098" s="14"/>
      <c r="T1098" s="15"/>
      <c r="U1098" s="15"/>
      <c r="V1098" s="15"/>
      <c r="W1098" s="15"/>
    </row>
    <row r="1099">
      <c r="R1099" s="9"/>
      <c r="S1099" s="14"/>
      <c r="T1099" s="15"/>
      <c r="U1099" s="15"/>
      <c r="V1099" s="15"/>
      <c r="W1099" s="15"/>
    </row>
    <row r="1100">
      <c r="R1100" s="9"/>
      <c r="S1100" s="14"/>
      <c r="T1100" s="15"/>
      <c r="U1100" s="15"/>
      <c r="V1100" s="15"/>
      <c r="W1100" s="15"/>
    </row>
    <row r="1101">
      <c r="R1101" s="9"/>
      <c r="S1101" s="14"/>
      <c r="T1101" s="15"/>
      <c r="U1101" s="15"/>
      <c r="V1101" s="15"/>
      <c r="W1101" s="15"/>
    </row>
    <row r="1102">
      <c r="R1102" s="9"/>
      <c r="S1102" s="14"/>
      <c r="T1102" s="15"/>
      <c r="U1102" s="15"/>
      <c r="V1102" s="15"/>
      <c r="W1102" s="15"/>
    </row>
    <row r="1103">
      <c r="R1103" s="9"/>
      <c r="S1103" s="14"/>
      <c r="T1103" s="15"/>
      <c r="U1103" s="15"/>
      <c r="V1103" s="15"/>
      <c r="W1103" s="15"/>
    </row>
    <row r="1104">
      <c r="R1104" s="9"/>
      <c r="S1104" s="14"/>
      <c r="T1104" s="15"/>
      <c r="U1104" s="15"/>
      <c r="V1104" s="15"/>
      <c r="W1104" s="15"/>
    </row>
    <row r="1105">
      <c r="R1105" s="9"/>
      <c r="S1105" s="14"/>
      <c r="T1105" s="15"/>
      <c r="U1105" s="15"/>
      <c r="V1105" s="15"/>
      <c r="W1105" s="15"/>
    </row>
    <row r="1106">
      <c r="R1106" s="9"/>
      <c r="S1106" s="14"/>
      <c r="T1106" s="15"/>
      <c r="U1106" s="15"/>
      <c r="V1106" s="15"/>
      <c r="W1106" s="15"/>
    </row>
    <row r="1107">
      <c r="R1107" s="9"/>
      <c r="S1107" s="14"/>
      <c r="T1107" s="15"/>
      <c r="U1107" s="15"/>
      <c r="V1107" s="15"/>
      <c r="W1107" s="15"/>
    </row>
    <row r="1108">
      <c r="R1108" s="9"/>
      <c r="S1108" s="14"/>
      <c r="T1108" s="15"/>
      <c r="U1108" s="15"/>
      <c r="V1108" s="15"/>
      <c r="W1108" s="15"/>
    </row>
    <row r="1109">
      <c r="R1109" s="9"/>
      <c r="S1109" s="14"/>
      <c r="T1109" s="15"/>
      <c r="U1109" s="15"/>
      <c r="V1109" s="15"/>
      <c r="W1109" s="15"/>
    </row>
    <row r="1110">
      <c r="R1110" s="9"/>
      <c r="S1110" s="14"/>
      <c r="T1110" s="15"/>
      <c r="U1110" s="15"/>
      <c r="V1110" s="15"/>
      <c r="W1110" s="15"/>
    </row>
    <row r="1111">
      <c r="R1111" s="9"/>
      <c r="S1111" s="14"/>
      <c r="T1111" s="15"/>
      <c r="U1111" s="15"/>
      <c r="V1111" s="15"/>
      <c r="W1111" s="15"/>
    </row>
    <row r="1112">
      <c r="R1112" s="9"/>
      <c r="S1112" s="14"/>
      <c r="T1112" s="15"/>
      <c r="U1112" s="15"/>
      <c r="V1112" s="15"/>
      <c r="W1112" s="15"/>
    </row>
    <row r="1113">
      <c r="R1113" s="9"/>
      <c r="S1113" s="14"/>
      <c r="T1113" s="15"/>
      <c r="U1113" s="15"/>
      <c r="V1113" s="15"/>
      <c r="W1113" s="15"/>
    </row>
    <row r="1114">
      <c r="R1114" s="9"/>
      <c r="S1114" s="14"/>
      <c r="T1114" s="15"/>
      <c r="U1114" s="15"/>
      <c r="V1114" s="15"/>
      <c r="W1114" s="15"/>
    </row>
    <row r="1115">
      <c r="R1115" s="9"/>
      <c r="S1115" s="14"/>
      <c r="T1115" s="15"/>
      <c r="U1115" s="15"/>
      <c r="V1115" s="15"/>
      <c r="W1115" s="15"/>
    </row>
    <row r="1116">
      <c r="R1116" s="9"/>
      <c r="S1116" s="14"/>
      <c r="T1116" s="15"/>
      <c r="U1116" s="15"/>
      <c r="V1116" s="15"/>
      <c r="W1116" s="15"/>
    </row>
    <row r="1117">
      <c r="R1117" s="9"/>
      <c r="S1117" s="14"/>
      <c r="T1117" s="15"/>
      <c r="U1117" s="15"/>
      <c r="V1117" s="15"/>
      <c r="W1117" s="15"/>
    </row>
    <row r="1118">
      <c r="R1118" s="9"/>
      <c r="S1118" s="14"/>
      <c r="T1118" s="15"/>
      <c r="U1118" s="15"/>
      <c r="V1118" s="15"/>
      <c r="W1118" s="15"/>
    </row>
    <row r="1119">
      <c r="R1119" s="9"/>
      <c r="S1119" s="14"/>
      <c r="T1119" s="15"/>
      <c r="U1119" s="15"/>
      <c r="V1119" s="15"/>
      <c r="W1119" s="15"/>
    </row>
    <row r="1120">
      <c r="R1120" s="9"/>
      <c r="S1120" s="14"/>
      <c r="T1120" s="15"/>
      <c r="U1120" s="15"/>
      <c r="V1120" s="15"/>
      <c r="W1120" s="15"/>
    </row>
    <row r="1121">
      <c r="R1121" s="9"/>
      <c r="S1121" s="14"/>
      <c r="T1121" s="15"/>
      <c r="U1121" s="15"/>
      <c r="V1121" s="15"/>
      <c r="W1121" s="15"/>
    </row>
    <row r="1122">
      <c r="R1122" s="9"/>
      <c r="S1122" s="14"/>
      <c r="T1122" s="15"/>
      <c r="U1122" s="15"/>
      <c r="V1122" s="15"/>
      <c r="W1122" s="15"/>
    </row>
    <row r="1123">
      <c r="R1123" s="9"/>
      <c r="S1123" s="14"/>
      <c r="T1123" s="15"/>
      <c r="U1123" s="15"/>
      <c r="V1123" s="15"/>
      <c r="W1123" s="15"/>
    </row>
    <row r="1124">
      <c r="R1124" s="9"/>
      <c r="S1124" s="14"/>
      <c r="T1124" s="15"/>
      <c r="U1124" s="15"/>
      <c r="V1124" s="15"/>
      <c r="W1124" s="15"/>
    </row>
    <row r="1125">
      <c r="R1125" s="9"/>
      <c r="S1125" s="14"/>
      <c r="T1125" s="15"/>
      <c r="U1125" s="15"/>
      <c r="V1125" s="15"/>
      <c r="W1125" s="15"/>
    </row>
    <row r="1126">
      <c r="R1126" s="9"/>
      <c r="S1126" s="14"/>
      <c r="T1126" s="15"/>
      <c r="U1126" s="15"/>
      <c r="V1126" s="15"/>
      <c r="W1126" s="15"/>
    </row>
    <row r="1127">
      <c r="R1127" s="9"/>
      <c r="S1127" s="14"/>
      <c r="T1127" s="15"/>
      <c r="U1127" s="15"/>
      <c r="V1127" s="15"/>
      <c r="W1127" s="15"/>
    </row>
    <row r="1128">
      <c r="R1128" s="9"/>
      <c r="S1128" s="14"/>
      <c r="T1128" s="15"/>
      <c r="U1128" s="15"/>
      <c r="V1128" s="15"/>
      <c r="W1128" s="15"/>
    </row>
    <row r="1129">
      <c r="R1129" s="9"/>
      <c r="S1129" s="14"/>
      <c r="T1129" s="15"/>
      <c r="U1129" s="15"/>
      <c r="V1129" s="15"/>
      <c r="W1129" s="15"/>
    </row>
    <row r="1130">
      <c r="R1130" s="9"/>
      <c r="S1130" s="14"/>
      <c r="T1130" s="15"/>
      <c r="U1130" s="15"/>
      <c r="V1130" s="15"/>
      <c r="W1130" s="15"/>
    </row>
    <row r="1131">
      <c r="R1131" s="9"/>
      <c r="S1131" s="14"/>
      <c r="T1131" s="15"/>
      <c r="U1131" s="15"/>
      <c r="V1131" s="15"/>
      <c r="W1131" s="15"/>
    </row>
    <row r="1132">
      <c r="R1132" s="9"/>
      <c r="S1132" s="14"/>
      <c r="T1132" s="15"/>
      <c r="U1132" s="15"/>
      <c r="V1132" s="15"/>
      <c r="W1132" s="15"/>
    </row>
    <row r="1133">
      <c r="R1133" s="9"/>
      <c r="S1133" s="14"/>
      <c r="T1133" s="15"/>
      <c r="U1133" s="15"/>
      <c r="V1133" s="15"/>
      <c r="W1133" s="15"/>
    </row>
    <row r="1134">
      <c r="R1134" s="9"/>
      <c r="S1134" s="14"/>
      <c r="T1134" s="15"/>
      <c r="U1134" s="15"/>
      <c r="V1134" s="15"/>
      <c r="W1134" s="15"/>
    </row>
    <row r="1135">
      <c r="R1135" s="9"/>
      <c r="S1135" s="14"/>
      <c r="T1135" s="15"/>
      <c r="U1135" s="15"/>
      <c r="V1135" s="15"/>
      <c r="W1135" s="15"/>
    </row>
    <row r="1136">
      <c r="R1136" s="9"/>
      <c r="S1136" s="14"/>
      <c r="T1136" s="15"/>
      <c r="U1136" s="15"/>
      <c r="V1136" s="15"/>
      <c r="W1136" s="15"/>
    </row>
    <row r="1137">
      <c r="R1137" s="9"/>
      <c r="S1137" s="14"/>
      <c r="T1137" s="15"/>
      <c r="U1137" s="15"/>
      <c r="V1137" s="15"/>
      <c r="W1137" s="15"/>
    </row>
    <row r="1138">
      <c r="R1138" s="9"/>
      <c r="S1138" s="14"/>
      <c r="T1138" s="15"/>
      <c r="U1138" s="15"/>
      <c r="V1138" s="15"/>
      <c r="W1138" s="15"/>
    </row>
    <row r="1139">
      <c r="R1139" s="9"/>
      <c r="S1139" s="14"/>
      <c r="T1139" s="15"/>
      <c r="U1139" s="15"/>
      <c r="V1139" s="15"/>
      <c r="W1139" s="15"/>
    </row>
    <row r="1140">
      <c r="R1140" s="9"/>
      <c r="S1140" s="14"/>
      <c r="T1140" s="15"/>
      <c r="U1140" s="15"/>
      <c r="V1140" s="15"/>
      <c r="W1140" s="15"/>
    </row>
    <row r="1141">
      <c r="R1141" s="9"/>
      <c r="S1141" s="14"/>
      <c r="T1141" s="15"/>
      <c r="U1141" s="15"/>
      <c r="V1141" s="15"/>
      <c r="W1141" s="15"/>
    </row>
    <row r="1142">
      <c r="R1142" s="9"/>
      <c r="S1142" s="14"/>
      <c r="T1142" s="15"/>
      <c r="U1142" s="15"/>
      <c r="V1142" s="15"/>
      <c r="W1142" s="15"/>
    </row>
    <row r="1143">
      <c r="R1143" s="9"/>
      <c r="S1143" s="14"/>
      <c r="T1143" s="15"/>
      <c r="U1143" s="15"/>
      <c r="V1143" s="15"/>
      <c r="W1143" s="15"/>
    </row>
    <row r="1144">
      <c r="R1144" s="9"/>
      <c r="S1144" s="14"/>
      <c r="T1144" s="15"/>
      <c r="U1144" s="15"/>
      <c r="V1144" s="15"/>
      <c r="W1144" s="15"/>
    </row>
    <row r="1145">
      <c r="R1145" s="9"/>
      <c r="S1145" s="14"/>
      <c r="T1145" s="15"/>
      <c r="U1145" s="15"/>
      <c r="V1145" s="15"/>
      <c r="W1145" s="15"/>
    </row>
    <row r="1146">
      <c r="R1146" s="9"/>
      <c r="S1146" s="14"/>
      <c r="T1146" s="15"/>
      <c r="U1146" s="15"/>
      <c r="V1146" s="15"/>
      <c r="W1146" s="15"/>
    </row>
    <row r="1147">
      <c r="R1147" s="9"/>
      <c r="S1147" s="14"/>
      <c r="T1147" s="15"/>
      <c r="U1147" s="15"/>
      <c r="V1147" s="15"/>
      <c r="W1147" s="15"/>
    </row>
    <row r="1148">
      <c r="R1148" s="9"/>
      <c r="S1148" s="14"/>
      <c r="T1148" s="15"/>
      <c r="U1148" s="15"/>
      <c r="V1148" s="15"/>
      <c r="W1148" s="15"/>
    </row>
    <row r="1149">
      <c r="R1149" s="9"/>
      <c r="S1149" s="14"/>
      <c r="T1149" s="15"/>
      <c r="U1149" s="15"/>
      <c r="V1149" s="15"/>
      <c r="W1149" s="15"/>
    </row>
    <row r="1150">
      <c r="R1150" s="9"/>
      <c r="S1150" s="14"/>
      <c r="T1150" s="15"/>
      <c r="U1150" s="15"/>
      <c r="V1150" s="15"/>
      <c r="W1150" s="15"/>
    </row>
    <row r="1151">
      <c r="R1151" s="9"/>
      <c r="S1151" s="14"/>
      <c r="T1151" s="15"/>
      <c r="U1151" s="15"/>
      <c r="V1151" s="15"/>
      <c r="W1151" s="15"/>
    </row>
    <row r="1152">
      <c r="R1152" s="9"/>
      <c r="S1152" s="14"/>
      <c r="T1152" s="15"/>
      <c r="U1152" s="15"/>
      <c r="V1152" s="15"/>
      <c r="W1152" s="15"/>
    </row>
    <row r="1153">
      <c r="R1153" s="9"/>
      <c r="S1153" s="14"/>
      <c r="T1153" s="15"/>
      <c r="U1153" s="15"/>
      <c r="V1153" s="15"/>
      <c r="W1153" s="15"/>
    </row>
    <row r="1154">
      <c r="R1154" s="9"/>
      <c r="S1154" s="14"/>
      <c r="T1154" s="15"/>
      <c r="U1154" s="15"/>
      <c r="V1154" s="15"/>
      <c r="W1154" s="15"/>
    </row>
    <row r="1155">
      <c r="R1155" s="9"/>
      <c r="S1155" s="14"/>
      <c r="T1155" s="15"/>
      <c r="U1155" s="15"/>
      <c r="V1155" s="15"/>
      <c r="W1155" s="15"/>
    </row>
    <row r="1156">
      <c r="R1156" s="9"/>
      <c r="S1156" s="14"/>
      <c r="T1156" s="15"/>
      <c r="U1156" s="15"/>
      <c r="V1156" s="15"/>
      <c r="W1156" s="15"/>
    </row>
    <row r="1157">
      <c r="R1157" s="9"/>
      <c r="S1157" s="14"/>
      <c r="T1157" s="15"/>
      <c r="U1157" s="15"/>
      <c r="V1157" s="15"/>
      <c r="W1157" s="15"/>
    </row>
    <row r="1158">
      <c r="R1158" s="9"/>
      <c r="S1158" s="14"/>
      <c r="T1158" s="15"/>
      <c r="U1158" s="15"/>
      <c r="V1158" s="15"/>
      <c r="W1158" s="15"/>
    </row>
    <row r="1159">
      <c r="R1159" s="9"/>
      <c r="S1159" s="14"/>
      <c r="T1159" s="15"/>
      <c r="U1159" s="15"/>
      <c r="V1159" s="15"/>
      <c r="W1159" s="15"/>
    </row>
    <row r="1160">
      <c r="R1160" s="9"/>
      <c r="S1160" s="14"/>
      <c r="T1160" s="15"/>
      <c r="U1160" s="15"/>
      <c r="V1160" s="15"/>
      <c r="W1160" s="15"/>
    </row>
    <row r="1161">
      <c r="R1161" s="9"/>
      <c r="S1161" s="14"/>
      <c r="T1161" s="15"/>
      <c r="U1161" s="15"/>
      <c r="V1161" s="15"/>
      <c r="W1161" s="15"/>
    </row>
    <row r="1162">
      <c r="R1162" s="9"/>
      <c r="S1162" s="14"/>
      <c r="T1162" s="15"/>
      <c r="U1162" s="15"/>
      <c r="V1162" s="15"/>
      <c r="W1162" s="15"/>
    </row>
    <row r="1163">
      <c r="R1163" s="9"/>
      <c r="S1163" s="14"/>
      <c r="T1163" s="15"/>
      <c r="U1163" s="15"/>
      <c r="V1163" s="15"/>
      <c r="W1163" s="15"/>
    </row>
    <row r="1164">
      <c r="R1164" s="9"/>
      <c r="S1164" s="14"/>
      <c r="T1164" s="15"/>
      <c r="U1164" s="15"/>
      <c r="V1164" s="15"/>
      <c r="W1164" s="15"/>
    </row>
    <row r="1165">
      <c r="R1165" s="9"/>
      <c r="S1165" s="14"/>
      <c r="T1165" s="15"/>
      <c r="U1165" s="15"/>
      <c r="V1165" s="15"/>
      <c r="W1165" s="15"/>
    </row>
    <row r="1166">
      <c r="R1166" s="9"/>
      <c r="S1166" s="14"/>
      <c r="T1166" s="15"/>
      <c r="U1166" s="15"/>
      <c r="V1166" s="15"/>
      <c r="W1166" s="15"/>
    </row>
    <row r="1167">
      <c r="R1167" s="9"/>
      <c r="S1167" s="14"/>
      <c r="T1167" s="15"/>
      <c r="U1167" s="15"/>
      <c r="V1167" s="15"/>
      <c r="W1167" s="15"/>
    </row>
    <row r="1168">
      <c r="R1168" s="9"/>
      <c r="S1168" s="14"/>
      <c r="T1168" s="15"/>
      <c r="U1168" s="15"/>
      <c r="V1168" s="15"/>
      <c r="W1168" s="15"/>
    </row>
    <row r="1169">
      <c r="R1169" s="9"/>
      <c r="S1169" s="14"/>
      <c r="T1169" s="15"/>
      <c r="U1169" s="15"/>
      <c r="V1169" s="15"/>
      <c r="W1169" s="15"/>
    </row>
    <row r="1170">
      <c r="R1170" s="9"/>
      <c r="S1170" s="14"/>
      <c r="T1170" s="15"/>
      <c r="U1170" s="15"/>
      <c r="V1170" s="15"/>
      <c r="W1170" s="15"/>
    </row>
    <row r="1171">
      <c r="R1171" s="9"/>
      <c r="S1171" s="14"/>
      <c r="T1171" s="15"/>
      <c r="U1171" s="15"/>
      <c r="V1171" s="15"/>
      <c r="W1171" s="15"/>
    </row>
    <row r="1172">
      <c r="R1172" s="9"/>
      <c r="S1172" s="14"/>
      <c r="T1172" s="15"/>
      <c r="U1172" s="15"/>
      <c r="V1172" s="15"/>
      <c r="W1172" s="15"/>
    </row>
    <row r="1173">
      <c r="R1173" s="9"/>
      <c r="S1173" s="14"/>
      <c r="T1173" s="15"/>
      <c r="U1173" s="15"/>
      <c r="V1173" s="15"/>
      <c r="W1173" s="15"/>
    </row>
    <row r="1174">
      <c r="R1174" s="9"/>
      <c r="S1174" s="14"/>
      <c r="T1174" s="15"/>
      <c r="U1174" s="15"/>
      <c r="V1174" s="15"/>
      <c r="W1174" s="15"/>
    </row>
    <row r="1175">
      <c r="R1175" s="9"/>
      <c r="S1175" s="14"/>
      <c r="T1175" s="15"/>
      <c r="U1175" s="15"/>
      <c r="V1175" s="15"/>
      <c r="W1175" s="15"/>
    </row>
    <row r="1176">
      <c r="R1176" s="9"/>
      <c r="S1176" s="14"/>
      <c r="T1176" s="15"/>
      <c r="U1176" s="15"/>
      <c r="V1176" s="15"/>
      <c r="W1176" s="15"/>
    </row>
    <row r="1177">
      <c r="R1177" s="9"/>
      <c r="S1177" s="14"/>
      <c r="T1177" s="15"/>
      <c r="U1177" s="15"/>
      <c r="V1177" s="15"/>
      <c r="W1177" s="15"/>
    </row>
    <row r="1178">
      <c r="R1178" s="9"/>
      <c r="S1178" s="14"/>
      <c r="T1178" s="15"/>
      <c r="U1178" s="15"/>
      <c r="V1178" s="15"/>
      <c r="W1178" s="15"/>
    </row>
    <row r="1179">
      <c r="R1179" s="9"/>
      <c r="S1179" s="14"/>
      <c r="T1179" s="15"/>
      <c r="U1179" s="15"/>
      <c r="V1179" s="15"/>
      <c r="W1179" s="15"/>
    </row>
    <row r="1180">
      <c r="R1180" s="9"/>
      <c r="S1180" s="14"/>
      <c r="T1180" s="15"/>
      <c r="U1180" s="15"/>
      <c r="V1180" s="15"/>
      <c r="W1180" s="15"/>
    </row>
    <row r="1181">
      <c r="R1181" s="9"/>
      <c r="S1181" s="14"/>
      <c r="T1181" s="15"/>
      <c r="U1181" s="15"/>
      <c r="V1181" s="15"/>
      <c r="W1181" s="15"/>
    </row>
    <row r="1182">
      <c r="R1182" s="9"/>
      <c r="S1182" s="14"/>
      <c r="T1182" s="15"/>
      <c r="U1182" s="15"/>
      <c r="V1182" s="15"/>
      <c r="W1182" s="15"/>
    </row>
    <row r="1183">
      <c r="R1183" s="9"/>
      <c r="S1183" s="14"/>
      <c r="T1183" s="15"/>
      <c r="U1183" s="15"/>
      <c r="V1183" s="15"/>
      <c r="W1183" s="15"/>
    </row>
    <row r="1184">
      <c r="R1184" s="9"/>
      <c r="S1184" s="14"/>
      <c r="T1184" s="15"/>
      <c r="U1184" s="15"/>
      <c r="V1184" s="15"/>
      <c r="W1184" s="15"/>
    </row>
    <row r="1185">
      <c r="R1185" s="9"/>
      <c r="S1185" s="14"/>
      <c r="T1185" s="15"/>
      <c r="U1185" s="15"/>
      <c r="V1185" s="15"/>
      <c r="W1185" s="15"/>
    </row>
    <row r="1186">
      <c r="R1186" s="9"/>
      <c r="S1186" s="14"/>
      <c r="T1186" s="15"/>
      <c r="U1186" s="15"/>
      <c r="V1186" s="15"/>
      <c r="W1186" s="15"/>
    </row>
    <row r="1187">
      <c r="R1187" s="9"/>
      <c r="S1187" s="14"/>
      <c r="T1187" s="15"/>
      <c r="U1187" s="15"/>
      <c r="V1187" s="15"/>
      <c r="W1187" s="15"/>
    </row>
    <row r="1188">
      <c r="R1188" s="9"/>
      <c r="S1188" s="14"/>
      <c r="T1188" s="15"/>
      <c r="U1188" s="15"/>
      <c r="V1188" s="15"/>
      <c r="W1188" s="15"/>
    </row>
    <row r="1189">
      <c r="R1189" s="9"/>
      <c r="S1189" s="14"/>
      <c r="T1189" s="15"/>
      <c r="U1189" s="15"/>
      <c r="V1189" s="15"/>
      <c r="W1189" s="15"/>
    </row>
    <row r="1190">
      <c r="R1190" s="9"/>
      <c r="S1190" s="14"/>
      <c r="T1190" s="15"/>
      <c r="U1190" s="15"/>
      <c r="V1190" s="15"/>
      <c r="W1190" s="15"/>
    </row>
    <row r="1191">
      <c r="R1191" s="9"/>
      <c r="S1191" s="14"/>
      <c r="T1191" s="15"/>
      <c r="U1191" s="15"/>
      <c r="V1191" s="15"/>
      <c r="W1191" s="15"/>
    </row>
    <row r="1192">
      <c r="R1192" s="9"/>
      <c r="S1192" s="14"/>
      <c r="T1192" s="15"/>
      <c r="U1192" s="15"/>
      <c r="V1192" s="15"/>
      <c r="W1192" s="15"/>
    </row>
    <row r="1193">
      <c r="R1193" s="9"/>
      <c r="S1193" s="14"/>
      <c r="T1193" s="15"/>
      <c r="U1193" s="15"/>
      <c r="V1193" s="15"/>
      <c r="W1193" s="15"/>
    </row>
    <row r="1194">
      <c r="R1194" s="9"/>
      <c r="S1194" s="14"/>
      <c r="T1194" s="15"/>
      <c r="U1194" s="15"/>
      <c r="V1194" s="15"/>
      <c r="W1194" s="15"/>
    </row>
    <row r="1195">
      <c r="R1195" s="9"/>
      <c r="S1195" s="14"/>
      <c r="T1195" s="15"/>
      <c r="U1195" s="15"/>
      <c r="V1195" s="15"/>
      <c r="W1195" s="15"/>
    </row>
    <row r="1196">
      <c r="R1196" s="9"/>
      <c r="S1196" s="14"/>
      <c r="T1196" s="15"/>
      <c r="U1196" s="15"/>
      <c r="V1196" s="15"/>
      <c r="W1196" s="15"/>
    </row>
    <row r="1197">
      <c r="R1197" s="9"/>
      <c r="S1197" s="14"/>
      <c r="T1197" s="15"/>
      <c r="U1197" s="15"/>
      <c r="V1197" s="15"/>
      <c r="W1197" s="15"/>
    </row>
    <row r="1198">
      <c r="R1198" s="9"/>
      <c r="S1198" s="14"/>
      <c r="T1198" s="15"/>
      <c r="U1198" s="15"/>
      <c r="V1198" s="15"/>
      <c r="W1198" s="15"/>
    </row>
    <row r="1199">
      <c r="R1199" s="9"/>
      <c r="S1199" s="14"/>
      <c r="T1199" s="15"/>
      <c r="U1199" s="15"/>
      <c r="V1199" s="15"/>
      <c r="W1199" s="15"/>
    </row>
    <row r="1200">
      <c r="R1200" s="9"/>
      <c r="S1200" s="14"/>
      <c r="T1200" s="15"/>
      <c r="U1200" s="15"/>
      <c r="V1200" s="15"/>
      <c r="W1200" s="15"/>
    </row>
    <row r="1201">
      <c r="R1201" s="9"/>
      <c r="S1201" s="14"/>
      <c r="T1201" s="15"/>
      <c r="U1201" s="15"/>
      <c r="V1201" s="15"/>
      <c r="W1201" s="15"/>
    </row>
    <row r="1202">
      <c r="R1202" s="9"/>
      <c r="S1202" s="14"/>
      <c r="T1202" s="15"/>
      <c r="U1202" s="15"/>
      <c r="V1202" s="15"/>
      <c r="W1202" s="15"/>
    </row>
    <row r="1203">
      <c r="R1203" s="9"/>
      <c r="S1203" s="14"/>
      <c r="T1203" s="15"/>
      <c r="U1203" s="15"/>
      <c r="V1203" s="15"/>
      <c r="W1203" s="15"/>
    </row>
    <row r="1204">
      <c r="R1204" s="9"/>
      <c r="S1204" s="14"/>
      <c r="T1204" s="15"/>
      <c r="U1204" s="15"/>
      <c r="V1204" s="15"/>
      <c r="W1204" s="15"/>
    </row>
    <row r="1205">
      <c r="R1205" s="9"/>
      <c r="S1205" s="14"/>
      <c r="T1205" s="15"/>
      <c r="U1205" s="15"/>
      <c r="V1205" s="15"/>
      <c r="W1205" s="15"/>
    </row>
    <row r="1206">
      <c r="R1206" s="9"/>
      <c r="S1206" s="14"/>
      <c r="T1206" s="15"/>
      <c r="U1206" s="15"/>
      <c r="V1206" s="15"/>
      <c r="W1206" s="15"/>
    </row>
    <row r="1207">
      <c r="R1207" s="9"/>
      <c r="S1207" s="14"/>
      <c r="T1207" s="15"/>
      <c r="U1207" s="15"/>
      <c r="V1207" s="15"/>
      <c r="W1207" s="15"/>
    </row>
    <row r="1208">
      <c r="R1208" s="9"/>
      <c r="S1208" s="14"/>
      <c r="T1208" s="15"/>
      <c r="U1208" s="15"/>
      <c r="V1208" s="15"/>
      <c r="W1208" s="15"/>
    </row>
    <row r="1209">
      <c r="R1209" s="9"/>
      <c r="S1209" s="14"/>
      <c r="T1209" s="15"/>
      <c r="U1209" s="15"/>
      <c r="V1209" s="15"/>
      <c r="W1209" s="15"/>
    </row>
    <row r="1210">
      <c r="R1210" s="9"/>
      <c r="S1210" s="14"/>
      <c r="T1210" s="15"/>
      <c r="U1210" s="15"/>
      <c r="V1210" s="15"/>
      <c r="W1210" s="15"/>
    </row>
    <row r="1211">
      <c r="R1211" s="9"/>
      <c r="S1211" s="14"/>
      <c r="T1211" s="15"/>
      <c r="U1211" s="15"/>
      <c r="V1211" s="15"/>
      <c r="W1211" s="15"/>
    </row>
    <row r="1212">
      <c r="R1212" s="9"/>
      <c r="S1212" s="14"/>
      <c r="T1212" s="15"/>
      <c r="U1212" s="15"/>
      <c r="V1212" s="15"/>
      <c r="W1212" s="15"/>
    </row>
    <row r="1213">
      <c r="R1213" s="9"/>
      <c r="S1213" s="14"/>
      <c r="T1213" s="15"/>
      <c r="U1213" s="15"/>
      <c r="V1213" s="15"/>
      <c r="W1213" s="15"/>
    </row>
    <row r="1214">
      <c r="R1214" s="9"/>
      <c r="S1214" s="14"/>
      <c r="T1214" s="15"/>
      <c r="U1214" s="15"/>
      <c r="V1214" s="15"/>
      <c r="W1214" s="15"/>
    </row>
    <row r="1215">
      <c r="R1215" s="9"/>
      <c r="S1215" s="14"/>
      <c r="T1215" s="15"/>
      <c r="U1215" s="15"/>
      <c r="V1215" s="15"/>
      <c r="W1215" s="15"/>
    </row>
    <row r="1216">
      <c r="R1216" s="9"/>
      <c r="S1216" s="14"/>
      <c r="T1216" s="15"/>
      <c r="U1216" s="15"/>
      <c r="V1216" s="15"/>
      <c r="W1216" s="15"/>
    </row>
    <row r="1217">
      <c r="R1217" s="9"/>
      <c r="S1217" s="14"/>
      <c r="T1217" s="15"/>
      <c r="U1217" s="15"/>
      <c r="V1217" s="15"/>
      <c r="W1217" s="15"/>
    </row>
    <row r="1218">
      <c r="R1218" s="9"/>
      <c r="S1218" s="14"/>
      <c r="T1218" s="15"/>
      <c r="U1218" s="15"/>
      <c r="V1218" s="15"/>
      <c r="W1218" s="15"/>
    </row>
    <row r="1219">
      <c r="R1219" s="9"/>
      <c r="S1219" s="14"/>
      <c r="T1219" s="15"/>
      <c r="U1219" s="15"/>
      <c r="V1219" s="15"/>
      <c r="W1219" s="15"/>
    </row>
    <row r="1220">
      <c r="R1220" s="9"/>
      <c r="S1220" s="14"/>
      <c r="T1220" s="15"/>
      <c r="U1220" s="15"/>
      <c r="V1220" s="15"/>
      <c r="W1220" s="15"/>
    </row>
    <row r="1221">
      <c r="R1221" s="9"/>
      <c r="S1221" s="14"/>
      <c r="T1221" s="15"/>
      <c r="U1221" s="15"/>
      <c r="V1221" s="15"/>
      <c r="W1221" s="15"/>
    </row>
    <row r="1222">
      <c r="R1222" s="9"/>
      <c r="S1222" s="14"/>
      <c r="T1222" s="15"/>
      <c r="U1222" s="15"/>
      <c r="V1222" s="15"/>
      <c r="W1222" s="15"/>
    </row>
    <row r="1223">
      <c r="R1223" s="9"/>
      <c r="S1223" s="14"/>
      <c r="T1223" s="15"/>
      <c r="U1223" s="15"/>
      <c r="V1223" s="15"/>
      <c r="W1223" s="15"/>
    </row>
    <row r="1224">
      <c r="R1224" s="9"/>
      <c r="S1224" s="14"/>
      <c r="T1224" s="15"/>
      <c r="U1224" s="15"/>
      <c r="V1224" s="15"/>
      <c r="W1224" s="15"/>
    </row>
    <row r="1225">
      <c r="R1225" s="9"/>
      <c r="S1225" s="14"/>
      <c r="T1225" s="15"/>
      <c r="U1225" s="15"/>
      <c r="V1225" s="15"/>
      <c r="W1225" s="15"/>
    </row>
    <row r="1226">
      <c r="R1226" s="9"/>
      <c r="S1226" s="14"/>
      <c r="T1226" s="15"/>
      <c r="U1226" s="15"/>
      <c r="V1226" s="15"/>
      <c r="W1226" s="15"/>
    </row>
    <row r="1227">
      <c r="R1227" s="9"/>
      <c r="S1227" s="14"/>
      <c r="T1227" s="15"/>
      <c r="U1227" s="15"/>
      <c r="V1227" s="15"/>
      <c r="W1227" s="15"/>
    </row>
    <row r="1228">
      <c r="R1228" s="9"/>
      <c r="S1228" s="14"/>
      <c r="T1228" s="15"/>
      <c r="U1228" s="15"/>
      <c r="V1228" s="15"/>
      <c r="W1228" s="15"/>
    </row>
    <row r="1229">
      <c r="R1229" s="9"/>
      <c r="S1229" s="14"/>
      <c r="T1229" s="15"/>
      <c r="U1229" s="15"/>
      <c r="V1229" s="15"/>
      <c r="W1229" s="15"/>
    </row>
    <row r="1230">
      <c r="R1230" s="9"/>
      <c r="S1230" s="14"/>
      <c r="T1230" s="15"/>
      <c r="U1230" s="15"/>
      <c r="V1230" s="15"/>
      <c r="W1230" s="15"/>
    </row>
    <row r="1231">
      <c r="R1231" s="9"/>
      <c r="S1231" s="14"/>
      <c r="T1231" s="15"/>
      <c r="U1231" s="15"/>
      <c r="V1231" s="15"/>
      <c r="W1231" s="15"/>
    </row>
    <row r="1232">
      <c r="R1232" s="9"/>
      <c r="S1232" s="14"/>
      <c r="T1232" s="15"/>
      <c r="U1232" s="15"/>
      <c r="V1232" s="15"/>
      <c r="W1232" s="15"/>
    </row>
    <row r="1233">
      <c r="R1233" s="9"/>
      <c r="S1233" s="14"/>
      <c r="T1233" s="15"/>
      <c r="U1233" s="15"/>
      <c r="V1233" s="15"/>
      <c r="W1233" s="15"/>
    </row>
    <row r="1234">
      <c r="R1234" s="9"/>
      <c r="S1234" s="14"/>
      <c r="T1234" s="15"/>
      <c r="U1234" s="15"/>
      <c r="V1234" s="15"/>
      <c r="W1234" s="15"/>
    </row>
    <row r="1235">
      <c r="R1235" s="9"/>
      <c r="S1235" s="14"/>
      <c r="T1235" s="15"/>
      <c r="U1235" s="15"/>
      <c r="V1235" s="15"/>
      <c r="W1235" s="15"/>
    </row>
    <row r="1236">
      <c r="R1236" s="9"/>
      <c r="S1236" s="14"/>
      <c r="T1236" s="15"/>
      <c r="U1236" s="15"/>
      <c r="V1236" s="15"/>
      <c r="W1236" s="15"/>
    </row>
    <row r="1237">
      <c r="R1237" s="9"/>
      <c r="S1237" s="14"/>
      <c r="T1237" s="15"/>
      <c r="U1237" s="15"/>
      <c r="V1237" s="15"/>
      <c r="W1237" s="15"/>
    </row>
    <row r="1238">
      <c r="R1238" s="9"/>
      <c r="S1238" s="14"/>
      <c r="T1238" s="15"/>
      <c r="U1238" s="15"/>
      <c r="V1238" s="15"/>
      <c r="W1238" s="15"/>
    </row>
    <row r="1239">
      <c r="R1239" s="9"/>
      <c r="S1239" s="14"/>
      <c r="T1239" s="15"/>
      <c r="U1239" s="15"/>
      <c r="V1239" s="15"/>
      <c r="W1239" s="15"/>
    </row>
    <row r="1240">
      <c r="R1240" s="9"/>
      <c r="S1240" s="14"/>
      <c r="T1240" s="15"/>
      <c r="U1240" s="15"/>
      <c r="V1240" s="15"/>
      <c r="W1240" s="15"/>
    </row>
    <row r="1241">
      <c r="R1241" s="9"/>
      <c r="S1241" s="14"/>
      <c r="T1241" s="15"/>
      <c r="U1241" s="15"/>
      <c r="V1241" s="15"/>
      <c r="W1241" s="15"/>
    </row>
    <row r="1242">
      <c r="R1242" s="9"/>
      <c r="S1242" s="14"/>
      <c r="T1242" s="15"/>
      <c r="U1242" s="15"/>
      <c r="V1242" s="15"/>
      <c r="W1242" s="15"/>
    </row>
    <row r="1243">
      <c r="R1243" s="9"/>
      <c r="S1243" s="14"/>
      <c r="T1243" s="15"/>
      <c r="U1243" s="15"/>
      <c r="V1243" s="15"/>
      <c r="W1243" s="15"/>
    </row>
    <row r="1244">
      <c r="R1244" s="9"/>
      <c r="S1244" s="14"/>
      <c r="T1244" s="15"/>
      <c r="U1244" s="15"/>
      <c r="V1244" s="15"/>
      <c r="W1244" s="15"/>
    </row>
    <row r="1245">
      <c r="R1245" s="9"/>
      <c r="S1245" s="14"/>
      <c r="T1245" s="15"/>
      <c r="U1245" s="15"/>
      <c r="V1245" s="15"/>
      <c r="W1245" s="15"/>
    </row>
    <row r="1246">
      <c r="R1246" s="9"/>
      <c r="S1246" s="14"/>
      <c r="T1246" s="15"/>
      <c r="U1246" s="15"/>
      <c r="V1246" s="15"/>
      <c r="W1246" s="15"/>
    </row>
    <row r="1247">
      <c r="R1247" s="9"/>
      <c r="S1247" s="14"/>
      <c r="T1247" s="15"/>
      <c r="U1247" s="15"/>
      <c r="V1247" s="15"/>
      <c r="W1247" s="15"/>
    </row>
    <row r="1248">
      <c r="R1248" s="9"/>
      <c r="S1248" s="14"/>
      <c r="T1248" s="15"/>
      <c r="U1248" s="15"/>
      <c r="V1248" s="15"/>
      <c r="W1248" s="15"/>
    </row>
    <row r="1249">
      <c r="R1249" s="9"/>
      <c r="S1249" s="14"/>
      <c r="T1249" s="15"/>
      <c r="U1249" s="15"/>
      <c r="V1249" s="15"/>
      <c r="W1249" s="15"/>
    </row>
    <row r="1250">
      <c r="R1250" s="9"/>
      <c r="S1250" s="14"/>
      <c r="T1250" s="15"/>
      <c r="U1250" s="15"/>
      <c r="V1250" s="15"/>
      <c r="W1250" s="15"/>
    </row>
    <row r="1251">
      <c r="R1251" s="9"/>
      <c r="S1251" s="14"/>
      <c r="T1251" s="15"/>
      <c r="U1251" s="15"/>
      <c r="V1251" s="15"/>
      <c r="W1251" s="15"/>
    </row>
    <row r="1252">
      <c r="R1252" s="9"/>
      <c r="S1252" s="14"/>
      <c r="T1252" s="15"/>
      <c r="U1252" s="15"/>
      <c r="V1252" s="15"/>
      <c r="W1252" s="15"/>
    </row>
    <row r="1253">
      <c r="R1253" s="9"/>
      <c r="S1253" s="14"/>
      <c r="T1253" s="15"/>
      <c r="U1253" s="15"/>
      <c r="V1253" s="15"/>
      <c r="W1253" s="15"/>
    </row>
    <row r="1254">
      <c r="R1254" s="9"/>
      <c r="S1254" s="14"/>
      <c r="T1254" s="15"/>
      <c r="U1254" s="15"/>
      <c r="V1254" s="15"/>
      <c r="W1254" s="15"/>
    </row>
    <row r="1255">
      <c r="R1255" s="9"/>
      <c r="S1255" s="14"/>
      <c r="T1255" s="15"/>
      <c r="U1255" s="15"/>
      <c r="V1255" s="15"/>
      <c r="W1255" s="15"/>
    </row>
    <row r="1256">
      <c r="R1256" s="9"/>
      <c r="S1256" s="14"/>
      <c r="T1256" s="15"/>
      <c r="U1256" s="15"/>
      <c r="V1256" s="15"/>
      <c r="W1256" s="15"/>
    </row>
    <row r="1257">
      <c r="R1257" s="9"/>
      <c r="S1257" s="14"/>
      <c r="T1257" s="15"/>
      <c r="U1257" s="15"/>
      <c r="V1257" s="15"/>
      <c r="W1257" s="15"/>
    </row>
    <row r="1258">
      <c r="R1258" s="9"/>
      <c r="S1258" s="14"/>
      <c r="T1258" s="15"/>
      <c r="U1258" s="15"/>
      <c r="V1258" s="15"/>
      <c r="W1258" s="15"/>
    </row>
    <row r="1259">
      <c r="R1259" s="9"/>
      <c r="S1259" s="14"/>
      <c r="T1259" s="15"/>
      <c r="U1259" s="15"/>
      <c r="V1259" s="15"/>
      <c r="W1259" s="15"/>
    </row>
    <row r="1260">
      <c r="R1260" s="9"/>
      <c r="S1260" s="14"/>
      <c r="T1260" s="15"/>
      <c r="U1260" s="15"/>
      <c r="V1260" s="15"/>
      <c r="W1260" s="15"/>
    </row>
    <row r="1261">
      <c r="R1261" s="9"/>
      <c r="S1261" s="14"/>
      <c r="T1261" s="15"/>
      <c r="U1261" s="15"/>
      <c r="V1261" s="15"/>
      <c r="W1261" s="15"/>
    </row>
    <row r="1262">
      <c r="R1262" s="9"/>
      <c r="S1262" s="14"/>
      <c r="T1262" s="15"/>
      <c r="U1262" s="15"/>
      <c r="V1262" s="15"/>
      <c r="W1262" s="15"/>
    </row>
    <row r="1263">
      <c r="R1263" s="9"/>
      <c r="S1263" s="14"/>
      <c r="T1263" s="15"/>
      <c r="U1263" s="15"/>
      <c r="V1263" s="15"/>
      <c r="W1263" s="15"/>
    </row>
    <row r="1264">
      <c r="R1264" s="9"/>
      <c r="S1264" s="14"/>
      <c r="T1264" s="15"/>
      <c r="U1264" s="15"/>
      <c r="V1264" s="15"/>
      <c r="W1264" s="15"/>
    </row>
    <row r="1265">
      <c r="R1265" s="9"/>
      <c r="S1265" s="14"/>
      <c r="T1265" s="15"/>
      <c r="U1265" s="15"/>
      <c r="V1265" s="15"/>
      <c r="W1265" s="15"/>
    </row>
    <row r="1266">
      <c r="R1266" s="9"/>
      <c r="S1266" s="14"/>
      <c r="T1266" s="15"/>
      <c r="U1266" s="15"/>
      <c r="V1266" s="15"/>
      <c r="W1266" s="15"/>
    </row>
    <row r="1267">
      <c r="R1267" s="9"/>
      <c r="S1267" s="14"/>
      <c r="T1267" s="15"/>
      <c r="U1267" s="15"/>
      <c r="V1267" s="15"/>
      <c r="W1267" s="15"/>
    </row>
    <row r="1268">
      <c r="R1268" s="9"/>
      <c r="S1268" s="14"/>
      <c r="T1268" s="15"/>
      <c r="U1268" s="15"/>
      <c r="V1268" s="15"/>
      <c r="W1268" s="15"/>
    </row>
    <row r="1269">
      <c r="R1269" s="9"/>
      <c r="S1269" s="14"/>
      <c r="T1269" s="15"/>
      <c r="U1269" s="15"/>
      <c r="V1269" s="15"/>
      <c r="W1269" s="15"/>
    </row>
    <row r="1270">
      <c r="R1270" s="9"/>
      <c r="S1270" s="14"/>
      <c r="T1270" s="15"/>
      <c r="U1270" s="15"/>
      <c r="V1270" s="15"/>
      <c r="W1270" s="15"/>
    </row>
    <row r="1271">
      <c r="R1271" s="9"/>
      <c r="S1271" s="14"/>
      <c r="T1271" s="15"/>
      <c r="U1271" s="15"/>
      <c r="V1271" s="15"/>
      <c r="W1271" s="15"/>
    </row>
    <row r="1272">
      <c r="R1272" s="9"/>
      <c r="S1272" s="14"/>
      <c r="T1272" s="15"/>
      <c r="U1272" s="15"/>
      <c r="V1272" s="15"/>
      <c r="W1272" s="15"/>
    </row>
    <row r="1273">
      <c r="R1273" s="9"/>
      <c r="S1273" s="14"/>
      <c r="T1273" s="15"/>
      <c r="U1273" s="15"/>
      <c r="V1273" s="15"/>
      <c r="W1273" s="15"/>
    </row>
    <row r="1274">
      <c r="R1274" s="9"/>
      <c r="S1274" s="14"/>
      <c r="T1274" s="15"/>
      <c r="U1274" s="15"/>
      <c r="V1274" s="15"/>
      <c r="W1274" s="15"/>
    </row>
    <row r="1275">
      <c r="R1275" s="9"/>
      <c r="S1275" s="14"/>
      <c r="T1275" s="15"/>
      <c r="U1275" s="15"/>
      <c r="V1275" s="15"/>
      <c r="W1275" s="15"/>
    </row>
    <row r="1276">
      <c r="R1276" s="9"/>
      <c r="S1276" s="14"/>
      <c r="T1276" s="15"/>
      <c r="U1276" s="15"/>
      <c r="V1276" s="15"/>
      <c r="W1276" s="15"/>
    </row>
    <row r="1277">
      <c r="R1277" s="9"/>
      <c r="S1277" s="14"/>
      <c r="T1277" s="15"/>
      <c r="U1277" s="15"/>
      <c r="V1277" s="15"/>
      <c r="W1277" s="15"/>
    </row>
    <row r="1278">
      <c r="R1278" s="9"/>
      <c r="S1278" s="14"/>
      <c r="T1278" s="15"/>
      <c r="U1278" s="15"/>
      <c r="V1278" s="15"/>
      <c r="W1278" s="15"/>
    </row>
    <row r="1279">
      <c r="R1279" s="9"/>
      <c r="S1279" s="14"/>
      <c r="T1279" s="15"/>
      <c r="U1279" s="15"/>
      <c r="V1279" s="15"/>
      <c r="W1279" s="15"/>
    </row>
    <row r="1280">
      <c r="R1280" s="9"/>
      <c r="S1280" s="14"/>
      <c r="T1280" s="15"/>
      <c r="U1280" s="15"/>
      <c r="V1280" s="15"/>
      <c r="W1280" s="15"/>
    </row>
    <row r="1281">
      <c r="R1281" s="9"/>
      <c r="S1281" s="14"/>
      <c r="T1281" s="15"/>
      <c r="U1281" s="15"/>
      <c r="V1281" s="15"/>
      <c r="W1281" s="15"/>
    </row>
    <row r="1282">
      <c r="R1282" s="9"/>
      <c r="S1282" s="14"/>
      <c r="T1282" s="15"/>
      <c r="U1282" s="15"/>
      <c r="V1282" s="15"/>
      <c r="W1282" s="15"/>
    </row>
    <row r="1283">
      <c r="R1283" s="9"/>
      <c r="S1283" s="14"/>
      <c r="T1283" s="15"/>
      <c r="U1283" s="15"/>
      <c r="V1283" s="15"/>
      <c r="W1283" s="15"/>
    </row>
    <row r="1284">
      <c r="R1284" s="9"/>
      <c r="S1284" s="14"/>
      <c r="T1284" s="15"/>
      <c r="U1284" s="15"/>
      <c r="V1284" s="15"/>
      <c r="W1284" s="15"/>
    </row>
    <row r="1285">
      <c r="R1285" s="9"/>
      <c r="S1285" s="14"/>
      <c r="T1285" s="15"/>
      <c r="U1285" s="15"/>
      <c r="V1285" s="15"/>
      <c r="W1285" s="15"/>
    </row>
    <row r="1286">
      <c r="R1286" s="9"/>
      <c r="S1286" s="14"/>
      <c r="T1286" s="15"/>
      <c r="U1286" s="15"/>
      <c r="V1286" s="15"/>
      <c r="W1286" s="15"/>
    </row>
    <row r="1287">
      <c r="R1287" s="9"/>
      <c r="S1287" s="14"/>
      <c r="T1287" s="15"/>
      <c r="U1287" s="15"/>
      <c r="V1287" s="15"/>
      <c r="W1287" s="15"/>
    </row>
    <row r="1288">
      <c r="R1288" s="9"/>
      <c r="S1288" s="14"/>
      <c r="T1288" s="15"/>
      <c r="U1288" s="15"/>
      <c r="V1288" s="15"/>
      <c r="W1288" s="15"/>
    </row>
    <row r="1289">
      <c r="R1289" s="9"/>
      <c r="S1289" s="14"/>
      <c r="T1289" s="15"/>
      <c r="U1289" s="15"/>
      <c r="V1289" s="15"/>
      <c r="W1289" s="15"/>
    </row>
    <row r="1290">
      <c r="R1290" s="9"/>
      <c r="S1290" s="14"/>
      <c r="T1290" s="15"/>
      <c r="U1290" s="15"/>
      <c r="V1290" s="15"/>
      <c r="W1290" s="15"/>
    </row>
    <row r="1291">
      <c r="R1291" s="9"/>
      <c r="S1291" s="14"/>
      <c r="T1291" s="15"/>
      <c r="U1291" s="15"/>
      <c r="V1291" s="15"/>
      <c r="W1291" s="15"/>
    </row>
    <row r="1292">
      <c r="R1292" s="9"/>
      <c r="S1292" s="14"/>
      <c r="T1292" s="15"/>
      <c r="U1292" s="15"/>
      <c r="V1292" s="15"/>
      <c r="W1292" s="15"/>
    </row>
    <row r="1293">
      <c r="R1293" s="9"/>
      <c r="S1293" s="14"/>
      <c r="T1293" s="15"/>
      <c r="U1293" s="15"/>
      <c r="V1293" s="15"/>
      <c r="W1293" s="15"/>
    </row>
    <row r="1294">
      <c r="R1294" s="9"/>
      <c r="S1294" s="14"/>
      <c r="T1294" s="15"/>
      <c r="U1294" s="15"/>
      <c r="V1294" s="15"/>
      <c r="W1294" s="15"/>
    </row>
    <row r="1295">
      <c r="R1295" s="9"/>
      <c r="S1295" s="14"/>
      <c r="T1295" s="15"/>
      <c r="U1295" s="15"/>
      <c r="V1295" s="15"/>
      <c r="W1295" s="15"/>
    </row>
    <row r="1296">
      <c r="R1296" s="9"/>
      <c r="S1296" s="14"/>
      <c r="T1296" s="15"/>
      <c r="U1296" s="15"/>
      <c r="V1296" s="15"/>
      <c r="W1296" s="15"/>
    </row>
    <row r="1297">
      <c r="R1297" s="9"/>
      <c r="S1297" s="14"/>
      <c r="T1297" s="15"/>
      <c r="U1297" s="15"/>
      <c r="V1297" s="15"/>
      <c r="W1297" s="15"/>
    </row>
    <row r="1298">
      <c r="R1298" s="9"/>
      <c r="S1298" s="14"/>
      <c r="T1298" s="15"/>
      <c r="U1298" s="15"/>
      <c r="V1298" s="15"/>
      <c r="W1298" s="15"/>
    </row>
    <row r="1299">
      <c r="R1299" s="9"/>
      <c r="S1299" s="14"/>
      <c r="T1299" s="15"/>
      <c r="U1299" s="15"/>
      <c r="V1299" s="15"/>
      <c r="W1299" s="15"/>
    </row>
    <row r="1300">
      <c r="R1300" s="9"/>
      <c r="S1300" s="14"/>
      <c r="T1300" s="15"/>
      <c r="U1300" s="15"/>
      <c r="V1300" s="15"/>
      <c r="W1300" s="15"/>
    </row>
    <row r="1301">
      <c r="R1301" s="9"/>
      <c r="S1301" s="14"/>
      <c r="T1301" s="15"/>
      <c r="U1301" s="15"/>
      <c r="V1301" s="15"/>
      <c r="W1301" s="15"/>
    </row>
    <row r="1302">
      <c r="R1302" s="9"/>
      <c r="S1302" s="14"/>
      <c r="T1302" s="15"/>
      <c r="U1302" s="15"/>
      <c r="V1302" s="15"/>
      <c r="W1302" s="15"/>
    </row>
    <row r="1303">
      <c r="R1303" s="9"/>
      <c r="S1303" s="14"/>
      <c r="T1303" s="15"/>
      <c r="U1303" s="15"/>
      <c r="V1303" s="15"/>
      <c r="W1303" s="15"/>
    </row>
    <row r="1304">
      <c r="R1304" s="9"/>
      <c r="S1304" s="14"/>
      <c r="T1304" s="15"/>
      <c r="U1304" s="15"/>
      <c r="V1304" s="15"/>
      <c r="W1304" s="15"/>
    </row>
    <row r="1305">
      <c r="R1305" s="9"/>
      <c r="S1305" s="14"/>
      <c r="T1305" s="15"/>
      <c r="U1305" s="15"/>
      <c r="V1305" s="15"/>
      <c r="W1305" s="15"/>
    </row>
    <row r="1306">
      <c r="R1306" s="9"/>
      <c r="S1306" s="14"/>
      <c r="T1306" s="15"/>
      <c r="U1306" s="15"/>
      <c r="V1306" s="15"/>
      <c r="W1306" s="15"/>
    </row>
    <row r="1307">
      <c r="R1307" s="9"/>
      <c r="S1307" s="14"/>
      <c r="T1307" s="15"/>
      <c r="U1307" s="15"/>
      <c r="V1307" s="15"/>
      <c r="W1307" s="15"/>
    </row>
    <row r="1308">
      <c r="R1308" s="9"/>
      <c r="S1308" s="14"/>
      <c r="T1308" s="15"/>
      <c r="U1308" s="15"/>
      <c r="V1308" s="15"/>
      <c r="W1308" s="15"/>
    </row>
    <row r="1309">
      <c r="R1309" s="9"/>
      <c r="S1309" s="14"/>
      <c r="T1309" s="15"/>
      <c r="U1309" s="15"/>
      <c r="V1309" s="15"/>
      <c r="W1309" s="15"/>
    </row>
    <row r="1310">
      <c r="R1310" s="9"/>
      <c r="S1310" s="14"/>
      <c r="T1310" s="15"/>
      <c r="U1310" s="15"/>
      <c r="V1310" s="15"/>
      <c r="W1310" s="15"/>
    </row>
    <row r="1311">
      <c r="R1311" s="9"/>
      <c r="S1311" s="14"/>
      <c r="T1311" s="15"/>
      <c r="U1311" s="15"/>
      <c r="V1311" s="15"/>
      <c r="W1311" s="15"/>
    </row>
    <row r="1312">
      <c r="R1312" s="9"/>
      <c r="S1312" s="14"/>
      <c r="T1312" s="15"/>
      <c r="U1312" s="15"/>
      <c r="V1312" s="15"/>
      <c r="W1312" s="15"/>
    </row>
    <row r="1313">
      <c r="R1313" s="9"/>
      <c r="S1313" s="14"/>
      <c r="T1313" s="15"/>
      <c r="U1313" s="15"/>
      <c r="V1313" s="15"/>
      <c r="W1313" s="15"/>
    </row>
    <row r="1314">
      <c r="R1314" s="9"/>
      <c r="S1314" s="14"/>
      <c r="T1314" s="15"/>
      <c r="U1314" s="15"/>
      <c r="V1314" s="15"/>
      <c r="W1314" s="15"/>
    </row>
    <row r="1315">
      <c r="R1315" s="9"/>
      <c r="S1315" s="14"/>
      <c r="T1315" s="15"/>
      <c r="U1315" s="15"/>
      <c r="V1315" s="15"/>
      <c r="W1315" s="15"/>
    </row>
    <row r="1316">
      <c r="R1316" s="9"/>
      <c r="S1316" s="14"/>
      <c r="T1316" s="15"/>
      <c r="U1316" s="15"/>
      <c r="V1316" s="15"/>
      <c r="W1316" s="15"/>
    </row>
    <row r="1317">
      <c r="R1317" s="9"/>
      <c r="S1317" s="14"/>
      <c r="T1317" s="15"/>
      <c r="U1317" s="15"/>
      <c r="V1317" s="15"/>
      <c r="W1317" s="15"/>
    </row>
    <row r="1318">
      <c r="R1318" s="9"/>
      <c r="S1318" s="14"/>
      <c r="T1318" s="15"/>
      <c r="U1318" s="15"/>
      <c r="V1318" s="15"/>
      <c r="W1318" s="15"/>
    </row>
    <row r="1319">
      <c r="R1319" s="9"/>
      <c r="S1319" s="14"/>
      <c r="T1319" s="15"/>
      <c r="U1319" s="15"/>
      <c r="V1319" s="15"/>
      <c r="W1319" s="15"/>
    </row>
    <row r="1320">
      <c r="R1320" s="9"/>
      <c r="S1320" s="14"/>
      <c r="T1320" s="15"/>
      <c r="U1320" s="15"/>
      <c r="V1320" s="15"/>
      <c r="W1320" s="15"/>
    </row>
    <row r="1321">
      <c r="R1321" s="9"/>
      <c r="S1321" s="14"/>
      <c r="T1321" s="15"/>
      <c r="U1321" s="15"/>
      <c r="V1321" s="15"/>
      <c r="W1321" s="15"/>
    </row>
    <row r="1322">
      <c r="R1322" s="9"/>
      <c r="S1322" s="14"/>
      <c r="T1322" s="15"/>
      <c r="U1322" s="15"/>
      <c r="V1322" s="15"/>
      <c r="W1322" s="15"/>
    </row>
    <row r="1323">
      <c r="R1323" s="9"/>
      <c r="S1323" s="14"/>
      <c r="T1323" s="15"/>
      <c r="U1323" s="15"/>
      <c r="V1323" s="15"/>
      <c r="W1323" s="15"/>
    </row>
    <row r="1324">
      <c r="R1324" s="9"/>
      <c r="S1324" s="14"/>
      <c r="T1324" s="15"/>
      <c r="U1324" s="15"/>
      <c r="V1324" s="15"/>
      <c r="W1324" s="15"/>
    </row>
    <row r="1325">
      <c r="R1325" s="9"/>
      <c r="S1325" s="14"/>
      <c r="T1325" s="15"/>
      <c r="U1325" s="15"/>
      <c r="V1325" s="15"/>
      <c r="W1325" s="15"/>
    </row>
    <row r="1326">
      <c r="R1326" s="9"/>
      <c r="S1326" s="14"/>
      <c r="T1326" s="15"/>
      <c r="U1326" s="15"/>
      <c r="V1326" s="15"/>
      <c r="W1326" s="15"/>
    </row>
    <row r="1327">
      <c r="R1327" s="9"/>
      <c r="S1327" s="14"/>
      <c r="T1327" s="15"/>
      <c r="U1327" s="15"/>
      <c r="V1327" s="15"/>
      <c r="W1327" s="15"/>
    </row>
    <row r="1328">
      <c r="R1328" s="9"/>
      <c r="S1328" s="14"/>
      <c r="T1328" s="15"/>
      <c r="U1328" s="15"/>
      <c r="V1328" s="15"/>
      <c r="W1328" s="15"/>
    </row>
    <row r="1329">
      <c r="R1329" s="9"/>
      <c r="S1329" s="14"/>
      <c r="T1329" s="15"/>
      <c r="U1329" s="15"/>
      <c r="V1329" s="15"/>
      <c r="W1329" s="15"/>
    </row>
    <row r="1330">
      <c r="R1330" s="9"/>
      <c r="S1330" s="14"/>
      <c r="T1330" s="15"/>
      <c r="U1330" s="15"/>
      <c r="V1330" s="15"/>
      <c r="W1330" s="15"/>
    </row>
    <row r="1331">
      <c r="R1331" s="9"/>
      <c r="S1331" s="14"/>
      <c r="T1331" s="15"/>
      <c r="U1331" s="15"/>
      <c r="V1331" s="15"/>
      <c r="W1331" s="15"/>
    </row>
    <row r="1332">
      <c r="R1332" s="9"/>
      <c r="S1332" s="14"/>
      <c r="T1332" s="15"/>
      <c r="U1332" s="15"/>
      <c r="V1332" s="15"/>
      <c r="W1332" s="15"/>
    </row>
    <row r="1333">
      <c r="R1333" s="9"/>
      <c r="S1333" s="14"/>
      <c r="T1333" s="15"/>
      <c r="U1333" s="15"/>
      <c r="V1333" s="15"/>
      <c r="W1333" s="15"/>
    </row>
    <row r="1334">
      <c r="R1334" s="9"/>
      <c r="S1334" s="14"/>
      <c r="T1334" s="15"/>
      <c r="U1334" s="15"/>
      <c r="V1334" s="15"/>
      <c r="W1334" s="15"/>
    </row>
    <row r="1335">
      <c r="R1335" s="9"/>
      <c r="S1335" s="14"/>
      <c r="T1335" s="15"/>
      <c r="U1335" s="15"/>
      <c r="V1335" s="15"/>
      <c r="W1335" s="15"/>
    </row>
    <row r="1336">
      <c r="R1336" s="9"/>
      <c r="S1336" s="14"/>
      <c r="T1336" s="15"/>
      <c r="U1336" s="15"/>
      <c r="V1336" s="15"/>
      <c r="W1336" s="15"/>
    </row>
    <row r="1337">
      <c r="R1337" s="9"/>
      <c r="S1337" s="14"/>
      <c r="T1337" s="15"/>
      <c r="U1337" s="15"/>
      <c r="V1337" s="15"/>
      <c r="W1337" s="15"/>
    </row>
    <row r="1338">
      <c r="R1338" s="9"/>
      <c r="S1338" s="14"/>
      <c r="T1338" s="15"/>
      <c r="U1338" s="15"/>
      <c r="V1338" s="15"/>
      <c r="W1338" s="15"/>
    </row>
    <row r="1339">
      <c r="R1339" s="9"/>
      <c r="S1339" s="14"/>
      <c r="T1339" s="15"/>
      <c r="U1339" s="15"/>
      <c r="V1339" s="15"/>
      <c r="W1339" s="15"/>
    </row>
    <row r="1340">
      <c r="R1340" s="9"/>
      <c r="S1340" s="14"/>
      <c r="T1340" s="15"/>
      <c r="U1340" s="15"/>
      <c r="V1340" s="15"/>
      <c r="W1340" s="15"/>
    </row>
    <row r="1341">
      <c r="R1341" s="9"/>
      <c r="S1341" s="14"/>
      <c r="T1341" s="15"/>
      <c r="U1341" s="15"/>
      <c r="V1341" s="15"/>
      <c r="W1341" s="15"/>
    </row>
    <row r="1342">
      <c r="R1342" s="9"/>
      <c r="S1342" s="14"/>
      <c r="T1342" s="15"/>
      <c r="U1342" s="15"/>
      <c r="V1342" s="15"/>
      <c r="W1342" s="15"/>
    </row>
    <row r="1343">
      <c r="R1343" s="9"/>
      <c r="S1343" s="14"/>
      <c r="T1343" s="15"/>
      <c r="U1343" s="15"/>
      <c r="V1343" s="15"/>
      <c r="W1343" s="15"/>
    </row>
    <row r="1344">
      <c r="R1344" s="9"/>
      <c r="S1344" s="14"/>
      <c r="T1344" s="15"/>
      <c r="U1344" s="15"/>
      <c r="V1344" s="15"/>
      <c r="W1344" s="15"/>
    </row>
    <row r="1345">
      <c r="R1345" s="9"/>
      <c r="S1345" s="14"/>
      <c r="T1345" s="15"/>
      <c r="U1345" s="15"/>
      <c r="V1345" s="15"/>
      <c r="W1345" s="15"/>
    </row>
    <row r="1346">
      <c r="R1346" s="9"/>
      <c r="S1346" s="14"/>
      <c r="T1346" s="15"/>
      <c r="U1346" s="15"/>
      <c r="V1346" s="15"/>
      <c r="W1346" s="15"/>
    </row>
    <row r="1347">
      <c r="R1347" s="9"/>
      <c r="S1347" s="14"/>
      <c r="T1347" s="15"/>
      <c r="U1347" s="15"/>
      <c r="V1347" s="15"/>
      <c r="W1347" s="15"/>
    </row>
    <row r="1348">
      <c r="R1348" s="9"/>
      <c r="S1348" s="14"/>
      <c r="T1348" s="15"/>
      <c r="U1348" s="15"/>
      <c r="V1348" s="15"/>
      <c r="W1348" s="15"/>
    </row>
    <row r="1349">
      <c r="R1349" s="9"/>
      <c r="S1349" s="14"/>
      <c r="T1349" s="15"/>
      <c r="U1349" s="15"/>
      <c r="V1349" s="15"/>
      <c r="W1349" s="15"/>
    </row>
    <row r="1350">
      <c r="R1350" s="9"/>
      <c r="S1350" s="14"/>
      <c r="T1350" s="15"/>
      <c r="U1350" s="15"/>
      <c r="V1350" s="15"/>
      <c r="W1350" s="15"/>
    </row>
    <row r="1351">
      <c r="R1351" s="9"/>
      <c r="S1351" s="14"/>
      <c r="T1351" s="15"/>
      <c r="U1351" s="15"/>
      <c r="V1351" s="15"/>
      <c r="W1351" s="15"/>
    </row>
    <row r="1352">
      <c r="R1352" s="9"/>
      <c r="S1352" s="14"/>
      <c r="T1352" s="15"/>
      <c r="U1352" s="15"/>
      <c r="V1352" s="15"/>
      <c r="W1352" s="15"/>
    </row>
    <row r="1353">
      <c r="R1353" s="9"/>
      <c r="S1353" s="14"/>
      <c r="T1353" s="15"/>
      <c r="U1353" s="15"/>
      <c r="V1353" s="15"/>
      <c r="W1353" s="15"/>
    </row>
    <row r="1354">
      <c r="R1354" s="9"/>
      <c r="S1354" s="14"/>
      <c r="T1354" s="15"/>
      <c r="U1354" s="15"/>
      <c r="V1354" s="15"/>
      <c r="W1354" s="15"/>
    </row>
    <row r="1355">
      <c r="R1355" s="9"/>
      <c r="S1355" s="14"/>
      <c r="T1355" s="15"/>
      <c r="U1355" s="15"/>
      <c r="V1355" s="15"/>
      <c r="W1355" s="15"/>
    </row>
    <row r="1356">
      <c r="R1356" s="9"/>
      <c r="S1356" s="14"/>
      <c r="T1356" s="15"/>
      <c r="U1356" s="15"/>
      <c r="V1356" s="15"/>
      <c r="W1356" s="15"/>
    </row>
    <row r="1357">
      <c r="R1357" s="9"/>
      <c r="S1357" s="14"/>
      <c r="T1357" s="15"/>
      <c r="U1357" s="15"/>
      <c r="V1357" s="15"/>
      <c r="W1357" s="15"/>
    </row>
    <row r="1358">
      <c r="R1358" s="9"/>
      <c r="S1358" s="14"/>
      <c r="T1358" s="15"/>
      <c r="U1358" s="15"/>
      <c r="V1358" s="15"/>
      <c r="W1358" s="15"/>
    </row>
    <row r="1359">
      <c r="R1359" s="9"/>
      <c r="S1359" s="14"/>
      <c r="T1359" s="15"/>
      <c r="U1359" s="15"/>
      <c r="V1359" s="15"/>
      <c r="W1359" s="15"/>
    </row>
    <row r="1360">
      <c r="R1360" s="9"/>
      <c r="S1360" s="14"/>
      <c r="T1360" s="15"/>
      <c r="U1360" s="15"/>
      <c r="V1360" s="15"/>
      <c r="W1360" s="15"/>
    </row>
    <row r="1361">
      <c r="R1361" s="9"/>
      <c r="S1361" s="14"/>
      <c r="T1361" s="15"/>
      <c r="U1361" s="15"/>
      <c r="V1361" s="15"/>
      <c r="W1361" s="15"/>
    </row>
    <row r="1362">
      <c r="R1362" s="9"/>
      <c r="S1362" s="14"/>
      <c r="T1362" s="15"/>
      <c r="U1362" s="15"/>
      <c r="V1362" s="15"/>
      <c r="W1362" s="15"/>
    </row>
    <row r="1363">
      <c r="R1363" s="9"/>
      <c r="S1363" s="14"/>
      <c r="T1363" s="15"/>
      <c r="U1363" s="15"/>
      <c r="V1363" s="15"/>
      <c r="W1363" s="15"/>
    </row>
    <row r="1364">
      <c r="R1364" s="9"/>
      <c r="S1364" s="14"/>
      <c r="T1364" s="15"/>
      <c r="U1364" s="15"/>
      <c r="V1364" s="15"/>
      <c r="W1364" s="15"/>
    </row>
    <row r="1365">
      <c r="R1365" s="9"/>
      <c r="S1365" s="14"/>
      <c r="T1365" s="15"/>
      <c r="U1365" s="15"/>
      <c r="V1365" s="15"/>
      <c r="W1365" s="15"/>
    </row>
    <row r="1366">
      <c r="R1366" s="9"/>
      <c r="S1366" s="14"/>
      <c r="T1366" s="15"/>
      <c r="U1366" s="15"/>
      <c r="V1366" s="15"/>
      <c r="W1366" s="15"/>
    </row>
    <row r="1367">
      <c r="R1367" s="9"/>
      <c r="S1367" s="14"/>
      <c r="T1367" s="15"/>
      <c r="U1367" s="15"/>
      <c r="V1367" s="15"/>
      <c r="W1367" s="15"/>
    </row>
    <row r="1368">
      <c r="R1368" s="9"/>
      <c r="S1368" s="14"/>
      <c r="T1368" s="15"/>
      <c r="U1368" s="15"/>
      <c r="V1368" s="15"/>
      <c r="W1368" s="15"/>
    </row>
    <row r="1369">
      <c r="R1369" s="9"/>
      <c r="S1369" s="14"/>
      <c r="T1369" s="15"/>
      <c r="U1369" s="15"/>
      <c r="V1369" s="15"/>
      <c r="W1369" s="15"/>
    </row>
    <row r="1370">
      <c r="R1370" s="9"/>
      <c r="S1370" s="14"/>
      <c r="T1370" s="15"/>
      <c r="U1370" s="15"/>
      <c r="V1370" s="15"/>
      <c r="W1370" s="15"/>
    </row>
    <row r="1371">
      <c r="R1371" s="9"/>
      <c r="S1371" s="14"/>
      <c r="T1371" s="15"/>
      <c r="U1371" s="15"/>
      <c r="V1371" s="15"/>
      <c r="W1371" s="15"/>
    </row>
    <row r="1372">
      <c r="R1372" s="9"/>
      <c r="S1372" s="14"/>
      <c r="T1372" s="15"/>
      <c r="U1372" s="15"/>
      <c r="V1372" s="15"/>
      <c r="W1372" s="15"/>
    </row>
    <row r="1373">
      <c r="R1373" s="9"/>
      <c r="S1373" s="14"/>
      <c r="T1373" s="15"/>
      <c r="U1373" s="15"/>
      <c r="V1373" s="15"/>
      <c r="W1373" s="15"/>
    </row>
    <row r="1374">
      <c r="R1374" s="9"/>
      <c r="S1374" s="14"/>
      <c r="T1374" s="15"/>
      <c r="U1374" s="15"/>
      <c r="V1374" s="15"/>
      <c r="W1374" s="15"/>
    </row>
    <row r="1375">
      <c r="R1375" s="9"/>
      <c r="S1375" s="14"/>
      <c r="T1375" s="15"/>
      <c r="U1375" s="15"/>
      <c r="V1375" s="15"/>
      <c r="W1375" s="15"/>
    </row>
    <row r="1376">
      <c r="R1376" s="9"/>
      <c r="S1376" s="14"/>
      <c r="T1376" s="15"/>
      <c r="U1376" s="15"/>
      <c r="V1376" s="15"/>
      <c r="W1376" s="15"/>
    </row>
    <row r="1377">
      <c r="R1377" s="9"/>
      <c r="S1377" s="14"/>
      <c r="T1377" s="15"/>
      <c r="U1377" s="15"/>
      <c r="V1377" s="15"/>
      <c r="W1377" s="15"/>
    </row>
    <row r="1378">
      <c r="R1378" s="9"/>
      <c r="S1378" s="14"/>
      <c r="T1378" s="15"/>
      <c r="U1378" s="15"/>
      <c r="V1378" s="15"/>
      <c r="W1378" s="15"/>
    </row>
    <row r="1379">
      <c r="R1379" s="9"/>
      <c r="S1379" s="14"/>
      <c r="T1379" s="15"/>
      <c r="U1379" s="15"/>
      <c r="V1379" s="15"/>
      <c r="W1379" s="15"/>
    </row>
    <row r="1380">
      <c r="R1380" s="9"/>
      <c r="S1380" s="14"/>
      <c r="T1380" s="15"/>
      <c r="U1380" s="15"/>
      <c r="V1380" s="15"/>
      <c r="W1380" s="15"/>
    </row>
    <row r="1381">
      <c r="R1381" s="9"/>
      <c r="S1381" s="14"/>
      <c r="T1381" s="15"/>
      <c r="U1381" s="15"/>
      <c r="V1381" s="15"/>
      <c r="W1381" s="15"/>
    </row>
    <row r="1382">
      <c r="R1382" s="9"/>
      <c r="S1382" s="14"/>
      <c r="T1382" s="15"/>
      <c r="U1382" s="15"/>
      <c r="V1382" s="15"/>
      <c r="W1382" s="15"/>
    </row>
    <row r="1383">
      <c r="R1383" s="9"/>
      <c r="S1383" s="14"/>
      <c r="T1383" s="15"/>
      <c r="U1383" s="15"/>
      <c r="V1383" s="15"/>
      <c r="W1383" s="15"/>
    </row>
    <row r="1384">
      <c r="R1384" s="9"/>
      <c r="S1384" s="14"/>
      <c r="T1384" s="15"/>
      <c r="U1384" s="15"/>
      <c r="V1384" s="15"/>
      <c r="W1384" s="15"/>
    </row>
    <row r="1385">
      <c r="R1385" s="9"/>
      <c r="S1385" s="14"/>
      <c r="T1385" s="15"/>
      <c r="U1385" s="15"/>
      <c r="V1385" s="15"/>
      <c r="W1385" s="15"/>
    </row>
    <row r="1386">
      <c r="R1386" s="9"/>
      <c r="S1386" s="14"/>
      <c r="T1386" s="15"/>
      <c r="U1386" s="15"/>
      <c r="V1386" s="15"/>
      <c r="W1386" s="15"/>
    </row>
    <row r="1387">
      <c r="R1387" s="9"/>
      <c r="S1387" s="14"/>
      <c r="T1387" s="15"/>
      <c r="U1387" s="15"/>
      <c r="V1387" s="15"/>
      <c r="W1387" s="15"/>
    </row>
    <row r="1388">
      <c r="R1388" s="9"/>
      <c r="S1388" s="14"/>
      <c r="T1388" s="15"/>
      <c r="U1388" s="15"/>
      <c r="V1388" s="15"/>
      <c r="W1388" s="15"/>
    </row>
    <row r="1389">
      <c r="R1389" s="9"/>
      <c r="S1389" s="14"/>
      <c r="T1389" s="15"/>
      <c r="U1389" s="15"/>
      <c r="V1389" s="15"/>
      <c r="W1389" s="15"/>
    </row>
    <row r="1390">
      <c r="R1390" s="9"/>
      <c r="S1390" s="14"/>
      <c r="T1390" s="15"/>
      <c r="U1390" s="15"/>
      <c r="V1390" s="15"/>
      <c r="W1390" s="15"/>
    </row>
    <row r="1391">
      <c r="R1391" s="9"/>
      <c r="S1391" s="14"/>
      <c r="T1391" s="15"/>
      <c r="U1391" s="15"/>
      <c r="V1391" s="15"/>
      <c r="W1391" s="15"/>
    </row>
    <row r="1392">
      <c r="R1392" s="9"/>
      <c r="S1392" s="14"/>
      <c r="T1392" s="15"/>
      <c r="U1392" s="15"/>
      <c r="V1392" s="15"/>
      <c r="W1392" s="15"/>
    </row>
    <row r="1393">
      <c r="R1393" s="9"/>
      <c r="S1393" s="14"/>
      <c r="T1393" s="15"/>
      <c r="U1393" s="15"/>
      <c r="V1393" s="15"/>
      <c r="W1393" s="15"/>
    </row>
    <row r="1394">
      <c r="R1394" s="9"/>
      <c r="S1394" s="14"/>
      <c r="T1394" s="15"/>
      <c r="U1394" s="15"/>
      <c r="V1394" s="15"/>
      <c r="W1394" s="15"/>
    </row>
    <row r="1395">
      <c r="R1395" s="9"/>
      <c r="S1395" s="14"/>
      <c r="T1395" s="15"/>
      <c r="U1395" s="15"/>
      <c r="V1395" s="15"/>
      <c r="W1395" s="15"/>
    </row>
    <row r="1396">
      <c r="R1396" s="9"/>
      <c r="S1396" s="14"/>
      <c r="T1396" s="15"/>
      <c r="U1396" s="15"/>
      <c r="V1396" s="15"/>
      <c r="W1396" s="15"/>
    </row>
    <row r="1397">
      <c r="R1397" s="9"/>
      <c r="S1397" s="14"/>
      <c r="T1397" s="15"/>
      <c r="U1397" s="15"/>
      <c r="V1397" s="15"/>
      <c r="W1397" s="15"/>
    </row>
    <row r="1398">
      <c r="R1398" s="9"/>
      <c r="S1398" s="14"/>
      <c r="T1398" s="15"/>
      <c r="U1398" s="15"/>
      <c r="V1398" s="15"/>
      <c r="W1398" s="15"/>
    </row>
    <row r="1399">
      <c r="R1399" s="9"/>
      <c r="S1399" s="14"/>
      <c r="T1399" s="15"/>
      <c r="U1399" s="15"/>
      <c r="V1399" s="15"/>
      <c r="W1399" s="15"/>
    </row>
    <row r="1400">
      <c r="R1400" s="9"/>
      <c r="S1400" s="14"/>
      <c r="T1400" s="15"/>
      <c r="U1400" s="15"/>
      <c r="V1400" s="15"/>
      <c r="W1400" s="15"/>
    </row>
    <row r="1401">
      <c r="R1401" s="9"/>
      <c r="S1401" s="14"/>
      <c r="T1401" s="15"/>
      <c r="U1401" s="15"/>
      <c r="V1401" s="15"/>
      <c r="W1401" s="15"/>
    </row>
    <row r="1402">
      <c r="R1402" s="9"/>
      <c r="S1402" s="14"/>
      <c r="T1402" s="15"/>
      <c r="U1402" s="15"/>
      <c r="V1402" s="15"/>
      <c r="W1402" s="15"/>
    </row>
    <row r="1403">
      <c r="R1403" s="9"/>
      <c r="S1403" s="14"/>
      <c r="T1403" s="15"/>
      <c r="U1403" s="15"/>
      <c r="V1403" s="15"/>
      <c r="W1403" s="15"/>
    </row>
    <row r="1404">
      <c r="R1404" s="9"/>
      <c r="S1404" s="14"/>
      <c r="T1404" s="15"/>
      <c r="U1404" s="15"/>
      <c r="V1404" s="15"/>
      <c r="W1404" s="15"/>
    </row>
    <row r="1405">
      <c r="R1405" s="9"/>
      <c r="S1405" s="14"/>
      <c r="T1405" s="15"/>
      <c r="U1405" s="15"/>
      <c r="V1405" s="15"/>
      <c r="W1405" s="15"/>
    </row>
    <row r="1406">
      <c r="R1406" s="9"/>
      <c r="S1406" s="14"/>
      <c r="T1406" s="15"/>
      <c r="U1406" s="15"/>
      <c r="V1406" s="15"/>
      <c r="W1406" s="15"/>
    </row>
    <row r="1407">
      <c r="R1407" s="9"/>
      <c r="S1407" s="14"/>
      <c r="T1407" s="15"/>
      <c r="U1407" s="15"/>
      <c r="V1407" s="15"/>
      <c r="W1407" s="15"/>
    </row>
    <row r="1408">
      <c r="R1408" s="9"/>
      <c r="S1408" s="14"/>
      <c r="T1408" s="15"/>
      <c r="U1408" s="15"/>
      <c r="V1408" s="15"/>
      <c r="W1408" s="15"/>
    </row>
    <row r="1409">
      <c r="R1409" s="9"/>
      <c r="S1409" s="14"/>
      <c r="T1409" s="15"/>
      <c r="U1409" s="15"/>
      <c r="V1409" s="15"/>
      <c r="W1409" s="15"/>
    </row>
    <row r="1410">
      <c r="R1410" s="9"/>
      <c r="S1410" s="14"/>
      <c r="T1410" s="15"/>
      <c r="U1410" s="15"/>
      <c r="V1410" s="15"/>
      <c r="W1410" s="15"/>
    </row>
    <row r="1411">
      <c r="R1411" s="9"/>
      <c r="S1411" s="14"/>
      <c r="T1411" s="15"/>
      <c r="U1411" s="15"/>
      <c r="V1411" s="15"/>
      <c r="W1411" s="15"/>
    </row>
    <row r="1412">
      <c r="R1412" s="9"/>
      <c r="S1412" s="14"/>
      <c r="T1412" s="15"/>
      <c r="U1412" s="15"/>
      <c r="V1412" s="15"/>
      <c r="W1412" s="15"/>
    </row>
    <row r="1413">
      <c r="R1413" s="9"/>
      <c r="S1413" s="14"/>
      <c r="T1413" s="15"/>
      <c r="U1413" s="15"/>
      <c r="V1413" s="15"/>
      <c r="W1413" s="15"/>
    </row>
    <row r="1414">
      <c r="R1414" s="9"/>
      <c r="S1414" s="14"/>
      <c r="T1414" s="15"/>
      <c r="U1414" s="15"/>
      <c r="V1414" s="15"/>
      <c r="W1414" s="15"/>
    </row>
    <row r="1415">
      <c r="R1415" s="9"/>
      <c r="S1415" s="14"/>
      <c r="T1415" s="15"/>
      <c r="U1415" s="15"/>
      <c r="V1415" s="15"/>
      <c r="W1415" s="15"/>
    </row>
    <row r="1416">
      <c r="R1416" s="9"/>
      <c r="S1416" s="14"/>
      <c r="T1416" s="15"/>
      <c r="U1416" s="15"/>
      <c r="V1416" s="15"/>
      <c r="W1416" s="15"/>
    </row>
    <row r="1417">
      <c r="R1417" s="9"/>
      <c r="S1417" s="14"/>
      <c r="T1417" s="15"/>
      <c r="U1417" s="15"/>
      <c r="V1417" s="15"/>
      <c r="W1417" s="15"/>
    </row>
    <row r="1418">
      <c r="R1418" s="9"/>
      <c r="S1418" s="14"/>
      <c r="T1418" s="15"/>
      <c r="U1418" s="15"/>
      <c r="V1418" s="15"/>
      <c r="W1418" s="15"/>
    </row>
    <row r="1419">
      <c r="R1419" s="9"/>
      <c r="S1419" s="14"/>
      <c r="T1419" s="15"/>
      <c r="U1419" s="15"/>
      <c r="V1419" s="15"/>
      <c r="W1419" s="15"/>
    </row>
    <row r="1420">
      <c r="R1420" s="9"/>
      <c r="S1420" s="14"/>
      <c r="T1420" s="15"/>
      <c r="U1420" s="15"/>
      <c r="V1420" s="15"/>
      <c r="W1420" s="15"/>
    </row>
    <row r="1421">
      <c r="R1421" s="9"/>
      <c r="S1421" s="14"/>
      <c r="T1421" s="15"/>
      <c r="U1421" s="15"/>
      <c r="V1421" s="15"/>
      <c r="W1421" s="15"/>
    </row>
    <row r="1422">
      <c r="R1422" s="9"/>
      <c r="S1422" s="14"/>
      <c r="T1422" s="15"/>
      <c r="U1422" s="15"/>
      <c r="V1422" s="15"/>
      <c r="W1422" s="15"/>
    </row>
    <row r="1423">
      <c r="R1423" s="9"/>
      <c r="S1423" s="14"/>
      <c r="T1423" s="15"/>
      <c r="U1423" s="15"/>
      <c r="V1423" s="15"/>
      <c r="W1423" s="15"/>
    </row>
    <row r="1424">
      <c r="R1424" s="9"/>
      <c r="S1424" s="14"/>
      <c r="T1424" s="15"/>
      <c r="U1424" s="15"/>
      <c r="V1424" s="15"/>
      <c r="W1424" s="15"/>
    </row>
    <row r="1425">
      <c r="R1425" s="9"/>
      <c r="S1425" s="14"/>
      <c r="T1425" s="15"/>
      <c r="U1425" s="15"/>
      <c r="V1425" s="15"/>
      <c r="W1425" s="15"/>
    </row>
    <row r="1426">
      <c r="R1426" s="9"/>
      <c r="S1426" s="14"/>
      <c r="T1426" s="15"/>
      <c r="U1426" s="15"/>
      <c r="V1426" s="15"/>
      <c r="W1426" s="15"/>
    </row>
    <row r="1427">
      <c r="R1427" s="9"/>
      <c r="S1427" s="14"/>
      <c r="T1427" s="15"/>
      <c r="U1427" s="15"/>
      <c r="V1427" s="15"/>
      <c r="W1427" s="15"/>
    </row>
    <row r="1428">
      <c r="R1428" s="9"/>
      <c r="S1428" s="14"/>
      <c r="T1428" s="15"/>
      <c r="U1428" s="15"/>
      <c r="V1428" s="15"/>
      <c r="W1428" s="15"/>
    </row>
    <row r="1429">
      <c r="R1429" s="9"/>
      <c r="S1429" s="14"/>
      <c r="T1429" s="15"/>
      <c r="U1429" s="15"/>
      <c r="V1429" s="15"/>
      <c r="W1429" s="15"/>
    </row>
    <row r="1430">
      <c r="R1430" s="9"/>
      <c r="S1430" s="14"/>
      <c r="T1430" s="15"/>
      <c r="U1430" s="15"/>
      <c r="V1430" s="15"/>
      <c r="W1430" s="15"/>
    </row>
    <row r="1431">
      <c r="R1431" s="9"/>
      <c r="S1431" s="14"/>
      <c r="T1431" s="15"/>
      <c r="U1431" s="15"/>
      <c r="V1431" s="15"/>
      <c r="W1431" s="15"/>
    </row>
    <row r="1432">
      <c r="R1432" s="9"/>
      <c r="S1432" s="14"/>
      <c r="T1432" s="15"/>
      <c r="U1432" s="15"/>
      <c r="V1432" s="15"/>
      <c r="W1432" s="15"/>
    </row>
    <row r="1433">
      <c r="R1433" s="9"/>
      <c r="S1433" s="14"/>
      <c r="T1433" s="15"/>
      <c r="U1433" s="15"/>
      <c r="V1433" s="15"/>
      <c r="W1433" s="15"/>
    </row>
    <row r="1434">
      <c r="R1434" s="9"/>
      <c r="S1434" s="14"/>
      <c r="T1434" s="15"/>
      <c r="U1434" s="15"/>
      <c r="V1434" s="15"/>
      <c r="W1434" s="15"/>
    </row>
    <row r="1435">
      <c r="R1435" s="9"/>
      <c r="S1435" s="14"/>
      <c r="T1435" s="15"/>
      <c r="U1435" s="15"/>
      <c r="V1435" s="15"/>
      <c r="W1435" s="15"/>
    </row>
    <row r="1436">
      <c r="R1436" s="9"/>
      <c r="S1436" s="14"/>
      <c r="T1436" s="15"/>
      <c r="U1436" s="15"/>
      <c r="V1436" s="15"/>
      <c r="W1436" s="15"/>
    </row>
    <row r="1437">
      <c r="R1437" s="9"/>
      <c r="S1437" s="14"/>
      <c r="T1437" s="15"/>
      <c r="U1437" s="15"/>
      <c r="V1437" s="15"/>
      <c r="W1437" s="15"/>
    </row>
    <row r="1438">
      <c r="R1438" s="9"/>
      <c r="S1438" s="14"/>
      <c r="T1438" s="15"/>
      <c r="U1438" s="15"/>
      <c r="V1438" s="15"/>
      <c r="W1438" s="15"/>
    </row>
    <row r="1439">
      <c r="R1439" s="9"/>
      <c r="S1439" s="14"/>
      <c r="T1439" s="15"/>
      <c r="U1439" s="15"/>
      <c r="V1439" s="15"/>
      <c r="W1439" s="15"/>
    </row>
    <row r="1440">
      <c r="R1440" s="9"/>
      <c r="S1440" s="14"/>
      <c r="T1440" s="15"/>
      <c r="U1440" s="15"/>
      <c r="V1440" s="15"/>
      <c r="W1440" s="15"/>
    </row>
    <row r="1441">
      <c r="R1441" s="9"/>
      <c r="S1441" s="14"/>
      <c r="T1441" s="15"/>
      <c r="U1441" s="15"/>
      <c r="V1441" s="15"/>
      <c r="W1441" s="15"/>
    </row>
    <row r="1442">
      <c r="R1442" s="9"/>
      <c r="S1442" s="14"/>
      <c r="T1442" s="15"/>
      <c r="U1442" s="15"/>
      <c r="V1442" s="15"/>
      <c r="W1442" s="15"/>
    </row>
    <row r="1443">
      <c r="R1443" s="9"/>
      <c r="S1443" s="14"/>
      <c r="T1443" s="15"/>
      <c r="U1443" s="15"/>
      <c r="V1443" s="15"/>
      <c r="W1443" s="15"/>
    </row>
    <row r="1444">
      <c r="R1444" s="9"/>
      <c r="S1444" s="14"/>
      <c r="T1444" s="15"/>
      <c r="U1444" s="15"/>
      <c r="V1444" s="15"/>
      <c r="W1444" s="15"/>
    </row>
    <row r="1445">
      <c r="R1445" s="9"/>
      <c r="S1445" s="14"/>
      <c r="T1445" s="15"/>
      <c r="U1445" s="15"/>
      <c r="V1445" s="15"/>
      <c r="W1445" s="15"/>
    </row>
    <row r="1446">
      <c r="R1446" s="9"/>
      <c r="S1446" s="14"/>
      <c r="T1446" s="15"/>
      <c r="U1446" s="15"/>
      <c r="V1446" s="15"/>
      <c r="W1446" s="15"/>
    </row>
    <row r="1447">
      <c r="R1447" s="9"/>
      <c r="S1447" s="14"/>
      <c r="T1447" s="15"/>
      <c r="U1447" s="15"/>
      <c r="V1447" s="15"/>
      <c r="W1447" s="15"/>
    </row>
    <row r="1448">
      <c r="R1448" s="9"/>
      <c r="S1448" s="14"/>
      <c r="T1448" s="15"/>
      <c r="U1448" s="15"/>
      <c r="V1448" s="15"/>
      <c r="W1448" s="15"/>
    </row>
    <row r="1449">
      <c r="R1449" s="9"/>
      <c r="S1449" s="14"/>
      <c r="T1449" s="15"/>
      <c r="U1449" s="15"/>
      <c r="V1449" s="15"/>
      <c r="W1449" s="15"/>
    </row>
    <row r="1450">
      <c r="R1450" s="9"/>
      <c r="S1450" s="14"/>
      <c r="T1450" s="15"/>
      <c r="U1450" s="15"/>
      <c r="V1450" s="15"/>
      <c r="W1450" s="15"/>
    </row>
    <row r="1451">
      <c r="R1451" s="9"/>
      <c r="S1451" s="14"/>
      <c r="T1451" s="15"/>
      <c r="U1451" s="15"/>
      <c r="V1451" s="15"/>
      <c r="W1451" s="15"/>
    </row>
    <row r="1452">
      <c r="R1452" s="9"/>
      <c r="S1452" s="14"/>
      <c r="T1452" s="15"/>
      <c r="U1452" s="15"/>
      <c r="V1452" s="15"/>
      <c r="W1452" s="15"/>
    </row>
    <row r="1453">
      <c r="R1453" s="9"/>
      <c r="S1453" s="14"/>
      <c r="T1453" s="15"/>
      <c r="U1453" s="15"/>
      <c r="V1453" s="15"/>
      <c r="W1453" s="15"/>
    </row>
    <row r="1454">
      <c r="R1454" s="9"/>
      <c r="S1454" s="14"/>
      <c r="T1454" s="15"/>
      <c r="U1454" s="15"/>
      <c r="V1454" s="15"/>
      <c r="W1454" s="15"/>
    </row>
    <row r="1455">
      <c r="R1455" s="9"/>
      <c r="S1455" s="14"/>
      <c r="T1455" s="15"/>
      <c r="U1455" s="15"/>
      <c r="V1455" s="15"/>
      <c r="W1455" s="15"/>
    </row>
    <row r="1456">
      <c r="R1456" s="9"/>
      <c r="S1456" s="14"/>
      <c r="T1456" s="15"/>
      <c r="U1456" s="15"/>
      <c r="V1456" s="15"/>
      <c r="W1456" s="15"/>
    </row>
    <row r="1457">
      <c r="R1457" s="9"/>
      <c r="S1457" s="14"/>
      <c r="T1457" s="15"/>
      <c r="U1457" s="15"/>
      <c r="V1457" s="15"/>
      <c r="W1457" s="15"/>
    </row>
    <row r="1458">
      <c r="R1458" s="9"/>
      <c r="S1458" s="14"/>
      <c r="T1458" s="15"/>
      <c r="U1458" s="15"/>
      <c r="V1458" s="15"/>
      <c r="W1458" s="15"/>
    </row>
    <row r="1459">
      <c r="R1459" s="9"/>
      <c r="S1459" s="14"/>
      <c r="T1459" s="15"/>
      <c r="U1459" s="15"/>
      <c r="V1459" s="15"/>
      <c r="W1459" s="15"/>
    </row>
    <row r="1460">
      <c r="R1460" s="9"/>
      <c r="S1460" s="14"/>
      <c r="T1460" s="15"/>
      <c r="U1460" s="15"/>
      <c r="V1460" s="15"/>
      <c r="W1460" s="15"/>
    </row>
    <row r="1461">
      <c r="R1461" s="9"/>
      <c r="S1461" s="14"/>
      <c r="T1461" s="15"/>
      <c r="U1461" s="15"/>
      <c r="V1461" s="15"/>
      <c r="W1461" s="15"/>
    </row>
    <row r="1462">
      <c r="R1462" s="9"/>
      <c r="S1462" s="14"/>
      <c r="T1462" s="15"/>
      <c r="U1462" s="15"/>
      <c r="V1462" s="15"/>
      <c r="W1462" s="15"/>
    </row>
    <row r="1463">
      <c r="R1463" s="9"/>
      <c r="S1463" s="14"/>
      <c r="T1463" s="15"/>
      <c r="U1463" s="15"/>
      <c r="V1463" s="15"/>
      <c r="W1463" s="15"/>
    </row>
    <row r="1464">
      <c r="R1464" s="9"/>
      <c r="S1464" s="14"/>
      <c r="T1464" s="15"/>
      <c r="U1464" s="15"/>
      <c r="V1464" s="15"/>
      <c r="W1464" s="15"/>
    </row>
    <row r="1465">
      <c r="R1465" s="9"/>
      <c r="S1465" s="14"/>
      <c r="T1465" s="15"/>
      <c r="U1465" s="15"/>
      <c r="V1465" s="15"/>
      <c r="W1465" s="15"/>
    </row>
    <row r="1466">
      <c r="R1466" s="9"/>
      <c r="S1466" s="14"/>
      <c r="T1466" s="15"/>
      <c r="U1466" s="15"/>
      <c r="V1466" s="15"/>
      <c r="W1466" s="15"/>
    </row>
    <row r="1467">
      <c r="R1467" s="9"/>
      <c r="S1467" s="14"/>
      <c r="T1467" s="15"/>
      <c r="U1467" s="15"/>
      <c r="V1467" s="15"/>
      <c r="W1467" s="15"/>
    </row>
    <row r="1468">
      <c r="R1468" s="9"/>
      <c r="S1468" s="14"/>
      <c r="T1468" s="15"/>
      <c r="U1468" s="15"/>
      <c r="V1468" s="15"/>
      <c r="W1468" s="15"/>
    </row>
    <row r="1469">
      <c r="R1469" s="9"/>
      <c r="S1469" s="14"/>
      <c r="T1469" s="15"/>
      <c r="U1469" s="15"/>
      <c r="V1469" s="15"/>
      <c r="W1469" s="15"/>
    </row>
    <row r="1470">
      <c r="R1470" s="9"/>
      <c r="S1470" s="14"/>
      <c r="T1470" s="15"/>
      <c r="U1470" s="15"/>
      <c r="V1470" s="15"/>
      <c r="W1470" s="15"/>
    </row>
    <row r="1471">
      <c r="R1471" s="9"/>
      <c r="S1471" s="14"/>
      <c r="T1471" s="15"/>
      <c r="U1471" s="15"/>
      <c r="V1471" s="15"/>
      <c r="W1471" s="15"/>
    </row>
    <row r="1472">
      <c r="R1472" s="9"/>
      <c r="S1472" s="14"/>
      <c r="T1472" s="15"/>
      <c r="U1472" s="15"/>
      <c r="V1472" s="15"/>
      <c r="W1472" s="15"/>
    </row>
    <row r="1473">
      <c r="R1473" s="9"/>
      <c r="S1473" s="14"/>
      <c r="T1473" s="15"/>
      <c r="U1473" s="15"/>
      <c r="V1473" s="15"/>
      <c r="W1473" s="15"/>
    </row>
    <row r="1474">
      <c r="R1474" s="9"/>
      <c r="S1474" s="14"/>
      <c r="T1474" s="15"/>
      <c r="U1474" s="15"/>
      <c r="V1474" s="15"/>
      <c r="W1474" s="15"/>
    </row>
    <row r="1475">
      <c r="R1475" s="9"/>
      <c r="S1475" s="14"/>
      <c r="T1475" s="15"/>
      <c r="U1475" s="15"/>
      <c r="V1475" s="15"/>
      <c r="W1475" s="15"/>
    </row>
    <row r="1476">
      <c r="R1476" s="9"/>
      <c r="S1476" s="14"/>
      <c r="T1476" s="15"/>
      <c r="U1476" s="15"/>
      <c r="V1476" s="15"/>
      <c r="W1476" s="15"/>
    </row>
    <row r="1477">
      <c r="R1477" s="9"/>
      <c r="S1477" s="14"/>
      <c r="T1477" s="15"/>
      <c r="U1477" s="15"/>
      <c r="V1477" s="15"/>
      <c r="W1477" s="15"/>
    </row>
    <row r="1478">
      <c r="R1478" s="9"/>
      <c r="S1478" s="14"/>
      <c r="T1478" s="15"/>
      <c r="U1478" s="15"/>
      <c r="V1478" s="15"/>
      <c r="W1478" s="15"/>
    </row>
    <row r="1479">
      <c r="R1479" s="9"/>
      <c r="S1479" s="14"/>
      <c r="T1479" s="15"/>
      <c r="U1479" s="15"/>
      <c r="V1479" s="15"/>
      <c r="W1479" s="15"/>
    </row>
    <row r="1480">
      <c r="R1480" s="9"/>
      <c r="S1480" s="14"/>
      <c r="T1480" s="15"/>
      <c r="U1480" s="15"/>
      <c r="V1480" s="15"/>
      <c r="W1480" s="15"/>
    </row>
    <row r="1481">
      <c r="R1481" s="9"/>
      <c r="S1481" s="14"/>
      <c r="T1481" s="15"/>
      <c r="U1481" s="15"/>
      <c r="V1481" s="15"/>
      <c r="W1481" s="15"/>
    </row>
    <row r="1482">
      <c r="R1482" s="9"/>
      <c r="S1482" s="14"/>
      <c r="T1482" s="15"/>
      <c r="U1482" s="15"/>
      <c r="V1482" s="15"/>
      <c r="W1482" s="15"/>
    </row>
    <row r="1483">
      <c r="R1483" s="9"/>
      <c r="S1483" s="14"/>
      <c r="T1483" s="15"/>
      <c r="U1483" s="15"/>
      <c r="V1483" s="15"/>
      <c r="W1483" s="15"/>
    </row>
    <row r="1484">
      <c r="R1484" s="9"/>
      <c r="S1484" s="14"/>
      <c r="T1484" s="15"/>
      <c r="U1484" s="15"/>
      <c r="V1484" s="15"/>
      <c r="W1484" s="15"/>
    </row>
    <row r="1485">
      <c r="R1485" s="9"/>
      <c r="S1485" s="14"/>
      <c r="T1485" s="15"/>
      <c r="U1485" s="15"/>
      <c r="V1485" s="15"/>
      <c r="W1485" s="15"/>
    </row>
    <row r="1486">
      <c r="R1486" s="9"/>
      <c r="S1486" s="14"/>
      <c r="T1486" s="15"/>
      <c r="U1486" s="15"/>
      <c r="V1486" s="15"/>
      <c r="W1486" s="15"/>
    </row>
    <row r="1487">
      <c r="R1487" s="9"/>
      <c r="S1487" s="14"/>
      <c r="T1487" s="15"/>
      <c r="U1487" s="15"/>
      <c r="V1487" s="15"/>
      <c r="W1487" s="15"/>
    </row>
    <row r="1488">
      <c r="R1488" s="9"/>
      <c r="S1488" s="14"/>
      <c r="T1488" s="15"/>
      <c r="U1488" s="15"/>
      <c r="V1488" s="15"/>
      <c r="W1488" s="15"/>
    </row>
    <row r="1489">
      <c r="R1489" s="9"/>
      <c r="S1489" s="14"/>
      <c r="T1489" s="15"/>
      <c r="U1489" s="15"/>
      <c r="V1489" s="15"/>
      <c r="W1489" s="15"/>
    </row>
    <row r="1490">
      <c r="R1490" s="9"/>
      <c r="S1490" s="14"/>
      <c r="T1490" s="15"/>
      <c r="U1490" s="15"/>
      <c r="V1490" s="15"/>
      <c r="W1490" s="15"/>
    </row>
    <row r="1491">
      <c r="R1491" s="9"/>
      <c r="S1491" s="14"/>
      <c r="T1491" s="15"/>
      <c r="U1491" s="15"/>
      <c r="V1491" s="15"/>
      <c r="W1491" s="15"/>
    </row>
    <row r="1492">
      <c r="R1492" s="9"/>
      <c r="S1492" s="14"/>
      <c r="T1492" s="15"/>
      <c r="U1492" s="15"/>
      <c r="V1492" s="15"/>
      <c r="W1492" s="15"/>
    </row>
    <row r="1493">
      <c r="R1493" s="9"/>
      <c r="S1493" s="14"/>
      <c r="T1493" s="15"/>
      <c r="U1493" s="15"/>
      <c r="V1493" s="15"/>
      <c r="W1493" s="15"/>
    </row>
    <row r="1494">
      <c r="R1494" s="9"/>
      <c r="S1494" s="14"/>
      <c r="T1494" s="15"/>
      <c r="U1494" s="15"/>
      <c r="V1494" s="15"/>
      <c r="W1494" s="15"/>
    </row>
    <row r="1495">
      <c r="R1495" s="9"/>
      <c r="S1495" s="14"/>
      <c r="T1495" s="15"/>
      <c r="U1495" s="15"/>
      <c r="V1495" s="15"/>
      <c r="W1495" s="15"/>
    </row>
    <row r="1496">
      <c r="R1496" s="9"/>
      <c r="S1496" s="14"/>
      <c r="T1496" s="15"/>
      <c r="U1496" s="15"/>
      <c r="V1496" s="15"/>
      <c r="W1496" s="15"/>
    </row>
    <row r="1497">
      <c r="R1497" s="9"/>
      <c r="S1497" s="14"/>
      <c r="T1497" s="15"/>
      <c r="U1497" s="15"/>
      <c r="V1497" s="15"/>
      <c r="W1497" s="15"/>
    </row>
    <row r="1498">
      <c r="R1498" s="9"/>
      <c r="S1498" s="14"/>
      <c r="T1498" s="15"/>
      <c r="U1498" s="15"/>
      <c r="V1498" s="15"/>
      <c r="W1498" s="15"/>
    </row>
    <row r="1499">
      <c r="R1499" s="9"/>
      <c r="S1499" s="14"/>
      <c r="T1499" s="15"/>
      <c r="U1499" s="15"/>
      <c r="V1499" s="15"/>
      <c r="W1499" s="15"/>
    </row>
    <row r="1500">
      <c r="R1500" s="9"/>
      <c r="S1500" s="14"/>
      <c r="T1500" s="15"/>
      <c r="U1500" s="15"/>
      <c r="V1500" s="15"/>
      <c r="W1500" s="15"/>
    </row>
    <row r="1501">
      <c r="R1501" s="9"/>
      <c r="S1501" s="14"/>
      <c r="T1501" s="15"/>
      <c r="U1501" s="15"/>
      <c r="V1501" s="15"/>
      <c r="W1501" s="15"/>
    </row>
    <row r="1502">
      <c r="R1502" s="9"/>
      <c r="S1502" s="14"/>
      <c r="T1502" s="15"/>
      <c r="U1502" s="15"/>
      <c r="V1502" s="15"/>
      <c r="W1502" s="15"/>
    </row>
    <row r="1503">
      <c r="R1503" s="9"/>
      <c r="S1503" s="14"/>
      <c r="T1503" s="15"/>
      <c r="U1503" s="15"/>
      <c r="V1503" s="15"/>
      <c r="W1503" s="15"/>
    </row>
    <row r="1504">
      <c r="R1504" s="9"/>
      <c r="S1504" s="14"/>
      <c r="T1504" s="15"/>
      <c r="U1504" s="15"/>
      <c r="V1504" s="15"/>
      <c r="W1504" s="15"/>
    </row>
    <row r="1505">
      <c r="R1505" s="9"/>
      <c r="S1505" s="14"/>
      <c r="T1505" s="15"/>
      <c r="U1505" s="15"/>
      <c r="V1505" s="15"/>
      <c r="W1505" s="15"/>
    </row>
    <row r="1506">
      <c r="R1506" s="9"/>
      <c r="S1506" s="14"/>
      <c r="T1506" s="15"/>
      <c r="U1506" s="15"/>
      <c r="V1506" s="15"/>
      <c r="W1506" s="15"/>
    </row>
    <row r="1507">
      <c r="R1507" s="9"/>
      <c r="S1507" s="14"/>
      <c r="T1507" s="15"/>
      <c r="U1507" s="15"/>
      <c r="V1507" s="15"/>
      <c r="W1507" s="15"/>
    </row>
    <row r="1508">
      <c r="R1508" s="9"/>
      <c r="S1508" s="14"/>
      <c r="T1508" s="15"/>
      <c r="U1508" s="15"/>
      <c r="V1508" s="15"/>
      <c r="W1508" s="15"/>
    </row>
    <row r="1509">
      <c r="R1509" s="9"/>
      <c r="S1509" s="14"/>
      <c r="T1509" s="15"/>
      <c r="U1509" s="15"/>
      <c r="V1509" s="15"/>
      <c r="W1509" s="15"/>
    </row>
    <row r="1510">
      <c r="R1510" s="9"/>
      <c r="S1510" s="14"/>
      <c r="T1510" s="15"/>
      <c r="U1510" s="15"/>
      <c r="V1510" s="15"/>
      <c r="W1510" s="15"/>
    </row>
    <row r="1511">
      <c r="R1511" s="9"/>
      <c r="S1511" s="14"/>
      <c r="T1511" s="15"/>
      <c r="U1511" s="15"/>
      <c r="V1511" s="15"/>
      <c r="W1511" s="15"/>
    </row>
    <row r="1512">
      <c r="R1512" s="9"/>
      <c r="S1512" s="14"/>
      <c r="T1512" s="15"/>
      <c r="U1512" s="15"/>
      <c r="V1512" s="15"/>
      <c r="W1512" s="15"/>
    </row>
    <row r="1513">
      <c r="R1513" s="9"/>
      <c r="S1513" s="14"/>
      <c r="T1513" s="15"/>
      <c r="U1513" s="15"/>
      <c r="V1513" s="15"/>
      <c r="W1513" s="15"/>
    </row>
    <row r="1514">
      <c r="R1514" s="9"/>
      <c r="S1514" s="14"/>
      <c r="T1514" s="15"/>
      <c r="U1514" s="15"/>
      <c r="V1514" s="15"/>
      <c r="W1514" s="15"/>
    </row>
    <row r="1515">
      <c r="R1515" s="9"/>
      <c r="S1515" s="14"/>
      <c r="T1515" s="15"/>
      <c r="U1515" s="15"/>
      <c r="V1515" s="15"/>
      <c r="W1515" s="15"/>
    </row>
    <row r="1516">
      <c r="R1516" s="9"/>
      <c r="S1516" s="14"/>
      <c r="T1516" s="15"/>
      <c r="U1516" s="15"/>
      <c r="V1516" s="15"/>
      <c r="W1516" s="15"/>
    </row>
    <row r="1517">
      <c r="R1517" s="9"/>
      <c r="S1517" s="14"/>
      <c r="T1517" s="15"/>
      <c r="U1517" s="15"/>
      <c r="V1517" s="15"/>
      <c r="W1517" s="15"/>
    </row>
    <row r="1518">
      <c r="R1518" s="9"/>
      <c r="S1518" s="14"/>
      <c r="T1518" s="15"/>
      <c r="U1518" s="15"/>
      <c r="V1518" s="15"/>
      <c r="W1518" s="15"/>
    </row>
    <row r="1519">
      <c r="R1519" s="9"/>
      <c r="S1519" s="14"/>
      <c r="T1519" s="15"/>
      <c r="U1519" s="15"/>
      <c r="V1519" s="15"/>
      <c r="W1519" s="15"/>
    </row>
    <row r="1520">
      <c r="R1520" s="9"/>
      <c r="S1520" s="14"/>
      <c r="T1520" s="15"/>
      <c r="U1520" s="15"/>
      <c r="V1520" s="15"/>
      <c r="W1520" s="15"/>
    </row>
    <row r="1521">
      <c r="R1521" s="9"/>
      <c r="S1521" s="14"/>
      <c r="T1521" s="15"/>
      <c r="U1521" s="15"/>
      <c r="V1521" s="15"/>
      <c r="W1521" s="15"/>
    </row>
    <row r="1522">
      <c r="R1522" s="9"/>
      <c r="S1522" s="14"/>
      <c r="T1522" s="15"/>
      <c r="U1522" s="15"/>
      <c r="V1522" s="15"/>
      <c r="W1522" s="15"/>
    </row>
    <row r="1523">
      <c r="R1523" s="9"/>
      <c r="S1523" s="14"/>
      <c r="T1523" s="15"/>
      <c r="U1523" s="15"/>
      <c r="V1523" s="15"/>
      <c r="W1523" s="15"/>
    </row>
    <row r="1524">
      <c r="R1524" s="9"/>
      <c r="S1524" s="14"/>
      <c r="T1524" s="15"/>
      <c r="U1524" s="15"/>
      <c r="V1524" s="15"/>
      <c r="W1524" s="15"/>
    </row>
    <row r="1525">
      <c r="R1525" s="9"/>
      <c r="S1525" s="14"/>
      <c r="T1525" s="15"/>
      <c r="U1525" s="15"/>
      <c r="V1525" s="15"/>
      <c r="W1525" s="15"/>
    </row>
    <row r="1526">
      <c r="R1526" s="9"/>
      <c r="S1526" s="14"/>
      <c r="T1526" s="15"/>
      <c r="U1526" s="15"/>
      <c r="V1526" s="15"/>
      <c r="W1526" s="15"/>
    </row>
    <row r="1527">
      <c r="R1527" s="9"/>
      <c r="S1527" s="14"/>
      <c r="T1527" s="15"/>
      <c r="U1527" s="15"/>
      <c r="V1527" s="15"/>
      <c r="W1527" s="15"/>
    </row>
    <row r="1528">
      <c r="R1528" s="9"/>
      <c r="S1528" s="14"/>
      <c r="T1528" s="15"/>
      <c r="U1528" s="15"/>
      <c r="V1528" s="15"/>
      <c r="W1528" s="15"/>
    </row>
    <row r="1529">
      <c r="R1529" s="9"/>
      <c r="S1529" s="14"/>
      <c r="T1529" s="15"/>
      <c r="U1529" s="15"/>
      <c r="V1529" s="15"/>
      <c r="W1529" s="15"/>
    </row>
    <row r="1530">
      <c r="R1530" s="9"/>
      <c r="S1530" s="14"/>
      <c r="T1530" s="15"/>
      <c r="U1530" s="15"/>
      <c r="V1530" s="15"/>
      <c r="W1530" s="15"/>
    </row>
    <row r="1531">
      <c r="R1531" s="9"/>
      <c r="S1531" s="14"/>
      <c r="T1531" s="15"/>
      <c r="U1531" s="15"/>
      <c r="V1531" s="15"/>
      <c r="W1531" s="15"/>
    </row>
    <row r="1532">
      <c r="R1532" s="9"/>
      <c r="S1532" s="14"/>
      <c r="T1532" s="15"/>
      <c r="U1532" s="15"/>
      <c r="V1532" s="15"/>
      <c r="W1532" s="15"/>
    </row>
    <row r="1533">
      <c r="R1533" s="9"/>
      <c r="S1533" s="14"/>
      <c r="T1533" s="15"/>
      <c r="U1533" s="15"/>
      <c r="V1533" s="15"/>
      <c r="W1533" s="15"/>
    </row>
    <row r="1534">
      <c r="R1534" s="9"/>
      <c r="S1534" s="14"/>
      <c r="T1534" s="15"/>
      <c r="U1534" s="15"/>
      <c r="V1534" s="15"/>
      <c r="W1534" s="15"/>
    </row>
    <row r="1535">
      <c r="R1535" s="9"/>
      <c r="S1535" s="14"/>
      <c r="T1535" s="15"/>
      <c r="U1535" s="15"/>
      <c r="V1535" s="15"/>
      <c r="W1535" s="15"/>
    </row>
    <row r="1536">
      <c r="R1536" s="9"/>
      <c r="S1536" s="14"/>
      <c r="T1536" s="15"/>
      <c r="U1536" s="15"/>
      <c r="V1536" s="15"/>
      <c r="W1536" s="15"/>
    </row>
    <row r="1537">
      <c r="R1537" s="9"/>
      <c r="S1537" s="14"/>
      <c r="T1537" s="15"/>
      <c r="U1537" s="15"/>
      <c r="V1537" s="15"/>
      <c r="W1537" s="15"/>
    </row>
    <row r="1538">
      <c r="R1538" s="9"/>
      <c r="S1538" s="14"/>
      <c r="T1538" s="15"/>
      <c r="U1538" s="15"/>
      <c r="V1538" s="15"/>
      <c r="W1538" s="15"/>
    </row>
    <row r="1539">
      <c r="R1539" s="9"/>
      <c r="S1539" s="14"/>
      <c r="T1539" s="15"/>
      <c r="U1539" s="15"/>
      <c r="V1539" s="15"/>
      <c r="W1539" s="15"/>
    </row>
    <row r="1540">
      <c r="R1540" s="9"/>
      <c r="S1540" s="14"/>
      <c r="T1540" s="15"/>
      <c r="U1540" s="15"/>
      <c r="V1540" s="15"/>
      <c r="W1540" s="15"/>
    </row>
    <row r="1541">
      <c r="R1541" s="9"/>
      <c r="S1541" s="14"/>
      <c r="T1541" s="15"/>
      <c r="U1541" s="15"/>
      <c r="V1541" s="15"/>
      <c r="W1541" s="15"/>
    </row>
    <row r="1542">
      <c r="R1542" s="9"/>
      <c r="S1542" s="14"/>
      <c r="T1542" s="15"/>
      <c r="U1542" s="15"/>
      <c r="V1542" s="15"/>
      <c r="W1542" s="15"/>
    </row>
    <row r="1543">
      <c r="R1543" s="9"/>
      <c r="S1543" s="14"/>
      <c r="T1543" s="15"/>
      <c r="U1543" s="15"/>
      <c r="V1543" s="15"/>
      <c r="W1543" s="15"/>
    </row>
    <row r="1544">
      <c r="R1544" s="9"/>
      <c r="S1544" s="14"/>
      <c r="T1544" s="15"/>
      <c r="U1544" s="15"/>
      <c r="V1544" s="15"/>
      <c r="W1544" s="15"/>
    </row>
    <row r="1545">
      <c r="R1545" s="9"/>
      <c r="S1545" s="14"/>
      <c r="T1545" s="15"/>
      <c r="U1545" s="15"/>
      <c r="V1545" s="15"/>
      <c r="W1545" s="15"/>
    </row>
    <row r="1546">
      <c r="R1546" s="9"/>
      <c r="S1546" s="14"/>
      <c r="T1546" s="15"/>
      <c r="U1546" s="15"/>
      <c r="V1546" s="15"/>
      <c r="W1546" s="15"/>
    </row>
    <row r="1547">
      <c r="R1547" s="9"/>
      <c r="S1547" s="14"/>
      <c r="T1547" s="15"/>
      <c r="U1547" s="15"/>
      <c r="V1547" s="15"/>
      <c r="W1547" s="15"/>
    </row>
    <row r="1548">
      <c r="R1548" s="9"/>
      <c r="S1548" s="14"/>
      <c r="T1548" s="15"/>
      <c r="U1548" s="15"/>
      <c r="V1548" s="15"/>
      <c r="W1548" s="15"/>
    </row>
    <row r="1549">
      <c r="R1549" s="9"/>
      <c r="S1549" s="14"/>
      <c r="T1549" s="15"/>
      <c r="U1549" s="15"/>
      <c r="V1549" s="15"/>
      <c r="W1549" s="15"/>
    </row>
    <row r="1550">
      <c r="R1550" s="9"/>
      <c r="S1550" s="14"/>
      <c r="T1550" s="15"/>
      <c r="U1550" s="15"/>
      <c r="V1550" s="15"/>
      <c r="W1550" s="15"/>
    </row>
    <row r="1551">
      <c r="R1551" s="9"/>
      <c r="S1551" s="14"/>
      <c r="T1551" s="15"/>
      <c r="U1551" s="15"/>
      <c r="V1551" s="15"/>
      <c r="W1551" s="15"/>
    </row>
    <row r="1552">
      <c r="R1552" s="9"/>
      <c r="S1552" s="14"/>
      <c r="T1552" s="15"/>
      <c r="U1552" s="15"/>
      <c r="V1552" s="15"/>
      <c r="W1552" s="15"/>
    </row>
    <row r="1553">
      <c r="R1553" s="9"/>
      <c r="S1553" s="14"/>
      <c r="T1553" s="15"/>
      <c r="U1553" s="15"/>
      <c r="V1553" s="15"/>
      <c r="W1553" s="15"/>
    </row>
    <row r="1554">
      <c r="R1554" s="9"/>
      <c r="S1554" s="14"/>
      <c r="T1554" s="15"/>
      <c r="U1554" s="15"/>
      <c r="V1554" s="15"/>
      <c r="W1554" s="15"/>
    </row>
    <row r="1555">
      <c r="R1555" s="9"/>
      <c r="S1555" s="14"/>
      <c r="T1555" s="15"/>
      <c r="U1555" s="15"/>
      <c r="V1555" s="15"/>
      <c r="W1555" s="15"/>
    </row>
    <row r="1556">
      <c r="R1556" s="9"/>
      <c r="S1556" s="14"/>
      <c r="T1556" s="15"/>
      <c r="U1556" s="15"/>
      <c r="V1556" s="15"/>
      <c r="W1556" s="15"/>
    </row>
    <row r="1557">
      <c r="R1557" s="9"/>
      <c r="S1557" s="14"/>
      <c r="T1557" s="15"/>
      <c r="U1557" s="15"/>
      <c r="V1557" s="15"/>
      <c r="W1557" s="15"/>
    </row>
    <row r="1558">
      <c r="R1558" s="9"/>
      <c r="S1558" s="14"/>
      <c r="T1558" s="15"/>
      <c r="U1558" s="15"/>
      <c r="V1558" s="15"/>
      <c r="W1558" s="15"/>
    </row>
    <row r="1559">
      <c r="R1559" s="9"/>
      <c r="S1559" s="14"/>
      <c r="T1559" s="15"/>
      <c r="U1559" s="15"/>
      <c r="V1559" s="15"/>
      <c r="W1559" s="15"/>
    </row>
    <row r="1560">
      <c r="R1560" s="9"/>
      <c r="S1560" s="14"/>
      <c r="T1560" s="15"/>
      <c r="U1560" s="15"/>
      <c r="V1560" s="15"/>
      <c r="W1560" s="15"/>
    </row>
    <row r="1561">
      <c r="R1561" s="9"/>
      <c r="S1561" s="14"/>
      <c r="T1561" s="15"/>
      <c r="U1561" s="15"/>
      <c r="V1561" s="15"/>
      <c r="W1561" s="15"/>
    </row>
  </sheetData>
  <conditionalFormatting sqref="T1:T1561 U2:V1561">
    <cfRule type="colorScale" priority="1">
      <colorScale>
        <cfvo type="formula" val="0"/>
        <cfvo type="formula" val="50"/>
        <cfvo type="formula" val="100"/>
        <color rgb="FFE67C73"/>
        <color rgb="FFFFFFFF"/>
        <color rgb="FF57BB8A"/>
      </colorScale>
    </cfRule>
  </conditionalFormatting>
  <conditionalFormatting sqref="U1:U1561 V2:V1561">
    <cfRule type="colorScale" priority="2">
      <colorScale>
        <cfvo type="formula" val="0"/>
        <cfvo type="formula" val="50"/>
        <cfvo type="formula" val="100"/>
        <color rgb="FFE67C73"/>
        <color rgb="FFFFFFFF"/>
        <color rgb="FF57BB8A"/>
      </colorScale>
    </cfRule>
  </conditionalFormatting>
  <conditionalFormatting sqref="V1:V1561">
    <cfRule type="colorScale" priority="3">
      <colorScale>
        <cfvo type="formula" val="0"/>
        <cfvo type="formula" val="50"/>
        <cfvo type="formula" val="100"/>
        <color rgb="FFE67C73"/>
        <color rgb="FFFFFFFF"/>
        <color rgb="FF57BB8A"/>
      </colorScale>
    </cfRule>
  </conditionalFormatting>
  <conditionalFormatting sqref="W1:W156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4.0"/>
    <col customWidth="1" min="3" max="3" width="4.13"/>
    <col customWidth="1" min="4" max="4" width="5.13"/>
    <col customWidth="1" min="5" max="5" width="4.0"/>
    <col customWidth="1" min="6" max="6" width="3.25"/>
    <col customWidth="1" min="7" max="7" width="4.38"/>
    <col customWidth="1" min="8" max="8" width="3.0"/>
    <col customWidth="1" min="9" max="9" width="4.0"/>
    <col customWidth="1" min="10" max="10" width="4.38"/>
    <col customWidth="1" min="11" max="11" width="4.25"/>
    <col customWidth="1" min="12" max="12" width="4.13"/>
    <col customWidth="1" min="13" max="13" width="4.38"/>
    <col customWidth="1" min="14" max="14" width="4.25"/>
    <col customWidth="1" min="15" max="15" width="4.13"/>
    <col customWidth="1" min="16" max="16" width="5.13"/>
    <col customWidth="1" min="17" max="17" width="5.5"/>
    <col customWidth="1" min="18" max="18" width="10.25"/>
    <col customWidth="1" min="19" max="19" width="10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4" t="s">
        <v>16</v>
      </c>
      <c r="Q1" s="7" t="s">
        <v>18</v>
      </c>
      <c r="R1" s="4" t="s">
        <v>19</v>
      </c>
      <c r="S1" s="4" t="s">
        <v>21</v>
      </c>
      <c r="U1" s="27"/>
    </row>
    <row r="2">
      <c r="A2" s="26" t="str">
        <f>IFERROR(__xludf.DUMMYFUNCTION("FILTER('Daily Raw Data'!B:B,'Daily Raw Data'!B:B&lt;&gt;""Player"")"),"Shai Gilgeous-Alexander")</f>
        <v>Shai Gilgeous-Alexander</v>
      </c>
      <c r="B2" t="str">
        <f t="array" ref="B2">IFERROR(INDEX('Player Raw Data'!C:C,Match($A2,'Player Raw Data'!$B:$B,0)),"")</f>
        <v>28</v>
      </c>
      <c r="C2" t="str">
        <f t="array" ref="C2">IFERROR(INDEX('Player Raw Data'!D:D,Match($A2,'Player Raw Data'!$B:$B,0)),"")</f>
        <v>OKC</v>
      </c>
      <c r="D2" t="str">
        <f t="array" ref="D2">IFERROR(IF(A2=A1, INDEX('Player Raw Data'!E:E,Match($A2,'Player Raw Data'!$B:$B,0)+2),INDEX('Player Raw Data'!E:E,Match($A2,'Player Raw Data'!$B:$B,0))),"")</f>
        <v>PG</v>
      </c>
      <c r="E2" s="27">
        <f>IFERROR(__xludf.DUMMYFUNCTION("IFERROR(ARRAY_CONSTRAIN(SPLIT(INDEX('Daily Raw Data'!G:G,Match($A2,'Daily Raw Data'!$B:$B,0)),"":""),1,1),"""")"),35.0)</f>
        <v>35</v>
      </c>
      <c r="F2">
        <f t="array" ref="F2">IFERROR(INDEX('Daily Raw Data'!H:H,Match($A2,'Daily Raw Data'!$B:$B,0)),"")</f>
        <v>13</v>
      </c>
      <c r="G2">
        <f t="array" ref="G2">IFERROR(INDEX('Daily Raw Data'!I:I,Match($A2,'Daily Raw Data'!$B:$B,0)),"")</f>
        <v>17</v>
      </c>
      <c r="H2">
        <f t="array" ref="H2">IFERROR(INDEX('Daily Raw Data'!N:N,Match($A2,'Daily Raw Data'!$B:$B,0)),"")</f>
        <v>11</v>
      </c>
      <c r="I2">
        <f t="array" ref="I2">IFERROR(INDEX('Daily Raw Data'!O:O,Match($A2,'Daily Raw Data'!$B:$B,0)),"")</f>
        <v>11</v>
      </c>
      <c r="J2">
        <f t="array" ref="J2">IFERROR(INDEX('Daily Raw Data'!S:S,Match($A2,'Daily Raw Data'!$B:$B,0)),"")</f>
        <v>4</v>
      </c>
      <c r="K2">
        <f t="array" ref="K2">IFERROR(INDEX('Daily Raw Data'!T:T,Match($A2,'Daily Raw Data'!$B:$B,0)),"")</f>
        <v>3</v>
      </c>
      <c r="L2">
        <f t="array" ref="L2">IFERROR(INDEX('Daily Raw Data'!U:U,Match($A2,'Daily Raw Data'!$B:$B,0)),"")</f>
        <v>2</v>
      </c>
      <c r="M2">
        <f t="array" ref="M2">IFERROR(INDEX('Daily Raw Data'!V:V,Match($A2,'Daily Raw Data'!$B:$B,0)),"")</f>
        <v>0</v>
      </c>
      <c r="N2">
        <f t="array" ref="N2">IFERROR(INDEX('Daily Raw Data'!W:W,Match($A2,'Daily Raw Data'!$B:$B,0)),"")</f>
        <v>4</v>
      </c>
      <c r="O2">
        <f t="array" ref="O2">IFERROR(INDEX('Daily Raw Data'!Y:Y,Match($A2,'Daily Raw Data'!$B:$B,0)),"")</f>
        <v>37</v>
      </c>
      <c r="P2">
        <f t="shared" ref="P2:P1000" si="1">IF($A2="","", IF(IFERROR(F2-G2+H2-I2+J2+K2+L2+M2-N2+O2,"")=0,0,IFERROR(F2-G2+H2-I2+J2+K2+L2+M2-N2+O2,"")))</f>
        <v>38</v>
      </c>
      <c r="Q2" s="14">
        <f t="shared" ref="Q2:Q1000" si="2">IF($A2="","", IFERROR(P2/E2,0))</f>
        <v>1.085714286</v>
      </c>
      <c r="R2" s="15">
        <f>IFERROR(__xludf.DUMMYFUNCTION("IF($A2="""","""", IFERROR(PERCENTRANK.INC(FILTER(P:P,$E:$E&lt;&gt;""""),P2)*100,""""))"),100.0)</f>
        <v>100</v>
      </c>
      <c r="S2" s="15">
        <f>IFERROR(__xludf.DUMMYFUNCTION("IF($A2="""","""",IFERROR(PERCENTRANK.INC(FILTER(Q:Q,$E:$E&lt;&gt;""""),Q2)*100,""""))"),97.5)</f>
        <v>97.5</v>
      </c>
      <c r="U2" s="28"/>
    </row>
    <row r="3">
      <c r="A3" t="str">
        <f>IFERROR(__xludf.DUMMYFUNCTION("""COMPUTED_VALUE"""),"Stephen Curry")</f>
        <v>Stephen Curry</v>
      </c>
      <c r="B3" t="str">
        <f t="array" ref="B3">IFERROR(INDEX('Player Raw Data'!C:C,Match($A3,'Player Raw Data'!$B:$B,0)),"")</f>
        <v/>
      </c>
      <c r="C3" t="str">
        <f t="array" ref="C3">IFERROR(INDEX('Player Raw Data'!D:D,Match($A3,'Player Raw Data'!$B:$B,0)),"")</f>
        <v/>
      </c>
      <c r="D3" t="str">
        <f t="array" ref="D3">IFERROR(IF(A3=A2, INDEX('Player Raw Data'!E:E,Match($A3,'Player Raw Data'!$B:$B,0)+2),INDEX('Player Raw Data'!E:E,Match($A3,'Player Raw Data'!$B:$B,0))),"")</f>
        <v/>
      </c>
      <c r="E3" s="27">
        <f>IFERROR(__xludf.DUMMYFUNCTION("IFERROR(ARRAY_CONSTRAIN(SPLIT(INDEX('Daily Raw Data'!G:G,Match($A3,'Daily Raw Data'!$B:$B,0)),"":""),1,1),"""")"),38.0)</f>
        <v>38</v>
      </c>
      <c r="F3">
        <f t="array" ref="F3">IFERROR(INDEX('Daily Raw Data'!H:H,Match($A3,'Daily Raw Data'!$B:$B,0)),"")</f>
        <v>13</v>
      </c>
      <c r="G3">
        <f t="array" ref="G3">IFERROR(INDEX('Daily Raw Data'!I:I,Match($A3,'Daily Raw Data'!$B:$B,0)),"")</f>
        <v>22</v>
      </c>
      <c r="H3">
        <f t="array" ref="H3">IFERROR(INDEX('Daily Raw Data'!N:N,Match($A3,'Daily Raw Data'!$B:$B,0)),"")</f>
        <v>5</v>
      </c>
      <c r="I3">
        <f t="array" ref="I3">IFERROR(INDEX('Daily Raw Data'!O:O,Match($A3,'Daily Raw Data'!$B:$B,0)),"")</f>
        <v>5</v>
      </c>
      <c r="J3">
        <f t="array" ref="J3">IFERROR(INDEX('Daily Raw Data'!S:S,Match($A3,'Daily Raw Data'!$B:$B,0)),"")</f>
        <v>3</v>
      </c>
      <c r="K3">
        <f t="array" ref="K3">IFERROR(INDEX('Daily Raw Data'!T:T,Match($A3,'Daily Raw Data'!$B:$B,0)),"")</f>
        <v>9</v>
      </c>
      <c r="L3">
        <f t="array" ref="L3">IFERROR(INDEX('Daily Raw Data'!U:U,Match($A3,'Daily Raw Data'!$B:$B,0)),"")</f>
        <v>0</v>
      </c>
      <c r="M3">
        <f t="array" ref="M3">IFERROR(INDEX('Daily Raw Data'!V:V,Match($A3,'Daily Raw Data'!$B:$B,0)),"")</f>
        <v>0</v>
      </c>
      <c r="N3">
        <f t="array" ref="N3">IFERROR(INDEX('Daily Raw Data'!W:W,Match($A3,'Daily Raw Data'!$B:$B,0)),"")</f>
        <v>5</v>
      </c>
      <c r="O3">
        <f t="array" ref="O3">IFERROR(INDEX('Daily Raw Data'!Y:Y,Match($A3,'Daily Raw Data'!$B:$B,0)),"")</f>
        <v>39</v>
      </c>
      <c r="P3">
        <f t="shared" si="1"/>
        <v>37</v>
      </c>
      <c r="Q3" s="14">
        <f t="shared" si="2"/>
        <v>0.9736842105</v>
      </c>
      <c r="R3" s="15">
        <f>IFERROR(__xludf.DUMMYFUNCTION("IF($A3="""","""", IFERROR(PERCENTRANK.INC(FILTER(P:P,$E:$E&lt;&gt;""""),P3)*100,""""))"),97.5)</f>
        <v>97.5</v>
      </c>
      <c r="S3" s="15">
        <f>IFERROR(__xludf.DUMMYFUNCTION("IF($A3="""","""",IFERROR(PERCENTRANK.INC(FILTER(Q:Q,$E:$E&lt;&gt;""""),Q3)*100,""""))"),95.0)</f>
        <v>95</v>
      </c>
    </row>
    <row r="4">
      <c r="A4" t="str">
        <f>IFERROR(__xludf.DUMMYFUNCTION("""COMPUTED_VALUE"""),"Aaron Gordon")</f>
        <v>Aaron Gordon</v>
      </c>
      <c r="B4" t="str">
        <f t="array" ref="B4">IFERROR(INDEX('Player Raw Data'!C:C,Match($A4,'Player Raw Data'!$B:$B,0)),"")</f>
        <v/>
      </c>
      <c r="C4" t="str">
        <f t="array" ref="C4">IFERROR(INDEX('Player Raw Data'!D:D,Match($A4,'Player Raw Data'!$B:$B,0)),"")</f>
        <v/>
      </c>
      <c r="D4" t="str">
        <f t="array" ref="D4">IFERROR(IF(A4=A3, INDEX('Player Raw Data'!E:E,Match($A4,'Player Raw Data'!$B:$B,0)+2),INDEX('Player Raw Data'!E:E,Match($A4,'Player Raw Data'!$B:$B,0))),"")</f>
        <v/>
      </c>
      <c r="E4" s="27">
        <f>IFERROR(__xludf.DUMMYFUNCTION("IFERROR(ARRAY_CONSTRAIN(SPLIT(INDEX('Daily Raw Data'!G:G,Match($A4,'Daily Raw Data'!$B:$B,0)),"":""),1,1),"""")"),35.0)</f>
        <v>35</v>
      </c>
      <c r="F4">
        <f t="array" ref="F4">IFERROR(INDEX('Daily Raw Data'!H:H,Match($A4,'Daily Raw Data'!$B:$B,0)),"")</f>
        <v>10</v>
      </c>
      <c r="G4">
        <f t="array" ref="G4">IFERROR(INDEX('Daily Raw Data'!I:I,Match($A4,'Daily Raw Data'!$B:$B,0)),"")</f>
        <v>13</v>
      </c>
      <c r="H4">
        <f t="array" ref="H4">IFERROR(INDEX('Daily Raw Data'!N:N,Match($A4,'Daily Raw Data'!$B:$B,0)),"")</f>
        <v>4</v>
      </c>
      <c r="I4">
        <f t="array" ref="I4">IFERROR(INDEX('Daily Raw Data'!O:O,Match($A4,'Daily Raw Data'!$B:$B,0)),"")</f>
        <v>5</v>
      </c>
      <c r="J4">
        <f t="array" ref="J4">IFERROR(INDEX('Daily Raw Data'!S:S,Match($A4,'Daily Raw Data'!$B:$B,0)),"")</f>
        <v>5</v>
      </c>
      <c r="K4">
        <f t="array" ref="K4">IFERROR(INDEX('Daily Raw Data'!T:T,Match($A4,'Daily Raw Data'!$B:$B,0)),"")</f>
        <v>3</v>
      </c>
      <c r="L4">
        <f t="array" ref="L4">IFERROR(INDEX('Daily Raw Data'!U:U,Match($A4,'Daily Raw Data'!$B:$B,0)),"")</f>
        <v>1</v>
      </c>
      <c r="M4">
        <f t="array" ref="M4">IFERROR(INDEX('Daily Raw Data'!V:V,Match($A4,'Daily Raw Data'!$B:$B,0)),"")</f>
        <v>0</v>
      </c>
      <c r="N4">
        <f t="array" ref="N4">IFERROR(INDEX('Daily Raw Data'!W:W,Match($A4,'Daily Raw Data'!$B:$B,0)),"")</f>
        <v>0</v>
      </c>
      <c r="O4">
        <f t="array" ref="O4">IFERROR(INDEX('Daily Raw Data'!Y:Y,Match($A4,'Daily Raw Data'!$B:$B,0)),"")</f>
        <v>27</v>
      </c>
      <c r="P4">
        <f t="shared" si="1"/>
        <v>32</v>
      </c>
      <c r="Q4" s="14">
        <f t="shared" si="2"/>
        <v>0.9142857143</v>
      </c>
      <c r="R4" s="15">
        <f>IFERROR(__xludf.DUMMYFUNCTION("IF($A4="""","""", IFERROR(PERCENTRANK.INC(FILTER(P:P,$E:$E&lt;&gt;""""),P4)*100,""""))"),95.0)</f>
        <v>95</v>
      </c>
      <c r="S4" s="15">
        <f>IFERROR(__xludf.DUMMYFUNCTION("IF($A4="""","""",IFERROR(PERCENTRANK.INC(FILTER(Q:Q,$E:$E&lt;&gt;""""),Q4)*100,""""))"),90.0)</f>
        <v>90</v>
      </c>
    </row>
    <row r="5">
      <c r="A5" t="str">
        <f>IFERROR(__xludf.DUMMYFUNCTION("""COMPUTED_VALUE"""),"Jalen Suggs")</f>
        <v>Jalen Suggs</v>
      </c>
      <c r="B5" t="str">
        <f t="array" ref="B5">IFERROR(INDEX('Player Raw Data'!C:C,Match($A5,'Player Raw Data'!$B:$B,0)),"")</f>
        <v/>
      </c>
      <c r="C5" t="str">
        <f t="array" ref="C5">IFERROR(INDEX('Player Raw Data'!D:D,Match($A5,'Player Raw Data'!$B:$B,0)),"")</f>
        <v/>
      </c>
      <c r="D5" t="str">
        <f t="array" ref="D5">IFERROR(IF(A5=A4, INDEX('Player Raw Data'!E:E,Match($A5,'Player Raw Data'!$B:$B,0)+2),INDEX('Player Raw Data'!E:E,Match($A5,'Player Raw Data'!$B:$B,0))),"")</f>
        <v/>
      </c>
      <c r="E5" s="27">
        <f>IFERROR(__xludf.DUMMYFUNCTION("IFERROR(ARRAY_CONSTRAIN(SPLIT(INDEX('Daily Raw Data'!G:G,Match($A5,'Daily Raw Data'!$B:$B,0)),"":""),1,1),"""")"),36.0)</f>
        <v>36</v>
      </c>
      <c r="F5">
        <f t="array" ref="F5">IFERROR(INDEX('Daily Raw Data'!H:H,Match($A5,'Daily Raw Data'!$B:$B,0)),"")</f>
        <v>9</v>
      </c>
      <c r="G5">
        <f t="array" ref="G5">IFERROR(INDEX('Daily Raw Data'!I:I,Match($A5,'Daily Raw Data'!$B:$B,0)),"")</f>
        <v>17</v>
      </c>
      <c r="H5">
        <f t="array" ref="H5">IFERROR(INDEX('Daily Raw Data'!N:N,Match($A5,'Daily Raw Data'!$B:$B,0)),"")</f>
        <v>6</v>
      </c>
      <c r="I5">
        <f t="array" ref="I5">IFERROR(INDEX('Daily Raw Data'!O:O,Match($A5,'Daily Raw Data'!$B:$B,0)),"")</f>
        <v>11</v>
      </c>
      <c r="J5">
        <f t="array" ref="J5">IFERROR(INDEX('Daily Raw Data'!S:S,Match($A5,'Daily Raw Data'!$B:$B,0)),"")</f>
        <v>1</v>
      </c>
      <c r="K5">
        <f t="array" ref="K5">IFERROR(INDEX('Daily Raw Data'!T:T,Match($A5,'Daily Raw Data'!$B:$B,0)),"")</f>
        <v>9</v>
      </c>
      <c r="L5">
        <f t="array" ref="L5">IFERROR(INDEX('Daily Raw Data'!U:U,Match($A5,'Daily Raw Data'!$B:$B,0)),"")</f>
        <v>4</v>
      </c>
      <c r="M5">
        <f t="array" ref="M5">IFERROR(INDEX('Daily Raw Data'!V:V,Match($A5,'Daily Raw Data'!$B:$B,0)),"")</f>
        <v>0</v>
      </c>
      <c r="N5">
        <f t="array" ref="N5">IFERROR(INDEX('Daily Raw Data'!W:W,Match($A5,'Daily Raw Data'!$B:$B,0)),"")</f>
        <v>3</v>
      </c>
      <c r="O5">
        <f t="array" ref="O5">IFERROR(INDEX('Daily Raw Data'!Y:Y,Match($A5,'Daily Raw Data'!$B:$B,0)),"")</f>
        <v>26</v>
      </c>
      <c r="P5">
        <f t="shared" si="1"/>
        <v>24</v>
      </c>
      <c r="Q5" s="14">
        <f t="shared" si="2"/>
        <v>0.6666666667</v>
      </c>
      <c r="R5" s="15">
        <f>IFERROR(__xludf.DUMMYFUNCTION("IF($A5="""","""", IFERROR(PERCENTRANK.INC(FILTER(P:P,$E:$E&lt;&gt;""""),P5)*100,""""))"),82.5)</f>
        <v>82.5</v>
      </c>
      <c r="S5" s="15">
        <f>IFERROR(__xludf.DUMMYFUNCTION("IF($A5="""","""",IFERROR(PERCENTRANK.INC(FILTER(Q:Q,$E:$E&lt;&gt;""""),Q5)*100,""""))"),70.0)</f>
        <v>70</v>
      </c>
    </row>
    <row r="6">
      <c r="A6" t="str">
        <f>IFERROR(__xludf.DUMMYFUNCTION("""COMPUTED_VALUE"""),"Chuma Okeke")</f>
        <v>Chuma Okeke</v>
      </c>
      <c r="B6" t="str">
        <f t="array" ref="B6">IFERROR(INDEX('Player Raw Data'!C:C,Match($A6,'Player Raw Data'!$B:$B,0)),"")</f>
        <v/>
      </c>
      <c r="C6" t="str">
        <f t="array" ref="C6">IFERROR(INDEX('Player Raw Data'!D:D,Match($A6,'Player Raw Data'!$B:$B,0)),"")</f>
        <v/>
      </c>
      <c r="D6" t="str">
        <f t="array" ref="D6">IFERROR(IF(A6=A5, INDEX('Player Raw Data'!E:E,Match($A6,'Player Raw Data'!$B:$B,0)+2),INDEX('Player Raw Data'!E:E,Match($A6,'Player Raw Data'!$B:$B,0))),"")</f>
        <v/>
      </c>
      <c r="E6" s="27">
        <f>IFERROR(__xludf.DUMMYFUNCTION("IFERROR(ARRAY_CONSTRAIN(SPLIT(INDEX('Daily Raw Data'!G:G,Match($A6,'Daily Raw Data'!$B:$B,0)),"":""),1,1),"""")"),27.0)</f>
        <v>27</v>
      </c>
      <c r="F6">
        <f t="array" ref="F6">IFERROR(INDEX('Daily Raw Data'!H:H,Match($A6,'Daily Raw Data'!$B:$B,0)),"")</f>
        <v>4</v>
      </c>
      <c r="G6">
        <f t="array" ref="G6">IFERROR(INDEX('Daily Raw Data'!I:I,Match($A6,'Daily Raw Data'!$B:$B,0)),"")</f>
        <v>6</v>
      </c>
      <c r="H6">
        <f t="array" ref="H6">IFERROR(INDEX('Daily Raw Data'!N:N,Match($A6,'Daily Raw Data'!$B:$B,0)),"")</f>
        <v>5</v>
      </c>
      <c r="I6">
        <f t="array" ref="I6">IFERROR(INDEX('Daily Raw Data'!O:O,Match($A6,'Daily Raw Data'!$B:$B,0)),"")</f>
        <v>6</v>
      </c>
      <c r="J6">
        <f t="array" ref="J6">IFERROR(INDEX('Daily Raw Data'!S:S,Match($A6,'Daily Raw Data'!$B:$B,0)),"")</f>
        <v>9</v>
      </c>
      <c r="K6">
        <f t="array" ref="K6">IFERROR(INDEX('Daily Raw Data'!T:T,Match($A6,'Daily Raw Data'!$B:$B,0)),"")</f>
        <v>3</v>
      </c>
      <c r="L6">
        <f t="array" ref="L6">IFERROR(INDEX('Daily Raw Data'!U:U,Match($A6,'Daily Raw Data'!$B:$B,0)),"")</f>
        <v>0</v>
      </c>
      <c r="M6">
        <f t="array" ref="M6">IFERROR(INDEX('Daily Raw Data'!V:V,Match($A6,'Daily Raw Data'!$B:$B,0)),"")</f>
        <v>1</v>
      </c>
      <c r="N6">
        <f t="array" ref="N6">IFERROR(INDEX('Daily Raw Data'!W:W,Match($A6,'Daily Raw Data'!$B:$B,0)),"")</f>
        <v>0</v>
      </c>
      <c r="O6">
        <f t="array" ref="O6">IFERROR(INDEX('Daily Raw Data'!Y:Y,Match($A6,'Daily Raw Data'!$B:$B,0)),"")</f>
        <v>16</v>
      </c>
      <c r="P6">
        <f t="shared" si="1"/>
        <v>26</v>
      </c>
      <c r="Q6" s="14">
        <f t="shared" si="2"/>
        <v>0.962962963</v>
      </c>
      <c r="R6" s="15">
        <f>IFERROR(__xludf.DUMMYFUNCTION("IF($A6="""","""", IFERROR(PERCENTRANK.INC(FILTER(P:P,$E:$E&lt;&gt;""""),P6)*100,""""))"),87.5)</f>
        <v>87.5</v>
      </c>
      <c r="S6" s="15">
        <f>IFERROR(__xludf.DUMMYFUNCTION("IF($A6="""","""",IFERROR(PERCENTRANK.INC(FILTER(Q:Q,$E:$E&lt;&gt;""""),Q6)*100,""""))"),92.5)</f>
        <v>92.5</v>
      </c>
    </row>
    <row r="7">
      <c r="A7" t="str">
        <f>IFERROR(__xludf.DUMMYFUNCTION("""COMPUTED_VALUE"""),"Klay Thompson")</f>
        <v>Klay Thompson</v>
      </c>
      <c r="B7" t="str">
        <f t="array" ref="B7">IFERROR(INDEX('Player Raw Data'!C:C,Match($A7,'Player Raw Data'!$B:$B,0)),"")</f>
        <v/>
      </c>
      <c r="C7" t="str">
        <f t="array" ref="C7">IFERROR(INDEX('Player Raw Data'!D:D,Match($A7,'Player Raw Data'!$B:$B,0)),"")</f>
        <v/>
      </c>
      <c r="D7" t="str">
        <f t="array" ref="D7">IFERROR(IF(A7=A6, INDEX('Player Raw Data'!E:E,Match($A7,'Player Raw Data'!$B:$B,0)+2),INDEX('Player Raw Data'!E:E,Match($A7,'Player Raw Data'!$B:$B,0))),"")</f>
        <v/>
      </c>
      <c r="E7" s="27">
        <f>IFERROR(__xludf.DUMMYFUNCTION("IFERROR(ARRAY_CONSTRAIN(SPLIT(INDEX('Daily Raw Data'!G:G,Match($A7,'Daily Raw Data'!$B:$B,0)),"":""),1,1),"""")"),34.0)</f>
        <v>34</v>
      </c>
      <c r="F7">
        <f t="array" ref="F7">IFERROR(INDEX('Daily Raw Data'!H:H,Match($A7,'Daily Raw Data'!$B:$B,0)),"")</f>
        <v>10</v>
      </c>
      <c r="G7">
        <f t="array" ref="G7">IFERROR(INDEX('Daily Raw Data'!I:I,Match($A7,'Daily Raw Data'!$B:$B,0)),"")</f>
        <v>24</v>
      </c>
      <c r="H7">
        <f t="array" ref="H7">IFERROR(INDEX('Daily Raw Data'!N:N,Match($A7,'Daily Raw Data'!$B:$B,0)),"")</f>
        <v>0</v>
      </c>
      <c r="I7">
        <f t="array" ref="I7">IFERROR(INDEX('Daily Raw Data'!O:O,Match($A7,'Daily Raw Data'!$B:$B,0)),"")</f>
        <v>0</v>
      </c>
      <c r="J7">
        <f t="array" ref="J7">IFERROR(INDEX('Daily Raw Data'!S:S,Match($A7,'Daily Raw Data'!$B:$B,0)),"")</f>
        <v>4</v>
      </c>
      <c r="K7">
        <f t="array" ref="K7">IFERROR(INDEX('Daily Raw Data'!T:T,Match($A7,'Daily Raw Data'!$B:$B,0)),"")</f>
        <v>3</v>
      </c>
      <c r="L7">
        <f t="array" ref="L7">IFERROR(INDEX('Daily Raw Data'!U:U,Match($A7,'Daily Raw Data'!$B:$B,0)),"")</f>
        <v>1</v>
      </c>
      <c r="M7">
        <f t="array" ref="M7">IFERROR(INDEX('Daily Raw Data'!V:V,Match($A7,'Daily Raw Data'!$B:$B,0)),"")</f>
        <v>0</v>
      </c>
      <c r="N7">
        <f t="array" ref="N7">IFERROR(INDEX('Daily Raw Data'!W:W,Match($A7,'Daily Raw Data'!$B:$B,0)),"")</f>
        <v>0</v>
      </c>
      <c r="O7">
        <f t="array" ref="O7">IFERROR(INDEX('Daily Raw Data'!Y:Y,Match($A7,'Daily Raw Data'!$B:$B,0)),"")</f>
        <v>27</v>
      </c>
      <c r="P7">
        <f t="shared" si="1"/>
        <v>21</v>
      </c>
      <c r="Q7" s="14">
        <f t="shared" si="2"/>
        <v>0.6176470588</v>
      </c>
      <c r="R7" s="15">
        <f>IFERROR(__xludf.DUMMYFUNCTION("IF($A7="""","""", IFERROR(PERCENTRANK.INC(FILTER(P:P,$E:$E&lt;&gt;""""),P7)*100,""""))"),80.0)</f>
        <v>80</v>
      </c>
      <c r="S7" s="15">
        <f>IFERROR(__xludf.DUMMYFUNCTION("IF($A7="""","""",IFERROR(PERCENTRANK.INC(FILTER(Q:Q,$E:$E&lt;&gt;""""),Q7)*100,""""))"),62.5)</f>
        <v>62.5</v>
      </c>
    </row>
    <row r="8">
      <c r="A8" t="str">
        <f>IFERROR(__xludf.DUMMYFUNCTION("""COMPUTED_VALUE"""),"Bruce Brown")</f>
        <v>Bruce Brown</v>
      </c>
      <c r="B8" t="str">
        <f t="array" ref="B8">IFERROR(INDEX('Player Raw Data'!C:C,Match($A8,'Player Raw Data'!$B:$B,0)),"")</f>
        <v/>
      </c>
      <c r="C8" t="str">
        <f t="array" ref="C8">IFERROR(INDEX('Player Raw Data'!D:D,Match($A8,'Player Raw Data'!$B:$B,0)),"")</f>
        <v/>
      </c>
      <c r="D8" t="str">
        <f t="array" ref="D8">IFERROR(IF(A8=A7, INDEX('Player Raw Data'!E:E,Match($A8,'Player Raw Data'!$B:$B,0)+2),INDEX('Player Raw Data'!E:E,Match($A8,'Player Raw Data'!$B:$B,0))),"")</f>
        <v/>
      </c>
      <c r="E8" s="27">
        <f>IFERROR(__xludf.DUMMYFUNCTION("IFERROR(ARRAY_CONSTRAIN(SPLIT(INDEX('Daily Raw Data'!G:G,Match($A8,'Daily Raw Data'!$B:$B,0)),"":""),1,1),"""")"),31.0)</f>
        <v>31</v>
      </c>
      <c r="F8">
        <f t="array" ref="F8">IFERROR(INDEX('Daily Raw Data'!H:H,Match($A8,'Daily Raw Data'!$B:$B,0)),"")</f>
        <v>6</v>
      </c>
      <c r="G8">
        <f t="array" ref="G8">IFERROR(INDEX('Daily Raw Data'!I:I,Match($A8,'Daily Raw Data'!$B:$B,0)),"")</f>
        <v>11</v>
      </c>
      <c r="H8">
        <f t="array" ref="H8">IFERROR(INDEX('Daily Raw Data'!N:N,Match($A8,'Daily Raw Data'!$B:$B,0)),"")</f>
        <v>0</v>
      </c>
      <c r="I8">
        <f t="array" ref="I8">IFERROR(INDEX('Daily Raw Data'!O:O,Match($A8,'Daily Raw Data'!$B:$B,0)),"")</f>
        <v>0</v>
      </c>
      <c r="J8">
        <f t="array" ref="J8">IFERROR(INDEX('Daily Raw Data'!S:S,Match($A8,'Daily Raw Data'!$B:$B,0)),"")</f>
        <v>5</v>
      </c>
      <c r="K8">
        <f t="array" ref="K8">IFERROR(INDEX('Daily Raw Data'!T:T,Match($A8,'Daily Raw Data'!$B:$B,0)),"")</f>
        <v>9</v>
      </c>
      <c r="L8">
        <f t="array" ref="L8">IFERROR(INDEX('Daily Raw Data'!U:U,Match($A8,'Daily Raw Data'!$B:$B,0)),"")</f>
        <v>1</v>
      </c>
      <c r="M8">
        <f t="array" ref="M8">IFERROR(INDEX('Daily Raw Data'!V:V,Match($A8,'Daily Raw Data'!$B:$B,0)),"")</f>
        <v>1</v>
      </c>
      <c r="N8">
        <f t="array" ref="N8">IFERROR(INDEX('Daily Raw Data'!W:W,Match($A8,'Daily Raw Data'!$B:$B,0)),"")</f>
        <v>0</v>
      </c>
      <c r="O8">
        <f t="array" ref="O8">IFERROR(INDEX('Daily Raw Data'!Y:Y,Match($A8,'Daily Raw Data'!$B:$B,0)),"")</f>
        <v>15</v>
      </c>
      <c r="P8">
        <f t="shared" si="1"/>
        <v>26</v>
      </c>
      <c r="Q8" s="14">
        <f t="shared" si="2"/>
        <v>0.8387096774</v>
      </c>
      <c r="R8" s="15">
        <f>IFERROR(__xludf.DUMMYFUNCTION("IF($A8="""","""", IFERROR(PERCENTRANK.INC(FILTER(P:P,$E:$E&lt;&gt;""""),P8)*100,""""))"),87.5)</f>
        <v>87.5</v>
      </c>
      <c r="S8" s="15">
        <f>IFERROR(__xludf.DUMMYFUNCTION("IF($A8="""","""",IFERROR(PERCENTRANK.INC(FILTER(Q:Q,$E:$E&lt;&gt;""""),Q8)*100,""""))"),82.5)</f>
        <v>82.5</v>
      </c>
    </row>
    <row r="9">
      <c r="A9" t="str">
        <f>IFERROR(__xludf.DUMMYFUNCTION("""COMPUTED_VALUE"""),"Kevon Looney")</f>
        <v>Kevon Looney</v>
      </c>
      <c r="B9" t="str">
        <f t="array" ref="B9">IFERROR(INDEX('Player Raw Data'!C:C,Match($A9,'Player Raw Data'!$B:$B,0)),"")</f>
        <v/>
      </c>
      <c r="C9" t="str">
        <f t="array" ref="C9">IFERROR(INDEX('Player Raw Data'!D:D,Match($A9,'Player Raw Data'!$B:$B,0)),"")</f>
        <v/>
      </c>
      <c r="D9" t="str">
        <f t="array" ref="D9">IFERROR(IF(A9=A8, INDEX('Player Raw Data'!E:E,Match($A9,'Player Raw Data'!$B:$B,0)+2),INDEX('Player Raw Data'!E:E,Match($A9,'Player Raw Data'!$B:$B,0))),"")</f>
        <v/>
      </c>
      <c r="E9" s="27">
        <f>IFERROR(__xludf.DUMMYFUNCTION("IFERROR(ARRAY_CONSTRAIN(SPLIT(INDEX('Daily Raw Data'!G:G,Match($A9,'Daily Raw Data'!$B:$B,0)),"":""),1,1),"""")"),29.0)</f>
        <v>29</v>
      </c>
      <c r="F9">
        <f t="array" ref="F9">IFERROR(INDEX('Daily Raw Data'!H:H,Match($A9,'Daily Raw Data'!$B:$B,0)),"")</f>
        <v>8</v>
      </c>
      <c r="G9">
        <f t="array" ref="G9">IFERROR(INDEX('Daily Raw Data'!I:I,Match($A9,'Daily Raw Data'!$B:$B,0)),"")</f>
        <v>11</v>
      </c>
      <c r="H9">
        <f t="array" ref="H9">IFERROR(INDEX('Daily Raw Data'!N:N,Match($A9,'Daily Raw Data'!$B:$B,0)),"")</f>
        <v>1</v>
      </c>
      <c r="I9">
        <f t="array" ref="I9">IFERROR(INDEX('Daily Raw Data'!O:O,Match($A9,'Daily Raw Data'!$B:$B,0)),"")</f>
        <v>1</v>
      </c>
      <c r="J9">
        <f t="array" ref="J9">IFERROR(INDEX('Daily Raw Data'!S:S,Match($A9,'Daily Raw Data'!$B:$B,0)),"")</f>
        <v>7</v>
      </c>
      <c r="K9">
        <f t="array" ref="K9">IFERROR(INDEX('Daily Raw Data'!T:T,Match($A9,'Daily Raw Data'!$B:$B,0)),"")</f>
        <v>3</v>
      </c>
      <c r="L9">
        <f t="array" ref="L9">IFERROR(INDEX('Daily Raw Data'!U:U,Match($A9,'Daily Raw Data'!$B:$B,0)),"")</f>
        <v>1</v>
      </c>
      <c r="M9">
        <f t="array" ref="M9">IFERROR(INDEX('Daily Raw Data'!V:V,Match($A9,'Daily Raw Data'!$B:$B,0)),"")</f>
        <v>0</v>
      </c>
      <c r="N9">
        <f t="array" ref="N9">IFERROR(INDEX('Daily Raw Data'!W:W,Match($A9,'Daily Raw Data'!$B:$B,0)),"")</f>
        <v>0</v>
      </c>
      <c r="O9">
        <f t="array" ref="O9">IFERROR(INDEX('Daily Raw Data'!Y:Y,Match($A9,'Daily Raw Data'!$B:$B,0)),"")</f>
        <v>17</v>
      </c>
      <c r="P9">
        <f t="shared" si="1"/>
        <v>25</v>
      </c>
      <c r="Q9" s="14">
        <f t="shared" si="2"/>
        <v>0.8620689655</v>
      </c>
      <c r="R9" s="15">
        <f>IFERROR(__xludf.DUMMYFUNCTION("IF($A9="""","""", IFERROR(PERCENTRANK.INC(FILTER(P:P,$E:$E&lt;&gt;""""),P9)*100,""""))"),85.0)</f>
        <v>85</v>
      </c>
      <c r="S9" s="15">
        <f>IFERROR(__xludf.DUMMYFUNCTION("IF($A9="""","""",IFERROR(PERCENTRANK.INC(FILTER(Q:Q,$E:$E&lt;&gt;""""),Q9)*100,""""))"),87.5)</f>
        <v>87.5</v>
      </c>
    </row>
    <row r="10">
      <c r="A10" t="str">
        <f>IFERROR(__xludf.DUMMYFUNCTION("""COMPUTED_VALUE"""),"Jamal Murray")</f>
        <v>Jamal Murray</v>
      </c>
      <c r="B10" t="str">
        <f t="array" ref="B10">IFERROR(INDEX('Player Raw Data'!C:C,Match($A10,'Player Raw Data'!$B:$B,0)),"")</f>
        <v/>
      </c>
      <c r="C10" t="str">
        <f t="array" ref="C10">IFERROR(INDEX('Player Raw Data'!D:D,Match($A10,'Player Raw Data'!$B:$B,0)),"")</f>
        <v/>
      </c>
      <c r="D10" t="str">
        <f t="array" ref="D10">IFERROR(IF(A10=A9, INDEX('Player Raw Data'!E:E,Match($A10,'Player Raw Data'!$B:$B,0)+2),INDEX('Player Raw Data'!E:E,Match($A10,'Player Raw Data'!$B:$B,0))),"")</f>
        <v/>
      </c>
      <c r="E10" s="27">
        <f>IFERROR(__xludf.DUMMYFUNCTION("IFERROR(ARRAY_CONSTRAIN(SPLIT(INDEX('Daily Raw Data'!G:G,Match($A10,'Daily Raw Data'!$B:$B,0)),"":""),1,1),"""")"),32.0)</f>
        <v>32</v>
      </c>
      <c r="F10">
        <f t="array" ref="F10">IFERROR(INDEX('Daily Raw Data'!H:H,Match($A10,'Daily Raw Data'!$B:$B,0)),"")</f>
        <v>8</v>
      </c>
      <c r="G10">
        <f t="array" ref="G10">IFERROR(INDEX('Daily Raw Data'!I:I,Match($A10,'Daily Raw Data'!$B:$B,0)),"")</f>
        <v>19</v>
      </c>
      <c r="H10">
        <f t="array" ref="H10">IFERROR(INDEX('Daily Raw Data'!N:N,Match($A10,'Daily Raw Data'!$B:$B,0)),"")</f>
        <v>4</v>
      </c>
      <c r="I10">
        <f t="array" ref="I10">IFERROR(INDEX('Daily Raw Data'!O:O,Match($A10,'Daily Raw Data'!$B:$B,0)),"")</f>
        <v>4</v>
      </c>
      <c r="J10">
        <f t="array" ref="J10">IFERROR(INDEX('Daily Raw Data'!S:S,Match($A10,'Daily Raw Data'!$B:$B,0)),"")</f>
        <v>5</v>
      </c>
      <c r="K10">
        <f t="array" ref="K10">IFERROR(INDEX('Daily Raw Data'!T:T,Match($A10,'Daily Raw Data'!$B:$B,0)),"")</f>
        <v>2</v>
      </c>
      <c r="L10">
        <f t="array" ref="L10">IFERROR(INDEX('Daily Raw Data'!U:U,Match($A10,'Daily Raw Data'!$B:$B,0)),"")</f>
        <v>0</v>
      </c>
      <c r="M10">
        <f t="array" ref="M10">IFERROR(INDEX('Daily Raw Data'!V:V,Match($A10,'Daily Raw Data'!$B:$B,0)),"")</f>
        <v>0</v>
      </c>
      <c r="N10">
        <f t="array" ref="N10">IFERROR(INDEX('Daily Raw Data'!W:W,Match($A10,'Daily Raw Data'!$B:$B,0)),"")</f>
        <v>2</v>
      </c>
      <c r="O10">
        <f t="array" ref="O10">IFERROR(INDEX('Daily Raw Data'!Y:Y,Match($A10,'Daily Raw Data'!$B:$B,0)),"")</f>
        <v>24</v>
      </c>
      <c r="P10">
        <f t="shared" si="1"/>
        <v>18</v>
      </c>
      <c r="Q10" s="14">
        <f t="shared" si="2"/>
        <v>0.5625</v>
      </c>
      <c r="R10" s="15">
        <f>IFERROR(__xludf.DUMMYFUNCTION("IF($A10="""","""", IFERROR(PERCENTRANK.INC(FILTER(P:P,$E:$E&lt;&gt;""""),P10)*100,""""))"),70.0)</f>
        <v>70</v>
      </c>
      <c r="S10" s="15">
        <f>IFERROR(__xludf.DUMMYFUNCTION("IF($A10="""","""",IFERROR(PERCENTRANK.INC(FILTER(Q:Q,$E:$E&lt;&gt;""""),Q10)*100,""""))"),55.00000000000001)</f>
        <v>55</v>
      </c>
    </row>
    <row r="11">
      <c r="A11" t="str">
        <f>IFERROR(__xludf.DUMMYFUNCTION("""COMPUTED_VALUE"""),"Nikola Jokić")</f>
        <v>Nikola Jokić</v>
      </c>
      <c r="B11" t="str">
        <f t="array" ref="B11">IFERROR(INDEX('Player Raw Data'!C:C,Match($A11,'Player Raw Data'!$B:$B,0)),"")</f>
        <v/>
      </c>
      <c r="C11" t="str">
        <f t="array" ref="C11">IFERROR(INDEX('Player Raw Data'!D:D,Match($A11,'Player Raw Data'!$B:$B,0)),"")</f>
        <v/>
      </c>
      <c r="D11" t="str">
        <f t="array" ref="D11">IFERROR(IF(A11=A10, INDEX('Player Raw Data'!E:E,Match($A11,'Player Raw Data'!$B:$B,0)+2),INDEX('Player Raw Data'!E:E,Match($A11,'Player Raw Data'!$B:$B,0))),"")</f>
        <v/>
      </c>
      <c r="E11" s="27">
        <f>IFERROR(__xludf.DUMMYFUNCTION("IFERROR(ARRAY_CONSTRAIN(SPLIT(INDEX('Daily Raw Data'!G:G,Match($A11,'Daily Raw Data'!$B:$B,0)),"":""),1,1),"""")"),35.0)</f>
        <v>35</v>
      </c>
      <c r="F11">
        <f t="array" ref="F11">IFERROR(INDEX('Daily Raw Data'!H:H,Match($A11,'Daily Raw Data'!$B:$B,0)),"")</f>
        <v>6</v>
      </c>
      <c r="G11">
        <f t="array" ref="G11">IFERROR(INDEX('Daily Raw Data'!I:I,Match($A11,'Daily Raw Data'!$B:$B,0)),"")</f>
        <v>9</v>
      </c>
      <c r="H11">
        <f t="array" ref="H11">IFERROR(INDEX('Daily Raw Data'!N:N,Match($A11,'Daily Raw Data'!$B:$B,0)),"")</f>
        <v>3</v>
      </c>
      <c r="I11">
        <f t="array" ref="I11">IFERROR(INDEX('Daily Raw Data'!O:O,Match($A11,'Daily Raw Data'!$B:$B,0)),"")</f>
        <v>3</v>
      </c>
      <c r="J11">
        <f t="array" ref="J11">IFERROR(INDEX('Daily Raw Data'!S:S,Match($A11,'Daily Raw Data'!$B:$B,0)),"")</f>
        <v>13</v>
      </c>
      <c r="K11">
        <f t="array" ref="K11">IFERROR(INDEX('Daily Raw Data'!T:T,Match($A11,'Daily Raw Data'!$B:$B,0)),"")</f>
        <v>14</v>
      </c>
      <c r="L11">
        <f t="array" ref="L11">IFERROR(INDEX('Daily Raw Data'!U:U,Match($A11,'Daily Raw Data'!$B:$B,0)),"")</f>
        <v>1</v>
      </c>
      <c r="M11">
        <f t="array" ref="M11">IFERROR(INDEX('Daily Raw Data'!V:V,Match($A11,'Daily Raw Data'!$B:$B,0)),"")</f>
        <v>0</v>
      </c>
      <c r="N11">
        <f t="array" ref="N11">IFERROR(INDEX('Daily Raw Data'!W:W,Match($A11,'Daily Raw Data'!$B:$B,0)),"")</f>
        <v>10</v>
      </c>
      <c r="O11">
        <f t="array" ref="O11">IFERROR(INDEX('Daily Raw Data'!Y:Y,Match($A11,'Daily Raw Data'!$B:$B,0)),"")</f>
        <v>15</v>
      </c>
      <c r="P11">
        <f t="shared" si="1"/>
        <v>30</v>
      </c>
      <c r="Q11" s="14">
        <f t="shared" si="2"/>
        <v>0.8571428571</v>
      </c>
      <c r="R11" s="15">
        <f>IFERROR(__xludf.DUMMYFUNCTION("IF($A11="""","""", IFERROR(PERCENTRANK.INC(FILTER(P:P,$E:$E&lt;&gt;""""),P11)*100,""""))"),92.5)</f>
        <v>92.5</v>
      </c>
      <c r="S11" s="15">
        <f>IFERROR(__xludf.DUMMYFUNCTION("IF($A11="""","""",IFERROR(PERCENTRANK.INC(FILTER(Q:Q,$E:$E&lt;&gt;""""),Q11)*100,""""))"),85.0)</f>
        <v>85</v>
      </c>
    </row>
    <row r="12">
      <c r="A12" t="str">
        <f>IFERROR(__xludf.DUMMYFUNCTION("""COMPUTED_VALUE"""),"Luguentz Dort")</f>
        <v>Luguentz Dort</v>
      </c>
      <c r="B12" t="str">
        <f t="array" ref="B12">IFERROR(INDEX('Player Raw Data'!C:C,Match($A12,'Player Raw Data'!$B:$B,0)),"")</f>
        <v/>
      </c>
      <c r="C12" t="str">
        <f t="array" ref="C12">IFERROR(INDEX('Player Raw Data'!D:D,Match($A12,'Player Raw Data'!$B:$B,0)),"")</f>
        <v/>
      </c>
      <c r="D12" t="str">
        <f t="array" ref="D12">IFERROR(IF(A12=A11, INDEX('Player Raw Data'!E:E,Match($A12,'Player Raw Data'!$B:$B,0)+2),INDEX('Player Raw Data'!E:E,Match($A12,'Player Raw Data'!$B:$B,0))),"")</f>
        <v/>
      </c>
      <c r="E12" s="27">
        <f>IFERROR(__xludf.DUMMYFUNCTION("IFERROR(ARRAY_CONSTRAIN(SPLIT(INDEX('Daily Raw Data'!G:G,Match($A12,'Daily Raw Data'!$B:$B,0)),"":""),1,1),"""")"),30.0)</f>
        <v>30</v>
      </c>
      <c r="F12">
        <f t="array" ref="F12">IFERROR(INDEX('Daily Raw Data'!H:H,Match($A12,'Daily Raw Data'!$B:$B,0)),"")</f>
        <v>8</v>
      </c>
      <c r="G12">
        <f t="array" ref="G12">IFERROR(INDEX('Daily Raw Data'!I:I,Match($A12,'Daily Raw Data'!$B:$B,0)),"")</f>
        <v>15</v>
      </c>
      <c r="H12">
        <f t="array" ref="H12">IFERROR(INDEX('Daily Raw Data'!N:N,Match($A12,'Daily Raw Data'!$B:$B,0)),"")</f>
        <v>2</v>
      </c>
      <c r="I12">
        <f t="array" ref="I12">IFERROR(INDEX('Daily Raw Data'!O:O,Match($A12,'Daily Raw Data'!$B:$B,0)),"")</f>
        <v>3</v>
      </c>
      <c r="J12">
        <f t="array" ref="J12">IFERROR(INDEX('Daily Raw Data'!S:S,Match($A12,'Daily Raw Data'!$B:$B,0)),"")</f>
        <v>3</v>
      </c>
      <c r="K12">
        <f t="array" ref="K12">IFERROR(INDEX('Daily Raw Data'!T:T,Match($A12,'Daily Raw Data'!$B:$B,0)),"")</f>
        <v>1</v>
      </c>
      <c r="L12">
        <f t="array" ref="L12">IFERROR(INDEX('Daily Raw Data'!U:U,Match($A12,'Daily Raw Data'!$B:$B,0)),"")</f>
        <v>1</v>
      </c>
      <c r="M12">
        <f t="array" ref="M12">IFERROR(INDEX('Daily Raw Data'!V:V,Match($A12,'Daily Raw Data'!$B:$B,0)),"")</f>
        <v>1</v>
      </c>
      <c r="N12">
        <f t="array" ref="N12">IFERROR(INDEX('Daily Raw Data'!W:W,Match($A12,'Daily Raw Data'!$B:$B,0)),"")</f>
        <v>0</v>
      </c>
      <c r="O12">
        <f t="array" ref="O12">IFERROR(INDEX('Daily Raw Data'!Y:Y,Match($A12,'Daily Raw Data'!$B:$B,0)),"")</f>
        <v>19</v>
      </c>
      <c r="P12">
        <f t="shared" si="1"/>
        <v>17</v>
      </c>
      <c r="Q12" s="14">
        <f t="shared" si="2"/>
        <v>0.5666666667</v>
      </c>
      <c r="R12" s="15">
        <f>IFERROR(__xludf.DUMMYFUNCTION("IF($A12="""","""", IFERROR(PERCENTRANK.INC(FILTER(P:P,$E:$E&lt;&gt;""""),P12)*100,""""))"),67.5)</f>
        <v>67.5</v>
      </c>
      <c r="S12" s="15">
        <f>IFERROR(__xludf.DUMMYFUNCTION("IF($A12="""","""",IFERROR(PERCENTRANK.INC(FILTER(Q:Q,$E:$E&lt;&gt;""""),Q12)*100,""""))"),57.49999999999999)</f>
        <v>57.5</v>
      </c>
    </row>
    <row r="13">
      <c r="A13" t="str">
        <f>IFERROR(__xludf.DUMMYFUNCTION("""COMPUTED_VALUE"""),"Paolo Banchero")</f>
        <v>Paolo Banchero</v>
      </c>
      <c r="B13" t="str">
        <f t="array" ref="B13">IFERROR(INDEX('Player Raw Data'!C:C,Match($A13,'Player Raw Data'!$B:$B,0)),"")</f>
        <v/>
      </c>
      <c r="C13" t="str">
        <f t="array" ref="C13">IFERROR(INDEX('Player Raw Data'!D:D,Match($A13,'Player Raw Data'!$B:$B,0)),"")</f>
        <v/>
      </c>
      <c r="D13" t="str">
        <f t="array" ref="D13">IFERROR(IF(A13=A12, INDEX('Player Raw Data'!E:E,Match($A13,'Player Raw Data'!$B:$B,0)+2),INDEX('Player Raw Data'!E:E,Match($A13,'Player Raw Data'!$B:$B,0))),"")</f>
        <v/>
      </c>
      <c r="E13" s="27">
        <f>IFERROR(__xludf.DUMMYFUNCTION("IFERROR(ARRAY_CONSTRAIN(SPLIT(INDEX('Daily Raw Data'!G:G,Match($A13,'Daily Raw Data'!$B:$B,0)),"":""),1,1),"""")"),36.0)</f>
        <v>36</v>
      </c>
      <c r="F13">
        <f t="array" ref="F13">IFERROR(INDEX('Daily Raw Data'!H:H,Match($A13,'Daily Raw Data'!$B:$B,0)),"")</f>
        <v>8</v>
      </c>
      <c r="G13">
        <f t="array" ref="G13">IFERROR(INDEX('Daily Raw Data'!I:I,Match($A13,'Daily Raw Data'!$B:$B,0)),"")</f>
        <v>17</v>
      </c>
      <c r="H13">
        <f t="array" ref="H13">IFERROR(INDEX('Daily Raw Data'!N:N,Match($A13,'Daily Raw Data'!$B:$B,0)),"")</f>
        <v>6</v>
      </c>
      <c r="I13">
        <f t="array" ref="I13">IFERROR(INDEX('Daily Raw Data'!O:O,Match($A13,'Daily Raw Data'!$B:$B,0)),"")</f>
        <v>9</v>
      </c>
      <c r="J13">
        <f t="array" ref="J13">IFERROR(INDEX('Daily Raw Data'!S:S,Match($A13,'Daily Raw Data'!$B:$B,0)),"")</f>
        <v>8</v>
      </c>
      <c r="K13">
        <f t="array" ref="K13">IFERROR(INDEX('Daily Raw Data'!T:T,Match($A13,'Daily Raw Data'!$B:$B,0)),"")</f>
        <v>3</v>
      </c>
      <c r="L13">
        <f t="array" ref="L13">IFERROR(INDEX('Daily Raw Data'!U:U,Match($A13,'Daily Raw Data'!$B:$B,0)),"")</f>
        <v>1</v>
      </c>
      <c r="M13">
        <f t="array" ref="M13">IFERROR(INDEX('Daily Raw Data'!V:V,Match($A13,'Daily Raw Data'!$B:$B,0)),"")</f>
        <v>1</v>
      </c>
      <c r="N13">
        <f t="array" ref="N13">IFERROR(INDEX('Daily Raw Data'!W:W,Match($A13,'Daily Raw Data'!$B:$B,0)),"")</f>
        <v>5</v>
      </c>
      <c r="O13">
        <f t="array" ref="O13">IFERROR(INDEX('Daily Raw Data'!Y:Y,Match($A13,'Daily Raw Data'!$B:$B,0)),"")</f>
        <v>22</v>
      </c>
      <c r="P13">
        <f t="shared" si="1"/>
        <v>18</v>
      </c>
      <c r="Q13" s="14">
        <f t="shared" si="2"/>
        <v>0.5</v>
      </c>
      <c r="R13" s="15">
        <f>IFERROR(__xludf.DUMMYFUNCTION("IF($A13="""","""", IFERROR(PERCENTRANK.INC(FILTER(P:P,$E:$E&lt;&gt;""""),P13)*100,""""))"),70.0)</f>
        <v>70</v>
      </c>
      <c r="S13" s="15">
        <f>IFERROR(__xludf.DUMMYFUNCTION("IF($A13="""","""",IFERROR(PERCENTRANK.INC(FILTER(Q:Q,$E:$E&lt;&gt;""""),Q13)*100,""""))"),42.5)</f>
        <v>42.5</v>
      </c>
    </row>
    <row r="14">
      <c r="A14" t="str">
        <f>IFERROR(__xludf.DUMMYFUNCTION("""COMPUTED_VALUE"""),"Wendell Carter Jr.")</f>
        <v>Wendell Carter Jr.</v>
      </c>
      <c r="B14" t="str">
        <f t="array" ref="B14">IFERROR(INDEX('Player Raw Data'!C:C,Match($A14,'Player Raw Data'!$B:$B,0)),"")</f>
        <v/>
      </c>
      <c r="C14" t="str">
        <f t="array" ref="C14">IFERROR(INDEX('Player Raw Data'!D:D,Match($A14,'Player Raw Data'!$B:$B,0)),"")</f>
        <v/>
      </c>
      <c r="D14" t="str">
        <f t="array" ref="D14">IFERROR(IF(A14=A13, INDEX('Player Raw Data'!E:E,Match($A14,'Player Raw Data'!$B:$B,0)+2),INDEX('Player Raw Data'!E:E,Match($A14,'Player Raw Data'!$B:$B,0))),"")</f>
        <v/>
      </c>
      <c r="E14" s="27">
        <f>IFERROR(__xludf.DUMMYFUNCTION("IFERROR(ARRAY_CONSTRAIN(SPLIT(INDEX('Daily Raw Data'!G:G,Match($A14,'Daily Raw Data'!$B:$B,0)),"":""),1,1),"""")"),33.0)</f>
        <v>33</v>
      </c>
      <c r="F14">
        <f t="array" ref="F14">IFERROR(INDEX('Daily Raw Data'!H:H,Match($A14,'Daily Raw Data'!$B:$B,0)),"")</f>
        <v>4</v>
      </c>
      <c r="G14">
        <f t="array" ref="G14">IFERROR(INDEX('Daily Raw Data'!I:I,Match($A14,'Daily Raw Data'!$B:$B,0)),"")</f>
        <v>9</v>
      </c>
      <c r="H14">
        <f t="array" ref="H14">IFERROR(INDEX('Daily Raw Data'!N:N,Match($A14,'Daily Raw Data'!$B:$B,0)),"")</f>
        <v>4</v>
      </c>
      <c r="I14">
        <f t="array" ref="I14">IFERROR(INDEX('Daily Raw Data'!O:O,Match($A14,'Daily Raw Data'!$B:$B,0)),"")</f>
        <v>6</v>
      </c>
      <c r="J14">
        <f t="array" ref="J14">IFERROR(INDEX('Daily Raw Data'!S:S,Match($A14,'Daily Raw Data'!$B:$B,0)),"")</f>
        <v>9</v>
      </c>
      <c r="K14">
        <f t="array" ref="K14">IFERROR(INDEX('Daily Raw Data'!T:T,Match($A14,'Daily Raw Data'!$B:$B,0)),"")</f>
        <v>2</v>
      </c>
      <c r="L14">
        <f t="array" ref="L14">IFERROR(INDEX('Daily Raw Data'!U:U,Match($A14,'Daily Raw Data'!$B:$B,0)),"")</f>
        <v>1</v>
      </c>
      <c r="M14">
        <f t="array" ref="M14">IFERROR(INDEX('Daily Raw Data'!V:V,Match($A14,'Daily Raw Data'!$B:$B,0)),"")</f>
        <v>1</v>
      </c>
      <c r="N14">
        <f t="array" ref="N14">IFERROR(INDEX('Daily Raw Data'!W:W,Match($A14,'Daily Raw Data'!$B:$B,0)),"")</f>
        <v>2</v>
      </c>
      <c r="O14">
        <f t="array" ref="O14">IFERROR(INDEX('Daily Raw Data'!Y:Y,Match($A14,'Daily Raw Data'!$B:$B,0)),"")</f>
        <v>14</v>
      </c>
      <c r="P14">
        <f t="shared" si="1"/>
        <v>18</v>
      </c>
      <c r="Q14" s="14">
        <f t="shared" si="2"/>
        <v>0.5454545455</v>
      </c>
      <c r="R14" s="15">
        <f>IFERROR(__xludf.DUMMYFUNCTION("IF($A14="""","""", IFERROR(PERCENTRANK.INC(FILTER(P:P,$E:$E&lt;&gt;""""),P14)*100,""""))"),70.0)</f>
        <v>70</v>
      </c>
      <c r="S14" s="15">
        <f>IFERROR(__xludf.DUMMYFUNCTION("IF($A14="""","""",IFERROR(PERCENTRANK.INC(FILTER(Q:Q,$E:$E&lt;&gt;""""),Q14)*100,""""))"),47.5)</f>
        <v>47.5</v>
      </c>
    </row>
    <row r="15">
      <c r="A15" t="str">
        <f>IFERROR(__xludf.DUMMYFUNCTION("""COMPUTED_VALUE"""),"R.J. Hampton")</f>
        <v>R.J. Hampton</v>
      </c>
      <c r="B15" t="str">
        <f t="array" ref="B15">IFERROR(INDEX('Player Raw Data'!C:C,Match($A15,'Player Raw Data'!$B:$B,0)),"")</f>
        <v/>
      </c>
      <c r="C15" t="str">
        <f t="array" ref="C15">IFERROR(INDEX('Player Raw Data'!D:D,Match($A15,'Player Raw Data'!$B:$B,0)),"")</f>
        <v/>
      </c>
      <c r="D15" t="str">
        <f t="array" ref="D15">IFERROR(IF(A15=A14, INDEX('Player Raw Data'!E:E,Match($A15,'Player Raw Data'!$B:$B,0)+2),INDEX('Player Raw Data'!E:E,Match($A15,'Player Raw Data'!$B:$B,0))),"")</f>
        <v/>
      </c>
      <c r="E15" s="27">
        <f>IFERROR(__xludf.DUMMYFUNCTION("IFERROR(ARRAY_CONSTRAIN(SPLIT(INDEX('Daily Raw Data'!G:G,Match($A15,'Daily Raw Data'!$B:$B,0)),"":""),1,1),"""")"),20.0)</f>
        <v>20</v>
      </c>
      <c r="F15">
        <f t="array" ref="F15">IFERROR(INDEX('Daily Raw Data'!H:H,Match($A15,'Daily Raw Data'!$B:$B,0)),"")</f>
        <v>4</v>
      </c>
      <c r="G15">
        <f t="array" ref="G15">IFERROR(INDEX('Daily Raw Data'!I:I,Match($A15,'Daily Raw Data'!$B:$B,0)),"")</f>
        <v>6</v>
      </c>
      <c r="H15">
        <f t="array" ref="H15">IFERROR(INDEX('Daily Raw Data'!N:N,Match($A15,'Daily Raw Data'!$B:$B,0)),"")</f>
        <v>4</v>
      </c>
      <c r="I15">
        <f t="array" ref="I15">IFERROR(INDEX('Daily Raw Data'!O:O,Match($A15,'Daily Raw Data'!$B:$B,0)),"")</f>
        <v>4</v>
      </c>
      <c r="J15">
        <f t="array" ref="J15">IFERROR(INDEX('Daily Raw Data'!S:S,Match($A15,'Daily Raw Data'!$B:$B,0)),"")</f>
        <v>2</v>
      </c>
      <c r="K15">
        <f t="array" ref="K15">IFERROR(INDEX('Daily Raw Data'!T:T,Match($A15,'Daily Raw Data'!$B:$B,0)),"")</f>
        <v>0</v>
      </c>
      <c r="L15">
        <f t="array" ref="L15">IFERROR(INDEX('Daily Raw Data'!U:U,Match($A15,'Daily Raw Data'!$B:$B,0)),"")</f>
        <v>1</v>
      </c>
      <c r="M15">
        <f t="array" ref="M15">IFERROR(INDEX('Daily Raw Data'!V:V,Match($A15,'Daily Raw Data'!$B:$B,0)),"")</f>
        <v>1</v>
      </c>
      <c r="N15">
        <f t="array" ref="N15">IFERROR(INDEX('Daily Raw Data'!W:W,Match($A15,'Daily Raw Data'!$B:$B,0)),"")</f>
        <v>3</v>
      </c>
      <c r="O15">
        <f t="array" ref="O15">IFERROR(INDEX('Daily Raw Data'!Y:Y,Match($A15,'Daily Raw Data'!$B:$B,0)),"")</f>
        <v>15</v>
      </c>
      <c r="P15">
        <f t="shared" si="1"/>
        <v>14</v>
      </c>
      <c r="Q15" s="14">
        <f t="shared" si="2"/>
        <v>0.7</v>
      </c>
      <c r="R15" s="15">
        <f>IFERROR(__xludf.DUMMYFUNCTION("IF($A15="""","""", IFERROR(PERCENTRANK.INC(FILTER(P:P,$E:$E&lt;&gt;""""),P15)*100,""""))"),62.5)</f>
        <v>62.5</v>
      </c>
      <c r="S15" s="15">
        <f>IFERROR(__xludf.DUMMYFUNCTION("IF($A15="""","""",IFERROR(PERCENTRANK.INC(FILTER(Q:Q,$E:$E&lt;&gt;""""),Q15)*100,""""))"),77.5)</f>
        <v>77.5</v>
      </c>
    </row>
    <row r="16">
      <c r="A16" t="str">
        <f>IFERROR(__xludf.DUMMYFUNCTION("""COMPUTED_VALUE"""),"Draymond Green")</f>
        <v>Draymond Green</v>
      </c>
      <c r="B16" t="str">
        <f t="array" ref="B16">IFERROR(INDEX('Player Raw Data'!C:C,Match($A16,'Player Raw Data'!$B:$B,0)),"")</f>
        <v/>
      </c>
      <c r="C16" t="str">
        <f t="array" ref="C16">IFERROR(INDEX('Player Raw Data'!D:D,Match($A16,'Player Raw Data'!$B:$B,0)),"")</f>
        <v/>
      </c>
      <c r="D16" t="str">
        <f t="array" ref="D16">IFERROR(IF(A16=A15, INDEX('Player Raw Data'!E:E,Match($A16,'Player Raw Data'!$B:$B,0)+2),INDEX('Player Raw Data'!E:E,Match($A16,'Player Raw Data'!$B:$B,0))),"")</f>
        <v/>
      </c>
      <c r="E16" s="27">
        <f>IFERROR(__xludf.DUMMYFUNCTION("IFERROR(ARRAY_CONSTRAIN(SPLIT(INDEX('Daily Raw Data'!G:G,Match($A16,'Daily Raw Data'!$B:$B,0)),"":""),1,1),"""")"),29.0)</f>
        <v>29</v>
      </c>
      <c r="F16">
        <f t="array" ref="F16">IFERROR(INDEX('Daily Raw Data'!H:H,Match($A16,'Daily Raw Data'!$B:$B,0)),"")</f>
        <v>4</v>
      </c>
      <c r="G16">
        <f t="array" ref="G16">IFERROR(INDEX('Daily Raw Data'!I:I,Match($A16,'Daily Raw Data'!$B:$B,0)),"")</f>
        <v>5</v>
      </c>
      <c r="H16">
        <f t="array" ref="H16">IFERROR(INDEX('Daily Raw Data'!N:N,Match($A16,'Daily Raw Data'!$B:$B,0)),"")</f>
        <v>0</v>
      </c>
      <c r="I16">
        <f t="array" ref="I16">IFERROR(INDEX('Daily Raw Data'!O:O,Match($A16,'Daily Raw Data'!$B:$B,0)),"")</f>
        <v>1</v>
      </c>
      <c r="J16">
        <f t="array" ref="J16">IFERROR(INDEX('Daily Raw Data'!S:S,Match($A16,'Daily Raw Data'!$B:$B,0)),"")</f>
        <v>5</v>
      </c>
      <c r="K16">
        <f t="array" ref="K16">IFERROR(INDEX('Daily Raw Data'!T:T,Match($A16,'Daily Raw Data'!$B:$B,0)),"")</f>
        <v>7</v>
      </c>
      <c r="L16">
        <f t="array" ref="L16">IFERROR(INDEX('Daily Raw Data'!U:U,Match($A16,'Daily Raw Data'!$B:$B,0)),"")</f>
        <v>1</v>
      </c>
      <c r="M16">
        <f t="array" ref="M16">IFERROR(INDEX('Daily Raw Data'!V:V,Match($A16,'Daily Raw Data'!$B:$B,0)),"")</f>
        <v>0</v>
      </c>
      <c r="N16">
        <f t="array" ref="N16">IFERROR(INDEX('Daily Raw Data'!W:W,Match($A16,'Daily Raw Data'!$B:$B,0)),"")</f>
        <v>0</v>
      </c>
      <c r="O16">
        <f t="array" ref="O16">IFERROR(INDEX('Daily Raw Data'!Y:Y,Match($A16,'Daily Raw Data'!$B:$B,0)),"")</f>
        <v>8</v>
      </c>
      <c r="P16">
        <f t="shared" si="1"/>
        <v>19</v>
      </c>
      <c r="Q16" s="14">
        <f t="shared" si="2"/>
        <v>0.6551724138</v>
      </c>
      <c r="R16" s="15">
        <f>IFERROR(__xludf.DUMMYFUNCTION("IF($A16="""","""", IFERROR(PERCENTRANK.INC(FILTER(P:P,$E:$E&lt;&gt;""""),P16)*100,""""))"),77.5)</f>
        <v>77.5</v>
      </c>
      <c r="S16" s="15">
        <f>IFERROR(__xludf.DUMMYFUNCTION("IF($A16="""","""",IFERROR(PERCENTRANK.INC(FILTER(Q:Q,$E:$E&lt;&gt;""""),Q16)*100,""""))"),67.5)</f>
        <v>67.5</v>
      </c>
    </row>
    <row r="17">
      <c r="A17" t="str">
        <f>IFERROR(__xludf.DUMMYFUNCTION("""COMPUTED_VALUE"""),"Kevon Harris")</f>
        <v>Kevon Harris</v>
      </c>
      <c r="B17" t="str">
        <f t="array" ref="B17">IFERROR(INDEX('Player Raw Data'!C:C,Match($A17,'Player Raw Data'!$B:$B,0)),"")</f>
        <v/>
      </c>
      <c r="C17" t="str">
        <f t="array" ref="C17">IFERROR(INDEX('Player Raw Data'!D:D,Match($A17,'Player Raw Data'!$B:$B,0)),"")</f>
        <v/>
      </c>
      <c r="D17" t="str">
        <f t="array" ref="D17">IFERROR(IF(A17=A16, INDEX('Player Raw Data'!E:E,Match($A17,'Player Raw Data'!$B:$B,0)+2),INDEX('Player Raw Data'!E:E,Match($A17,'Player Raw Data'!$B:$B,0))),"")</f>
        <v/>
      </c>
      <c r="E17" s="27">
        <f>IFERROR(__xludf.DUMMYFUNCTION("IFERROR(ARRAY_CONSTRAIN(SPLIT(INDEX('Daily Raw Data'!G:G,Match($A17,'Daily Raw Data'!$B:$B,0)),"":""),1,1),"""")"),20.0)</f>
        <v>20</v>
      </c>
      <c r="F17">
        <f t="array" ref="F17">IFERROR(INDEX('Daily Raw Data'!H:H,Match($A17,'Daily Raw Data'!$B:$B,0)),"")</f>
        <v>4</v>
      </c>
      <c r="G17">
        <f t="array" ref="G17">IFERROR(INDEX('Daily Raw Data'!I:I,Match($A17,'Daily Raw Data'!$B:$B,0)),"")</f>
        <v>7</v>
      </c>
      <c r="H17">
        <f t="array" ref="H17">IFERROR(INDEX('Daily Raw Data'!N:N,Match($A17,'Daily Raw Data'!$B:$B,0)),"")</f>
        <v>2</v>
      </c>
      <c r="I17">
        <f t="array" ref="I17">IFERROR(INDEX('Daily Raw Data'!O:O,Match($A17,'Daily Raw Data'!$B:$B,0)),"")</f>
        <v>3</v>
      </c>
      <c r="J17">
        <f t="array" ref="J17">IFERROR(INDEX('Daily Raw Data'!S:S,Match($A17,'Daily Raw Data'!$B:$B,0)),"")</f>
        <v>5</v>
      </c>
      <c r="K17">
        <f t="array" ref="K17">IFERROR(INDEX('Daily Raw Data'!T:T,Match($A17,'Daily Raw Data'!$B:$B,0)),"")</f>
        <v>0</v>
      </c>
      <c r="L17">
        <f t="array" ref="L17">IFERROR(INDEX('Daily Raw Data'!U:U,Match($A17,'Daily Raw Data'!$B:$B,0)),"")</f>
        <v>1</v>
      </c>
      <c r="M17">
        <f t="array" ref="M17">IFERROR(INDEX('Daily Raw Data'!V:V,Match($A17,'Daily Raw Data'!$B:$B,0)),"")</f>
        <v>0</v>
      </c>
      <c r="N17">
        <f t="array" ref="N17">IFERROR(INDEX('Daily Raw Data'!W:W,Match($A17,'Daily Raw Data'!$B:$B,0)),"")</f>
        <v>1</v>
      </c>
      <c r="O17">
        <f t="array" ref="O17">IFERROR(INDEX('Daily Raw Data'!Y:Y,Match($A17,'Daily Raw Data'!$B:$B,0)),"")</f>
        <v>12</v>
      </c>
      <c r="P17">
        <f t="shared" si="1"/>
        <v>13</v>
      </c>
      <c r="Q17" s="14">
        <f t="shared" si="2"/>
        <v>0.65</v>
      </c>
      <c r="R17" s="15">
        <f>IFERROR(__xludf.DUMMYFUNCTION("IF($A17="""","""", IFERROR(PERCENTRANK.INC(FILTER(P:P,$E:$E&lt;&gt;""""),P17)*100,""""))"),60.0)</f>
        <v>60</v>
      </c>
      <c r="S17" s="15">
        <f>IFERROR(__xludf.DUMMYFUNCTION("IF($A17="""","""",IFERROR(PERCENTRANK.INC(FILTER(Q:Q,$E:$E&lt;&gt;""""),Q17)*100,""""))"),65.0)</f>
        <v>65</v>
      </c>
    </row>
    <row r="18">
      <c r="A18" t="str">
        <f>IFERROR(__xludf.DUMMYFUNCTION("""COMPUTED_VALUE"""),"Franz Wagner")</f>
        <v>Franz Wagner</v>
      </c>
      <c r="B18" t="str">
        <f t="array" ref="B18">IFERROR(INDEX('Player Raw Data'!C:C,Match($A18,'Player Raw Data'!$B:$B,0)),"")</f>
        <v/>
      </c>
      <c r="C18" t="str">
        <f t="array" ref="C18">IFERROR(INDEX('Player Raw Data'!D:D,Match($A18,'Player Raw Data'!$B:$B,0)),"")</f>
        <v/>
      </c>
      <c r="D18" t="str">
        <f t="array" ref="D18">IFERROR(IF(A18=A17, INDEX('Player Raw Data'!E:E,Match($A18,'Player Raw Data'!$B:$B,0)+2),INDEX('Player Raw Data'!E:E,Match($A18,'Player Raw Data'!$B:$B,0))),"")</f>
        <v/>
      </c>
      <c r="E18" s="27">
        <f>IFERROR(__xludf.DUMMYFUNCTION("IFERROR(ARRAY_CONSTRAIN(SPLIT(INDEX('Daily Raw Data'!G:G,Match($A18,'Daily Raw Data'!$B:$B,0)),"":""),1,1),"""")"),36.0)</f>
        <v>36</v>
      </c>
      <c r="F18">
        <f t="array" ref="F18">IFERROR(INDEX('Daily Raw Data'!H:H,Match($A18,'Daily Raw Data'!$B:$B,0)),"")</f>
        <v>7</v>
      </c>
      <c r="G18">
        <f t="array" ref="G18">IFERROR(INDEX('Daily Raw Data'!I:I,Match($A18,'Daily Raw Data'!$B:$B,0)),"")</f>
        <v>12</v>
      </c>
      <c r="H18">
        <f t="array" ref="H18">IFERROR(INDEX('Daily Raw Data'!N:N,Match($A18,'Daily Raw Data'!$B:$B,0)),"")</f>
        <v>4</v>
      </c>
      <c r="I18">
        <f t="array" ref="I18">IFERROR(INDEX('Daily Raw Data'!O:O,Match($A18,'Daily Raw Data'!$B:$B,0)),"")</f>
        <v>5</v>
      </c>
      <c r="J18">
        <f t="array" ref="J18">IFERROR(INDEX('Daily Raw Data'!S:S,Match($A18,'Daily Raw Data'!$B:$B,0)),"")</f>
        <v>3</v>
      </c>
      <c r="K18">
        <f t="array" ref="K18">IFERROR(INDEX('Daily Raw Data'!T:T,Match($A18,'Daily Raw Data'!$B:$B,0)),"")</f>
        <v>2</v>
      </c>
      <c r="L18">
        <f t="array" ref="L18">IFERROR(INDEX('Daily Raw Data'!U:U,Match($A18,'Daily Raw Data'!$B:$B,0)),"")</f>
        <v>0</v>
      </c>
      <c r="M18">
        <f t="array" ref="M18">IFERROR(INDEX('Daily Raw Data'!V:V,Match($A18,'Daily Raw Data'!$B:$B,0)),"")</f>
        <v>0</v>
      </c>
      <c r="N18">
        <f t="array" ref="N18">IFERROR(INDEX('Daily Raw Data'!W:W,Match($A18,'Daily Raw Data'!$B:$B,0)),"")</f>
        <v>4</v>
      </c>
      <c r="O18">
        <f t="array" ref="O18">IFERROR(INDEX('Daily Raw Data'!Y:Y,Match($A18,'Daily Raw Data'!$B:$B,0)),"")</f>
        <v>19</v>
      </c>
      <c r="P18">
        <f t="shared" si="1"/>
        <v>14</v>
      </c>
      <c r="Q18" s="14">
        <f t="shared" si="2"/>
        <v>0.3888888889</v>
      </c>
      <c r="R18" s="15">
        <f>IFERROR(__xludf.DUMMYFUNCTION("IF($A18="""","""", IFERROR(PERCENTRANK.INC(FILTER(P:P,$E:$E&lt;&gt;""""),P18)*100,""""))"),62.5)</f>
        <v>62.5</v>
      </c>
      <c r="S18" s="15">
        <f>IFERROR(__xludf.DUMMYFUNCTION("IF($A18="""","""",IFERROR(PERCENTRANK.INC(FILTER(Q:Q,$E:$E&lt;&gt;""""),Q18)*100,""""))"),30.0)</f>
        <v>30</v>
      </c>
    </row>
    <row r="19">
      <c r="A19" t="str">
        <f>IFERROR(__xludf.DUMMYFUNCTION("""COMPUTED_VALUE"""),"Andrew Wiggins")</f>
        <v>Andrew Wiggins</v>
      </c>
      <c r="B19" t="str">
        <f t="array" ref="B19">IFERROR(INDEX('Player Raw Data'!C:C,Match($A19,'Player Raw Data'!$B:$B,0)),"")</f>
        <v/>
      </c>
      <c r="C19" t="str">
        <f t="array" ref="C19">IFERROR(INDEX('Player Raw Data'!D:D,Match($A19,'Player Raw Data'!$B:$B,0)),"")</f>
        <v/>
      </c>
      <c r="D19" t="str">
        <f t="array" ref="D19">IFERROR(IF(A19=A18, INDEX('Player Raw Data'!E:E,Match($A19,'Player Raw Data'!$B:$B,0)+2),INDEX('Player Raw Data'!E:E,Match($A19,'Player Raw Data'!$B:$B,0))),"")</f>
        <v/>
      </c>
      <c r="E19" s="27">
        <f>IFERROR(__xludf.DUMMYFUNCTION("IFERROR(ARRAY_CONSTRAIN(SPLIT(INDEX('Daily Raw Data'!G:G,Match($A19,'Daily Raw Data'!$B:$B,0)),"":""),1,1),"""")"),32.0)</f>
        <v>32</v>
      </c>
      <c r="F19">
        <f t="array" ref="F19">IFERROR(INDEX('Daily Raw Data'!H:H,Match($A19,'Daily Raw Data'!$B:$B,0)),"")</f>
        <v>6</v>
      </c>
      <c r="G19">
        <f t="array" ref="G19">IFERROR(INDEX('Daily Raw Data'!I:I,Match($A19,'Daily Raw Data'!$B:$B,0)),"")</f>
        <v>12</v>
      </c>
      <c r="H19">
        <f t="array" ref="H19">IFERROR(INDEX('Daily Raw Data'!N:N,Match($A19,'Daily Raw Data'!$B:$B,0)),"")</f>
        <v>1</v>
      </c>
      <c r="I19">
        <f t="array" ref="I19">IFERROR(INDEX('Daily Raw Data'!O:O,Match($A19,'Daily Raw Data'!$B:$B,0)),"")</f>
        <v>3</v>
      </c>
      <c r="J19">
        <f t="array" ref="J19">IFERROR(INDEX('Daily Raw Data'!S:S,Match($A19,'Daily Raw Data'!$B:$B,0)),"")</f>
        <v>3</v>
      </c>
      <c r="K19">
        <f t="array" ref="K19">IFERROR(INDEX('Daily Raw Data'!T:T,Match($A19,'Daily Raw Data'!$B:$B,0)),"")</f>
        <v>3</v>
      </c>
      <c r="L19">
        <f t="array" ref="L19">IFERROR(INDEX('Daily Raw Data'!U:U,Match($A19,'Daily Raw Data'!$B:$B,0)),"")</f>
        <v>0</v>
      </c>
      <c r="M19">
        <f t="array" ref="M19">IFERROR(INDEX('Daily Raw Data'!V:V,Match($A19,'Daily Raw Data'!$B:$B,0)),"")</f>
        <v>2</v>
      </c>
      <c r="N19">
        <f t="array" ref="N19">IFERROR(INDEX('Daily Raw Data'!W:W,Match($A19,'Daily Raw Data'!$B:$B,0)),"")</f>
        <v>3</v>
      </c>
      <c r="O19">
        <f t="array" ref="O19">IFERROR(INDEX('Daily Raw Data'!Y:Y,Match($A19,'Daily Raw Data'!$B:$B,0)),"")</f>
        <v>15</v>
      </c>
      <c r="P19">
        <f t="shared" si="1"/>
        <v>12</v>
      </c>
      <c r="Q19" s="14">
        <f t="shared" si="2"/>
        <v>0.375</v>
      </c>
      <c r="R19" s="15">
        <f>IFERROR(__xludf.DUMMYFUNCTION("IF($A19="""","""", IFERROR(PERCENTRANK.INC(FILTER(P:P,$E:$E&lt;&gt;""""),P19)*100,""""))"),47.5)</f>
        <v>47.5</v>
      </c>
      <c r="S19" s="15">
        <f>IFERROR(__xludf.DUMMYFUNCTION("IF($A19="""","""",IFERROR(PERCENTRANK.INC(FILTER(Q:Q,$E:$E&lt;&gt;""""),Q19)*100,""""))"),25.0)</f>
        <v>25</v>
      </c>
    </row>
    <row r="20">
      <c r="A20" t="str">
        <f>IFERROR(__xludf.DUMMYFUNCTION("""COMPUTED_VALUE"""),"Josh Giddey")</f>
        <v>Josh Giddey</v>
      </c>
      <c r="B20" t="str">
        <f t="array" ref="B20">IFERROR(INDEX('Player Raw Data'!C:C,Match($A20,'Player Raw Data'!$B:$B,0)),"")</f>
        <v/>
      </c>
      <c r="C20" t="str">
        <f t="array" ref="C20">IFERROR(INDEX('Player Raw Data'!D:D,Match($A20,'Player Raw Data'!$B:$B,0)),"")</f>
        <v/>
      </c>
      <c r="D20" t="str">
        <f t="array" ref="D20">IFERROR(IF(A20=A19, INDEX('Player Raw Data'!E:E,Match($A20,'Player Raw Data'!$B:$B,0)+2),INDEX('Player Raw Data'!E:E,Match($A20,'Player Raw Data'!$B:$B,0))),"")</f>
        <v/>
      </c>
      <c r="E20" s="27">
        <f>IFERROR(__xludf.DUMMYFUNCTION("IFERROR(ARRAY_CONSTRAIN(SPLIT(INDEX('Daily Raw Data'!G:G,Match($A20,'Daily Raw Data'!$B:$B,0)),"":""),1,1),"""")"),31.0)</f>
        <v>31</v>
      </c>
      <c r="F20">
        <f t="array" ref="F20">IFERROR(INDEX('Daily Raw Data'!H:H,Match($A20,'Daily Raw Data'!$B:$B,0)),"")</f>
        <v>7</v>
      </c>
      <c r="G20">
        <f t="array" ref="G20">IFERROR(INDEX('Daily Raw Data'!I:I,Match($A20,'Daily Raw Data'!$B:$B,0)),"")</f>
        <v>14</v>
      </c>
      <c r="H20">
        <f t="array" ref="H20">IFERROR(INDEX('Daily Raw Data'!N:N,Match($A20,'Daily Raw Data'!$B:$B,0)),"")</f>
        <v>0</v>
      </c>
      <c r="I20">
        <f t="array" ref="I20">IFERROR(INDEX('Daily Raw Data'!O:O,Match($A20,'Daily Raw Data'!$B:$B,0)),"")</f>
        <v>0</v>
      </c>
      <c r="J20">
        <f t="array" ref="J20">IFERROR(INDEX('Daily Raw Data'!S:S,Match($A20,'Daily Raw Data'!$B:$B,0)),"")</f>
        <v>1</v>
      </c>
      <c r="K20">
        <f t="array" ref="K20">IFERROR(INDEX('Daily Raw Data'!T:T,Match($A20,'Daily Raw Data'!$B:$B,0)),"")</f>
        <v>5</v>
      </c>
      <c r="L20">
        <f t="array" ref="L20">IFERROR(INDEX('Daily Raw Data'!U:U,Match($A20,'Daily Raw Data'!$B:$B,0)),"")</f>
        <v>1</v>
      </c>
      <c r="M20">
        <f t="array" ref="M20">IFERROR(INDEX('Daily Raw Data'!V:V,Match($A20,'Daily Raw Data'!$B:$B,0)),"")</f>
        <v>0</v>
      </c>
      <c r="N20">
        <f t="array" ref="N20">IFERROR(INDEX('Daily Raw Data'!W:W,Match($A20,'Daily Raw Data'!$B:$B,0)),"")</f>
        <v>4</v>
      </c>
      <c r="O20">
        <f t="array" ref="O20">IFERROR(INDEX('Daily Raw Data'!Y:Y,Match($A20,'Daily Raw Data'!$B:$B,0)),"")</f>
        <v>16</v>
      </c>
      <c r="P20">
        <f t="shared" si="1"/>
        <v>12</v>
      </c>
      <c r="Q20" s="14">
        <f t="shared" si="2"/>
        <v>0.3870967742</v>
      </c>
      <c r="R20" s="15">
        <f>IFERROR(__xludf.DUMMYFUNCTION("IF($A20="""","""", IFERROR(PERCENTRANK.INC(FILTER(P:P,$E:$E&lt;&gt;""""),P20)*100,""""))"),47.5)</f>
        <v>47.5</v>
      </c>
      <c r="S20" s="15">
        <f>IFERROR(__xludf.DUMMYFUNCTION("IF($A20="""","""",IFERROR(PERCENTRANK.INC(FILTER(Q:Q,$E:$E&lt;&gt;""""),Q20)*100,""""))"),27.500000000000004)</f>
        <v>27.5</v>
      </c>
    </row>
    <row r="21">
      <c r="A21" t="str">
        <f>IFERROR(__xludf.DUMMYFUNCTION("""COMPUTED_VALUE"""),"Jeremiah Robinson-Earl")</f>
        <v>Jeremiah Robinson-Earl</v>
      </c>
      <c r="B21" t="str">
        <f t="array" ref="B21">IFERROR(INDEX('Player Raw Data'!C:C,Match($A21,'Player Raw Data'!$B:$B,0)),"")</f>
        <v/>
      </c>
      <c r="C21" t="str">
        <f t="array" ref="C21">IFERROR(INDEX('Player Raw Data'!D:D,Match($A21,'Player Raw Data'!$B:$B,0)),"")</f>
        <v/>
      </c>
      <c r="D21" t="str">
        <f t="array" ref="D21">IFERROR(IF(A21=A20, INDEX('Player Raw Data'!E:E,Match($A21,'Player Raw Data'!$B:$B,0)+2),INDEX('Player Raw Data'!E:E,Match($A21,'Player Raw Data'!$B:$B,0))),"")</f>
        <v/>
      </c>
      <c r="E21" s="27">
        <f>IFERROR(__xludf.DUMMYFUNCTION("IFERROR(ARRAY_CONSTRAIN(SPLIT(INDEX('Daily Raw Data'!G:G,Match($A21,'Daily Raw Data'!$B:$B,0)),"":""),1,1),"""")"),22.0)</f>
        <v>22</v>
      </c>
      <c r="F21">
        <f t="array" ref="F21">IFERROR(INDEX('Daily Raw Data'!H:H,Match($A21,'Daily Raw Data'!$B:$B,0)),"")</f>
        <v>4</v>
      </c>
      <c r="G21">
        <f t="array" ref="G21">IFERROR(INDEX('Daily Raw Data'!I:I,Match($A21,'Daily Raw Data'!$B:$B,0)),"")</f>
        <v>10</v>
      </c>
      <c r="H21">
        <f t="array" ref="H21">IFERROR(INDEX('Daily Raw Data'!N:N,Match($A21,'Daily Raw Data'!$B:$B,0)),"")</f>
        <v>0</v>
      </c>
      <c r="I21">
        <f t="array" ref="I21">IFERROR(INDEX('Daily Raw Data'!O:O,Match($A21,'Daily Raw Data'!$B:$B,0)),"")</f>
        <v>2</v>
      </c>
      <c r="J21">
        <f t="array" ref="J21">IFERROR(INDEX('Daily Raw Data'!S:S,Match($A21,'Daily Raw Data'!$B:$B,0)),"")</f>
        <v>7</v>
      </c>
      <c r="K21">
        <f t="array" ref="K21">IFERROR(INDEX('Daily Raw Data'!T:T,Match($A21,'Daily Raw Data'!$B:$B,0)),"")</f>
        <v>1</v>
      </c>
      <c r="L21">
        <f t="array" ref="L21">IFERROR(INDEX('Daily Raw Data'!U:U,Match($A21,'Daily Raw Data'!$B:$B,0)),"")</f>
        <v>2</v>
      </c>
      <c r="M21">
        <f t="array" ref="M21">IFERROR(INDEX('Daily Raw Data'!V:V,Match($A21,'Daily Raw Data'!$B:$B,0)),"")</f>
        <v>0</v>
      </c>
      <c r="N21">
        <f t="array" ref="N21">IFERROR(INDEX('Daily Raw Data'!W:W,Match($A21,'Daily Raw Data'!$B:$B,0)),"")</f>
        <v>0</v>
      </c>
      <c r="O21">
        <f t="array" ref="O21">IFERROR(INDEX('Daily Raw Data'!Y:Y,Match($A21,'Daily Raw Data'!$B:$B,0)),"")</f>
        <v>10</v>
      </c>
      <c r="P21">
        <f t="shared" si="1"/>
        <v>12</v>
      </c>
      <c r="Q21" s="14">
        <f t="shared" si="2"/>
        <v>0.5454545455</v>
      </c>
      <c r="R21" s="15">
        <f>IFERROR(__xludf.DUMMYFUNCTION("IF($A21="""","""", IFERROR(PERCENTRANK.INC(FILTER(P:P,$E:$E&lt;&gt;""""),P21)*100,""""))"),47.5)</f>
        <v>47.5</v>
      </c>
      <c r="S21" s="15">
        <f>IFERROR(__xludf.DUMMYFUNCTION("IF($A21="""","""",IFERROR(PERCENTRANK.INC(FILTER(Q:Q,$E:$E&lt;&gt;""""),Q21)*100,""""))"),47.5)</f>
        <v>47.5</v>
      </c>
    </row>
    <row r="22">
      <c r="A22" t="str">
        <f>IFERROR(__xludf.DUMMYFUNCTION("""COMPUTED_VALUE"""),"Kentavious Caldwell-Pope")</f>
        <v>Kentavious Caldwell-Pope</v>
      </c>
      <c r="B22" t="str">
        <f t="array" ref="B22">IFERROR(INDEX('Player Raw Data'!C:C,Match($A22,'Player Raw Data'!$B:$B,0)),"")</f>
        <v>33</v>
      </c>
      <c r="C22" t="str">
        <f t="array" ref="C22">IFERROR(INDEX('Player Raw Data'!D:D,Match($A22,'Player Raw Data'!$B:$B,0)),"")</f>
        <v>PHI</v>
      </c>
      <c r="D22" t="str">
        <f t="array" ref="D22">IFERROR(IF(A22=A21, INDEX('Player Raw Data'!E:E,Match($A22,'Player Raw Data'!$B:$B,0)+2),INDEX('Player Raw Data'!E:E,Match($A22,'Player Raw Data'!$B:$B,0))),"")</f>
        <v>SG</v>
      </c>
      <c r="E22" s="27">
        <f>IFERROR(__xludf.DUMMYFUNCTION("IFERROR(ARRAY_CONSTRAIN(SPLIT(INDEX('Daily Raw Data'!G:G,Match($A22,'Daily Raw Data'!$B:$B,0)),"":""),1,1),"""")"),35.0)</f>
        <v>35</v>
      </c>
      <c r="F22">
        <f t="array" ref="F22">IFERROR(INDEX('Daily Raw Data'!H:H,Match($A22,'Daily Raw Data'!$B:$B,0)),"")</f>
        <v>4</v>
      </c>
      <c r="G22">
        <f t="array" ref="G22">IFERROR(INDEX('Daily Raw Data'!I:I,Match($A22,'Daily Raw Data'!$B:$B,0)),"")</f>
        <v>9</v>
      </c>
      <c r="H22">
        <f t="array" ref="H22">IFERROR(INDEX('Daily Raw Data'!N:N,Match($A22,'Daily Raw Data'!$B:$B,0)),"")</f>
        <v>0</v>
      </c>
      <c r="I22">
        <f t="array" ref="I22">IFERROR(INDEX('Daily Raw Data'!O:O,Match($A22,'Daily Raw Data'!$B:$B,0)),"")</f>
        <v>0</v>
      </c>
      <c r="J22">
        <f t="array" ref="J22">IFERROR(INDEX('Daily Raw Data'!S:S,Match($A22,'Daily Raw Data'!$B:$B,0)),"")</f>
        <v>3</v>
      </c>
      <c r="K22">
        <f t="array" ref="K22">IFERROR(INDEX('Daily Raw Data'!T:T,Match($A22,'Daily Raw Data'!$B:$B,0)),"")</f>
        <v>1</v>
      </c>
      <c r="L22">
        <f t="array" ref="L22">IFERROR(INDEX('Daily Raw Data'!U:U,Match($A22,'Daily Raw Data'!$B:$B,0)),"")</f>
        <v>0</v>
      </c>
      <c r="M22">
        <f t="array" ref="M22">IFERROR(INDEX('Daily Raw Data'!V:V,Match($A22,'Daily Raw Data'!$B:$B,0)),"")</f>
        <v>1</v>
      </c>
      <c r="N22">
        <f t="array" ref="N22">IFERROR(INDEX('Daily Raw Data'!W:W,Match($A22,'Daily Raw Data'!$B:$B,0)),"")</f>
        <v>0</v>
      </c>
      <c r="O22">
        <f t="array" ref="O22">IFERROR(INDEX('Daily Raw Data'!Y:Y,Match($A22,'Daily Raw Data'!$B:$B,0)),"")</f>
        <v>11</v>
      </c>
      <c r="P22">
        <f t="shared" si="1"/>
        <v>11</v>
      </c>
      <c r="Q22" s="14">
        <f t="shared" si="2"/>
        <v>0.3142857143</v>
      </c>
      <c r="R22" s="15">
        <f>IFERROR(__xludf.DUMMYFUNCTION("IF($A22="""","""", IFERROR(PERCENTRANK.INC(FILTER(P:P,$E:$E&lt;&gt;""""),P22)*100,""""))"),40.0)</f>
        <v>40</v>
      </c>
      <c r="S22" s="15">
        <f>IFERROR(__xludf.DUMMYFUNCTION("IF($A22="""","""",IFERROR(PERCENTRANK.INC(FILTER(Q:Q,$E:$E&lt;&gt;""""),Q22)*100,""""))"),20.0)</f>
        <v>20</v>
      </c>
    </row>
    <row r="23">
      <c r="A23" t="str">
        <f>IFERROR(__xludf.DUMMYFUNCTION("""COMPUTED_VALUE"""),"Michael Porter Jr.")</f>
        <v>Michael Porter Jr.</v>
      </c>
      <c r="B23" t="str">
        <f t="array" ref="B23">IFERROR(INDEX('Player Raw Data'!C:C,Match($A23,'Player Raw Data'!$B:$B,0)),"")</f>
        <v/>
      </c>
      <c r="C23" t="str">
        <f t="array" ref="C23">IFERROR(INDEX('Player Raw Data'!D:D,Match($A23,'Player Raw Data'!$B:$B,0)),"")</f>
        <v/>
      </c>
      <c r="D23" t="str">
        <f t="array" ref="D23">IFERROR(IF(A23=A22, INDEX('Player Raw Data'!E:E,Match($A23,'Player Raw Data'!$B:$B,0)+2),INDEX('Player Raw Data'!E:E,Match($A23,'Player Raw Data'!$B:$B,0))),"")</f>
        <v/>
      </c>
      <c r="E23" s="27">
        <f>IFERROR(__xludf.DUMMYFUNCTION("IFERROR(ARRAY_CONSTRAIN(SPLIT(INDEX('Daily Raw Data'!G:G,Match($A23,'Daily Raw Data'!$B:$B,0)),"":""),1,1),"""")"),28.0)</f>
        <v>28</v>
      </c>
      <c r="F23">
        <f t="array" ref="F23">IFERROR(INDEX('Daily Raw Data'!H:H,Match($A23,'Daily Raw Data'!$B:$B,0)),"")</f>
        <v>4</v>
      </c>
      <c r="G23">
        <f t="array" ref="G23">IFERROR(INDEX('Daily Raw Data'!I:I,Match($A23,'Daily Raw Data'!$B:$B,0)),"")</f>
        <v>10</v>
      </c>
      <c r="H23">
        <f t="array" ref="H23">IFERROR(INDEX('Daily Raw Data'!N:N,Match($A23,'Daily Raw Data'!$B:$B,0)),"")</f>
        <v>0</v>
      </c>
      <c r="I23">
        <f t="array" ref="I23">IFERROR(INDEX('Daily Raw Data'!O:O,Match($A23,'Daily Raw Data'!$B:$B,0)),"")</f>
        <v>0</v>
      </c>
      <c r="J23">
        <f t="array" ref="J23">IFERROR(INDEX('Daily Raw Data'!S:S,Match($A23,'Daily Raw Data'!$B:$B,0)),"")</f>
        <v>6</v>
      </c>
      <c r="K23">
        <f t="array" ref="K23">IFERROR(INDEX('Daily Raw Data'!T:T,Match($A23,'Daily Raw Data'!$B:$B,0)),"")</f>
        <v>2</v>
      </c>
      <c r="L23">
        <f t="array" ref="L23">IFERROR(INDEX('Daily Raw Data'!U:U,Match($A23,'Daily Raw Data'!$B:$B,0)),"")</f>
        <v>0</v>
      </c>
      <c r="M23">
        <f t="array" ref="M23">IFERROR(INDEX('Daily Raw Data'!V:V,Match($A23,'Daily Raw Data'!$B:$B,0)),"")</f>
        <v>0</v>
      </c>
      <c r="N23">
        <f t="array" ref="N23">IFERROR(INDEX('Daily Raw Data'!W:W,Match($A23,'Daily Raw Data'!$B:$B,0)),"")</f>
        <v>1</v>
      </c>
      <c r="O23">
        <f t="array" ref="O23">IFERROR(INDEX('Daily Raw Data'!Y:Y,Match($A23,'Daily Raw Data'!$B:$B,0)),"")</f>
        <v>11</v>
      </c>
      <c r="P23">
        <f t="shared" si="1"/>
        <v>12</v>
      </c>
      <c r="Q23" s="14">
        <f t="shared" si="2"/>
        <v>0.4285714286</v>
      </c>
      <c r="R23" s="15">
        <f>IFERROR(__xludf.DUMMYFUNCTION("IF($A23="""","""", IFERROR(PERCENTRANK.INC(FILTER(P:P,$E:$E&lt;&gt;""""),P23)*100,""""))"),47.5)</f>
        <v>47.5</v>
      </c>
      <c r="S23" s="15">
        <f>IFERROR(__xludf.DUMMYFUNCTION("IF($A23="""","""",IFERROR(PERCENTRANK.INC(FILTER(Q:Q,$E:$E&lt;&gt;""""),Q23)*100,""""))"),35.0)</f>
        <v>35</v>
      </c>
    </row>
    <row r="24">
      <c r="A24" t="str">
        <f>IFERROR(__xludf.DUMMYFUNCTION("""COMPUTED_VALUE"""),"Bol Bol")</f>
        <v>Bol Bol</v>
      </c>
      <c r="B24" t="str">
        <f t="array" ref="B24">IFERROR(INDEX('Player Raw Data'!C:C,Match($A24,'Player Raw Data'!$B:$B,0)),"")</f>
        <v/>
      </c>
      <c r="C24" t="str">
        <f t="array" ref="C24">IFERROR(INDEX('Player Raw Data'!D:D,Match($A24,'Player Raw Data'!$B:$B,0)),"")</f>
        <v/>
      </c>
      <c r="D24" t="str">
        <f t="array" ref="D24">IFERROR(IF(A24=A23, INDEX('Player Raw Data'!E:E,Match($A24,'Player Raw Data'!$B:$B,0)+2),INDEX('Player Raw Data'!E:E,Match($A24,'Player Raw Data'!$B:$B,0))),"")</f>
        <v/>
      </c>
      <c r="E24" s="27">
        <f>IFERROR(__xludf.DUMMYFUNCTION("IFERROR(ARRAY_CONSTRAIN(SPLIT(INDEX('Daily Raw Data'!G:G,Match($A24,'Daily Raw Data'!$B:$B,0)),"":""),1,1),"""")"),18.0)</f>
        <v>18</v>
      </c>
      <c r="F24">
        <f t="array" ref="F24">IFERROR(INDEX('Daily Raw Data'!H:H,Match($A24,'Daily Raw Data'!$B:$B,0)),"")</f>
        <v>2</v>
      </c>
      <c r="G24">
        <f t="array" ref="G24">IFERROR(INDEX('Daily Raw Data'!I:I,Match($A24,'Daily Raw Data'!$B:$B,0)),"")</f>
        <v>3</v>
      </c>
      <c r="H24">
        <f t="array" ref="H24">IFERROR(INDEX('Daily Raw Data'!N:N,Match($A24,'Daily Raw Data'!$B:$B,0)),"")</f>
        <v>0</v>
      </c>
      <c r="I24">
        <f t="array" ref="I24">IFERROR(INDEX('Daily Raw Data'!O:O,Match($A24,'Daily Raw Data'!$B:$B,0)),"")</f>
        <v>0</v>
      </c>
      <c r="J24">
        <f t="array" ref="J24">IFERROR(INDEX('Daily Raw Data'!S:S,Match($A24,'Daily Raw Data'!$B:$B,0)),"")</f>
        <v>6</v>
      </c>
      <c r="K24">
        <f t="array" ref="K24">IFERROR(INDEX('Daily Raw Data'!T:T,Match($A24,'Daily Raw Data'!$B:$B,0)),"")</f>
        <v>1</v>
      </c>
      <c r="L24">
        <f t="array" ref="L24">IFERROR(INDEX('Daily Raw Data'!U:U,Match($A24,'Daily Raw Data'!$B:$B,0)),"")</f>
        <v>0</v>
      </c>
      <c r="M24">
        <f t="array" ref="M24">IFERROR(INDEX('Daily Raw Data'!V:V,Match($A24,'Daily Raw Data'!$B:$B,0)),"")</f>
        <v>2</v>
      </c>
      <c r="N24">
        <f t="array" ref="N24">IFERROR(INDEX('Daily Raw Data'!W:W,Match($A24,'Daily Raw Data'!$B:$B,0)),"")</f>
        <v>0</v>
      </c>
      <c r="O24">
        <f t="array" ref="O24">IFERROR(INDEX('Daily Raw Data'!Y:Y,Match($A24,'Daily Raw Data'!$B:$B,0)),"")</f>
        <v>4</v>
      </c>
      <c r="P24">
        <f t="shared" si="1"/>
        <v>12</v>
      </c>
      <c r="Q24" s="14">
        <f t="shared" si="2"/>
        <v>0.6666666667</v>
      </c>
      <c r="R24" s="15">
        <f>IFERROR(__xludf.DUMMYFUNCTION("IF($A24="""","""", IFERROR(PERCENTRANK.INC(FILTER(P:P,$E:$E&lt;&gt;""""),P24)*100,""""))"),47.5)</f>
        <v>47.5</v>
      </c>
      <c r="S24" s="15">
        <f>IFERROR(__xludf.DUMMYFUNCTION("IF($A24="""","""",IFERROR(PERCENTRANK.INC(FILTER(Q:Q,$E:$E&lt;&gt;""""),Q24)*100,""""))"),70.0)</f>
        <v>70</v>
      </c>
    </row>
    <row r="25">
      <c r="A25" t="str">
        <f>IFERROR(__xludf.DUMMYFUNCTION("""COMPUTED_VALUE"""),"Kenrich Williams")</f>
        <v>Kenrich Williams</v>
      </c>
      <c r="B25" t="str">
        <f t="array" ref="B25">IFERROR(INDEX('Player Raw Data'!C:C,Match($A25,'Player Raw Data'!$B:$B,0)),"")</f>
        <v>32</v>
      </c>
      <c r="C25" t="str">
        <f t="array" ref="C25">IFERROR(INDEX('Player Raw Data'!D:D,Match($A25,'Player Raw Data'!$B:$B,0)),"")</f>
        <v>OKC</v>
      </c>
      <c r="D25" t="str">
        <f t="array" ref="D25">IFERROR(IF(A25=A24, INDEX('Player Raw Data'!E:E,Match($A25,'Player Raw Data'!$B:$B,0)+2),INDEX('Player Raw Data'!E:E,Match($A25,'Player Raw Data'!$B:$B,0))),"")</f>
        <v>PF</v>
      </c>
      <c r="E25" s="27">
        <f>IFERROR(__xludf.DUMMYFUNCTION("IFERROR(ARRAY_CONSTRAIN(SPLIT(INDEX('Daily Raw Data'!G:G,Match($A25,'Daily Raw Data'!$B:$B,0)),"":""),1,1),"""")"),22.0)</f>
        <v>22</v>
      </c>
      <c r="F25">
        <f t="array" ref="F25">IFERROR(INDEX('Daily Raw Data'!H:H,Match($A25,'Daily Raw Data'!$B:$B,0)),"")</f>
        <v>2</v>
      </c>
      <c r="G25">
        <f t="array" ref="G25">IFERROR(INDEX('Daily Raw Data'!I:I,Match($A25,'Daily Raw Data'!$B:$B,0)),"")</f>
        <v>5</v>
      </c>
      <c r="H25">
        <f t="array" ref="H25">IFERROR(INDEX('Daily Raw Data'!N:N,Match($A25,'Daily Raw Data'!$B:$B,0)),"")</f>
        <v>0</v>
      </c>
      <c r="I25">
        <f t="array" ref="I25">IFERROR(INDEX('Daily Raw Data'!O:O,Match($A25,'Daily Raw Data'!$B:$B,0)),"")</f>
        <v>0</v>
      </c>
      <c r="J25">
        <f t="array" ref="J25">IFERROR(INDEX('Daily Raw Data'!S:S,Match($A25,'Daily Raw Data'!$B:$B,0)),"")</f>
        <v>6</v>
      </c>
      <c r="K25">
        <f t="array" ref="K25">IFERROR(INDEX('Daily Raw Data'!T:T,Match($A25,'Daily Raw Data'!$B:$B,0)),"")</f>
        <v>1</v>
      </c>
      <c r="L25">
        <f t="array" ref="L25">IFERROR(INDEX('Daily Raw Data'!U:U,Match($A25,'Daily Raw Data'!$B:$B,0)),"")</f>
        <v>1</v>
      </c>
      <c r="M25">
        <f t="array" ref="M25">IFERROR(INDEX('Daily Raw Data'!V:V,Match($A25,'Daily Raw Data'!$B:$B,0)),"")</f>
        <v>0</v>
      </c>
      <c r="N25">
        <f t="array" ref="N25">IFERROR(INDEX('Daily Raw Data'!W:W,Match($A25,'Daily Raw Data'!$B:$B,0)),"")</f>
        <v>0</v>
      </c>
      <c r="O25">
        <f t="array" ref="O25">IFERROR(INDEX('Daily Raw Data'!Y:Y,Match($A25,'Daily Raw Data'!$B:$B,0)),"")</f>
        <v>5</v>
      </c>
      <c r="P25">
        <f t="shared" si="1"/>
        <v>10</v>
      </c>
      <c r="Q25" s="14">
        <f t="shared" si="2"/>
        <v>0.4545454545</v>
      </c>
      <c r="R25" s="15">
        <f>IFERROR(__xludf.DUMMYFUNCTION("IF($A25="""","""", IFERROR(PERCENTRANK.INC(FILTER(P:P,$E:$E&lt;&gt;""""),P25)*100,""""))"),37.5)</f>
        <v>37.5</v>
      </c>
      <c r="S25" s="15">
        <f>IFERROR(__xludf.DUMMYFUNCTION("IF($A25="""","""",IFERROR(PERCENTRANK.INC(FILTER(Q:Q,$E:$E&lt;&gt;""""),Q25)*100,""""))"),37.5)</f>
        <v>37.5</v>
      </c>
    </row>
    <row r="26">
      <c r="A26" t="str">
        <f>IFERROR(__xludf.DUMMYFUNCTION("""COMPUTED_VALUE"""),"Jalen Williams")</f>
        <v>Jalen Williams</v>
      </c>
      <c r="B26" t="str">
        <f t="array" ref="B26">IFERROR(INDEX('Player Raw Data'!C:C,Match($A26,'Player Raw Data'!$B:$B,0)),"")</f>
        <v>25</v>
      </c>
      <c r="C26" t="str">
        <f t="array" ref="C26">IFERROR(INDEX('Player Raw Data'!D:D,Match($A26,'Player Raw Data'!$B:$B,0)),"")</f>
        <v>OKC</v>
      </c>
      <c r="D26" t="str">
        <f t="array" ref="D26">IFERROR(IF(A26=A25, INDEX('Player Raw Data'!E:E,Match($A26,'Player Raw Data'!$B:$B,0)+2),INDEX('Player Raw Data'!E:E,Match($A26,'Player Raw Data'!$B:$B,0))),"")</f>
        <v>SG</v>
      </c>
      <c r="E26" s="27">
        <f>IFERROR(__xludf.DUMMYFUNCTION("IFERROR(ARRAY_CONSTRAIN(SPLIT(INDEX('Daily Raw Data'!G:G,Match($A26,'Daily Raw Data'!$B:$B,0)),"":""),1,1),"""")"),14.0)</f>
        <v>14</v>
      </c>
      <c r="F26">
        <f t="array" ref="F26">IFERROR(INDEX('Daily Raw Data'!H:H,Match($A26,'Daily Raw Data'!$B:$B,0)),"")</f>
        <v>4</v>
      </c>
      <c r="G26">
        <f t="array" ref="G26">IFERROR(INDEX('Daily Raw Data'!I:I,Match($A26,'Daily Raw Data'!$B:$B,0)),"")</f>
        <v>7</v>
      </c>
      <c r="H26">
        <f t="array" ref="H26">IFERROR(INDEX('Daily Raw Data'!N:N,Match($A26,'Daily Raw Data'!$B:$B,0)),"")</f>
        <v>0</v>
      </c>
      <c r="I26">
        <f t="array" ref="I26">IFERROR(INDEX('Daily Raw Data'!O:O,Match($A26,'Daily Raw Data'!$B:$B,0)),"")</f>
        <v>0</v>
      </c>
      <c r="J26">
        <f t="array" ref="J26">IFERROR(INDEX('Daily Raw Data'!S:S,Match($A26,'Daily Raw Data'!$B:$B,0)),"")</f>
        <v>0</v>
      </c>
      <c r="K26">
        <f t="array" ref="K26">IFERROR(INDEX('Daily Raw Data'!T:T,Match($A26,'Daily Raw Data'!$B:$B,0)),"")</f>
        <v>2</v>
      </c>
      <c r="L26">
        <f t="array" ref="L26">IFERROR(INDEX('Daily Raw Data'!U:U,Match($A26,'Daily Raw Data'!$B:$B,0)),"")</f>
        <v>0</v>
      </c>
      <c r="M26">
        <f t="array" ref="M26">IFERROR(INDEX('Daily Raw Data'!V:V,Match($A26,'Daily Raw Data'!$B:$B,0)),"")</f>
        <v>0</v>
      </c>
      <c r="N26">
        <f t="array" ref="N26">IFERROR(INDEX('Daily Raw Data'!W:W,Match($A26,'Daily Raw Data'!$B:$B,0)),"")</f>
        <v>0</v>
      </c>
      <c r="O26">
        <f t="array" ref="O26">IFERROR(INDEX('Daily Raw Data'!Y:Y,Match($A26,'Daily Raw Data'!$B:$B,0)),"")</f>
        <v>8</v>
      </c>
      <c r="P26">
        <f t="shared" si="1"/>
        <v>7</v>
      </c>
      <c r="Q26" s="14">
        <f t="shared" si="2"/>
        <v>0.5</v>
      </c>
      <c r="R26" s="15">
        <f>IFERROR(__xludf.DUMMYFUNCTION("IF($A26="""","""", IFERROR(PERCENTRANK.INC(FILTER(P:P,$E:$E&lt;&gt;""""),P26)*100,""""))"),30.0)</f>
        <v>30</v>
      </c>
      <c r="S26" s="15">
        <f>IFERROR(__xludf.DUMMYFUNCTION("IF($A26="""","""",IFERROR(PERCENTRANK.INC(FILTER(Q:Q,$E:$E&lt;&gt;""""),Q26)*100,""""))"),42.5)</f>
        <v>42.5</v>
      </c>
    </row>
    <row r="27">
      <c r="A27" t="str">
        <f>IFERROR(__xludf.DUMMYFUNCTION("""COMPUTED_VALUE"""),"Aleksej Pokusevski")</f>
        <v>Aleksej Pokusevski</v>
      </c>
      <c r="B27" t="str">
        <f t="array" ref="B27">IFERROR(INDEX('Player Raw Data'!C:C,Match($A27,'Player Raw Data'!$B:$B,0)),"")</f>
        <v/>
      </c>
      <c r="C27" t="str">
        <f t="array" ref="C27">IFERROR(INDEX('Player Raw Data'!D:D,Match($A27,'Player Raw Data'!$B:$B,0)),"")</f>
        <v/>
      </c>
      <c r="D27" t="str">
        <f t="array" ref="D27">IFERROR(IF(A27=A26, INDEX('Player Raw Data'!E:E,Match($A27,'Player Raw Data'!$B:$B,0)+2),INDEX('Player Raw Data'!E:E,Match($A27,'Player Raw Data'!$B:$B,0))),"")</f>
        <v/>
      </c>
      <c r="E27" s="27">
        <f>IFERROR(__xludf.DUMMYFUNCTION("IFERROR(ARRAY_CONSTRAIN(SPLIT(INDEX('Daily Raw Data'!G:G,Match($A27,'Daily Raw Data'!$B:$B,0)),"":""),1,1),"""")"),27.0)</f>
        <v>27</v>
      </c>
      <c r="F27">
        <f t="array" ref="F27">IFERROR(INDEX('Daily Raw Data'!H:H,Match($A27,'Daily Raw Data'!$B:$B,0)),"")</f>
        <v>3</v>
      </c>
      <c r="G27">
        <f t="array" ref="G27">IFERROR(INDEX('Daily Raw Data'!I:I,Match($A27,'Daily Raw Data'!$B:$B,0)),"")</f>
        <v>9</v>
      </c>
      <c r="H27">
        <f t="array" ref="H27">IFERROR(INDEX('Daily Raw Data'!N:N,Match($A27,'Daily Raw Data'!$B:$B,0)),"")</f>
        <v>0</v>
      </c>
      <c r="I27">
        <f t="array" ref="I27">IFERROR(INDEX('Daily Raw Data'!O:O,Match($A27,'Daily Raw Data'!$B:$B,0)),"")</f>
        <v>0</v>
      </c>
      <c r="J27">
        <f t="array" ref="J27">IFERROR(INDEX('Daily Raw Data'!S:S,Match($A27,'Daily Raw Data'!$B:$B,0)),"")</f>
        <v>7</v>
      </c>
      <c r="K27">
        <f t="array" ref="K27">IFERROR(INDEX('Daily Raw Data'!T:T,Match($A27,'Daily Raw Data'!$B:$B,0)),"")</f>
        <v>1</v>
      </c>
      <c r="L27">
        <f t="array" ref="L27">IFERROR(INDEX('Daily Raw Data'!U:U,Match($A27,'Daily Raw Data'!$B:$B,0)),"")</f>
        <v>1</v>
      </c>
      <c r="M27">
        <f t="array" ref="M27">IFERROR(INDEX('Daily Raw Data'!V:V,Match($A27,'Daily Raw Data'!$B:$B,0)),"")</f>
        <v>2</v>
      </c>
      <c r="N27">
        <f t="array" ref="N27">IFERROR(INDEX('Daily Raw Data'!W:W,Match($A27,'Daily Raw Data'!$B:$B,0)),"")</f>
        <v>0</v>
      </c>
      <c r="O27">
        <f t="array" ref="O27">IFERROR(INDEX('Daily Raw Data'!Y:Y,Match($A27,'Daily Raw Data'!$B:$B,0)),"")</f>
        <v>6</v>
      </c>
      <c r="P27">
        <f t="shared" si="1"/>
        <v>11</v>
      </c>
      <c r="Q27" s="14">
        <f t="shared" si="2"/>
        <v>0.4074074074</v>
      </c>
      <c r="R27" s="15">
        <f>IFERROR(__xludf.DUMMYFUNCTION("IF($A27="""","""", IFERROR(PERCENTRANK.INC(FILTER(P:P,$E:$E&lt;&gt;""""),P27)*100,""""))"),40.0)</f>
        <v>40</v>
      </c>
      <c r="S27" s="15">
        <f>IFERROR(__xludf.DUMMYFUNCTION("IF($A27="""","""",IFERROR(PERCENTRANK.INC(FILTER(Q:Q,$E:$E&lt;&gt;""""),Q27)*100,""""))"),32.5)</f>
        <v>32.5</v>
      </c>
    </row>
    <row r="28">
      <c r="A28" t="str">
        <f>IFERROR(__xludf.DUMMYFUNCTION("""COMPUTED_VALUE"""),"JaMychal Green")</f>
        <v>JaMychal Green</v>
      </c>
      <c r="B28" t="str">
        <f t="array" ref="B28">IFERROR(INDEX('Player Raw Data'!C:C,Match($A28,'Player Raw Data'!$B:$B,0)),"")</f>
        <v/>
      </c>
      <c r="C28" t="str">
        <f t="array" ref="C28">IFERROR(INDEX('Player Raw Data'!D:D,Match($A28,'Player Raw Data'!$B:$B,0)),"")</f>
        <v/>
      </c>
      <c r="D28" t="str">
        <f t="array" ref="D28">IFERROR(IF(A28=A27, INDEX('Player Raw Data'!E:E,Match($A28,'Player Raw Data'!$B:$B,0)+2),INDEX('Player Raw Data'!E:E,Match($A28,'Player Raw Data'!$B:$B,0))),"")</f>
        <v/>
      </c>
      <c r="E28" s="27">
        <f>IFERROR(__xludf.DUMMYFUNCTION("IFERROR(ARRAY_CONSTRAIN(SPLIT(INDEX('Daily Raw Data'!G:G,Match($A28,'Daily Raw Data'!$B:$B,0)),"":""),1,1),"""")"),16.0)</f>
        <v>16</v>
      </c>
      <c r="F28">
        <f t="array" ref="F28">IFERROR(INDEX('Daily Raw Data'!H:H,Match($A28,'Daily Raw Data'!$B:$B,0)),"")</f>
        <v>3</v>
      </c>
      <c r="G28">
        <f t="array" ref="G28">IFERROR(INDEX('Daily Raw Data'!I:I,Match($A28,'Daily Raw Data'!$B:$B,0)),"")</f>
        <v>5</v>
      </c>
      <c r="H28">
        <f t="array" ref="H28">IFERROR(INDEX('Daily Raw Data'!N:N,Match($A28,'Daily Raw Data'!$B:$B,0)),"")</f>
        <v>0</v>
      </c>
      <c r="I28">
        <f t="array" ref="I28">IFERROR(INDEX('Daily Raw Data'!O:O,Match($A28,'Daily Raw Data'!$B:$B,0)),"")</f>
        <v>0</v>
      </c>
      <c r="J28">
        <f t="array" ref="J28">IFERROR(INDEX('Daily Raw Data'!S:S,Match($A28,'Daily Raw Data'!$B:$B,0)),"")</f>
        <v>6</v>
      </c>
      <c r="K28">
        <f t="array" ref="K28">IFERROR(INDEX('Daily Raw Data'!T:T,Match($A28,'Daily Raw Data'!$B:$B,0)),"")</f>
        <v>0</v>
      </c>
      <c r="L28">
        <f t="array" ref="L28">IFERROR(INDEX('Daily Raw Data'!U:U,Match($A28,'Daily Raw Data'!$B:$B,0)),"")</f>
        <v>0</v>
      </c>
      <c r="M28">
        <f t="array" ref="M28">IFERROR(INDEX('Daily Raw Data'!V:V,Match($A28,'Daily Raw Data'!$B:$B,0)),"")</f>
        <v>1</v>
      </c>
      <c r="N28">
        <f t="array" ref="N28">IFERROR(INDEX('Daily Raw Data'!W:W,Match($A28,'Daily Raw Data'!$B:$B,0)),"")</f>
        <v>1</v>
      </c>
      <c r="O28">
        <f t="array" ref="O28">IFERROR(INDEX('Daily Raw Data'!Y:Y,Match($A28,'Daily Raw Data'!$B:$B,0)),"")</f>
        <v>7</v>
      </c>
      <c r="P28">
        <f t="shared" si="1"/>
        <v>11</v>
      </c>
      <c r="Q28" s="14">
        <f t="shared" si="2"/>
        <v>0.6875</v>
      </c>
      <c r="R28" s="15">
        <f>IFERROR(__xludf.DUMMYFUNCTION("IF($A28="""","""", IFERROR(PERCENTRANK.INC(FILTER(P:P,$E:$E&lt;&gt;""""),P28)*100,""""))"),40.0)</f>
        <v>40</v>
      </c>
      <c r="S28" s="15">
        <f>IFERROR(__xludf.DUMMYFUNCTION("IF($A28="""","""",IFERROR(PERCENTRANK.INC(FILTER(Q:Q,$E:$E&lt;&gt;""""),Q28)*100,""""))"),75.0)</f>
        <v>75</v>
      </c>
    </row>
    <row r="29">
      <c r="A29" t="str">
        <f>IFERROR(__xludf.DUMMYFUNCTION("""COMPUTED_VALUE"""),"Zeke Nnaji")</f>
        <v>Zeke Nnaji</v>
      </c>
      <c r="B29" t="str">
        <f t="array" ref="B29">IFERROR(INDEX('Player Raw Data'!C:C,Match($A29,'Player Raw Data'!$B:$B,0)),"")</f>
        <v/>
      </c>
      <c r="C29" t="str">
        <f t="array" ref="C29">IFERROR(INDEX('Player Raw Data'!D:D,Match($A29,'Player Raw Data'!$B:$B,0)),"")</f>
        <v/>
      </c>
      <c r="D29" t="str">
        <f t="array" ref="D29">IFERROR(IF(A29=A28, INDEX('Player Raw Data'!E:E,Match($A29,'Player Raw Data'!$B:$B,0)+2),INDEX('Player Raw Data'!E:E,Match($A29,'Player Raw Data'!$B:$B,0))),"")</f>
        <v/>
      </c>
      <c r="E29" s="27">
        <f>IFERROR(__xludf.DUMMYFUNCTION("IFERROR(ARRAY_CONSTRAIN(SPLIT(INDEX('Daily Raw Data'!G:G,Match($A29,'Daily Raw Data'!$B:$B,0)),"":""),1,1),"""")"),5.0)</f>
        <v>5</v>
      </c>
      <c r="F29">
        <f t="array" ref="F29">IFERROR(INDEX('Daily Raw Data'!H:H,Match($A29,'Daily Raw Data'!$B:$B,0)),"")</f>
        <v>1</v>
      </c>
      <c r="G29">
        <f t="array" ref="G29">IFERROR(INDEX('Daily Raw Data'!I:I,Match($A29,'Daily Raw Data'!$B:$B,0)),"")</f>
        <v>3</v>
      </c>
      <c r="H29">
        <f t="array" ref="H29">IFERROR(INDEX('Daily Raw Data'!N:N,Match($A29,'Daily Raw Data'!$B:$B,0)),"")</f>
        <v>2</v>
      </c>
      <c r="I29">
        <f t="array" ref="I29">IFERROR(INDEX('Daily Raw Data'!O:O,Match($A29,'Daily Raw Data'!$B:$B,0)),"")</f>
        <v>2</v>
      </c>
      <c r="J29">
        <f t="array" ref="J29">IFERROR(INDEX('Daily Raw Data'!S:S,Match($A29,'Daily Raw Data'!$B:$B,0)),"")</f>
        <v>5</v>
      </c>
      <c r="K29">
        <f t="array" ref="K29">IFERROR(INDEX('Daily Raw Data'!T:T,Match($A29,'Daily Raw Data'!$B:$B,0)),"")</f>
        <v>0</v>
      </c>
      <c r="L29">
        <f t="array" ref="L29">IFERROR(INDEX('Daily Raw Data'!U:U,Match($A29,'Daily Raw Data'!$B:$B,0)),"")</f>
        <v>0</v>
      </c>
      <c r="M29">
        <f t="array" ref="M29">IFERROR(INDEX('Daily Raw Data'!V:V,Match($A29,'Daily Raw Data'!$B:$B,0)),"")</f>
        <v>0</v>
      </c>
      <c r="N29">
        <f t="array" ref="N29">IFERROR(INDEX('Daily Raw Data'!W:W,Match($A29,'Daily Raw Data'!$B:$B,0)),"")</f>
        <v>0</v>
      </c>
      <c r="O29">
        <f t="array" ref="O29">IFERROR(INDEX('Daily Raw Data'!Y:Y,Match($A29,'Daily Raw Data'!$B:$B,0)),"")</f>
        <v>4</v>
      </c>
      <c r="P29">
        <f t="shared" si="1"/>
        <v>7</v>
      </c>
      <c r="Q29" s="14">
        <f t="shared" si="2"/>
        <v>1.4</v>
      </c>
      <c r="R29" s="15">
        <f>IFERROR(__xludf.DUMMYFUNCTION("IF($A29="""","""", IFERROR(PERCENTRANK.INC(FILTER(P:P,$E:$E&lt;&gt;""""),P29)*100,""""))"),30.0)</f>
        <v>30</v>
      </c>
      <c r="S29" s="15">
        <f>IFERROR(__xludf.DUMMYFUNCTION("IF($A29="""","""",IFERROR(PERCENTRANK.INC(FILTER(Q:Q,$E:$E&lt;&gt;""""),Q29)*100,""""))"),100.0)</f>
        <v>100</v>
      </c>
    </row>
    <row r="30">
      <c r="A30" t="str">
        <f>IFERROR(__xludf.DUMMYFUNCTION("""COMPUTED_VALUE"""),"Jeff Green")</f>
        <v>Jeff Green</v>
      </c>
      <c r="B30" t="str">
        <f t="array" ref="B30">IFERROR(INDEX('Player Raw Data'!C:C,Match($A30,'Player Raw Data'!$B:$B,0)),"")</f>
        <v/>
      </c>
      <c r="C30" t="str">
        <f t="array" ref="C30">IFERROR(INDEX('Player Raw Data'!D:D,Match($A30,'Player Raw Data'!$B:$B,0)),"")</f>
        <v/>
      </c>
      <c r="D30" t="str">
        <f t="array" ref="D30">IFERROR(IF(A30=A29, INDEX('Player Raw Data'!E:E,Match($A30,'Player Raw Data'!$B:$B,0)+2),INDEX('Player Raw Data'!E:E,Match($A30,'Player Raw Data'!$B:$B,0))),"")</f>
        <v/>
      </c>
      <c r="E30" s="27">
        <f>IFERROR(__xludf.DUMMYFUNCTION("IFERROR(ARRAY_CONSTRAIN(SPLIT(INDEX('Daily Raw Data'!G:G,Match($A30,'Daily Raw Data'!$B:$B,0)),"":""),1,1),"""")"),19.0)</f>
        <v>19</v>
      </c>
      <c r="F30">
        <f t="array" ref="F30">IFERROR(INDEX('Daily Raw Data'!H:H,Match($A30,'Daily Raw Data'!$B:$B,0)),"")</f>
        <v>3</v>
      </c>
      <c r="G30">
        <f t="array" ref="G30">IFERROR(INDEX('Daily Raw Data'!I:I,Match($A30,'Daily Raw Data'!$B:$B,0)),"")</f>
        <v>5</v>
      </c>
      <c r="H30">
        <f t="array" ref="H30">IFERROR(INDEX('Daily Raw Data'!N:N,Match($A30,'Daily Raw Data'!$B:$B,0)),"")</f>
        <v>1</v>
      </c>
      <c r="I30">
        <f t="array" ref="I30">IFERROR(INDEX('Daily Raw Data'!O:O,Match($A30,'Daily Raw Data'!$B:$B,0)),"")</f>
        <v>2</v>
      </c>
      <c r="J30">
        <f t="array" ref="J30">IFERROR(INDEX('Daily Raw Data'!S:S,Match($A30,'Daily Raw Data'!$B:$B,0)),"")</f>
        <v>4</v>
      </c>
      <c r="K30">
        <f t="array" ref="K30">IFERROR(INDEX('Daily Raw Data'!T:T,Match($A30,'Daily Raw Data'!$B:$B,0)),"")</f>
        <v>0</v>
      </c>
      <c r="L30">
        <f t="array" ref="L30">IFERROR(INDEX('Daily Raw Data'!U:U,Match($A30,'Daily Raw Data'!$B:$B,0)),"")</f>
        <v>2</v>
      </c>
      <c r="M30">
        <f t="array" ref="M30">IFERROR(INDEX('Daily Raw Data'!V:V,Match($A30,'Daily Raw Data'!$B:$B,0)),"")</f>
        <v>0</v>
      </c>
      <c r="N30">
        <f t="array" ref="N30">IFERROR(INDEX('Daily Raw Data'!W:W,Match($A30,'Daily Raw Data'!$B:$B,0)),"")</f>
        <v>3</v>
      </c>
      <c r="O30">
        <f t="array" ref="O30">IFERROR(INDEX('Daily Raw Data'!Y:Y,Match($A30,'Daily Raw Data'!$B:$B,0)),"")</f>
        <v>7</v>
      </c>
      <c r="P30">
        <f t="shared" si="1"/>
        <v>7</v>
      </c>
      <c r="Q30" s="14">
        <f t="shared" si="2"/>
        <v>0.3684210526</v>
      </c>
      <c r="R30" s="15">
        <f>IFERROR(__xludf.DUMMYFUNCTION("IF($A30="""","""", IFERROR(PERCENTRANK.INC(FILTER(P:P,$E:$E&lt;&gt;""""),P30)*100,""""))"),30.0)</f>
        <v>30</v>
      </c>
      <c r="S30" s="15">
        <f>IFERROR(__xludf.DUMMYFUNCTION("IF($A30="""","""",IFERROR(PERCENTRANK.INC(FILTER(Q:Q,$E:$E&lt;&gt;""""),Q30)*100,""""))"),22.5)</f>
        <v>22.5</v>
      </c>
    </row>
    <row r="31">
      <c r="A31" t="str">
        <f>IFERROR(__xludf.DUMMYFUNCTION("""COMPUTED_VALUE"""),"Tre Mann")</f>
        <v>Tre Mann</v>
      </c>
      <c r="B31" t="str">
        <f t="array" ref="B31">IFERROR(INDEX('Player Raw Data'!C:C,Match($A31,'Player Raw Data'!$B:$B,0)),"")</f>
        <v/>
      </c>
      <c r="C31" t="str">
        <f t="array" ref="C31">IFERROR(INDEX('Player Raw Data'!D:D,Match($A31,'Player Raw Data'!$B:$B,0)),"")</f>
        <v/>
      </c>
      <c r="D31" t="str">
        <f t="array" ref="D31">IFERROR(IF(A31=A30, INDEX('Player Raw Data'!E:E,Match($A31,'Player Raw Data'!$B:$B,0)+2),INDEX('Player Raw Data'!E:E,Match($A31,'Player Raw Data'!$B:$B,0))),"")</f>
        <v/>
      </c>
      <c r="E31" s="27">
        <f>IFERROR(__xludf.DUMMYFUNCTION("IFERROR(ARRAY_CONSTRAIN(SPLIT(INDEX('Daily Raw Data'!G:G,Match($A31,'Daily Raw Data'!$B:$B,0)),"":""),1,1),"""")"),17.0)</f>
        <v>17</v>
      </c>
      <c r="F31">
        <f t="array" ref="F31">IFERROR(INDEX('Daily Raw Data'!H:H,Match($A31,'Daily Raw Data'!$B:$B,0)),"")</f>
        <v>2</v>
      </c>
      <c r="G31">
        <f t="array" ref="G31">IFERROR(INDEX('Daily Raw Data'!I:I,Match($A31,'Daily Raw Data'!$B:$B,0)),"")</f>
        <v>5</v>
      </c>
      <c r="H31">
        <f t="array" ref="H31">IFERROR(INDEX('Daily Raw Data'!N:N,Match($A31,'Daily Raw Data'!$B:$B,0)),"")</f>
        <v>0</v>
      </c>
      <c r="I31">
        <f t="array" ref="I31">IFERROR(INDEX('Daily Raw Data'!O:O,Match($A31,'Daily Raw Data'!$B:$B,0)),"")</f>
        <v>1</v>
      </c>
      <c r="J31">
        <f t="array" ref="J31">IFERROR(INDEX('Daily Raw Data'!S:S,Match($A31,'Daily Raw Data'!$B:$B,0)),"")</f>
        <v>2</v>
      </c>
      <c r="K31">
        <f t="array" ref="K31">IFERROR(INDEX('Daily Raw Data'!T:T,Match($A31,'Daily Raw Data'!$B:$B,0)),"")</f>
        <v>2</v>
      </c>
      <c r="L31">
        <f t="array" ref="L31">IFERROR(INDEX('Daily Raw Data'!U:U,Match($A31,'Daily Raw Data'!$B:$B,0)),"")</f>
        <v>0</v>
      </c>
      <c r="M31">
        <f t="array" ref="M31">IFERROR(INDEX('Daily Raw Data'!V:V,Match($A31,'Daily Raw Data'!$B:$B,0)),"")</f>
        <v>1</v>
      </c>
      <c r="N31">
        <f t="array" ref="N31">IFERROR(INDEX('Daily Raw Data'!W:W,Match($A31,'Daily Raw Data'!$B:$B,0)),"")</f>
        <v>0</v>
      </c>
      <c r="O31">
        <f t="array" ref="O31">IFERROR(INDEX('Daily Raw Data'!Y:Y,Match($A31,'Daily Raw Data'!$B:$B,0)),"")</f>
        <v>4</v>
      </c>
      <c r="P31">
        <f t="shared" si="1"/>
        <v>5</v>
      </c>
      <c r="Q31" s="14">
        <f t="shared" si="2"/>
        <v>0.2941176471</v>
      </c>
      <c r="R31" s="15">
        <f>IFERROR(__xludf.DUMMYFUNCTION("IF($A31="""","""", IFERROR(PERCENTRANK.INC(FILTER(P:P,$E:$E&lt;&gt;""""),P31)*100,""""))"),22.5)</f>
        <v>22.5</v>
      </c>
      <c r="S31" s="15">
        <f>IFERROR(__xludf.DUMMYFUNCTION("IF($A31="""","""",IFERROR(PERCENTRANK.INC(FILTER(Q:Q,$E:$E&lt;&gt;""""),Q31)*100,""""))"),17.5)</f>
        <v>17.5</v>
      </c>
    </row>
    <row r="32">
      <c r="A32" t="str">
        <f>IFERROR(__xludf.DUMMYFUNCTION("""COMPUTED_VALUE"""),"Darius Bazley")</f>
        <v>Darius Bazley</v>
      </c>
      <c r="B32" t="str">
        <f t="array" ref="B32">IFERROR(INDEX('Player Raw Data'!C:C,Match($A32,'Player Raw Data'!$B:$B,0)),"")</f>
        <v/>
      </c>
      <c r="C32" t="str">
        <f t="array" ref="C32">IFERROR(INDEX('Player Raw Data'!D:D,Match($A32,'Player Raw Data'!$B:$B,0)),"")</f>
        <v/>
      </c>
      <c r="D32" t="str">
        <f t="array" ref="D32">IFERROR(IF(A32=A31, INDEX('Player Raw Data'!E:E,Match($A32,'Player Raw Data'!$B:$B,0)+2),INDEX('Player Raw Data'!E:E,Match($A32,'Player Raw Data'!$B:$B,0))),"")</f>
        <v/>
      </c>
      <c r="E32" s="27">
        <f>IFERROR(__xludf.DUMMYFUNCTION("IFERROR(ARRAY_CONSTRAIN(SPLIT(INDEX('Daily Raw Data'!G:G,Match($A32,'Daily Raw Data'!$B:$B,0)),"":""),1,1),"""")"),13.0)</f>
        <v>13</v>
      </c>
      <c r="F32">
        <f t="array" ref="F32">IFERROR(INDEX('Daily Raw Data'!H:H,Match($A32,'Daily Raw Data'!$B:$B,0)),"")</f>
        <v>1</v>
      </c>
      <c r="G32">
        <f t="array" ref="G32">IFERROR(INDEX('Daily Raw Data'!I:I,Match($A32,'Daily Raw Data'!$B:$B,0)),"")</f>
        <v>5</v>
      </c>
      <c r="H32">
        <f t="array" ref="H32">IFERROR(INDEX('Daily Raw Data'!N:N,Match($A32,'Daily Raw Data'!$B:$B,0)),"")</f>
        <v>0</v>
      </c>
      <c r="I32">
        <f t="array" ref="I32">IFERROR(INDEX('Daily Raw Data'!O:O,Match($A32,'Daily Raw Data'!$B:$B,0)),"")</f>
        <v>0</v>
      </c>
      <c r="J32">
        <f t="array" ref="J32">IFERROR(INDEX('Daily Raw Data'!S:S,Match($A32,'Daily Raw Data'!$B:$B,0)),"")</f>
        <v>5</v>
      </c>
      <c r="K32">
        <f t="array" ref="K32">IFERROR(INDEX('Daily Raw Data'!T:T,Match($A32,'Daily Raw Data'!$B:$B,0)),"")</f>
        <v>2</v>
      </c>
      <c r="L32">
        <f t="array" ref="L32">IFERROR(INDEX('Daily Raw Data'!U:U,Match($A32,'Daily Raw Data'!$B:$B,0)),"")</f>
        <v>1</v>
      </c>
      <c r="M32">
        <f t="array" ref="M32">IFERROR(INDEX('Daily Raw Data'!V:V,Match($A32,'Daily Raw Data'!$B:$B,0)),"")</f>
        <v>1</v>
      </c>
      <c r="N32">
        <f t="array" ref="N32">IFERROR(INDEX('Daily Raw Data'!W:W,Match($A32,'Daily Raw Data'!$B:$B,0)),"")</f>
        <v>1</v>
      </c>
      <c r="O32">
        <f t="array" ref="O32">IFERROR(INDEX('Daily Raw Data'!Y:Y,Match($A32,'Daily Raw Data'!$B:$B,0)),"")</f>
        <v>2</v>
      </c>
      <c r="P32">
        <f t="shared" si="1"/>
        <v>6</v>
      </c>
      <c r="Q32" s="14">
        <f t="shared" si="2"/>
        <v>0.4615384615</v>
      </c>
      <c r="R32" s="15">
        <f>IFERROR(__xludf.DUMMYFUNCTION("IF($A32="""","""", IFERROR(PERCENTRANK.INC(FILTER(P:P,$E:$E&lt;&gt;""""),P32)*100,""""))"),27.500000000000004)</f>
        <v>27.5</v>
      </c>
      <c r="S32" s="15">
        <f>IFERROR(__xludf.DUMMYFUNCTION("IF($A32="""","""",IFERROR(PERCENTRANK.INC(FILTER(Q:Q,$E:$E&lt;&gt;""""),Q32)*100,""""))"),40.0)</f>
        <v>40</v>
      </c>
    </row>
    <row r="33">
      <c r="A33" t="str">
        <f>IFERROR(__xludf.DUMMYFUNCTION("""COMPUTED_VALUE"""),"Christian Braun")</f>
        <v>Christian Braun</v>
      </c>
      <c r="B33" t="str">
        <f t="array" ref="B33">IFERROR(INDEX('Player Raw Data'!C:C,Match($A33,'Player Raw Data'!$B:$B,0)),"")</f>
        <v/>
      </c>
      <c r="C33" t="str">
        <f t="array" ref="C33">IFERROR(INDEX('Player Raw Data'!D:D,Match($A33,'Player Raw Data'!$B:$B,0)),"")</f>
        <v/>
      </c>
      <c r="D33" t="str">
        <f t="array" ref="D33">IFERROR(IF(A33=A32, INDEX('Player Raw Data'!E:E,Match($A33,'Player Raw Data'!$B:$B,0)+2),INDEX('Player Raw Data'!E:E,Match($A33,'Player Raw Data'!$B:$B,0))),"")</f>
        <v/>
      </c>
      <c r="E33" s="27">
        <f>IFERROR(__xludf.DUMMYFUNCTION("IFERROR(ARRAY_CONSTRAIN(SPLIT(INDEX('Daily Raw Data'!G:G,Match($A33,'Daily Raw Data'!$B:$B,0)),"":""),1,1),"""")"),7.0)</f>
        <v>7</v>
      </c>
      <c r="F33">
        <f t="array" ref="F33">IFERROR(INDEX('Daily Raw Data'!H:H,Match($A33,'Daily Raw Data'!$B:$B,0)),"")</f>
        <v>1</v>
      </c>
      <c r="G33">
        <f t="array" ref="G33">IFERROR(INDEX('Daily Raw Data'!I:I,Match($A33,'Daily Raw Data'!$B:$B,0)),"")</f>
        <v>1</v>
      </c>
      <c r="H33">
        <f t="array" ref="H33">IFERROR(INDEX('Daily Raw Data'!N:N,Match($A33,'Daily Raw Data'!$B:$B,0)),"")</f>
        <v>0</v>
      </c>
      <c r="I33">
        <f t="array" ref="I33">IFERROR(INDEX('Daily Raw Data'!O:O,Match($A33,'Daily Raw Data'!$B:$B,0)),"")</f>
        <v>0</v>
      </c>
      <c r="J33">
        <f t="array" ref="J33">IFERROR(INDEX('Daily Raw Data'!S:S,Match($A33,'Daily Raw Data'!$B:$B,0)),"")</f>
        <v>0</v>
      </c>
      <c r="K33">
        <f t="array" ref="K33">IFERROR(INDEX('Daily Raw Data'!T:T,Match($A33,'Daily Raw Data'!$B:$B,0)),"")</f>
        <v>1</v>
      </c>
      <c r="L33">
        <f t="array" ref="L33">IFERROR(INDEX('Daily Raw Data'!U:U,Match($A33,'Daily Raw Data'!$B:$B,0)),"")</f>
        <v>0</v>
      </c>
      <c r="M33">
        <f t="array" ref="M33">IFERROR(INDEX('Daily Raw Data'!V:V,Match($A33,'Daily Raw Data'!$B:$B,0)),"")</f>
        <v>0</v>
      </c>
      <c r="N33">
        <f t="array" ref="N33">IFERROR(INDEX('Daily Raw Data'!W:W,Match($A33,'Daily Raw Data'!$B:$B,0)),"")</f>
        <v>0</v>
      </c>
      <c r="O33">
        <f t="array" ref="O33">IFERROR(INDEX('Daily Raw Data'!Y:Y,Match($A33,'Daily Raw Data'!$B:$B,0)),"")</f>
        <v>3</v>
      </c>
      <c r="P33">
        <f t="shared" si="1"/>
        <v>4</v>
      </c>
      <c r="Q33" s="14">
        <f t="shared" si="2"/>
        <v>0.5714285714</v>
      </c>
      <c r="R33" s="15">
        <f>IFERROR(__xludf.DUMMYFUNCTION("IF($A33="""","""", IFERROR(PERCENTRANK.INC(FILTER(P:P,$E:$E&lt;&gt;""""),P33)*100,""""))"),20.0)</f>
        <v>20</v>
      </c>
      <c r="S33" s="15">
        <f>IFERROR(__xludf.DUMMYFUNCTION("IF($A33="""","""",IFERROR(PERCENTRANK.INC(FILTER(Q:Q,$E:$E&lt;&gt;""""),Q33)*100,""""))"),60.0)</f>
        <v>60</v>
      </c>
    </row>
    <row r="34">
      <c r="A34" t="str">
        <f>IFERROR(__xludf.DUMMYFUNCTION("""COMPUTED_VALUE"""),"Caleb Houstan")</f>
        <v>Caleb Houstan</v>
      </c>
      <c r="B34" t="str">
        <f t="array" ref="B34">IFERROR(INDEX('Player Raw Data'!C:C,Match($A34,'Player Raw Data'!$B:$B,0)),"")</f>
        <v/>
      </c>
      <c r="C34" t="str">
        <f t="array" ref="C34">IFERROR(INDEX('Player Raw Data'!D:D,Match($A34,'Player Raw Data'!$B:$B,0)),"")</f>
        <v/>
      </c>
      <c r="D34" t="str">
        <f t="array" ref="D34">IFERROR(IF(A34=A33, INDEX('Player Raw Data'!E:E,Match($A34,'Player Raw Data'!$B:$B,0)+2),INDEX('Player Raw Data'!E:E,Match($A34,'Player Raw Data'!$B:$B,0))),"")</f>
        <v/>
      </c>
      <c r="E34" s="27">
        <f>IFERROR(__xludf.DUMMYFUNCTION("IFERROR(ARRAY_CONSTRAIN(SPLIT(INDEX('Daily Raw Data'!G:G,Match($A34,'Daily Raw Data'!$B:$B,0)),"":""),1,1),"""")"),4.0)</f>
        <v>4</v>
      </c>
      <c r="F34">
        <f t="array" ref="F34">IFERROR(INDEX('Daily Raw Data'!H:H,Match($A34,'Daily Raw Data'!$B:$B,0)),"")</f>
        <v>0</v>
      </c>
      <c r="G34">
        <f t="array" ref="G34">IFERROR(INDEX('Daily Raw Data'!I:I,Match($A34,'Daily Raw Data'!$B:$B,0)),"")</f>
        <v>1</v>
      </c>
      <c r="H34">
        <f t="array" ref="H34">IFERROR(INDEX('Daily Raw Data'!N:N,Match($A34,'Daily Raw Data'!$B:$B,0)),"")</f>
        <v>2</v>
      </c>
      <c r="I34">
        <f t="array" ref="I34">IFERROR(INDEX('Daily Raw Data'!O:O,Match($A34,'Daily Raw Data'!$B:$B,0)),"")</f>
        <v>2</v>
      </c>
      <c r="J34">
        <f t="array" ref="J34">IFERROR(INDEX('Daily Raw Data'!S:S,Match($A34,'Daily Raw Data'!$B:$B,0)),"")</f>
        <v>1</v>
      </c>
      <c r="K34">
        <f t="array" ref="K34">IFERROR(INDEX('Daily Raw Data'!T:T,Match($A34,'Daily Raw Data'!$B:$B,0)),"")</f>
        <v>0</v>
      </c>
      <c r="L34">
        <f t="array" ref="L34">IFERROR(INDEX('Daily Raw Data'!U:U,Match($A34,'Daily Raw Data'!$B:$B,0)),"")</f>
        <v>1</v>
      </c>
      <c r="M34">
        <f t="array" ref="M34">IFERROR(INDEX('Daily Raw Data'!V:V,Match($A34,'Daily Raw Data'!$B:$B,0)),"")</f>
        <v>0</v>
      </c>
      <c r="N34">
        <f t="array" ref="N34">IFERROR(INDEX('Daily Raw Data'!W:W,Match($A34,'Daily Raw Data'!$B:$B,0)),"")</f>
        <v>0</v>
      </c>
      <c r="O34">
        <f t="array" ref="O34">IFERROR(INDEX('Daily Raw Data'!Y:Y,Match($A34,'Daily Raw Data'!$B:$B,0)),"")</f>
        <v>2</v>
      </c>
      <c r="P34">
        <f t="shared" si="1"/>
        <v>3</v>
      </c>
      <c r="Q34" s="14">
        <f t="shared" si="2"/>
        <v>0.75</v>
      </c>
      <c r="R34" s="15">
        <f>IFERROR(__xludf.DUMMYFUNCTION("IF($A34="""","""", IFERROR(PERCENTRANK.INC(FILTER(P:P,$E:$E&lt;&gt;""""),P34)*100,""""))"),12.5)</f>
        <v>12.5</v>
      </c>
      <c r="S34" s="15">
        <f>IFERROR(__xludf.DUMMYFUNCTION("IF($A34="""","""",IFERROR(PERCENTRANK.INC(FILTER(Q:Q,$E:$E&lt;&gt;""""),Q34)*100,""""))"),80.0)</f>
        <v>80</v>
      </c>
    </row>
    <row r="35">
      <c r="A35" t="str">
        <f>IFERROR(__xludf.DUMMYFUNCTION("""COMPUTED_VALUE"""),"James Wiseman")</f>
        <v>James Wiseman</v>
      </c>
      <c r="B35" t="str">
        <f t="array" ref="B35">IFERROR(INDEX('Player Raw Data'!C:C,Match($A35,'Player Raw Data'!$B:$B,0)),"")</f>
        <v/>
      </c>
      <c r="C35" t="str">
        <f t="array" ref="C35">IFERROR(INDEX('Player Raw Data'!D:D,Match($A35,'Player Raw Data'!$B:$B,0)),"")</f>
        <v/>
      </c>
      <c r="D35" t="str">
        <f t="array" ref="D35">IFERROR(IF(A35=A34, INDEX('Player Raw Data'!E:E,Match($A35,'Player Raw Data'!$B:$B,0)+2),INDEX('Player Raw Data'!E:E,Match($A35,'Player Raw Data'!$B:$B,0))),"")</f>
        <v/>
      </c>
      <c r="E35" s="27">
        <f>IFERROR(__xludf.DUMMYFUNCTION("IFERROR(ARRAY_CONSTRAIN(SPLIT(INDEX('Daily Raw Data'!G:G,Match($A35,'Daily Raw Data'!$B:$B,0)),"":""),1,1),"""")"),9.0)</f>
        <v>9</v>
      </c>
      <c r="F35">
        <f t="array" ref="F35">IFERROR(INDEX('Daily Raw Data'!H:H,Match($A35,'Daily Raw Data'!$B:$B,0)),"")</f>
        <v>1</v>
      </c>
      <c r="G35">
        <f t="array" ref="G35">IFERROR(INDEX('Daily Raw Data'!I:I,Match($A35,'Daily Raw Data'!$B:$B,0)),"")</f>
        <v>3</v>
      </c>
      <c r="H35">
        <f t="array" ref="H35">IFERROR(INDEX('Daily Raw Data'!N:N,Match($A35,'Daily Raw Data'!$B:$B,0)),"")</f>
        <v>0</v>
      </c>
      <c r="I35">
        <f t="array" ref="I35">IFERROR(INDEX('Daily Raw Data'!O:O,Match($A35,'Daily Raw Data'!$B:$B,0)),"")</f>
        <v>0</v>
      </c>
      <c r="J35">
        <f t="array" ref="J35">IFERROR(INDEX('Daily Raw Data'!S:S,Match($A35,'Daily Raw Data'!$B:$B,0)),"")</f>
        <v>3</v>
      </c>
      <c r="K35">
        <f t="array" ref="K35">IFERROR(INDEX('Daily Raw Data'!T:T,Match($A35,'Daily Raw Data'!$B:$B,0)),"")</f>
        <v>1</v>
      </c>
      <c r="L35">
        <f t="array" ref="L35">IFERROR(INDEX('Daily Raw Data'!U:U,Match($A35,'Daily Raw Data'!$B:$B,0)),"")</f>
        <v>1</v>
      </c>
      <c r="M35">
        <f t="array" ref="M35">IFERROR(INDEX('Daily Raw Data'!V:V,Match($A35,'Daily Raw Data'!$B:$B,0)),"")</f>
        <v>0</v>
      </c>
      <c r="N35">
        <f t="array" ref="N35">IFERROR(INDEX('Daily Raw Data'!W:W,Match($A35,'Daily Raw Data'!$B:$B,0)),"")</f>
        <v>0</v>
      </c>
      <c r="O35">
        <f t="array" ref="O35">IFERROR(INDEX('Daily Raw Data'!Y:Y,Match($A35,'Daily Raw Data'!$B:$B,0)),"")</f>
        <v>2</v>
      </c>
      <c r="P35">
        <f t="shared" si="1"/>
        <v>5</v>
      </c>
      <c r="Q35" s="14">
        <f t="shared" si="2"/>
        <v>0.5555555556</v>
      </c>
      <c r="R35" s="15">
        <f>IFERROR(__xludf.DUMMYFUNCTION("IF($A35="""","""", IFERROR(PERCENTRANK.INC(FILTER(P:P,$E:$E&lt;&gt;""""),P35)*100,""""))"),22.5)</f>
        <v>22.5</v>
      </c>
      <c r="S35" s="15">
        <f>IFERROR(__xludf.DUMMYFUNCTION("IF($A35="""","""",IFERROR(PERCENTRANK.INC(FILTER(Q:Q,$E:$E&lt;&gt;""""),Q35)*100,""""))"),52.5)</f>
        <v>52.5</v>
      </c>
    </row>
    <row r="36">
      <c r="A36" t="str">
        <f>IFERROR(__xludf.DUMMYFUNCTION("""COMPUTED_VALUE"""),"Ty Jerome")</f>
        <v>Ty Jerome</v>
      </c>
      <c r="B36" t="str">
        <f t="array" ref="B36">IFERROR(INDEX('Player Raw Data'!C:C,Match($A36,'Player Raw Data'!$B:$B,0)),"")</f>
        <v/>
      </c>
      <c r="C36" t="str">
        <f t="array" ref="C36">IFERROR(INDEX('Player Raw Data'!D:D,Match($A36,'Player Raw Data'!$B:$B,0)),"")</f>
        <v/>
      </c>
      <c r="D36" t="str">
        <f t="array" ref="D36">IFERROR(IF(A36=A35, INDEX('Player Raw Data'!E:E,Match($A36,'Player Raw Data'!$B:$B,0)+2),INDEX('Player Raw Data'!E:E,Match($A36,'Player Raw Data'!$B:$B,0))),"")</f>
        <v/>
      </c>
      <c r="E36" s="27">
        <f>IFERROR(__xludf.DUMMYFUNCTION("IFERROR(ARRAY_CONSTRAIN(SPLIT(INDEX('Daily Raw Data'!G:G,Match($A36,'Daily Raw Data'!$B:$B,0)),"":""),1,1),"""")"),13.0)</f>
        <v>13</v>
      </c>
      <c r="F36">
        <f t="array" ref="F36">IFERROR(INDEX('Daily Raw Data'!H:H,Match($A36,'Daily Raw Data'!$B:$B,0)),"")</f>
        <v>1</v>
      </c>
      <c r="G36">
        <f t="array" ref="G36">IFERROR(INDEX('Daily Raw Data'!I:I,Match($A36,'Daily Raw Data'!$B:$B,0)),"")</f>
        <v>2</v>
      </c>
      <c r="H36">
        <f t="array" ref="H36">IFERROR(INDEX('Daily Raw Data'!N:N,Match($A36,'Daily Raw Data'!$B:$B,0)),"")</f>
        <v>0</v>
      </c>
      <c r="I36">
        <f t="array" ref="I36">IFERROR(INDEX('Daily Raw Data'!O:O,Match($A36,'Daily Raw Data'!$B:$B,0)),"")</f>
        <v>0</v>
      </c>
      <c r="J36">
        <f t="array" ref="J36">IFERROR(INDEX('Daily Raw Data'!S:S,Match($A36,'Daily Raw Data'!$B:$B,0)),"")</f>
        <v>0</v>
      </c>
      <c r="K36">
        <f t="array" ref="K36">IFERROR(INDEX('Daily Raw Data'!T:T,Match($A36,'Daily Raw Data'!$B:$B,0)),"")</f>
        <v>3</v>
      </c>
      <c r="L36">
        <f t="array" ref="L36">IFERROR(INDEX('Daily Raw Data'!U:U,Match($A36,'Daily Raw Data'!$B:$B,0)),"")</f>
        <v>0</v>
      </c>
      <c r="M36">
        <f t="array" ref="M36">IFERROR(INDEX('Daily Raw Data'!V:V,Match($A36,'Daily Raw Data'!$B:$B,0)),"")</f>
        <v>0</v>
      </c>
      <c r="N36">
        <f t="array" ref="N36">IFERROR(INDEX('Daily Raw Data'!W:W,Match($A36,'Daily Raw Data'!$B:$B,0)),"")</f>
        <v>1</v>
      </c>
      <c r="O36">
        <f t="array" ref="O36">IFERROR(INDEX('Daily Raw Data'!Y:Y,Match($A36,'Daily Raw Data'!$B:$B,0)),"")</f>
        <v>2</v>
      </c>
      <c r="P36">
        <f t="shared" si="1"/>
        <v>3</v>
      </c>
      <c r="Q36" s="14">
        <f t="shared" si="2"/>
        <v>0.2307692308</v>
      </c>
      <c r="R36" s="15">
        <f>IFERROR(__xludf.DUMMYFUNCTION("IF($A36="""","""", IFERROR(PERCENTRANK.INC(FILTER(P:P,$E:$E&lt;&gt;""""),P36)*100,""""))"),12.5)</f>
        <v>12.5</v>
      </c>
      <c r="S36" s="15">
        <f>IFERROR(__xludf.DUMMYFUNCTION("IF($A36="""","""",IFERROR(PERCENTRANK.INC(FILTER(Q:Q,$E:$E&lt;&gt;""""),Q36)*100,""""))"),10.0)</f>
        <v>10</v>
      </c>
    </row>
    <row r="37">
      <c r="A37" t="str">
        <f>IFERROR(__xludf.DUMMYFUNCTION("""COMPUTED_VALUE"""),"Ousmane Dieng")</f>
        <v>Ousmane Dieng</v>
      </c>
      <c r="B37" t="str">
        <f t="array" ref="B37">IFERROR(INDEX('Player Raw Data'!C:C,Match($A37,'Player Raw Data'!$B:$B,0)),"")</f>
        <v/>
      </c>
      <c r="C37" t="str">
        <f t="array" ref="C37">IFERROR(INDEX('Player Raw Data'!D:D,Match($A37,'Player Raw Data'!$B:$B,0)),"")</f>
        <v/>
      </c>
      <c r="D37" t="str">
        <f t="array" ref="D37">IFERROR(IF(A37=A36, INDEX('Player Raw Data'!E:E,Match($A37,'Player Raw Data'!$B:$B,0)+2),INDEX('Player Raw Data'!E:E,Match($A37,'Player Raw Data'!$B:$B,0))),"")</f>
        <v/>
      </c>
      <c r="E37" s="27">
        <f>IFERROR(__xludf.DUMMYFUNCTION("IFERROR(ARRAY_CONSTRAIN(SPLIT(INDEX('Daily Raw Data'!G:G,Match($A37,'Daily Raw Data'!$B:$B,0)),"":""),1,1),"""")"),12.0)</f>
        <v>12</v>
      </c>
      <c r="F37">
        <f t="array" ref="F37">IFERROR(INDEX('Daily Raw Data'!H:H,Match($A37,'Daily Raw Data'!$B:$B,0)),"")</f>
        <v>1</v>
      </c>
      <c r="G37">
        <f t="array" ref="G37">IFERROR(INDEX('Daily Raw Data'!I:I,Match($A37,'Daily Raw Data'!$B:$B,0)),"")</f>
        <v>3</v>
      </c>
      <c r="H37">
        <f t="array" ref="H37">IFERROR(INDEX('Daily Raw Data'!N:N,Match($A37,'Daily Raw Data'!$B:$B,0)),"")</f>
        <v>1</v>
      </c>
      <c r="I37">
        <f t="array" ref="I37">IFERROR(INDEX('Daily Raw Data'!O:O,Match($A37,'Daily Raw Data'!$B:$B,0)),"")</f>
        <v>2</v>
      </c>
      <c r="J37">
        <f t="array" ref="J37">IFERROR(INDEX('Daily Raw Data'!S:S,Match($A37,'Daily Raw Data'!$B:$B,0)),"")</f>
        <v>3</v>
      </c>
      <c r="K37">
        <f t="array" ref="K37">IFERROR(INDEX('Daily Raw Data'!T:T,Match($A37,'Daily Raw Data'!$B:$B,0)),"")</f>
        <v>1</v>
      </c>
      <c r="L37">
        <f t="array" ref="L37">IFERROR(INDEX('Daily Raw Data'!U:U,Match($A37,'Daily Raw Data'!$B:$B,0)),"")</f>
        <v>0</v>
      </c>
      <c r="M37">
        <f t="array" ref="M37">IFERROR(INDEX('Daily Raw Data'!V:V,Match($A37,'Daily Raw Data'!$B:$B,0)),"")</f>
        <v>0</v>
      </c>
      <c r="N37">
        <f t="array" ref="N37">IFERROR(INDEX('Daily Raw Data'!W:W,Match($A37,'Daily Raw Data'!$B:$B,0)),"")</f>
        <v>1</v>
      </c>
      <c r="O37">
        <f t="array" ref="O37">IFERROR(INDEX('Daily Raw Data'!Y:Y,Match($A37,'Daily Raw Data'!$B:$B,0)),"")</f>
        <v>3</v>
      </c>
      <c r="P37">
        <f t="shared" si="1"/>
        <v>3</v>
      </c>
      <c r="Q37" s="14">
        <f t="shared" si="2"/>
        <v>0.25</v>
      </c>
      <c r="R37" s="15">
        <f>IFERROR(__xludf.DUMMYFUNCTION("IF($A37="""","""", IFERROR(PERCENTRANK.INC(FILTER(P:P,$E:$E&lt;&gt;""""),P37)*100,""""))"),12.5)</f>
        <v>12.5</v>
      </c>
      <c r="S37" s="15">
        <f>IFERROR(__xludf.DUMMYFUNCTION("IF($A37="""","""",IFERROR(PERCENTRANK.INC(FILTER(Q:Q,$E:$E&lt;&gt;""""),Q37)*100,""""))"),12.5)</f>
        <v>12.5</v>
      </c>
    </row>
    <row r="38">
      <c r="A38" t="str">
        <f>IFERROR(__xludf.DUMMYFUNCTION("""COMPUTED_VALUE"""),"Jordan Poole")</f>
        <v>Jordan Poole</v>
      </c>
      <c r="B38" t="str">
        <f t="array" ref="B38">IFERROR(INDEX('Player Raw Data'!C:C,Match($A38,'Player Raw Data'!$B:$B,0)),"")</f>
        <v/>
      </c>
      <c r="C38" t="str">
        <f t="array" ref="C38">IFERROR(INDEX('Player Raw Data'!D:D,Match($A38,'Player Raw Data'!$B:$B,0)),"")</f>
        <v/>
      </c>
      <c r="D38" t="str">
        <f t="array" ref="D38">IFERROR(IF(A38=A37, INDEX('Player Raw Data'!E:E,Match($A38,'Player Raw Data'!$B:$B,0)+2),INDEX('Player Raw Data'!E:E,Match($A38,'Player Raw Data'!$B:$B,0))),"")</f>
        <v/>
      </c>
      <c r="E38" s="27">
        <f>IFERROR(__xludf.DUMMYFUNCTION("IFERROR(ARRAY_CONSTRAIN(SPLIT(INDEX('Daily Raw Data'!G:G,Match($A38,'Daily Raw Data'!$B:$B,0)),"":""),1,1),"""")"),24.0)</f>
        <v>24</v>
      </c>
      <c r="F38">
        <f t="array" ref="F38">IFERROR(INDEX('Daily Raw Data'!H:H,Match($A38,'Daily Raw Data'!$B:$B,0)),"")</f>
        <v>4</v>
      </c>
      <c r="G38">
        <f t="array" ref="G38">IFERROR(INDEX('Daily Raw Data'!I:I,Match($A38,'Daily Raw Data'!$B:$B,0)),"")</f>
        <v>12</v>
      </c>
      <c r="H38">
        <f t="array" ref="H38">IFERROR(INDEX('Daily Raw Data'!N:N,Match($A38,'Daily Raw Data'!$B:$B,0)),"")</f>
        <v>2</v>
      </c>
      <c r="I38">
        <f t="array" ref="I38">IFERROR(INDEX('Daily Raw Data'!O:O,Match($A38,'Daily Raw Data'!$B:$B,0)),"")</f>
        <v>3</v>
      </c>
      <c r="J38">
        <f t="array" ref="J38">IFERROR(INDEX('Daily Raw Data'!S:S,Match($A38,'Daily Raw Data'!$B:$B,0)),"")</f>
        <v>2</v>
      </c>
      <c r="K38">
        <f t="array" ref="K38">IFERROR(INDEX('Daily Raw Data'!T:T,Match($A38,'Daily Raw Data'!$B:$B,0)),"")</f>
        <v>2</v>
      </c>
      <c r="L38">
        <f t="array" ref="L38">IFERROR(INDEX('Daily Raw Data'!U:U,Match($A38,'Daily Raw Data'!$B:$B,0)),"")</f>
        <v>0</v>
      </c>
      <c r="M38">
        <f t="array" ref="M38">IFERROR(INDEX('Daily Raw Data'!V:V,Match($A38,'Daily Raw Data'!$B:$B,0)),"")</f>
        <v>0</v>
      </c>
      <c r="N38">
        <f t="array" ref="N38">IFERROR(INDEX('Daily Raw Data'!W:W,Match($A38,'Daily Raw Data'!$B:$B,0)),"")</f>
        <v>4</v>
      </c>
      <c r="O38">
        <f t="array" ref="O38">IFERROR(INDEX('Daily Raw Data'!Y:Y,Match($A38,'Daily Raw Data'!$B:$B,0)),"")</f>
        <v>11</v>
      </c>
      <c r="P38">
        <f t="shared" si="1"/>
        <v>2</v>
      </c>
      <c r="Q38" s="14">
        <f t="shared" si="2"/>
        <v>0.08333333333</v>
      </c>
      <c r="R38" s="15">
        <f>IFERROR(__xludf.DUMMYFUNCTION("IF($A38="""","""", IFERROR(PERCENTRANK.INC(FILTER(P:P,$E:$E&lt;&gt;""""),P38)*100,""""))"),5.0)</f>
        <v>5</v>
      </c>
      <c r="S38" s="15">
        <f>IFERROR(__xludf.DUMMYFUNCTION("IF($A38="""","""",IFERROR(PERCENTRANK.INC(FILTER(Q:Q,$E:$E&lt;&gt;""""),Q38)*100,""""))"),2.5)</f>
        <v>2.5</v>
      </c>
    </row>
    <row r="39">
      <c r="A39" t="str">
        <f>IFERROR(__xludf.DUMMYFUNCTION("""COMPUTED_VALUE"""),"Davon Reed")</f>
        <v>Davon Reed</v>
      </c>
      <c r="B39" t="str">
        <f t="array" ref="B39">IFERROR(INDEX('Player Raw Data'!C:C,Match($A39,'Player Raw Data'!$B:$B,0)),"")</f>
        <v/>
      </c>
      <c r="C39" t="str">
        <f t="array" ref="C39">IFERROR(INDEX('Player Raw Data'!D:D,Match($A39,'Player Raw Data'!$B:$B,0)),"")</f>
        <v/>
      </c>
      <c r="D39" t="str">
        <f t="array" ref="D39">IFERROR(IF(A39=A38, INDEX('Player Raw Data'!E:E,Match($A39,'Player Raw Data'!$B:$B,0)+2),INDEX('Player Raw Data'!E:E,Match($A39,'Player Raw Data'!$B:$B,0))),"")</f>
        <v/>
      </c>
      <c r="E39" s="27">
        <f>IFERROR(__xludf.DUMMYFUNCTION("IFERROR(ARRAY_CONSTRAIN(SPLIT(INDEX('Daily Raw Data'!G:G,Match($A39,'Daily Raw Data'!$B:$B,0)),"":""),1,1),"""")"),8.0)</f>
        <v>8</v>
      </c>
      <c r="F39">
        <f t="array" ref="F39">IFERROR(INDEX('Daily Raw Data'!H:H,Match($A39,'Daily Raw Data'!$B:$B,0)),"")</f>
        <v>2</v>
      </c>
      <c r="G39">
        <f t="array" ref="G39">IFERROR(INDEX('Daily Raw Data'!I:I,Match($A39,'Daily Raw Data'!$B:$B,0)),"")</f>
        <v>4</v>
      </c>
      <c r="H39">
        <f t="array" ref="H39">IFERROR(INDEX('Daily Raw Data'!N:N,Match($A39,'Daily Raw Data'!$B:$B,0)),"")</f>
        <v>0</v>
      </c>
      <c r="I39">
        <f t="array" ref="I39">IFERROR(INDEX('Daily Raw Data'!O:O,Match($A39,'Daily Raw Data'!$B:$B,0)),"")</f>
        <v>0</v>
      </c>
      <c r="J39">
        <f t="array" ref="J39">IFERROR(INDEX('Daily Raw Data'!S:S,Match($A39,'Daily Raw Data'!$B:$B,0)),"")</f>
        <v>1</v>
      </c>
      <c r="K39">
        <f t="array" ref="K39">IFERROR(INDEX('Daily Raw Data'!T:T,Match($A39,'Daily Raw Data'!$B:$B,0)),"")</f>
        <v>0</v>
      </c>
      <c r="L39">
        <f t="array" ref="L39">IFERROR(INDEX('Daily Raw Data'!U:U,Match($A39,'Daily Raw Data'!$B:$B,0)),"")</f>
        <v>0</v>
      </c>
      <c r="M39">
        <f t="array" ref="M39">IFERROR(INDEX('Daily Raw Data'!V:V,Match($A39,'Daily Raw Data'!$B:$B,0)),"")</f>
        <v>0</v>
      </c>
      <c r="N39">
        <f t="array" ref="N39">IFERROR(INDEX('Daily Raw Data'!W:W,Match($A39,'Daily Raw Data'!$B:$B,0)),"")</f>
        <v>2</v>
      </c>
      <c r="O39">
        <f t="array" ref="O39">IFERROR(INDEX('Daily Raw Data'!Y:Y,Match($A39,'Daily Raw Data'!$B:$B,0)),"")</f>
        <v>5</v>
      </c>
      <c r="P39">
        <f t="shared" si="1"/>
        <v>2</v>
      </c>
      <c r="Q39" s="14">
        <f t="shared" si="2"/>
        <v>0.25</v>
      </c>
      <c r="R39" s="15">
        <f>IFERROR(__xludf.DUMMYFUNCTION("IF($A39="""","""", IFERROR(PERCENTRANK.INC(FILTER(P:P,$E:$E&lt;&gt;""""),P39)*100,""""))"),5.0)</f>
        <v>5</v>
      </c>
      <c r="S39" s="15">
        <f>IFERROR(__xludf.DUMMYFUNCTION("IF($A39="""","""",IFERROR(PERCENTRANK.INC(FILTER(Q:Q,$E:$E&lt;&gt;""""),Q39)*100,""""))"),12.5)</f>
        <v>12.5</v>
      </c>
    </row>
    <row r="40">
      <c r="A40" t="str">
        <f>IFERROR(__xludf.DUMMYFUNCTION("""COMPUTED_VALUE"""),"Moses Moody")</f>
        <v>Moses Moody</v>
      </c>
      <c r="B40" t="str">
        <f t="array" ref="B40">IFERROR(INDEX('Player Raw Data'!C:C,Match($A40,'Player Raw Data'!$B:$B,0)),"")</f>
        <v/>
      </c>
      <c r="C40" t="str">
        <f t="array" ref="C40">IFERROR(INDEX('Player Raw Data'!D:D,Match($A40,'Player Raw Data'!$B:$B,0)),"")</f>
        <v/>
      </c>
      <c r="D40" t="str">
        <f t="array" ref="D40">IFERROR(IF(A40=A39, INDEX('Player Raw Data'!E:E,Match($A40,'Player Raw Data'!$B:$B,0)+2),INDEX('Player Raw Data'!E:E,Match($A40,'Player Raw Data'!$B:$B,0))),"")</f>
        <v/>
      </c>
      <c r="E40" s="27">
        <f>IFERROR(__xludf.DUMMYFUNCTION("IFERROR(ARRAY_CONSTRAIN(SPLIT(INDEX('Daily Raw Data'!G:G,Match($A40,'Daily Raw Data'!$B:$B,0)),"":""),1,1),"""")"),11.0)</f>
        <v>11</v>
      </c>
      <c r="F40">
        <f t="array" ref="F40">IFERROR(INDEX('Daily Raw Data'!H:H,Match($A40,'Daily Raw Data'!$B:$B,0)),"")</f>
        <v>0</v>
      </c>
      <c r="G40">
        <f t="array" ref="G40">IFERROR(INDEX('Daily Raw Data'!I:I,Match($A40,'Daily Raw Data'!$B:$B,0)),"")</f>
        <v>1</v>
      </c>
      <c r="H40">
        <f t="array" ref="H40">IFERROR(INDEX('Daily Raw Data'!N:N,Match($A40,'Daily Raw Data'!$B:$B,0)),"")</f>
        <v>1</v>
      </c>
      <c r="I40">
        <f t="array" ref="I40">IFERROR(INDEX('Daily Raw Data'!O:O,Match($A40,'Daily Raw Data'!$B:$B,0)),"")</f>
        <v>2</v>
      </c>
      <c r="J40">
        <f t="array" ref="J40">IFERROR(INDEX('Daily Raw Data'!S:S,Match($A40,'Daily Raw Data'!$B:$B,0)),"")</f>
        <v>2</v>
      </c>
      <c r="K40">
        <f t="array" ref="K40">IFERROR(INDEX('Daily Raw Data'!T:T,Match($A40,'Daily Raw Data'!$B:$B,0)),"")</f>
        <v>0</v>
      </c>
      <c r="L40">
        <f t="array" ref="L40">IFERROR(INDEX('Daily Raw Data'!U:U,Match($A40,'Daily Raw Data'!$B:$B,0)),"")</f>
        <v>1</v>
      </c>
      <c r="M40">
        <f t="array" ref="M40">IFERROR(INDEX('Daily Raw Data'!V:V,Match($A40,'Daily Raw Data'!$B:$B,0)),"")</f>
        <v>0</v>
      </c>
      <c r="N40">
        <f t="array" ref="N40">IFERROR(INDEX('Daily Raw Data'!W:W,Match($A40,'Daily Raw Data'!$B:$B,0)),"")</f>
        <v>0</v>
      </c>
      <c r="O40">
        <f t="array" ref="O40">IFERROR(INDEX('Daily Raw Data'!Y:Y,Match($A40,'Daily Raw Data'!$B:$B,0)),"")</f>
        <v>1</v>
      </c>
      <c r="P40">
        <f t="shared" si="1"/>
        <v>2</v>
      </c>
      <c r="Q40" s="14">
        <f t="shared" si="2"/>
        <v>0.1818181818</v>
      </c>
      <c r="R40" s="15">
        <f>IFERROR(__xludf.DUMMYFUNCTION("IF($A40="""","""", IFERROR(PERCENTRANK.INC(FILTER(P:P,$E:$E&lt;&gt;""""),P40)*100,""""))"),5.0)</f>
        <v>5</v>
      </c>
      <c r="S40" s="15">
        <f>IFERROR(__xludf.DUMMYFUNCTION("IF($A40="""","""",IFERROR(PERCENTRANK.INC(FILTER(Q:Q,$E:$E&lt;&gt;""""),Q40)*100,""""))"),5.0)</f>
        <v>5</v>
      </c>
    </row>
    <row r="41">
      <c r="A41" t="str">
        <f>IFERROR(__xludf.DUMMYFUNCTION("""COMPUTED_VALUE"""),"Mo Bamba")</f>
        <v>Mo Bamba</v>
      </c>
      <c r="B41" t="str">
        <f t="array" ref="B41">IFERROR(INDEX('Player Raw Data'!C:C,Match($A41,'Player Raw Data'!$B:$B,0)),"")</f>
        <v/>
      </c>
      <c r="C41" t="str">
        <f t="array" ref="C41">IFERROR(INDEX('Player Raw Data'!D:D,Match($A41,'Player Raw Data'!$B:$B,0)),"")</f>
        <v/>
      </c>
      <c r="D41" t="str">
        <f t="array" ref="D41">IFERROR(IF(A41=A40, INDEX('Player Raw Data'!E:E,Match($A41,'Player Raw Data'!$B:$B,0)+2),INDEX('Player Raw Data'!E:E,Match($A41,'Player Raw Data'!$B:$B,0))),"")</f>
        <v/>
      </c>
      <c r="E41" s="27">
        <f>IFERROR(__xludf.DUMMYFUNCTION("IFERROR(ARRAY_CONSTRAIN(SPLIT(INDEX('Daily Raw Data'!G:G,Match($A41,'Daily Raw Data'!$B:$B,0)),"":""),1,1),"""")"),5.0)</f>
        <v>5</v>
      </c>
      <c r="F41">
        <f t="array" ref="F41">IFERROR(INDEX('Daily Raw Data'!H:H,Match($A41,'Daily Raw Data'!$B:$B,0)),"")</f>
        <v>0</v>
      </c>
      <c r="G41">
        <f t="array" ref="G41">IFERROR(INDEX('Daily Raw Data'!I:I,Match($A41,'Daily Raw Data'!$B:$B,0)),"")</f>
        <v>0</v>
      </c>
      <c r="H41">
        <f t="array" ref="H41">IFERROR(INDEX('Daily Raw Data'!N:N,Match($A41,'Daily Raw Data'!$B:$B,0)),"")</f>
        <v>0</v>
      </c>
      <c r="I41">
        <f t="array" ref="I41">IFERROR(INDEX('Daily Raw Data'!O:O,Match($A41,'Daily Raw Data'!$B:$B,0)),"")</f>
        <v>0</v>
      </c>
      <c r="J41">
        <f t="array" ref="J41">IFERROR(INDEX('Daily Raw Data'!S:S,Match($A41,'Daily Raw Data'!$B:$B,0)),"")</f>
        <v>2</v>
      </c>
      <c r="K41">
        <f t="array" ref="K41">IFERROR(INDEX('Daily Raw Data'!T:T,Match($A41,'Daily Raw Data'!$B:$B,0)),"")</f>
        <v>0</v>
      </c>
      <c r="L41">
        <f t="array" ref="L41">IFERROR(INDEX('Daily Raw Data'!U:U,Match($A41,'Daily Raw Data'!$B:$B,0)),"")</f>
        <v>0</v>
      </c>
      <c r="M41">
        <f t="array" ref="M41">IFERROR(INDEX('Daily Raw Data'!V:V,Match($A41,'Daily Raw Data'!$B:$B,0)),"")</f>
        <v>0</v>
      </c>
      <c r="N41">
        <f t="array" ref="N41">IFERROR(INDEX('Daily Raw Data'!W:W,Match($A41,'Daily Raw Data'!$B:$B,0)),"")</f>
        <v>1</v>
      </c>
      <c r="O41">
        <f t="array" ref="O41">IFERROR(INDEX('Daily Raw Data'!Y:Y,Match($A41,'Daily Raw Data'!$B:$B,0)),"")</f>
        <v>0</v>
      </c>
      <c r="P41">
        <f t="shared" si="1"/>
        <v>1</v>
      </c>
      <c r="Q41" s="14">
        <f t="shared" si="2"/>
        <v>0.2</v>
      </c>
      <c r="R41" s="15">
        <f>IFERROR(__xludf.DUMMYFUNCTION("IF($A41="""","""", IFERROR(PERCENTRANK.INC(FILTER(P:P,$E:$E&lt;&gt;""""),P41)*100,""""))"),2.5)</f>
        <v>2.5</v>
      </c>
      <c r="S41" s="15">
        <f>IFERROR(__xludf.DUMMYFUNCTION("IF($A41="""","""",IFERROR(PERCENTRANK.INC(FILTER(Q:Q,$E:$E&lt;&gt;""""),Q41)*100,""""))"),7.5)</f>
        <v>7.5</v>
      </c>
    </row>
    <row r="42">
      <c r="A42" t="str">
        <f>IFERROR(__xludf.DUMMYFUNCTION("""COMPUTED_VALUE"""),"Mike Muscala")</f>
        <v>Mike Muscala</v>
      </c>
      <c r="B42" t="str">
        <f t="array" ref="B42">IFERROR(INDEX('Player Raw Data'!C:C,Match($A42,'Player Raw Data'!$B:$B,0)),"")</f>
        <v/>
      </c>
      <c r="C42" t="str">
        <f t="array" ref="C42">IFERROR(INDEX('Player Raw Data'!D:D,Match($A42,'Player Raw Data'!$B:$B,0)),"")</f>
        <v/>
      </c>
      <c r="D42" t="str">
        <f t="array" ref="D42">IFERROR(IF(A42=A41, INDEX('Player Raw Data'!E:E,Match($A42,'Player Raw Data'!$B:$B,0)+2),INDEX('Player Raw Data'!E:E,Match($A42,'Player Raw Data'!$B:$B,0))),"")</f>
        <v/>
      </c>
      <c r="E42" s="27">
        <f>IFERROR(__xludf.DUMMYFUNCTION("IFERROR(ARRAY_CONSTRAIN(SPLIT(INDEX('Daily Raw Data'!G:G,Match($A42,'Daily Raw Data'!$B:$B,0)),"":""),1,1),"""")"),12.0)</f>
        <v>12</v>
      </c>
      <c r="F42">
        <f t="array" ref="F42">IFERROR(INDEX('Daily Raw Data'!H:H,Match($A42,'Daily Raw Data'!$B:$B,0)),"")</f>
        <v>0</v>
      </c>
      <c r="G42">
        <f t="array" ref="G42">IFERROR(INDEX('Daily Raw Data'!I:I,Match($A42,'Daily Raw Data'!$B:$B,0)),"")</f>
        <v>3</v>
      </c>
      <c r="H42">
        <f t="array" ref="H42">IFERROR(INDEX('Daily Raw Data'!N:N,Match($A42,'Daily Raw Data'!$B:$B,0)),"")</f>
        <v>0</v>
      </c>
      <c r="I42">
        <f t="array" ref="I42">IFERROR(INDEX('Daily Raw Data'!O:O,Match($A42,'Daily Raw Data'!$B:$B,0)),"")</f>
        <v>0</v>
      </c>
      <c r="J42">
        <f t="array" ref="J42">IFERROR(INDEX('Daily Raw Data'!S:S,Match($A42,'Daily Raw Data'!$B:$B,0)),"")</f>
        <v>2</v>
      </c>
      <c r="K42">
        <f t="array" ref="K42">IFERROR(INDEX('Daily Raw Data'!T:T,Match($A42,'Daily Raw Data'!$B:$B,0)),"")</f>
        <v>0</v>
      </c>
      <c r="L42">
        <f t="array" ref="L42">IFERROR(INDEX('Daily Raw Data'!U:U,Match($A42,'Daily Raw Data'!$B:$B,0)),"")</f>
        <v>0</v>
      </c>
      <c r="M42">
        <f t="array" ref="M42">IFERROR(INDEX('Daily Raw Data'!V:V,Match($A42,'Daily Raw Data'!$B:$B,0)),"")</f>
        <v>0</v>
      </c>
      <c r="N42">
        <f t="array" ref="N42">IFERROR(INDEX('Daily Raw Data'!W:W,Match($A42,'Daily Raw Data'!$B:$B,0)),"")</f>
        <v>0</v>
      </c>
      <c r="O42">
        <f t="array" ref="O42">IFERROR(INDEX('Daily Raw Data'!Y:Y,Match($A42,'Daily Raw Data'!$B:$B,0)),"")</f>
        <v>0</v>
      </c>
      <c r="P42">
        <f t="shared" si="1"/>
        <v>-1</v>
      </c>
      <c r="Q42" s="14">
        <f t="shared" si="2"/>
        <v>-0.08333333333</v>
      </c>
      <c r="R42" s="15">
        <f>IFERROR(__xludf.DUMMYFUNCTION("IF($A42="""","""", IFERROR(PERCENTRANK.INC(FILTER(P:P,$E:$E&lt;&gt;""""),P42)*100,""""))"),0.0)</f>
        <v>0</v>
      </c>
      <c r="S42" s="15">
        <f>IFERROR(__xludf.DUMMYFUNCTION("IF($A42="""","""",IFERROR(PERCENTRANK.INC(FILTER(Q:Q,$E:$E&lt;&gt;""""),Q42)*100,""""))"),0.0)</f>
        <v>0</v>
      </c>
    </row>
    <row r="43">
      <c r="B43" t="str">
        <f t="array" ref="B43">IFERROR(INDEX('Player Raw Data'!C:C,Match($A43,'Player Raw Data'!$B:$B,0)),"")</f>
        <v/>
      </c>
      <c r="C43" t="str">
        <f t="array" ref="C43">IFERROR(INDEX('Player Raw Data'!D:D,Match($A43,'Player Raw Data'!$B:$B,0)),"")</f>
        <v/>
      </c>
      <c r="D43" t="str">
        <f t="array" ref="D43">IFERROR(IF(A43=A42, INDEX('Player Raw Data'!E:E,Match($A43,'Player Raw Data'!$B:$B,0)+2),INDEX('Player Raw Data'!E:E,Match($A43,'Player Raw Data'!$B:$B,0))),"")</f>
        <v/>
      </c>
      <c r="E43" s="27" t="str">
        <f>IFERROR(__xludf.DUMMYFUNCTION("IFERROR(ARRAY_CONSTRAIN(SPLIT(INDEX('Daily Raw Data'!G:G,Match($A43,'Daily Raw Data'!$B:$B,0)),"":""),1,1),"""")"),"")</f>
        <v/>
      </c>
      <c r="F43" t="str">
        <f t="array" ref="F43">IFERROR(INDEX('Daily Raw Data'!H:H,Match($A43,'Daily Raw Data'!$B:$B,0)),"")</f>
        <v/>
      </c>
      <c r="G43" t="str">
        <f t="array" ref="G43">IFERROR(INDEX('Daily Raw Data'!I:I,Match($A43,'Daily Raw Data'!$B:$B,0)),"")</f>
        <v/>
      </c>
      <c r="H43" t="str">
        <f t="array" ref="H43">IFERROR(INDEX('Daily Raw Data'!N:N,Match($A43,'Daily Raw Data'!$B:$B,0)),"")</f>
        <v/>
      </c>
      <c r="I43" t="str">
        <f t="array" ref="I43">IFERROR(INDEX('Daily Raw Data'!O:O,Match($A43,'Daily Raw Data'!$B:$B,0)),"")</f>
        <v/>
      </c>
      <c r="J43" t="str">
        <f t="array" ref="J43">IFERROR(INDEX('Daily Raw Data'!S:S,Match($A43,'Daily Raw Data'!$B:$B,0)),"")</f>
        <v/>
      </c>
      <c r="K43" t="str">
        <f t="array" ref="K43">IFERROR(INDEX('Daily Raw Data'!T:T,Match($A43,'Daily Raw Data'!$B:$B,0)),"")</f>
        <v/>
      </c>
      <c r="L43" t="str">
        <f t="array" ref="L43">IFERROR(INDEX('Daily Raw Data'!U:U,Match($A43,'Daily Raw Data'!$B:$B,0)),"")</f>
        <v/>
      </c>
      <c r="M43" t="str">
        <f t="array" ref="M43">IFERROR(INDEX('Daily Raw Data'!V:V,Match($A43,'Daily Raw Data'!$B:$B,0)),"")</f>
        <v/>
      </c>
      <c r="N43" t="str">
        <f t="array" ref="N43">IFERROR(INDEX('Daily Raw Data'!W:W,Match($A43,'Daily Raw Data'!$B:$B,0)),"")</f>
        <v/>
      </c>
      <c r="O43" t="str">
        <f t="array" ref="O43">IFERROR(INDEX('Daily Raw Data'!Y:Y,Match($A43,'Daily Raw Data'!$B:$B,0)),"")</f>
        <v/>
      </c>
      <c r="P43" t="str">
        <f t="shared" si="1"/>
        <v/>
      </c>
      <c r="Q43" s="14" t="str">
        <f t="shared" si="2"/>
        <v/>
      </c>
      <c r="R43" s="15" t="str">
        <f>IFERROR(__xludf.DUMMYFUNCTION("IF($A43="""","""", IFERROR(PERCENTRANK.INC(FILTER(P:P,$E:$E&lt;&gt;""""),P43)*100,""""))"),"")</f>
        <v/>
      </c>
      <c r="S43" s="15" t="str">
        <f>IFERROR(__xludf.DUMMYFUNCTION("IF($A43="""","""",IFERROR(PERCENTRANK.INC(FILTER(Q:Q,$E:$E&lt;&gt;""""),Q43)*100,""""))"),"")</f>
        <v/>
      </c>
    </row>
    <row r="44">
      <c r="B44" t="str">
        <f t="array" ref="B44">IFERROR(INDEX('Player Raw Data'!C:C,Match($A44,'Player Raw Data'!$B:$B,0)),"")</f>
        <v/>
      </c>
      <c r="C44" t="str">
        <f t="array" ref="C44">IFERROR(INDEX('Player Raw Data'!D:D,Match($A44,'Player Raw Data'!$B:$B,0)),"")</f>
        <v/>
      </c>
      <c r="D44" t="str">
        <f t="array" ref="D44">IFERROR(IF(A44=A43, INDEX('Player Raw Data'!E:E,Match($A44,'Player Raw Data'!$B:$B,0)+2),INDEX('Player Raw Data'!E:E,Match($A44,'Player Raw Data'!$B:$B,0))),"")</f>
        <v/>
      </c>
      <c r="E44" s="27" t="str">
        <f>IFERROR(__xludf.DUMMYFUNCTION("IFERROR(ARRAY_CONSTRAIN(SPLIT(INDEX('Daily Raw Data'!G:G,Match($A44,'Daily Raw Data'!$B:$B,0)),"":""),1,1),"""")"),"")</f>
        <v/>
      </c>
      <c r="F44" t="str">
        <f t="array" ref="F44">IFERROR(INDEX('Daily Raw Data'!H:H,Match($A44,'Daily Raw Data'!$B:$B,0)),"")</f>
        <v/>
      </c>
      <c r="G44" t="str">
        <f t="array" ref="G44">IFERROR(INDEX('Daily Raw Data'!I:I,Match($A44,'Daily Raw Data'!$B:$B,0)),"")</f>
        <v/>
      </c>
      <c r="H44" t="str">
        <f t="array" ref="H44">IFERROR(INDEX('Daily Raw Data'!N:N,Match($A44,'Daily Raw Data'!$B:$B,0)),"")</f>
        <v/>
      </c>
      <c r="I44" t="str">
        <f t="array" ref="I44">IFERROR(INDEX('Daily Raw Data'!O:O,Match($A44,'Daily Raw Data'!$B:$B,0)),"")</f>
        <v/>
      </c>
      <c r="J44" t="str">
        <f t="array" ref="J44">IFERROR(INDEX('Daily Raw Data'!S:S,Match($A44,'Daily Raw Data'!$B:$B,0)),"")</f>
        <v/>
      </c>
      <c r="K44" t="str">
        <f t="array" ref="K44">IFERROR(INDEX('Daily Raw Data'!T:T,Match($A44,'Daily Raw Data'!$B:$B,0)),"")</f>
        <v/>
      </c>
      <c r="L44" t="str">
        <f t="array" ref="L44">IFERROR(INDEX('Daily Raw Data'!U:U,Match($A44,'Daily Raw Data'!$B:$B,0)),"")</f>
        <v/>
      </c>
      <c r="M44" t="str">
        <f t="array" ref="M44">IFERROR(INDEX('Daily Raw Data'!V:V,Match($A44,'Daily Raw Data'!$B:$B,0)),"")</f>
        <v/>
      </c>
      <c r="N44" t="str">
        <f t="array" ref="N44">IFERROR(INDEX('Daily Raw Data'!W:W,Match($A44,'Daily Raw Data'!$B:$B,0)),"")</f>
        <v/>
      </c>
      <c r="O44" t="str">
        <f t="array" ref="O44">IFERROR(INDEX('Daily Raw Data'!Y:Y,Match($A44,'Daily Raw Data'!$B:$B,0)),"")</f>
        <v/>
      </c>
      <c r="P44" t="str">
        <f t="shared" si="1"/>
        <v/>
      </c>
      <c r="Q44" s="14" t="str">
        <f t="shared" si="2"/>
        <v/>
      </c>
      <c r="R44" s="15" t="str">
        <f>IFERROR(__xludf.DUMMYFUNCTION("IF($A44="""","""", IFERROR(PERCENTRANK.INC(FILTER(P:P,$E:$E&lt;&gt;""""),P44)*100,""""))"),"")</f>
        <v/>
      </c>
      <c r="S44" s="15" t="str">
        <f>IFERROR(__xludf.DUMMYFUNCTION("IF($A44="""","""",IFERROR(PERCENTRANK.INC(FILTER(Q:Q,$E:$E&lt;&gt;""""),Q44)*100,""""))"),"")</f>
        <v/>
      </c>
    </row>
    <row r="45">
      <c r="B45" t="str">
        <f t="array" ref="B45">IFERROR(INDEX('Player Raw Data'!C:C,Match($A45,'Player Raw Data'!$B:$B,0)),"")</f>
        <v/>
      </c>
      <c r="C45" t="str">
        <f t="array" ref="C45">IFERROR(INDEX('Player Raw Data'!D:D,Match($A45,'Player Raw Data'!$B:$B,0)),"")</f>
        <v/>
      </c>
      <c r="D45" t="str">
        <f t="array" ref="D45">IFERROR(IF(A45=A44, INDEX('Player Raw Data'!E:E,Match($A45,'Player Raw Data'!$B:$B,0)+2),INDEX('Player Raw Data'!E:E,Match($A45,'Player Raw Data'!$B:$B,0))),"")</f>
        <v/>
      </c>
      <c r="E45" s="27" t="str">
        <f>IFERROR(__xludf.DUMMYFUNCTION("IFERROR(ARRAY_CONSTRAIN(SPLIT(INDEX('Daily Raw Data'!G:G,Match($A45,'Daily Raw Data'!$B:$B,0)),"":""),1,1),"""")"),"")</f>
        <v/>
      </c>
      <c r="F45" t="str">
        <f t="array" ref="F45">IFERROR(INDEX('Daily Raw Data'!H:H,Match($A45,'Daily Raw Data'!$B:$B,0)),"")</f>
        <v/>
      </c>
      <c r="G45" t="str">
        <f t="array" ref="G45">IFERROR(INDEX('Daily Raw Data'!I:I,Match($A45,'Daily Raw Data'!$B:$B,0)),"")</f>
        <v/>
      </c>
      <c r="H45" t="str">
        <f t="array" ref="H45">IFERROR(INDEX('Daily Raw Data'!N:N,Match($A45,'Daily Raw Data'!$B:$B,0)),"")</f>
        <v/>
      </c>
      <c r="I45" t="str">
        <f t="array" ref="I45">IFERROR(INDEX('Daily Raw Data'!O:O,Match($A45,'Daily Raw Data'!$B:$B,0)),"")</f>
        <v/>
      </c>
      <c r="J45" t="str">
        <f t="array" ref="J45">IFERROR(INDEX('Daily Raw Data'!S:S,Match($A45,'Daily Raw Data'!$B:$B,0)),"")</f>
        <v/>
      </c>
      <c r="K45" t="str">
        <f t="array" ref="K45">IFERROR(INDEX('Daily Raw Data'!T:T,Match($A45,'Daily Raw Data'!$B:$B,0)),"")</f>
        <v/>
      </c>
      <c r="L45" t="str">
        <f t="array" ref="L45">IFERROR(INDEX('Daily Raw Data'!U:U,Match($A45,'Daily Raw Data'!$B:$B,0)),"")</f>
        <v/>
      </c>
      <c r="M45" t="str">
        <f t="array" ref="M45">IFERROR(INDEX('Daily Raw Data'!V:V,Match($A45,'Daily Raw Data'!$B:$B,0)),"")</f>
        <v/>
      </c>
      <c r="N45" t="str">
        <f t="array" ref="N45">IFERROR(INDEX('Daily Raw Data'!W:W,Match($A45,'Daily Raw Data'!$B:$B,0)),"")</f>
        <v/>
      </c>
      <c r="O45" t="str">
        <f t="array" ref="O45">IFERROR(INDEX('Daily Raw Data'!Y:Y,Match($A45,'Daily Raw Data'!$B:$B,0)),"")</f>
        <v/>
      </c>
      <c r="P45" t="str">
        <f t="shared" si="1"/>
        <v/>
      </c>
      <c r="Q45" s="14" t="str">
        <f t="shared" si="2"/>
        <v/>
      </c>
      <c r="R45" s="15" t="str">
        <f>IFERROR(__xludf.DUMMYFUNCTION("IF($A45="""","""", IFERROR(PERCENTRANK.INC(FILTER(P:P,$E:$E&lt;&gt;""""),P45)*100,""""))"),"")</f>
        <v/>
      </c>
      <c r="S45" s="15" t="str">
        <f>IFERROR(__xludf.DUMMYFUNCTION("IF($A45="""","""",IFERROR(PERCENTRANK.INC(FILTER(Q:Q,$E:$E&lt;&gt;""""),Q45)*100,""""))"),"")</f>
        <v/>
      </c>
    </row>
    <row r="46">
      <c r="B46" t="str">
        <f t="array" ref="B46">IFERROR(INDEX('Player Raw Data'!C:C,Match($A46,'Player Raw Data'!$B:$B,0)),"")</f>
        <v/>
      </c>
      <c r="C46" t="str">
        <f t="array" ref="C46">IFERROR(INDEX('Player Raw Data'!D:D,Match($A46,'Player Raw Data'!$B:$B,0)),"")</f>
        <v/>
      </c>
      <c r="D46" t="str">
        <f t="array" ref="D46">IFERROR(IF(A46=A45, INDEX('Player Raw Data'!E:E,Match($A46,'Player Raw Data'!$B:$B,0)+2),INDEX('Player Raw Data'!E:E,Match($A46,'Player Raw Data'!$B:$B,0))),"")</f>
        <v/>
      </c>
      <c r="E46" s="27" t="str">
        <f>IFERROR(__xludf.DUMMYFUNCTION("IFERROR(ARRAY_CONSTRAIN(SPLIT(INDEX('Daily Raw Data'!G:G,Match($A46,'Daily Raw Data'!$B:$B,0)),"":""),1,1),"""")"),"")</f>
        <v/>
      </c>
      <c r="F46" t="str">
        <f t="array" ref="F46">IFERROR(INDEX('Daily Raw Data'!H:H,Match($A46,'Daily Raw Data'!$B:$B,0)),"")</f>
        <v/>
      </c>
      <c r="G46" t="str">
        <f t="array" ref="G46">IFERROR(INDEX('Daily Raw Data'!I:I,Match($A46,'Daily Raw Data'!$B:$B,0)),"")</f>
        <v/>
      </c>
      <c r="H46" t="str">
        <f t="array" ref="H46">IFERROR(INDEX('Daily Raw Data'!N:N,Match($A46,'Daily Raw Data'!$B:$B,0)),"")</f>
        <v/>
      </c>
      <c r="I46" t="str">
        <f t="array" ref="I46">IFERROR(INDEX('Daily Raw Data'!O:O,Match($A46,'Daily Raw Data'!$B:$B,0)),"")</f>
        <v/>
      </c>
      <c r="J46" t="str">
        <f t="array" ref="J46">IFERROR(INDEX('Daily Raw Data'!S:S,Match($A46,'Daily Raw Data'!$B:$B,0)),"")</f>
        <v/>
      </c>
      <c r="K46" t="str">
        <f t="array" ref="K46">IFERROR(INDEX('Daily Raw Data'!T:T,Match($A46,'Daily Raw Data'!$B:$B,0)),"")</f>
        <v/>
      </c>
      <c r="L46" t="str">
        <f t="array" ref="L46">IFERROR(INDEX('Daily Raw Data'!U:U,Match($A46,'Daily Raw Data'!$B:$B,0)),"")</f>
        <v/>
      </c>
      <c r="M46" t="str">
        <f t="array" ref="M46">IFERROR(INDEX('Daily Raw Data'!V:V,Match($A46,'Daily Raw Data'!$B:$B,0)),"")</f>
        <v/>
      </c>
      <c r="N46" t="str">
        <f t="array" ref="N46">IFERROR(INDEX('Daily Raw Data'!W:W,Match($A46,'Daily Raw Data'!$B:$B,0)),"")</f>
        <v/>
      </c>
      <c r="O46" t="str">
        <f t="array" ref="O46">IFERROR(INDEX('Daily Raw Data'!Y:Y,Match($A46,'Daily Raw Data'!$B:$B,0)),"")</f>
        <v/>
      </c>
      <c r="P46" t="str">
        <f t="shared" si="1"/>
        <v/>
      </c>
      <c r="Q46" s="14" t="str">
        <f t="shared" si="2"/>
        <v/>
      </c>
      <c r="R46" s="15" t="str">
        <f>IFERROR(__xludf.DUMMYFUNCTION("IF($A46="""","""", IFERROR(PERCENTRANK.INC(FILTER(P:P,$E:$E&lt;&gt;""""),P46)*100,""""))"),"")</f>
        <v/>
      </c>
      <c r="S46" s="15" t="str">
        <f>IFERROR(__xludf.DUMMYFUNCTION("IF($A46="""","""",IFERROR(PERCENTRANK.INC(FILTER(Q:Q,$E:$E&lt;&gt;""""),Q46)*100,""""))"),"")</f>
        <v/>
      </c>
    </row>
    <row r="47">
      <c r="B47" t="str">
        <f t="array" ref="B47">IFERROR(INDEX('Player Raw Data'!C:C,Match($A47,'Player Raw Data'!$B:$B,0)),"")</f>
        <v/>
      </c>
      <c r="C47" t="str">
        <f t="array" ref="C47">IFERROR(INDEX('Player Raw Data'!D:D,Match($A47,'Player Raw Data'!$B:$B,0)),"")</f>
        <v/>
      </c>
      <c r="D47" t="str">
        <f t="array" ref="D47">IFERROR(IF(A47=A46, INDEX('Player Raw Data'!E:E,Match($A47,'Player Raw Data'!$B:$B,0)+2),INDEX('Player Raw Data'!E:E,Match($A47,'Player Raw Data'!$B:$B,0))),"")</f>
        <v/>
      </c>
      <c r="E47" s="27" t="str">
        <f>IFERROR(__xludf.DUMMYFUNCTION("IFERROR(ARRAY_CONSTRAIN(SPLIT(INDEX('Daily Raw Data'!G:G,Match($A47,'Daily Raw Data'!$B:$B,0)),"":""),1,1),"""")"),"")</f>
        <v/>
      </c>
      <c r="F47" t="str">
        <f t="array" ref="F47">IFERROR(INDEX('Daily Raw Data'!H:H,Match($A47,'Daily Raw Data'!$B:$B,0)),"")</f>
        <v/>
      </c>
      <c r="G47" t="str">
        <f t="array" ref="G47">IFERROR(INDEX('Daily Raw Data'!I:I,Match($A47,'Daily Raw Data'!$B:$B,0)),"")</f>
        <v/>
      </c>
      <c r="H47" t="str">
        <f t="array" ref="H47">IFERROR(INDEX('Daily Raw Data'!N:N,Match($A47,'Daily Raw Data'!$B:$B,0)),"")</f>
        <v/>
      </c>
      <c r="I47" t="str">
        <f t="array" ref="I47">IFERROR(INDEX('Daily Raw Data'!O:O,Match($A47,'Daily Raw Data'!$B:$B,0)),"")</f>
        <v/>
      </c>
      <c r="J47" t="str">
        <f t="array" ref="J47">IFERROR(INDEX('Daily Raw Data'!S:S,Match($A47,'Daily Raw Data'!$B:$B,0)),"")</f>
        <v/>
      </c>
      <c r="K47" t="str">
        <f t="array" ref="K47">IFERROR(INDEX('Daily Raw Data'!T:T,Match($A47,'Daily Raw Data'!$B:$B,0)),"")</f>
        <v/>
      </c>
      <c r="L47" t="str">
        <f t="array" ref="L47">IFERROR(INDEX('Daily Raw Data'!U:U,Match($A47,'Daily Raw Data'!$B:$B,0)),"")</f>
        <v/>
      </c>
      <c r="M47" t="str">
        <f t="array" ref="M47">IFERROR(INDEX('Daily Raw Data'!V:V,Match($A47,'Daily Raw Data'!$B:$B,0)),"")</f>
        <v/>
      </c>
      <c r="N47" t="str">
        <f t="array" ref="N47">IFERROR(INDEX('Daily Raw Data'!W:W,Match($A47,'Daily Raw Data'!$B:$B,0)),"")</f>
        <v/>
      </c>
      <c r="O47" t="str">
        <f t="array" ref="O47">IFERROR(INDEX('Daily Raw Data'!Y:Y,Match($A47,'Daily Raw Data'!$B:$B,0)),"")</f>
        <v/>
      </c>
      <c r="P47" t="str">
        <f t="shared" si="1"/>
        <v/>
      </c>
      <c r="Q47" s="14" t="str">
        <f t="shared" si="2"/>
        <v/>
      </c>
      <c r="R47" s="15" t="str">
        <f>IFERROR(__xludf.DUMMYFUNCTION("IF($A47="""","""", IFERROR(PERCENTRANK.INC(FILTER(P:P,$E:$E&lt;&gt;""""),P47)*100,""""))"),"")</f>
        <v/>
      </c>
      <c r="S47" s="15" t="str">
        <f>IFERROR(__xludf.DUMMYFUNCTION("IF($A47="""","""",IFERROR(PERCENTRANK.INC(FILTER(Q:Q,$E:$E&lt;&gt;""""),Q47)*100,""""))"),"")</f>
        <v/>
      </c>
    </row>
    <row r="48">
      <c r="B48" t="str">
        <f t="array" ref="B48">IFERROR(INDEX('Player Raw Data'!C:C,Match($A48,'Player Raw Data'!$B:$B,0)),"")</f>
        <v/>
      </c>
      <c r="C48" t="str">
        <f t="array" ref="C48">IFERROR(INDEX('Player Raw Data'!D:D,Match($A48,'Player Raw Data'!$B:$B,0)),"")</f>
        <v/>
      </c>
      <c r="D48" t="str">
        <f t="array" ref="D48">IFERROR(IF(A48=A47, INDEX('Player Raw Data'!E:E,Match($A48,'Player Raw Data'!$B:$B,0)+2),INDEX('Player Raw Data'!E:E,Match($A48,'Player Raw Data'!$B:$B,0))),"")</f>
        <v/>
      </c>
      <c r="E48" s="27" t="str">
        <f>IFERROR(__xludf.DUMMYFUNCTION("IFERROR(ARRAY_CONSTRAIN(SPLIT(INDEX('Daily Raw Data'!G:G,Match($A48,'Daily Raw Data'!$B:$B,0)),"":""),1,1),"""")"),"")</f>
        <v/>
      </c>
      <c r="F48" t="str">
        <f t="array" ref="F48">IFERROR(INDEX('Daily Raw Data'!H:H,Match($A48,'Daily Raw Data'!$B:$B,0)),"")</f>
        <v/>
      </c>
      <c r="G48" t="str">
        <f t="array" ref="G48">IFERROR(INDEX('Daily Raw Data'!I:I,Match($A48,'Daily Raw Data'!$B:$B,0)),"")</f>
        <v/>
      </c>
      <c r="H48" t="str">
        <f t="array" ref="H48">IFERROR(INDEX('Daily Raw Data'!N:N,Match($A48,'Daily Raw Data'!$B:$B,0)),"")</f>
        <v/>
      </c>
      <c r="I48" t="str">
        <f t="array" ref="I48">IFERROR(INDEX('Daily Raw Data'!O:O,Match($A48,'Daily Raw Data'!$B:$B,0)),"")</f>
        <v/>
      </c>
      <c r="J48" t="str">
        <f t="array" ref="J48">IFERROR(INDEX('Daily Raw Data'!S:S,Match($A48,'Daily Raw Data'!$B:$B,0)),"")</f>
        <v/>
      </c>
      <c r="K48" t="str">
        <f t="array" ref="K48">IFERROR(INDEX('Daily Raw Data'!T:T,Match($A48,'Daily Raw Data'!$B:$B,0)),"")</f>
        <v/>
      </c>
      <c r="L48" t="str">
        <f t="array" ref="L48">IFERROR(INDEX('Daily Raw Data'!U:U,Match($A48,'Daily Raw Data'!$B:$B,0)),"")</f>
        <v/>
      </c>
      <c r="M48" t="str">
        <f t="array" ref="M48">IFERROR(INDEX('Daily Raw Data'!V:V,Match($A48,'Daily Raw Data'!$B:$B,0)),"")</f>
        <v/>
      </c>
      <c r="N48" t="str">
        <f t="array" ref="N48">IFERROR(INDEX('Daily Raw Data'!W:W,Match($A48,'Daily Raw Data'!$B:$B,0)),"")</f>
        <v/>
      </c>
      <c r="O48" t="str">
        <f t="array" ref="O48">IFERROR(INDEX('Daily Raw Data'!Y:Y,Match($A48,'Daily Raw Data'!$B:$B,0)),"")</f>
        <v/>
      </c>
      <c r="P48" t="str">
        <f t="shared" si="1"/>
        <v/>
      </c>
      <c r="Q48" s="14" t="str">
        <f t="shared" si="2"/>
        <v/>
      </c>
      <c r="R48" s="15" t="str">
        <f>IFERROR(__xludf.DUMMYFUNCTION("IF($A48="""","""", IFERROR(PERCENTRANK.INC(FILTER(P:P,$E:$E&lt;&gt;""""),P48)*100,""""))"),"")</f>
        <v/>
      </c>
      <c r="S48" s="15" t="str">
        <f>IFERROR(__xludf.DUMMYFUNCTION("IF($A48="""","""",IFERROR(PERCENTRANK.INC(FILTER(Q:Q,$E:$E&lt;&gt;""""),Q48)*100,""""))"),"")</f>
        <v/>
      </c>
    </row>
    <row r="49">
      <c r="B49" t="str">
        <f t="array" ref="B49">IFERROR(INDEX('Player Raw Data'!C:C,Match($A49,'Player Raw Data'!$B:$B,0)),"")</f>
        <v/>
      </c>
      <c r="C49" t="str">
        <f t="array" ref="C49">IFERROR(INDEX('Player Raw Data'!D:D,Match($A49,'Player Raw Data'!$B:$B,0)),"")</f>
        <v/>
      </c>
      <c r="D49" t="str">
        <f t="array" ref="D49">IFERROR(IF(A49=A48, INDEX('Player Raw Data'!E:E,Match($A49,'Player Raw Data'!$B:$B,0)+2),INDEX('Player Raw Data'!E:E,Match($A49,'Player Raw Data'!$B:$B,0))),"")</f>
        <v/>
      </c>
      <c r="E49" s="27" t="str">
        <f>IFERROR(__xludf.DUMMYFUNCTION("IFERROR(ARRAY_CONSTRAIN(SPLIT(INDEX('Daily Raw Data'!G:G,Match($A49,'Daily Raw Data'!$B:$B,0)),"":""),1,1),"""")"),"")</f>
        <v/>
      </c>
      <c r="F49" t="str">
        <f t="array" ref="F49">IFERROR(INDEX('Daily Raw Data'!H:H,Match($A49,'Daily Raw Data'!$B:$B,0)),"")</f>
        <v/>
      </c>
      <c r="G49" t="str">
        <f t="array" ref="G49">IFERROR(INDEX('Daily Raw Data'!I:I,Match($A49,'Daily Raw Data'!$B:$B,0)),"")</f>
        <v/>
      </c>
      <c r="H49" t="str">
        <f t="array" ref="H49">IFERROR(INDEX('Daily Raw Data'!N:N,Match($A49,'Daily Raw Data'!$B:$B,0)),"")</f>
        <v/>
      </c>
      <c r="I49" t="str">
        <f t="array" ref="I49">IFERROR(INDEX('Daily Raw Data'!O:O,Match($A49,'Daily Raw Data'!$B:$B,0)),"")</f>
        <v/>
      </c>
      <c r="J49" t="str">
        <f t="array" ref="J49">IFERROR(INDEX('Daily Raw Data'!S:S,Match($A49,'Daily Raw Data'!$B:$B,0)),"")</f>
        <v/>
      </c>
      <c r="K49" t="str">
        <f t="array" ref="K49">IFERROR(INDEX('Daily Raw Data'!T:T,Match($A49,'Daily Raw Data'!$B:$B,0)),"")</f>
        <v/>
      </c>
      <c r="L49" t="str">
        <f t="array" ref="L49">IFERROR(INDEX('Daily Raw Data'!U:U,Match($A49,'Daily Raw Data'!$B:$B,0)),"")</f>
        <v/>
      </c>
      <c r="M49" t="str">
        <f t="array" ref="M49">IFERROR(INDEX('Daily Raw Data'!V:V,Match($A49,'Daily Raw Data'!$B:$B,0)),"")</f>
        <v/>
      </c>
      <c r="N49" t="str">
        <f t="array" ref="N49">IFERROR(INDEX('Daily Raw Data'!W:W,Match($A49,'Daily Raw Data'!$B:$B,0)),"")</f>
        <v/>
      </c>
      <c r="O49" t="str">
        <f t="array" ref="O49">IFERROR(INDEX('Daily Raw Data'!Y:Y,Match($A49,'Daily Raw Data'!$B:$B,0)),"")</f>
        <v/>
      </c>
      <c r="P49" t="str">
        <f t="shared" si="1"/>
        <v/>
      </c>
      <c r="Q49" s="14" t="str">
        <f t="shared" si="2"/>
        <v/>
      </c>
      <c r="R49" s="15" t="str">
        <f>IFERROR(__xludf.DUMMYFUNCTION("IF($A49="""","""", IFERROR(PERCENTRANK.INC(FILTER(P:P,$E:$E&lt;&gt;""""),P49)*100,""""))"),"")</f>
        <v/>
      </c>
      <c r="S49" s="15" t="str">
        <f>IFERROR(__xludf.DUMMYFUNCTION("IF($A49="""","""",IFERROR(PERCENTRANK.INC(FILTER(Q:Q,$E:$E&lt;&gt;""""),Q49)*100,""""))"),"")</f>
        <v/>
      </c>
    </row>
    <row r="50">
      <c r="B50" t="str">
        <f t="array" ref="B50">IFERROR(INDEX('Player Raw Data'!C:C,Match($A50,'Player Raw Data'!$B:$B,0)),"")</f>
        <v/>
      </c>
      <c r="C50" t="str">
        <f t="array" ref="C50">IFERROR(INDEX('Player Raw Data'!D:D,Match($A50,'Player Raw Data'!$B:$B,0)),"")</f>
        <v/>
      </c>
      <c r="D50" t="str">
        <f t="array" ref="D50">IFERROR(IF(A50=A49, INDEX('Player Raw Data'!E:E,Match($A50,'Player Raw Data'!$B:$B,0)+2),INDEX('Player Raw Data'!E:E,Match($A50,'Player Raw Data'!$B:$B,0))),"")</f>
        <v/>
      </c>
      <c r="E50" s="27" t="str">
        <f>IFERROR(__xludf.DUMMYFUNCTION("IFERROR(ARRAY_CONSTRAIN(SPLIT(INDEX('Daily Raw Data'!G:G,Match($A50,'Daily Raw Data'!$B:$B,0)),"":""),1,1),"""")"),"")</f>
        <v/>
      </c>
      <c r="F50" t="str">
        <f t="array" ref="F50">IFERROR(INDEX('Daily Raw Data'!H:H,Match($A50,'Daily Raw Data'!$B:$B,0)),"")</f>
        <v/>
      </c>
      <c r="G50" t="str">
        <f t="array" ref="G50">IFERROR(INDEX('Daily Raw Data'!I:I,Match($A50,'Daily Raw Data'!$B:$B,0)),"")</f>
        <v/>
      </c>
      <c r="H50" t="str">
        <f t="array" ref="H50">IFERROR(INDEX('Daily Raw Data'!N:N,Match($A50,'Daily Raw Data'!$B:$B,0)),"")</f>
        <v/>
      </c>
      <c r="I50" t="str">
        <f t="array" ref="I50">IFERROR(INDEX('Daily Raw Data'!O:O,Match($A50,'Daily Raw Data'!$B:$B,0)),"")</f>
        <v/>
      </c>
      <c r="J50" t="str">
        <f t="array" ref="J50">IFERROR(INDEX('Daily Raw Data'!S:S,Match($A50,'Daily Raw Data'!$B:$B,0)),"")</f>
        <v/>
      </c>
      <c r="K50" t="str">
        <f t="array" ref="K50">IFERROR(INDEX('Daily Raw Data'!T:T,Match($A50,'Daily Raw Data'!$B:$B,0)),"")</f>
        <v/>
      </c>
      <c r="L50" t="str">
        <f t="array" ref="L50">IFERROR(INDEX('Daily Raw Data'!U:U,Match($A50,'Daily Raw Data'!$B:$B,0)),"")</f>
        <v/>
      </c>
      <c r="M50" t="str">
        <f t="array" ref="M50">IFERROR(INDEX('Daily Raw Data'!V:V,Match($A50,'Daily Raw Data'!$B:$B,0)),"")</f>
        <v/>
      </c>
      <c r="N50" t="str">
        <f t="array" ref="N50">IFERROR(INDEX('Daily Raw Data'!W:W,Match($A50,'Daily Raw Data'!$B:$B,0)),"")</f>
        <v/>
      </c>
      <c r="O50" t="str">
        <f t="array" ref="O50">IFERROR(INDEX('Daily Raw Data'!Y:Y,Match($A50,'Daily Raw Data'!$B:$B,0)),"")</f>
        <v/>
      </c>
      <c r="P50" t="str">
        <f t="shared" si="1"/>
        <v/>
      </c>
      <c r="Q50" s="14" t="str">
        <f t="shared" si="2"/>
        <v/>
      </c>
      <c r="R50" s="15" t="str">
        <f>IFERROR(__xludf.DUMMYFUNCTION("IF($A50="""","""", IFERROR(PERCENTRANK.INC(FILTER(P:P,$E:$E&lt;&gt;""""),P50)*100,""""))"),"")</f>
        <v/>
      </c>
      <c r="S50" s="15" t="str">
        <f>IFERROR(__xludf.DUMMYFUNCTION("IF($A50="""","""",IFERROR(PERCENTRANK.INC(FILTER(Q:Q,$E:$E&lt;&gt;""""),Q50)*100,""""))"),"")</f>
        <v/>
      </c>
    </row>
    <row r="51">
      <c r="B51" t="str">
        <f t="array" ref="B51">IFERROR(INDEX('Player Raw Data'!C:C,Match($A51,'Player Raw Data'!$B:$B,0)),"")</f>
        <v/>
      </c>
      <c r="C51" t="str">
        <f t="array" ref="C51">IFERROR(INDEX('Player Raw Data'!D:D,Match($A51,'Player Raw Data'!$B:$B,0)),"")</f>
        <v/>
      </c>
      <c r="D51" t="str">
        <f t="array" ref="D51">IFERROR(IF(A51=A50, INDEX('Player Raw Data'!E:E,Match($A51,'Player Raw Data'!$B:$B,0)+2),INDEX('Player Raw Data'!E:E,Match($A51,'Player Raw Data'!$B:$B,0))),"")</f>
        <v/>
      </c>
      <c r="E51" s="27" t="str">
        <f>IFERROR(__xludf.DUMMYFUNCTION("IFERROR(ARRAY_CONSTRAIN(SPLIT(INDEX('Daily Raw Data'!G:G,Match($A51,'Daily Raw Data'!$B:$B,0)),"":""),1,1),"""")"),"")</f>
        <v/>
      </c>
      <c r="F51" t="str">
        <f t="array" ref="F51">IFERROR(INDEX('Daily Raw Data'!H:H,Match($A51,'Daily Raw Data'!$B:$B,0)),"")</f>
        <v/>
      </c>
      <c r="G51" t="str">
        <f t="array" ref="G51">IFERROR(INDEX('Daily Raw Data'!I:I,Match($A51,'Daily Raw Data'!$B:$B,0)),"")</f>
        <v/>
      </c>
      <c r="H51" t="str">
        <f t="array" ref="H51">IFERROR(INDEX('Daily Raw Data'!N:N,Match($A51,'Daily Raw Data'!$B:$B,0)),"")</f>
        <v/>
      </c>
      <c r="I51" t="str">
        <f t="array" ref="I51">IFERROR(INDEX('Daily Raw Data'!O:O,Match($A51,'Daily Raw Data'!$B:$B,0)),"")</f>
        <v/>
      </c>
      <c r="J51" t="str">
        <f t="array" ref="J51">IFERROR(INDEX('Daily Raw Data'!S:S,Match($A51,'Daily Raw Data'!$B:$B,0)),"")</f>
        <v/>
      </c>
      <c r="K51" t="str">
        <f t="array" ref="K51">IFERROR(INDEX('Daily Raw Data'!T:T,Match($A51,'Daily Raw Data'!$B:$B,0)),"")</f>
        <v/>
      </c>
      <c r="L51" t="str">
        <f t="array" ref="L51">IFERROR(INDEX('Daily Raw Data'!U:U,Match($A51,'Daily Raw Data'!$B:$B,0)),"")</f>
        <v/>
      </c>
      <c r="M51" t="str">
        <f t="array" ref="M51">IFERROR(INDEX('Daily Raw Data'!V:V,Match($A51,'Daily Raw Data'!$B:$B,0)),"")</f>
        <v/>
      </c>
      <c r="N51" t="str">
        <f t="array" ref="N51">IFERROR(INDEX('Daily Raw Data'!W:W,Match($A51,'Daily Raw Data'!$B:$B,0)),"")</f>
        <v/>
      </c>
      <c r="O51" t="str">
        <f t="array" ref="O51">IFERROR(INDEX('Daily Raw Data'!Y:Y,Match($A51,'Daily Raw Data'!$B:$B,0)),"")</f>
        <v/>
      </c>
      <c r="P51" t="str">
        <f t="shared" si="1"/>
        <v/>
      </c>
      <c r="Q51" s="14" t="str">
        <f t="shared" si="2"/>
        <v/>
      </c>
      <c r="R51" s="15" t="str">
        <f>IFERROR(__xludf.DUMMYFUNCTION("IF($A51="""","""", IFERROR(PERCENTRANK.INC(FILTER(P:P,$E:$E&lt;&gt;""""),P51)*100,""""))"),"")</f>
        <v/>
      </c>
      <c r="S51" s="15" t="str">
        <f>IFERROR(__xludf.DUMMYFUNCTION("IF($A51="""","""",IFERROR(PERCENTRANK.INC(FILTER(Q:Q,$E:$E&lt;&gt;""""),Q51)*100,""""))"),"")</f>
        <v/>
      </c>
    </row>
    <row r="52">
      <c r="B52" t="str">
        <f t="array" ref="B52">IFERROR(INDEX('Player Raw Data'!C:C,Match($A52,'Player Raw Data'!$B:$B,0)),"")</f>
        <v/>
      </c>
      <c r="C52" t="str">
        <f t="array" ref="C52">IFERROR(INDEX('Player Raw Data'!D:D,Match($A52,'Player Raw Data'!$B:$B,0)),"")</f>
        <v/>
      </c>
      <c r="D52" t="str">
        <f t="array" ref="D52">IFERROR(IF(A52=A51, INDEX('Player Raw Data'!E:E,Match($A52,'Player Raw Data'!$B:$B,0)+2),INDEX('Player Raw Data'!E:E,Match($A52,'Player Raw Data'!$B:$B,0))),"")</f>
        <v/>
      </c>
      <c r="E52" s="27" t="str">
        <f>IFERROR(__xludf.DUMMYFUNCTION("IFERROR(ARRAY_CONSTRAIN(SPLIT(INDEX('Daily Raw Data'!G:G,Match($A52,'Daily Raw Data'!$B:$B,0)),"":""),1,1),"""")"),"")</f>
        <v/>
      </c>
      <c r="F52" t="str">
        <f t="array" ref="F52">IFERROR(INDEX('Daily Raw Data'!H:H,Match($A52,'Daily Raw Data'!$B:$B,0)),"")</f>
        <v/>
      </c>
      <c r="G52" t="str">
        <f t="array" ref="G52">IFERROR(INDEX('Daily Raw Data'!I:I,Match($A52,'Daily Raw Data'!$B:$B,0)),"")</f>
        <v/>
      </c>
      <c r="H52" t="str">
        <f t="array" ref="H52">IFERROR(INDEX('Daily Raw Data'!N:N,Match($A52,'Daily Raw Data'!$B:$B,0)),"")</f>
        <v/>
      </c>
      <c r="I52" t="str">
        <f t="array" ref="I52">IFERROR(INDEX('Daily Raw Data'!O:O,Match($A52,'Daily Raw Data'!$B:$B,0)),"")</f>
        <v/>
      </c>
      <c r="J52" t="str">
        <f t="array" ref="J52">IFERROR(INDEX('Daily Raw Data'!S:S,Match($A52,'Daily Raw Data'!$B:$B,0)),"")</f>
        <v/>
      </c>
      <c r="K52" t="str">
        <f t="array" ref="K52">IFERROR(INDEX('Daily Raw Data'!T:T,Match($A52,'Daily Raw Data'!$B:$B,0)),"")</f>
        <v/>
      </c>
      <c r="L52" t="str">
        <f t="array" ref="L52">IFERROR(INDEX('Daily Raw Data'!U:U,Match($A52,'Daily Raw Data'!$B:$B,0)),"")</f>
        <v/>
      </c>
      <c r="M52" t="str">
        <f t="array" ref="M52">IFERROR(INDEX('Daily Raw Data'!V:V,Match($A52,'Daily Raw Data'!$B:$B,0)),"")</f>
        <v/>
      </c>
      <c r="N52" t="str">
        <f t="array" ref="N52">IFERROR(INDEX('Daily Raw Data'!W:W,Match($A52,'Daily Raw Data'!$B:$B,0)),"")</f>
        <v/>
      </c>
      <c r="O52" t="str">
        <f t="array" ref="O52">IFERROR(INDEX('Daily Raw Data'!Y:Y,Match($A52,'Daily Raw Data'!$B:$B,0)),"")</f>
        <v/>
      </c>
      <c r="P52" t="str">
        <f t="shared" si="1"/>
        <v/>
      </c>
      <c r="Q52" s="14" t="str">
        <f t="shared" si="2"/>
        <v/>
      </c>
      <c r="R52" s="15" t="str">
        <f>IFERROR(__xludf.DUMMYFUNCTION("IF($A52="""","""", IFERROR(PERCENTRANK.INC(FILTER(P:P,$E:$E&lt;&gt;""""),P52)*100,""""))"),"")</f>
        <v/>
      </c>
      <c r="S52" s="15" t="str">
        <f>IFERROR(__xludf.DUMMYFUNCTION("IF($A52="""","""",IFERROR(PERCENTRANK.INC(FILTER(Q:Q,$E:$E&lt;&gt;""""),Q52)*100,""""))"),"")</f>
        <v/>
      </c>
    </row>
    <row r="53">
      <c r="B53" t="str">
        <f t="array" ref="B53">IFERROR(INDEX('Player Raw Data'!C:C,Match($A53,'Player Raw Data'!$B:$B,0)),"")</f>
        <v/>
      </c>
      <c r="C53" t="str">
        <f t="array" ref="C53">IFERROR(INDEX('Player Raw Data'!D:D,Match($A53,'Player Raw Data'!$B:$B,0)),"")</f>
        <v/>
      </c>
      <c r="D53" t="str">
        <f t="array" ref="D53">IFERROR(IF(A53=A52, INDEX('Player Raw Data'!E:E,Match($A53,'Player Raw Data'!$B:$B,0)+2),INDEX('Player Raw Data'!E:E,Match($A53,'Player Raw Data'!$B:$B,0))),"")</f>
        <v/>
      </c>
      <c r="E53" s="27" t="str">
        <f>IFERROR(__xludf.DUMMYFUNCTION("IFERROR(ARRAY_CONSTRAIN(SPLIT(INDEX('Daily Raw Data'!G:G,Match($A53,'Daily Raw Data'!$B:$B,0)),"":""),1,1),"""")"),"")</f>
        <v/>
      </c>
      <c r="F53" t="str">
        <f t="array" ref="F53">IFERROR(INDEX('Daily Raw Data'!H:H,Match($A53,'Daily Raw Data'!$B:$B,0)),"")</f>
        <v/>
      </c>
      <c r="G53" t="str">
        <f t="array" ref="G53">IFERROR(INDEX('Daily Raw Data'!I:I,Match($A53,'Daily Raw Data'!$B:$B,0)),"")</f>
        <v/>
      </c>
      <c r="H53" t="str">
        <f t="array" ref="H53">IFERROR(INDEX('Daily Raw Data'!N:N,Match($A53,'Daily Raw Data'!$B:$B,0)),"")</f>
        <v/>
      </c>
      <c r="I53" t="str">
        <f t="array" ref="I53">IFERROR(INDEX('Daily Raw Data'!O:O,Match($A53,'Daily Raw Data'!$B:$B,0)),"")</f>
        <v/>
      </c>
      <c r="J53" t="str">
        <f t="array" ref="J53">IFERROR(INDEX('Daily Raw Data'!S:S,Match($A53,'Daily Raw Data'!$B:$B,0)),"")</f>
        <v/>
      </c>
      <c r="K53" t="str">
        <f t="array" ref="K53">IFERROR(INDEX('Daily Raw Data'!T:T,Match($A53,'Daily Raw Data'!$B:$B,0)),"")</f>
        <v/>
      </c>
      <c r="L53" t="str">
        <f t="array" ref="L53">IFERROR(INDEX('Daily Raw Data'!U:U,Match($A53,'Daily Raw Data'!$B:$B,0)),"")</f>
        <v/>
      </c>
      <c r="M53" t="str">
        <f t="array" ref="M53">IFERROR(INDEX('Daily Raw Data'!V:V,Match($A53,'Daily Raw Data'!$B:$B,0)),"")</f>
        <v/>
      </c>
      <c r="N53" t="str">
        <f t="array" ref="N53">IFERROR(INDEX('Daily Raw Data'!W:W,Match($A53,'Daily Raw Data'!$B:$B,0)),"")</f>
        <v/>
      </c>
      <c r="O53" t="str">
        <f t="array" ref="O53">IFERROR(INDEX('Daily Raw Data'!Y:Y,Match($A53,'Daily Raw Data'!$B:$B,0)),"")</f>
        <v/>
      </c>
      <c r="P53" t="str">
        <f t="shared" si="1"/>
        <v/>
      </c>
      <c r="Q53" s="14" t="str">
        <f t="shared" si="2"/>
        <v/>
      </c>
      <c r="R53" s="15" t="str">
        <f>IFERROR(__xludf.DUMMYFUNCTION("IF($A53="""","""", IFERROR(PERCENTRANK.INC(FILTER(P:P,$E:$E&lt;&gt;""""),P53)*100,""""))"),"")</f>
        <v/>
      </c>
      <c r="S53" s="15" t="str">
        <f>IFERROR(__xludf.DUMMYFUNCTION("IF($A53="""","""",IFERROR(PERCENTRANK.INC(FILTER(Q:Q,$E:$E&lt;&gt;""""),Q53)*100,""""))"),"")</f>
        <v/>
      </c>
    </row>
    <row r="54">
      <c r="B54" t="str">
        <f t="array" ref="B54">IFERROR(INDEX('Player Raw Data'!C:C,Match($A54,'Player Raw Data'!$B:$B,0)),"")</f>
        <v/>
      </c>
      <c r="C54" t="str">
        <f t="array" ref="C54">IFERROR(INDEX('Player Raw Data'!D:D,Match($A54,'Player Raw Data'!$B:$B,0)),"")</f>
        <v/>
      </c>
      <c r="D54" t="str">
        <f t="array" ref="D54">IFERROR(IF(A54=A53, INDEX('Player Raw Data'!E:E,Match($A54,'Player Raw Data'!$B:$B,0)+2),INDEX('Player Raw Data'!E:E,Match($A54,'Player Raw Data'!$B:$B,0))),"")</f>
        <v/>
      </c>
      <c r="E54" s="27" t="str">
        <f>IFERROR(__xludf.DUMMYFUNCTION("IFERROR(ARRAY_CONSTRAIN(SPLIT(INDEX('Daily Raw Data'!G:G,Match($A54,'Daily Raw Data'!$B:$B,0)),"":""),1,1),"""")"),"")</f>
        <v/>
      </c>
      <c r="F54" t="str">
        <f t="array" ref="F54">IFERROR(INDEX('Daily Raw Data'!H:H,Match($A54,'Daily Raw Data'!$B:$B,0)),"")</f>
        <v/>
      </c>
      <c r="G54" t="str">
        <f t="array" ref="G54">IFERROR(INDEX('Daily Raw Data'!I:I,Match($A54,'Daily Raw Data'!$B:$B,0)),"")</f>
        <v/>
      </c>
      <c r="H54" t="str">
        <f t="array" ref="H54">IFERROR(INDEX('Daily Raw Data'!N:N,Match($A54,'Daily Raw Data'!$B:$B,0)),"")</f>
        <v/>
      </c>
      <c r="I54" t="str">
        <f t="array" ref="I54">IFERROR(INDEX('Daily Raw Data'!O:O,Match($A54,'Daily Raw Data'!$B:$B,0)),"")</f>
        <v/>
      </c>
      <c r="J54" t="str">
        <f t="array" ref="J54">IFERROR(INDEX('Daily Raw Data'!S:S,Match($A54,'Daily Raw Data'!$B:$B,0)),"")</f>
        <v/>
      </c>
      <c r="K54" t="str">
        <f t="array" ref="K54">IFERROR(INDEX('Daily Raw Data'!T:T,Match($A54,'Daily Raw Data'!$B:$B,0)),"")</f>
        <v/>
      </c>
      <c r="L54" t="str">
        <f t="array" ref="L54">IFERROR(INDEX('Daily Raw Data'!U:U,Match($A54,'Daily Raw Data'!$B:$B,0)),"")</f>
        <v/>
      </c>
      <c r="M54" t="str">
        <f t="array" ref="M54">IFERROR(INDEX('Daily Raw Data'!V:V,Match($A54,'Daily Raw Data'!$B:$B,0)),"")</f>
        <v/>
      </c>
      <c r="N54" t="str">
        <f t="array" ref="N54">IFERROR(INDEX('Daily Raw Data'!W:W,Match($A54,'Daily Raw Data'!$B:$B,0)),"")</f>
        <v/>
      </c>
      <c r="O54" t="str">
        <f t="array" ref="O54">IFERROR(INDEX('Daily Raw Data'!Y:Y,Match($A54,'Daily Raw Data'!$B:$B,0)),"")</f>
        <v/>
      </c>
      <c r="P54" t="str">
        <f t="shared" si="1"/>
        <v/>
      </c>
      <c r="Q54" s="14" t="str">
        <f t="shared" si="2"/>
        <v/>
      </c>
      <c r="R54" s="15" t="str">
        <f>IFERROR(__xludf.DUMMYFUNCTION("IF($A54="""","""", IFERROR(PERCENTRANK.INC(FILTER(P:P,$E:$E&lt;&gt;""""),P54)*100,""""))"),"")</f>
        <v/>
      </c>
      <c r="S54" s="15" t="str">
        <f>IFERROR(__xludf.DUMMYFUNCTION("IF($A54="""","""",IFERROR(PERCENTRANK.INC(FILTER(Q:Q,$E:$E&lt;&gt;""""),Q54)*100,""""))"),"")</f>
        <v/>
      </c>
    </row>
    <row r="55">
      <c r="B55" t="str">
        <f t="array" ref="B55">IFERROR(INDEX('Player Raw Data'!C:C,Match($A55,'Player Raw Data'!$B:$B,0)),"")</f>
        <v/>
      </c>
      <c r="C55" t="str">
        <f t="array" ref="C55">IFERROR(INDEX('Player Raw Data'!D:D,Match($A55,'Player Raw Data'!$B:$B,0)),"")</f>
        <v/>
      </c>
      <c r="D55" t="str">
        <f t="array" ref="D55">IFERROR(IF(A55=A54, INDEX('Player Raw Data'!E:E,Match($A55,'Player Raw Data'!$B:$B,0)+2),INDEX('Player Raw Data'!E:E,Match($A55,'Player Raw Data'!$B:$B,0))),"")</f>
        <v/>
      </c>
      <c r="E55" s="27" t="str">
        <f>IFERROR(__xludf.DUMMYFUNCTION("IFERROR(ARRAY_CONSTRAIN(SPLIT(INDEX('Daily Raw Data'!G:G,Match($A55,'Daily Raw Data'!$B:$B,0)),"":""),1,1),"""")"),"")</f>
        <v/>
      </c>
      <c r="F55" t="str">
        <f t="array" ref="F55">IFERROR(INDEX('Daily Raw Data'!H:H,Match($A55,'Daily Raw Data'!$B:$B,0)),"")</f>
        <v/>
      </c>
      <c r="G55" t="str">
        <f t="array" ref="G55">IFERROR(INDEX('Daily Raw Data'!I:I,Match($A55,'Daily Raw Data'!$B:$B,0)),"")</f>
        <v/>
      </c>
      <c r="H55" t="str">
        <f t="array" ref="H55">IFERROR(INDEX('Daily Raw Data'!N:N,Match($A55,'Daily Raw Data'!$B:$B,0)),"")</f>
        <v/>
      </c>
      <c r="I55" t="str">
        <f t="array" ref="I55">IFERROR(INDEX('Daily Raw Data'!O:O,Match($A55,'Daily Raw Data'!$B:$B,0)),"")</f>
        <v/>
      </c>
      <c r="J55" t="str">
        <f t="array" ref="J55">IFERROR(INDEX('Daily Raw Data'!S:S,Match($A55,'Daily Raw Data'!$B:$B,0)),"")</f>
        <v/>
      </c>
      <c r="K55" t="str">
        <f t="array" ref="K55">IFERROR(INDEX('Daily Raw Data'!T:T,Match($A55,'Daily Raw Data'!$B:$B,0)),"")</f>
        <v/>
      </c>
      <c r="L55" t="str">
        <f t="array" ref="L55">IFERROR(INDEX('Daily Raw Data'!U:U,Match($A55,'Daily Raw Data'!$B:$B,0)),"")</f>
        <v/>
      </c>
      <c r="M55" t="str">
        <f t="array" ref="M55">IFERROR(INDEX('Daily Raw Data'!V:V,Match($A55,'Daily Raw Data'!$B:$B,0)),"")</f>
        <v/>
      </c>
      <c r="N55" t="str">
        <f t="array" ref="N55">IFERROR(INDEX('Daily Raw Data'!W:W,Match($A55,'Daily Raw Data'!$B:$B,0)),"")</f>
        <v/>
      </c>
      <c r="O55" t="str">
        <f t="array" ref="O55">IFERROR(INDEX('Daily Raw Data'!Y:Y,Match($A55,'Daily Raw Data'!$B:$B,0)),"")</f>
        <v/>
      </c>
      <c r="P55" t="str">
        <f t="shared" si="1"/>
        <v/>
      </c>
      <c r="Q55" s="14" t="str">
        <f t="shared" si="2"/>
        <v/>
      </c>
      <c r="R55" s="15" t="str">
        <f>IFERROR(__xludf.DUMMYFUNCTION("IF($A55="""","""", IFERROR(PERCENTRANK.INC(FILTER(P:P,$E:$E&lt;&gt;""""),P55)*100,""""))"),"")</f>
        <v/>
      </c>
      <c r="S55" s="15" t="str">
        <f>IFERROR(__xludf.DUMMYFUNCTION("IF($A55="""","""",IFERROR(PERCENTRANK.INC(FILTER(Q:Q,$E:$E&lt;&gt;""""),Q55)*100,""""))"),"")</f>
        <v/>
      </c>
    </row>
    <row r="56">
      <c r="B56" t="str">
        <f t="array" ref="B56">IFERROR(INDEX('Player Raw Data'!C:C,Match($A56,'Player Raw Data'!$B:$B,0)),"")</f>
        <v/>
      </c>
      <c r="C56" t="str">
        <f t="array" ref="C56">IFERROR(INDEX('Player Raw Data'!D:D,Match($A56,'Player Raw Data'!$B:$B,0)),"")</f>
        <v/>
      </c>
      <c r="D56" t="str">
        <f t="array" ref="D56">IFERROR(IF(A56=A55, INDEX('Player Raw Data'!E:E,Match($A56,'Player Raw Data'!$B:$B,0)+2),INDEX('Player Raw Data'!E:E,Match($A56,'Player Raw Data'!$B:$B,0))),"")</f>
        <v/>
      </c>
      <c r="E56" s="27" t="str">
        <f>IFERROR(__xludf.DUMMYFUNCTION("IFERROR(ARRAY_CONSTRAIN(SPLIT(INDEX('Daily Raw Data'!G:G,Match($A56,'Daily Raw Data'!$B:$B,0)),"":""),1,1),"""")"),"")</f>
        <v/>
      </c>
      <c r="F56" t="str">
        <f t="array" ref="F56">IFERROR(INDEX('Daily Raw Data'!H:H,Match($A56,'Daily Raw Data'!$B:$B,0)),"")</f>
        <v/>
      </c>
      <c r="G56" t="str">
        <f t="array" ref="G56">IFERROR(INDEX('Daily Raw Data'!I:I,Match($A56,'Daily Raw Data'!$B:$B,0)),"")</f>
        <v/>
      </c>
      <c r="H56" t="str">
        <f t="array" ref="H56">IFERROR(INDEX('Daily Raw Data'!N:N,Match($A56,'Daily Raw Data'!$B:$B,0)),"")</f>
        <v/>
      </c>
      <c r="I56" t="str">
        <f t="array" ref="I56">IFERROR(INDEX('Daily Raw Data'!O:O,Match($A56,'Daily Raw Data'!$B:$B,0)),"")</f>
        <v/>
      </c>
      <c r="J56" t="str">
        <f t="array" ref="J56">IFERROR(INDEX('Daily Raw Data'!S:S,Match($A56,'Daily Raw Data'!$B:$B,0)),"")</f>
        <v/>
      </c>
      <c r="K56" t="str">
        <f t="array" ref="K56">IFERROR(INDEX('Daily Raw Data'!T:T,Match($A56,'Daily Raw Data'!$B:$B,0)),"")</f>
        <v/>
      </c>
      <c r="L56" t="str">
        <f t="array" ref="L56">IFERROR(INDEX('Daily Raw Data'!U:U,Match($A56,'Daily Raw Data'!$B:$B,0)),"")</f>
        <v/>
      </c>
      <c r="M56" t="str">
        <f t="array" ref="M56">IFERROR(INDEX('Daily Raw Data'!V:V,Match($A56,'Daily Raw Data'!$B:$B,0)),"")</f>
        <v/>
      </c>
      <c r="N56" t="str">
        <f t="array" ref="N56">IFERROR(INDEX('Daily Raw Data'!W:W,Match($A56,'Daily Raw Data'!$B:$B,0)),"")</f>
        <v/>
      </c>
      <c r="O56" t="str">
        <f t="array" ref="O56">IFERROR(INDEX('Daily Raw Data'!Y:Y,Match($A56,'Daily Raw Data'!$B:$B,0)),"")</f>
        <v/>
      </c>
      <c r="P56" t="str">
        <f t="shared" si="1"/>
        <v/>
      </c>
      <c r="Q56" s="14" t="str">
        <f t="shared" si="2"/>
        <v/>
      </c>
      <c r="R56" s="15" t="str">
        <f>IFERROR(__xludf.DUMMYFUNCTION("IF($A56="""","""", IFERROR(PERCENTRANK.INC(FILTER(P:P,$E:$E&lt;&gt;""""),P56)*100,""""))"),"")</f>
        <v/>
      </c>
      <c r="S56" s="15" t="str">
        <f>IFERROR(__xludf.DUMMYFUNCTION("IF($A56="""","""",IFERROR(PERCENTRANK.INC(FILTER(Q:Q,$E:$E&lt;&gt;""""),Q56)*100,""""))"),"")</f>
        <v/>
      </c>
    </row>
    <row r="57">
      <c r="B57" t="str">
        <f t="array" ref="B57">IFERROR(INDEX('Player Raw Data'!C:C,Match($A57,'Player Raw Data'!$B:$B,0)),"")</f>
        <v/>
      </c>
      <c r="C57" t="str">
        <f t="array" ref="C57">IFERROR(INDEX('Player Raw Data'!D:D,Match($A57,'Player Raw Data'!$B:$B,0)),"")</f>
        <v/>
      </c>
      <c r="D57" t="str">
        <f t="array" ref="D57">IFERROR(IF(A57=A56, INDEX('Player Raw Data'!E:E,Match($A57,'Player Raw Data'!$B:$B,0)+2),INDEX('Player Raw Data'!E:E,Match($A57,'Player Raw Data'!$B:$B,0))),"")</f>
        <v/>
      </c>
      <c r="E57" s="27" t="str">
        <f>IFERROR(__xludf.DUMMYFUNCTION("IFERROR(ARRAY_CONSTRAIN(SPLIT(INDEX('Daily Raw Data'!G:G,Match($A57,'Daily Raw Data'!$B:$B,0)),"":""),1,1),"""")"),"")</f>
        <v/>
      </c>
      <c r="F57" t="str">
        <f t="array" ref="F57">IFERROR(INDEX('Daily Raw Data'!H:H,Match($A57,'Daily Raw Data'!$B:$B,0)),"")</f>
        <v/>
      </c>
      <c r="G57" t="str">
        <f t="array" ref="G57">IFERROR(INDEX('Daily Raw Data'!I:I,Match($A57,'Daily Raw Data'!$B:$B,0)),"")</f>
        <v/>
      </c>
      <c r="H57" t="str">
        <f t="array" ref="H57">IFERROR(INDEX('Daily Raw Data'!N:N,Match($A57,'Daily Raw Data'!$B:$B,0)),"")</f>
        <v/>
      </c>
      <c r="I57" t="str">
        <f t="array" ref="I57">IFERROR(INDEX('Daily Raw Data'!O:O,Match($A57,'Daily Raw Data'!$B:$B,0)),"")</f>
        <v/>
      </c>
      <c r="J57" t="str">
        <f t="array" ref="J57">IFERROR(INDEX('Daily Raw Data'!S:S,Match($A57,'Daily Raw Data'!$B:$B,0)),"")</f>
        <v/>
      </c>
      <c r="K57" t="str">
        <f t="array" ref="K57">IFERROR(INDEX('Daily Raw Data'!T:T,Match($A57,'Daily Raw Data'!$B:$B,0)),"")</f>
        <v/>
      </c>
      <c r="L57" t="str">
        <f t="array" ref="L57">IFERROR(INDEX('Daily Raw Data'!U:U,Match($A57,'Daily Raw Data'!$B:$B,0)),"")</f>
        <v/>
      </c>
      <c r="M57" t="str">
        <f t="array" ref="M57">IFERROR(INDEX('Daily Raw Data'!V:V,Match($A57,'Daily Raw Data'!$B:$B,0)),"")</f>
        <v/>
      </c>
      <c r="N57" t="str">
        <f t="array" ref="N57">IFERROR(INDEX('Daily Raw Data'!W:W,Match($A57,'Daily Raw Data'!$B:$B,0)),"")</f>
        <v/>
      </c>
      <c r="O57" t="str">
        <f t="array" ref="O57">IFERROR(INDEX('Daily Raw Data'!Y:Y,Match($A57,'Daily Raw Data'!$B:$B,0)),"")</f>
        <v/>
      </c>
      <c r="P57" t="str">
        <f t="shared" si="1"/>
        <v/>
      </c>
      <c r="Q57" s="14" t="str">
        <f t="shared" si="2"/>
        <v/>
      </c>
      <c r="R57" s="15" t="str">
        <f>IFERROR(__xludf.DUMMYFUNCTION("IF($A57="""","""", IFERROR(PERCENTRANK.INC(FILTER(P:P,$E:$E&lt;&gt;""""),P57)*100,""""))"),"")</f>
        <v/>
      </c>
      <c r="S57" s="15" t="str">
        <f>IFERROR(__xludf.DUMMYFUNCTION("IF($A57="""","""",IFERROR(PERCENTRANK.INC(FILTER(Q:Q,$E:$E&lt;&gt;""""),Q57)*100,""""))"),"")</f>
        <v/>
      </c>
    </row>
    <row r="58">
      <c r="B58" t="str">
        <f t="array" ref="B58">IFERROR(INDEX('Player Raw Data'!C:C,Match($A58,'Player Raw Data'!$B:$B,0)),"")</f>
        <v/>
      </c>
      <c r="C58" t="str">
        <f t="array" ref="C58">IFERROR(INDEX('Player Raw Data'!D:D,Match($A58,'Player Raw Data'!$B:$B,0)),"")</f>
        <v/>
      </c>
      <c r="D58" t="str">
        <f t="array" ref="D58">IFERROR(IF(A58=A57, INDEX('Player Raw Data'!E:E,Match($A58,'Player Raw Data'!$B:$B,0)+2),INDEX('Player Raw Data'!E:E,Match($A58,'Player Raw Data'!$B:$B,0))),"")</f>
        <v/>
      </c>
      <c r="E58" s="27" t="str">
        <f>IFERROR(__xludf.DUMMYFUNCTION("IFERROR(ARRAY_CONSTRAIN(SPLIT(INDEX('Daily Raw Data'!G:G,Match($A58,'Daily Raw Data'!$B:$B,0)),"":""),1,1),"""")"),"")</f>
        <v/>
      </c>
      <c r="F58" t="str">
        <f t="array" ref="F58">IFERROR(INDEX('Daily Raw Data'!H:H,Match($A58,'Daily Raw Data'!$B:$B,0)),"")</f>
        <v/>
      </c>
      <c r="G58" t="str">
        <f t="array" ref="G58">IFERROR(INDEX('Daily Raw Data'!I:I,Match($A58,'Daily Raw Data'!$B:$B,0)),"")</f>
        <v/>
      </c>
      <c r="H58" t="str">
        <f t="array" ref="H58">IFERROR(INDEX('Daily Raw Data'!N:N,Match($A58,'Daily Raw Data'!$B:$B,0)),"")</f>
        <v/>
      </c>
      <c r="I58" t="str">
        <f t="array" ref="I58">IFERROR(INDEX('Daily Raw Data'!O:O,Match($A58,'Daily Raw Data'!$B:$B,0)),"")</f>
        <v/>
      </c>
      <c r="J58" t="str">
        <f t="array" ref="J58">IFERROR(INDEX('Daily Raw Data'!S:S,Match($A58,'Daily Raw Data'!$B:$B,0)),"")</f>
        <v/>
      </c>
      <c r="K58" t="str">
        <f t="array" ref="K58">IFERROR(INDEX('Daily Raw Data'!T:T,Match($A58,'Daily Raw Data'!$B:$B,0)),"")</f>
        <v/>
      </c>
      <c r="L58" t="str">
        <f t="array" ref="L58">IFERROR(INDEX('Daily Raw Data'!U:U,Match($A58,'Daily Raw Data'!$B:$B,0)),"")</f>
        <v/>
      </c>
      <c r="M58" t="str">
        <f t="array" ref="M58">IFERROR(INDEX('Daily Raw Data'!V:V,Match($A58,'Daily Raw Data'!$B:$B,0)),"")</f>
        <v/>
      </c>
      <c r="N58" t="str">
        <f t="array" ref="N58">IFERROR(INDEX('Daily Raw Data'!W:W,Match($A58,'Daily Raw Data'!$B:$B,0)),"")</f>
        <v/>
      </c>
      <c r="O58" t="str">
        <f t="array" ref="O58">IFERROR(INDEX('Daily Raw Data'!Y:Y,Match($A58,'Daily Raw Data'!$B:$B,0)),"")</f>
        <v/>
      </c>
      <c r="P58" t="str">
        <f t="shared" si="1"/>
        <v/>
      </c>
      <c r="Q58" s="14" t="str">
        <f t="shared" si="2"/>
        <v/>
      </c>
      <c r="R58" s="15" t="str">
        <f>IFERROR(__xludf.DUMMYFUNCTION("IF($A58="""","""", IFERROR(PERCENTRANK.INC(FILTER(P:P,$E:$E&lt;&gt;""""),P58)*100,""""))"),"")</f>
        <v/>
      </c>
      <c r="S58" s="15" t="str">
        <f>IFERROR(__xludf.DUMMYFUNCTION("IF($A58="""","""",IFERROR(PERCENTRANK.INC(FILTER(Q:Q,$E:$E&lt;&gt;""""),Q58)*100,""""))"),"")</f>
        <v/>
      </c>
    </row>
    <row r="59">
      <c r="B59" t="str">
        <f t="array" ref="B59">IFERROR(INDEX('Player Raw Data'!C:C,Match($A59,'Player Raw Data'!$B:$B,0)),"")</f>
        <v/>
      </c>
      <c r="C59" t="str">
        <f t="array" ref="C59">IFERROR(INDEX('Player Raw Data'!D:D,Match($A59,'Player Raw Data'!$B:$B,0)),"")</f>
        <v/>
      </c>
      <c r="D59" t="str">
        <f t="array" ref="D59">IFERROR(IF(A59=A58, INDEX('Player Raw Data'!E:E,Match($A59,'Player Raw Data'!$B:$B,0)+2),INDEX('Player Raw Data'!E:E,Match($A59,'Player Raw Data'!$B:$B,0))),"")</f>
        <v/>
      </c>
      <c r="E59" s="27" t="str">
        <f>IFERROR(__xludf.DUMMYFUNCTION("IFERROR(ARRAY_CONSTRAIN(SPLIT(INDEX('Daily Raw Data'!G:G,Match($A59,'Daily Raw Data'!$B:$B,0)),"":""),1,1),"""")"),"")</f>
        <v/>
      </c>
      <c r="F59" t="str">
        <f t="array" ref="F59">IFERROR(INDEX('Daily Raw Data'!H:H,Match($A59,'Daily Raw Data'!$B:$B,0)),"")</f>
        <v/>
      </c>
      <c r="G59" t="str">
        <f t="array" ref="G59">IFERROR(INDEX('Daily Raw Data'!I:I,Match($A59,'Daily Raw Data'!$B:$B,0)),"")</f>
        <v/>
      </c>
      <c r="H59" t="str">
        <f t="array" ref="H59">IFERROR(INDEX('Daily Raw Data'!N:N,Match($A59,'Daily Raw Data'!$B:$B,0)),"")</f>
        <v/>
      </c>
      <c r="I59" t="str">
        <f t="array" ref="I59">IFERROR(INDEX('Daily Raw Data'!O:O,Match($A59,'Daily Raw Data'!$B:$B,0)),"")</f>
        <v/>
      </c>
      <c r="J59" t="str">
        <f t="array" ref="J59">IFERROR(INDEX('Daily Raw Data'!S:S,Match($A59,'Daily Raw Data'!$B:$B,0)),"")</f>
        <v/>
      </c>
      <c r="K59" t="str">
        <f t="array" ref="K59">IFERROR(INDEX('Daily Raw Data'!T:T,Match($A59,'Daily Raw Data'!$B:$B,0)),"")</f>
        <v/>
      </c>
      <c r="L59" t="str">
        <f t="array" ref="L59">IFERROR(INDEX('Daily Raw Data'!U:U,Match($A59,'Daily Raw Data'!$B:$B,0)),"")</f>
        <v/>
      </c>
      <c r="M59" t="str">
        <f t="array" ref="M59">IFERROR(INDEX('Daily Raw Data'!V:V,Match($A59,'Daily Raw Data'!$B:$B,0)),"")</f>
        <v/>
      </c>
      <c r="N59" t="str">
        <f t="array" ref="N59">IFERROR(INDEX('Daily Raw Data'!W:W,Match($A59,'Daily Raw Data'!$B:$B,0)),"")</f>
        <v/>
      </c>
      <c r="O59" t="str">
        <f t="array" ref="O59">IFERROR(INDEX('Daily Raw Data'!Y:Y,Match($A59,'Daily Raw Data'!$B:$B,0)),"")</f>
        <v/>
      </c>
      <c r="P59" t="str">
        <f t="shared" si="1"/>
        <v/>
      </c>
      <c r="Q59" s="14" t="str">
        <f t="shared" si="2"/>
        <v/>
      </c>
      <c r="R59" s="15" t="str">
        <f>IFERROR(__xludf.DUMMYFUNCTION("IF($A59="""","""", IFERROR(PERCENTRANK.INC(FILTER(P:P,$E:$E&lt;&gt;""""),P59)*100,""""))"),"")</f>
        <v/>
      </c>
      <c r="S59" s="15" t="str">
        <f>IFERROR(__xludf.DUMMYFUNCTION("IF($A59="""","""",IFERROR(PERCENTRANK.INC(FILTER(Q:Q,$E:$E&lt;&gt;""""),Q59)*100,""""))"),"")</f>
        <v/>
      </c>
    </row>
    <row r="60">
      <c r="B60" t="str">
        <f t="array" ref="B60">IFERROR(INDEX('Player Raw Data'!C:C,Match($A60,'Player Raw Data'!$B:$B,0)),"")</f>
        <v/>
      </c>
      <c r="C60" t="str">
        <f t="array" ref="C60">IFERROR(INDEX('Player Raw Data'!D:D,Match($A60,'Player Raw Data'!$B:$B,0)),"")</f>
        <v/>
      </c>
      <c r="D60" t="str">
        <f t="array" ref="D60">IFERROR(IF(A60=A59, INDEX('Player Raw Data'!E:E,Match($A60,'Player Raw Data'!$B:$B,0)+2),INDEX('Player Raw Data'!E:E,Match($A60,'Player Raw Data'!$B:$B,0))),"")</f>
        <v/>
      </c>
      <c r="E60" s="27" t="str">
        <f>IFERROR(__xludf.DUMMYFUNCTION("IFERROR(ARRAY_CONSTRAIN(SPLIT(INDEX('Daily Raw Data'!G:G,Match($A60,'Daily Raw Data'!$B:$B,0)),"":""),1,1),"""")"),"")</f>
        <v/>
      </c>
      <c r="F60" t="str">
        <f t="array" ref="F60">IFERROR(INDEX('Daily Raw Data'!H:H,Match($A60,'Daily Raw Data'!$B:$B,0)),"")</f>
        <v/>
      </c>
      <c r="G60" t="str">
        <f t="array" ref="G60">IFERROR(INDEX('Daily Raw Data'!I:I,Match($A60,'Daily Raw Data'!$B:$B,0)),"")</f>
        <v/>
      </c>
      <c r="H60" t="str">
        <f t="array" ref="H60">IFERROR(INDEX('Daily Raw Data'!N:N,Match($A60,'Daily Raw Data'!$B:$B,0)),"")</f>
        <v/>
      </c>
      <c r="I60" t="str">
        <f t="array" ref="I60">IFERROR(INDEX('Daily Raw Data'!O:O,Match($A60,'Daily Raw Data'!$B:$B,0)),"")</f>
        <v/>
      </c>
      <c r="J60" t="str">
        <f t="array" ref="J60">IFERROR(INDEX('Daily Raw Data'!S:S,Match($A60,'Daily Raw Data'!$B:$B,0)),"")</f>
        <v/>
      </c>
      <c r="K60" t="str">
        <f t="array" ref="K60">IFERROR(INDEX('Daily Raw Data'!T:T,Match($A60,'Daily Raw Data'!$B:$B,0)),"")</f>
        <v/>
      </c>
      <c r="L60" t="str">
        <f t="array" ref="L60">IFERROR(INDEX('Daily Raw Data'!U:U,Match($A60,'Daily Raw Data'!$B:$B,0)),"")</f>
        <v/>
      </c>
      <c r="M60" t="str">
        <f t="array" ref="M60">IFERROR(INDEX('Daily Raw Data'!V:V,Match($A60,'Daily Raw Data'!$B:$B,0)),"")</f>
        <v/>
      </c>
      <c r="N60" t="str">
        <f t="array" ref="N60">IFERROR(INDEX('Daily Raw Data'!W:W,Match($A60,'Daily Raw Data'!$B:$B,0)),"")</f>
        <v/>
      </c>
      <c r="O60" t="str">
        <f t="array" ref="O60">IFERROR(INDEX('Daily Raw Data'!Y:Y,Match($A60,'Daily Raw Data'!$B:$B,0)),"")</f>
        <v/>
      </c>
      <c r="P60" t="str">
        <f t="shared" si="1"/>
        <v/>
      </c>
      <c r="Q60" s="14" t="str">
        <f t="shared" si="2"/>
        <v/>
      </c>
      <c r="R60" s="15" t="str">
        <f>IFERROR(__xludf.DUMMYFUNCTION("IF($A60="""","""", IFERROR(PERCENTRANK.INC(FILTER(P:P,$E:$E&lt;&gt;""""),P60)*100,""""))"),"")</f>
        <v/>
      </c>
      <c r="S60" s="15" t="str">
        <f>IFERROR(__xludf.DUMMYFUNCTION("IF($A60="""","""",IFERROR(PERCENTRANK.INC(FILTER(Q:Q,$E:$E&lt;&gt;""""),Q60)*100,""""))"),"")</f>
        <v/>
      </c>
    </row>
    <row r="61">
      <c r="B61" t="str">
        <f t="array" ref="B61">IFERROR(INDEX('Player Raw Data'!C:C,Match($A61,'Player Raw Data'!$B:$B,0)),"")</f>
        <v/>
      </c>
      <c r="C61" t="str">
        <f t="array" ref="C61">IFERROR(INDEX('Player Raw Data'!D:D,Match($A61,'Player Raw Data'!$B:$B,0)),"")</f>
        <v/>
      </c>
      <c r="D61" t="str">
        <f t="array" ref="D61">IFERROR(IF(A61=A60, INDEX('Player Raw Data'!E:E,Match($A61,'Player Raw Data'!$B:$B,0)+2),INDEX('Player Raw Data'!E:E,Match($A61,'Player Raw Data'!$B:$B,0))),"")</f>
        <v/>
      </c>
      <c r="E61" s="27" t="str">
        <f>IFERROR(__xludf.DUMMYFUNCTION("IFERROR(ARRAY_CONSTRAIN(SPLIT(INDEX('Daily Raw Data'!G:G,Match($A61,'Daily Raw Data'!$B:$B,0)),"":""),1,1),"""")"),"")</f>
        <v/>
      </c>
      <c r="F61" t="str">
        <f t="array" ref="F61">IFERROR(INDEX('Daily Raw Data'!H:H,Match($A61,'Daily Raw Data'!$B:$B,0)),"")</f>
        <v/>
      </c>
      <c r="G61" t="str">
        <f t="array" ref="G61">IFERROR(INDEX('Daily Raw Data'!I:I,Match($A61,'Daily Raw Data'!$B:$B,0)),"")</f>
        <v/>
      </c>
      <c r="H61" t="str">
        <f t="array" ref="H61">IFERROR(INDEX('Daily Raw Data'!N:N,Match($A61,'Daily Raw Data'!$B:$B,0)),"")</f>
        <v/>
      </c>
      <c r="I61" t="str">
        <f t="array" ref="I61">IFERROR(INDEX('Daily Raw Data'!O:O,Match($A61,'Daily Raw Data'!$B:$B,0)),"")</f>
        <v/>
      </c>
      <c r="J61" t="str">
        <f t="array" ref="J61">IFERROR(INDEX('Daily Raw Data'!S:S,Match($A61,'Daily Raw Data'!$B:$B,0)),"")</f>
        <v/>
      </c>
      <c r="K61" t="str">
        <f t="array" ref="K61">IFERROR(INDEX('Daily Raw Data'!T:T,Match($A61,'Daily Raw Data'!$B:$B,0)),"")</f>
        <v/>
      </c>
      <c r="L61" t="str">
        <f t="array" ref="L61">IFERROR(INDEX('Daily Raw Data'!U:U,Match($A61,'Daily Raw Data'!$B:$B,0)),"")</f>
        <v/>
      </c>
      <c r="M61" t="str">
        <f t="array" ref="M61">IFERROR(INDEX('Daily Raw Data'!V:V,Match($A61,'Daily Raw Data'!$B:$B,0)),"")</f>
        <v/>
      </c>
      <c r="N61" t="str">
        <f t="array" ref="N61">IFERROR(INDEX('Daily Raw Data'!W:W,Match($A61,'Daily Raw Data'!$B:$B,0)),"")</f>
        <v/>
      </c>
      <c r="O61" t="str">
        <f t="array" ref="O61">IFERROR(INDEX('Daily Raw Data'!Y:Y,Match($A61,'Daily Raw Data'!$B:$B,0)),"")</f>
        <v/>
      </c>
      <c r="P61" t="str">
        <f t="shared" si="1"/>
        <v/>
      </c>
      <c r="Q61" s="14" t="str">
        <f t="shared" si="2"/>
        <v/>
      </c>
      <c r="R61" s="15" t="str">
        <f>IFERROR(__xludf.DUMMYFUNCTION("IF($A61="""","""", IFERROR(PERCENTRANK.INC(FILTER(P:P,$E:$E&lt;&gt;""""),P61)*100,""""))"),"")</f>
        <v/>
      </c>
      <c r="S61" s="15" t="str">
        <f>IFERROR(__xludf.DUMMYFUNCTION("IF($A61="""","""",IFERROR(PERCENTRANK.INC(FILTER(Q:Q,$E:$E&lt;&gt;""""),Q61)*100,""""))"),"")</f>
        <v/>
      </c>
    </row>
    <row r="62">
      <c r="B62" t="str">
        <f t="array" ref="B62">IFERROR(INDEX('Player Raw Data'!C:C,Match($A62,'Player Raw Data'!$B:$B,0)),"")</f>
        <v/>
      </c>
      <c r="C62" t="str">
        <f t="array" ref="C62">IFERROR(INDEX('Player Raw Data'!D:D,Match($A62,'Player Raw Data'!$B:$B,0)),"")</f>
        <v/>
      </c>
      <c r="D62" t="str">
        <f t="array" ref="D62">IFERROR(IF(A62=A61, INDEX('Player Raw Data'!E:E,Match($A62,'Player Raw Data'!$B:$B,0)+2),INDEX('Player Raw Data'!E:E,Match($A62,'Player Raw Data'!$B:$B,0))),"")</f>
        <v/>
      </c>
      <c r="E62" s="27" t="str">
        <f>IFERROR(__xludf.DUMMYFUNCTION("IFERROR(ARRAY_CONSTRAIN(SPLIT(INDEX('Daily Raw Data'!G:G,Match($A62,'Daily Raw Data'!$B:$B,0)),"":""),1,1),"""")"),"")</f>
        <v/>
      </c>
      <c r="F62" t="str">
        <f t="array" ref="F62">IFERROR(INDEX('Daily Raw Data'!H:H,Match($A62,'Daily Raw Data'!$B:$B,0)),"")</f>
        <v/>
      </c>
      <c r="G62" t="str">
        <f t="array" ref="G62">IFERROR(INDEX('Daily Raw Data'!I:I,Match($A62,'Daily Raw Data'!$B:$B,0)),"")</f>
        <v/>
      </c>
      <c r="H62" t="str">
        <f t="array" ref="H62">IFERROR(INDEX('Daily Raw Data'!N:N,Match($A62,'Daily Raw Data'!$B:$B,0)),"")</f>
        <v/>
      </c>
      <c r="I62" t="str">
        <f t="array" ref="I62">IFERROR(INDEX('Daily Raw Data'!O:O,Match($A62,'Daily Raw Data'!$B:$B,0)),"")</f>
        <v/>
      </c>
      <c r="J62" t="str">
        <f t="array" ref="J62">IFERROR(INDEX('Daily Raw Data'!S:S,Match($A62,'Daily Raw Data'!$B:$B,0)),"")</f>
        <v/>
      </c>
      <c r="K62" t="str">
        <f t="array" ref="K62">IFERROR(INDEX('Daily Raw Data'!T:T,Match($A62,'Daily Raw Data'!$B:$B,0)),"")</f>
        <v/>
      </c>
      <c r="L62" t="str">
        <f t="array" ref="L62">IFERROR(INDEX('Daily Raw Data'!U:U,Match($A62,'Daily Raw Data'!$B:$B,0)),"")</f>
        <v/>
      </c>
      <c r="M62" t="str">
        <f t="array" ref="M62">IFERROR(INDEX('Daily Raw Data'!V:V,Match($A62,'Daily Raw Data'!$B:$B,0)),"")</f>
        <v/>
      </c>
      <c r="N62" t="str">
        <f t="array" ref="N62">IFERROR(INDEX('Daily Raw Data'!W:W,Match($A62,'Daily Raw Data'!$B:$B,0)),"")</f>
        <v/>
      </c>
      <c r="O62" t="str">
        <f t="array" ref="O62">IFERROR(INDEX('Daily Raw Data'!Y:Y,Match($A62,'Daily Raw Data'!$B:$B,0)),"")</f>
        <v/>
      </c>
      <c r="P62" t="str">
        <f t="shared" si="1"/>
        <v/>
      </c>
      <c r="Q62" s="14" t="str">
        <f t="shared" si="2"/>
        <v/>
      </c>
      <c r="R62" s="15" t="str">
        <f>IFERROR(__xludf.DUMMYFUNCTION("IF($A62="""","""", IFERROR(PERCENTRANK.INC(FILTER(P:P,$E:$E&lt;&gt;""""),P62)*100,""""))"),"")</f>
        <v/>
      </c>
      <c r="S62" s="15" t="str">
        <f>IFERROR(__xludf.DUMMYFUNCTION("IF($A62="""","""",IFERROR(PERCENTRANK.INC(FILTER(Q:Q,$E:$E&lt;&gt;""""),Q62)*100,""""))"),"")</f>
        <v/>
      </c>
    </row>
    <row r="63">
      <c r="B63" t="str">
        <f t="array" ref="B63">IFERROR(INDEX('Player Raw Data'!C:C,Match($A63,'Player Raw Data'!$B:$B,0)),"")</f>
        <v/>
      </c>
      <c r="C63" t="str">
        <f t="array" ref="C63">IFERROR(INDEX('Player Raw Data'!D:D,Match($A63,'Player Raw Data'!$B:$B,0)),"")</f>
        <v/>
      </c>
      <c r="D63" t="str">
        <f t="array" ref="D63">IFERROR(IF(A63=A62, INDEX('Player Raw Data'!E:E,Match($A63,'Player Raw Data'!$B:$B,0)+2),INDEX('Player Raw Data'!E:E,Match($A63,'Player Raw Data'!$B:$B,0))),"")</f>
        <v/>
      </c>
      <c r="E63" s="27" t="str">
        <f>IFERROR(__xludf.DUMMYFUNCTION("IFERROR(ARRAY_CONSTRAIN(SPLIT(INDEX('Daily Raw Data'!G:G,Match($A63,'Daily Raw Data'!$B:$B,0)),"":""),1,1),"""")"),"")</f>
        <v/>
      </c>
      <c r="F63" t="str">
        <f t="array" ref="F63">IFERROR(INDEX('Daily Raw Data'!H:H,Match($A63,'Daily Raw Data'!$B:$B,0)),"")</f>
        <v/>
      </c>
      <c r="G63" t="str">
        <f t="array" ref="G63">IFERROR(INDEX('Daily Raw Data'!I:I,Match($A63,'Daily Raw Data'!$B:$B,0)),"")</f>
        <v/>
      </c>
      <c r="H63" t="str">
        <f t="array" ref="H63">IFERROR(INDEX('Daily Raw Data'!N:N,Match($A63,'Daily Raw Data'!$B:$B,0)),"")</f>
        <v/>
      </c>
      <c r="I63" t="str">
        <f t="array" ref="I63">IFERROR(INDEX('Daily Raw Data'!O:O,Match($A63,'Daily Raw Data'!$B:$B,0)),"")</f>
        <v/>
      </c>
      <c r="J63" t="str">
        <f t="array" ref="J63">IFERROR(INDEX('Daily Raw Data'!S:S,Match($A63,'Daily Raw Data'!$B:$B,0)),"")</f>
        <v/>
      </c>
      <c r="K63" t="str">
        <f t="array" ref="K63">IFERROR(INDEX('Daily Raw Data'!T:T,Match($A63,'Daily Raw Data'!$B:$B,0)),"")</f>
        <v/>
      </c>
      <c r="L63" t="str">
        <f t="array" ref="L63">IFERROR(INDEX('Daily Raw Data'!U:U,Match($A63,'Daily Raw Data'!$B:$B,0)),"")</f>
        <v/>
      </c>
      <c r="M63" t="str">
        <f t="array" ref="M63">IFERROR(INDEX('Daily Raw Data'!V:V,Match($A63,'Daily Raw Data'!$B:$B,0)),"")</f>
        <v/>
      </c>
      <c r="N63" t="str">
        <f t="array" ref="N63">IFERROR(INDEX('Daily Raw Data'!W:W,Match($A63,'Daily Raw Data'!$B:$B,0)),"")</f>
        <v/>
      </c>
      <c r="O63" t="str">
        <f t="array" ref="O63">IFERROR(INDEX('Daily Raw Data'!Y:Y,Match($A63,'Daily Raw Data'!$B:$B,0)),"")</f>
        <v/>
      </c>
      <c r="P63" t="str">
        <f t="shared" si="1"/>
        <v/>
      </c>
      <c r="Q63" s="14" t="str">
        <f t="shared" si="2"/>
        <v/>
      </c>
      <c r="R63" s="15" t="str">
        <f>IFERROR(__xludf.DUMMYFUNCTION("IF($A63="""","""", IFERROR(PERCENTRANK.INC(FILTER(P:P,$E:$E&lt;&gt;""""),P63)*100,""""))"),"")</f>
        <v/>
      </c>
      <c r="S63" s="15" t="str">
        <f>IFERROR(__xludf.DUMMYFUNCTION("IF($A63="""","""",IFERROR(PERCENTRANK.INC(FILTER(Q:Q,$E:$E&lt;&gt;""""),Q63)*100,""""))"),"")</f>
        <v/>
      </c>
    </row>
    <row r="64">
      <c r="B64" t="str">
        <f t="array" ref="B64">IFERROR(INDEX('Player Raw Data'!C:C,Match($A64,'Player Raw Data'!$B:$B,0)),"")</f>
        <v/>
      </c>
      <c r="C64" t="str">
        <f t="array" ref="C64">IFERROR(INDEX('Player Raw Data'!D:D,Match($A64,'Player Raw Data'!$B:$B,0)),"")</f>
        <v/>
      </c>
      <c r="D64" t="str">
        <f t="array" ref="D64">IFERROR(IF(A64=A63, INDEX('Player Raw Data'!E:E,Match($A64,'Player Raw Data'!$B:$B,0)+2),INDEX('Player Raw Data'!E:E,Match($A64,'Player Raw Data'!$B:$B,0))),"")</f>
        <v/>
      </c>
      <c r="E64" s="27" t="str">
        <f>IFERROR(__xludf.DUMMYFUNCTION("IFERROR(ARRAY_CONSTRAIN(SPLIT(INDEX('Daily Raw Data'!G:G,Match($A64,'Daily Raw Data'!$B:$B,0)),"":""),1,1),"""")"),"")</f>
        <v/>
      </c>
      <c r="F64" t="str">
        <f t="array" ref="F64">IFERROR(INDEX('Daily Raw Data'!H:H,Match($A64,'Daily Raw Data'!$B:$B,0)),"")</f>
        <v/>
      </c>
      <c r="G64" t="str">
        <f t="array" ref="G64">IFERROR(INDEX('Daily Raw Data'!I:I,Match($A64,'Daily Raw Data'!$B:$B,0)),"")</f>
        <v/>
      </c>
      <c r="H64" t="str">
        <f t="array" ref="H64">IFERROR(INDEX('Daily Raw Data'!N:N,Match($A64,'Daily Raw Data'!$B:$B,0)),"")</f>
        <v/>
      </c>
      <c r="I64" t="str">
        <f t="array" ref="I64">IFERROR(INDEX('Daily Raw Data'!O:O,Match($A64,'Daily Raw Data'!$B:$B,0)),"")</f>
        <v/>
      </c>
      <c r="J64" t="str">
        <f t="array" ref="J64">IFERROR(INDEX('Daily Raw Data'!S:S,Match($A64,'Daily Raw Data'!$B:$B,0)),"")</f>
        <v/>
      </c>
      <c r="K64" t="str">
        <f t="array" ref="K64">IFERROR(INDEX('Daily Raw Data'!T:T,Match($A64,'Daily Raw Data'!$B:$B,0)),"")</f>
        <v/>
      </c>
      <c r="L64" t="str">
        <f t="array" ref="L64">IFERROR(INDEX('Daily Raw Data'!U:U,Match($A64,'Daily Raw Data'!$B:$B,0)),"")</f>
        <v/>
      </c>
      <c r="M64" t="str">
        <f t="array" ref="M64">IFERROR(INDEX('Daily Raw Data'!V:V,Match($A64,'Daily Raw Data'!$B:$B,0)),"")</f>
        <v/>
      </c>
      <c r="N64" t="str">
        <f t="array" ref="N64">IFERROR(INDEX('Daily Raw Data'!W:W,Match($A64,'Daily Raw Data'!$B:$B,0)),"")</f>
        <v/>
      </c>
      <c r="O64" t="str">
        <f t="array" ref="O64">IFERROR(INDEX('Daily Raw Data'!Y:Y,Match($A64,'Daily Raw Data'!$B:$B,0)),"")</f>
        <v/>
      </c>
      <c r="P64" t="str">
        <f t="shared" si="1"/>
        <v/>
      </c>
      <c r="Q64" s="14" t="str">
        <f t="shared" si="2"/>
        <v/>
      </c>
      <c r="R64" s="15" t="str">
        <f>IFERROR(__xludf.DUMMYFUNCTION("IF($A64="""","""", IFERROR(PERCENTRANK.INC(FILTER(P:P,$E:$E&lt;&gt;""""),P64)*100,""""))"),"")</f>
        <v/>
      </c>
      <c r="S64" s="15" t="str">
        <f>IFERROR(__xludf.DUMMYFUNCTION("IF($A64="""","""",IFERROR(PERCENTRANK.INC(FILTER(Q:Q,$E:$E&lt;&gt;""""),Q64)*100,""""))"),"")</f>
        <v/>
      </c>
    </row>
    <row r="65">
      <c r="B65" t="str">
        <f t="array" ref="B65">IFERROR(INDEX('Player Raw Data'!C:C,Match($A65,'Player Raw Data'!$B:$B,0)),"")</f>
        <v/>
      </c>
      <c r="C65" t="str">
        <f t="array" ref="C65">IFERROR(INDEX('Player Raw Data'!D:D,Match($A65,'Player Raw Data'!$B:$B,0)),"")</f>
        <v/>
      </c>
      <c r="D65" t="str">
        <f t="array" ref="D65">IFERROR(IF(A65=A64, INDEX('Player Raw Data'!E:E,Match($A65,'Player Raw Data'!$B:$B,0)+2),INDEX('Player Raw Data'!E:E,Match($A65,'Player Raw Data'!$B:$B,0))),"")</f>
        <v/>
      </c>
      <c r="E65" s="27" t="str">
        <f>IFERROR(__xludf.DUMMYFUNCTION("IFERROR(ARRAY_CONSTRAIN(SPLIT(INDEX('Daily Raw Data'!G:G,Match($A65,'Daily Raw Data'!$B:$B,0)),"":""),1,1),"""")"),"")</f>
        <v/>
      </c>
      <c r="F65" t="str">
        <f t="array" ref="F65">IFERROR(INDEX('Daily Raw Data'!H:H,Match($A65,'Daily Raw Data'!$B:$B,0)),"")</f>
        <v/>
      </c>
      <c r="G65" t="str">
        <f t="array" ref="G65">IFERROR(INDEX('Daily Raw Data'!I:I,Match($A65,'Daily Raw Data'!$B:$B,0)),"")</f>
        <v/>
      </c>
      <c r="H65" t="str">
        <f t="array" ref="H65">IFERROR(INDEX('Daily Raw Data'!N:N,Match($A65,'Daily Raw Data'!$B:$B,0)),"")</f>
        <v/>
      </c>
      <c r="I65" t="str">
        <f t="array" ref="I65">IFERROR(INDEX('Daily Raw Data'!O:O,Match($A65,'Daily Raw Data'!$B:$B,0)),"")</f>
        <v/>
      </c>
      <c r="J65" t="str">
        <f t="array" ref="J65">IFERROR(INDEX('Daily Raw Data'!S:S,Match($A65,'Daily Raw Data'!$B:$B,0)),"")</f>
        <v/>
      </c>
      <c r="K65" t="str">
        <f t="array" ref="K65">IFERROR(INDEX('Daily Raw Data'!T:T,Match($A65,'Daily Raw Data'!$B:$B,0)),"")</f>
        <v/>
      </c>
      <c r="L65" t="str">
        <f t="array" ref="L65">IFERROR(INDEX('Daily Raw Data'!U:U,Match($A65,'Daily Raw Data'!$B:$B,0)),"")</f>
        <v/>
      </c>
      <c r="M65" t="str">
        <f t="array" ref="M65">IFERROR(INDEX('Daily Raw Data'!V:V,Match($A65,'Daily Raw Data'!$B:$B,0)),"")</f>
        <v/>
      </c>
      <c r="N65" t="str">
        <f t="array" ref="N65">IFERROR(INDEX('Daily Raw Data'!W:W,Match($A65,'Daily Raw Data'!$B:$B,0)),"")</f>
        <v/>
      </c>
      <c r="O65" t="str">
        <f t="array" ref="O65">IFERROR(INDEX('Daily Raw Data'!Y:Y,Match($A65,'Daily Raw Data'!$B:$B,0)),"")</f>
        <v/>
      </c>
      <c r="P65" t="str">
        <f t="shared" si="1"/>
        <v/>
      </c>
      <c r="Q65" s="14" t="str">
        <f t="shared" si="2"/>
        <v/>
      </c>
      <c r="R65" s="15" t="str">
        <f>IFERROR(__xludf.DUMMYFUNCTION("IF($A65="""","""", IFERROR(PERCENTRANK.INC(FILTER(P:P,$E:$E&lt;&gt;""""),P65)*100,""""))"),"")</f>
        <v/>
      </c>
      <c r="S65" s="15" t="str">
        <f>IFERROR(__xludf.DUMMYFUNCTION("IF($A65="""","""",IFERROR(PERCENTRANK.INC(FILTER(Q:Q,$E:$E&lt;&gt;""""),Q65)*100,""""))"),"")</f>
        <v/>
      </c>
    </row>
    <row r="66">
      <c r="B66" t="str">
        <f t="array" ref="B66">IFERROR(INDEX('Player Raw Data'!C:C,Match($A66,'Player Raw Data'!$B:$B,0)),"")</f>
        <v/>
      </c>
      <c r="C66" t="str">
        <f t="array" ref="C66">IFERROR(INDEX('Player Raw Data'!D:D,Match($A66,'Player Raw Data'!$B:$B,0)),"")</f>
        <v/>
      </c>
      <c r="D66" t="str">
        <f t="array" ref="D66">IFERROR(IF(A66=A65, INDEX('Player Raw Data'!E:E,Match($A66,'Player Raw Data'!$B:$B,0)+2),INDEX('Player Raw Data'!E:E,Match($A66,'Player Raw Data'!$B:$B,0))),"")</f>
        <v/>
      </c>
      <c r="E66" s="27" t="str">
        <f>IFERROR(__xludf.DUMMYFUNCTION("IFERROR(ARRAY_CONSTRAIN(SPLIT(INDEX('Daily Raw Data'!G:G,Match($A66,'Daily Raw Data'!$B:$B,0)),"":""),1,1),"""")"),"")</f>
        <v/>
      </c>
      <c r="F66" t="str">
        <f t="array" ref="F66">IFERROR(INDEX('Daily Raw Data'!H:H,Match($A66,'Daily Raw Data'!$B:$B,0)),"")</f>
        <v/>
      </c>
      <c r="G66" t="str">
        <f t="array" ref="G66">IFERROR(INDEX('Daily Raw Data'!I:I,Match($A66,'Daily Raw Data'!$B:$B,0)),"")</f>
        <v/>
      </c>
      <c r="H66" t="str">
        <f t="array" ref="H66">IFERROR(INDEX('Daily Raw Data'!N:N,Match($A66,'Daily Raw Data'!$B:$B,0)),"")</f>
        <v/>
      </c>
      <c r="I66" t="str">
        <f t="array" ref="I66">IFERROR(INDEX('Daily Raw Data'!O:O,Match($A66,'Daily Raw Data'!$B:$B,0)),"")</f>
        <v/>
      </c>
      <c r="J66" t="str">
        <f t="array" ref="J66">IFERROR(INDEX('Daily Raw Data'!S:S,Match($A66,'Daily Raw Data'!$B:$B,0)),"")</f>
        <v/>
      </c>
      <c r="K66" t="str">
        <f t="array" ref="K66">IFERROR(INDEX('Daily Raw Data'!T:T,Match($A66,'Daily Raw Data'!$B:$B,0)),"")</f>
        <v/>
      </c>
      <c r="L66" t="str">
        <f t="array" ref="L66">IFERROR(INDEX('Daily Raw Data'!U:U,Match($A66,'Daily Raw Data'!$B:$B,0)),"")</f>
        <v/>
      </c>
      <c r="M66" t="str">
        <f t="array" ref="M66">IFERROR(INDEX('Daily Raw Data'!V:V,Match($A66,'Daily Raw Data'!$B:$B,0)),"")</f>
        <v/>
      </c>
      <c r="N66" t="str">
        <f t="array" ref="N66">IFERROR(INDEX('Daily Raw Data'!W:W,Match($A66,'Daily Raw Data'!$B:$B,0)),"")</f>
        <v/>
      </c>
      <c r="O66" t="str">
        <f t="array" ref="O66">IFERROR(INDEX('Daily Raw Data'!Y:Y,Match($A66,'Daily Raw Data'!$B:$B,0)),"")</f>
        <v/>
      </c>
      <c r="P66" t="str">
        <f t="shared" si="1"/>
        <v/>
      </c>
      <c r="Q66" s="14" t="str">
        <f t="shared" si="2"/>
        <v/>
      </c>
      <c r="R66" s="15" t="str">
        <f>IFERROR(__xludf.DUMMYFUNCTION("IF($A66="""","""", IFERROR(PERCENTRANK.INC(FILTER(P:P,$E:$E&lt;&gt;""""),P66)*100,""""))"),"")</f>
        <v/>
      </c>
      <c r="S66" s="15" t="str">
        <f>IFERROR(__xludf.DUMMYFUNCTION("IF($A66="""","""",IFERROR(PERCENTRANK.INC(FILTER(Q:Q,$E:$E&lt;&gt;""""),Q66)*100,""""))"),"")</f>
        <v/>
      </c>
    </row>
    <row r="67">
      <c r="B67" t="str">
        <f t="array" ref="B67">IFERROR(INDEX('Player Raw Data'!C:C,Match($A67,'Player Raw Data'!$B:$B,0)),"")</f>
        <v/>
      </c>
      <c r="C67" t="str">
        <f t="array" ref="C67">IFERROR(INDEX('Player Raw Data'!D:D,Match($A67,'Player Raw Data'!$B:$B,0)),"")</f>
        <v/>
      </c>
      <c r="D67" t="str">
        <f t="array" ref="D67">IFERROR(IF(A67=A66, INDEX('Player Raw Data'!E:E,Match($A67,'Player Raw Data'!$B:$B,0)+2),INDEX('Player Raw Data'!E:E,Match($A67,'Player Raw Data'!$B:$B,0))),"")</f>
        <v/>
      </c>
      <c r="E67" s="27" t="str">
        <f>IFERROR(__xludf.DUMMYFUNCTION("IFERROR(ARRAY_CONSTRAIN(SPLIT(INDEX('Daily Raw Data'!G:G,Match($A67,'Daily Raw Data'!$B:$B,0)),"":""),1,1),"""")"),"")</f>
        <v/>
      </c>
      <c r="F67" t="str">
        <f t="array" ref="F67">IFERROR(INDEX('Daily Raw Data'!H:H,Match($A67,'Daily Raw Data'!$B:$B,0)),"")</f>
        <v/>
      </c>
      <c r="G67" t="str">
        <f t="array" ref="G67">IFERROR(INDEX('Daily Raw Data'!I:I,Match($A67,'Daily Raw Data'!$B:$B,0)),"")</f>
        <v/>
      </c>
      <c r="H67" t="str">
        <f t="array" ref="H67">IFERROR(INDEX('Daily Raw Data'!N:N,Match($A67,'Daily Raw Data'!$B:$B,0)),"")</f>
        <v/>
      </c>
      <c r="I67" t="str">
        <f t="array" ref="I67">IFERROR(INDEX('Daily Raw Data'!O:O,Match($A67,'Daily Raw Data'!$B:$B,0)),"")</f>
        <v/>
      </c>
      <c r="J67" t="str">
        <f t="array" ref="J67">IFERROR(INDEX('Daily Raw Data'!S:S,Match($A67,'Daily Raw Data'!$B:$B,0)),"")</f>
        <v/>
      </c>
      <c r="K67" t="str">
        <f t="array" ref="K67">IFERROR(INDEX('Daily Raw Data'!T:T,Match($A67,'Daily Raw Data'!$B:$B,0)),"")</f>
        <v/>
      </c>
      <c r="L67" t="str">
        <f t="array" ref="L67">IFERROR(INDEX('Daily Raw Data'!U:U,Match($A67,'Daily Raw Data'!$B:$B,0)),"")</f>
        <v/>
      </c>
      <c r="M67" t="str">
        <f t="array" ref="M67">IFERROR(INDEX('Daily Raw Data'!V:V,Match($A67,'Daily Raw Data'!$B:$B,0)),"")</f>
        <v/>
      </c>
      <c r="N67" t="str">
        <f t="array" ref="N67">IFERROR(INDEX('Daily Raw Data'!W:W,Match($A67,'Daily Raw Data'!$B:$B,0)),"")</f>
        <v/>
      </c>
      <c r="O67" t="str">
        <f t="array" ref="O67">IFERROR(INDEX('Daily Raw Data'!Y:Y,Match($A67,'Daily Raw Data'!$B:$B,0)),"")</f>
        <v/>
      </c>
      <c r="P67" t="str">
        <f t="shared" si="1"/>
        <v/>
      </c>
      <c r="Q67" s="14" t="str">
        <f t="shared" si="2"/>
        <v/>
      </c>
      <c r="R67" s="15" t="str">
        <f>IFERROR(__xludf.DUMMYFUNCTION("IF($A67="""","""", IFERROR(PERCENTRANK.INC(FILTER(P:P,$E:$E&lt;&gt;""""),P67)*100,""""))"),"")</f>
        <v/>
      </c>
      <c r="S67" s="15" t="str">
        <f>IFERROR(__xludf.DUMMYFUNCTION("IF($A67="""","""",IFERROR(PERCENTRANK.INC(FILTER(Q:Q,$E:$E&lt;&gt;""""),Q67)*100,""""))"),"")</f>
        <v/>
      </c>
    </row>
    <row r="68">
      <c r="B68" t="str">
        <f t="array" ref="B68">IFERROR(INDEX('Player Raw Data'!C:C,Match($A68,'Player Raw Data'!$B:$B,0)),"")</f>
        <v/>
      </c>
      <c r="C68" t="str">
        <f t="array" ref="C68">IFERROR(INDEX('Player Raw Data'!D:D,Match($A68,'Player Raw Data'!$B:$B,0)),"")</f>
        <v/>
      </c>
      <c r="D68" t="str">
        <f t="array" ref="D68">IFERROR(IF(A68=A67, INDEX('Player Raw Data'!E:E,Match($A68,'Player Raw Data'!$B:$B,0)+2),INDEX('Player Raw Data'!E:E,Match($A68,'Player Raw Data'!$B:$B,0))),"")</f>
        <v/>
      </c>
      <c r="E68" s="27" t="str">
        <f>IFERROR(__xludf.DUMMYFUNCTION("IFERROR(ARRAY_CONSTRAIN(SPLIT(INDEX('Daily Raw Data'!G:G,Match($A68,'Daily Raw Data'!$B:$B,0)),"":""),1,1),"""")"),"")</f>
        <v/>
      </c>
      <c r="F68" t="str">
        <f t="array" ref="F68">IFERROR(INDEX('Daily Raw Data'!H:H,Match($A68,'Daily Raw Data'!$B:$B,0)),"")</f>
        <v/>
      </c>
      <c r="G68" t="str">
        <f t="array" ref="G68">IFERROR(INDEX('Daily Raw Data'!I:I,Match($A68,'Daily Raw Data'!$B:$B,0)),"")</f>
        <v/>
      </c>
      <c r="H68" t="str">
        <f t="array" ref="H68">IFERROR(INDEX('Daily Raw Data'!N:N,Match($A68,'Daily Raw Data'!$B:$B,0)),"")</f>
        <v/>
      </c>
      <c r="I68" t="str">
        <f t="array" ref="I68">IFERROR(INDEX('Daily Raw Data'!O:O,Match($A68,'Daily Raw Data'!$B:$B,0)),"")</f>
        <v/>
      </c>
      <c r="J68" t="str">
        <f t="array" ref="J68">IFERROR(INDEX('Daily Raw Data'!S:S,Match($A68,'Daily Raw Data'!$B:$B,0)),"")</f>
        <v/>
      </c>
      <c r="K68" t="str">
        <f t="array" ref="K68">IFERROR(INDEX('Daily Raw Data'!T:T,Match($A68,'Daily Raw Data'!$B:$B,0)),"")</f>
        <v/>
      </c>
      <c r="L68" t="str">
        <f t="array" ref="L68">IFERROR(INDEX('Daily Raw Data'!U:U,Match($A68,'Daily Raw Data'!$B:$B,0)),"")</f>
        <v/>
      </c>
      <c r="M68" t="str">
        <f t="array" ref="M68">IFERROR(INDEX('Daily Raw Data'!V:V,Match($A68,'Daily Raw Data'!$B:$B,0)),"")</f>
        <v/>
      </c>
      <c r="N68" t="str">
        <f t="array" ref="N68">IFERROR(INDEX('Daily Raw Data'!W:W,Match($A68,'Daily Raw Data'!$B:$B,0)),"")</f>
        <v/>
      </c>
      <c r="O68" t="str">
        <f t="array" ref="O68">IFERROR(INDEX('Daily Raw Data'!Y:Y,Match($A68,'Daily Raw Data'!$B:$B,0)),"")</f>
        <v/>
      </c>
      <c r="P68" t="str">
        <f t="shared" si="1"/>
        <v/>
      </c>
      <c r="Q68" s="14" t="str">
        <f t="shared" si="2"/>
        <v/>
      </c>
      <c r="R68" s="15" t="str">
        <f>IFERROR(__xludf.DUMMYFUNCTION("IF($A68="""","""", IFERROR(PERCENTRANK.INC(FILTER(P:P,$E:$E&lt;&gt;""""),P68)*100,""""))"),"")</f>
        <v/>
      </c>
      <c r="S68" s="15" t="str">
        <f>IFERROR(__xludf.DUMMYFUNCTION("IF($A68="""","""",IFERROR(PERCENTRANK.INC(FILTER(Q:Q,$E:$E&lt;&gt;""""),Q68)*100,""""))"),"")</f>
        <v/>
      </c>
    </row>
    <row r="69">
      <c r="B69" t="str">
        <f t="array" ref="B69">IFERROR(INDEX('Player Raw Data'!C:C,Match($A69,'Player Raw Data'!$B:$B,0)),"")</f>
        <v/>
      </c>
      <c r="C69" t="str">
        <f t="array" ref="C69">IFERROR(INDEX('Player Raw Data'!D:D,Match($A69,'Player Raw Data'!$B:$B,0)),"")</f>
        <v/>
      </c>
      <c r="D69" t="str">
        <f t="array" ref="D69">IFERROR(IF(A69=A68, INDEX('Player Raw Data'!E:E,Match($A69,'Player Raw Data'!$B:$B,0)+2),INDEX('Player Raw Data'!E:E,Match($A69,'Player Raw Data'!$B:$B,0))),"")</f>
        <v/>
      </c>
      <c r="E69" s="27" t="str">
        <f>IFERROR(__xludf.DUMMYFUNCTION("IFERROR(ARRAY_CONSTRAIN(SPLIT(INDEX('Daily Raw Data'!G:G,Match($A69,'Daily Raw Data'!$B:$B,0)),"":""),1,1),"""")"),"")</f>
        <v/>
      </c>
      <c r="F69" t="str">
        <f t="array" ref="F69">IFERROR(INDEX('Daily Raw Data'!H:H,Match($A69,'Daily Raw Data'!$B:$B,0)),"")</f>
        <v/>
      </c>
      <c r="G69" t="str">
        <f t="array" ref="G69">IFERROR(INDEX('Daily Raw Data'!I:I,Match($A69,'Daily Raw Data'!$B:$B,0)),"")</f>
        <v/>
      </c>
      <c r="H69" t="str">
        <f t="array" ref="H69">IFERROR(INDEX('Daily Raw Data'!N:N,Match($A69,'Daily Raw Data'!$B:$B,0)),"")</f>
        <v/>
      </c>
      <c r="I69" t="str">
        <f t="array" ref="I69">IFERROR(INDEX('Daily Raw Data'!O:O,Match($A69,'Daily Raw Data'!$B:$B,0)),"")</f>
        <v/>
      </c>
      <c r="J69" t="str">
        <f t="array" ref="J69">IFERROR(INDEX('Daily Raw Data'!S:S,Match($A69,'Daily Raw Data'!$B:$B,0)),"")</f>
        <v/>
      </c>
      <c r="K69" t="str">
        <f t="array" ref="K69">IFERROR(INDEX('Daily Raw Data'!T:T,Match($A69,'Daily Raw Data'!$B:$B,0)),"")</f>
        <v/>
      </c>
      <c r="L69" t="str">
        <f t="array" ref="L69">IFERROR(INDEX('Daily Raw Data'!U:U,Match($A69,'Daily Raw Data'!$B:$B,0)),"")</f>
        <v/>
      </c>
      <c r="M69" t="str">
        <f t="array" ref="M69">IFERROR(INDEX('Daily Raw Data'!V:V,Match($A69,'Daily Raw Data'!$B:$B,0)),"")</f>
        <v/>
      </c>
      <c r="N69" t="str">
        <f t="array" ref="N69">IFERROR(INDEX('Daily Raw Data'!W:W,Match($A69,'Daily Raw Data'!$B:$B,0)),"")</f>
        <v/>
      </c>
      <c r="O69" t="str">
        <f t="array" ref="O69">IFERROR(INDEX('Daily Raw Data'!Y:Y,Match($A69,'Daily Raw Data'!$B:$B,0)),"")</f>
        <v/>
      </c>
      <c r="P69" t="str">
        <f t="shared" si="1"/>
        <v/>
      </c>
      <c r="Q69" s="14" t="str">
        <f t="shared" si="2"/>
        <v/>
      </c>
      <c r="R69" s="15" t="str">
        <f>IFERROR(__xludf.DUMMYFUNCTION("IF($A69="""","""", IFERROR(PERCENTRANK.INC(FILTER(P:P,$E:$E&lt;&gt;""""),P69)*100,""""))"),"")</f>
        <v/>
      </c>
      <c r="S69" s="15" t="str">
        <f>IFERROR(__xludf.DUMMYFUNCTION("IF($A69="""","""",IFERROR(PERCENTRANK.INC(FILTER(Q:Q,$E:$E&lt;&gt;""""),Q69)*100,""""))"),"")</f>
        <v/>
      </c>
    </row>
    <row r="70">
      <c r="B70" t="str">
        <f t="array" ref="B70">IFERROR(INDEX('Player Raw Data'!C:C,Match($A70,'Player Raw Data'!$B:$B,0)),"")</f>
        <v/>
      </c>
      <c r="C70" t="str">
        <f t="array" ref="C70">IFERROR(INDEX('Player Raw Data'!D:D,Match($A70,'Player Raw Data'!$B:$B,0)),"")</f>
        <v/>
      </c>
      <c r="D70" t="str">
        <f t="array" ref="D70">IFERROR(IF(A70=A69, INDEX('Player Raw Data'!E:E,Match($A70,'Player Raw Data'!$B:$B,0)+2),INDEX('Player Raw Data'!E:E,Match($A70,'Player Raw Data'!$B:$B,0))),"")</f>
        <v/>
      </c>
      <c r="E70" s="27" t="str">
        <f>IFERROR(__xludf.DUMMYFUNCTION("IFERROR(ARRAY_CONSTRAIN(SPLIT(INDEX('Daily Raw Data'!G:G,Match($A70,'Daily Raw Data'!$B:$B,0)),"":""),1,1),"""")"),"")</f>
        <v/>
      </c>
      <c r="F70" t="str">
        <f t="array" ref="F70">IFERROR(INDEX('Daily Raw Data'!H:H,Match($A70,'Daily Raw Data'!$B:$B,0)),"")</f>
        <v/>
      </c>
      <c r="G70" t="str">
        <f t="array" ref="G70">IFERROR(INDEX('Daily Raw Data'!I:I,Match($A70,'Daily Raw Data'!$B:$B,0)),"")</f>
        <v/>
      </c>
      <c r="H70" t="str">
        <f t="array" ref="H70">IFERROR(INDEX('Daily Raw Data'!N:N,Match($A70,'Daily Raw Data'!$B:$B,0)),"")</f>
        <v/>
      </c>
      <c r="I70" t="str">
        <f t="array" ref="I70">IFERROR(INDEX('Daily Raw Data'!O:O,Match($A70,'Daily Raw Data'!$B:$B,0)),"")</f>
        <v/>
      </c>
      <c r="J70" t="str">
        <f t="array" ref="J70">IFERROR(INDEX('Daily Raw Data'!S:S,Match($A70,'Daily Raw Data'!$B:$B,0)),"")</f>
        <v/>
      </c>
      <c r="K70" t="str">
        <f t="array" ref="K70">IFERROR(INDEX('Daily Raw Data'!T:T,Match($A70,'Daily Raw Data'!$B:$B,0)),"")</f>
        <v/>
      </c>
      <c r="L70" t="str">
        <f t="array" ref="L70">IFERROR(INDEX('Daily Raw Data'!U:U,Match($A70,'Daily Raw Data'!$B:$B,0)),"")</f>
        <v/>
      </c>
      <c r="M70" t="str">
        <f t="array" ref="M70">IFERROR(INDEX('Daily Raw Data'!V:V,Match($A70,'Daily Raw Data'!$B:$B,0)),"")</f>
        <v/>
      </c>
      <c r="N70" t="str">
        <f t="array" ref="N70">IFERROR(INDEX('Daily Raw Data'!W:W,Match($A70,'Daily Raw Data'!$B:$B,0)),"")</f>
        <v/>
      </c>
      <c r="O70" t="str">
        <f t="array" ref="O70">IFERROR(INDEX('Daily Raw Data'!Y:Y,Match($A70,'Daily Raw Data'!$B:$B,0)),"")</f>
        <v/>
      </c>
      <c r="P70" t="str">
        <f t="shared" si="1"/>
        <v/>
      </c>
      <c r="Q70" s="14" t="str">
        <f t="shared" si="2"/>
        <v/>
      </c>
      <c r="R70" s="15" t="str">
        <f>IFERROR(__xludf.DUMMYFUNCTION("IF($A70="""","""", IFERROR(PERCENTRANK.INC(FILTER(P:P,$E:$E&lt;&gt;""""),P70)*100,""""))"),"")</f>
        <v/>
      </c>
      <c r="S70" s="15" t="str">
        <f>IFERROR(__xludf.DUMMYFUNCTION("IF($A70="""","""",IFERROR(PERCENTRANK.INC(FILTER(Q:Q,$E:$E&lt;&gt;""""),Q70)*100,""""))"),"")</f>
        <v/>
      </c>
    </row>
    <row r="71">
      <c r="B71" t="str">
        <f t="array" ref="B71">IFERROR(INDEX('Player Raw Data'!C:C,Match($A71,'Player Raw Data'!$B:$B,0)),"")</f>
        <v/>
      </c>
      <c r="C71" t="str">
        <f t="array" ref="C71">IFERROR(INDEX('Player Raw Data'!D:D,Match($A71,'Player Raw Data'!$B:$B,0)),"")</f>
        <v/>
      </c>
      <c r="D71" t="str">
        <f t="array" ref="D71">IFERROR(IF(A71=A70, INDEX('Player Raw Data'!E:E,Match($A71,'Player Raw Data'!$B:$B,0)+2),INDEX('Player Raw Data'!E:E,Match($A71,'Player Raw Data'!$B:$B,0))),"")</f>
        <v/>
      </c>
      <c r="E71" s="27" t="str">
        <f>IFERROR(__xludf.DUMMYFUNCTION("IFERROR(ARRAY_CONSTRAIN(SPLIT(INDEX('Daily Raw Data'!G:G,Match($A71,'Daily Raw Data'!$B:$B,0)),"":""),1,1),"""")"),"")</f>
        <v/>
      </c>
      <c r="F71" t="str">
        <f t="array" ref="F71">IFERROR(INDEX('Daily Raw Data'!H:H,Match($A71,'Daily Raw Data'!$B:$B,0)),"")</f>
        <v/>
      </c>
      <c r="G71" t="str">
        <f t="array" ref="G71">IFERROR(INDEX('Daily Raw Data'!I:I,Match($A71,'Daily Raw Data'!$B:$B,0)),"")</f>
        <v/>
      </c>
      <c r="H71" t="str">
        <f t="array" ref="H71">IFERROR(INDEX('Daily Raw Data'!N:N,Match($A71,'Daily Raw Data'!$B:$B,0)),"")</f>
        <v/>
      </c>
      <c r="I71" t="str">
        <f t="array" ref="I71">IFERROR(INDEX('Daily Raw Data'!O:O,Match($A71,'Daily Raw Data'!$B:$B,0)),"")</f>
        <v/>
      </c>
      <c r="J71" t="str">
        <f t="array" ref="J71">IFERROR(INDEX('Daily Raw Data'!S:S,Match($A71,'Daily Raw Data'!$B:$B,0)),"")</f>
        <v/>
      </c>
      <c r="K71" t="str">
        <f t="array" ref="K71">IFERROR(INDEX('Daily Raw Data'!T:T,Match($A71,'Daily Raw Data'!$B:$B,0)),"")</f>
        <v/>
      </c>
      <c r="L71" t="str">
        <f t="array" ref="L71">IFERROR(INDEX('Daily Raw Data'!U:U,Match($A71,'Daily Raw Data'!$B:$B,0)),"")</f>
        <v/>
      </c>
      <c r="M71" t="str">
        <f t="array" ref="M71">IFERROR(INDEX('Daily Raw Data'!V:V,Match($A71,'Daily Raw Data'!$B:$B,0)),"")</f>
        <v/>
      </c>
      <c r="N71" t="str">
        <f t="array" ref="N71">IFERROR(INDEX('Daily Raw Data'!W:W,Match($A71,'Daily Raw Data'!$B:$B,0)),"")</f>
        <v/>
      </c>
      <c r="O71" t="str">
        <f t="array" ref="O71">IFERROR(INDEX('Daily Raw Data'!Y:Y,Match($A71,'Daily Raw Data'!$B:$B,0)),"")</f>
        <v/>
      </c>
      <c r="P71" t="str">
        <f t="shared" si="1"/>
        <v/>
      </c>
      <c r="Q71" s="14" t="str">
        <f t="shared" si="2"/>
        <v/>
      </c>
      <c r="R71" s="15" t="str">
        <f>IFERROR(__xludf.DUMMYFUNCTION("IF($A71="""","""", IFERROR(PERCENTRANK.INC(FILTER(P:P,$E:$E&lt;&gt;""""),P71)*100,""""))"),"")</f>
        <v/>
      </c>
      <c r="S71" s="15" t="str">
        <f>IFERROR(__xludf.DUMMYFUNCTION("IF($A71="""","""",IFERROR(PERCENTRANK.INC(FILTER(Q:Q,$E:$E&lt;&gt;""""),Q71)*100,""""))"),"")</f>
        <v/>
      </c>
    </row>
    <row r="72">
      <c r="B72" t="str">
        <f t="array" ref="B72">IFERROR(INDEX('Player Raw Data'!C:C,Match($A72,'Player Raw Data'!$B:$B,0)),"")</f>
        <v/>
      </c>
      <c r="C72" t="str">
        <f t="array" ref="C72">IFERROR(INDEX('Player Raw Data'!D:D,Match($A72,'Player Raw Data'!$B:$B,0)),"")</f>
        <v/>
      </c>
      <c r="D72" t="str">
        <f t="array" ref="D72">IFERROR(IF(A72=A71, INDEX('Player Raw Data'!E:E,Match($A72,'Player Raw Data'!$B:$B,0)+2),INDEX('Player Raw Data'!E:E,Match($A72,'Player Raw Data'!$B:$B,0))),"")</f>
        <v/>
      </c>
      <c r="E72" s="27" t="str">
        <f>IFERROR(__xludf.DUMMYFUNCTION("IFERROR(ARRAY_CONSTRAIN(SPLIT(INDEX('Daily Raw Data'!G:G,Match($A72,'Daily Raw Data'!$B:$B,0)),"":""),1,1),"""")"),"")</f>
        <v/>
      </c>
      <c r="F72" t="str">
        <f t="array" ref="F72">IFERROR(INDEX('Daily Raw Data'!H:H,Match($A72,'Daily Raw Data'!$B:$B,0)),"")</f>
        <v/>
      </c>
      <c r="G72" t="str">
        <f t="array" ref="G72">IFERROR(INDEX('Daily Raw Data'!I:I,Match($A72,'Daily Raw Data'!$B:$B,0)),"")</f>
        <v/>
      </c>
      <c r="H72" t="str">
        <f t="array" ref="H72">IFERROR(INDEX('Daily Raw Data'!N:N,Match($A72,'Daily Raw Data'!$B:$B,0)),"")</f>
        <v/>
      </c>
      <c r="I72" t="str">
        <f t="array" ref="I72">IFERROR(INDEX('Daily Raw Data'!O:O,Match($A72,'Daily Raw Data'!$B:$B,0)),"")</f>
        <v/>
      </c>
      <c r="J72" t="str">
        <f t="array" ref="J72">IFERROR(INDEX('Daily Raw Data'!S:S,Match($A72,'Daily Raw Data'!$B:$B,0)),"")</f>
        <v/>
      </c>
      <c r="K72" t="str">
        <f t="array" ref="K72">IFERROR(INDEX('Daily Raw Data'!T:T,Match($A72,'Daily Raw Data'!$B:$B,0)),"")</f>
        <v/>
      </c>
      <c r="L72" t="str">
        <f t="array" ref="L72">IFERROR(INDEX('Daily Raw Data'!U:U,Match($A72,'Daily Raw Data'!$B:$B,0)),"")</f>
        <v/>
      </c>
      <c r="M72" t="str">
        <f t="array" ref="M72">IFERROR(INDEX('Daily Raw Data'!V:V,Match($A72,'Daily Raw Data'!$B:$B,0)),"")</f>
        <v/>
      </c>
      <c r="N72" t="str">
        <f t="array" ref="N72">IFERROR(INDEX('Daily Raw Data'!W:W,Match($A72,'Daily Raw Data'!$B:$B,0)),"")</f>
        <v/>
      </c>
      <c r="O72" t="str">
        <f t="array" ref="O72">IFERROR(INDEX('Daily Raw Data'!Y:Y,Match($A72,'Daily Raw Data'!$B:$B,0)),"")</f>
        <v/>
      </c>
      <c r="P72" t="str">
        <f t="shared" si="1"/>
        <v/>
      </c>
      <c r="Q72" s="14" t="str">
        <f t="shared" si="2"/>
        <v/>
      </c>
      <c r="R72" s="15" t="str">
        <f>IFERROR(__xludf.DUMMYFUNCTION("IF($A72="""","""", IFERROR(PERCENTRANK.INC(FILTER(P:P,$E:$E&lt;&gt;""""),P72)*100,""""))"),"")</f>
        <v/>
      </c>
      <c r="S72" s="15" t="str">
        <f>IFERROR(__xludf.DUMMYFUNCTION("IF($A72="""","""",IFERROR(PERCENTRANK.INC(FILTER(Q:Q,$E:$E&lt;&gt;""""),Q72)*100,""""))"),"")</f>
        <v/>
      </c>
    </row>
    <row r="73">
      <c r="B73" t="str">
        <f t="array" ref="B73">IFERROR(INDEX('Player Raw Data'!C:C,Match($A73,'Player Raw Data'!$B:$B,0)),"")</f>
        <v/>
      </c>
      <c r="C73" t="str">
        <f t="array" ref="C73">IFERROR(INDEX('Player Raw Data'!D:D,Match($A73,'Player Raw Data'!$B:$B,0)),"")</f>
        <v/>
      </c>
      <c r="D73" t="str">
        <f t="array" ref="D73">IFERROR(IF(A73=A72, INDEX('Player Raw Data'!E:E,Match($A73,'Player Raw Data'!$B:$B,0)+2),INDEX('Player Raw Data'!E:E,Match($A73,'Player Raw Data'!$B:$B,0))),"")</f>
        <v/>
      </c>
      <c r="E73" s="27" t="str">
        <f>IFERROR(__xludf.DUMMYFUNCTION("IFERROR(ARRAY_CONSTRAIN(SPLIT(INDEX('Daily Raw Data'!G:G,Match($A73,'Daily Raw Data'!$B:$B,0)),"":""),1,1),"""")"),"")</f>
        <v/>
      </c>
      <c r="F73" t="str">
        <f t="array" ref="F73">IFERROR(INDEX('Daily Raw Data'!H:H,Match($A73,'Daily Raw Data'!$B:$B,0)),"")</f>
        <v/>
      </c>
      <c r="G73" t="str">
        <f t="array" ref="G73">IFERROR(INDEX('Daily Raw Data'!I:I,Match($A73,'Daily Raw Data'!$B:$B,0)),"")</f>
        <v/>
      </c>
      <c r="H73" t="str">
        <f t="array" ref="H73">IFERROR(INDEX('Daily Raw Data'!N:N,Match($A73,'Daily Raw Data'!$B:$B,0)),"")</f>
        <v/>
      </c>
      <c r="I73" t="str">
        <f t="array" ref="I73">IFERROR(INDEX('Daily Raw Data'!O:O,Match($A73,'Daily Raw Data'!$B:$B,0)),"")</f>
        <v/>
      </c>
      <c r="J73" t="str">
        <f t="array" ref="J73">IFERROR(INDEX('Daily Raw Data'!S:S,Match($A73,'Daily Raw Data'!$B:$B,0)),"")</f>
        <v/>
      </c>
      <c r="K73" t="str">
        <f t="array" ref="K73">IFERROR(INDEX('Daily Raw Data'!T:T,Match($A73,'Daily Raw Data'!$B:$B,0)),"")</f>
        <v/>
      </c>
      <c r="L73" t="str">
        <f t="array" ref="L73">IFERROR(INDEX('Daily Raw Data'!U:U,Match($A73,'Daily Raw Data'!$B:$B,0)),"")</f>
        <v/>
      </c>
      <c r="M73" t="str">
        <f t="array" ref="M73">IFERROR(INDEX('Daily Raw Data'!V:V,Match($A73,'Daily Raw Data'!$B:$B,0)),"")</f>
        <v/>
      </c>
      <c r="N73" t="str">
        <f t="array" ref="N73">IFERROR(INDEX('Daily Raw Data'!W:W,Match($A73,'Daily Raw Data'!$B:$B,0)),"")</f>
        <v/>
      </c>
      <c r="O73" t="str">
        <f t="array" ref="O73">IFERROR(INDEX('Daily Raw Data'!Y:Y,Match($A73,'Daily Raw Data'!$B:$B,0)),"")</f>
        <v/>
      </c>
      <c r="P73" t="str">
        <f t="shared" si="1"/>
        <v/>
      </c>
      <c r="Q73" s="14" t="str">
        <f t="shared" si="2"/>
        <v/>
      </c>
      <c r="R73" s="15" t="str">
        <f>IFERROR(__xludf.DUMMYFUNCTION("IF($A73="""","""", IFERROR(PERCENTRANK.INC(FILTER(P:P,$E:$E&lt;&gt;""""),P73)*100,""""))"),"")</f>
        <v/>
      </c>
      <c r="S73" s="15" t="str">
        <f>IFERROR(__xludf.DUMMYFUNCTION("IF($A73="""","""",IFERROR(PERCENTRANK.INC(FILTER(Q:Q,$E:$E&lt;&gt;""""),Q73)*100,""""))"),"")</f>
        <v/>
      </c>
    </row>
    <row r="74">
      <c r="B74" t="str">
        <f t="array" ref="B74">IFERROR(INDEX('Player Raw Data'!C:C,Match($A74,'Player Raw Data'!$B:$B,0)),"")</f>
        <v/>
      </c>
      <c r="C74" t="str">
        <f t="array" ref="C74">IFERROR(INDEX('Player Raw Data'!D:D,Match($A74,'Player Raw Data'!$B:$B,0)),"")</f>
        <v/>
      </c>
      <c r="D74" t="str">
        <f t="array" ref="D74">IFERROR(IF(A74=A73, INDEX('Player Raw Data'!E:E,Match($A74,'Player Raw Data'!$B:$B,0)+2),INDEX('Player Raw Data'!E:E,Match($A74,'Player Raw Data'!$B:$B,0))),"")</f>
        <v/>
      </c>
      <c r="E74" s="27" t="str">
        <f>IFERROR(__xludf.DUMMYFUNCTION("IFERROR(ARRAY_CONSTRAIN(SPLIT(INDEX('Daily Raw Data'!G:G,Match($A74,'Daily Raw Data'!$B:$B,0)),"":""),1,1),"""")"),"")</f>
        <v/>
      </c>
      <c r="F74" t="str">
        <f t="array" ref="F74">IFERROR(INDEX('Daily Raw Data'!H:H,Match($A74,'Daily Raw Data'!$B:$B,0)),"")</f>
        <v/>
      </c>
      <c r="G74" t="str">
        <f t="array" ref="G74">IFERROR(INDEX('Daily Raw Data'!I:I,Match($A74,'Daily Raw Data'!$B:$B,0)),"")</f>
        <v/>
      </c>
      <c r="H74" t="str">
        <f t="array" ref="H74">IFERROR(INDEX('Daily Raw Data'!N:N,Match($A74,'Daily Raw Data'!$B:$B,0)),"")</f>
        <v/>
      </c>
      <c r="I74" t="str">
        <f t="array" ref="I74">IFERROR(INDEX('Daily Raw Data'!O:O,Match($A74,'Daily Raw Data'!$B:$B,0)),"")</f>
        <v/>
      </c>
      <c r="J74" t="str">
        <f t="array" ref="J74">IFERROR(INDEX('Daily Raw Data'!S:S,Match($A74,'Daily Raw Data'!$B:$B,0)),"")</f>
        <v/>
      </c>
      <c r="K74" t="str">
        <f t="array" ref="K74">IFERROR(INDEX('Daily Raw Data'!T:T,Match($A74,'Daily Raw Data'!$B:$B,0)),"")</f>
        <v/>
      </c>
      <c r="L74" t="str">
        <f t="array" ref="L74">IFERROR(INDEX('Daily Raw Data'!U:U,Match($A74,'Daily Raw Data'!$B:$B,0)),"")</f>
        <v/>
      </c>
      <c r="M74" t="str">
        <f t="array" ref="M74">IFERROR(INDEX('Daily Raw Data'!V:V,Match($A74,'Daily Raw Data'!$B:$B,0)),"")</f>
        <v/>
      </c>
      <c r="N74" t="str">
        <f t="array" ref="N74">IFERROR(INDEX('Daily Raw Data'!W:W,Match($A74,'Daily Raw Data'!$B:$B,0)),"")</f>
        <v/>
      </c>
      <c r="O74" t="str">
        <f t="array" ref="O74">IFERROR(INDEX('Daily Raw Data'!Y:Y,Match($A74,'Daily Raw Data'!$B:$B,0)),"")</f>
        <v/>
      </c>
      <c r="P74" t="str">
        <f t="shared" si="1"/>
        <v/>
      </c>
      <c r="Q74" s="14" t="str">
        <f t="shared" si="2"/>
        <v/>
      </c>
      <c r="R74" s="15" t="str">
        <f>IFERROR(__xludf.DUMMYFUNCTION("IF($A74="""","""", IFERROR(PERCENTRANK.INC(FILTER(P:P,$E:$E&lt;&gt;""""),P74)*100,""""))"),"")</f>
        <v/>
      </c>
      <c r="S74" s="15" t="str">
        <f>IFERROR(__xludf.DUMMYFUNCTION("IF($A74="""","""",IFERROR(PERCENTRANK.INC(FILTER(Q:Q,$E:$E&lt;&gt;""""),Q74)*100,""""))"),"")</f>
        <v/>
      </c>
    </row>
    <row r="75">
      <c r="B75" t="str">
        <f t="array" ref="B75">IFERROR(INDEX('Player Raw Data'!C:C,Match($A75,'Player Raw Data'!$B:$B,0)),"")</f>
        <v/>
      </c>
      <c r="C75" t="str">
        <f t="array" ref="C75">IFERROR(INDEX('Player Raw Data'!D:D,Match($A75,'Player Raw Data'!$B:$B,0)),"")</f>
        <v/>
      </c>
      <c r="D75" t="str">
        <f t="array" ref="D75">IFERROR(IF(A75=A74, INDEX('Player Raw Data'!E:E,Match($A75,'Player Raw Data'!$B:$B,0)+2),INDEX('Player Raw Data'!E:E,Match($A75,'Player Raw Data'!$B:$B,0))),"")</f>
        <v/>
      </c>
      <c r="E75" s="27" t="str">
        <f>IFERROR(__xludf.DUMMYFUNCTION("IFERROR(ARRAY_CONSTRAIN(SPLIT(INDEX('Daily Raw Data'!G:G,Match($A75,'Daily Raw Data'!$B:$B,0)),"":""),1,1),"""")"),"")</f>
        <v/>
      </c>
      <c r="F75" t="str">
        <f t="array" ref="F75">IFERROR(INDEX('Daily Raw Data'!H:H,Match($A75,'Daily Raw Data'!$B:$B,0)),"")</f>
        <v/>
      </c>
      <c r="G75" t="str">
        <f t="array" ref="G75">IFERROR(INDEX('Daily Raw Data'!I:I,Match($A75,'Daily Raw Data'!$B:$B,0)),"")</f>
        <v/>
      </c>
      <c r="H75" t="str">
        <f t="array" ref="H75">IFERROR(INDEX('Daily Raw Data'!N:N,Match($A75,'Daily Raw Data'!$B:$B,0)),"")</f>
        <v/>
      </c>
      <c r="I75" t="str">
        <f t="array" ref="I75">IFERROR(INDEX('Daily Raw Data'!O:O,Match($A75,'Daily Raw Data'!$B:$B,0)),"")</f>
        <v/>
      </c>
      <c r="J75" t="str">
        <f t="array" ref="J75">IFERROR(INDEX('Daily Raw Data'!S:S,Match($A75,'Daily Raw Data'!$B:$B,0)),"")</f>
        <v/>
      </c>
      <c r="K75" t="str">
        <f t="array" ref="K75">IFERROR(INDEX('Daily Raw Data'!T:T,Match($A75,'Daily Raw Data'!$B:$B,0)),"")</f>
        <v/>
      </c>
      <c r="L75" t="str">
        <f t="array" ref="L75">IFERROR(INDEX('Daily Raw Data'!U:U,Match($A75,'Daily Raw Data'!$B:$B,0)),"")</f>
        <v/>
      </c>
      <c r="M75" t="str">
        <f t="array" ref="M75">IFERROR(INDEX('Daily Raw Data'!V:V,Match($A75,'Daily Raw Data'!$B:$B,0)),"")</f>
        <v/>
      </c>
      <c r="N75" t="str">
        <f t="array" ref="N75">IFERROR(INDEX('Daily Raw Data'!W:W,Match($A75,'Daily Raw Data'!$B:$B,0)),"")</f>
        <v/>
      </c>
      <c r="O75" t="str">
        <f t="array" ref="O75">IFERROR(INDEX('Daily Raw Data'!Y:Y,Match($A75,'Daily Raw Data'!$B:$B,0)),"")</f>
        <v/>
      </c>
      <c r="P75" t="str">
        <f t="shared" si="1"/>
        <v/>
      </c>
      <c r="Q75" s="14" t="str">
        <f t="shared" si="2"/>
        <v/>
      </c>
      <c r="R75" s="15" t="str">
        <f>IFERROR(__xludf.DUMMYFUNCTION("IF($A75="""","""", IFERROR(PERCENTRANK.INC(FILTER(P:P,$E:$E&lt;&gt;""""),P75)*100,""""))"),"")</f>
        <v/>
      </c>
      <c r="S75" s="15" t="str">
        <f>IFERROR(__xludf.DUMMYFUNCTION("IF($A75="""","""",IFERROR(PERCENTRANK.INC(FILTER(Q:Q,$E:$E&lt;&gt;""""),Q75)*100,""""))"),"")</f>
        <v/>
      </c>
    </row>
    <row r="76">
      <c r="B76" t="str">
        <f t="array" ref="B76">IFERROR(INDEX('Player Raw Data'!C:C,Match($A76,'Player Raw Data'!$B:$B,0)),"")</f>
        <v/>
      </c>
      <c r="C76" t="str">
        <f t="array" ref="C76">IFERROR(INDEX('Player Raw Data'!D:D,Match($A76,'Player Raw Data'!$B:$B,0)),"")</f>
        <v/>
      </c>
      <c r="D76" t="str">
        <f t="array" ref="D76">IFERROR(IF(A76=A75, INDEX('Player Raw Data'!E:E,Match($A76,'Player Raw Data'!$B:$B,0)+2),INDEX('Player Raw Data'!E:E,Match($A76,'Player Raw Data'!$B:$B,0))),"")</f>
        <v/>
      </c>
      <c r="E76" s="27" t="str">
        <f>IFERROR(__xludf.DUMMYFUNCTION("IFERROR(ARRAY_CONSTRAIN(SPLIT(INDEX('Daily Raw Data'!G:G,Match($A76,'Daily Raw Data'!$B:$B,0)),"":""),1,1),"""")"),"")</f>
        <v/>
      </c>
      <c r="F76" t="str">
        <f t="array" ref="F76">IFERROR(INDEX('Daily Raw Data'!H:H,Match($A76,'Daily Raw Data'!$B:$B,0)),"")</f>
        <v/>
      </c>
      <c r="G76" t="str">
        <f t="array" ref="G76">IFERROR(INDEX('Daily Raw Data'!I:I,Match($A76,'Daily Raw Data'!$B:$B,0)),"")</f>
        <v/>
      </c>
      <c r="H76" t="str">
        <f t="array" ref="H76">IFERROR(INDEX('Daily Raw Data'!N:N,Match($A76,'Daily Raw Data'!$B:$B,0)),"")</f>
        <v/>
      </c>
      <c r="I76" t="str">
        <f t="array" ref="I76">IFERROR(INDEX('Daily Raw Data'!O:O,Match($A76,'Daily Raw Data'!$B:$B,0)),"")</f>
        <v/>
      </c>
      <c r="J76" t="str">
        <f t="array" ref="J76">IFERROR(INDEX('Daily Raw Data'!S:S,Match($A76,'Daily Raw Data'!$B:$B,0)),"")</f>
        <v/>
      </c>
      <c r="K76" t="str">
        <f t="array" ref="K76">IFERROR(INDEX('Daily Raw Data'!T:T,Match($A76,'Daily Raw Data'!$B:$B,0)),"")</f>
        <v/>
      </c>
      <c r="L76" t="str">
        <f t="array" ref="L76">IFERROR(INDEX('Daily Raw Data'!U:U,Match($A76,'Daily Raw Data'!$B:$B,0)),"")</f>
        <v/>
      </c>
      <c r="M76" t="str">
        <f t="array" ref="M76">IFERROR(INDEX('Daily Raw Data'!V:V,Match($A76,'Daily Raw Data'!$B:$B,0)),"")</f>
        <v/>
      </c>
      <c r="N76" t="str">
        <f t="array" ref="N76">IFERROR(INDEX('Daily Raw Data'!W:W,Match($A76,'Daily Raw Data'!$B:$B,0)),"")</f>
        <v/>
      </c>
      <c r="O76" t="str">
        <f t="array" ref="O76">IFERROR(INDEX('Daily Raw Data'!Y:Y,Match($A76,'Daily Raw Data'!$B:$B,0)),"")</f>
        <v/>
      </c>
      <c r="P76" t="str">
        <f t="shared" si="1"/>
        <v/>
      </c>
      <c r="Q76" s="14" t="str">
        <f t="shared" si="2"/>
        <v/>
      </c>
      <c r="R76" s="15" t="str">
        <f>IFERROR(__xludf.DUMMYFUNCTION("IF($A76="""","""", IFERROR(PERCENTRANK.INC(FILTER(P:P,$E:$E&lt;&gt;""""),P76)*100,""""))"),"")</f>
        <v/>
      </c>
      <c r="S76" s="15" t="str">
        <f>IFERROR(__xludf.DUMMYFUNCTION("IF($A76="""","""",IFERROR(PERCENTRANK.INC(FILTER(Q:Q,$E:$E&lt;&gt;""""),Q76)*100,""""))"),"")</f>
        <v/>
      </c>
    </row>
    <row r="77">
      <c r="B77" t="str">
        <f t="array" ref="B77">IFERROR(INDEX('Player Raw Data'!C:C,Match($A77,'Player Raw Data'!$B:$B,0)),"")</f>
        <v/>
      </c>
      <c r="C77" t="str">
        <f t="array" ref="C77">IFERROR(INDEX('Player Raw Data'!D:D,Match($A77,'Player Raw Data'!$B:$B,0)),"")</f>
        <v/>
      </c>
      <c r="D77" t="str">
        <f t="array" ref="D77">IFERROR(IF(A77=A76, INDEX('Player Raw Data'!E:E,Match($A77,'Player Raw Data'!$B:$B,0)+2),INDEX('Player Raw Data'!E:E,Match($A77,'Player Raw Data'!$B:$B,0))),"")</f>
        <v/>
      </c>
      <c r="E77" s="27" t="str">
        <f>IFERROR(__xludf.DUMMYFUNCTION("IFERROR(ARRAY_CONSTRAIN(SPLIT(INDEX('Daily Raw Data'!G:G,Match($A77,'Daily Raw Data'!$B:$B,0)),"":""),1,1),"""")"),"")</f>
        <v/>
      </c>
      <c r="F77" t="str">
        <f t="array" ref="F77">IFERROR(INDEX('Daily Raw Data'!H:H,Match($A77,'Daily Raw Data'!$B:$B,0)),"")</f>
        <v/>
      </c>
      <c r="G77" t="str">
        <f t="array" ref="G77">IFERROR(INDEX('Daily Raw Data'!I:I,Match($A77,'Daily Raw Data'!$B:$B,0)),"")</f>
        <v/>
      </c>
      <c r="H77" t="str">
        <f t="array" ref="H77">IFERROR(INDEX('Daily Raw Data'!N:N,Match($A77,'Daily Raw Data'!$B:$B,0)),"")</f>
        <v/>
      </c>
      <c r="I77" t="str">
        <f t="array" ref="I77">IFERROR(INDEX('Daily Raw Data'!O:O,Match($A77,'Daily Raw Data'!$B:$B,0)),"")</f>
        <v/>
      </c>
      <c r="J77" t="str">
        <f t="array" ref="J77">IFERROR(INDEX('Daily Raw Data'!S:S,Match($A77,'Daily Raw Data'!$B:$B,0)),"")</f>
        <v/>
      </c>
      <c r="K77" t="str">
        <f t="array" ref="K77">IFERROR(INDEX('Daily Raw Data'!T:T,Match($A77,'Daily Raw Data'!$B:$B,0)),"")</f>
        <v/>
      </c>
      <c r="L77" t="str">
        <f t="array" ref="L77">IFERROR(INDEX('Daily Raw Data'!U:U,Match($A77,'Daily Raw Data'!$B:$B,0)),"")</f>
        <v/>
      </c>
      <c r="M77" t="str">
        <f t="array" ref="M77">IFERROR(INDEX('Daily Raw Data'!V:V,Match($A77,'Daily Raw Data'!$B:$B,0)),"")</f>
        <v/>
      </c>
      <c r="N77" t="str">
        <f t="array" ref="N77">IFERROR(INDEX('Daily Raw Data'!W:W,Match($A77,'Daily Raw Data'!$B:$B,0)),"")</f>
        <v/>
      </c>
      <c r="O77" t="str">
        <f t="array" ref="O77">IFERROR(INDEX('Daily Raw Data'!Y:Y,Match($A77,'Daily Raw Data'!$B:$B,0)),"")</f>
        <v/>
      </c>
      <c r="P77" t="str">
        <f t="shared" si="1"/>
        <v/>
      </c>
      <c r="Q77" s="14" t="str">
        <f t="shared" si="2"/>
        <v/>
      </c>
      <c r="R77" s="15" t="str">
        <f>IFERROR(__xludf.DUMMYFUNCTION("IF($A77="""","""", IFERROR(PERCENTRANK.INC(FILTER(P:P,$E:$E&lt;&gt;""""),P77)*100,""""))"),"")</f>
        <v/>
      </c>
      <c r="S77" s="15" t="str">
        <f>IFERROR(__xludf.DUMMYFUNCTION("IF($A77="""","""",IFERROR(PERCENTRANK.INC(FILTER(Q:Q,$E:$E&lt;&gt;""""),Q77)*100,""""))"),"")</f>
        <v/>
      </c>
    </row>
    <row r="78">
      <c r="B78" t="str">
        <f t="array" ref="B78">IFERROR(INDEX('Player Raw Data'!C:C,Match($A78,'Player Raw Data'!$B:$B,0)),"")</f>
        <v/>
      </c>
      <c r="C78" t="str">
        <f t="array" ref="C78">IFERROR(INDEX('Player Raw Data'!D:D,Match($A78,'Player Raw Data'!$B:$B,0)),"")</f>
        <v/>
      </c>
      <c r="D78" t="str">
        <f t="array" ref="D78">IFERROR(IF(A78=A77, INDEX('Player Raw Data'!E:E,Match($A78,'Player Raw Data'!$B:$B,0)+2),INDEX('Player Raw Data'!E:E,Match($A78,'Player Raw Data'!$B:$B,0))),"")</f>
        <v/>
      </c>
      <c r="E78" s="27" t="str">
        <f>IFERROR(__xludf.DUMMYFUNCTION("IFERROR(ARRAY_CONSTRAIN(SPLIT(INDEX('Daily Raw Data'!G:G,Match($A78,'Daily Raw Data'!$B:$B,0)),"":""),1,1),"""")"),"")</f>
        <v/>
      </c>
      <c r="F78" t="str">
        <f t="array" ref="F78">IFERROR(INDEX('Daily Raw Data'!H:H,Match($A78,'Daily Raw Data'!$B:$B,0)),"")</f>
        <v/>
      </c>
      <c r="G78" t="str">
        <f t="array" ref="G78">IFERROR(INDEX('Daily Raw Data'!I:I,Match($A78,'Daily Raw Data'!$B:$B,0)),"")</f>
        <v/>
      </c>
      <c r="H78" t="str">
        <f t="array" ref="H78">IFERROR(INDEX('Daily Raw Data'!N:N,Match($A78,'Daily Raw Data'!$B:$B,0)),"")</f>
        <v/>
      </c>
      <c r="I78" t="str">
        <f t="array" ref="I78">IFERROR(INDEX('Daily Raw Data'!O:O,Match($A78,'Daily Raw Data'!$B:$B,0)),"")</f>
        <v/>
      </c>
      <c r="J78" t="str">
        <f t="array" ref="J78">IFERROR(INDEX('Daily Raw Data'!S:S,Match($A78,'Daily Raw Data'!$B:$B,0)),"")</f>
        <v/>
      </c>
      <c r="K78" t="str">
        <f t="array" ref="K78">IFERROR(INDEX('Daily Raw Data'!T:T,Match($A78,'Daily Raw Data'!$B:$B,0)),"")</f>
        <v/>
      </c>
      <c r="L78" t="str">
        <f t="array" ref="L78">IFERROR(INDEX('Daily Raw Data'!U:U,Match($A78,'Daily Raw Data'!$B:$B,0)),"")</f>
        <v/>
      </c>
      <c r="M78" t="str">
        <f t="array" ref="M78">IFERROR(INDEX('Daily Raw Data'!V:V,Match($A78,'Daily Raw Data'!$B:$B,0)),"")</f>
        <v/>
      </c>
      <c r="N78" t="str">
        <f t="array" ref="N78">IFERROR(INDEX('Daily Raw Data'!W:W,Match($A78,'Daily Raw Data'!$B:$B,0)),"")</f>
        <v/>
      </c>
      <c r="O78" t="str">
        <f t="array" ref="O78">IFERROR(INDEX('Daily Raw Data'!Y:Y,Match($A78,'Daily Raw Data'!$B:$B,0)),"")</f>
        <v/>
      </c>
      <c r="P78" t="str">
        <f t="shared" si="1"/>
        <v/>
      </c>
      <c r="Q78" s="14" t="str">
        <f t="shared" si="2"/>
        <v/>
      </c>
      <c r="R78" s="15" t="str">
        <f>IFERROR(__xludf.DUMMYFUNCTION("IF($A78="""","""", IFERROR(PERCENTRANK.INC(FILTER(P:P,$E:$E&lt;&gt;""""),P78)*100,""""))"),"")</f>
        <v/>
      </c>
      <c r="S78" s="15" t="str">
        <f>IFERROR(__xludf.DUMMYFUNCTION("IF($A78="""","""",IFERROR(PERCENTRANK.INC(FILTER(Q:Q,$E:$E&lt;&gt;""""),Q78)*100,""""))"),"")</f>
        <v/>
      </c>
    </row>
    <row r="79">
      <c r="B79" t="str">
        <f t="array" ref="B79">IFERROR(INDEX('Player Raw Data'!C:C,Match($A79,'Player Raw Data'!$B:$B,0)),"")</f>
        <v/>
      </c>
      <c r="C79" t="str">
        <f t="array" ref="C79">IFERROR(INDEX('Player Raw Data'!D:D,Match($A79,'Player Raw Data'!$B:$B,0)),"")</f>
        <v/>
      </c>
      <c r="D79" t="str">
        <f t="array" ref="D79">IFERROR(IF(A79=A78, INDEX('Player Raw Data'!E:E,Match($A79,'Player Raw Data'!$B:$B,0)+2),INDEX('Player Raw Data'!E:E,Match($A79,'Player Raw Data'!$B:$B,0))),"")</f>
        <v/>
      </c>
      <c r="E79" s="27" t="str">
        <f>IFERROR(__xludf.DUMMYFUNCTION("IFERROR(ARRAY_CONSTRAIN(SPLIT(INDEX('Daily Raw Data'!G:G,Match($A79,'Daily Raw Data'!$B:$B,0)),"":""),1,1),"""")"),"")</f>
        <v/>
      </c>
      <c r="F79" t="str">
        <f t="array" ref="F79">IFERROR(INDEX('Daily Raw Data'!H:H,Match($A79,'Daily Raw Data'!$B:$B,0)),"")</f>
        <v/>
      </c>
      <c r="G79" t="str">
        <f t="array" ref="G79">IFERROR(INDEX('Daily Raw Data'!I:I,Match($A79,'Daily Raw Data'!$B:$B,0)),"")</f>
        <v/>
      </c>
      <c r="H79" t="str">
        <f t="array" ref="H79">IFERROR(INDEX('Daily Raw Data'!N:N,Match($A79,'Daily Raw Data'!$B:$B,0)),"")</f>
        <v/>
      </c>
      <c r="I79" t="str">
        <f t="array" ref="I79">IFERROR(INDEX('Daily Raw Data'!O:O,Match($A79,'Daily Raw Data'!$B:$B,0)),"")</f>
        <v/>
      </c>
      <c r="J79" t="str">
        <f t="array" ref="J79">IFERROR(INDEX('Daily Raw Data'!S:S,Match($A79,'Daily Raw Data'!$B:$B,0)),"")</f>
        <v/>
      </c>
      <c r="K79" t="str">
        <f t="array" ref="K79">IFERROR(INDEX('Daily Raw Data'!T:T,Match($A79,'Daily Raw Data'!$B:$B,0)),"")</f>
        <v/>
      </c>
      <c r="L79" t="str">
        <f t="array" ref="L79">IFERROR(INDEX('Daily Raw Data'!U:U,Match($A79,'Daily Raw Data'!$B:$B,0)),"")</f>
        <v/>
      </c>
      <c r="M79" t="str">
        <f t="array" ref="M79">IFERROR(INDEX('Daily Raw Data'!V:V,Match($A79,'Daily Raw Data'!$B:$B,0)),"")</f>
        <v/>
      </c>
      <c r="N79" t="str">
        <f t="array" ref="N79">IFERROR(INDEX('Daily Raw Data'!W:W,Match($A79,'Daily Raw Data'!$B:$B,0)),"")</f>
        <v/>
      </c>
      <c r="O79" t="str">
        <f t="array" ref="O79">IFERROR(INDEX('Daily Raw Data'!Y:Y,Match($A79,'Daily Raw Data'!$B:$B,0)),"")</f>
        <v/>
      </c>
      <c r="P79" t="str">
        <f t="shared" si="1"/>
        <v/>
      </c>
      <c r="Q79" s="14" t="str">
        <f t="shared" si="2"/>
        <v/>
      </c>
      <c r="R79" s="15" t="str">
        <f>IFERROR(__xludf.DUMMYFUNCTION("IF($A79="""","""", IFERROR(PERCENTRANK.INC(FILTER(P:P,$E:$E&lt;&gt;""""),P79)*100,""""))"),"")</f>
        <v/>
      </c>
      <c r="S79" s="15" t="str">
        <f>IFERROR(__xludf.DUMMYFUNCTION("IF($A79="""","""",IFERROR(PERCENTRANK.INC(FILTER(Q:Q,$E:$E&lt;&gt;""""),Q79)*100,""""))"),"")</f>
        <v/>
      </c>
    </row>
    <row r="80">
      <c r="B80" t="str">
        <f t="array" ref="B80">IFERROR(INDEX('Player Raw Data'!C:C,Match($A80,'Player Raw Data'!$B:$B,0)),"")</f>
        <v/>
      </c>
      <c r="C80" t="str">
        <f t="array" ref="C80">IFERROR(INDEX('Player Raw Data'!D:D,Match($A80,'Player Raw Data'!$B:$B,0)),"")</f>
        <v/>
      </c>
      <c r="D80" t="str">
        <f t="array" ref="D80">IFERROR(IF(A80=A79, INDEX('Player Raw Data'!E:E,Match($A80,'Player Raw Data'!$B:$B,0)+2),INDEX('Player Raw Data'!E:E,Match($A80,'Player Raw Data'!$B:$B,0))),"")</f>
        <v/>
      </c>
      <c r="E80" s="27" t="str">
        <f>IFERROR(__xludf.DUMMYFUNCTION("IFERROR(ARRAY_CONSTRAIN(SPLIT(INDEX('Daily Raw Data'!G:G,Match($A80,'Daily Raw Data'!$B:$B,0)),"":""),1,1),"""")"),"")</f>
        <v/>
      </c>
      <c r="F80" t="str">
        <f t="array" ref="F80">IFERROR(INDEX('Daily Raw Data'!H:H,Match($A80,'Daily Raw Data'!$B:$B,0)),"")</f>
        <v/>
      </c>
      <c r="G80" t="str">
        <f t="array" ref="G80">IFERROR(INDEX('Daily Raw Data'!I:I,Match($A80,'Daily Raw Data'!$B:$B,0)),"")</f>
        <v/>
      </c>
      <c r="H80" t="str">
        <f t="array" ref="H80">IFERROR(INDEX('Daily Raw Data'!N:N,Match($A80,'Daily Raw Data'!$B:$B,0)),"")</f>
        <v/>
      </c>
      <c r="I80" t="str">
        <f t="array" ref="I80">IFERROR(INDEX('Daily Raw Data'!O:O,Match($A80,'Daily Raw Data'!$B:$B,0)),"")</f>
        <v/>
      </c>
      <c r="J80" t="str">
        <f t="array" ref="J80">IFERROR(INDEX('Daily Raw Data'!S:S,Match($A80,'Daily Raw Data'!$B:$B,0)),"")</f>
        <v/>
      </c>
      <c r="K80" t="str">
        <f t="array" ref="K80">IFERROR(INDEX('Daily Raw Data'!T:T,Match($A80,'Daily Raw Data'!$B:$B,0)),"")</f>
        <v/>
      </c>
      <c r="L80" t="str">
        <f t="array" ref="L80">IFERROR(INDEX('Daily Raw Data'!U:U,Match($A80,'Daily Raw Data'!$B:$B,0)),"")</f>
        <v/>
      </c>
      <c r="M80" t="str">
        <f t="array" ref="M80">IFERROR(INDEX('Daily Raw Data'!V:V,Match($A80,'Daily Raw Data'!$B:$B,0)),"")</f>
        <v/>
      </c>
      <c r="N80" t="str">
        <f t="array" ref="N80">IFERROR(INDEX('Daily Raw Data'!W:W,Match($A80,'Daily Raw Data'!$B:$B,0)),"")</f>
        <v/>
      </c>
      <c r="O80" t="str">
        <f t="array" ref="O80">IFERROR(INDEX('Daily Raw Data'!Y:Y,Match($A80,'Daily Raw Data'!$B:$B,0)),"")</f>
        <v/>
      </c>
      <c r="P80" t="str">
        <f t="shared" si="1"/>
        <v/>
      </c>
      <c r="Q80" s="14" t="str">
        <f t="shared" si="2"/>
        <v/>
      </c>
      <c r="R80" s="15" t="str">
        <f>IFERROR(__xludf.DUMMYFUNCTION("IF($A80="""","""", IFERROR(PERCENTRANK.INC(FILTER(P:P,$E:$E&lt;&gt;""""),P80)*100,""""))"),"")</f>
        <v/>
      </c>
      <c r="S80" s="15" t="str">
        <f>IFERROR(__xludf.DUMMYFUNCTION("IF($A80="""","""",IFERROR(PERCENTRANK.INC(FILTER(Q:Q,$E:$E&lt;&gt;""""),Q80)*100,""""))"),"")</f>
        <v/>
      </c>
    </row>
    <row r="81">
      <c r="B81" t="str">
        <f t="array" ref="B81">IFERROR(INDEX('Player Raw Data'!C:C,Match($A81,'Player Raw Data'!$B:$B,0)),"")</f>
        <v/>
      </c>
      <c r="C81" t="str">
        <f t="array" ref="C81">IFERROR(INDEX('Player Raw Data'!D:D,Match($A81,'Player Raw Data'!$B:$B,0)),"")</f>
        <v/>
      </c>
      <c r="D81" t="str">
        <f t="array" ref="D81">IFERROR(IF(A81=A80, INDEX('Player Raw Data'!E:E,Match($A81,'Player Raw Data'!$B:$B,0)+2),INDEX('Player Raw Data'!E:E,Match($A81,'Player Raw Data'!$B:$B,0))),"")</f>
        <v/>
      </c>
      <c r="E81" s="27" t="str">
        <f>IFERROR(__xludf.DUMMYFUNCTION("IFERROR(ARRAY_CONSTRAIN(SPLIT(INDEX('Daily Raw Data'!G:G,Match($A81,'Daily Raw Data'!$B:$B,0)),"":""),1,1),"""")"),"")</f>
        <v/>
      </c>
      <c r="F81" t="str">
        <f t="array" ref="F81">IFERROR(INDEX('Daily Raw Data'!H:H,Match($A81,'Daily Raw Data'!$B:$B,0)),"")</f>
        <v/>
      </c>
      <c r="G81" t="str">
        <f t="array" ref="G81">IFERROR(INDEX('Daily Raw Data'!I:I,Match($A81,'Daily Raw Data'!$B:$B,0)),"")</f>
        <v/>
      </c>
      <c r="H81" t="str">
        <f t="array" ref="H81">IFERROR(INDEX('Daily Raw Data'!N:N,Match($A81,'Daily Raw Data'!$B:$B,0)),"")</f>
        <v/>
      </c>
      <c r="I81" t="str">
        <f t="array" ref="I81">IFERROR(INDEX('Daily Raw Data'!O:O,Match($A81,'Daily Raw Data'!$B:$B,0)),"")</f>
        <v/>
      </c>
      <c r="J81" t="str">
        <f t="array" ref="J81">IFERROR(INDEX('Daily Raw Data'!S:S,Match($A81,'Daily Raw Data'!$B:$B,0)),"")</f>
        <v/>
      </c>
      <c r="K81" t="str">
        <f t="array" ref="K81">IFERROR(INDEX('Daily Raw Data'!T:T,Match($A81,'Daily Raw Data'!$B:$B,0)),"")</f>
        <v/>
      </c>
      <c r="L81" t="str">
        <f t="array" ref="L81">IFERROR(INDEX('Daily Raw Data'!U:U,Match($A81,'Daily Raw Data'!$B:$B,0)),"")</f>
        <v/>
      </c>
      <c r="M81" t="str">
        <f t="array" ref="M81">IFERROR(INDEX('Daily Raw Data'!V:V,Match($A81,'Daily Raw Data'!$B:$B,0)),"")</f>
        <v/>
      </c>
      <c r="N81" t="str">
        <f t="array" ref="N81">IFERROR(INDEX('Daily Raw Data'!W:W,Match($A81,'Daily Raw Data'!$B:$B,0)),"")</f>
        <v/>
      </c>
      <c r="O81" t="str">
        <f t="array" ref="O81">IFERROR(INDEX('Daily Raw Data'!Y:Y,Match($A81,'Daily Raw Data'!$B:$B,0)),"")</f>
        <v/>
      </c>
      <c r="P81" t="str">
        <f t="shared" si="1"/>
        <v/>
      </c>
      <c r="Q81" s="14" t="str">
        <f t="shared" si="2"/>
        <v/>
      </c>
      <c r="R81" s="15" t="str">
        <f>IFERROR(__xludf.DUMMYFUNCTION("IF($A81="""","""", IFERROR(PERCENTRANK.INC(FILTER(P:P,$E:$E&lt;&gt;""""),P81)*100,""""))"),"")</f>
        <v/>
      </c>
      <c r="S81" s="15" t="str">
        <f>IFERROR(__xludf.DUMMYFUNCTION("IF($A81="""","""",IFERROR(PERCENTRANK.INC(FILTER(Q:Q,$E:$E&lt;&gt;""""),Q81)*100,""""))"),"")</f>
        <v/>
      </c>
    </row>
    <row r="82">
      <c r="B82" t="str">
        <f t="array" ref="B82">IFERROR(INDEX('Player Raw Data'!C:C,Match($A82,'Player Raw Data'!$B:$B,0)),"")</f>
        <v/>
      </c>
      <c r="C82" t="str">
        <f t="array" ref="C82">IFERROR(INDEX('Player Raw Data'!D:D,Match($A82,'Player Raw Data'!$B:$B,0)),"")</f>
        <v/>
      </c>
      <c r="D82" t="str">
        <f t="array" ref="D82">IFERROR(IF(A82=A81, INDEX('Player Raw Data'!E:E,Match($A82,'Player Raw Data'!$B:$B,0)+2),INDEX('Player Raw Data'!E:E,Match($A82,'Player Raw Data'!$B:$B,0))),"")</f>
        <v/>
      </c>
      <c r="E82" s="27" t="str">
        <f>IFERROR(__xludf.DUMMYFUNCTION("IFERROR(ARRAY_CONSTRAIN(SPLIT(INDEX('Daily Raw Data'!G:G,Match($A82,'Daily Raw Data'!$B:$B,0)),"":""),1,1),"""")"),"")</f>
        <v/>
      </c>
      <c r="F82" t="str">
        <f t="array" ref="F82">IFERROR(INDEX('Daily Raw Data'!H:H,Match($A82,'Daily Raw Data'!$B:$B,0)),"")</f>
        <v/>
      </c>
      <c r="G82" t="str">
        <f t="array" ref="G82">IFERROR(INDEX('Daily Raw Data'!I:I,Match($A82,'Daily Raw Data'!$B:$B,0)),"")</f>
        <v/>
      </c>
      <c r="H82" t="str">
        <f t="array" ref="H82">IFERROR(INDEX('Daily Raw Data'!N:N,Match($A82,'Daily Raw Data'!$B:$B,0)),"")</f>
        <v/>
      </c>
      <c r="I82" t="str">
        <f t="array" ref="I82">IFERROR(INDEX('Daily Raw Data'!O:O,Match($A82,'Daily Raw Data'!$B:$B,0)),"")</f>
        <v/>
      </c>
      <c r="J82" t="str">
        <f t="array" ref="J82">IFERROR(INDEX('Daily Raw Data'!S:S,Match($A82,'Daily Raw Data'!$B:$B,0)),"")</f>
        <v/>
      </c>
      <c r="K82" t="str">
        <f t="array" ref="K82">IFERROR(INDEX('Daily Raw Data'!T:T,Match($A82,'Daily Raw Data'!$B:$B,0)),"")</f>
        <v/>
      </c>
      <c r="L82" t="str">
        <f t="array" ref="L82">IFERROR(INDEX('Daily Raw Data'!U:U,Match($A82,'Daily Raw Data'!$B:$B,0)),"")</f>
        <v/>
      </c>
      <c r="M82" t="str">
        <f t="array" ref="M82">IFERROR(INDEX('Daily Raw Data'!V:V,Match($A82,'Daily Raw Data'!$B:$B,0)),"")</f>
        <v/>
      </c>
      <c r="N82" t="str">
        <f t="array" ref="N82">IFERROR(INDEX('Daily Raw Data'!W:W,Match($A82,'Daily Raw Data'!$B:$B,0)),"")</f>
        <v/>
      </c>
      <c r="O82" t="str">
        <f t="array" ref="O82">IFERROR(INDEX('Daily Raw Data'!Y:Y,Match($A82,'Daily Raw Data'!$B:$B,0)),"")</f>
        <v/>
      </c>
      <c r="P82" t="str">
        <f t="shared" si="1"/>
        <v/>
      </c>
      <c r="Q82" s="14" t="str">
        <f t="shared" si="2"/>
        <v/>
      </c>
      <c r="R82" s="15" t="str">
        <f>IFERROR(__xludf.DUMMYFUNCTION("IF($A82="""","""", IFERROR(PERCENTRANK.INC(FILTER(P:P,$E:$E&lt;&gt;""""),P82)*100,""""))"),"")</f>
        <v/>
      </c>
      <c r="S82" s="15" t="str">
        <f>IFERROR(__xludf.DUMMYFUNCTION("IF($A82="""","""",IFERROR(PERCENTRANK.INC(FILTER(Q:Q,$E:$E&lt;&gt;""""),Q82)*100,""""))"),"")</f>
        <v/>
      </c>
    </row>
    <row r="83">
      <c r="B83" t="str">
        <f t="array" ref="B83">IFERROR(INDEX('Player Raw Data'!C:C,Match($A83,'Player Raw Data'!$B:$B,0)),"")</f>
        <v/>
      </c>
      <c r="C83" t="str">
        <f t="array" ref="C83">IFERROR(INDEX('Player Raw Data'!D:D,Match($A83,'Player Raw Data'!$B:$B,0)),"")</f>
        <v/>
      </c>
      <c r="D83" t="str">
        <f t="array" ref="D83">IFERROR(IF(A83=A82, INDEX('Player Raw Data'!E:E,Match($A83,'Player Raw Data'!$B:$B,0)+2),INDEX('Player Raw Data'!E:E,Match($A83,'Player Raw Data'!$B:$B,0))),"")</f>
        <v/>
      </c>
      <c r="E83" s="27" t="str">
        <f>IFERROR(__xludf.DUMMYFUNCTION("IFERROR(ARRAY_CONSTRAIN(SPLIT(INDEX('Daily Raw Data'!G:G,Match($A83,'Daily Raw Data'!$B:$B,0)),"":""),1,1),"""")"),"")</f>
        <v/>
      </c>
      <c r="F83" t="str">
        <f t="array" ref="F83">IFERROR(INDEX('Daily Raw Data'!H:H,Match($A83,'Daily Raw Data'!$B:$B,0)),"")</f>
        <v/>
      </c>
      <c r="G83" t="str">
        <f t="array" ref="G83">IFERROR(INDEX('Daily Raw Data'!I:I,Match($A83,'Daily Raw Data'!$B:$B,0)),"")</f>
        <v/>
      </c>
      <c r="H83" t="str">
        <f t="array" ref="H83">IFERROR(INDEX('Daily Raw Data'!N:N,Match($A83,'Daily Raw Data'!$B:$B,0)),"")</f>
        <v/>
      </c>
      <c r="I83" t="str">
        <f t="array" ref="I83">IFERROR(INDEX('Daily Raw Data'!O:O,Match($A83,'Daily Raw Data'!$B:$B,0)),"")</f>
        <v/>
      </c>
      <c r="J83" t="str">
        <f t="array" ref="J83">IFERROR(INDEX('Daily Raw Data'!S:S,Match($A83,'Daily Raw Data'!$B:$B,0)),"")</f>
        <v/>
      </c>
      <c r="K83" t="str">
        <f t="array" ref="K83">IFERROR(INDEX('Daily Raw Data'!T:T,Match($A83,'Daily Raw Data'!$B:$B,0)),"")</f>
        <v/>
      </c>
      <c r="L83" t="str">
        <f t="array" ref="L83">IFERROR(INDEX('Daily Raw Data'!U:U,Match($A83,'Daily Raw Data'!$B:$B,0)),"")</f>
        <v/>
      </c>
      <c r="M83" t="str">
        <f t="array" ref="M83">IFERROR(INDEX('Daily Raw Data'!V:V,Match($A83,'Daily Raw Data'!$B:$B,0)),"")</f>
        <v/>
      </c>
      <c r="N83" t="str">
        <f t="array" ref="N83">IFERROR(INDEX('Daily Raw Data'!W:W,Match($A83,'Daily Raw Data'!$B:$B,0)),"")</f>
        <v/>
      </c>
      <c r="O83" t="str">
        <f t="array" ref="O83">IFERROR(INDEX('Daily Raw Data'!Y:Y,Match($A83,'Daily Raw Data'!$B:$B,0)),"")</f>
        <v/>
      </c>
      <c r="P83" t="str">
        <f t="shared" si="1"/>
        <v/>
      </c>
      <c r="Q83" s="14" t="str">
        <f t="shared" si="2"/>
        <v/>
      </c>
      <c r="R83" s="15" t="str">
        <f>IFERROR(__xludf.DUMMYFUNCTION("IF($A83="""","""", IFERROR(PERCENTRANK.INC(FILTER(P:P,$E:$E&lt;&gt;""""),P83)*100,""""))"),"")</f>
        <v/>
      </c>
      <c r="S83" s="15" t="str">
        <f>IFERROR(__xludf.DUMMYFUNCTION("IF($A83="""","""",IFERROR(PERCENTRANK.INC(FILTER(Q:Q,$E:$E&lt;&gt;""""),Q83)*100,""""))"),"")</f>
        <v/>
      </c>
    </row>
    <row r="84">
      <c r="B84" t="str">
        <f t="array" ref="B84">IFERROR(INDEX('Player Raw Data'!C:C,Match($A84,'Player Raw Data'!$B:$B,0)),"")</f>
        <v/>
      </c>
      <c r="C84" t="str">
        <f t="array" ref="C84">IFERROR(INDEX('Player Raw Data'!D:D,Match($A84,'Player Raw Data'!$B:$B,0)),"")</f>
        <v/>
      </c>
      <c r="D84" t="str">
        <f t="array" ref="D84">IFERROR(IF(A84=A83, INDEX('Player Raw Data'!E:E,Match($A84,'Player Raw Data'!$B:$B,0)+2),INDEX('Player Raw Data'!E:E,Match($A84,'Player Raw Data'!$B:$B,0))),"")</f>
        <v/>
      </c>
      <c r="E84" s="27" t="str">
        <f>IFERROR(__xludf.DUMMYFUNCTION("IFERROR(ARRAY_CONSTRAIN(SPLIT(INDEX('Daily Raw Data'!G:G,Match($A84,'Daily Raw Data'!$B:$B,0)),"":""),1,1),"""")"),"")</f>
        <v/>
      </c>
      <c r="F84" t="str">
        <f t="array" ref="F84">IFERROR(INDEX('Daily Raw Data'!H:H,Match($A84,'Daily Raw Data'!$B:$B,0)),"")</f>
        <v/>
      </c>
      <c r="G84" t="str">
        <f t="array" ref="G84">IFERROR(INDEX('Daily Raw Data'!I:I,Match($A84,'Daily Raw Data'!$B:$B,0)),"")</f>
        <v/>
      </c>
      <c r="H84" t="str">
        <f t="array" ref="H84">IFERROR(INDEX('Daily Raw Data'!N:N,Match($A84,'Daily Raw Data'!$B:$B,0)),"")</f>
        <v/>
      </c>
      <c r="I84" t="str">
        <f t="array" ref="I84">IFERROR(INDEX('Daily Raw Data'!O:O,Match($A84,'Daily Raw Data'!$B:$B,0)),"")</f>
        <v/>
      </c>
      <c r="J84" t="str">
        <f t="array" ref="J84">IFERROR(INDEX('Daily Raw Data'!S:S,Match($A84,'Daily Raw Data'!$B:$B,0)),"")</f>
        <v/>
      </c>
      <c r="K84" t="str">
        <f t="array" ref="K84">IFERROR(INDEX('Daily Raw Data'!T:T,Match($A84,'Daily Raw Data'!$B:$B,0)),"")</f>
        <v/>
      </c>
      <c r="L84" t="str">
        <f t="array" ref="L84">IFERROR(INDEX('Daily Raw Data'!U:U,Match($A84,'Daily Raw Data'!$B:$B,0)),"")</f>
        <v/>
      </c>
      <c r="M84" t="str">
        <f t="array" ref="M84">IFERROR(INDEX('Daily Raw Data'!V:V,Match($A84,'Daily Raw Data'!$B:$B,0)),"")</f>
        <v/>
      </c>
      <c r="N84" t="str">
        <f t="array" ref="N84">IFERROR(INDEX('Daily Raw Data'!W:W,Match($A84,'Daily Raw Data'!$B:$B,0)),"")</f>
        <v/>
      </c>
      <c r="O84" t="str">
        <f t="array" ref="O84">IFERROR(INDEX('Daily Raw Data'!Y:Y,Match($A84,'Daily Raw Data'!$B:$B,0)),"")</f>
        <v/>
      </c>
      <c r="P84" t="str">
        <f t="shared" si="1"/>
        <v/>
      </c>
      <c r="Q84" s="14" t="str">
        <f t="shared" si="2"/>
        <v/>
      </c>
      <c r="R84" s="15" t="str">
        <f>IFERROR(__xludf.DUMMYFUNCTION("IF($A84="""","""", IFERROR(PERCENTRANK.INC(FILTER(P:P,$E:$E&lt;&gt;""""),P84)*100,""""))"),"")</f>
        <v/>
      </c>
      <c r="S84" s="15" t="str">
        <f>IFERROR(__xludf.DUMMYFUNCTION("IF($A84="""","""",IFERROR(PERCENTRANK.INC(FILTER(Q:Q,$E:$E&lt;&gt;""""),Q84)*100,""""))"),"")</f>
        <v/>
      </c>
    </row>
    <row r="85">
      <c r="B85" t="str">
        <f t="array" ref="B85">IFERROR(INDEX('Player Raw Data'!C:C,Match($A85,'Player Raw Data'!$B:$B,0)),"")</f>
        <v/>
      </c>
      <c r="C85" t="str">
        <f t="array" ref="C85">IFERROR(INDEX('Player Raw Data'!D:D,Match($A85,'Player Raw Data'!$B:$B,0)),"")</f>
        <v/>
      </c>
      <c r="D85" t="str">
        <f t="array" ref="D85">IFERROR(IF(A85=A84, INDEX('Player Raw Data'!E:E,Match($A85,'Player Raw Data'!$B:$B,0)+2),INDEX('Player Raw Data'!E:E,Match($A85,'Player Raw Data'!$B:$B,0))),"")</f>
        <v/>
      </c>
      <c r="E85" s="27" t="str">
        <f>IFERROR(__xludf.DUMMYFUNCTION("IFERROR(ARRAY_CONSTRAIN(SPLIT(INDEX('Daily Raw Data'!G:G,Match($A85,'Daily Raw Data'!$B:$B,0)),"":""),1,1),"""")"),"")</f>
        <v/>
      </c>
      <c r="F85" t="str">
        <f t="array" ref="F85">IFERROR(INDEX('Daily Raw Data'!H:H,Match($A85,'Daily Raw Data'!$B:$B,0)),"")</f>
        <v/>
      </c>
      <c r="G85" t="str">
        <f t="array" ref="G85">IFERROR(INDEX('Daily Raw Data'!I:I,Match($A85,'Daily Raw Data'!$B:$B,0)),"")</f>
        <v/>
      </c>
      <c r="H85" t="str">
        <f t="array" ref="H85">IFERROR(INDEX('Daily Raw Data'!N:N,Match($A85,'Daily Raw Data'!$B:$B,0)),"")</f>
        <v/>
      </c>
      <c r="I85" t="str">
        <f t="array" ref="I85">IFERROR(INDEX('Daily Raw Data'!O:O,Match($A85,'Daily Raw Data'!$B:$B,0)),"")</f>
        <v/>
      </c>
      <c r="J85" t="str">
        <f t="array" ref="J85">IFERROR(INDEX('Daily Raw Data'!S:S,Match($A85,'Daily Raw Data'!$B:$B,0)),"")</f>
        <v/>
      </c>
      <c r="K85" t="str">
        <f t="array" ref="K85">IFERROR(INDEX('Daily Raw Data'!T:T,Match($A85,'Daily Raw Data'!$B:$B,0)),"")</f>
        <v/>
      </c>
      <c r="L85" t="str">
        <f t="array" ref="L85">IFERROR(INDEX('Daily Raw Data'!U:U,Match($A85,'Daily Raw Data'!$B:$B,0)),"")</f>
        <v/>
      </c>
      <c r="M85" t="str">
        <f t="array" ref="M85">IFERROR(INDEX('Daily Raw Data'!V:V,Match($A85,'Daily Raw Data'!$B:$B,0)),"")</f>
        <v/>
      </c>
      <c r="N85" t="str">
        <f t="array" ref="N85">IFERROR(INDEX('Daily Raw Data'!W:W,Match($A85,'Daily Raw Data'!$B:$B,0)),"")</f>
        <v/>
      </c>
      <c r="O85" t="str">
        <f t="array" ref="O85">IFERROR(INDEX('Daily Raw Data'!Y:Y,Match($A85,'Daily Raw Data'!$B:$B,0)),"")</f>
        <v/>
      </c>
      <c r="P85" t="str">
        <f t="shared" si="1"/>
        <v/>
      </c>
      <c r="Q85" s="14" t="str">
        <f t="shared" si="2"/>
        <v/>
      </c>
      <c r="R85" s="15" t="str">
        <f>IFERROR(__xludf.DUMMYFUNCTION("IF($A85="""","""", IFERROR(PERCENTRANK.INC(FILTER(P:P,$E:$E&lt;&gt;""""),P85)*100,""""))"),"")</f>
        <v/>
      </c>
      <c r="S85" s="15" t="str">
        <f>IFERROR(__xludf.DUMMYFUNCTION("IF($A85="""","""",IFERROR(PERCENTRANK.INC(FILTER(Q:Q,$E:$E&lt;&gt;""""),Q85)*100,""""))"),"")</f>
        <v/>
      </c>
    </row>
    <row r="86">
      <c r="B86" t="str">
        <f t="array" ref="B86">IFERROR(INDEX('Player Raw Data'!C:C,Match($A86,'Player Raw Data'!$B:$B,0)),"")</f>
        <v/>
      </c>
      <c r="C86" t="str">
        <f t="array" ref="C86">IFERROR(INDEX('Player Raw Data'!D:D,Match($A86,'Player Raw Data'!$B:$B,0)),"")</f>
        <v/>
      </c>
      <c r="D86" t="str">
        <f t="array" ref="D86">IFERROR(IF(A86=A85, INDEX('Player Raw Data'!E:E,Match($A86,'Player Raw Data'!$B:$B,0)+2),INDEX('Player Raw Data'!E:E,Match($A86,'Player Raw Data'!$B:$B,0))),"")</f>
        <v/>
      </c>
      <c r="E86" s="27" t="str">
        <f>IFERROR(__xludf.DUMMYFUNCTION("IFERROR(ARRAY_CONSTRAIN(SPLIT(INDEX('Daily Raw Data'!G:G,Match($A86,'Daily Raw Data'!$B:$B,0)),"":""),1,1),"""")"),"")</f>
        <v/>
      </c>
      <c r="F86" t="str">
        <f t="array" ref="F86">IFERROR(INDEX('Daily Raw Data'!H:H,Match($A86,'Daily Raw Data'!$B:$B,0)),"")</f>
        <v/>
      </c>
      <c r="G86" t="str">
        <f t="array" ref="G86">IFERROR(INDEX('Daily Raw Data'!I:I,Match($A86,'Daily Raw Data'!$B:$B,0)),"")</f>
        <v/>
      </c>
      <c r="H86" t="str">
        <f t="array" ref="H86">IFERROR(INDEX('Daily Raw Data'!N:N,Match($A86,'Daily Raw Data'!$B:$B,0)),"")</f>
        <v/>
      </c>
      <c r="I86" t="str">
        <f t="array" ref="I86">IFERROR(INDEX('Daily Raw Data'!O:O,Match($A86,'Daily Raw Data'!$B:$B,0)),"")</f>
        <v/>
      </c>
      <c r="J86" t="str">
        <f t="array" ref="J86">IFERROR(INDEX('Daily Raw Data'!S:S,Match($A86,'Daily Raw Data'!$B:$B,0)),"")</f>
        <v/>
      </c>
      <c r="K86" t="str">
        <f t="array" ref="K86">IFERROR(INDEX('Daily Raw Data'!T:T,Match($A86,'Daily Raw Data'!$B:$B,0)),"")</f>
        <v/>
      </c>
      <c r="L86" t="str">
        <f t="array" ref="L86">IFERROR(INDEX('Daily Raw Data'!U:U,Match($A86,'Daily Raw Data'!$B:$B,0)),"")</f>
        <v/>
      </c>
      <c r="M86" t="str">
        <f t="array" ref="M86">IFERROR(INDEX('Daily Raw Data'!V:V,Match($A86,'Daily Raw Data'!$B:$B,0)),"")</f>
        <v/>
      </c>
      <c r="N86" t="str">
        <f t="array" ref="N86">IFERROR(INDEX('Daily Raw Data'!W:W,Match($A86,'Daily Raw Data'!$B:$B,0)),"")</f>
        <v/>
      </c>
      <c r="O86" t="str">
        <f t="array" ref="O86">IFERROR(INDEX('Daily Raw Data'!Y:Y,Match($A86,'Daily Raw Data'!$B:$B,0)),"")</f>
        <v/>
      </c>
      <c r="P86" t="str">
        <f t="shared" si="1"/>
        <v/>
      </c>
      <c r="Q86" s="14" t="str">
        <f t="shared" si="2"/>
        <v/>
      </c>
      <c r="R86" s="15" t="str">
        <f>IFERROR(__xludf.DUMMYFUNCTION("IF($A86="""","""", IFERROR(PERCENTRANK.INC(FILTER(P:P,$E:$E&lt;&gt;""""),P86)*100,""""))"),"")</f>
        <v/>
      </c>
      <c r="S86" s="15" t="str">
        <f>IFERROR(__xludf.DUMMYFUNCTION("IF($A86="""","""",IFERROR(PERCENTRANK.INC(FILTER(Q:Q,$E:$E&lt;&gt;""""),Q86)*100,""""))"),"")</f>
        <v/>
      </c>
    </row>
    <row r="87">
      <c r="B87" t="str">
        <f t="array" ref="B87">IFERROR(INDEX('Player Raw Data'!C:C,Match($A87,'Player Raw Data'!$B:$B,0)),"")</f>
        <v/>
      </c>
      <c r="C87" t="str">
        <f t="array" ref="C87">IFERROR(INDEX('Player Raw Data'!D:D,Match($A87,'Player Raw Data'!$B:$B,0)),"")</f>
        <v/>
      </c>
      <c r="D87" t="str">
        <f t="array" ref="D87">IFERROR(IF(A87=A86, INDEX('Player Raw Data'!E:E,Match($A87,'Player Raw Data'!$B:$B,0)+2),INDEX('Player Raw Data'!E:E,Match($A87,'Player Raw Data'!$B:$B,0))),"")</f>
        <v/>
      </c>
      <c r="E87" s="27" t="str">
        <f>IFERROR(__xludf.DUMMYFUNCTION("IFERROR(ARRAY_CONSTRAIN(SPLIT(INDEX('Daily Raw Data'!G:G,Match($A87,'Daily Raw Data'!$B:$B,0)),"":""),1,1),"""")"),"")</f>
        <v/>
      </c>
      <c r="F87" t="str">
        <f t="array" ref="F87">IFERROR(INDEX('Daily Raw Data'!H:H,Match($A87,'Daily Raw Data'!$B:$B,0)),"")</f>
        <v/>
      </c>
      <c r="G87" t="str">
        <f t="array" ref="G87">IFERROR(INDEX('Daily Raw Data'!I:I,Match($A87,'Daily Raw Data'!$B:$B,0)),"")</f>
        <v/>
      </c>
      <c r="H87" t="str">
        <f t="array" ref="H87">IFERROR(INDEX('Daily Raw Data'!N:N,Match($A87,'Daily Raw Data'!$B:$B,0)),"")</f>
        <v/>
      </c>
      <c r="I87" t="str">
        <f t="array" ref="I87">IFERROR(INDEX('Daily Raw Data'!O:O,Match($A87,'Daily Raw Data'!$B:$B,0)),"")</f>
        <v/>
      </c>
      <c r="J87" t="str">
        <f t="array" ref="J87">IFERROR(INDEX('Daily Raw Data'!S:S,Match($A87,'Daily Raw Data'!$B:$B,0)),"")</f>
        <v/>
      </c>
      <c r="K87" t="str">
        <f t="array" ref="K87">IFERROR(INDEX('Daily Raw Data'!T:T,Match($A87,'Daily Raw Data'!$B:$B,0)),"")</f>
        <v/>
      </c>
      <c r="L87" t="str">
        <f t="array" ref="L87">IFERROR(INDEX('Daily Raw Data'!U:U,Match($A87,'Daily Raw Data'!$B:$B,0)),"")</f>
        <v/>
      </c>
      <c r="M87" t="str">
        <f t="array" ref="M87">IFERROR(INDEX('Daily Raw Data'!V:V,Match($A87,'Daily Raw Data'!$B:$B,0)),"")</f>
        <v/>
      </c>
      <c r="N87" t="str">
        <f t="array" ref="N87">IFERROR(INDEX('Daily Raw Data'!W:W,Match($A87,'Daily Raw Data'!$B:$B,0)),"")</f>
        <v/>
      </c>
      <c r="O87" t="str">
        <f t="array" ref="O87">IFERROR(INDEX('Daily Raw Data'!Y:Y,Match($A87,'Daily Raw Data'!$B:$B,0)),"")</f>
        <v/>
      </c>
      <c r="P87" t="str">
        <f t="shared" si="1"/>
        <v/>
      </c>
      <c r="Q87" s="14" t="str">
        <f t="shared" si="2"/>
        <v/>
      </c>
      <c r="R87" s="15" t="str">
        <f>IFERROR(__xludf.DUMMYFUNCTION("IF($A87="""","""", IFERROR(PERCENTRANK.INC(FILTER(P:P,$E:$E&lt;&gt;""""),P87)*100,""""))"),"")</f>
        <v/>
      </c>
      <c r="S87" s="15" t="str">
        <f>IFERROR(__xludf.DUMMYFUNCTION("IF($A87="""","""",IFERROR(PERCENTRANK.INC(FILTER(Q:Q,$E:$E&lt;&gt;""""),Q87)*100,""""))"),"")</f>
        <v/>
      </c>
    </row>
    <row r="88">
      <c r="B88" t="str">
        <f t="array" ref="B88">IFERROR(INDEX('Player Raw Data'!C:C,Match($A88,'Player Raw Data'!$B:$B,0)),"")</f>
        <v/>
      </c>
      <c r="C88" t="str">
        <f t="array" ref="C88">IFERROR(INDEX('Player Raw Data'!D:D,Match($A88,'Player Raw Data'!$B:$B,0)),"")</f>
        <v/>
      </c>
      <c r="D88" t="str">
        <f t="array" ref="D88">IFERROR(IF(A88=A87, INDEX('Player Raw Data'!E:E,Match($A88,'Player Raw Data'!$B:$B,0)+2),INDEX('Player Raw Data'!E:E,Match($A88,'Player Raw Data'!$B:$B,0))),"")</f>
        <v/>
      </c>
      <c r="E88" s="27" t="str">
        <f>IFERROR(__xludf.DUMMYFUNCTION("IFERROR(ARRAY_CONSTRAIN(SPLIT(INDEX('Daily Raw Data'!G:G,Match($A88,'Daily Raw Data'!$B:$B,0)),"":""),1,1),"""")"),"")</f>
        <v/>
      </c>
      <c r="F88" t="str">
        <f t="array" ref="F88">IFERROR(INDEX('Daily Raw Data'!H:H,Match($A88,'Daily Raw Data'!$B:$B,0)),"")</f>
        <v/>
      </c>
      <c r="G88" t="str">
        <f t="array" ref="G88">IFERROR(INDEX('Daily Raw Data'!I:I,Match($A88,'Daily Raw Data'!$B:$B,0)),"")</f>
        <v/>
      </c>
      <c r="H88" t="str">
        <f t="array" ref="H88">IFERROR(INDEX('Daily Raw Data'!N:N,Match($A88,'Daily Raw Data'!$B:$B,0)),"")</f>
        <v/>
      </c>
      <c r="I88" t="str">
        <f t="array" ref="I88">IFERROR(INDEX('Daily Raw Data'!O:O,Match($A88,'Daily Raw Data'!$B:$B,0)),"")</f>
        <v/>
      </c>
      <c r="J88" t="str">
        <f t="array" ref="J88">IFERROR(INDEX('Daily Raw Data'!S:S,Match($A88,'Daily Raw Data'!$B:$B,0)),"")</f>
        <v/>
      </c>
      <c r="K88" t="str">
        <f t="array" ref="K88">IFERROR(INDEX('Daily Raw Data'!T:T,Match($A88,'Daily Raw Data'!$B:$B,0)),"")</f>
        <v/>
      </c>
      <c r="L88" t="str">
        <f t="array" ref="L88">IFERROR(INDEX('Daily Raw Data'!U:U,Match($A88,'Daily Raw Data'!$B:$B,0)),"")</f>
        <v/>
      </c>
      <c r="M88" t="str">
        <f t="array" ref="M88">IFERROR(INDEX('Daily Raw Data'!V:V,Match($A88,'Daily Raw Data'!$B:$B,0)),"")</f>
        <v/>
      </c>
      <c r="N88" t="str">
        <f t="array" ref="N88">IFERROR(INDEX('Daily Raw Data'!W:W,Match($A88,'Daily Raw Data'!$B:$B,0)),"")</f>
        <v/>
      </c>
      <c r="O88" t="str">
        <f t="array" ref="O88">IFERROR(INDEX('Daily Raw Data'!Y:Y,Match($A88,'Daily Raw Data'!$B:$B,0)),"")</f>
        <v/>
      </c>
      <c r="P88" t="str">
        <f t="shared" si="1"/>
        <v/>
      </c>
      <c r="Q88" s="14" t="str">
        <f t="shared" si="2"/>
        <v/>
      </c>
      <c r="R88" s="15" t="str">
        <f>IFERROR(__xludf.DUMMYFUNCTION("IF($A88="""","""", IFERROR(PERCENTRANK.INC(FILTER(P:P,$E:$E&lt;&gt;""""),P88)*100,""""))"),"")</f>
        <v/>
      </c>
      <c r="S88" s="15" t="str">
        <f>IFERROR(__xludf.DUMMYFUNCTION("IF($A88="""","""",IFERROR(PERCENTRANK.INC(FILTER(Q:Q,$E:$E&lt;&gt;""""),Q88)*100,""""))"),"")</f>
        <v/>
      </c>
    </row>
    <row r="89">
      <c r="B89" t="str">
        <f t="array" ref="B89">IFERROR(INDEX('Player Raw Data'!C:C,Match($A89,'Player Raw Data'!$B:$B,0)),"")</f>
        <v/>
      </c>
      <c r="C89" t="str">
        <f t="array" ref="C89">IFERROR(INDEX('Player Raw Data'!D:D,Match($A89,'Player Raw Data'!$B:$B,0)),"")</f>
        <v/>
      </c>
      <c r="D89" t="str">
        <f t="array" ref="D89">IFERROR(IF(A89=A88, INDEX('Player Raw Data'!E:E,Match($A89,'Player Raw Data'!$B:$B,0)+2),INDEX('Player Raw Data'!E:E,Match($A89,'Player Raw Data'!$B:$B,0))),"")</f>
        <v/>
      </c>
      <c r="E89" s="27" t="str">
        <f>IFERROR(__xludf.DUMMYFUNCTION("IFERROR(ARRAY_CONSTRAIN(SPLIT(INDEX('Daily Raw Data'!G:G,Match($A89,'Daily Raw Data'!$B:$B,0)),"":""),1,1),"""")"),"")</f>
        <v/>
      </c>
      <c r="F89" t="str">
        <f t="array" ref="F89">IFERROR(INDEX('Daily Raw Data'!H:H,Match($A89,'Daily Raw Data'!$B:$B,0)),"")</f>
        <v/>
      </c>
      <c r="G89" t="str">
        <f t="array" ref="G89">IFERROR(INDEX('Daily Raw Data'!I:I,Match($A89,'Daily Raw Data'!$B:$B,0)),"")</f>
        <v/>
      </c>
      <c r="H89" t="str">
        <f t="array" ref="H89">IFERROR(INDEX('Daily Raw Data'!N:N,Match($A89,'Daily Raw Data'!$B:$B,0)),"")</f>
        <v/>
      </c>
      <c r="I89" t="str">
        <f t="array" ref="I89">IFERROR(INDEX('Daily Raw Data'!O:O,Match($A89,'Daily Raw Data'!$B:$B,0)),"")</f>
        <v/>
      </c>
      <c r="J89" t="str">
        <f t="array" ref="J89">IFERROR(INDEX('Daily Raw Data'!S:S,Match($A89,'Daily Raw Data'!$B:$B,0)),"")</f>
        <v/>
      </c>
      <c r="K89" t="str">
        <f t="array" ref="K89">IFERROR(INDEX('Daily Raw Data'!T:T,Match($A89,'Daily Raw Data'!$B:$B,0)),"")</f>
        <v/>
      </c>
      <c r="L89" t="str">
        <f t="array" ref="L89">IFERROR(INDEX('Daily Raw Data'!U:U,Match($A89,'Daily Raw Data'!$B:$B,0)),"")</f>
        <v/>
      </c>
      <c r="M89" t="str">
        <f t="array" ref="M89">IFERROR(INDEX('Daily Raw Data'!V:V,Match($A89,'Daily Raw Data'!$B:$B,0)),"")</f>
        <v/>
      </c>
      <c r="N89" t="str">
        <f t="array" ref="N89">IFERROR(INDEX('Daily Raw Data'!W:W,Match($A89,'Daily Raw Data'!$B:$B,0)),"")</f>
        <v/>
      </c>
      <c r="O89" t="str">
        <f t="array" ref="O89">IFERROR(INDEX('Daily Raw Data'!Y:Y,Match($A89,'Daily Raw Data'!$B:$B,0)),"")</f>
        <v/>
      </c>
      <c r="P89" t="str">
        <f t="shared" si="1"/>
        <v/>
      </c>
      <c r="Q89" s="14" t="str">
        <f t="shared" si="2"/>
        <v/>
      </c>
      <c r="R89" s="15" t="str">
        <f>IFERROR(__xludf.DUMMYFUNCTION("IF($A89="""","""", IFERROR(PERCENTRANK.INC(FILTER(P:P,$E:$E&lt;&gt;""""),P89)*100,""""))"),"")</f>
        <v/>
      </c>
      <c r="S89" s="15" t="str">
        <f>IFERROR(__xludf.DUMMYFUNCTION("IF($A89="""","""",IFERROR(PERCENTRANK.INC(FILTER(Q:Q,$E:$E&lt;&gt;""""),Q89)*100,""""))"),"")</f>
        <v/>
      </c>
    </row>
    <row r="90">
      <c r="B90" t="str">
        <f t="array" ref="B90">IFERROR(INDEX('Player Raw Data'!C:C,Match($A90,'Player Raw Data'!$B:$B,0)),"")</f>
        <v/>
      </c>
      <c r="C90" t="str">
        <f t="array" ref="C90">IFERROR(INDEX('Player Raw Data'!D:D,Match($A90,'Player Raw Data'!$B:$B,0)),"")</f>
        <v/>
      </c>
      <c r="D90" t="str">
        <f t="array" ref="D90">IFERROR(IF(A90=A89, INDEX('Player Raw Data'!E:E,Match($A90,'Player Raw Data'!$B:$B,0)+2),INDEX('Player Raw Data'!E:E,Match($A90,'Player Raw Data'!$B:$B,0))),"")</f>
        <v/>
      </c>
      <c r="E90" s="27" t="str">
        <f>IFERROR(__xludf.DUMMYFUNCTION("IFERROR(ARRAY_CONSTRAIN(SPLIT(INDEX('Daily Raw Data'!G:G,Match($A90,'Daily Raw Data'!$B:$B,0)),"":""),1,1),"""")"),"")</f>
        <v/>
      </c>
      <c r="F90" t="str">
        <f t="array" ref="F90">IFERROR(INDEX('Daily Raw Data'!H:H,Match($A90,'Daily Raw Data'!$B:$B,0)),"")</f>
        <v/>
      </c>
      <c r="G90" t="str">
        <f t="array" ref="G90">IFERROR(INDEX('Daily Raw Data'!I:I,Match($A90,'Daily Raw Data'!$B:$B,0)),"")</f>
        <v/>
      </c>
      <c r="H90" t="str">
        <f t="array" ref="H90">IFERROR(INDEX('Daily Raw Data'!N:N,Match($A90,'Daily Raw Data'!$B:$B,0)),"")</f>
        <v/>
      </c>
      <c r="I90" t="str">
        <f t="array" ref="I90">IFERROR(INDEX('Daily Raw Data'!O:O,Match($A90,'Daily Raw Data'!$B:$B,0)),"")</f>
        <v/>
      </c>
      <c r="J90" t="str">
        <f t="array" ref="J90">IFERROR(INDEX('Daily Raw Data'!S:S,Match($A90,'Daily Raw Data'!$B:$B,0)),"")</f>
        <v/>
      </c>
      <c r="K90" t="str">
        <f t="array" ref="K90">IFERROR(INDEX('Daily Raw Data'!T:T,Match($A90,'Daily Raw Data'!$B:$B,0)),"")</f>
        <v/>
      </c>
      <c r="L90" t="str">
        <f t="array" ref="L90">IFERROR(INDEX('Daily Raw Data'!U:U,Match($A90,'Daily Raw Data'!$B:$B,0)),"")</f>
        <v/>
      </c>
      <c r="M90" t="str">
        <f t="array" ref="M90">IFERROR(INDEX('Daily Raw Data'!V:V,Match($A90,'Daily Raw Data'!$B:$B,0)),"")</f>
        <v/>
      </c>
      <c r="N90" t="str">
        <f t="array" ref="N90">IFERROR(INDEX('Daily Raw Data'!W:W,Match($A90,'Daily Raw Data'!$B:$B,0)),"")</f>
        <v/>
      </c>
      <c r="O90" t="str">
        <f t="array" ref="O90">IFERROR(INDEX('Daily Raw Data'!Y:Y,Match($A90,'Daily Raw Data'!$B:$B,0)),"")</f>
        <v/>
      </c>
      <c r="P90" t="str">
        <f t="shared" si="1"/>
        <v/>
      </c>
      <c r="Q90" s="14" t="str">
        <f t="shared" si="2"/>
        <v/>
      </c>
      <c r="R90" s="15" t="str">
        <f>IFERROR(__xludf.DUMMYFUNCTION("IF($A90="""","""", IFERROR(PERCENTRANK.INC(FILTER(P:P,$E:$E&lt;&gt;""""),P90)*100,""""))"),"")</f>
        <v/>
      </c>
      <c r="S90" s="15" t="str">
        <f>IFERROR(__xludf.DUMMYFUNCTION("IF($A90="""","""",IFERROR(PERCENTRANK.INC(FILTER(Q:Q,$E:$E&lt;&gt;""""),Q90)*100,""""))"),"")</f>
        <v/>
      </c>
    </row>
    <row r="91">
      <c r="B91" t="str">
        <f t="array" ref="B91">IFERROR(INDEX('Player Raw Data'!C:C,Match($A91,'Player Raw Data'!$B:$B,0)),"")</f>
        <v/>
      </c>
      <c r="C91" t="str">
        <f t="array" ref="C91">IFERROR(INDEX('Player Raw Data'!D:D,Match($A91,'Player Raw Data'!$B:$B,0)),"")</f>
        <v/>
      </c>
      <c r="D91" t="str">
        <f t="array" ref="D91">IFERROR(IF(A91=A90, INDEX('Player Raw Data'!E:E,Match($A91,'Player Raw Data'!$B:$B,0)+2),INDEX('Player Raw Data'!E:E,Match($A91,'Player Raw Data'!$B:$B,0))),"")</f>
        <v/>
      </c>
      <c r="E91" s="27" t="str">
        <f>IFERROR(__xludf.DUMMYFUNCTION("IFERROR(ARRAY_CONSTRAIN(SPLIT(INDEX('Daily Raw Data'!G:G,Match($A91,'Daily Raw Data'!$B:$B,0)),"":""),1,1),"""")"),"")</f>
        <v/>
      </c>
      <c r="F91" t="str">
        <f t="array" ref="F91">IFERROR(INDEX('Daily Raw Data'!H:H,Match($A91,'Daily Raw Data'!$B:$B,0)),"")</f>
        <v/>
      </c>
      <c r="G91" t="str">
        <f t="array" ref="G91">IFERROR(INDEX('Daily Raw Data'!I:I,Match($A91,'Daily Raw Data'!$B:$B,0)),"")</f>
        <v/>
      </c>
      <c r="H91" t="str">
        <f t="array" ref="H91">IFERROR(INDEX('Daily Raw Data'!N:N,Match($A91,'Daily Raw Data'!$B:$B,0)),"")</f>
        <v/>
      </c>
      <c r="I91" t="str">
        <f t="array" ref="I91">IFERROR(INDEX('Daily Raw Data'!O:O,Match($A91,'Daily Raw Data'!$B:$B,0)),"")</f>
        <v/>
      </c>
      <c r="J91" t="str">
        <f t="array" ref="J91">IFERROR(INDEX('Daily Raw Data'!S:S,Match($A91,'Daily Raw Data'!$B:$B,0)),"")</f>
        <v/>
      </c>
      <c r="K91" t="str">
        <f t="array" ref="K91">IFERROR(INDEX('Daily Raw Data'!T:T,Match($A91,'Daily Raw Data'!$B:$B,0)),"")</f>
        <v/>
      </c>
      <c r="L91" t="str">
        <f t="array" ref="L91">IFERROR(INDEX('Daily Raw Data'!U:U,Match($A91,'Daily Raw Data'!$B:$B,0)),"")</f>
        <v/>
      </c>
      <c r="M91" t="str">
        <f t="array" ref="M91">IFERROR(INDEX('Daily Raw Data'!V:V,Match($A91,'Daily Raw Data'!$B:$B,0)),"")</f>
        <v/>
      </c>
      <c r="N91" t="str">
        <f t="array" ref="N91">IFERROR(INDEX('Daily Raw Data'!W:W,Match($A91,'Daily Raw Data'!$B:$B,0)),"")</f>
        <v/>
      </c>
      <c r="O91" t="str">
        <f t="array" ref="O91">IFERROR(INDEX('Daily Raw Data'!Y:Y,Match($A91,'Daily Raw Data'!$B:$B,0)),"")</f>
        <v/>
      </c>
      <c r="P91" t="str">
        <f t="shared" si="1"/>
        <v/>
      </c>
      <c r="Q91" s="14" t="str">
        <f t="shared" si="2"/>
        <v/>
      </c>
      <c r="R91" s="15" t="str">
        <f>IFERROR(__xludf.DUMMYFUNCTION("IF($A91="""","""", IFERROR(PERCENTRANK.INC(FILTER(P:P,$E:$E&lt;&gt;""""),P91)*100,""""))"),"")</f>
        <v/>
      </c>
      <c r="S91" s="15" t="str">
        <f>IFERROR(__xludf.DUMMYFUNCTION("IF($A91="""","""",IFERROR(PERCENTRANK.INC(FILTER(Q:Q,$E:$E&lt;&gt;""""),Q91)*100,""""))"),"")</f>
        <v/>
      </c>
    </row>
    <row r="92">
      <c r="B92" t="str">
        <f t="array" ref="B92">IFERROR(INDEX('Player Raw Data'!C:C,Match($A92,'Player Raw Data'!$B:$B,0)),"")</f>
        <v/>
      </c>
      <c r="C92" t="str">
        <f t="array" ref="C92">IFERROR(INDEX('Player Raw Data'!D:D,Match($A92,'Player Raw Data'!$B:$B,0)),"")</f>
        <v/>
      </c>
      <c r="D92" t="str">
        <f t="array" ref="D92">IFERROR(IF(A92=A91, INDEX('Player Raw Data'!E:E,Match($A92,'Player Raw Data'!$B:$B,0)+2),INDEX('Player Raw Data'!E:E,Match($A92,'Player Raw Data'!$B:$B,0))),"")</f>
        <v/>
      </c>
      <c r="E92" s="27" t="str">
        <f>IFERROR(__xludf.DUMMYFUNCTION("IFERROR(ARRAY_CONSTRAIN(SPLIT(INDEX('Daily Raw Data'!G:G,Match($A92,'Daily Raw Data'!$B:$B,0)),"":""),1,1),"""")"),"")</f>
        <v/>
      </c>
      <c r="F92" t="str">
        <f t="array" ref="F92">IFERROR(INDEX('Daily Raw Data'!H:H,Match($A92,'Daily Raw Data'!$B:$B,0)),"")</f>
        <v/>
      </c>
      <c r="G92" t="str">
        <f t="array" ref="G92">IFERROR(INDEX('Daily Raw Data'!I:I,Match($A92,'Daily Raw Data'!$B:$B,0)),"")</f>
        <v/>
      </c>
      <c r="H92" t="str">
        <f t="array" ref="H92">IFERROR(INDEX('Daily Raw Data'!N:N,Match($A92,'Daily Raw Data'!$B:$B,0)),"")</f>
        <v/>
      </c>
      <c r="I92" t="str">
        <f t="array" ref="I92">IFERROR(INDEX('Daily Raw Data'!O:O,Match($A92,'Daily Raw Data'!$B:$B,0)),"")</f>
        <v/>
      </c>
      <c r="J92" t="str">
        <f t="array" ref="J92">IFERROR(INDEX('Daily Raw Data'!S:S,Match($A92,'Daily Raw Data'!$B:$B,0)),"")</f>
        <v/>
      </c>
      <c r="K92" t="str">
        <f t="array" ref="K92">IFERROR(INDEX('Daily Raw Data'!T:T,Match($A92,'Daily Raw Data'!$B:$B,0)),"")</f>
        <v/>
      </c>
      <c r="L92" t="str">
        <f t="array" ref="L92">IFERROR(INDEX('Daily Raw Data'!U:U,Match($A92,'Daily Raw Data'!$B:$B,0)),"")</f>
        <v/>
      </c>
      <c r="M92" t="str">
        <f t="array" ref="M92">IFERROR(INDEX('Daily Raw Data'!V:V,Match($A92,'Daily Raw Data'!$B:$B,0)),"")</f>
        <v/>
      </c>
      <c r="N92" t="str">
        <f t="array" ref="N92">IFERROR(INDEX('Daily Raw Data'!W:W,Match($A92,'Daily Raw Data'!$B:$B,0)),"")</f>
        <v/>
      </c>
      <c r="O92" t="str">
        <f t="array" ref="O92">IFERROR(INDEX('Daily Raw Data'!Y:Y,Match($A92,'Daily Raw Data'!$B:$B,0)),"")</f>
        <v/>
      </c>
      <c r="P92" t="str">
        <f t="shared" si="1"/>
        <v/>
      </c>
      <c r="Q92" s="14" t="str">
        <f t="shared" si="2"/>
        <v/>
      </c>
      <c r="R92" s="15" t="str">
        <f>IFERROR(__xludf.DUMMYFUNCTION("IF($A92="""","""", IFERROR(PERCENTRANK.INC(FILTER(P:P,$E:$E&lt;&gt;""""),P92)*100,""""))"),"")</f>
        <v/>
      </c>
      <c r="S92" s="15" t="str">
        <f>IFERROR(__xludf.DUMMYFUNCTION("IF($A92="""","""",IFERROR(PERCENTRANK.INC(FILTER(Q:Q,$E:$E&lt;&gt;""""),Q92)*100,""""))"),"")</f>
        <v/>
      </c>
    </row>
    <row r="93">
      <c r="B93" t="str">
        <f t="array" ref="B93">IFERROR(INDEX('Player Raw Data'!C:C,Match($A93,'Player Raw Data'!$B:$B,0)),"")</f>
        <v/>
      </c>
      <c r="C93" t="str">
        <f t="array" ref="C93">IFERROR(INDEX('Player Raw Data'!D:D,Match($A93,'Player Raw Data'!$B:$B,0)),"")</f>
        <v/>
      </c>
      <c r="D93" t="str">
        <f t="array" ref="D93">IFERROR(IF(A93=A92, INDEX('Player Raw Data'!E:E,Match($A93,'Player Raw Data'!$B:$B,0)+2),INDEX('Player Raw Data'!E:E,Match($A93,'Player Raw Data'!$B:$B,0))),"")</f>
        <v/>
      </c>
      <c r="E93" s="27" t="str">
        <f>IFERROR(__xludf.DUMMYFUNCTION("IFERROR(ARRAY_CONSTRAIN(SPLIT(INDEX('Daily Raw Data'!G:G,Match($A93,'Daily Raw Data'!$B:$B,0)),"":""),1,1),"""")"),"")</f>
        <v/>
      </c>
      <c r="F93" t="str">
        <f t="array" ref="F93">IFERROR(INDEX('Daily Raw Data'!H:H,Match($A93,'Daily Raw Data'!$B:$B,0)),"")</f>
        <v/>
      </c>
      <c r="G93" t="str">
        <f t="array" ref="G93">IFERROR(INDEX('Daily Raw Data'!I:I,Match($A93,'Daily Raw Data'!$B:$B,0)),"")</f>
        <v/>
      </c>
      <c r="H93" t="str">
        <f t="array" ref="H93">IFERROR(INDEX('Daily Raw Data'!N:N,Match($A93,'Daily Raw Data'!$B:$B,0)),"")</f>
        <v/>
      </c>
      <c r="I93" t="str">
        <f t="array" ref="I93">IFERROR(INDEX('Daily Raw Data'!O:O,Match($A93,'Daily Raw Data'!$B:$B,0)),"")</f>
        <v/>
      </c>
      <c r="J93" t="str">
        <f t="array" ref="J93">IFERROR(INDEX('Daily Raw Data'!S:S,Match($A93,'Daily Raw Data'!$B:$B,0)),"")</f>
        <v/>
      </c>
      <c r="K93" t="str">
        <f t="array" ref="K93">IFERROR(INDEX('Daily Raw Data'!T:T,Match($A93,'Daily Raw Data'!$B:$B,0)),"")</f>
        <v/>
      </c>
      <c r="L93" t="str">
        <f t="array" ref="L93">IFERROR(INDEX('Daily Raw Data'!U:U,Match($A93,'Daily Raw Data'!$B:$B,0)),"")</f>
        <v/>
      </c>
      <c r="M93" t="str">
        <f t="array" ref="M93">IFERROR(INDEX('Daily Raw Data'!V:V,Match($A93,'Daily Raw Data'!$B:$B,0)),"")</f>
        <v/>
      </c>
      <c r="N93" t="str">
        <f t="array" ref="N93">IFERROR(INDEX('Daily Raw Data'!W:W,Match($A93,'Daily Raw Data'!$B:$B,0)),"")</f>
        <v/>
      </c>
      <c r="O93" t="str">
        <f t="array" ref="O93">IFERROR(INDEX('Daily Raw Data'!Y:Y,Match($A93,'Daily Raw Data'!$B:$B,0)),"")</f>
        <v/>
      </c>
      <c r="P93" t="str">
        <f t="shared" si="1"/>
        <v/>
      </c>
      <c r="Q93" s="14" t="str">
        <f t="shared" si="2"/>
        <v/>
      </c>
      <c r="R93" s="15" t="str">
        <f>IFERROR(__xludf.DUMMYFUNCTION("IF($A93="""","""", IFERROR(PERCENTRANK.INC(FILTER(P:P,$E:$E&lt;&gt;""""),P93)*100,""""))"),"")</f>
        <v/>
      </c>
      <c r="S93" s="15" t="str">
        <f>IFERROR(__xludf.DUMMYFUNCTION("IF($A93="""","""",IFERROR(PERCENTRANK.INC(FILTER(Q:Q,$E:$E&lt;&gt;""""),Q93)*100,""""))"),"")</f>
        <v/>
      </c>
    </row>
    <row r="94">
      <c r="B94" t="str">
        <f t="array" ref="B94">IFERROR(INDEX('Player Raw Data'!C:C,Match($A94,'Player Raw Data'!$B:$B,0)),"")</f>
        <v/>
      </c>
      <c r="C94" t="str">
        <f t="array" ref="C94">IFERROR(INDEX('Player Raw Data'!D:D,Match($A94,'Player Raw Data'!$B:$B,0)),"")</f>
        <v/>
      </c>
      <c r="D94" t="str">
        <f t="array" ref="D94">IFERROR(IF(A94=A93, INDEX('Player Raw Data'!E:E,Match($A94,'Player Raw Data'!$B:$B,0)+2),INDEX('Player Raw Data'!E:E,Match($A94,'Player Raw Data'!$B:$B,0))),"")</f>
        <v/>
      </c>
      <c r="E94" s="27" t="str">
        <f>IFERROR(__xludf.DUMMYFUNCTION("IFERROR(ARRAY_CONSTRAIN(SPLIT(INDEX('Daily Raw Data'!G:G,Match($A94,'Daily Raw Data'!$B:$B,0)),"":""),1,1),"""")"),"")</f>
        <v/>
      </c>
      <c r="F94" t="str">
        <f t="array" ref="F94">IFERROR(INDEX('Daily Raw Data'!H:H,Match($A94,'Daily Raw Data'!$B:$B,0)),"")</f>
        <v/>
      </c>
      <c r="G94" t="str">
        <f t="array" ref="G94">IFERROR(INDEX('Daily Raw Data'!I:I,Match($A94,'Daily Raw Data'!$B:$B,0)),"")</f>
        <v/>
      </c>
      <c r="H94" t="str">
        <f t="array" ref="H94">IFERROR(INDEX('Daily Raw Data'!N:N,Match($A94,'Daily Raw Data'!$B:$B,0)),"")</f>
        <v/>
      </c>
      <c r="I94" t="str">
        <f t="array" ref="I94">IFERROR(INDEX('Daily Raw Data'!O:O,Match($A94,'Daily Raw Data'!$B:$B,0)),"")</f>
        <v/>
      </c>
      <c r="J94" t="str">
        <f t="array" ref="J94">IFERROR(INDEX('Daily Raw Data'!S:S,Match($A94,'Daily Raw Data'!$B:$B,0)),"")</f>
        <v/>
      </c>
      <c r="K94" t="str">
        <f t="array" ref="K94">IFERROR(INDEX('Daily Raw Data'!T:T,Match($A94,'Daily Raw Data'!$B:$B,0)),"")</f>
        <v/>
      </c>
      <c r="L94" t="str">
        <f t="array" ref="L94">IFERROR(INDEX('Daily Raw Data'!U:U,Match($A94,'Daily Raw Data'!$B:$B,0)),"")</f>
        <v/>
      </c>
      <c r="M94" t="str">
        <f t="array" ref="M94">IFERROR(INDEX('Daily Raw Data'!V:V,Match($A94,'Daily Raw Data'!$B:$B,0)),"")</f>
        <v/>
      </c>
      <c r="N94" t="str">
        <f t="array" ref="N94">IFERROR(INDEX('Daily Raw Data'!W:W,Match($A94,'Daily Raw Data'!$B:$B,0)),"")</f>
        <v/>
      </c>
      <c r="O94" t="str">
        <f t="array" ref="O94">IFERROR(INDEX('Daily Raw Data'!Y:Y,Match($A94,'Daily Raw Data'!$B:$B,0)),"")</f>
        <v/>
      </c>
      <c r="P94" t="str">
        <f t="shared" si="1"/>
        <v/>
      </c>
      <c r="Q94" s="14" t="str">
        <f t="shared" si="2"/>
        <v/>
      </c>
      <c r="R94" s="15" t="str">
        <f>IFERROR(__xludf.DUMMYFUNCTION("IF($A94="""","""", IFERROR(PERCENTRANK.INC(FILTER(P:P,$E:$E&lt;&gt;""""),P94)*100,""""))"),"")</f>
        <v/>
      </c>
      <c r="S94" s="15" t="str">
        <f>IFERROR(__xludf.DUMMYFUNCTION("IF($A94="""","""",IFERROR(PERCENTRANK.INC(FILTER(Q:Q,$E:$E&lt;&gt;""""),Q94)*100,""""))"),"")</f>
        <v/>
      </c>
    </row>
    <row r="95">
      <c r="B95" t="str">
        <f t="array" ref="B95">IFERROR(INDEX('Player Raw Data'!C:C,Match($A95,'Player Raw Data'!$B:$B,0)),"")</f>
        <v/>
      </c>
      <c r="C95" t="str">
        <f t="array" ref="C95">IFERROR(INDEX('Player Raw Data'!D:D,Match($A95,'Player Raw Data'!$B:$B,0)),"")</f>
        <v/>
      </c>
      <c r="D95" t="str">
        <f t="array" ref="D95">IFERROR(IF(A95=A94, INDEX('Player Raw Data'!E:E,Match($A95,'Player Raw Data'!$B:$B,0)+2),INDEX('Player Raw Data'!E:E,Match($A95,'Player Raw Data'!$B:$B,0))),"")</f>
        <v/>
      </c>
      <c r="E95" s="27" t="str">
        <f>IFERROR(__xludf.DUMMYFUNCTION("IFERROR(ARRAY_CONSTRAIN(SPLIT(INDEX('Daily Raw Data'!G:G,Match($A95,'Daily Raw Data'!$B:$B,0)),"":""),1,1),"""")"),"")</f>
        <v/>
      </c>
      <c r="F95" t="str">
        <f t="array" ref="F95">IFERROR(INDEX('Daily Raw Data'!H:H,Match($A95,'Daily Raw Data'!$B:$B,0)),"")</f>
        <v/>
      </c>
      <c r="G95" t="str">
        <f t="array" ref="G95">IFERROR(INDEX('Daily Raw Data'!I:I,Match($A95,'Daily Raw Data'!$B:$B,0)),"")</f>
        <v/>
      </c>
      <c r="H95" t="str">
        <f t="array" ref="H95">IFERROR(INDEX('Daily Raw Data'!N:N,Match($A95,'Daily Raw Data'!$B:$B,0)),"")</f>
        <v/>
      </c>
      <c r="I95" t="str">
        <f t="array" ref="I95">IFERROR(INDEX('Daily Raw Data'!O:O,Match($A95,'Daily Raw Data'!$B:$B,0)),"")</f>
        <v/>
      </c>
      <c r="J95" t="str">
        <f t="array" ref="J95">IFERROR(INDEX('Daily Raw Data'!S:S,Match($A95,'Daily Raw Data'!$B:$B,0)),"")</f>
        <v/>
      </c>
      <c r="K95" t="str">
        <f t="array" ref="K95">IFERROR(INDEX('Daily Raw Data'!T:T,Match($A95,'Daily Raw Data'!$B:$B,0)),"")</f>
        <v/>
      </c>
      <c r="L95" t="str">
        <f t="array" ref="L95">IFERROR(INDEX('Daily Raw Data'!U:U,Match($A95,'Daily Raw Data'!$B:$B,0)),"")</f>
        <v/>
      </c>
      <c r="M95" t="str">
        <f t="array" ref="M95">IFERROR(INDEX('Daily Raw Data'!V:V,Match($A95,'Daily Raw Data'!$B:$B,0)),"")</f>
        <v/>
      </c>
      <c r="N95" t="str">
        <f t="array" ref="N95">IFERROR(INDEX('Daily Raw Data'!W:W,Match($A95,'Daily Raw Data'!$B:$B,0)),"")</f>
        <v/>
      </c>
      <c r="O95" t="str">
        <f t="array" ref="O95">IFERROR(INDEX('Daily Raw Data'!Y:Y,Match($A95,'Daily Raw Data'!$B:$B,0)),"")</f>
        <v/>
      </c>
      <c r="P95" t="str">
        <f t="shared" si="1"/>
        <v/>
      </c>
      <c r="Q95" s="14" t="str">
        <f t="shared" si="2"/>
        <v/>
      </c>
      <c r="R95" s="15" t="str">
        <f>IFERROR(__xludf.DUMMYFUNCTION("IF($A95="""","""", IFERROR(PERCENTRANK.INC(FILTER(P:P,$E:$E&lt;&gt;""""),P95)*100,""""))"),"")</f>
        <v/>
      </c>
      <c r="S95" s="15" t="str">
        <f>IFERROR(__xludf.DUMMYFUNCTION("IF($A95="""","""",IFERROR(PERCENTRANK.INC(FILTER(Q:Q,$E:$E&lt;&gt;""""),Q95)*100,""""))"),"")</f>
        <v/>
      </c>
    </row>
    <row r="96">
      <c r="B96" t="str">
        <f t="array" ref="B96">IFERROR(INDEX('Player Raw Data'!C:C,Match($A96,'Player Raw Data'!$B:$B,0)),"")</f>
        <v/>
      </c>
      <c r="C96" t="str">
        <f t="array" ref="C96">IFERROR(INDEX('Player Raw Data'!D:D,Match($A96,'Player Raw Data'!$B:$B,0)),"")</f>
        <v/>
      </c>
      <c r="D96" t="str">
        <f t="array" ref="D96">IFERROR(IF(A96=A95, INDEX('Player Raw Data'!E:E,Match($A96,'Player Raw Data'!$B:$B,0)+2),INDEX('Player Raw Data'!E:E,Match($A96,'Player Raw Data'!$B:$B,0))),"")</f>
        <v/>
      </c>
      <c r="E96" s="27" t="str">
        <f>IFERROR(__xludf.DUMMYFUNCTION("IFERROR(ARRAY_CONSTRAIN(SPLIT(INDEX('Daily Raw Data'!G:G,Match($A96,'Daily Raw Data'!$B:$B,0)),"":""),1,1),"""")"),"")</f>
        <v/>
      </c>
      <c r="F96" t="str">
        <f t="array" ref="F96">IFERROR(INDEX('Daily Raw Data'!H:H,Match($A96,'Daily Raw Data'!$B:$B,0)),"")</f>
        <v/>
      </c>
      <c r="G96" t="str">
        <f t="array" ref="G96">IFERROR(INDEX('Daily Raw Data'!I:I,Match($A96,'Daily Raw Data'!$B:$B,0)),"")</f>
        <v/>
      </c>
      <c r="H96" t="str">
        <f t="array" ref="H96">IFERROR(INDEX('Daily Raw Data'!N:N,Match($A96,'Daily Raw Data'!$B:$B,0)),"")</f>
        <v/>
      </c>
      <c r="I96" t="str">
        <f t="array" ref="I96">IFERROR(INDEX('Daily Raw Data'!O:O,Match($A96,'Daily Raw Data'!$B:$B,0)),"")</f>
        <v/>
      </c>
      <c r="J96" t="str">
        <f t="array" ref="J96">IFERROR(INDEX('Daily Raw Data'!S:S,Match($A96,'Daily Raw Data'!$B:$B,0)),"")</f>
        <v/>
      </c>
      <c r="K96" t="str">
        <f t="array" ref="K96">IFERROR(INDEX('Daily Raw Data'!T:T,Match($A96,'Daily Raw Data'!$B:$B,0)),"")</f>
        <v/>
      </c>
      <c r="L96" t="str">
        <f t="array" ref="L96">IFERROR(INDEX('Daily Raw Data'!U:U,Match($A96,'Daily Raw Data'!$B:$B,0)),"")</f>
        <v/>
      </c>
      <c r="M96" t="str">
        <f t="array" ref="M96">IFERROR(INDEX('Daily Raw Data'!V:V,Match($A96,'Daily Raw Data'!$B:$B,0)),"")</f>
        <v/>
      </c>
      <c r="N96" t="str">
        <f t="array" ref="N96">IFERROR(INDEX('Daily Raw Data'!W:W,Match($A96,'Daily Raw Data'!$B:$B,0)),"")</f>
        <v/>
      </c>
      <c r="O96" t="str">
        <f t="array" ref="O96">IFERROR(INDEX('Daily Raw Data'!Y:Y,Match($A96,'Daily Raw Data'!$B:$B,0)),"")</f>
        <v/>
      </c>
      <c r="P96" t="str">
        <f t="shared" si="1"/>
        <v/>
      </c>
      <c r="Q96" s="14" t="str">
        <f t="shared" si="2"/>
        <v/>
      </c>
      <c r="R96" s="15" t="str">
        <f>IFERROR(__xludf.DUMMYFUNCTION("IF($A96="""","""", IFERROR(PERCENTRANK.INC(FILTER(P:P,$E:$E&lt;&gt;""""),P96)*100,""""))"),"")</f>
        <v/>
      </c>
      <c r="S96" s="15" t="str">
        <f>IFERROR(__xludf.DUMMYFUNCTION("IF($A96="""","""",IFERROR(PERCENTRANK.INC(FILTER(Q:Q,$E:$E&lt;&gt;""""),Q96)*100,""""))"),"")</f>
        <v/>
      </c>
    </row>
    <row r="97">
      <c r="B97" t="str">
        <f t="array" ref="B97">IFERROR(INDEX('Player Raw Data'!C:C,Match($A97,'Player Raw Data'!$B:$B,0)),"")</f>
        <v/>
      </c>
      <c r="C97" t="str">
        <f t="array" ref="C97">IFERROR(INDEX('Player Raw Data'!D:D,Match($A97,'Player Raw Data'!$B:$B,0)),"")</f>
        <v/>
      </c>
      <c r="D97" t="str">
        <f t="array" ref="D97">IFERROR(IF(A97=A96, INDEX('Player Raw Data'!E:E,Match($A97,'Player Raw Data'!$B:$B,0)+2),INDEX('Player Raw Data'!E:E,Match($A97,'Player Raw Data'!$B:$B,0))),"")</f>
        <v/>
      </c>
      <c r="E97" s="27" t="str">
        <f>IFERROR(__xludf.DUMMYFUNCTION("IFERROR(ARRAY_CONSTRAIN(SPLIT(INDEX('Daily Raw Data'!G:G,Match($A97,'Daily Raw Data'!$B:$B,0)),"":""),1,1),"""")"),"")</f>
        <v/>
      </c>
      <c r="F97" t="str">
        <f t="array" ref="F97">IFERROR(INDEX('Daily Raw Data'!H:H,Match($A97,'Daily Raw Data'!$B:$B,0)),"")</f>
        <v/>
      </c>
      <c r="G97" t="str">
        <f t="array" ref="G97">IFERROR(INDEX('Daily Raw Data'!I:I,Match($A97,'Daily Raw Data'!$B:$B,0)),"")</f>
        <v/>
      </c>
      <c r="H97" t="str">
        <f t="array" ref="H97">IFERROR(INDEX('Daily Raw Data'!N:N,Match($A97,'Daily Raw Data'!$B:$B,0)),"")</f>
        <v/>
      </c>
      <c r="I97" t="str">
        <f t="array" ref="I97">IFERROR(INDEX('Daily Raw Data'!O:O,Match($A97,'Daily Raw Data'!$B:$B,0)),"")</f>
        <v/>
      </c>
      <c r="J97" t="str">
        <f t="array" ref="J97">IFERROR(INDEX('Daily Raw Data'!S:S,Match($A97,'Daily Raw Data'!$B:$B,0)),"")</f>
        <v/>
      </c>
      <c r="K97" t="str">
        <f t="array" ref="K97">IFERROR(INDEX('Daily Raw Data'!T:T,Match($A97,'Daily Raw Data'!$B:$B,0)),"")</f>
        <v/>
      </c>
      <c r="L97" t="str">
        <f t="array" ref="L97">IFERROR(INDEX('Daily Raw Data'!U:U,Match($A97,'Daily Raw Data'!$B:$B,0)),"")</f>
        <v/>
      </c>
      <c r="M97" t="str">
        <f t="array" ref="M97">IFERROR(INDEX('Daily Raw Data'!V:V,Match($A97,'Daily Raw Data'!$B:$B,0)),"")</f>
        <v/>
      </c>
      <c r="N97" t="str">
        <f t="array" ref="N97">IFERROR(INDEX('Daily Raw Data'!W:W,Match($A97,'Daily Raw Data'!$B:$B,0)),"")</f>
        <v/>
      </c>
      <c r="O97" t="str">
        <f t="array" ref="O97">IFERROR(INDEX('Daily Raw Data'!Y:Y,Match($A97,'Daily Raw Data'!$B:$B,0)),"")</f>
        <v/>
      </c>
      <c r="P97" t="str">
        <f t="shared" si="1"/>
        <v/>
      </c>
      <c r="Q97" s="14" t="str">
        <f t="shared" si="2"/>
        <v/>
      </c>
      <c r="R97" s="15" t="str">
        <f>IFERROR(__xludf.DUMMYFUNCTION("IF($A97="""","""", IFERROR(PERCENTRANK.INC(FILTER(P:P,$E:$E&lt;&gt;""""),P97)*100,""""))"),"")</f>
        <v/>
      </c>
      <c r="S97" s="15" t="str">
        <f>IFERROR(__xludf.DUMMYFUNCTION("IF($A97="""","""",IFERROR(PERCENTRANK.INC(FILTER(Q:Q,$E:$E&lt;&gt;""""),Q97)*100,""""))"),"")</f>
        <v/>
      </c>
    </row>
    <row r="98">
      <c r="B98" t="str">
        <f t="array" ref="B98">IFERROR(INDEX('Player Raw Data'!C:C,Match($A98,'Player Raw Data'!$B:$B,0)),"")</f>
        <v/>
      </c>
      <c r="C98" t="str">
        <f t="array" ref="C98">IFERROR(INDEX('Player Raw Data'!D:D,Match($A98,'Player Raw Data'!$B:$B,0)),"")</f>
        <v/>
      </c>
      <c r="D98" t="str">
        <f t="array" ref="D98">IFERROR(IF(A98=A97, INDEX('Player Raw Data'!E:E,Match($A98,'Player Raw Data'!$B:$B,0)+2),INDEX('Player Raw Data'!E:E,Match($A98,'Player Raw Data'!$B:$B,0))),"")</f>
        <v/>
      </c>
      <c r="E98" s="27" t="str">
        <f>IFERROR(__xludf.DUMMYFUNCTION("IFERROR(ARRAY_CONSTRAIN(SPLIT(INDEX('Daily Raw Data'!G:G,Match($A98,'Daily Raw Data'!$B:$B,0)),"":""),1,1),"""")"),"")</f>
        <v/>
      </c>
      <c r="F98" t="str">
        <f t="array" ref="F98">IFERROR(INDEX('Daily Raw Data'!H:H,Match($A98,'Daily Raw Data'!$B:$B,0)),"")</f>
        <v/>
      </c>
      <c r="G98" t="str">
        <f t="array" ref="G98">IFERROR(INDEX('Daily Raw Data'!I:I,Match($A98,'Daily Raw Data'!$B:$B,0)),"")</f>
        <v/>
      </c>
      <c r="H98" t="str">
        <f t="array" ref="H98">IFERROR(INDEX('Daily Raw Data'!N:N,Match($A98,'Daily Raw Data'!$B:$B,0)),"")</f>
        <v/>
      </c>
      <c r="I98" t="str">
        <f t="array" ref="I98">IFERROR(INDEX('Daily Raw Data'!O:O,Match($A98,'Daily Raw Data'!$B:$B,0)),"")</f>
        <v/>
      </c>
      <c r="J98" t="str">
        <f t="array" ref="J98">IFERROR(INDEX('Daily Raw Data'!S:S,Match($A98,'Daily Raw Data'!$B:$B,0)),"")</f>
        <v/>
      </c>
      <c r="K98" t="str">
        <f t="array" ref="K98">IFERROR(INDEX('Daily Raw Data'!T:T,Match($A98,'Daily Raw Data'!$B:$B,0)),"")</f>
        <v/>
      </c>
      <c r="L98" t="str">
        <f t="array" ref="L98">IFERROR(INDEX('Daily Raw Data'!U:U,Match($A98,'Daily Raw Data'!$B:$B,0)),"")</f>
        <v/>
      </c>
      <c r="M98" t="str">
        <f t="array" ref="M98">IFERROR(INDEX('Daily Raw Data'!V:V,Match($A98,'Daily Raw Data'!$B:$B,0)),"")</f>
        <v/>
      </c>
      <c r="N98" t="str">
        <f t="array" ref="N98">IFERROR(INDEX('Daily Raw Data'!W:W,Match($A98,'Daily Raw Data'!$B:$B,0)),"")</f>
        <v/>
      </c>
      <c r="O98" t="str">
        <f t="array" ref="O98">IFERROR(INDEX('Daily Raw Data'!Y:Y,Match($A98,'Daily Raw Data'!$B:$B,0)),"")</f>
        <v/>
      </c>
      <c r="P98" t="str">
        <f t="shared" si="1"/>
        <v/>
      </c>
      <c r="Q98" s="14" t="str">
        <f t="shared" si="2"/>
        <v/>
      </c>
      <c r="R98" s="15" t="str">
        <f>IFERROR(__xludf.DUMMYFUNCTION("IF($A98="""","""", IFERROR(PERCENTRANK.INC(FILTER(P:P,$E:$E&lt;&gt;""""),P98)*100,""""))"),"")</f>
        <v/>
      </c>
      <c r="S98" s="15" t="str">
        <f>IFERROR(__xludf.DUMMYFUNCTION("IF($A98="""","""",IFERROR(PERCENTRANK.INC(FILTER(Q:Q,$E:$E&lt;&gt;""""),Q98)*100,""""))"),"")</f>
        <v/>
      </c>
    </row>
    <row r="99">
      <c r="B99" t="str">
        <f t="array" ref="B99">IFERROR(INDEX('Player Raw Data'!C:C,Match($A99,'Player Raw Data'!$B:$B,0)),"")</f>
        <v/>
      </c>
      <c r="C99" t="str">
        <f t="array" ref="C99">IFERROR(INDEX('Player Raw Data'!D:D,Match($A99,'Player Raw Data'!$B:$B,0)),"")</f>
        <v/>
      </c>
      <c r="D99" t="str">
        <f t="array" ref="D99">IFERROR(IF(A99=A98, INDEX('Player Raw Data'!E:E,Match($A99,'Player Raw Data'!$B:$B,0)+2),INDEX('Player Raw Data'!E:E,Match($A99,'Player Raw Data'!$B:$B,0))),"")</f>
        <v/>
      </c>
      <c r="E99" s="27" t="str">
        <f>IFERROR(__xludf.DUMMYFUNCTION("IFERROR(ARRAY_CONSTRAIN(SPLIT(INDEX('Daily Raw Data'!G:G,Match($A99,'Daily Raw Data'!$B:$B,0)),"":""),1,1),"""")"),"")</f>
        <v/>
      </c>
      <c r="F99" t="str">
        <f t="array" ref="F99">IFERROR(INDEX('Daily Raw Data'!H:H,Match($A99,'Daily Raw Data'!$B:$B,0)),"")</f>
        <v/>
      </c>
      <c r="G99" t="str">
        <f t="array" ref="G99">IFERROR(INDEX('Daily Raw Data'!I:I,Match($A99,'Daily Raw Data'!$B:$B,0)),"")</f>
        <v/>
      </c>
      <c r="H99" t="str">
        <f t="array" ref="H99">IFERROR(INDEX('Daily Raw Data'!N:N,Match($A99,'Daily Raw Data'!$B:$B,0)),"")</f>
        <v/>
      </c>
      <c r="I99" t="str">
        <f t="array" ref="I99">IFERROR(INDEX('Daily Raw Data'!O:O,Match($A99,'Daily Raw Data'!$B:$B,0)),"")</f>
        <v/>
      </c>
      <c r="J99" t="str">
        <f t="array" ref="J99">IFERROR(INDEX('Daily Raw Data'!S:S,Match($A99,'Daily Raw Data'!$B:$B,0)),"")</f>
        <v/>
      </c>
      <c r="K99" t="str">
        <f t="array" ref="K99">IFERROR(INDEX('Daily Raw Data'!T:T,Match($A99,'Daily Raw Data'!$B:$B,0)),"")</f>
        <v/>
      </c>
      <c r="L99" t="str">
        <f t="array" ref="L99">IFERROR(INDEX('Daily Raw Data'!U:U,Match($A99,'Daily Raw Data'!$B:$B,0)),"")</f>
        <v/>
      </c>
      <c r="M99" t="str">
        <f t="array" ref="M99">IFERROR(INDEX('Daily Raw Data'!V:V,Match($A99,'Daily Raw Data'!$B:$B,0)),"")</f>
        <v/>
      </c>
      <c r="N99" t="str">
        <f t="array" ref="N99">IFERROR(INDEX('Daily Raw Data'!W:W,Match($A99,'Daily Raw Data'!$B:$B,0)),"")</f>
        <v/>
      </c>
      <c r="O99" t="str">
        <f t="array" ref="O99">IFERROR(INDEX('Daily Raw Data'!Y:Y,Match($A99,'Daily Raw Data'!$B:$B,0)),"")</f>
        <v/>
      </c>
      <c r="P99" t="str">
        <f t="shared" si="1"/>
        <v/>
      </c>
      <c r="Q99" s="14" t="str">
        <f t="shared" si="2"/>
        <v/>
      </c>
      <c r="R99" s="15" t="str">
        <f>IFERROR(__xludf.DUMMYFUNCTION("IF($A99="""","""", IFERROR(PERCENTRANK.INC(FILTER(P:P,$E:$E&lt;&gt;""""),P99)*100,""""))"),"")</f>
        <v/>
      </c>
      <c r="S99" s="15" t="str">
        <f>IFERROR(__xludf.DUMMYFUNCTION("IF($A99="""","""",IFERROR(PERCENTRANK.INC(FILTER(Q:Q,$E:$E&lt;&gt;""""),Q99)*100,""""))"),"")</f>
        <v/>
      </c>
    </row>
    <row r="100">
      <c r="B100" t="str">
        <f t="array" ref="B100">IFERROR(INDEX('Player Raw Data'!C:C,Match($A100,'Player Raw Data'!$B:$B,0)),"")</f>
        <v/>
      </c>
      <c r="C100" t="str">
        <f t="array" ref="C100">IFERROR(INDEX('Player Raw Data'!D:D,Match($A100,'Player Raw Data'!$B:$B,0)),"")</f>
        <v/>
      </c>
      <c r="D100" t="str">
        <f t="array" ref="D100">IFERROR(IF(A100=A99, INDEX('Player Raw Data'!E:E,Match($A100,'Player Raw Data'!$B:$B,0)+2),INDEX('Player Raw Data'!E:E,Match($A100,'Player Raw Data'!$B:$B,0))),"")</f>
        <v/>
      </c>
      <c r="E100" s="27" t="str">
        <f>IFERROR(__xludf.DUMMYFUNCTION("IFERROR(ARRAY_CONSTRAIN(SPLIT(INDEX('Daily Raw Data'!G:G,Match($A100,'Daily Raw Data'!$B:$B,0)),"":""),1,1),"""")"),"")</f>
        <v/>
      </c>
      <c r="F100" t="str">
        <f t="array" ref="F100">IFERROR(INDEX('Daily Raw Data'!H:H,Match($A100,'Daily Raw Data'!$B:$B,0)),"")</f>
        <v/>
      </c>
      <c r="G100" t="str">
        <f t="array" ref="G100">IFERROR(INDEX('Daily Raw Data'!I:I,Match($A100,'Daily Raw Data'!$B:$B,0)),"")</f>
        <v/>
      </c>
      <c r="H100" t="str">
        <f t="array" ref="H100">IFERROR(INDEX('Daily Raw Data'!N:N,Match($A100,'Daily Raw Data'!$B:$B,0)),"")</f>
        <v/>
      </c>
      <c r="I100" t="str">
        <f t="array" ref="I100">IFERROR(INDEX('Daily Raw Data'!O:O,Match($A100,'Daily Raw Data'!$B:$B,0)),"")</f>
        <v/>
      </c>
      <c r="J100" t="str">
        <f t="array" ref="J100">IFERROR(INDEX('Daily Raw Data'!S:S,Match($A100,'Daily Raw Data'!$B:$B,0)),"")</f>
        <v/>
      </c>
      <c r="K100" t="str">
        <f t="array" ref="K100">IFERROR(INDEX('Daily Raw Data'!T:T,Match($A100,'Daily Raw Data'!$B:$B,0)),"")</f>
        <v/>
      </c>
      <c r="L100" t="str">
        <f t="array" ref="L100">IFERROR(INDEX('Daily Raw Data'!U:U,Match($A100,'Daily Raw Data'!$B:$B,0)),"")</f>
        <v/>
      </c>
      <c r="M100" t="str">
        <f t="array" ref="M100">IFERROR(INDEX('Daily Raw Data'!V:V,Match($A100,'Daily Raw Data'!$B:$B,0)),"")</f>
        <v/>
      </c>
      <c r="N100" t="str">
        <f t="array" ref="N100">IFERROR(INDEX('Daily Raw Data'!W:W,Match($A100,'Daily Raw Data'!$B:$B,0)),"")</f>
        <v/>
      </c>
      <c r="O100" t="str">
        <f t="array" ref="O100">IFERROR(INDEX('Daily Raw Data'!Y:Y,Match($A100,'Daily Raw Data'!$B:$B,0)),"")</f>
        <v/>
      </c>
      <c r="P100" t="str">
        <f t="shared" si="1"/>
        <v/>
      </c>
      <c r="Q100" s="14" t="str">
        <f t="shared" si="2"/>
        <v/>
      </c>
      <c r="R100" s="15" t="str">
        <f>IFERROR(__xludf.DUMMYFUNCTION("IF($A100="""","""", IFERROR(PERCENTRANK.INC(FILTER(P:P,$E:$E&lt;&gt;""""),P100)*100,""""))"),"")</f>
        <v/>
      </c>
      <c r="S100" s="15" t="str">
        <f>IFERROR(__xludf.DUMMYFUNCTION("IF($A100="""","""",IFERROR(PERCENTRANK.INC(FILTER(Q:Q,$E:$E&lt;&gt;""""),Q100)*100,""""))"),"")</f>
        <v/>
      </c>
    </row>
    <row r="101">
      <c r="B101" t="str">
        <f t="array" ref="B101">IFERROR(INDEX('Player Raw Data'!C:C,Match($A101,'Player Raw Data'!$B:$B,0)),"")</f>
        <v/>
      </c>
      <c r="C101" t="str">
        <f t="array" ref="C101">IFERROR(INDEX('Player Raw Data'!D:D,Match($A101,'Player Raw Data'!$B:$B,0)),"")</f>
        <v/>
      </c>
      <c r="D101" t="str">
        <f t="array" ref="D101">IFERROR(IF(A101=A100, INDEX('Player Raw Data'!E:E,Match($A101,'Player Raw Data'!$B:$B,0)+2),INDEX('Player Raw Data'!E:E,Match($A101,'Player Raw Data'!$B:$B,0))),"")</f>
        <v/>
      </c>
      <c r="E101" s="27" t="str">
        <f>IFERROR(__xludf.DUMMYFUNCTION("IFERROR(ARRAY_CONSTRAIN(SPLIT(INDEX('Daily Raw Data'!G:G,Match($A101,'Daily Raw Data'!$B:$B,0)),"":""),1,1),"""")"),"")</f>
        <v/>
      </c>
      <c r="F101" t="str">
        <f t="array" ref="F101">IFERROR(INDEX('Daily Raw Data'!H:H,Match($A101,'Daily Raw Data'!$B:$B,0)),"")</f>
        <v/>
      </c>
      <c r="G101" t="str">
        <f t="array" ref="G101">IFERROR(INDEX('Daily Raw Data'!I:I,Match($A101,'Daily Raw Data'!$B:$B,0)),"")</f>
        <v/>
      </c>
      <c r="H101" t="str">
        <f t="array" ref="H101">IFERROR(INDEX('Daily Raw Data'!N:N,Match($A101,'Daily Raw Data'!$B:$B,0)),"")</f>
        <v/>
      </c>
      <c r="I101" t="str">
        <f t="array" ref="I101">IFERROR(INDEX('Daily Raw Data'!O:O,Match($A101,'Daily Raw Data'!$B:$B,0)),"")</f>
        <v/>
      </c>
      <c r="J101" t="str">
        <f t="array" ref="J101">IFERROR(INDEX('Daily Raw Data'!S:S,Match($A101,'Daily Raw Data'!$B:$B,0)),"")</f>
        <v/>
      </c>
      <c r="K101" t="str">
        <f t="array" ref="K101">IFERROR(INDEX('Daily Raw Data'!T:T,Match($A101,'Daily Raw Data'!$B:$B,0)),"")</f>
        <v/>
      </c>
      <c r="L101" t="str">
        <f t="array" ref="L101">IFERROR(INDEX('Daily Raw Data'!U:U,Match($A101,'Daily Raw Data'!$B:$B,0)),"")</f>
        <v/>
      </c>
      <c r="M101" t="str">
        <f t="array" ref="M101">IFERROR(INDEX('Daily Raw Data'!V:V,Match($A101,'Daily Raw Data'!$B:$B,0)),"")</f>
        <v/>
      </c>
      <c r="N101" t="str">
        <f t="array" ref="N101">IFERROR(INDEX('Daily Raw Data'!W:W,Match($A101,'Daily Raw Data'!$B:$B,0)),"")</f>
        <v/>
      </c>
      <c r="O101" t="str">
        <f t="array" ref="O101">IFERROR(INDEX('Daily Raw Data'!Y:Y,Match($A101,'Daily Raw Data'!$B:$B,0)),"")</f>
        <v/>
      </c>
      <c r="P101" t="str">
        <f t="shared" si="1"/>
        <v/>
      </c>
      <c r="Q101" s="14" t="str">
        <f t="shared" si="2"/>
        <v/>
      </c>
      <c r="R101" s="15" t="str">
        <f>IFERROR(__xludf.DUMMYFUNCTION("IF($A101="""","""", IFERROR(PERCENTRANK.INC(FILTER(P:P,$E:$E&lt;&gt;""""),P101)*100,""""))"),"")</f>
        <v/>
      </c>
      <c r="S101" s="15" t="str">
        <f>IFERROR(__xludf.DUMMYFUNCTION("IF($A101="""","""",IFERROR(PERCENTRANK.INC(FILTER(Q:Q,$E:$E&lt;&gt;""""),Q101)*100,""""))"),"")</f>
        <v/>
      </c>
    </row>
    <row r="102">
      <c r="B102" t="str">
        <f t="array" ref="B102">IFERROR(INDEX('Player Raw Data'!C:C,Match($A102,'Player Raw Data'!$B:$B,0)),"")</f>
        <v/>
      </c>
      <c r="C102" t="str">
        <f t="array" ref="C102">IFERROR(INDEX('Player Raw Data'!D:D,Match($A102,'Player Raw Data'!$B:$B,0)),"")</f>
        <v/>
      </c>
      <c r="D102" t="str">
        <f t="array" ref="D102">IFERROR(IF(A102=A101, INDEX('Player Raw Data'!E:E,Match($A102,'Player Raw Data'!$B:$B,0)+2),INDEX('Player Raw Data'!E:E,Match($A102,'Player Raw Data'!$B:$B,0))),"")</f>
        <v/>
      </c>
      <c r="E102" s="27" t="str">
        <f>IFERROR(__xludf.DUMMYFUNCTION("IFERROR(ARRAY_CONSTRAIN(SPLIT(INDEX('Daily Raw Data'!G:G,Match($A102,'Daily Raw Data'!$B:$B,0)),"":""),1,1),"""")"),"")</f>
        <v/>
      </c>
      <c r="F102" t="str">
        <f t="array" ref="F102">IFERROR(INDEX('Daily Raw Data'!H:H,Match($A102,'Daily Raw Data'!$B:$B,0)),"")</f>
        <v/>
      </c>
      <c r="G102" t="str">
        <f t="array" ref="G102">IFERROR(INDEX('Daily Raw Data'!I:I,Match($A102,'Daily Raw Data'!$B:$B,0)),"")</f>
        <v/>
      </c>
      <c r="H102" t="str">
        <f t="array" ref="H102">IFERROR(INDEX('Daily Raw Data'!N:N,Match($A102,'Daily Raw Data'!$B:$B,0)),"")</f>
        <v/>
      </c>
      <c r="I102" t="str">
        <f t="array" ref="I102">IFERROR(INDEX('Daily Raw Data'!O:O,Match($A102,'Daily Raw Data'!$B:$B,0)),"")</f>
        <v/>
      </c>
      <c r="J102" t="str">
        <f t="array" ref="J102">IFERROR(INDEX('Daily Raw Data'!S:S,Match($A102,'Daily Raw Data'!$B:$B,0)),"")</f>
        <v/>
      </c>
      <c r="K102" t="str">
        <f t="array" ref="K102">IFERROR(INDEX('Daily Raw Data'!T:T,Match($A102,'Daily Raw Data'!$B:$B,0)),"")</f>
        <v/>
      </c>
      <c r="L102" t="str">
        <f t="array" ref="L102">IFERROR(INDEX('Daily Raw Data'!U:U,Match($A102,'Daily Raw Data'!$B:$B,0)),"")</f>
        <v/>
      </c>
      <c r="M102" t="str">
        <f t="array" ref="M102">IFERROR(INDEX('Daily Raw Data'!V:V,Match($A102,'Daily Raw Data'!$B:$B,0)),"")</f>
        <v/>
      </c>
      <c r="N102" t="str">
        <f t="array" ref="N102">IFERROR(INDEX('Daily Raw Data'!W:W,Match($A102,'Daily Raw Data'!$B:$B,0)),"")</f>
        <v/>
      </c>
      <c r="O102" t="str">
        <f t="array" ref="O102">IFERROR(INDEX('Daily Raw Data'!Y:Y,Match($A102,'Daily Raw Data'!$B:$B,0)),"")</f>
        <v/>
      </c>
      <c r="P102" t="str">
        <f t="shared" si="1"/>
        <v/>
      </c>
      <c r="Q102" s="14" t="str">
        <f t="shared" si="2"/>
        <v/>
      </c>
      <c r="R102" s="15" t="str">
        <f>IFERROR(__xludf.DUMMYFUNCTION("IF($A102="""","""", IFERROR(PERCENTRANK.INC(FILTER(P:P,$E:$E&lt;&gt;""""),P102)*100,""""))"),"")</f>
        <v/>
      </c>
      <c r="S102" s="15" t="str">
        <f>IFERROR(__xludf.DUMMYFUNCTION("IF($A102="""","""",IFERROR(PERCENTRANK.INC(FILTER(Q:Q,$E:$E&lt;&gt;""""),Q102)*100,""""))"),"")</f>
        <v/>
      </c>
    </row>
    <row r="103">
      <c r="B103" t="str">
        <f t="array" ref="B103">IFERROR(INDEX('Player Raw Data'!C:C,Match($A103,'Player Raw Data'!$B:$B,0)),"")</f>
        <v/>
      </c>
      <c r="C103" t="str">
        <f t="array" ref="C103">IFERROR(INDEX('Player Raw Data'!D:D,Match($A103,'Player Raw Data'!$B:$B,0)),"")</f>
        <v/>
      </c>
      <c r="D103" t="str">
        <f t="array" ref="D103">IFERROR(IF(A103=A102, INDEX('Player Raw Data'!E:E,Match($A103,'Player Raw Data'!$B:$B,0)+2),INDEX('Player Raw Data'!E:E,Match($A103,'Player Raw Data'!$B:$B,0))),"")</f>
        <v/>
      </c>
      <c r="E103" s="27" t="str">
        <f>IFERROR(__xludf.DUMMYFUNCTION("IFERROR(ARRAY_CONSTRAIN(SPLIT(INDEX('Daily Raw Data'!G:G,Match($A103,'Daily Raw Data'!$B:$B,0)),"":""),1,1),"""")"),"")</f>
        <v/>
      </c>
      <c r="F103" t="str">
        <f t="array" ref="F103">IFERROR(INDEX('Daily Raw Data'!H:H,Match($A103,'Daily Raw Data'!$B:$B,0)),"")</f>
        <v/>
      </c>
      <c r="G103" t="str">
        <f t="array" ref="G103">IFERROR(INDEX('Daily Raw Data'!I:I,Match($A103,'Daily Raw Data'!$B:$B,0)),"")</f>
        <v/>
      </c>
      <c r="H103" t="str">
        <f t="array" ref="H103">IFERROR(INDEX('Daily Raw Data'!N:N,Match($A103,'Daily Raw Data'!$B:$B,0)),"")</f>
        <v/>
      </c>
      <c r="I103" t="str">
        <f t="array" ref="I103">IFERROR(INDEX('Daily Raw Data'!O:O,Match($A103,'Daily Raw Data'!$B:$B,0)),"")</f>
        <v/>
      </c>
      <c r="J103" t="str">
        <f t="array" ref="J103">IFERROR(INDEX('Daily Raw Data'!S:S,Match($A103,'Daily Raw Data'!$B:$B,0)),"")</f>
        <v/>
      </c>
      <c r="K103" t="str">
        <f t="array" ref="K103">IFERROR(INDEX('Daily Raw Data'!T:T,Match($A103,'Daily Raw Data'!$B:$B,0)),"")</f>
        <v/>
      </c>
      <c r="L103" t="str">
        <f t="array" ref="L103">IFERROR(INDEX('Daily Raw Data'!U:U,Match($A103,'Daily Raw Data'!$B:$B,0)),"")</f>
        <v/>
      </c>
      <c r="M103" t="str">
        <f t="array" ref="M103">IFERROR(INDEX('Daily Raw Data'!V:V,Match($A103,'Daily Raw Data'!$B:$B,0)),"")</f>
        <v/>
      </c>
      <c r="N103" t="str">
        <f t="array" ref="N103">IFERROR(INDEX('Daily Raw Data'!W:W,Match($A103,'Daily Raw Data'!$B:$B,0)),"")</f>
        <v/>
      </c>
      <c r="O103" t="str">
        <f t="array" ref="O103">IFERROR(INDEX('Daily Raw Data'!Y:Y,Match($A103,'Daily Raw Data'!$B:$B,0)),"")</f>
        <v/>
      </c>
      <c r="P103" t="str">
        <f t="shared" si="1"/>
        <v/>
      </c>
      <c r="Q103" s="14" t="str">
        <f t="shared" si="2"/>
        <v/>
      </c>
      <c r="R103" s="15" t="str">
        <f>IFERROR(__xludf.DUMMYFUNCTION("IF($A103="""","""", IFERROR(PERCENTRANK.INC(FILTER(P:P,$E:$E&lt;&gt;""""),P103)*100,""""))"),"")</f>
        <v/>
      </c>
      <c r="S103" s="15" t="str">
        <f>IFERROR(__xludf.DUMMYFUNCTION("IF($A103="""","""",IFERROR(PERCENTRANK.INC(FILTER(Q:Q,$E:$E&lt;&gt;""""),Q103)*100,""""))"),"")</f>
        <v/>
      </c>
    </row>
    <row r="104">
      <c r="B104" t="str">
        <f t="array" ref="B104">IFERROR(INDEX('Player Raw Data'!C:C,Match($A104,'Player Raw Data'!$B:$B,0)),"")</f>
        <v/>
      </c>
      <c r="C104" t="str">
        <f t="array" ref="C104">IFERROR(INDEX('Player Raw Data'!D:D,Match($A104,'Player Raw Data'!$B:$B,0)),"")</f>
        <v/>
      </c>
      <c r="D104" t="str">
        <f t="array" ref="D104">IFERROR(IF(A104=A103, INDEX('Player Raw Data'!E:E,Match($A104,'Player Raw Data'!$B:$B,0)+2),INDEX('Player Raw Data'!E:E,Match($A104,'Player Raw Data'!$B:$B,0))),"")</f>
        <v/>
      </c>
      <c r="E104" s="27" t="str">
        <f>IFERROR(__xludf.DUMMYFUNCTION("IFERROR(ARRAY_CONSTRAIN(SPLIT(INDEX('Daily Raw Data'!G:G,Match($A104,'Daily Raw Data'!$B:$B,0)),"":""),1,1),"""")"),"")</f>
        <v/>
      </c>
      <c r="F104" t="str">
        <f t="array" ref="F104">IFERROR(INDEX('Daily Raw Data'!H:H,Match($A104,'Daily Raw Data'!$B:$B,0)),"")</f>
        <v/>
      </c>
      <c r="G104" t="str">
        <f t="array" ref="G104">IFERROR(INDEX('Daily Raw Data'!I:I,Match($A104,'Daily Raw Data'!$B:$B,0)),"")</f>
        <v/>
      </c>
      <c r="H104" t="str">
        <f t="array" ref="H104">IFERROR(INDEX('Daily Raw Data'!N:N,Match($A104,'Daily Raw Data'!$B:$B,0)),"")</f>
        <v/>
      </c>
      <c r="I104" t="str">
        <f t="array" ref="I104">IFERROR(INDEX('Daily Raw Data'!O:O,Match($A104,'Daily Raw Data'!$B:$B,0)),"")</f>
        <v/>
      </c>
      <c r="J104" t="str">
        <f t="array" ref="J104">IFERROR(INDEX('Daily Raw Data'!S:S,Match($A104,'Daily Raw Data'!$B:$B,0)),"")</f>
        <v/>
      </c>
      <c r="K104" t="str">
        <f t="array" ref="K104">IFERROR(INDEX('Daily Raw Data'!T:T,Match($A104,'Daily Raw Data'!$B:$B,0)),"")</f>
        <v/>
      </c>
      <c r="L104" t="str">
        <f t="array" ref="L104">IFERROR(INDEX('Daily Raw Data'!U:U,Match($A104,'Daily Raw Data'!$B:$B,0)),"")</f>
        <v/>
      </c>
      <c r="M104" t="str">
        <f t="array" ref="M104">IFERROR(INDEX('Daily Raw Data'!V:V,Match($A104,'Daily Raw Data'!$B:$B,0)),"")</f>
        <v/>
      </c>
      <c r="N104" t="str">
        <f t="array" ref="N104">IFERROR(INDEX('Daily Raw Data'!W:W,Match($A104,'Daily Raw Data'!$B:$B,0)),"")</f>
        <v/>
      </c>
      <c r="O104" t="str">
        <f t="array" ref="O104">IFERROR(INDEX('Daily Raw Data'!Y:Y,Match($A104,'Daily Raw Data'!$B:$B,0)),"")</f>
        <v/>
      </c>
      <c r="P104" t="str">
        <f t="shared" si="1"/>
        <v/>
      </c>
      <c r="Q104" s="14" t="str">
        <f t="shared" si="2"/>
        <v/>
      </c>
      <c r="R104" s="15" t="str">
        <f>IFERROR(__xludf.DUMMYFUNCTION("IF($A104="""","""", IFERROR(PERCENTRANK.INC(FILTER(P:P,$E:$E&lt;&gt;""""),P104)*100,""""))"),"")</f>
        <v/>
      </c>
      <c r="S104" s="15" t="str">
        <f>IFERROR(__xludf.DUMMYFUNCTION("IF($A104="""","""",IFERROR(PERCENTRANK.INC(FILTER(Q:Q,$E:$E&lt;&gt;""""),Q104)*100,""""))"),"")</f>
        <v/>
      </c>
    </row>
    <row r="105">
      <c r="B105" t="str">
        <f t="array" ref="B105">IFERROR(INDEX('Player Raw Data'!C:C,Match($A105,'Player Raw Data'!$B:$B,0)),"")</f>
        <v/>
      </c>
      <c r="C105" t="str">
        <f t="array" ref="C105">IFERROR(INDEX('Player Raw Data'!D:D,Match($A105,'Player Raw Data'!$B:$B,0)),"")</f>
        <v/>
      </c>
      <c r="D105" t="str">
        <f t="array" ref="D105">IFERROR(IF(A105=A104, INDEX('Player Raw Data'!E:E,Match($A105,'Player Raw Data'!$B:$B,0)+2),INDEX('Player Raw Data'!E:E,Match($A105,'Player Raw Data'!$B:$B,0))),"")</f>
        <v/>
      </c>
      <c r="E105" s="27" t="str">
        <f>IFERROR(__xludf.DUMMYFUNCTION("IFERROR(ARRAY_CONSTRAIN(SPLIT(INDEX('Daily Raw Data'!G:G,Match($A105,'Daily Raw Data'!$B:$B,0)),"":""),1,1),"""")"),"")</f>
        <v/>
      </c>
      <c r="F105" t="str">
        <f t="array" ref="F105">IFERROR(INDEX('Daily Raw Data'!H:H,Match($A105,'Daily Raw Data'!$B:$B,0)),"")</f>
        <v/>
      </c>
      <c r="G105" t="str">
        <f t="array" ref="G105">IFERROR(INDEX('Daily Raw Data'!I:I,Match($A105,'Daily Raw Data'!$B:$B,0)),"")</f>
        <v/>
      </c>
      <c r="H105" t="str">
        <f t="array" ref="H105">IFERROR(INDEX('Daily Raw Data'!N:N,Match($A105,'Daily Raw Data'!$B:$B,0)),"")</f>
        <v/>
      </c>
      <c r="I105" t="str">
        <f t="array" ref="I105">IFERROR(INDEX('Daily Raw Data'!O:O,Match($A105,'Daily Raw Data'!$B:$B,0)),"")</f>
        <v/>
      </c>
      <c r="J105" t="str">
        <f t="array" ref="J105">IFERROR(INDEX('Daily Raw Data'!S:S,Match($A105,'Daily Raw Data'!$B:$B,0)),"")</f>
        <v/>
      </c>
      <c r="K105" t="str">
        <f t="array" ref="K105">IFERROR(INDEX('Daily Raw Data'!T:T,Match($A105,'Daily Raw Data'!$B:$B,0)),"")</f>
        <v/>
      </c>
      <c r="L105" t="str">
        <f t="array" ref="L105">IFERROR(INDEX('Daily Raw Data'!U:U,Match($A105,'Daily Raw Data'!$B:$B,0)),"")</f>
        <v/>
      </c>
      <c r="M105" t="str">
        <f t="array" ref="M105">IFERROR(INDEX('Daily Raw Data'!V:V,Match($A105,'Daily Raw Data'!$B:$B,0)),"")</f>
        <v/>
      </c>
      <c r="N105" t="str">
        <f t="array" ref="N105">IFERROR(INDEX('Daily Raw Data'!W:W,Match($A105,'Daily Raw Data'!$B:$B,0)),"")</f>
        <v/>
      </c>
      <c r="O105" t="str">
        <f t="array" ref="O105">IFERROR(INDEX('Daily Raw Data'!Y:Y,Match($A105,'Daily Raw Data'!$B:$B,0)),"")</f>
        <v/>
      </c>
      <c r="P105" t="str">
        <f t="shared" si="1"/>
        <v/>
      </c>
      <c r="Q105" s="14" t="str">
        <f t="shared" si="2"/>
        <v/>
      </c>
      <c r="R105" s="15" t="str">
        <f>IFERROR(__xludf.DUMMYFUNCTION("IF($A105="""","""", IFERROR(PERCENTRANK.INC(FILTER(P:P,$E:$E&lt;&gt;""""),P105)*100,""""))"),"")</f>
        <v/>
      </c>
      <c r="S105" s="15" t="str">
        <f>IFERROR(__xludf.DUMMYFUNCTION("IF($A105="""","""",IFERROR(PERCENTRANK.INC(FILTER(Q:Q,$E:$E&lt;&gt;""""),Q105)*100,""""))"),"")</f>
        <v/>
      </c>
    </row>
    <row r="106">
      <c r="B106" t="str">
        <f t="array" ref="B106">IFERROR(INDEX('Player Raw Data'!C:C,Match($A106,'Player Raw Data'!$B:$B,0)),"")</f>
        <v/>
      </c>
      <c r="C106" t="str">
        <f t="array" ref="C106">IFERROR(INDEX('Player Raw Data'!D:D,Match($A106,'Player Raw Data'!$B:$B,0)),"")</f>
        <v/>
      </c>
      <c r="D106" t="str">
        <f t="array" ref="D106">IFERROR(IF(A106=A105, INDEX('Player Raw Data'!E:E,Match($A106,'Player Raw Data'!$B:$B,0)+2),INDEX('Player Raw Data'!E:E,Match($A106,'Player Raw Data'!$B:$B,0))),"")</f>
        <v/>
      </c>
      <c r="E106" s="27" t="str">
        <f>IFERROR(__xludf.DUMMYFUNCTION("IFERROR(ARRAY_CONSTRAIN(SPLIT(INDEX('Daily Raw Data'!G:G,Match($A106,'Daily Raw Data'!$B:$B,0)),"":""),1,1),"""")"),"")</f>
        <v/>
      </c>
      <c r="F106" t="str">
        <f t="array" ref="F106">IFERROR(INDEX('Daily Raw Data'!H:H,Match($A106,'Daily Raw Data'!$B:$B,0)),"")</f>
        <v/>
      </c>
      <c r="G106" t="str">
        <f t="array" ref="G106">IFERROR(INDEX('Daily Raw Data'!I:I,Match($A106,'Daily Raw Data'!$B:$B,0)),"")</f>
        <v/>
      </c>
      <c r="H106" t="str">
        <f t="array" ref="H106">IFERROR(INDEX('Daily Raw Data'!N:N,Match($A106,'Daily Raw Data'!$B:$B,0)),"")</f>
        <v/>
      </c>
      <c r="I106" t="str">
        <f t="array" ref="I106">IFERROR(INDEX('Daily Raw Data'!O:O,Match($A106,'Daily Raw Data'!$B:$B,0)),"")</f>
        <v/>
      </c>
      <c r="J106" t="str">
        <f t="array" ref="J106">IFERROR(INDEX('Daily Raw Data'!S:S,Match($A106,'Daily Raw Data'!$B:$B,0)),"")</f>
        <v/>
      </c>
      <c r="K106" t="str">
        <f t="array" ref="K106">IFERROR(INDEX('Daily Raw Data'!T:T,Match($A106,'Daily Raw Data'!$B:$B,0)),"")</f>
        <v/>
      </c>
      <c r="L106" t="str">
        <f t="array" ref="L106">IFERROR(INDEX('Daily Raw Data'!U:U,Match($A106,'Daily Raw Data'!$B:$B,0)),"")</f>
        <v/>
      </c>
      <c r="M106" t="str">
        <f t="array" ref="M106">IFERROR(INDEX('Daily Raw Data'!V:V,Match($A106,'Daily Raw Data'!$B:$B,0)),"")</f>
        <v/>
      </c>
      <c r="N106" t="str">
        <f t="array" ref="N106">IFERROR(INDEX('Daily Raw Data'!W:W,Match($A106,'Daily Raw Data'!$B:$B,0)),"")</f>
        <v/>
      </c>
      <c r="O106" t="str">
        <f t="array" ref="O106">IFERROR(INDEX('Daily Raw Data'!Y:Y,Match($A106,'Daily Raw Data'!$B:$B,0)),"")</f>
        <v/>
      </c>
      <c r="P106" t="str">
        <f t="shared" si="1"/>
        <v/>
      </c>
      <c r="Q106" s="14" t="str">
        <f t="shared" si="2"/>
        <v/>
      </c>
      <c r="R106" s="15" t="str">
        <f>IFERROR(__xludf.DUMMYFUNCTION("IF($A106="""","""", IFERROR(PERCENTRANK.INC(FILTER(P:P,$E:$E&lt;&gt;""""),P106)*100,""""))"),"")</f>
        <v/>
      </c>
      <c r="S106" s="15" t="str">
        <f>IFERROR(__xludf.DUMMYFUNCTION("IF($A106="""","""",IFERROR(PERCENTRANK.INC(FILTER(Q:Q,$E:$E&lt;&gt;""""),Q106)*100,""""))"),"")</f>
        <v/>
      </c>
    </row>
    <row r="107">
      <c r="B107" t="str">
        <f t="array" ref="B107">IFERROR(INDEX('Player Raw Data'!C:C,Match($A107,'Player Raw Data'!$B:$B,0)),"")</f>
        <v/>
      </c>
      <c r="C107" t="str">
        <f t="array" ref="C107">IFERROR(INDEX('Player Raw Data'!D:D,Match($A107,'Player Raw Data'!$B:$B,0)),"")</f>
        <v/>
      </c>
      <c r="D107" t="str">
        <f t="array" ref="D107">IFERROR(IF(A107=A106, INDEX('Player Raw Data'!E:E,Match($A107,'Player Raw Data'!$B:$B,0)+2),INDEX('Player Raw Data'!E:E,Match($A107,'Player Raw Data'!$B:$B,0))),"")</f>
        <v/>
      </c>
      <c r="E107" s="27" t="str">
        <f>IFERROR(__xludf.DUMMYFUNCTION("IFERROR(ARRAY_CONSTRAIN(SPLIT(INDEX('Daily Raw Data'!G:G,Match($A107,'Daily Raw Data'!$B:$B,0)),"":""),1,1),"""")"),"")</f>
        <v/>
      </c>
      <c r="F107" t="str">
        <f t="array" ref="F107">IFERROR(INDEX('Daily Raw Data'!H:H,Match($A107,'Daily Raw Data'!$B:$B,0)),"")</f>
        <v/>
      </c>
      <c r="G107" t="str">
        <f t="array" ref="G107">IFERROR(INDEX('Daily Raw Data'!I:I,Match($A107,'Daily Raw Data'!$B:$B,0)),"")</f>
        <v/>
      </c>
      <c r="H107" t="str">
        <f t="array" ref="H107">IFERROR(INDEX('Daily Raw Data'!N:N,Match($A107,'Daily Raw Data'!$B:$B,0)),"")</f>
        <v/>
      </c>
      <c r="I107" t="str">
        <f t="array" ref="I107">IFERROR(INDEX('Daily Raw Data'!O:O,Match($A107,'Daily Raw Data'!$B:$B,0)),"")</f>
        <v/>
      </c>
      <c r="J107" t="str">
        <f t="array" ref="J107">IFERROR(INDEX('Daily Raw Data'!S:S,Match($A107,'Daily Raw Data'!$B:$B,0)),"")</f>
        <v/>
      </c>
      <c r="K107" t="str">
        <f t="array" ref="K107">IFERROR(INDEX('Daily Raw Data'!T:T,Match($A107,'Daily Raw Data'!$B:$B,0)),"")</f>
        <v/>
      </c>
      <c r="L107" t="str">
        <f t="array" ref="L107">IFERROR(INDEX('Daily Raw Data'!U:U,Match($A107,'Daily Raw Data'!$B:$B,0)),"")</f>
        <v/>
      </c>
      <c r="M107" t="str">
        <f t="array" ref="M107">IFERROR(INDEX('Daily Raw Data'!V:V,Match($A107,'Daily Raw Data'!$B:$B,0)),"")</f>
        <v/>
      </c>
      <c r="N107" t="str">
        <f t="array" ref="N107">IFERROR(INDEX('Daily Raw Data'!W:W,Match($A107,'Daily Raw Data'!$B:$B,0)),"")</f>
        <v/>
      </c>
      <c r="O107" t="str">
        <f t="array" ref="O107">IFERROR(INDEX('Daily Raw Data'!Y:Y,Match($A107,'Daily Raw Data'!$B:$B,0)),"")</f>
        <v/>
      </c>
      <c r="P107" t="str">
        <f t="shared" si="1"/>
        <v/>
      </c>
      <c r="Q107" s="14" t="str">
        <f t="shared" si="2"/>
        <v/>
      </c>
      <c r="R107" s="15" t="str">
        <f>IFERROR(__xludf.DUMMYFUNCTION("IF($A107="""","""", IFERROR(PERCENTRANK.INC(FILTER(P:P,$E:$E&lt;&gt;""""),P107)*100,""""))"),"")</f>
        <v/>
      </c>
      <c r="S107" s="15" t="str">
        <f>IFERROR(__xludf.DUMMYFUNCTION("IF($A107="""","""",IFERROR(PERCENTRANK.INC(FILTER(Q:Q,$E:$E&lt;&gt;""""),Q107)*100,""""))"),"")</f>
        <v/>
      </c>
    </row>
    <row r="108">
      <c r="B108" t="str">
        <f t="array" ref="B108">IFERROR(INDEX('Player Raw Data'!C:C,Match($A108,'Player Raw Data'!$B:$B,0)),"")</f>
        <v/>
      </c>
      <c r="C108" t="str">
        <f t="array" ref="C108">IFERROR(INDEX('Player Raw Data'!D:D,Match($A108,'Player Raw Data'!$B:$B,0)),"")</f>
        <v/>
      </c>
      <c r="D108" t="str">
        <f t="array" ref="D108">IFERROR(IF(A108=A107, INDEX('Player Raw Data'!E:E,Match($A108,'Player Raw Data'!$B:$B,0)+2),INDEX('Player Raw Data'!E:E,Match($A108,'Player Raw Data'!$B:$B,0))),"")</f>
        <v/>
      </c>
      <c r="E108" s="27" t="str">
        <f>IFERROR(__xludf.DUMMYFUNCTION("IFERROR(ARRAY_CONSTRAIN(SPLIT(INDEX('Daily Raw Data'!G:G,Match($A108,'Daily Raw Data'!$B:$B,0)),"":""),1,1),"""")"),"")</f>
        <v/>
      </c>
      <c r="F108" t="str">
        <f t="array" ref="F108">IFERROR(INDEX('Daily Raw Data'!H:H,Match($A108,'Daily Raw Data'!$B:$B,0)),"")</f>
        <v/>
      </c>
      <c r="G108" t="str">
        <f t="array" ref="G108">IFERROR(INDEX('Daily Raw Data'!I:I,Match($A108,'Daily Raw Data'!$B:$B,0)),"")</f>
        <v/>
      </c>
      <c r="H108" t="str">
        <f t="array" ref="H108">IFERROR(INDEX('Daily Raw Data'!N:N,Match($A108,'Daily Raw Data'!$B:$B,0)),"")</f>
        <v/>
      </c>
      <c r="I108" t="str">
        <f t="array" ref="I108">IFERROR(INDEX('Daily Raw Data'!O:O,Match($A108,'Daily Raw Data'!$B:$B,0)),"")</f>
        <v/>
      </c>
      <c r="J108" t="str">
        <f t="array" ref="J108">IFERROR(INDEX('Daily Raw Data'!S:S,Match($A108,'Daily Raw Data'!$B:$B,0)),"")</f>
        <v/>
      </c>
      <c r="K108" t="str">
        <f t="array" ref="K108">IFERROR(INDEX('Daily Raw Data'!T:T,Match($A108,'Daily Raw Data'!$B:$B,0)),"")</f>
        <v/>
      </c>
      <c r="L108" t="str">
        <f t="array" ref="L108">IFERROR(INDEX('Daily Raw Data'!U:U,Match($A108,'Daily Raw Data'!$B:$B,0)),"")</f>
        <v/>
      </c>
      <c r="M108" t="str">
        <f t="array" ref="M108">IFERROR(INDEX('Daily Raw Data'!V:V,Match($A108,'Daily Raw Data'!$B:$B,0)),"")</f>
        <v/>
      </c>
      <c r="N108" t="str">
        <f t="array" ref="N108">IFERROR(INDEX('Daily Raw Data'!W:W,Match($A108,'Daily Raw Data'!$B:$B,0)),"")</f>
        <v/>
      </c>
      <c r="O108" t="str">
        <f t="array" ref="O108">IFERROR(INDEX('Daily Raw Data'!Y:Y,Match($A108,'Daily Raw Data'!$B:$B,0)),"")</f>
        <v/>
      </c>
      <c r="P108" t="str">
        <f t="shared" si="1"/>
        <v/>
      </c>
      <c r="Q108" s="14" t="str">
        <f t="shared" si="2"/>
        <v/>
      </c>
      <c r="R108" s="15" t="str">
        <f>IFERROR(__xludf.DUMMYFUNCTION("IF($A108="""","""", IFERROR(PERCENTRANK.INC(FILTER(P:P,$E:$E&lt;&gt;""""),P108)*100,""""))"),"")</f>
        <v/>
      </c>
      <c r="S108" s="15" t="str">
        <f>IFERROR(__xludf.DUMMYFUNCTION("IF($A108="""","""",IFERROR(PERCENTRANK.INC(FILTER(Q:Q,$E:$E&lt;&gt;""""),Q108)*100,""""))"),"")</f>
        <v/>
      </c>
    </row>
    <row r="109">
      <c r="B109" t="str">
        <f t="array" ref="B109">IFERROR(INDEX('Player Raw Data'!C:C,Match($A109,'Player Raw Data'!$B:$B,0)),"")</f>
        <v/>
      </c>
      <c r="C109" t="str">
        <f t="array" ref="C109">IFERROR(INDEX('Player Raw Data'!D:D,Match($A109,'Player Raw Data'!$B:$B,0)),"")</f>
        <v/>
      </c>
      <c r="D109" t="str">
        <f t="array" ref="D109">IFERROR(IF(A109=A108, INDEX('Player Raw Data'!E:E,Match($A109,'Player Raw Data'!$B:$B,0)+2),INDEX('Player Raw Data'!E:E,Match($A109,'Player Raw Data'!$B:$B,0))),"")</f>
        <v/>
      </c>
      <c r="E109" s="27" t="str">
        <f>IFERROR(__xludf.DUMMYFUNCTION("IFERROR(ARRAY_CONSTRAIN(SPLIT(INDEX('Daily Raw Data'!G:G,Match($A109,'Daily Raw Data'!$B:$B,0)),"":""),1,1),"""")"),"")</f>
        <v/>
      </c>
      <c r="F109" t="str">
        <f t="array" ref="F109">IFERROR(INDEX('Daily Raw Data'!H:H,Match($A109,'Daily Raw Data'!$B:$B,0)),"")</f>
        <v/>
      </c>
      <c r="G109" t="str">
        <f t="array" ref="G109">IFERROR(INDEX('Daily Raw Data'!I:I,Match($A109,'Daily Raw Data'!$B:$B,0)),"")</f>
        <v/>
      </c>
      <c r="H109" t="str">
        <f t="array" ref="H109">IFERROR(INDEX('Daily Raw Data'!N:N,Match($A109,'Daily Raw Data'!$B:$B,0)),"")</f>
        <v/>
      </c>
      <c r="I109" t="str">
        <f t="array" ref="I109">IFERROR(INDEX('Daily Raw Data'!O:O,Match($A109,'Daily Raw Data'!$B:$B,0)),"")</f>
        <v/>
      </c>
      <c r="J109" t="str">
        <f t="array" ref="J109">IFERROR(INDEX('Daily Raw Data'!S:S,Match($A109,'Daily Raw Data'!$B:$B,0)),"")</f>
        <v/>
      </c>
      <c r="K109" t="str">
        <f t="array" ref="K109">IFERROR(INDEX('Daily Raw Data'!T:T,Match($A109,'Daily Raw Data'!$B:$B,0)),"")</f>
        <v/>
      </c>
      <c r="L109" t="str">
        <f t="array" ref="L109">IFERROR(INDEX('Daily Raw Data'!U:U,Match($A109,'Daily Raw Data'!$B:$B,0)),"")</f>
        <v/>
      </c>
      <c r="M109" t="str">
        <f t="array" ref="M109">IFERROR(INDEX('Daily Raw Data'!V:V,Match($A109,'Daily Raw Data'!$B:$B,0)),"")</f>
        <v/>
      </c>
      <c r="N109" t="str">
        <f t="array" ref="N109">IFERROR(INDEX('Daily Raw Data'!W:W,Match($A109,'Daily Raw Data'!$B:$B,0)),"")</f>
        <v/>
      </c>
      <c r="O109" t="str">
        <f t="array" ref="O109">IFERROR(INDEX('Daily Raw Data'!Y:Y,Match($A109,'Daily Raw Data'!$B:$B,0)),"")</f>
        <v/>
      </c>
      <c r="P109" t="str">
        <f t="shared" si="1"/>
        <v/>
      </c>
      <c r="Q109" s="14" t="str">
        <f t="shared" si="2"/>
        <v/>
      </c>
      <c r="R109" s="15" t="str">
        <f>IFERROR(__xludf.DUMMYFUNCTION("IF($A109="""","""", IFERROR(PERCENTRANK.INC(FILTER(P:P,$E:$E&lt;&gt;""""),P109)*100,""""))"),"")</f>
        <v/>
      </c>
      <c r="S109" s="15" t="str">
        <f>IFERROR(__xludf.DUMMYFUNCTION("IF($A109="""","""",IFERROR(PERCENTRANK.INC(FILTER(Q:Q,$E:$E&lt;&gt;""""),Q109)*100,""""))"),"")</f>
        <v/>
      </c>
    </row>
    <row r="110">
      <c r="B110" t="str">
        <f t="array" ref="B110">IFERROR(INDEX('Player Raw Data'!C:C,Match($A110,'Player Raw Data'!$B:$B,0)),"")</f>
        <v/>
      </c>
      <c r="C110" t="str">
        <f t="array" ref="C110">IFERROR(INDEX('Player Raw Data'!D:D,Match($A110,'Player Raw Data'!$B:$B,0)),"")</f>
        <v/>
      </c>
      <c r="D110" t="str">
        <f t="array" ref="D110">IFERROR(IF(A110=A109, INDEX('Player Raw Data'!E:E,Match($A110,'Player Raw Data'!$B:$B,0)+2),INDEX('Player Raw Data'!E:E,Match($A110,'Player Raw Data'!$B:$B,0))),"")</f>
        <v/>
      </c>
      <c r="E110" s="27" t="str">
        <f>IFERROR(__xludf.DUMMYFUNCTION("IFERROR(ARRAY_CONSTRAIN(SPLIT(INDEX('Daily Raw Data'!G:G,Match($A110,'Daily Raw Data'!$B:$B,0)),"":""),1,1),"""")"),"")</f>
        <v/>
      </c>
      <c r="F110" t="str">
        <f t="array" ref="F110">IFERROR(INDEX('Daily Raw Data'!H:H,Match($A110,'Daily Raw Data'!$B:$B,0)),"")</f>
        <v/>
      </c>
      <c r="G110" t="str">
        <f t="array" ref="G110">IFERROR(INDEX('Daily Raw Data'!I:I,Match($A110,'Daily Raw Data'!$B:$B,0)),"")</f>
        <v/>
      </c>
      <c r="H110" t="str">
        <f t="array" ref="H110">IFERROR(INDEX('Daily Raw Data'!N:N,Match($A110,'Daily Raw Data'!$B:$B,0)),"")</f>
        <v/>
      </c>
      <c r="I110" t="str">
        <f t="array" ref="I110">IFERROR(INDEX('Daily Raw Data'!O:O,Match($A110,'Daily Raw Data'!$B:$B,0)),"")</f>
        <v/>
      </c>
      <c r="J110" t="str">
        <f t="array" ref="J110">IFERROR(INDEX('Daily Raw Data'!S:S,Match($A110,'Daily Raw Data'!$B:$B,0)),"")</f>
        <v/>
      </c>
      <c r="K110" t="str">
        <f t="array" ref="K110">IFERROR(INDEX('Daily Raw Data'!T:T,Match($A110,'Daily Raw Data'!$B:$B,0)),"")</f>
        <v/>
      </c>
      <c r="L110" t="str">
        <f t="array" ref="L110">IFERROR(INDEX('Daily Raw Data'!U:U,Match($A110,'Daily Raw Data'!$B:$B,0)),"")</f>
        <v/>
      </c>
      <c r="M110" t="str">
        <f t="array" ref="M110">IFERROR(INDEX('Daily Raw Data'!V:V,Match($A110,'Daily Raw Data'!$B:$B,0)),"")</f>
        <v/>
      </c>
      <c r="N110" t="str">
        <f t="array" ref="N110">IFERROR(INDEX('Daily Raw Data'!W:W,Match($A110,'Daily Raw Data'!$B:$B,0)),"")</f>
        <v/>
      </c>
      <c r="O110" t="str">
        <f t="array" ref="O110">IFERROR(INDEX('Daily Raw Data'!Y:Y,Match($A110,'Daily Raw Data'!$B:$B,0)),"")</f>
        <v/>
      </c>
      <c r="P110" t="str">
        <f t="shared" si="1"/>
        <v/>
      </c>
      <c r="Q110" s="14" t="str">
        <f t="shared" si="2"/>
        <v/>
      </c>
      <c r="R110" s="15" t="str">
        <f>IFERROR(__xludf.DUMMYFUNCTION("IF($A110="""","""", IFERROR(PERCENTRANK.INC(FILTER(P:P,$E:$E&lt;&gt;""""),P110)*100,""""))"),"")</f>
        <v/>
      </c>
      <c r="S110" s="15" t="str">
        <f>IFERROR(__xludf.DUMMYFUNCTION("IF($A110="""","""",IFERROR(PERCENTRANK.INC(FILTER(Q:Q,$E:$E&lt;&gt;""""),Q110)*100,""""))"),"")</f>
        <v/>
      </c>
    </row>
    <row r="111">
      <c r="B111" t="str">
        <f t="array" ref="B111">IFERROR(INDEX('Player Raw Data'!C:C,Match($A111,'Player Raw Data'!$B:$B,0)),"")</f>
        <v/>
      </c>
      <c r="C111" t="str">
        <f t="array" ref="C111">IFERROR(INDEX('Player Raw Data'!D:D,Match($A111,'Player Raw Data'!$B:$B,0)),"")</f>
        <v/>
      </c>
      <c r="D111" t="str">
        <f t="array" ref="D111">IFERROR(IF(A111=A110, INDEX('Player Raw Data'!E:E,Match($A111,'Player Raw Data'!$B:$B,0)+2),INDEX('Player Raw Data'!E:E,Match($A111,'Player Raw Data'!$B:$B,0))),"")</f>
        <v/>
      </c>
      <c r="E111" s="27" t="str">
        <f>IFERROR(__xludf.DUMMYFUNCTION("IFERROR(ARRAY_CONSTRAIN(SPLIT(INDEX('Daily Raw Data'!G:G,Match($A111,'Daily Raw Data'!$B:$B,0)),"":""),1,1),"""")"),"")</f>
        <v/>
      </c>
      <c r="F111" t="str">
        <f t="array" ref="F111">IFERROR(INDEX('Daily Raw Data'!H:H,Match($A111,'Daily Raw Data'!$B:$B,0)),"")</f>
        <v/>
      </c>
      <c r="G111" t="str">
        <f t="array" ref="G111">IFERROR(INDEX('Daily Raw Data'!I:I,Match($A111,'Daily Raw Data'!$B:$B,0)),"")</f>
        <v/>
      </c>
      <c r="H111" t="str">
        <f t="array" ref="H111">IFERROR(INDEX('Daily Raw Data'!N:N,Match($A111,'Daily Raw Data'!$B:$B,0)),"")</f>
        <v/>
      </c>
      <c r="I111" t="str">
        <f t="array" ref="I111">IFERROR(INDEX('Daily Raw Data'!O:O,Match($A111,'Daily Raw Data'!$B:$B,0)),"")</f>
        <v/>
      </c>
      <c r="J111" t="str">
        <f t="array" ref="J111">IFERROR(INDEX('Daily Raw Data'!S:S,Match($A111,'Daily Raw Data'!$B:$B,0)),"")</f>
        <v/>
      </c>
      <c r="K111" t="str">
        <f t="array" ref="K111">IFERROR(INDEX('Daily Raw Data'!T:T,Match($A111,'Daily Raw Data'!$B:$B,0)),"")</f>
        <v/>
      </c>
      <c r="L111" t="str">
        <f t="array" ref="L111">IFERROR(INDEX('Daily Raw Data'!U:U,Match($A111,'Daily Raw Data'!$B:$B,0)),"")</f>
        <v/>
      </c>
      <c r="M111" t="str">
        <f t="array" ref="M111">IFERROR(INDEX('Daily Raw Data'!V:V,Match($A111,'Daily Raw Data'!$B:$B,0)),"")</f>
        <v/>
      </c>
      <c r="N111" t="str">
        <f t="array" ref="N111">IFERROR(INDEX('Daily Raw Data'!W:W,Match($A111,'Daily Raw Data'!$B:$B,0)),"")</f>
        <v/>
      </c>
      <c r="O111" t="str">
        <f t="array" ref="O111">IFERROR(INDEX('Daily Raw Data'!Y:Y,Match($A111,'Daily Raw Data'!$B:$B,0)),"")</f>
        <v/>
      </c>
      <c r="P111" t="str">
        <f t="shared" si="1"/>
        <v/>
      </c>
      <c r="Q111" s="14" t="str">
        <f t="shared" si="2"/>
        <v/>
      </c>
      <c r="R111" s="15" t="str">
        <f>IFERROR(__xludf.DUMMYFUNCTION("IF($A111="""","""", IFERROR(PERCENTRANK.INC(FILTER(P:P,$E:$E&lt;&gt;""""),P111)*100,""""))"),"")</f>
        <v/>
      </c>
      <c r="S111" s="15" t="str">
        <f>IFERROR(__xludf.DUMMYFUNCTION("IF($A111="""","""",IFERROR(PERCENTRANK.INC(FILTER(Q:Q,$E:$E&lt;&gt;""""),Q111)*100,""""))"),"")</f>
        <v/>
      </c>
    </row>
    <row r="112">
      <c r="B112" t="str">
        <f t="array" ref="B112">IFERROR(INDEX('Player Raw Data'!C:C,Match($A112,'Player Raw Data'!$B:$B,0)),"")</f>
        <v/>
      </c>
      <c r="C112" t="str">
        <f t="array" ref="C112">IFERROR(INDEX('Player Raw Data'!D:D,Match($A112,'Player Raw Data'!$B:$B,0)),"")</f>
        <v/>
      </c>
      <c r="D112" t="str">
        <f t="array" ref="D112">IFERROR(IF(A112=A111, INDEX('Player Raw Data'!E:E,Match($A112,'Player Raw Data'!$B:$B,0)+2),INDEX('Player Raw Data'!E:E,Match($A112,'Player Raw Data'!$B:$B,0))),"")</f>
        <v/>
      </c>
      <c r="E112" s="27" t="str">
        <f>IFERROR(__xludf.DUMMYFUNCTION("IFERROR(ARRAY_CONSTRAIN(SPLIT(INDEX('Daily Raw Data'!G:G,Match($A112,'Daily Raw Data'!$B:$B,0)),"":""),1,1),"""")"),"")</f>
        <v/>
      </c>
      <c r="F112" t="str">
        <f t="array" ref="F112">IFERROR(INDEX('Daily Raw Data'!H:H,Match($A112,'Daily Raw Data'!$B:$B,0)),"")</f>
        <v/>
      </c>
      <c r="G112" t="str">
        <f t="array" ref="G112">IFERROR(INDEX('Daily Raw Data'!I:I,Match($A112,'Daily Raw Data'!$B:$B,0)),"")</f>
        <v/>
      </c>
      <c r="H112" t="str">
        <f t="array" ref="H112">IFERROR(INDEX('Daily Raw Data'!N:N,Match($A112,'Daily Raw Data'!$B:$B,0)),"")</f>
        <v/>
      </c>
      <c r="I112" t="str">
        <f t="array" ref="I112">IFERROR(INDEX('Daily Raw Data'!O:O,Match($A112,'Daily Raw Data'!$B:$B,0)),"")</f>
        <v/>
      </c>
      <c r="J112" t="str">
        <f t="array" ref="J112">IFERROR(INDEX('Daily Raw Data'!S:S,Match($A112,'Daily Raw Data'!$B:$B,0)),"")</f>
        <v/>
      </c>
      <c r="K112" t="str">
        <f t="array" ref="K112">IFERROR(INDEX('Daily Raw Data'!T:T,Match($A112,'Daily Raw Data'!$B:$B,0)),"")</f>
        <v/>
      </c>
      <c r="L112" t="str">
        <f t="array" ref="L112">IFERROR(INDEX('Daily Raw Data'!U:U,Match($A112,'Daily Raw Data'!$B:$B,0)),"")</f>
        <v/>
      </c>
      <c r="M112" t="str">
        <f t="array" ref="M112">IFERROR(INDEX('Daily Raw Data'!V:V,Match($A112,'Daily Raw Data'!$B:$B,0)),"")</f>
        <v/>
      </c>
      <c r="N112" t="str">
        <f t="array" ref="N112">IFERROR(INDEX('Daily Raw Data'!W:W,Match($A112,'Daily Raw Data'!$B:$B,0)),"")</f>
        <v/>
      </c>
      <c r="O112" t="str">
        <f t="array" ref="O112">IFERROR(INDEX('Daily Raw Data'!Y:Y,Match($A112,'Daily Raw Data'!$B:$B,0)),"")</f>
        <v/>
      </c>
      <c r="P112" t="str">
        <f t="shared" si="1"/>
        <v/>
      </c>
      <c r="Q112" s="14" t="str">
        <f t="shared" si="2"/>
        <v/>
      </c>
      <c r="R112" s="15" t="str">
        <f>IFERROR(__xludf.DUMMYFUNCTION("IF($A112="""","""", IFERROR(PERCENTRANK.INC(FILTER(P:P,$E:$E&lt;&gt;""""),P112)*100,""""))"),"")</f>
        <v/>
      </c>
      <c r="S112" s="15" t="str">
        <f>IFERROR(__xludf.DUMMYFUNCTION("IF($A112="""","""",IFERROR(PERCENTRANK.INC(FILTER(Q:Q,$E:$E&lt;&gt;""""),Q112)*100,""""))"),"")</f>
        <v/>
      </c>
    </row>
    <row r="113">
      <c r="B113" t="str">
        <f t="array" ref="B113">IFERROR(INDEX('Player Raw Data'!C:C,Match($A113,'Player Raw Data'!$B:$B,0)),"")</f>
        <v/>
      </c>
      <c r="C113" t="str">
        <f t="array" ref="C113">IFERROR(INDEX('Player Raw Data'!D:D,Match($A113,'Player Raw Data'!$B:$B,0)),"")</f>
        <v/>
      </c>
      <c r="D113" t="str">
        <f t="array" ref="D113">IFERROR(IF(A113=A112, INDEX('Player Raw Data'!E:E,Match($A113,'Player Raw Data'!$B:$B,0)+2),INDEX('Player Raw Data'!E:E,Match($A113,'Player Raw Data'!$B:$B,0))),"")</f>
        <v/>
      </c>
      <c r="E113" s="27" t="str">
        <f>IFERROR(__xludf.DUMMYFUNCTION("IFERROR(ARRAY_CONSTRAIN(SPLIT(INDEX('Daily Raw Data'!G:G,Match($A113,'Daily Raw Data'!$B:$B,0)),"":""),1,1),"""")"),"")</f>
        <v/>
      </c>
      <c r="F113" t="str">
        <f t="array" ref="F113">IFERROR(INDEX('Daily Raw Data'!H:H,Match($A113,'Daily Raw Data'!$B:$B,0)),"")</f>
        <v/>
      </c>
      <c r="G113" t="str">
        <f t="array" ref="G113">IFERROR(INDEX('Daily Raw Data'!I:I,Match($A113,'Daily Raw Data'!$B:$B,0)),"")</f>
        <v/>
      </c>
      <c r="H113" t="str">
        <f t="array" ref="H113">IFERROR(INDEX('Daily Raw Data'!N:N,Match($A113,'Daily Raw Data'!$B:$B,0)),"")</f>
        <v/>
      </c>
      <c r="I113" t="str">
        <f t="array" ref="I113">IFERROR(INDEX('Daily Raw Data'!O:O,Match($A113,'Daily Raw Data'!$B:$B,0)),"")</f>
        <v/>
      </c>
      <c r="J113" t="str">
        <f t="array" ref="J113">IFERROR(INDEX('Daily Raw Data'!S:S,Match($A113,'Daily Raw Data'!$B:$B,0)),"")</f>
        <v/>
      </c>
      <c r="K113" t="str">
        <f t="array" ref="K113">IFERROR(INDEX('Daily Raw Data'!T:T,Match($A113,'Daily Raw Data'!$B:$B,0)),"")</f>
        <v/>
      </c>
      <c r="L113" t="str">
        <f t="array" ref="L113">IFERROR(INDEX('Daily Raw Data'!U:U,Match($A113,'Daily Raw Data'!$B:$B,0)),"")</f>
        <v/>
      </c>
      <c r="M113" t="str">
        <f t="array" ref="M113">IFERROR(INDEX('Daily Raw Data'!V:V,Match($A113,'Daily Raw Data'!$B:$B,0)),"")</f>
        <v/>
      </c>
      <c r="N113" t="str">
        <f t="array" ref="N113">IFERROR(INDEX('Daily Raw Data'!W:W,Match($A113,'Daily Raw Data'!$B:$B,0)),"")</f>
        <v/>
      </c>
      <c r="O113" t="str">
        <f t="array" ref="O113">IFERROR(INDEX('Daily Raw Data'!Y:Y,Match($A113,'Daily Raw Data'!$B:$B,0)),"")</f>
        <v/>
      </c>
      <c r="P113" t="str">
        <f t="shared" si="1"/>
        <v/>
      </c>
      <c r="Q113" s="14" t="str">
        <f t="shared" si="2"/>
        <v/>
      </c>
      <c r="R113" s="15" t="str">
        <f>IFERROR(__xludf.DUMMYFUNCTION("IF($A113="""","""", IFERROR(PERCENTRANK.INC(FILTER(P:P,$E:$E&lt;&gt;""""),P113)*100,""""))"),"")</f>
        <v/>
      </c>
      <c r="S113" s="15" t="str">
        <f>IFERROR(__xludf.DUMMYFUNCTION("IF($A113="""","""",IFERROR(PERCENTRANK.INC(FILTER(Q:Q,$E:$E&lt;&gt;""""),Q113)*100,""""))"),"")</f>
        <v/>
      </c>
    </row>
    <row r="114">
      <c r="B114" t="str">
        <f t="array" ref="B114">IFERROR(INDEX('Player Raw Data'!C:C,Match($A114,'Player Raw Data'!$B:$B,0)),"")</f>
        <v/>
      </c>
      <c r="C114" t="str">
        <f t="array" ref="C114">IFERROR(INDEX('Player Raw Data'!D:D,Match($A114,'Player Raw Data'!$B:$B,0)),"")</f>
        <v/>
      </c>
      <c r="D114" t="str">
        <f t="array" ref="D114">IFERROR(IF(A114=A113, INDEX('Player Raw Data'!E:E,Match($A114,'Player Raw Data'!$B:$B,0)+2),INDEX('Player Raw Data'!E:E,Match($A114,'Player Raw Data'!$B:$B,0))),"")</f>
        <v/>
      </c>
      <c r="E114" s="27" t="str">
        <f>IFERROR(__xludf.DUMMYFUNCTION("IFERROR(ARRAY_CONSTRAIN(SPLIT(INDEX('Daily Raw Data'!G:G,Match($A114,'Daily Raw Data'!$B:$B,0)),"":""),1,1),"""")"),"")</f>
        <v/>
      </c>
      <c r="F114" t="str">
        <f t="array" ref="F114">IFERROR(INDEX('Daily Raw Data'!H:H,Match($A114,'Daily Raw Data'!$B:$B,0)),"")</f>
        <v/>
      </c>
      <c r="G114" t="str">
        <f t="array" ref="G114">IFERROR(INDEX('Daily Raw Data'!I:I,Match($A114,'Daily Raw Data'!$B:$B,0)),"")</f>
        <v/>
      </c>
      <c r="H114" t="str">
        <f t="array" ref="H114">IFERROR(INDEX('Daily Raw Data'!N:N,Match($A114,'Daily Raw Data'!$B:$B,0)),"")</f>
        <v/>
      </c>
      <c r="I114" t="str">
        <f t="array" ref="I114">IFERROR(INDEX('Daily Raw Data'!O:O,Match($A114,'Daily Raw Data'!$B:$B,0)),"")</f>
        <v/>
      </c>
      <c r="J114" t="str">
        <f t="array" ref="J114">IFERROR(INDEX('Daily Raw Data'!S:S,Match($A114,'Daily Raw Data'!$B:$B,0)),"")</f>
        <v/>
      </c>
      <c r="K114" t="str">
        <f t="array" ref="K114">IFERROR(INDEX('Daily Raw Data'!T:T,Match($A114,'Daily Raw Data'!$B:$B,0)),"")</f>
        <v/>
      </c>
      <c r="L114" t="str">
        <f t="array" ref="L114">IFERROR(INDEX('Daily Raw Data'!U:U,Match($A114,'Daily Raw Data'!$B:$B,0)),"")</f>
        <v/>
      </c>
      <c r="M114" t="str">
        <f t="array" ref="M114">IFERROR(INDEX('Daily Raw Data'!V:V,Match($A114,'Daily Raw Data'!$B:$B,0)),"")</f>
        <v/>
      </c>
      <c r="N114" t="str">
        <f t="array" ref="N114">IFERROR(INDEX('Daily Raw Data'!W:W,Match($A114,'Daily Raw Data'!$B:$B,0)),"")</f>
        <v/>
      </c>
      <c r="O114" t="str">
        <f t="array" ref="O114">IFERROR(INDEX('Daily Raw Data'!Y:Y,Match($A114,'Daily Raw Data'!$B:$B,0)),"")</f>
        <v/>
      </c>
      <c r="P114" t="str">
        <f t="shared" si="1"/>
        <v/>
      </c>
      <c r="Q114" s="14" t="str">
        <f t="shared" si="2"/>
        <v/>
      </c>
      <c r="R114" s="15" t="str">
        <f>IFERROR(__xludf.DUMMYFUNCTION("IF($A114="""","""", IFERROR(PERCENTRANK.INC(FILTER(P:P,$E:$E&lt;&gt;""""),P114)*100,""""))"),"")</f>
        <v/>
      </c>
      <c r="S114" s="15" t="str">
        <f>IFERROR(__xludf.DUMMYFUNCTION("IF($A114="""","""",IFERROR(PERCENTRANK.INC(FILTER(Q:Q,$E:$E&lt;&gt;""""),Q114)*100,""""))"),"")</f>
        <v/>
      </c>
    </row>
    <row r="115">
      <c r="B115" t="str">
        <f t="array" ref="B115">IFERROR(INDEX('Player Raw Data'!C:C,Match($A115,'Player Raw Data'!$B:$B,0)),"")</f>
        <v/>
      </c>
      <c r="C115" t="str">
        <f t="array" ref="C115">IFERROR(INDEX('Player Raw Data'!D:D,Match($A115,'Player Raw Data'!$B:$B,0)),"")</f>
        <v/>
      </c>
      <c r="D115" t="str">
        <f t="array" ref="D115">IFERROR(IF(A115=A114, INDEX('Player Raw Data'!E:E,Match($A115,'Player Raw Data'!$B:$B,0)+2),INDEX('Player Raw Data'!E:E,Match($A115,'Player Raw Data'!$B:$B,0))),"")</f>
        <v/>
      </c>
      <c r="E115" s="27" t="str">
        <f>IFERROR(__xludf.DUMMYFUNCTION("IFERROR(ARRAY_CONSTRAIN(SPLIT(INDEX('Daily Raw Data'!G:G,Match($A115,'Daily Raw Data'!$B:$B,0)),"":""),1,1),"""")"),"")</f>
        <v/>
      </c>
      <c r="F115" t="str">
        <f t="array" ref="F115">IFERROR(INDEX('Daily Raw Data'!H:H,Match($A115,'Daily Raw Data'!$B:$B,0)),"")</f>
        <v/>
      </c>
      <c r="G115" t="str">
        <f t="array" ref="G115">IFERROR(INDEX('Daily Raw Data'!I:I,Match($A115,'Daily Raw Data'!$B:$B,0)),"")</f>
        <v/>
      </c>
      <c r="H115" t="str">
        <f t="array" ref="H115">IFERROR(INDEX('Daily Raw Data'!N:N,Match($A115,'Daily Raw Data'!$B:$B,0)),"")</f>
        <v/>
      </c>
      <c r="I115" t="str">
        <f t="array" ref="I115">IFERROR(INDEX('Daily Raw Data'!O:O,Match($A115,'Daily Raw Data'!$B:$B,0)),"")</f>
        <v/>
      </c>
      <c r="J115" t="str">
        <f t="array" ref="J115">IFERROR(INDEX('Daily Raw Data'!S:S,Match($A115,'Daily Raw Data'!$B:$B,0)),"")</f>
        <v/>
      </c>
      <c r="K115" t="str">
        <f t="array" ref="K115">IFERROR(INDEX('Daily Raw Data'!T:T,Match($A115,'Daily Raw Data'!$B:$B,0)),"")</f>
        <v/>
      </c>
      <c r="L115" t="str">
        <f t="array" ref="L115">IFERROR(INDEX('Daily Raw Data'!U:U,Match($A115,'Daily Raw Data'!$B:$B,0)),"")</f>
        <v/>
      </c>
      <c r="M115" t="str">
        <f t="array" ref="M115">IFERROR(INDEX('Daily Raw Data'!V:V,Match($A115,'Daily Raw Data'!$B:$B,0)),"")</f>
        <v/>
      </c>
      <c r="N115" t="str">
        <f t="array" ref="N115">IFERROR(INDEX('Daily Raw Data'!W:W,Match($A115,'Daily Raw Data'!$B:$B,0)),"")</f>
        <v/>
      </c>
      <c r="O115" t="str">
        <f t="array" ref="O115">IFERROR(INDEX('Daily Raw Data'!Y:Y,Match($A115,'Daily Raw Data'!$B:$B,0)),"")</f>
        <v/>
      </c>
      <c r="P115" t="str">
        <f t="shared" si="1"/>
        <v/>
      </c>
      <c r="Q115" s="14" t="str">
        <f t="shared" si="2"/>
        <v/>
      </c>
      <c r="R115" s="15" t="str">
        <f>IFERROR(__xludf.DUMMYFUNCTION("IF($A115="""","""", IFERROR(PERCENTRANK.INC(FILTER(P:P,$E:$E&lt;&gt;""""),P115)*100,""""))"),"")</f>
        <v/>
      </c>
      <c r="S115" s="15" t="str">
        <f>IFERROR(__xludf.DUMMYFUNCTION("IF($A115="""","""",IFERROR(PERCENTRANK.INC(FILTER(Q:Q,$E:$E&lt;&gt;""""),Q115)*100,""""))"),"")</f>
        <v/>
      </c>
    </row>
    <row r="116">
      <c r="B116" t="str">
        <f t="array" ref="B116">IFERROR(INDEX('Player Raw Data'!C:C,Match($A116,'Player Raw Data'!$B:$B,0)),"")</f>
        <v/>
      </c>
      <c r="C116" t="str">
        <f t="array" ref="C116">IFERROR(INDEX('Player Raw Data'!D:D,Match($A116,'Player Raw Data'!$B:$B,0)),"")</f>
        <v/>
      </c>
      <c r="D116" t="str">
        <f t="array" ref="D116">IFERROR(IF(A116=A115, INDEX('Player Raw Data'!E:E,Match($A116,'Player Raw Data'!$B:$B,0)+2),INDEX('Player Raw Data'!E:E,Match($A116,'Player Raw Data'!$B:$B,0))),"")</f>
        <v/>
      </c>
      <c r="E116" s="27" t="str">
        <f>IFERROR(__xludf.DUMMYFUNCTION("IFERROR(ARRAY_CONSTRAIN(SPLIT(INDEX('Daily Raw Data'!G:G,Match($A116,'Daily Raw Data'!$B:$B,0)),"":""),1,1),"""")"),"")</f>
        <v/>
      </c>
      <c r="F116" t="str">
        <f t="array" ref="F116">IFERROR(INDEX('Daily Raw Data'!H:H,Match($A116,'Daily Raw Data'!$B:$B,0)),"")</f>
        <v/>
      </c>
      <c r="G116" t="str">
        <f t="array" ref="G116">IFERROR(INDEX('Daily Raw Data'!I:I,Match($A116,'Daily Raw Data'!$B:$B,0)),"")</f>
        <v/>
      </c>
      <c r="H116" t="str">
        <f t="array" ref="H116">IFERROR(INDEX('Daily Raw Data'!N:N,Match($A116,'Daily Raw Data'!$B:$B,0)),"")</f>
        <v/>
      </c>
      <c r="I116" t="str">
        <f t="array" ref="I116">IFERROR(INDEX('Daily Raw Data'!O:O,Match($A116,'Daily Raw Data'!$B:$B,0)),"")</f>
        <v/>
      </c>
      <c r="J116" t="str">
        <f t="array" ref="J116">IFERROR(INDEX('Daily Raw Data'!S:S,Match($A116,'Daily Raw Data'!$B:$B,0)),"")</f>
        <v/>
      </c>
      <c r="K116" t="str">
        <f t="array" ref="K116">IFERROR(INDEX('Daily Raw Data'!T:T,Match($A116,'Daily Raw Data'!$B:$B,0)),"")</f>
        <v/>
      </c>
      <c r="L116" t="str">
        <f t="array" ref="L116">IFERROR(INDEX('Daily Raw Data'!U:U,Match($A116,'Daily Raw Data'!$B:$B,0)),"")</f>
        <v/>
      </c>
      <c r="M116" t="str">
        <f t="array" ref="M116">IFERROR(INDEX('Daily Raw Data'!V:V,Match($A116,'Daily Raw Data'!$B:$B,0)),"")</f>
        <v/>
      </c>
      <c r="N116" t="str">
        <f t="array" ref="N116">IFERROR(INDEX('Daily Raw Data'!W:W,Match($A116,'Daily Raw Data'!$B:$B,0)),"")</f>
        <v/>
      </c>
      <c r="O116" t="str">
        <f t="array" ref="O116">IFERROR(INDEX('Daily Raw Data'!Y:Y,Match($A116,'Daily Raw Data'!$B:$B,0)),"")</f>
        <v/>
      </c>
      <c r="P116" t="str">
        <f t="shared" si="1"/>
        <v/>
      </c>
      <c r="Q116" s="14" t="str">
        <f t="shared" si="2"/>
        <v/>
      </c>
      <c r="R116" s="15" t="str">
        <f>IFERROR(__xludf.DUMMYFUNCTION("IF($A116="""","""", IFERROR(PERCENTRANK.INC(FILTER(P:P,$E:$E&lt;&gt;""""),P116)*100,""""))"),"")</f>
        <v/>
      </c>
      <c r="S116" s="15" t="str">
        <f>IFERROR(__xludf.DUMMYFUNCTION("IF($A116="""","""",IFERROR(PERCENTRANK.INC(FILTER(Q:Q,$E:$E&lt;&gt;""""),Q116)*100,""""))"),"")</f>
        <v/>
      </c>
    </row>
    <row r="117">
      <c r="B117" t="str">
        <f t="array" ref="B117">IFERROR(INDEX('Player Raw Data'!C:C,Match($A117,'Player Raw Data'!$B:$B,0)),"")</f>
        <v/>
      </c>
      <c r="C117" t="str">
        <f t="array" ref="C117">IFERROR(INDEX('Player Raw Data'!D:D,Match($A117,'Player Raw Data'!$B:$B,0)),"")</f>
        <v/>
      </c>
      <c r="D117" t="str">
        <f t="array" ref="D117">IFERROR(IF(A117=A116, INDEX('Player Raw Data'!E:E,Match($A117,'Player Raw Data'!$B:$B,0)+2),INDEX('Player Raw Data'!E:E,Match($A117,'Player Raw Data'!$B:$B,0))),"")</f>
        <v/>
      </c>
      <c r="E117" s="27" t="str">
        <f>IFERROR(__xludf.DUMMYFUNCTION("IFERROR(ARRAY_CONSTRAIN(SPLIT(INDEX('Daily Raw Data'!G:G,Match($A117,'Daily Raw Data'!$B:$B,0)),"":""),1,1),"""")"),"")</f>
        <v/>
      </c>
      <c r="F117" t="str">
        <f t="array" ref="F117">IFERROR(INDEX('Daily Raw Data'!H:H,Match($A117,'Daily Raw Data'!$B:$B,0)),"")</f>
        <v/>
      </c>
      <c r="G117" t="str">
        <f t="array" ref="G117">IFERROR(INDEX('Daily Raw Data'!I:I,Match($A117,'Daily Raw Data'!$B:$B,0)),"")</f>
        <v/>
      </c>
      <c r="H117" t="str">
        <f t="array" ref="H117">IFERROR(INDEX('Daily Raw Data'!N:N,Match($A117,'Daily Raw Data'!$B:$B,0)),"")</f>
        <v/>
      </c>
      <c r="I117" t="str">
        <f t="array" ref="I117">IFERROR(INDEX('Daily Raw Data'!O:O,Match($A117,'Daily Raw Data'!$B:$B,0)),"")</f>
        <v/>
      </c>
      <c r="J117" t="str">
        <f t="array" ref="J117">IFERROR(INDEX('Daily Raw Data'!S:S,Match($A117,'Daily Raw Data'!$B:$B,0)),"")</f>
        <v/>
      </c>
      <c r="K117" t="str">
        <f t="array" ref="K117">IFERROR(INDEX('Daily Raw Data'!T:T,Match($A117,'Daily Raw Data'!$B:$B,0)),"")</f>
        <v/>
      </c>
      <c r="L117" t="str">
        <f t="array" ref="L117">IFERROR(INDEX('Daily Raw Data'!U:U,Match($A117,'Daily Raw Data'!$B:$B,0)),"")</f>
        <v/>
      </c>
      <c r="M117" t="str">
        <f t="array" ref="M117">IFERROR(INDEX('Daily Raw Data'!V:V,Match($A117,'Daily Raw Data'!$B:$B,0)),"")</f>
        <v/>
      </c>
      <c r="N117" t="str">
        <f t="array" ref="N117">IFERROR(INDEX('Daily Raw Data'!W:W,Match($A117,'Daily Raw Data'!$B:$B,0)),"")</f>
        <v/>
      </c>
      <c r="O117" t="str">
        <f t="array" ref="O117">IFERROR(INDEX('Daily Raw Data'!Y:Y,Match($A117,'Daily Raw Data'!$B:$B,0)),"")</f>
        <v/>
      </c>
      <c r="P117" t="str">
        <f t="shared" si="1"/>
        <v/>
      </c>
      <c r="Q117" s="14" t="str">
        <f t="shared" si="2"/>
        <v/>
      </c>
      <c r="R117" s="15" t="str">
        <f>IFERROR(__xludf.DUMMYFUNCTION("IF($A117="""","""", IFERROR(PERCENTRANK.INC(FILTER(P:P,$E:$E&lt;&gt;""""),P117)*100,""""))"),"")</f>
        <v/>
      </c>
      <c r="S117" s="15" t="str">
        <f>IFERROR(__xludf.DUMMYFUNCTION("IF($A117="""","""",IFERROR(PERCENTRANK.INC(FILTER(Q:Q,$E:$E&lt;&gt;""""),Q117)*100,""""))"),"")</f>
        <v/>
      </c>
    </row>
    <row r="118">
      <c r="B118" t="str">
        <f t="array" ref="B118">IFERROR(INDEX('Player Raw Data'!C:C,Match($A118,'Player Raw Data'!$B:$B,0)),"")</f>
        <v/>
      </c>
      <c r="C118" t="str">
        <f t="array" ref="C118">IFERROR(INDEX('Player Raw Data'!D:D,Match($A118,'Player Raw Data'!$B:$B,0)),"")</f>
        <v/>
      </c>
      <c r="D118" t="str">
        <f t="array" ref="D118">IFERROR(IF(A118=A117, INDEX('Player Raw Data'!E:E,Match($A118,'Player Raw Data'!$B:$B,0)+2),INDEX('Player Raw Data'!E:E,Match($A118,'Player Raw Data'!$B:$B,0))),"")</f>
        <v/>
      </c>
      <c r="E118" s="27" t="str">
        <f>IFERROR(__xludf.DUMMYFUNCTION("IFERROR(ARRAY_CONSTRAIN(SPLIT(INDEX('Daily Raw Data'!G:G,Match($A118,'Daily Raw Data'!$B:$B,0)),"":""),1,1),"""")"),"")</f>
        <v/>
      </c>
      <c r="F118" t="str">
        <f t="array" ref="F118">IFERROR(INDEX('Daily Raw Data'!H:H,Match($A118,'Daily Raw Data'!$B:$B,0)),"")</f>
        <v/>
      </c>
      <c r="G118" t="str">
        <f t="array" ref="G118">IFERROR(INDEX('Daily Raw Data'!I:I,Match($A118,'Daily Raw Data'!$B:$B,0)),"")</f>
        <v/>
      </c>
      <c r="H118" t="str">
        <f t="array" ref="H118">IFERROR(INDEX('Daily Raw Data'!N:N,Match($A118,'Daily Raw Data'!$B:$B,0)),"")</f>
        <v/>
      </c>
      <c r="I118" t="str">
        <f t="array" ref="I118">IFERROR(INDEX('Daily Raw Data'!O:O,Match($A118,'Daily Raw Data'!$B:$B,0)),"")</f>
        <v/>
      </c>
      <c r="J118" t="str">
        <f t="array" ref="J118">IFERROR(INDEX('Daily Raw Data'!S:S,Match($A118,'Daily Raw Data'!$B:$B,0)),"")</f>
        <v/>
      </c>
      <c r="K118" t="str">
        <f t="array" ref="K118">IFERROR(INDEX('Daily Raw Data'!T:T,Match($A118,'Daily Raw Data'!$B:$B,0)),"")</f>
        <v/>
      </c>
      <c r="L118" t="str">
        <f t="array" ref="L118">IFERROR(INDEX('Daily Raw Data'!U:U,Match($A118,'Daily Raw Data'!$B:$B,0)),"")</f>
        <v/>
      </c>
      <c r="M118" t="str">
        <f t="array" ref="M118">IFERROR(INDEX('Daily Raw Data'!V:V,Match($A118,'Daily Raw Data'!$B:$B,0)),"")</f>
        <v/>
      </c>
      <c r="N118" t="str">
        <f t="array" ref="N118">IFERROR(INDEX('Daily Raw Data'!W:W,Match($A118,'Daily Raw Data'!$B:$B,0)),"")</f>
        <v/>
      </c>
      <c r="O118" t="str">
        <f t="array" ref="O118">IFERROR(INDEX('Daily Raw Data'!Y:Y,Match($A118,'Daily Raw Data'!$B:$B,0)),"")</f>
        <v/>
      </c>
      <c r="P118" t="str">
        <f t="shared" si="1"/>
        <v/>
      </c>
      <c r="Q118" s="14" t="str">
        <f t="shared" si="2"/>
        <v/>
      </c>
      <c r="R118" s="15" t="str">
        <f>IFERROR(__xludf.DUMMYFUNCTION("IF($A118="""","""", IFERROR(PERCENTRANK.INC(FILTER(P:P,$E:$E&lt;&gt;""""),P118)*100,""""))"),"")</f>
        <v/>
      </c>
      <c r="S118" s="15" t="str">
        <f>IFERROR(__xludf.DUMMYFUNCTION("IF($A118="""","""",IFERROR(PERCENTRANK.INC(FILTER(Q:Q,$E:$E&lt;&gt;""""),Q118)*100,""""))"),"")</f>
        <v/>
      </c>
    </row>
    <row r="119">
      <c r="B119" t="str">
        <f t="array" ref="B119">IFERROR(INDEX('Player Raw Data'!C:C,Match($A119,'Player Raw Data'!$B:$B,0)),"")</f>
        <v/>
      </c>
      <c r="C119" t="str">
        <f t="array" ref="C119">IFERROR(INDEX('Player Raw Data'!D:D,Match($A119,'Player Raw Data'!$B:$B,0)),"")</f>
        <v/>
      </c>
      <c r="D119" t="str">
        <f t="array" ref="D119">IFERROR(IF(A119=A118, INDEX('Player Raw Data'!E:E,Match($A119,'Player Raw Data'!$B:$B,0)+2),INDEX('Player Raw Data'!E:E,Match($A119,'Player Raw Data'!$B:$B,0))),"")</f>
        <v/>
      </c>
      <c r="E119" s="27" t="str">
        <f>IFERROR(__xludf.DUMMYFUNCTION("IFERROR(ARRAY_CONSTRAIN(SPLIT(INDEX('Daily Raw Data'!G:G,Match($A119,'Daily Raw Data'!$B:$B,0)),"":""),1,1),"""")"),"")</f>
        <v/>
      </c>
      <c r="F119" t="str">
        <f t="array" ref="F119">IFERROR(INDEX('Daily Raw Data'!H:H,Match($A119,'Daily Raw Data'!$B:$B,0)),"")</f>
        <v/>
      </c>
      <c r="G119" t="str">
        <f t="array" ref="G119">IFERROR(INDEX('Daily Raw Data'!I:I,Match($A119,'Daily Raw Data'!$B:$B,0)),"")</f>
        <v/>
      </c>
      <c r="H119" t="str">
        <f t="array" ref="H119">IFERROR(INDEX('Daily Raw Data'!N:N,Match($A119,'Daily Raw Data'!$B:$B,0)),"")</f>
        <v/>
      </c>
      <c r="I119" t="str">
        <f t="array" ref="I119">IFERROR(INDEX('Daily Raw Data'!O:O,Match($A119,'Daily Raw Data'!$B:$B,0)),"")</f>
        <v/>
      </c>
      <c r="J119" t="str">
        <f t="array" ref="J119">IFERROR(INDEX('Daily Raw Data'!S:S,Match($A119,'Daily Raw Data'!$B:$B,0)),"")</f>
        <v/>
      </c>
      <c r="K119" t="str">
        <f t="array" ref="K119">IFERROR(INDEX('Daily Raw Data'!T:T,Match($A119,'Daily Raw Data'!$B:$B,0)),"")</f>
        <v/>
      </c>
      <c r="L119" t="str">
        <f t="array" ref="L119">IFERROR(INDEX('Daily Raw Data'!U:U,Match($A119,'Daily Raw Data'!$B:$B,0)),"")</f>
        <v/>
      </c>
      <c r="M119" t="str">
        <f t="array" ref="M119">IFERROR(INDEX('Daily Raw Data'!V:V,Match($A119,'Daily Raw Data'!$B:$B,0)),"")</f>
        <v/>
      </c>
      <c r="N119" t="str">
        <f t="array" ref="N119">IFERROR(INDEX('Daily Raw Data'!W:W,Match($A119,'Daily Raw Data'!$B:$B,0)),"")</f>
        <v/>
      </c>
      <c r="O119" t="str">
        <f t="array" ref="O119">IFERROR(INDEX('Daily Raw Data'!Y:Y,Match($A119,'Daily Raw Data'!$B:$B,0)),"")</f>
        <v/>
      </c>
      <c r="P119" t="str">
        <f t="shared" si="1"/>
        <v/>
      </c>
      <c r="Q119" s="14" t="str">
        <f t="shared" si="2"/>
        <v/>
      </c>
      <c r="R119" s="15" t="str">
        <f>IFERROR(__xludf.DUMMYFUNCTION("IF($A119="""","""", IFERROR(PERCENTRANK.INC(FILTER(P:P,$E:$E&lt;&gt;""""),P119)*100,""""))"),"")</f>
        <v/>
      </c>
      <c r="S119" s="15" t="str">
        <f>IFERROR(__xludf.DUMMYFUNCTION("IF($A119="""","""",IFERROR(PERCENTRANK.INC(FILTER(Q:Q,$E:$E&lt;&gt;""""),Q119)*100,""""))"),"")</f>
        <v/>
      </c>
    </row>
    <row r="120">
      <c r="B120" t="str">
        <f t="array" ref="B120">IFERROR(INDEX('Player Raw Data'!C:C,Match($A120,'Player Raw Data'!$B:$B,0)),"")</f>
        <v/>
      </c>
      <c r="C120" t="str">
        <f t="array" ref="C120">IFERROR(INDEX('Player Raw Data'!D:D,Match($A120,'Player Raw Data'!$B:$B,0)),"")</f>
        <v/>
      </c>
      <c r="D120" t="str">
        <f t="array" ref="D120">IFERROR(IF(A120=A119, INDEX('Player Raw Data'!E:E,Match($A120,'Player Raw Data'!$B:$B,0)+2),INDEX('Player Raw Data'!E:E,Match($A120,'Player Raw Data'!$B:$B,0))),"")</f>
        <v/>
      </c>
      <c r="E120" s="27" t="str">
        <f>IFERROR(__xludf.DUMMYFUNCTION("IFERROR(ARRAY_CONSTRAIN(SPLIT(INDEX('Daily Raw Data'!G:G,Match($A120,'Daily Raw Data'!$B:$B,0)),"":""),1,1),"""")"),"")</f>
        <v/>
      </c>
      <c r="F120" t="str">
        <f t="array" ref="F120">IFERROR(INDEX('Daily Raw Data'!H:H,Match($A120,'Daily Raw Data'!$B:$B,0)),"")</f>
        <v/>
      </c>
      <c r="G120" t="str">
        <f t="array" ref="G120">IFERROR(INDEX('Daily Raw Data'!I:I,Match($A120,'Daily Raw Data'!$B:$B,0)),"")</f>
        <v/>
      </c>
      <c r="H120" t="str">
        <f t="array" ref="H120">IFERROR(INDEX('Daily Raw Data'!N:N,Match($A120,'Daily Raw Data'!$B:$B,0)),"")</f>
        <v/>
      </c>
      <c r="I120" t="str">
        <f t="array" ref="I120">IFERROR(INDEX('Daily Raw Data'!O:O,Match($A120,'Daily Raw Data'!$B:$B,0)),"")</f>
        <v/>
      </c>
      <c r="J120" t="str">
        <f t="array" ref="J120">IFERROR(INDEX('Daily Raw Data'!S:S,Match($A120,'Daily Raw Data'!$B:$B,0)),"")</f>
        <v/>
      </c>
      <c r="K120" t="str">
        <f t="array" ref="K120">IFERROR(INDEX('Daily Raw Data'!T:T,Match($A120,'Daily Raw Data'!$B:$B,0)),"")</f>
        <v/>
      </c>
      <c r="L120" t="str">
        <f t="array" ref="L120">IFERROR(INDEX('Daily Raw Data'!U:U,Match($A120,'Daily Raw Data'!$B:$B,0)),"")</f>
        <v/>
      </c>
      <c r="M120" t="str">
        <f t="array" ref="M120">IFERROR(INDEX('Daily Raw Data'!V:V,Match($A120,'Daily Raw Data'!$B:$B,0)),"")</f>
        <v/>
      </c>
      <c r="N120" t="str">
        <f t="array" ref="N120">IFERROR(INDEX('Daily Raw Data'!W:W,Match($A120,'Daily Raw Data'!$B:$B,0)),"")</f>
        <v/>
      </c>
      <c r="O120" t="str">
        <f t="array" ref="O120">IFERROR(INDEX('Daily Raw Data'!Y:Y,Match($A120,'Daily Raw Data'!$B:$B,0)),"")</f>
        <v/>
      </c>
      <c r="P120" t="str">
        <f t="shared" si="1"/>
        <v/>
      </c>
      <c r="Q120" s="14" t="str">
        <f t="shared" si="2"/>
        <v/>
      </c>
      <c r="R120" s="15" t="str">
        <f>IFERROR(__xludf.DUMMYFUNCTION("IF($A120="""","""", IFERROR(PERCENTRANK.INC(FILTER(P:P,$E:$E&lt;&gt;""""),P120)*100,""""))"),"")</f>
        <v/>
      </c>
      <c r="S120" s="15" t="str">
        <f>IFERROR(__xludf.DUMMYFUNCTION("IF($A120="""","""",IFERROR(PERCENTRANK.INC(FILTER(Q:Q,$E:$E&lt;&gt;""""),Q120)*100,""""))"),"")</f>
        <v/>
      </c>
    </row>
    <row r="121">
      <c r="B121" t="str">
        <f t="array" ref="B121">IFERROR(INDEX('Player Raw Data'!C:C,Match($A121,'Player Raw Data'!$B:$B,0)),"")</f>
        <v/>
      </c>
      <c r="C121" t="str">
        <f t="array" ref="C121">IFERROR(INDEX('Player Raw Data'!D:D,Match($A121,'Player Raw Data'!$B:$B,0)),"")</f>
        <v/>
      </c>
      <c r="D121" t="str">
        <f t="array" ref="D121">IFERROR(IF(A121=A120, INDEX('Player Raw Data'!E:E,Match($A121,'Player Raw Data'!$B:$B,0)+2),INDEX('Player Raw Data'!E:E,Match($A121,'Player Raw Data'!$B:$B,0))),"")</f>
        <v/>
      </c>
      <c r="E121" s="27" t="str">
        <f>IFERROR(__xludf.DUMMYFUNCTION("IFERROR(ARRAY_CONSTRAIN(SPLIT(INDEX('Daily Raw Data'!G:G,Match($A121,'Daily Raw Data'!$B:$B,0)),"":""),1,1),"""")"),"")</f>
        <v/>
      </c>
      <c r="F121" t="str">
        <f t="array" ref="F121">IFERROR(INDEX('Daily Raw Data'!H:H,Match($A121,'Daily Raw Data'!$B:$B,0)),"")</f>
        <v/>
      </c>
      <c r="G121" t="str">
        <f t="array" ref="G121">IFERROR(INDEX('Daily Raw Data'!I:I,Match($A121,'Daily Raw Data'!$B:$B,0)),"")</f>
        <v/>
      </c>
      <c r="H121" t="str">
        <f t="array" ref="H121">IFERROR(INDEX('Daily Raw Data'!N:N,Match($A121,'Daily Raw Data'!$B:$B,0)),"")</f>
        <v/>
      </c>
      <c r="I121" t="str">
        <f t="array" ref="I121">IFERROR(INDEX('Daily Raw Data'!O:O,Match($A121,'Daily Raw Data'!$B:$B,0)),"")</f>
        <v/>
      </c>
      <c r="J121" t="str">
        <f t="array" ref="J121">IFERROR(INDEX('Daily Raw Data'!S:S,Match($A121,'Daily Raw Data'!$B:$B,0)),"")</f>
        <v/>
      </c>
      <c r="K121" t="str">
        <f t="array" ref="K121">IFERROR(INDEX('Daily Raw Data'!T:T,Match($A121,'Daily Raw Data'!$B:$B,0)),"")</f>
        <v/>
      </c>
      <c r="L121" t="str">
        <f t="array" ref="L121">IFERROR(INDEX('Daily Raw Data'!U:U,Match($A121,'Daily Raw Data'!$B:$B,0)),"")</f>
        <v/>
      </c>
      <c r="M121" t="str">
        <f t="array" ref="M121">IFERROR(INDEX('Daily Raw Data'!V:V,Match($A121,'Daily Raw Data'!$B:$B,0)),"")</f>
        <v/>
      </c>
      <c r="N121" t="str">
        <f t="array" ref="N121">IFERROR(INDEX('Daily Raw Data'!W:W,Match($A121,'Daily Raw Data'!$B:$B,0)),"")</f>
        <v/>
      </c>
      <c r="O121" t="str">
        <f t="array" ref="O121">IFERROR(INDEX('Daily Raw Data'!Y:Y,Match($A121,'Daily Raw Data'!$B:$B,0)),"")</f>
        <v/>
      </c>
      <c r="P121" t="str">
        <f t="shared" si="1"/>
        <v/>
      </c>
      <c r="Q121" s="14" t="str">
        <f t="shared" si="2"/>
        <v/>
      </c>
      <c r="R121" s="15" t="str">
        <f>IFERROR(__xludf.DUMMYFUNCTION("IF($A121="""","""", IFERROR(PERCENTRANK.INC(FILTER(P:P,$E:$E&lt;&gt;""""),P121)*100,""""))"),"")</f>
        <v/>
      </c>
      <c r="S121" s="15" t="str">
        <f>IFERROR(__xludf.DUMMYFUNCTION("IF($A121="""","""",IFERROR(PERCENTRANK.INC(FILTER(Q:Q,$E:$E&lt;&gt;""""),Q121)*100,""""))"),"")</f>
        <v/>
      </c>
    </row>
    <row r="122">
      <c r="B122" t="str">
        <f t="array" ref="B122">IFERROR(INDEX('Player Raw Data'!C:C,Match($A122,'Player Raw Data'!$B:$B,0)),"")</f>
        <v/>
      </c>
      <c r="C122" t="str">
        <f t="array" ref="C122">IFERROR(INDEX('Player Raw Data'!D:D,Match($A122,'Player Raw Data'!$B:$B,0)),"")</f>
        <v/>
      </c>
      <c r="D122" t="str">
        <f t="array" ref="D122">IFERROR(IF(A122=A121, INDEX('Player Raw Data'!E:E,Match($A122,'Player Raw Data'!$B:$B,0)+2),INDEX('Player Raw Data'!E:E,Match($A122,'Player Raw Data'!$B:$B,0))),"")</f>
        <v/>
      </c>
      <c r="E122" s="27" t="str">
        <f>IFERROR(__xludf.DUMMYFUNCTION("IFERROR(ARRAY_CONSTRAIN(SPLIT(INDEX('Daily Raw Data'!G:G,Match($A122,'Daily Raw Data'!$B:$B,0)),"":""),1,1),"""")"),"")</f>
        <v/>
      </c>
      <c r="F122" t="str">
        <f t="array" ref="F122">IFERROR(INDEX('Daily Raw Data'!H:H,Match($A122,'Daily Raw Data'!$B:$B,0)),"")</f>
        <v/>
      </c>
      <c r="G122" t="str">
        <f t="array" ref="G122">IFERROR(INDEX('Daily Raw Data'!I:I,Match($A122,'Daily Raw Data'!$B:$B,0)),"")</f>
        <v/>
      </c>
      <c r="H122" t="str">
        <f t="array" ref="H122">IFERROR(INDEX('Daily Raw Data'!N:N,Match($A122,'Daily Raw Data'!$B:$B,0)),"")</f>
        <v/>
      </c>
      <c r="I122" t="str">
        <f t="array" ref="I122">IFERROR(INDEX('Daily Raw Data'!O:O,Match($A122,'Daily Raw Data'!$B:$B,0)),"")</f>
        <v/>
      </c>
      <c r="J122" t="str">
        <f t="array" ref="J122">IFERROR(INDEX('Daily Raw Data'!S:S,Match($A122,'Daily Raw Data'!$B:$B,0)),"")</f>
        <v/>
      </c>
      <c r="K122" t="str">
        <f t="array" ref="K122">IFERROR(INDEX('Daily Raw Data'!T:T,Match($A122,'Daily Raw Data'!$B:$B,0)),"")</f>
        <v/>
      </c>
      <c r="L122" t="str">
        <f t="array" ref="L122">IFERROR(INDEX('Daily Raw Data'!U:U,Match($A122,'Daily Raw Data'!$B:$B,0)),"")</f>
        <v/>
      </c>
      <c r="M122" t="str">
        <f t="array" ref="M122">IFERROR(INDEX('Daily Raw Data'!V:V,Match($A122,'Daily Raw Data'!$B:$B,0)),"")</f>
        <v/>
      </c>
      <c r="N122" t="str">
        <f t="array" ref="N122">IFERROR(INDEX('Daily Raw Data'!W:W,Match($A122,'Daily Raw Data'!$B:$B,0)),"")</f>
        <v/>
      </c>
      <c r="O122" t="str">
        <f t="array" ref="O122">IFERROR(INDEX('Daily Raw Data'!Y:Y,Match($A122,'Daily Raw Data'!$B:$B,0)),"")</f>
        <v/>
      </c>
      <c r="P122" t="str">
        <f t="shared" si="1"/>
        <v/>
      </c>
      <c r="Q122" s="14" t="str">
        <f t="shared" si="2"/>
        <v/>
      </c>
      <c r="R122" s="15" t="str">
        <f>IFERROR(__xludf.DUMMYFUNCTION("IF($A122="""","""", IFERROR(PERCENTRANK.INC(FILTER(P:P,$E:$E&lt;&gt;""""),P122)*100,""""))"),"")</f>
        <v/>
      </c>
      <c r="S122" s="15" t="str">
        <f>IFERROR(__xludf.DUMMYFUNCTION("IF($A122="""","""",IFERROR(PERCENTRANK.INC(FILTER(Q:Q,$E:$E&lt;&gt;""""),Q122)*100,""""))"),"")</f>
        <v/>
      </c>
    </row>
    <row r="123">
      <c r="B123" t="str">
        <f t="array" ref="B123">IFERROR(INDEX('Player Raw Data'!C:C,Match($A123,'Player Raw Data'!$B:$B,0)),"")</f>
        <v/>
      </c>
      <c r="C123" t="str">
        <f t="array" ref="C123">IFERROR(INDEX('Player Raw Data'!D:D,Match($A123,'Player Raw Data'!$B:$B,0)),"")</f>
        <v/>
      </c>
      <c r="D123" t="str">
        <f t="array" ref="D123">IFERROR(IF(A123=A122, INDEX('Player Raw Data'!E:E,Match($A123,'Player Raw Data'!$B:$B,0)+2),INDEX('Player Raw Data'!E:E,Match($A123,'Player Raw Data'!$B:$B,0))),"")</f>
        <v/>
      </c>
      <c r="E123" s="27" t="str">
        <f>IFERROR(__xludf.DUMMYFUNCTION("IFERROR(ARRAY_CONSTRAIN(SPLIT(INDEX('Daily Raw Data'!G:G,Match($A123,'Daily Raw Data'!$B:$B,0)),"":""),1,1),"""")"),"")</f>
        <v/>
      </c>
      <c r="F123" t="str">
        <f t="array" ref="F123">IFERROR(INDEX('Daily Raw Data'!H:H,Match($A123,'Daily Raw Data'!$B:$B,0)),"")</f>
        <v/>
      </c>
      <c r="G123" t="str">
        <f t="array" ref="G123">IFERROR(INDEX('Daily Raw Data'!I:I,Match($A123,'Daily Raw Data'!$B:$B,0)),"")</f>
        <v/>
      </c>
      <c r="H123" t="str">
        <f t="array" ref="H123">IFERROR(INDEX('Daily Raw Data'!N:N,Match($A123,'Daily Raw Data'!$B:$B,0)),"")</f>
        <v/>
      </c>
      <c r="I123" t="str">
        <f t="array" ref="I123">IFERROR(INDEX('Daily Raw Data'!O:O,Match($A123,'Daily Raw Data'!$B:$B,0)),"")</f>
        <v/>
      </c>
      <c r="J123" t="str">
        <f t="array" ref="J123">IFERROR(INDEX('Daily Raw Data'!S:S,Match($A123,'Daily Raw Data'!$B:$B,0)),"")</f>
        <v/>
      </c>
      <c r="K123" t="str">
        <f t="array" ref="K123">IFERROR(INDEX('Daily Raw Data'!T:T,Match($A123,'Daily Raw Data'!$B:$B,0)),"")</f>
        <v/>
      </c>
      <c r="L123" t="str">
        <f t="array" ref="L123">IFERROR(INDEX('Daily Raw Data'!U:U,Match($A123,'Daily Raw Data'!$B:$B,0)),"")</f>
        <v/>
      </c>
      <c r="M123" t="str">
        <f t="array" ref="M123">IFERROR(INDEX('Daily Raw Data'!V:V,Match($A123,'Daily Raw Data'!$B:$B,0)),"")</f>
        <v/>
      </c>
      <c r="N123" t="str">
        <f t="array" ref="N123">IFERROR(INDEX('Daily Raw Data'!W:W,Match($A123,'Daily Raw Data'!$B:$B,0)),"")</f>
        <v/>
      </c>
      <c r="O123" t="str">
        <f t="array" ref="O123">IFERROR(INDEX('Daily Raw Data'!Y:Y,Match($A123,'Daily Raw Data'!$B:$B,0)),"")</f>
        <v/>
      </c>
      <c r="P123" t="str">
        <f t="shared" si="1"/>
        <v/>
      </c>
      <c r="Q123" s="14" t="str">
        <f t="shared" si="2"/>
        <v/>
      </c>
      <c r="R123" s="15" t="str">
        <f>IFERROR(__xludf.DUMMYFUNCTION("IF($A123="""","""", IFERROR(PERCENTRANK.INC(FILTER(P:P,$E:$E&lt;&gt;""""),P123)*100,""""))"),"")</f>
        <v/>
      </c>
      <c r="S123" s="15" t="str">
        <f>IFERROR(__xludf.DUMMYFUNCTION("IF($A123="""","""",IFERROR(PERCENTRANK.INC(FILTER(Q:Q,$E:$E&lt;&gt;""""),Q123)*100,""""))"),"")</f>
        <v/>
      </c>
    </row>
    <row r="124">
      <c r="B124" t="str">
        <f t="array" ref="B124">IFERROR(INDEX('Player Raw Data'!C:C,Match($A124,'Player Raw Data'!$B:$B,0)),"")</f>
        <v/>
      </c>
      <c r="C124" t="str">
        <f t="array" ref="C124">IFERROR(INDEX('Player Raw Data'!D:D,Match($A124,'Player Raw Data'!$B:$B,0)),"")</f>
        <v/>
      </c>
      <c r="D124" t="str">
        <f t="array" ref="D124">IFERROR(IF(A124=A123, INDEX('Player Raw Data'!E:E,Match($A124,'Player Raw Data'!$B:$B,0)+2),INDEX('Player Raw Data'!E:E,Match($A124,'Player Raw Data'!$B:$B,0))),"")</f>
        <v/>
      </c>
      <c r="E124" s="27" t="str">
        <f>IFERROR(__xludf.DUMMYFUNCTION("IFERROR(ARRAY_CONSTRAIN(SPLIT(INDEX('Daily Raw Data'!G:G,Match($A124,'Daily Raw Data'!$B:$B,0)),"":""),1,1),"""")"),"")</f>
        <v/>
      </c>
      <c r="F124" t="str">
        <f t="array" ref="F124">IFERROR(INDEX('Daily Raw Data'!H:H,Match($A124,'Daily Raw Data'!$B:$B,0)),"")</f>
        <v/>
      </c>
      <c r="G124" t="str">
        <f t="array" ref="G124">IFERROR(INDEX('Daily Raw Data'!I:I,Match($A124,'Daily Raw Data'!$B:$B,0)),"")</f>
        <v/>
      </c>
      <c r="H124" t="str">
        <f t="array" ref="H124">IFERROR(INDEX('Daily Raw Data'!N:N,Match($A124,'Daily Raw Data'!$B:$B,0)),"")</f>
        <v/>
      </c>
      <c r="I124" t="str">
        <f t="array" ref="I124">IFERROR(INDEX('Daily Raw Data'!O:O,Match($A124,'Daily Raw Data'!$B:$B,0)),"")</f>
        <v/>
      </c>
      <c r="J124" t="str">
        <f t="array" ref="J124">IFERROR(INDEX('Daily Raw Data'!S:S,Match($A124,'Daily Raw Data'!$B:$B,0)),"")</f>
        <v/>
      </c>
      <c r="K124" t="str">
        <f t="array" ref="K124">IFERROR(INDEX('Daily Raw Data'!T:T,Match($A124,'Daily Raw Data'!$B:$B,0)),"")</f>
        <v/>
      </c>
      <c r="L124" t="str">
        <f t="array" ref="L124">IFERROR(INDEX('Daily Raw Data'!U:U,Match($A124,'Daily Raw Data'!$B:$B,0)),"")</f>
        <v/>
      </c>
      <c r="M124" t="str">
        <f t="array" ref="M124">IFERROR(INDEX('Daily Raw Data'!V:V,Match($A124,'Daily Raw Data'!$B:$B,0)),"")</f>
        <v/>
      </c>
      <c r="N124" t="str">
        <f t="array" ref="N124">IFERROR(INDEX('Daily Raw Data'!W:W,Match($A124,'Daily Raw Data'!$B:$B,0)),"")</f>
        <v/>
      </c>
      <c r="O124" t="str">
        <f t="array" ref="O124">IFERROR(INDEX('Daily Raw Data'!Y:Y,Match($A124,'Daily Raw Data'!$B:$B,0)),"")</f>
        <v/>
      </c>
      <c r="P124" t="str">
        <f t="shared" si="1"/>
        <v/>
      </c>
      <c r="Q124" s="14" t="str">
        <f t="shared" si="2"/>
        <v/>
      </c>
      <c r="R124" s="15" t="str">
        <f>IFERROR(__xludf.DUMMYFUNCTION("IF($A124="""","""", IFERROR(PERCENTRANK.INC(FILTER(P:P,$E:$E&lt;&gt;""""),P124)*100,""""))"),"")</f>
        <v/>
      </c>
      <c r="S124" s="15" t="str">
        <f>IFERROR(__xludf.DUMMYFUNCTION("IF($A124="""","""",IFERROR(PERCENTRANK.INC(FILTER(Q:Q,$E:$E&lt;&gt;""""),Q124)*100,""""))"),"")</f>
        <v/>
      </c>
    </row>
    <row r="125">
      <c r="B125" t="str">
        <f t="array" ref="B125">IFERROR(INDEX('Player Raw Data'!C:C,Match($A125,'Player Raw Data'!$B:$B,0)),"")</f>
        <v/>
      </c>
      <c r="C125" t="str">
        <f t="array" ref="C125">IFERROR(INDEX('Player Raw Data'!D:D,Match($A125,'Player Raw Data'!$B:$B,0)),"")</f>
        <v/>
      </c>
      <c r="D125" t="str">
        <f t="array" ref="D125">IFERROR(IF(A125=A124, INDEX('Player Raw Data'!E:E,Match($A125,'Player Raw Data'!$B:$B,0)+2),INDEX('Player Raw Data'!E:E,Match($A125,'Player Raw Data'!$B:$B,0))),"")</f>
        <v/>
      </c>
      <c r="E125" s="27" t="str">
        <f>IFERROR(__xludf.DUMMYFUNCTION("IFERROR(ARRAY_CONSTRAIN(SPLIT(INDEX('Daily Raw Data'!G:G,Match($A125,'Daily Raw Data'!$B:$B,0)),"":""),1,1),"""")"),"")</f>
        <v/>
      </c>
      <c r="F125" t="str">
        <f t="array" ref="F125">IFERROR(INDEX('Daily Raw Data'!H:H,Match($A125,'Daily Raw Data'!$B:$B,0)),"")</f>
        <v/>
      </c>
      <c r="G125" t="str">
        <f t="array" ref="G125">IFERROR(INDEX('Daily Raw Data'!I:I,Match($A125,'Daily Raw Data'!$B:$B,0)),"")</f>
        <v/>
      </c>
      <c r="H125" t="str">
        <f t="array" ref="H125">IFERROR(INDEX('Daily Raw Data'!N:N,Match($A125,'Daily Raw Data'!$B:$B,0)),"")</f>
        <v/>
      </c>
      <c r="I125" t="str">
        <f t="array" ref="I125">IFERROR(INDEX('Daily Raw Data'!O:O,Match($A125,'Daily Raw Data'!$B:$B,0)),"")</f>
        <v/>
      </c>
      <c r="J125" t="str">
        <f t="array" ref="J125">IFERROR(INDEX('Daily Raw Data'!S:S,Match($A125,'Daily Raw Data'!$B:$B,0)),"")</f>
        <v/>
      </c>
      <c r="K125" t="str">
        <f t="array" ref="K125">IFERROR(INDEX('Daily Raw Data'!T:T,Match($A125,'Daily Raw Data'!$B:$B,0)),"")</f>
        <v/>
      </c>
      <c r="L125" t="str">
        <f t="array" ref="L125">IFERROR(INDEX('Daily Raw Data'!U:U,Match($A125,'Daily Raw Data'!$B:$B,0)),"")</f>
        <v/>
      </c>
      <c r="M125" t="str">
        <f t="array" ref="M125">IFERROR(INDEX('Daily Raw Data'!V:V,Match($A125,'Daily Raw Data'!$B:$B,0)),"")</f>
        <v/>
      </c>
      <c r="N125" t="str">
        <f t="array" ref="N125">IFERROR(INDEX('Daily Raw Data'!W:W,Match($A125,'Daily Raw Data'!$B:$B,0)),"")</f>
        <v/>
      </c>
      <c r="O125" t="str">
        <f t="array" ref="O125">IFERROR(INDEX('Daily Raw Data'!Y:Y,Match($A125,'Daily Raw Data'!$B:$B,0)),"")</f>
        <v/>
      </c>
      <c r="P125" t="str">
        <f t="shared" si="1"/>
        <v/>
      </c>
      <c r="Q125" s="14" t="str">
        <f t="shared" si="2"/>
        <v/>
      </c>
      <c r="R125" s="15" t="str">
        <f>IFERROR(__xludf.DUMMYFUNCTION("IF($A125="""","""", IFERROR(PERCENTRANK.INC(FILTER(P:P,$E:$E&lt;&gt;""""),P125)*100,""""))"),"")</f>
        <v/>
      </c>
      <c r="S125" s="15" t="str">
        <f>IFERROR(__xludf.DUMMYFUNCTION("IF($A125="""","""",IFERROR(PERCENTRANK.INC(FILTER(Q:Q,$E:$E&lt;&gt;""""),Q125)*100,""""))"),"")</f>
        <v/>
      </c>
    </row>
    <row r="126">
      <c r="B126" t="str">
        <f t="array" ref="B126">IFERROR(INDEX('Player Raw Data'!C:C,Match($A126,'Player Raw Data'!$B:$B,0)),"")</f>
        <v/>
      </c>
      <c r="C126" t="str">
        <f t="array" ref="C126">IFERROR(INDEX('Player Raw Data'!D:D,Match($A126,'Player Raw Data'!$B:$B,0)),"")</f>
        <v/>
      </c>
      <c r="D126" t="str">
        <f t="array" ref="D126">IFERROR(IF(A126=A125, INDEX('Player Raw Data'!E:E,Match($A126,'Player Raw Data'!$B:$B,0)+2),INDEX('Player Raw Data'!E:E,Match($A126,'Player Raw Data'!$B:$B,0))),"")</f>
        <v/>
      </c>
      <c r="E126" s="27" t="str">
        <f>IFERROR(__xludf.DUMMYFUNCTION("IFERROR(ARRAY_CONSTRAIN(SPLIT(INDEX('Daily Raw Data'!G:G,Match($A126,'Daily Raw Data'!$B:$B,0)),"":""),1,1),"""")"),"")</f>
        <v/>
      </c>
      <c r="F126" t="str">
        <f t="array" ref="F126">IFERROR(INDEX('Daily Raw Data'!H:H,Match($A126,'Daily Raw Data'!$B:$B,0)),"")</f>
        <v/>
      </c>
      <c r="G126" t="str">
        <f t="array" ref="G126">IFERROR(INDEX('Daily Raw Data'!I:I,Match($A126,'Daily Raw Data'!$B:$B,0)),"")</f>
        <v/>
      </c>
      <c r="H126" t="str">
        <f t="array" ref="H126">IFERROR(INDEX('Daily Raw Data'!N:N,Match($A126,'Daily Raw Data'!$B:$B,0)),"")</f>
        <v/>
      </c>
      <c r="I126" t="str">
        <f t="array" ref="I126">IFERROR(INDEX('Daily Raw Data'!O:O,Match($A126,'Daily Raw Data'!$B:$B,0)),"")</f>
        <v/>
      </c>
      <c r="J126" t="str">
        <f t="array" ref="J126">IFERROR(INDEX('Daily Raw Data'!S:S,Match($A126,'Daily Raw Data'!$B:$B,0)),"")</f>
        <v/>
      </c>
      <c r="K126" t="str">
        <f t="array" ref="K126">IFERROR(INDEX('Daily Raw Data'!T:T,Match($A126,'Daily Raw Data'!$B:$B,0)),"")</f>
        <v/>
      </c>
      <c r="L126" t="str">
        <f t="array" ref="L126">IFERROR(INDEX('Daily Raw Data'!U:U,Match($A126,'Daily Raw Data'!$B:$B,0)),"")</f>
        <v/>
      </c>
      <c r="M126" t="str">
        <f t="array" ref="M126">IFERROR(INDEX('Daily Raw Data'!V:V,Match($A126,'Daily Raw Data'!$B:$B,0)),"")</f>
        <v/>
      </c>
      <c r="N126" t="str">
        <f t="array" ref="N126">IFERROR(INDEX('Daily Raw Data'!W:W,Match($A126,'Daily Raw Data'!$B:$B,0)),"")</f>
        <v/>
      </c>
      <c r="O126" t="str">
        <f t="array" ref="O126">IFERROR(INDEX('Daily Raw Data'!Y:Y,Match($A126,'Daily Raw Data'!$B:$B,0)),"")</f>
        <v/>
      </c>
      <c r="P126" t="str">
        <f t="shared" si="1"/>
        <v/>
      </c>
      <c r="Q126" s="14" t="str">
        <f t="shared" si="2"/>
        <v/>
      </c>
      <c r="R126" s="15" t="str">
        <f>IFERROR(__xludf.DUMMYFUNCTION("IF($A126="""","""", IFERROR(PERCENTRANK.INC(FILTER(P:P,$E:$E&lt;&gt;""""),P126)*100,""""))"),"")</f>
        <v/>
      </c>
      <c r="S126" s="15" t="str">
        <f>IFERROR(__xludf.DUMMYFUNCTION("IF($A126="""","""",IFERROR(PERCENTRANK.INC(FILTER(Q:Q,$E:$E&lt;&gt;""""),Q126)*100,""""))"),"")</f>
        <v/>
      </c>
    </row>
    <row r="127">
      <c r="B127" t="str">
        <f t="array" ref="B127">IFERROR(INDEX('Player Raw Data'!C:C,Match($A127,'Player Raw Data'!$B:$B,0)),"")</f>
        <v/>
      </c>
      <c r="C127" t="str">
        <f t="array" ref="C127">IFERROR(INDEX('Player Raw Data'!D:D,Match($A127,'Player Raw Data'!$B:$B,0)),"")</f>
        <v/>
      </c>
      <c r="D127" t="str">
        <f t="array" ref="D127">IFERROR(IF(A127=A126, INDEX('Player Raw Data'!E:E,Match($A127,'Player Raw Data'!$B:$B,0)+2),INDEX('Player Raw Data'!E:E,Match($A127,'Player Raw Data'!$B:$B,0))),"")</f>
        <v/>
      </c>
      <c r="E127" s="27" t="str">
        <f>IFERROR(__xludf.DUMMYFUNCTION("IFERROR(ARRAY_CONSTRAIN(SPLIT(INDEX('Daily Raw Data'!G:G,Match($A127,'Daily Raw Data'!$B:$B,0)),"":""),1,1),"""")"),"")</f>
        <v/>
      </c>
      <c r="F127" t="str">
        <f t="array" ref="F127">IFERROR(INDEX('Daily Raw Data'!H:H,Match($A127,'Daily Raw Data'!$B:$B,0)),"")</f>
        <v/>
      </c>
      <c r="G127" t="str">
        <f t="array" ref="G127">IFERROR(INDEX('Daily Raw Data'!I:I,Match($A127,'Daily Raw Data'!$B:$B,0)),"")</f>
        <v/>
      </c>
      <c r="H127" t="str">
        <f t="array" ref="H127">IFERROR(INDEX('Daily Raw Data'!N:N,Match($A127,'Daily Raw Data'!$B:$B,0)),"")</f>
        <v/>
      </c>
      <c r="I127" t="str">
        <f t="array" ref="I127">IFERROR(INDEX('Daily Raw Data'!O:O,Match($A127,'Daily Raw Data'!$B:$B,0)),"")</f>
        <v/>
      </c>
      <c r="J127" t="str">
        <f t="array" ref="J127">IFERROR(INDEX('Daily Raw Data'!S:S,Match($A127,'Daily Raw Data'!$B:$B,0)),"")</f>
        <v/>
      </c>
      <c r="K127" t="str">
        <f t="array" ref="K127">IFERROR(INDEX('Daily Raw Data'!T:T,Match($A127,'Daily Raw Data'!$B:$B,0)),"")</f>
        <v/>
      </c>
      <c r="L127" t="str">
        <f t="array" ref="L127">IFERROR(INDEX('Daily Raw Data'!U:U,Match($A127,'Daily Raw Data'!$B:$B,0)),"")</f>
        <v/>
      </c>
      <c r="M127" t="str">
        <f t="array" ref="M127">IFERROR(INDEX('Daily Raw Data'!V:V,Match($A127,'Daily Raw Data'!$B:$B,0)),"")</f>
        <v/>
      </c>
      <c r="N127" t="str">
        <f t="array" ref="N127">IFERROR(INDEX('Daily Raw Data'!W:W,Match($A127,'Daily Raw Data'!$B:$B,0)),"")</f>
        <v/>
      </c>
      <c r="O127" t="str">
        <f t="array" ref="O127">IFERROR(INDEX('Daily Raw Data'!Y:Y,Match($A127,'Daily Raw Data'!$B:$B,0)),"")</f>
        <v/>
      </c>
      <c r="P127" t="str">
        <f t="shared" si="1"/>
        <v/>
      </c>
      <c r="Q127" s="14" t="str">
        <f t="shared" si="2"/>
        <v/>
      </c>
      <c r="R127" s="15" t="str">
        <f>IFERROR(__xludf.DUMMYFUNCTION("IF($A127="""","""", IFERROR(PERCENTRANK.INC(FILTER(P:P,$E:$E&lt;&gt;""""),P127)*100,""""))"),"")</f>
        <v/>
      </c>
      <c r="S127" s="15" t="str">
        <f>IFERROR(__xludf.DUMMYFUNCTION("IF($A127="""","""",IFERROR(PERCENTRANK.INC(FILTER(Q:Q,$E:$E&lt;&gt;""""),Q127)*100,""""))"),"")</f>
        <v/>
      </c>
    </row>
    <row r="128">
      <c r="B128" t="str">
        <f t="array" ref="B128">IFERROR(INDEX('Player Raw Data'!C:C,Match($A128,'Player Raw Data'!$B:$B,0)),"")</f>
        <v/>
      </c>
      <c r="C128" t="str">
        <f t="array" ref="C128">IFERROR(INDEX('Player Raw Data'!D:D,Match($A128,'Player Raw Data'!$B:$B,0)),"")</f>
        <v/>
      </c>
      <c r="D128" t="str">
        <f t="array" ref="D128">IFERROR(IF(A128=A127, INDEX('Player Raw Data'!E:E,Match($A128,'Player Raw Data'!$B:$B,0)+2),INDEX('Player Raw Data'!E:E,Match($A128,'Player Raw Data'!$B:$B,0))),"")</f>
        <v/>
      </c>
      <c r="E128" s="27" t="str">
        <f>IFERROR(__xludf.DUMMYFUNCTION("IFERROR(ARRAY_CONSTRAIN(SPLIT(INDEX('Daily Raw Data'!G:G,Match($A128,'Daily Raw Data'!$B:$B,0)),"":""),1,1),"""")"),"")</f>
        <v/>
      </c>
      <c r="F128" t="str">
        <f t="array" ref="F128">IFERROR(INDEX('Daily Raw Data'!H:H,Match($A128,'Daily Raw Data'!$B:$B,0)),"")</f>
        <v/>
      </c>
      <c r="G128" t="str">
        <f t="array" ref="G128">IFERROR(INDEX('Daily Raw Data'!I:I,Match($A128,'Daily Raw Data'!$B:$B,0)),"")</f>
        <v/>
      </c>
      <c r="H128" t="str">
        <f t="array" ref="H128">IFERROR(INDEX('Daily Raw Data'!N:N,Match($A128,'Daily Raw Data'!$B:$B,0)),"")</f>
        <v/>
      </c>
      <c r="I128" t="str">
        <f t="array" ref="I128">IFERROR(INDEX('Daily Raw Data'!O:O,Match($A128,'Daily Raw Data'!$B:$B,0)),"")</f>
        <v/>
      </c>
      <c r="J128" t="str">
        <f t="array" ref="J128">IFERROR(INDEX('Daily Raw Data'!S:S,Match($A128,'Daily Raw Data'!$B:$B,0)),"")</f>
        <v/>
      </c>
      <c r="K128" t="str">
        <f t="array" ref="K128">IFERROR(INDEX('Daily Raw Data'!T:T,Match($A128,'Daily Raw Data'!$B:$B,0)),"")</f>
        <v/>
      </c>
      <c r="L128" t="str">
        <f t="array" ref="L128">IFERROR(INDEX('Daily Raw Data'!U:U,Match($A128,'Daily Raw Data'!$B:$B,0)),"")</f>
        <v/>
      </c>
      <c r="M128" t="str">
        <f t="array" ref="M128">IFERROR(INDEX('Daily Raw Data'!V:V,Match($A128,'Daily Raw Data'!$B:$B,0)),"")</f>
        <v/>
      </c>
      <c r="N128" t="str">
        <f t="array" ref="N128">IFERROR(INDEX('Daily Raw Data'!W:W,Match($A128,'Daily Raw Data'!$B:$B,0)),"")</f>
        <v/>
      </c>
      <c r="O128" t="str">
        <f t="array" ref="O128">IFERROR(INDEX('Daily Raw Data'!Y:Y,Match($A128,'Daily Raw Data'!$B:$B,0)),"")</f>
        <v/>
      </c>
      <c r="P128" t="str">
        <f t="shared" si="1"/>
        <v/>
      </c>
      <c r="Q128" s="14" t="str">
        <f t="shared" si="2"/>
        <v/>
      </c>
      <c r="R128" s="15" t="str">
        <f>IFERROR(__xludf.DUMMYFUNCTION("IF($A128="""","""", IFERROR(PERCENTRANK.INC(FILTER(P:P,$E:$E&lt;&gt;""""),P128)*100,""""))"),"")</f>
        <v/>
      </c>
      <c r="S128" s="15" t="str">
        <f>IFERROR(__xludf.DUMMYFUNCTION("IF($A128="""","""",IFERROR(PERCENTRANK.INC(FILTER(Q:Q,$E:$E&lt;&gt;""""),Q128)*100,""""))"),"")</f>
        <v/>
      </c>
    </row>
    <row r="129">
      <c r="B129" t="str">
        <f t="array" ref="B129">IFERROR(INDEX('Player Raw Data'!C:C,Match($A129,'Player Raw Data'!$B:$B,0)),"")</f>
        <v/>
      </c>
      <c r="C129" t="str">
        <f t="array" ref="C129">IFERROR(INDEX('Player Raw Data'!D:D,Match($A129,'Player Raw Data'!$B:$B,0)),"")</f>
        <v/>
      </c>
      <c r="D129" t="str">
        <f t="array" ref="D129">IFERROR(IF(A129=A128, INDEX('Player Raw Data'!E:E,Match($A129,'Player Raw Data'!$B:$B,0)+2),INDEX('Player Raw Data'!E:E,Match($A129,'Player Raw Data'!$B:$B,0))),"")</f>
        <v/>
      </c>
      <c r="E129" s="27" t="str">
        <f>IFERROR(__xludf.DUMMYFUNCTION("IFERROR(ARRAY_CONSTRAIN(SPLIT(INDEX('Daily Raw Data'!G:G,Match($A129,'Daily Raw Data'!$B:$B,0)),"":""),1,1),"""")"),"")</f>
        <v/>
      </c>
      <c r="F129" t="str">
        <f t="array" ref="F129">IFERROR(INDEX('Daily Raw Data'!H:H,Match($A129,'Daily Raw Data'!$B:$B,0)),"")</f>
        <v/>
      </c>
      <c r="G129" t="str">
        <f t="array" ref="G129">IFERROR(INDEX('Daily Raw Data'!I:I,Match($A129,'Daily Raw Data'!$B:$B,0)),"")</f>
        <v/>
      </c>
      <c r="H129" t="str">
        <f t="array" ref="H129">IFERROR(INDEX('Daily Raw Data'!N:N,Match($A129,'Daily Raw Data'!$B:$B,0)),"")</f>
        <v/>
      </c>
      <c r="I129" t="str">
        <f t="array" ref="I129">IFERROR(INDEX('Daily Raw Data'!O:O,Match($A129,'Daily Raw Data'!$B:$B,0)),"")</f>
        <v/>
      </c>
      <c r="J129" t="str">
        <f t="array" ref="J129">IFERROR(INDEX('Daily Raw Data'!S:S,Match($A129,'Daily Raw Data'!$B:$B,0)),"")</f>
        <v/>
      </c>
      <c r="K129" t="str">
        <f t="array" ref="K129">IFERROR(INDEX('Daily Raw Data'!T:T,Match($A129,'Daily Raw Data'!$B:$B,0)),"")</f>
        <v/>
      </c>
      <c r="L129" t="str">
        <f t="array" ref="L129">IFERROR(INDEX('Daily Raw Data'!U:U,Match($A129,'Daily Raw Data'!$B:$B,0)),"")</f>
        <v/>
      </c>
      <c r="M129" t="str">
        <f t="array" ref="M129">IFERROR(INDEX('Daily Raw Data'!V:V,Match($A129,'Daily Raw Data'!$B:$B,0)),"")</f>
        <v/>
      </c>
      <c r="N129" t="str">
        <f t="array" ref="N129">IFERROR(INDEX('Daily Raw Data'!W:W,Match($A129,'Daily Raw Data'!$B:$B,0)),"")</f>
        <v/>
      </c>
      <c r="O129" t="str">
        <f t="array" ref="O129">IFERROR(INDEX('Daily Raw Data'!Y:Y,Match($A129,'Daily Raw Data'!$B:$B,0)),"")</f>
        <v/>
      </c>
      <c r="P129" t="str">
        <f t="shared" si="1"/>
        <v/>
      </c>
      <c r="Q129" s="14" t="str">
        <f t="shared" si="2"/>
        <v/>
      </c>
      <c r="R129" s="15" t="str">
        <f>IFERROR(__xludf.DUMMYFUNCTION("IF($A129="""","""", IFERROR(PERCENTRANK.INC(FILTER(P:P,$E:$E&lt;&gt;""""),P129)*100,""""))"),"")</f>
        <v/>
      </c>
      <c r="S129" s="15" t="str">
        <f>IFERROR(__xludf.DUMMYFUNCTION("IF($A129="""","""",IFERROR(PERCENTRANK.INC(FILTER(Q:Q,$E:$E&lt;&gt;""""),Q129)*100,""""))"),"")</f>
        <v/>
      </c>
    </row>
    <row r="130">
      <c r="B130" t="str">
        <f t="array" ref="B130">IFERROR(INDEX('Player Raw Data'!C:C,Match($A130,'Player Raw Data'!$B:$B,0)),"")</f>
        <v/>
      </c>
      <c r="C130" t="str">
        <f t="array" ref="C130">IFERROR(INDEX('Player Raw Data'!D:D,Match($A130,'Player Raw Data'!$B:$B,0)),"")</f>
        <v/>
      </c>
      <c r="D130" t="str">
        <f t="array" ref="D130">IFERROR(IF(A130=A129, INDEX('Player Raw Data'!E:E,Match($A130,'Player Raw Data'!$B:$B,0)+2),INDEX('Player Raw Data'!E:E,Match($A130,'Player Raw Data'!$B:$B,0))),"")</f>
        <v/>
      </c>
      <c r="E130" s="27" t="str">
        <f>IFERROR(__xludf.DUMMYFUNCTION("IFERROR(ARRAY_CONSTRAIN(SPLIT(INDEX('Daily Raw Data'!G:G,Match($A130,'Daily Raw Data'!$B:$B,0)),"":""),1,1),"""")"),"")</f>
        <v/>
      </c>
      <c r="F130" t="str">
        <f t="array" ref="F130">IFERROR(INDEX('Daily Raw Data'!H:H,Match($A130,'Daily Raw Data'!$B:$B,0)),"")</f>
        <v/>
      </c>
      <c r="G130" t="str">
        <f t="array" ref="G130">IFERROR(INDEX('Daily Raw Data'!I:I,Match($A130,'Daily Raw Data'!$B:$B,0)),"")</f>
        <v/>
      </c>
      <c r="H130" t="str">
        <f t="array" ref="H130">IFERROR(INDEX('Daily Raw Data'!N:N,Match($A130,'Daily Raw Data'!$B:$B,0)),"")</f>
        <v/>
      </c>
      <c r="I130" t="str">
        <f t="array" ref="I130">IFERROR(INDEX('Daily Raw Data'!O:O,Match($A130,'Daily Raw Data'!$B:$B,0)),"")</f>
        <v/>
      </c>
      <c r="J130" t="str">
        <f t="array" ref="J130">IFERROR(INDEX('Daily Raw Data'!S:S,Match($A130,'Daily Raw Data'!$B:$B,0)),"")</f>
        <v/>
      </c>
      <c r="K130" t="str">
        <f t="array" ref="K130">IFERROR(INDEX('Daily Raw Data'!T:T,Match($A130,'Daily Raw Data'!$B:$B,0)),"")</f>
        <v/>
      </c>
      <c r="L130" t="str">
        <f t="array" ref="L130">IFERROR(INDEX('Daily Raw Data'!U:U,Match($A130,'Daily Raw Data'!$B:$B,0)),"")</f>
        <v/>
      </c>
      <c r="M130" t="str">
        <f t="array" ref="M130">IFERROR(INDEX('Daily Raw Data'!V:V,Match($A130,'Daily Raw Data'!$B:$B,0)),"")</f>
        <v/>
      </c>
      <c r="N130" t="str">
        <f t="array" ref="N130">IFERROR(INDEX('Daily Raw Data'!W:W,Match($A130,'Daily Raw Data'!$B:$B,0)),"")</f>
        <v/>
      </c>
      <c r="O130" t="str">
        <f t="array" ref="O130">IFERROR(INDEX('Daily Raw Data'!Y:Y,Match($A130,'Daily Raw Data'!$B:$B,0)),"")</f>
        <v/>
      </c>
      <c r="P130" t="str">
        <f t="shared" si="1"/>
        <v/>
      </c>
      <c r="Q130" s="14" t="str">
        <f t="shared" si="2"/>
        <v/>
      </c>
      <c r="R130" s="15" t="str">
        <f>IFERROR(__xludf.DUMMYFUNCTION("IF($A130="""","""", IFERROR(PERCENTRANK.INC(FILTER(P:P,$E:$E&lt;&gt;""""),P130)*100,""""))"),"")</f>
        <v/>
      </c>
      <c r="S130" s="15" t="str">
        <f>IFERROR(__xludf.DUMMYFUNCTION("IF($A130="""","""",IFERROR(PERCENTRANK.INC(FILTER(Q:Q,$E:$E&lt;&gt;""""),Q130)*100,""""))"),"")</f>
        <v/>
      </c>
    </row>
    <row r="131">
      <c r="B131" t="str">
        <f t="array" ref="B131">IFERROR(INDEX('Player Raw Data'!C:C,Match($A131,'Player Raw Data'!$B:$B,0)),"")</f>
        <v/>
      </c>
      <c r="C131" t="str">
        <f t="array" ref="C131">IFERROR(INDEX('Player Raw Data'!D:D,Match($A131,'Player Raw Data'!$B:$B,0)),"")</f>
        <v/>
      </c>
      <c r="D131" t="str">
        <f t="array" ref="D131">IFERROR(IF(A131=A130, INDEX('Player Raw Data'!E:E,Match($A131,'Player Raw Data'!$B:$B,0)+2),INDEX('Player Raw Data'!E:E,Match($A131,'Player Raw Data'!$B:$B,0))),"")</f>
        <v/>
      </c>
      <c r="E131" s="27" t="str">
        <f>IFERROR(__xludf.DUMMYFUNCTION("IFERROR(ARRAY_CONSTRAIN(SPLIT(INDEX('Daily Raw Data'!G:G,Match($A131,'Daily Raw Data'!$B:$B,0)),"":""),1,1),"""")"),"")</f>
        <v/>
      </c>
      <c r="F131" t="str">
        <f t="array" ref="F131">IFERROR(INDEX('Daily Raw Data'!H:H,Match($A131,'Daily Raw Data'!$B:$B,0)),"")</f>
        <v/>
      </c>
      <c r="G131" t="str">
        <f t="array" ref="G131">IFERROR(INDEX('Daily Raw Data'!I:I,Match($A131,'Daily Raw Data'!$B:$B,0)),"")</f>
        <v/>
      </c>
      <c r="H131" t="str">
        <f t="array" ref="H131">IFERROR(INDEX('Daily Raw Data'!N:N,Match($A131,'Daily Raw Data'!$B:$B,0)),"")</f>
        <v/>
      </c>
      <c r="I131" t="str">
        <f t="array" ref="I131">IFERROR(INDEX('Daily Raw Data'!O:O,Match($A131,'Daily Raw Data'!$B:$B,0)),"")</f>
        <v/>
      </c>
      <c r="J131" t="str">
        <f t="array" ref="J131">IFERROR(INDEX('Daily Raw Data'!S:S,Match($A131,'Daily Raw Data'!$B:$B,0)),"")</f>
        <v/>
      </c>
      <c r="K131" t="str">
        <f t="array" ref="K131">IFERROR(INDEX('Daily Raw Data'!T:T,Match($A131,'Daily Raw Data'!$B:$B,0)),"")</f>
        <v/>
      </c>
      <c r="L131" t="str">
        <f t="array" ref="L131">IFERROR(INDEX('Daily Raw Data'!U:U,Match($A131,'Daily Raw Data'!$B:$B,0)),"")</f>
        <v/>
      </c>
      <c r="M131" t="str">
        <f t="array" ref="M131">IFERROR(INDEX('Daily Raw Data'!V:V,Match($A131,'Daily Raw Data'!$B:$B,0)),"")</f>
        <v/>
      </c>
      <c r="N131" t="str">
        <f t="array" ref="N131">IFERROR(INDEX('Daily Raw Data'!W:W,Match($A131,'Daily Raw Data'!$B:$B,0)),"")</f>
        <v/>
      </c>
      <c r="O131" t="str">
        <f t="array" ref="O131">IFERROR(INDEX('Daily Raw Data'!Y:Y,Match($A131,'Daily Raw Data'!$B:$B,0)),"")</f>
        <v/>
      </c>
      <c r="P131" t="str">
        <f t="shared" si="1"/>
        <v/>
      </c>
      <c r="Q131" s="14" t="str">
        <f t="shared" si="2"/>
        <v/>
      </c>
      <c r="R131" s="15" t="str">
        <f>IFERROR(__xludf.DUMMYFUNCTION("IF($A131="""","""", IFERROR(PERCENTRANK.INC(FILTER(P:P,$E:$E&lt;&gt;""""),P131)*100,""""))"),"")</f>
        <v/>
      </c>
      <c r="S131" s="15" t="str">
        <f>IFERROR(__xludf.DUMMYFUNCTION("IF($A131="""","""",IFERROR(PERCENTRANK.INC(FILTER(Q:Q,$E:$E&lt;&gt;""""),Q131)*100,""""))"),"")</f>
        <v/>
      </c>
    </row>
    <row r="132">
      <c r="B132" t="str">
        <f t="array" ref="B132">IFERROR(INDEX('Player Raw Data'!C:C,Match($A132,'Player Raw Data'!$B:$B,0)),"")</f>
        <v/>
      </c>
      <c r="C132" t="str">
        <f t="array" ref="C132">IFERROR(INDEX('Player Raw Data'!D:D,Match($A132,'Player Raw Data'!$B:$B,0)),"")</f>
        <v/>
      </c>
      <c r="D132" t="str">
        <f t="array" ref="D132">IFERROR(IF(A132=A131, INDEX('Player Raw Data'!E:E,Match($A132,'Player Raw Data'!$B:$B,0)+2),INDEX('Player Raw Data'!E:E,Match($A132,'Player Raw Data'!$B:$B,0))),"")</f>
        <v/>
      </c>
      <c r="E132" s="27" t="str">
        <f>IFERROR(__xludf.DUMMYFUNCTION("IFERROR(ARRAY_CONSTRAIN(SPLIT(INDEX('Daily Raw Data'!G:G,Match($A132,'Daily Raw Data'!$B:$B,0)),"":""),1,1),"""")"),"")</f>
        <v/>
      </c>
      <c r="F132" t="str">
        <f t="array" ref="F132">IFERROR(INDEX('Daily Raw Data'!H:H,Match($A132,'Daily Raw Data'!$B:$B,0)),"")</f>
        <v/>
      </c>
      <c r="G132" t="str">
        <f t="array" ref="G132">IFERROR(INDEX('Daily Raw Data'!I:I,Match($A132,'Daily Raw Data'!$B:$B,0)),"")</f>
        <v/>
      </c>
      <c r="H132" t="str">
        <f t="array" ref="H132">IFERROR(INDEX('Daily Raw Data'!N:N,Match($A132,'Daily Raw Data'!$B:$B,0)),"")</f>
        <v/>
      </c>
      <c r="I132" t="str">
        <f t="array" ref="I132">IFERROR(INDEX('Daily Raw Data'!O:O,Match($A132,'Daily Raw Data'!$B:$B,0)),"")</f>
        <v/>
      </c>
      <c r="J132" t="str">
        <f t="array" ref="J132">IFERROR(INDEX('Daily Raw Data'!S:S,Match($A132,'Daily Raw Data'!$B:$B,0)),"")</f>
        <v/>
      </c>
      <c r="K132" t="str">
        <f t="array" ref="K132">IFERROR(INDEX('Daily Raw Data'!T:T,Match($A132,'Daily Raw Data'!$B:$B,0)),"")</f>
        <v/>
      </c>
      <c r="L132" t="str">
        <f t="array" ref="L132">IFERROR(INDEX('Daily Raw Data'!U:U,Match($A132,'Daily Raw Data'!$B:$B,0)),"")</f>
        <v/>
      </c>
      <c r="M132" t="str">
        <f t="array" ref="M132">IFERROR(INDEX('Daily Raw Data'!V:V,Match($A132,'Daily Raw Data'!$B:$B,0)),"")</f>
        <v/>
      </c>
      <c r="N132" t="str">
        <f t="array" ref="N132">IFERROR(INDEX('Daily Raw Data'!W:W,Match($A132,'Daily Raw Data'!$B:$B,0)),"")</f>
        <v/>
      </c>
      <c r="O132" t="str">
        <f t="array" ref="O132">IFERROR(INDEX('Daily Raw Data'!Y:Y,Match($A132,'Daily Raw Data'!$B:$B,0)),"")</f>
        <v/>
      </c>
      <c r="P132" t="str">
        <f t="shared" si="1"/>
        <v/>
      </c>
      <c r="Q132" s="14" t="str">
        <f t="shared" si="2"/>
        <v/>
      </c>
      <c r="R132" s="15" t="str">
        <f>IFERROR(__xludf.DUMMYFUNCTION("IF($A132="""","""", IFERROR(PERCENTRANK.INC(FILTER(P:P,$E:$E&lt;&gt;""""),P132)*100,""""))"),"")</f>
        <v/>
      </c>
      <c r="S132" s="15" t="str">
        <f>IFERROR(__xludf.DUMMYFUNCTION("IF($A132="""","""",IFERROR(PERCENTRANK.INC(FILTER(Q:Q,$E:$E&lt;&gt;""""),Q132)*100,""""))"),"")</f>
        <v/>
      </c>
    </row>
    <row r="133">
      <c r="B133" t="str">
        <f t="array" ref="B133">IFERROR(INDEX('Player Raw Data'!C:C,Match($A133,'Player Raw Data'!$B:$B,0)),"")</f>
        <v/>
      </c>
      <c r="C133" t="str">
        <f t="array" ref="C133">IFERROR(INDEX('Player Raw Data'!D:D,Match($A133,'Player Raw Data'!$B:$B,0)),"")</f>
        <v/>
      </c>
      <c r="D133" t="str">
        <f t="array" ref="D133">IFERROR(IF(A133=A132, INDEX('Player Raw Data'!E:E,Match($A133,'Player Raw Data'!$B:$B,0)+2),INDEX('Player Raw Data'!E:E,Match($A133,'Player Raw Data'!$B:$B,0))),"")</f>
        <v/>
      </c>
      <c r="E133" s="27" t="str">
        <f>IFERROR(__xludf.DUMMYFUNCTION("IFERROR(ARRAY_CONSTRAIN(SPLIT(INDEX('Daily Raw Data'!G:G,Match($A133,'Daily Raw Data'!$B:$B,0)),"":""),1,1),"""")"),"")</f>
        <v/>
      </c>
      <c r="F133" t="str">
        <f t="array" ref="F133">IFERROR(INDEX('Daily Raw Data'!H:H,Match($A133,'Daily Raw Data'!$B:$B,0)),"")</f>
        <v/>
      </c>
      <c r="G133" t="str">
        <f t="array" ref="G133">IFERROR(INDEX('Daily Raw Data'!I:I,Match($A133,'Daily Raw Data'!$B:$B,0)),"")</f>
        <v/>
      </c>
      <c r="H133" t="str">
        <f t="array" ref="H133">IFERROR(INDEX('Daily Raw Data'!N:N,Match($A133,'Daily Raw Data'!$B:$B,0)),"")</f>
        <v/>
      </c>
      <c r="I133" t="str">
        <f t="array" ref="I133">IFERROR(INDEX('Daily Raw Data'!O:O,Match($A133,'Daily Raw Data'!$B:$B,0)),"")</f>
        <v/>
      </c>
      <c r="J133" t="str">
        <f t="array" ref="J133">IFERROR(INDEX('Daily Raw Data'!S:S,Match($A133,'Daily Raw Data'!$B:$B,0)),"")</f>
        <v/>
      </c>
      <c r="K133" t="str">
        <f t="array" ref="K133">IFERROR(INDEX('Daily Raw Data'!T:T,Match($A133,'Daily Raw Data'!$B:$B,0)),"")</f>
        <v/>
      </c>
      <c r="L133" t="str">
        <f t="array" ref="L133">IFERROR(INDEX('Daily Raw Data'!U:U,Match($A133,'Daily Raw Data'!$B:$B,0)),"")</f>
        <v/>
      </c>
      <c r="M133" t="str">
        <f t="array" ref="M133">IFERROR(INDEX('Daily Raw Data'!V:V,Match($A133,'Daily Raw Data'!$B:$B,0)),"")</f>
        <v/>
      </c>
      <c r="N133" t="str">
        <f t="array" ref="N133">IFERROR(INDEX('Daily Raw Data'!W:W,Match($A133,'Daily Raw Data'!$B:$B,0)),"")</f>
        <v/>
      </c>
      <c r="O133" t="str">
        <f t="array" ref="O133">IFERROR(INDEX('Daily Raw Data'!Y:Y,Match($A133,'Daily Raw Data'!$B:$B,0)),"")</f>
        <v/>
      </c>
      <c r="P133" t="str">
        <f t="shared" si="1"/>
        <v/>
      </c>
      <c r="Q133" s="14" t="str">
        <f t="shared" si="2"/>
        <v/>
      </c>
      <c r="R133" s="15" t="str">
        <f>IFERROR(__xludf.DUMMYFUNCTION("IF($A133="""","""", IFERROR(PERCENTRANK.INC(FILTER(P:P,$E:$E&lt;&gt;""""),P133)*100,""""))"),"")</f>
        <v/>
      </c>
      <c r="S133" s="15" t="str">
        <f>IFERROR(__xludf.DUMMYFUNCTION("IF($A133="""","""",IFERROR(PERCENTRANK.INC(FILTER(Q:Q,$E:$E&lt;&gt;""""),Q133)*100,""""))"),"")</f>
        <v/>
      </c>
    </row>
    <row r="134">
      <c r="B134" t="str">
        <f t="array" ref="B134">IFERROR(INDEX('Player Raw Data'!C:C,Match($A134,'Player Raw Data'!$B:$B,0)),"")</f>
        <v/>
      </c>
      <c r="C134" t="str">
        <f t="array" ref="C134">IFERROR(INDEX('Player Raw Data'!D:D,Match($A134,'Player Raw Data'!$B:$B,0)),"")</f>
        <v/>
      </c>
      <c r="D134" t="str">
        <f t="array" ref="D134">IFERROR(IF(A134=A133, INDEX('Player Raw Data'!E:E,Match($A134,'Player Raw Data'!$B:$B,0)+2),INDEX('Player Raw Data'!E:E,Match($A134,'Player Raw Data'!$B:$B,0))),"")</f>
        <v/>
      </c>
      <c r="E134" s="27" t="str">
        <f>IFERROR(__xludf.DUMMYFUNCTION("IFERROR(ARRAY_CONSTRAIN(SPLIT(INDEX('Daily Raw Data'!G:G,Match($A134,'Daily Raw Data'!$B:$B,0)),"":""),1,1),"""")"),"")</f>
        <v/>
      </c>
      <c r="F134" t="str">
        <f t="array" ref="F134">IFERROR(INDEX('Daily Raw Data'!H:H,Match($A134,'Daily Raw Data'!$B:$B,0)),"")</f>
        <v/>
      </c>
      <c r="G134" t="str">
        <f t="array" ref="G134">IFERROR(INDEX('Daily Raw Data'!I:I,Match($A134,'Daily Raw Data'!$B:$B,0)),"")</f>
        <v/>
      </c>
      <c r="H134" t="str">
        <f t="array" ref="H134">IFERROR(INDEX('Daily Raw Data'!N:N,Match($A134,'Daily Raw Data'!$B:$B,0)),"")</f>
        <v/>
      </c>
      <c r="I134" t="str">
        <f t="array" ref="I134">IFERROR(INDEX('Daily Raw Data'!O:O,Match($A134,'Daily Raw Data'!$B:$B,0)),"")</f>
        <v/>
      </c>
      <c r="J134" t="str">
        <f t="array" ref="J134">IFERROR(INDEX('Daily Raw Data'!S:S,Match($A134,'Daily Raw Data'!$B:$B,0)),"")</f>
        <v/>
      </c>
      <c r="K134" t="str">
        <f t="array" ref="K134">IFERROR(INDEX('Daily Raw Data'!T:T,Match($A134,'Daily Raw Data'!$B:$B,0)),"")</f>
        <v/>
      </c>
      <c r="L134" t="str">
        <f t="array" ref="L134">IFERROR(INDEX('Daily Raw Data'!U:U,Match($A134,'Daily Raw Data'!$B:$B,0)),"")</f>
        <v/>
      </c>
      <c r="M134" t="str">
        <f t="array" ref="M134">IFERROR(INDEX('Daily Raw Data'!V:V,Match($A134,'Daily Raw Data'!$B:$B,0)),"")</f>
        <v/>
      </c>
      <c r="N134" t="str">
        <f t="array" ref="N134">IFERROR(INDEX('Daily Raw Data'!W:W,Match($A134,'Daily Raw Data'!$B:$B,0)),"")</f>
        <v/>
      </c>
      <c r="O134" t="str">
        <f t="array" ref="O134">IFERROR(INDEX('Daily Raw Data'!Y:Y,Match($A134,'Daily Raw Data'!$B:$B,0)),"")</f>
        <v/>
      </c>
      <c r="P134" t="str">
        <f t="shared" si="1"/>
        <v/>
      </c>
      <c r="Q134" s="14" t="str">
        <f t="shared" si="2"/>
        <v/>
      </c>
      <c r="R134" s="15" t="str">
        <f>IFERROR(__xludf.DUMMYFUNCTION("IF($A134="""","""", IFERROR(PERCENTRANK.INC(FILTER(P:P,$E:$E&lt;&gt;""""),P134)*100,""""))"),"")</f>
        <v/>
      </c>
      <c r="S134" s="15" t="str">
        <f>IFERROR(__xludf.DUMMYFUNCTION("IF($A134="""","""",IFERROR(PERCENTRANK.INC(FILTER(Q:Q,$E:$E&lt;&gt;""""),Q134)*100,""""))"),"")</f>
        <v/>
      </c>
    </row>
    <row r="135">
      <c r="B135" t="str">
        <f t="array" ref="B135">IFERROR(INDEX('Player Raw Data'!C:C,Match($A135,'Player Raw Data'!$B:$B,0)),"")</f>
        <v/>
      </c>
      <c r="C135" t="str">
        <f t="array" ref="C135">IFERROR(INDEX('Player Raw Data'!D:D,Match($A135,'Player Raw Data'!$B:$B,0)),"")</f>
        <v/>
      </c>
      <c r="D135" t="str">
        <f t="array" ref="D135">IFERROR(IF(A135=A134, INDEX('Player Raw Data'!E:E,Match($A135,'Player Raw Data'!$B:$B,0)+2),INDEX('Player Raw Data'!E:E,Match($A135,'Player Raw Data'!$B:$B,0))),"")</f>
        <v/>
      </c>
      <c r="E135" s="27" t="str">
        <f>IFERROR(__xludf.DUMMYFUNCTION("IFERROR(ARRAY_CONSTRAIN(SPLIT(INDEX('Daily Raw Data'!G:G,Match($A135,'Daily Raw Data'!$B:$B,0)),"":""),1,1),"""")"),"")</f>
        <v/>
      </c>
      <c r="F135" t="str">
        <f t="array" ref="F135">IFERROR(INDEX('Daily Raw Data'!H:H,Match($A135,'Daily Raw Data'!$B:$B,0)),"")</f>
        <v/>
      </c>
      <c r="G135" t="str">
        <f t="array" ref="G135">IFERROR(INDEX('Daily Raw Data'!I:I,Match($A135,'Daily Raw Data'!$B:$B,0)),"")</f>
        <v/>
      </c>
      <c r="H135" t="str">
        <f t="array" ref="H135">IFERROR(INDEX('Daily Raw Data'!N:N,Match($A135,'Daily Raw Data'!$B:$B,0)),"")</f>
        <v/>
      </c>
      <c r="I135" t="str">
        <f t="array" ref="I135">IFERROR(INDEX('Daily Raw Data'!O:O,Match($A135,'Daily Raw Data'!$B:$B,0)),"")</f>
        <v/>
      </c>
      <c r="J135" t="str">
        <f t="array" ref="J135">IFERROR(INDEX('Daily Raw Data'!S:S,Match($A135,'Daily Raw Data'!$B:$B,0)),"")</f>
        <v/>
      </c>
      <c r="K135" t="str">
        <f t="array" ref="K135">IFERROR(INDEX('Daily Raw Data'!T:T,Match($A135,'Daily Raw Data'!$B:$B,0)),"")</f>
        <v/>
      </c>
      <c r="L135" t="str">
        <f t="array" ref="L135">IFERROR(INDEX('Daily Raw Data'!U:U,Match($A135,'Daily Raw Data'!$B:$B,0)),"")</f>
        <v/>
      </c>
      <c r="M135" t="str">
        <f t="array" ref="M135">IFERROR(INDEX('Daily Raw Data'!V:V,Match($A135,'Daily Raw Data'!$B:$B,0)),"")</f>
        <v/>
      </c>
      <c r="N135" t="str">
        <f t="array" ref="N135">IFERROR(INDEX('Daily Raw Data'!W:W,Match($A135,'Daily Raw Data'!$B:$B,0)),"")</f>
        <v/>
      </c>
      <c r="O135" t="str">
        <f t="array" ref="O135">IFERROR(INDEX('Daily Raw Data'!Y:Y,Match($A135,'Daily Raw Data'!$B:$B,0)),"")</f>
        <v/>
      </c>
      <c r="P135" t="str">
        <f t="shared" si="1"/>
        <v/>
      </c>
      <c r="Q135" s="14" t="str">
        <f t="shared" si="2"/>
        <v/>
      </c>
      <c r="R135" s="15" t="str">
        <f>IFERROR(__xludf.DUMMYFUNCTION("IF($A135="""","""", IFERROR(PERCENTRANK.INC(FILTER(P:P,$E:$E&lt;&gt;""""),P135)*100,""""))"),"")</f>
        <v/>
      </c>
      <c r="S135" s="15" t="str">
        <f>IFERROR(__xludf.DUMMYFUNCTION("IF($A135="""","""",IFERROR(PERCENTRANK.INC(FILTER(Q:Q,$E:$E&lt;&gt;""""),Q135)*100,""""))"),"")</f>
        <v/>
      </c>
    </row>
    <row r="136">
      <c r="B136" t="str">
        <f t="array" ref="B136">IFERROR(INDEX('Player Raw Data'!C:C,Match($A136,'Player Raw Data'!$B:$B,0)),"")</f>
        <v/>
      </c>
      <c r="C136" t="str">
        <f t="array" ref="C136">IFERROR(INDEX('Player Raw Data'!D:D,Match($A136,'Player Raw Data'!$B:$B,0)),"")</f>
        <v/>
      </c>
      <c r="D136" t="str">
        <f t="array" ref="D136">IFERROR(IF(A136=A135, INDEX('Player Raw Data'!E:E,Match($A136,'Player Raw Data'!$B:$B,0)+2),INDEX('Player Raw Data'!E:E,Match($A136,'Player Raw Data'!$B:$B,0))),"")</f>
        <v/>
      </c>
      <c r="E136" s="27" t="str">
        <f>IFERROR(__xludf.DUMMYFUNCTION("IFERROR(ARRAY_CONSTRAIN(SPLIT(INDEX('Daily Raw Data'!G:G,Match($A136,'Daily Raw Data'!$B:$B,0)),"":""),1,1),"""")"),"")</f>
        <v/>
      </c>
      <c r="F136" t="str">
        <f t="array" ref="F136">IFERROR(INDEX('Daily Raw Data'!H:H,Match($A136,'Daily Raw Data'!$B:$B,0)),"")</f>
        <v/>
      </c>
      <c r="G136" t="str">
        <f t="array" ref="G136">IFERROR(INDEX('Daily Raw Data'!I:I,Match($A136,'Daily Raw Data'!$B:$B,0)),"")</f>
        <v/>
      </c>
      <c r="H136" t="str">
        <f t="array" ref="H136">IFERROR(INDEX('Daily Raw Data'!N:N,Match($A136,'Daily Raw Data'!$B:$B,0)),"")</f>
        <v/>
      </c>
      <c r="I136" t="str">
        <f t="array" ref="I136">IFERROR(INDEX('Daily Raw Data'!O:O,Match($A136,'Daily Raw Data'!$B:$B,0)),"")</f>
        <v/>
      </c>
      <c r="J136" t="str">
        <f t="array" ref="J136">IFERROR(INDEX('Daily Raw Data'!S:S,Match($A136,'Daily Raw Data'!$B:$B,0)),"")</f>
        <v/>
      </c>
      <c r="K136" t="str">
        <f t="array" ref="K136">IFERROR(INDEX('Daily Raw Data'!T:T,Match($A136,'Daily Raw Data'!$B:$B,0)),"")</f>
        <v/>
      </c>
      <c r="L136" t="str">
        <f t="array" ref="L136">IFERROR(INDEX('Daily Raw Data'!U:U,Match($A136,'Daily Raw Data'!$B:$B,0)),"")</f>
        <v/>
      </c>
      <c r="M136" t="str">
        <f t="array" ref="M136">IFERROR(INDEX('Daily Raw Data'!V:V,Match($A136,'Daily Raw Data'!$B:$B,0)),"")</f>
        <v/>
      </c>
      <c r="N136" t="str">
        <f t="array" ref="N136">IFERROR(INDEX('Daily Raw Data'!W:W,Match($A136,'Daily Raw Data'!$B:$B,0)),"")</f>
        <v/>
      </c>
      <c r="O136" t="str">
        <f t="array" ref="O136">IFERROR(INDEX('Daily Raw Data'!Y:Y,Match($A136,'Daily Raw Data'!$B:$B,0)),"")</f>
        <v/>
      </c>
      <c r="P136" t="str">
        <f t="shared" si="1"/>
        <v/>
      </c>
      <c r="Q136" s="14" t="str">
        <f t="shared" si="2"/>
        <v/>
      </c>
      <c r="R136" s="15" t="str">
        <f>IFERROR(__xludf.DUMMYFUNCTION("IF($A136="""","""", IFERROR(PERCENTRANK.INC(FILTER(P:P,$E:$E&lt;&gt;""""),P136)*100,""""))"),"")</f>
        <v/>
      </c>
      <c r="S136" s="15" t="str">
        <f>IFERROR(__xludf.DUMMYFUNCTION("IF($A136="""","""",IFERROR(PERCENTRANK.INC(FILTER(Q:Q,$E:$E&lt;&gt;""""),Q136)*100,""""))"),"")</f>
        <v/>
      </c>
    </row>
    <row r="137">
      <c r="B137" t="str">
        <f t="array" ref="B137">IFERROR(INDEX('Player Raw Data'!C:C,Match($A137,'Player Raw Data'!$B:$B,0)),"")</f>
        <v/>
      </c>
      <c r="C137" t="str">
        <f t="array" ref="C137">IFERROR(INDEX('Player Raw Data'!D:D,Match($A137,'Player Raw Data'!$B:$B,0)),"")</f>
        <v/>
      </c>
      <c r="D137" t="str">
        <f t="array" ref="D137">IFERROR(IF(A137=A136, INDEX('Player Raw Data'!E:E,Match($A137,'Player Raw Data'!$B:$B,0)+2),INDEX('Player Raw Data'!E:E,Match($A137,'Player Raw Data'!$B:$B,0))),"")</f>
        <v/>
      </c>
      <c r="E137" s="27" t="str">
        <f>IFERROR(__xludf.DUMMYFUNCTION("IFERROR(ARRAY_CONSTRAIN(SPLIT(INDEX('Daily Raw Data'!G:G,Match($A137,'Daily Raw Data'!$B:$B,0)),"":""),1,1),"""")"),"")</f>
        <v/>
      </c>
      <c r="F137" t="str">
        <f t="array" ref="F137">IFERROR(INDEX('Daily Raw Data'!H:H,Match($A137,'Daily Raw Data'!$B:$B,0)),"")</f>
        <v/>
      </c>
      <c r="G137" t="str">
        <f t="array" ref="G137">IFERROR(INDEX('Daily Raw Data'!I:I,Match($A137,'Daily Raw Data'!$B:$B,0)),"")</f>
        <v/>
      </c>
      <c r="H137" t="str">
        <f t="array" ref="H137">IFERROR(INDEX('Daily Raw Data'!N:N,Match($A137,'Daily Raw Data'!$B:$B,0)),"")</f>
        <v/>
      </c>
      <c r="I137" t="str">
        <f t="array" ref="I137">IFERROR(INDEX('Daily Raw Data'!O:O,Match($A137,'Daily Raw Data'!$B:$B,0)),"")</f>
        <v/>
      </c>
      <c r="J137" t="str">
        <f t="array" ref="J137">IFERROR(INDEX('Daily Raw Data'!S:S,Match($A137,'Daily Raw Data'!$B:$B,0)),"")</f>
        <v/>
      </c>
      <c r="K137" t="str">
        <f t="array" ref="K137">IFERROR(INDEX('Daily Raw Data'!T:T,Match($A137,'Daily Raw Data'!$B:$B,0)),"")</f>
        <v/>
      </c>
      <c r="L137" t="str">
        <f t="array" ref="L137">IFERROR(INDEX('Daily Raw Data'!U:U,Match($A137,'Daily Raw Data'!$B:$B,0)),"")</f>
        <v/>
      </c>
      <c r="M137" t="str">
        <f t="array" ref="M137">IFERROR(INDEX('Daily Raw Data'!V:V,Match($A137,'Daily Raw Data'!$B:$B,0)),"")</f>
        <v/>
      </c>
      <c r="N137" t="str">
        <f t="array" ref="N137">IFERROR(INDEX('Daily Raw Data'!W:W,Match($A137,'Daily Raw Data'!$B:$B,0)),"")</f>
        <v/>
      </c>
      <c r="O137" t="str">
        <f t="array" ref="O137">IFERROR(INDEX('Daily Raw Data'!Y:Y,Match($A137,'Daily Raw Data'!$B:$B,0)),"")</f>
        <v/>
      </c>
      <c r="P137" t="str">
        <f t="shared" si="1"/>
        <v/>
      </c>
      <c r="Q137" s="14" t="str">
        <f t="shared" si="2"/>
        <v/>
      </c>
      <c r="R137" s="15" t="str">
        <f>IFERROR(__xludf.DUMMYFUNCTION("IF($A137="""","""", IFERROR(PERCENTRANK.INC(FILTER(P:P,$E:$E&lt;&gt;""""),P137)*100,""""))"),"")</f>
        <v/>
      </c>
      <c r="S137" s="15" t="str">
        <f>IFERROR(__xludf.DUMMYFUNCTION("IF($A137="""","""",IFERROR(PERCENTRANK.INC(FILTER(Q:Q,$E:$E&lt;&gt;""""),Q137)*100,""""))"),"")</f>
        <v/>
      </c>
    </row>
    <row r="138">
      <c r="B138" t="str">
        <f t="array" ref="B138">IFERROR(INDEX('Player Raw Data'!C:C,Match($A138,'Player Raw Data'!$B:$B,0)),"")</f>
        <v/>
      </c>
      <c r="C138" t="str">
        <f t="array" ref="C138">IFERROR(INDEX('Player Raw Data'!D:D,Match($A138,'Player Raw Data'!$B:$B,0)),"")</f>
        <v/>
      </c>
      <c r="D138" t="str">
        <f t="array" ref="D138">IFERROR(IF(A138=A137, INDEX('Player Raw Data'!E:E,Match($A138,'Player Raw Data'!$B:$B,0)+2),INDEX('Player Raw Data'!E:E,Match($A138,'Player Raw Data'!$B:$B,0))),"")</f>
        <v/>
      </c>
      <c r="E138" s="27" t="str">
        <f>IFERROR(__xludf.DUMMYFUNCTION("IFERROR(ARRAY_CONSTRAIN(SPLIT(INDEX('Daily Raw Data'!G:G,Match($A138,'Daily Raw Data'!$B:$B,0)),"":""),1,1),"""")"),"")</f>
        <v/>
      </c>
      <c r="F138" t="str">
        <f t="array" ref="F138">IFERROR(INDEX('Daily Raw Data'!H:H,Match($A138,'Daily Raw Data'!$B:$B,0)),"")</f>
        <v/>
      </c>
      <c r="G138" t="str">
        <f t="array" ref="G138">IFERROR(INDEX('Daily Raw Data'!I:I,Match($A138,'Daily Raw Data'!$B:$B,0)),"")</f>
        <v/>
      </c>
      <c r="H138" t="str">
        <f t="array" ref="H138">IFERROR(INDEX('Daily Raw Data'!N:N,Match($A138,'Daily Raw Data'!$B:$B,0)),"")</f>
        <v/>
      </c>
      <c r="I138" t="str">
        <f t="array" ref="I138">IFERROR(INDEX('Daily Raw Data'!O:O,Match($A138,'Daily Raw Data'!$B:$B,0)),"")</f>
        <v/>
      </c>
      <c r="J138" t="str">
        <f t="array" ref="J138">IFERROR(INDEX('Daily Raw Data'!S:S,Match($A138,'Daily Raw Data'!$B:$B,0)),"")</f>
        <v/>
      </c>
      <c r="K138" t="str">
        <f t="array" ref="K138">IFERROR(INDEX('Daily Raw Data'!T:T,Match($A138,'Daily Raw Data'!$B:$B,0)),"")</f>
        <v/>
      </c>
      <c r="L138" t="str">
        <f t="array" ref="L138">IFERROR(INDEX('Daily Raw Data'!U:U,Match($A138,'Daily Raw Data'!$B:$B,0)),"")</f>
        <v/>
      </c>
      <c r="M138" t="str">
        <f t="array" ref="M138">IFERROR(INDEX('Daily Raw Data'!V:V,Match($A138,'Daily Raw Data'!$B:$B,0)),"")</f>
        <v/>
      </c>
      <c r="N138" t="str">
        <f t="array" ref="N138">IFERROR(INDEX('Daily Raw Data'!W:W,Match($A138,'Daily Raw Data'!$B:$B,0)),"")</f>
        <v/>
      </c>
      <c r="O138" t="str">
        <f t="array" ref="O138">IFERROR(INDEX('Daily Raw Data'!Y:Y,Match($A138,'Daily Raw Data'!$B:$B,0)),"")</f>
        <v/>
      </c>
      <c r="P138" t="str">
        <f t="shared" si="1"/>
        <v/>
      </c>
      <c r="Q138" s="14" t="str">
        <f t="shared" si="2"/>
        <v/>
      </c>
      <c r="R138" s="15" t="str">
        <f>IFERROR(__xludf.DUMMYFUNCTION("IF($A138="""","""", IFERROR(PERCENTRANK.INC(FILTER(P:P,$E:$E&lt;&gt;""""),P138)*100,""""))"),"")</f>
        <v/>
      </c>
      <c r="S138" s="15" t="str">
        <f>IFERROR(__xludf.DUMMYFUNCTION("IF($A138="""","""",IFERROR(PERCENTRANK.INC(FILTER(Q:Q,$E:$E&lt;&gt;""""),Q138)*100,""""))"),"")</f>
        <v/>
      </c>
    </row>
    <row r="139">
      <c r="B139" t="str">
        <f t="array" ref="B139">IFERROR(INDEX('Player Raw Data'!C:C,Match($A139,'Player Raw Data'!$B:$B,0)),"")</f>
        <v/>
      </c>
      <c r="C139" t="str">
        <f t="array" ref="C139">IFERROR(INDEX('Player Raw Data'!D:D,Match($A139,'Player Raw Data'!$B:$B,0)),"")</f>
        <v/>
      </c>
      <c r="D139" t="str">
        <f t="array" ref="D139">IFERROR(IF(A139=A138, INDEX('Player Raw Data'!E:E,Match($A139,'Player Raw Data'!$B:$B,0)+2),INDEX('Player Raw Data'!E:E,Match($A139,'Player Raw Data'!$B:$B,0))),"")</f>
        <v/>
      </c>
      <c r="E139" s="27" t="str">
        <f>IFERROR(__xludf.DUMMYFUNCTION("IFERROR(ARRAY_CONSTRAIN(SPLIT(INDEX('Daily Raw Data'!G:G,Match($A139,'Daily Raw Data'!$B:$B,0)),"":""),1,1),"""")"),"")</f>
        <v/>
      </c>
      <c r="F139" t="str">
        <f t="array" ref="F139">IFERROR(INDEX('Daily Raw Data'!H:H,Match($A139,'Daily Raw Data'!$B:$B,0)),"")</f>
        <v/>
      </c>
      <c r="G139" t="str">
        <f t="array" ref="G139">IFERROR(INDEX('Daily Raw Data'!I:I,Match($A139,'Daily Raw Data'!$B:$B,0)),"")</f>
        <v/>
      </c>
      <c r="H139" t="str">
        <f t="array" ref="H139">IFERROR(INDEX('Daily Raw Data'!N:N,Match($A139,'Daily Raw Data'!$B:$B,0)),"")</f>
        <v/>
      </c>
      <c r="I139" t="str">
        <f t="array" ref="I139">IFERROR(INDEX('Daily Raw Data'!O:O,Match($A139,'Daily Raw Data'!$B:$B,0)),"")</f>
        <v/>
      </c>
      <c r="J139" t="str">
        <f t="array" ref="J139">IFERROR(INDEX('Daily Raw Data'!S:S,Match($A139,'Daily Raw Data'!$B:$B,0)),"")</f>
        <v/>
      </c>
      <c r="K139" t="str">
        <f t="array" ref="K139">IFERROR(INDEX('Daily Raw Data'!T:T,Match($A139,'Daily Raw Data'!$B:$B,0)),"")</f>
        <v/>
      </c>
      <c r="L139" t="str">
        <f t="array" ref="L139">IFERROR(INDEX('Daily Raw Data'!U:U,Match($A139,'Daily Raw Data'!$B:$B,0)),"")</f>
        <v/>
      </c>
      <c r="M139" t="str">
        <f t="array" ref="M139">IFERROR(INDEX('Daily Raw Data'!V:V,Match($A139,'Daily Raw Data'!$B:$B,0)),"")</f>
        <v/>
      </c>
      <c r="N139" t="str">
        <f t="array" ref="N139">IFERROR(INDEX('Daily Raw Data'!W:W,Match($A139,'Daily Raw Data'!$B:$B,0)),"")</f>
        <v/>
      </c>
      <c r="O139" t="str">
        <f t="array" ref="O139">IFERROR(INDEX('Daily Raw Data'!Y:Y,Match($A139,'Daily Raw Data'!$B:$B,0)),"")</f>
        <v/>
      </c>
      <c r="P139" t="str">
        <f t="shared" si="1"/>
        <v/>
      </c>
      <c r="Q139" s="14" t="str">
        <f t="shared" si="2"/>
        <v/>
      </c>
      <c r="R139" s="15" t="str">
        <f>IFERROR(__xludf.DUMMYFUNCTION("IF($A139="""","""", IFERROR(PERCENTRANK.INC(FILTER(P:P,$E:$E&lt;&gt;""""),P139)*100,""""))"),"")</f>
        <v/>
      </c>
      <c r="S139" s="15" t="str">
        <f>IFERROR(__xludf.DUMMYFUNCTION("IF($A139="""","""",IFERROR(PERCENTRANK.INC(FILTER(Q:Q,$E:$E&lt;&gt;""""),Q139)*100,""""))"),"")</f>
        <v/>
      </c>
    </row>
    <row r="140">
      <c r="B140" t="str">
        <f t="array" ref="B140">IFERROR(INDEX('Player Raw Data'!C:C,Match($A140,'Player Raw Data'!$B:$B,0)),"")</f>
        <v/>
      </c>
      <c r="C140" t="str">
        <f t="array" ref="C140">IFERROR(INDEX('Player Raw Data'!D:D,Match($A140,'Player Raw Data'!$B:$B,0)),"")</f>
        <v/>
      </c>
      <c r="D140" t="str">
        <f t="array" ref="D140">IFERROR(IF(A140=A139, INDEX('Player Raw Data'!E:E,Match($A140,'Player Raw Data'!$B:$B,0)+2),INDEX('Player Raw Data'!E:E,Match($A140,'Player Raw Data'!$B:$B,0))),"")</f>
        <v/>
      </c>
      <c r="E140" s="27" t="str">
        <f>IFERROR(__xludf.DUMMYFUNCTION("IFERROR(ARRAY_CONSTRAIN(SPLIT(INDEX('Daily Raw Data'!G:G,Match($A140,'Daily Raw Data'!$B:$B,0)),"":""),1,1),"""")"),"")</f>
        <v/>
      </c>
      <c r="F140" t="str">
        <f t="array" ref="F140">IFERROR(INDEX('Daily Raw Data'!H:H,Match($A140,'Daily Raw Data'!$B:$B,0)),"")</f>
        <v/>
      </c>
      <c r="G140" t="str">
        <f t="array" ref="G140">IFERROR(INDEX('Daily Raw Data'!I:I,Match($A140,'Daily Raw Data'!$B:$B,0)),"")</f>
        <v/>
      </c>
      <c r="H140" t="str">
        <f t="array" ref="H140">IFERROR(INDEX('Daily Raw Data'!N:N,Match($A140,'Daily Raw Data'!$B:$B,0)),"")</f>
        <v/>
      </c>
      <c r="I140" t="str">
        <f t="array" ref="I140">IFERROR(INDEX('Daily Raw Data'!O:O,Match($A140,'Daily Raw Data'!$B:$B,0)),"")</f>
        <v/>
      </c>
      <c r="J140" t="str">
        <f t="array" ref="J140">IFERROR(INDEX('Daily Raw Data'!S:S,Match($A140,'Daily Raw Data'!$B:$B,0)),"")</f>
        <v/>
      </c>
      <c r="K140" t="str">
        <f t="array" ref="K140">IFERROR(INDEX('Daily Raw Data'!T:T,Match($A140,'Daily Raw Data'!$B:$B,0)),"")</f>
        <v/>
      </c>
      <c r="L140" t="str">
        <f t="array" ref="L140">IFERROR(INDEX('Daily Raw Data'!U:U,Match($A140,'Daily Raw Data'!$B:$B,0)),"")</f>
        <v/>
      </c>
      <c r="M140" t="str">
        <f t="array" ref="M140">IFERROR(INDEX('Daily Raw Data'!V:V,Match($A140,'Daily Raw Data'!$B:$B,0)),"")</f>
        <v/>
      </c>
      <c r="N140" t="str">
        <f t="array" ref="N140">IFERROR(INDEX('Daily Raw Data'!W:W,Match($A140,'Daily Raw Data'!$B:$B,0)),"")</f>
        <v/>
      </c>
      <c r="O140" t="str">
        <f t="array" ref="O140">IFERROR(INDEX('Daily Raw Data'!Y:Y,Match($A140,'Daily Raw Data'!$B:$B,0)),"")</f>
        <v/>
      </c>
      <c r="P140" t="str">
        <f t="shared" si="1"/>
        <v/>
      </c>
      <c r="Q140" s="14" t="str">
        <f t="shared" si="2"/>
        <v/>
      </c>
      <c r="R140" s="15" t="str">
        <f>IFERROR(__xludf.DUMMYFUNCTION("IF($A140="""","""", IFERROR(PERCENTRANK.INC(FILTER(P:P,$E:$E&lt;&gt;""""),P140)*100,""""))"),"")</f>
        <v/>
      </c>
      <c r="S140" s="15" t="str">
        <f>IFERROR(__xludf.DUMMYFUNCTION("IF($A140="""","""",IFERROR(PERCENTRANK.INC(FILTER(Q:Q,$E:$E&lt;&gt;""""),Q140)*100,""""))"),"")</f>
        <v/>
      </c>
    </row>
    <row r="141">
      <c r="B141" t="str">
        <f t="array" ref="B141">IFERROR(INDEX('Player Raw Data'!C:C,Match($A141,'Player Raw Data'!$B:$B,0)),"")</f>
        <v/>
      </c>
      <c r="C141" t="str">
        <f t="array" ref="C141">IFERROR(INDEX('Player Raw Data'!D:D,Match($A141,'Player Raw Data'!$B:$B,0)),"")</f>
        <v/>
      </c>
      <c r="D141" t="str">
        <f t="array" ref="D141">IFERROR(IF(A141=A140, INDEX('Player Raw Data'!E:E,Match($A141,'Player Raw Data'!$B:$B,0)+2),INDEX('Player Raw Data'!E:E,Match($A141,'Player Raw Data'!$B:$B,0))),"")</f>
        <v/>
      </c>
      <c r="E141" s="27" t="str">
        <f>IFERROR(__xludf.DUMMYFUNCTION("IFERROR(ARRAY_CONSTRAIN(SPLIT(INDEX('Daily Raw Data'!G:G,Match($A141,'Daily Raw Data'!$B:$B,0)),"":""),1,1),"""")"),"")</f>
        <v/>
      </c>
      <c r="F141" t="str">
        <f t="array" ref="F141">IFERROR(INDEX('Daily Raw Data'!H:H,Match($A141,'Daily Raw Data'!$B:$B,0)),"")</f>
        <v/>
      </c>
      <c r="G141" t="str">
        <f t="array" ref="G141">IFERROR(INDEX('Daily Raw Data'!I:I,Match($A141,'Daily Raw Data'!$B:$B,0)),"")</f>
        <v/>
      </c>
      <c r="H141" t="str">
        <f t="array" ref="H141">IFERROR(INDEX('Daily Raw Data'!N:N,Match($A141,'Daily Raw Data'!$B:$B,0)),"")</f>
        <v/>
      </c>
      <c r="I141" t="str">
        <f t="array" ref="I141">IFERROR(INDEX('Daily Raw Data'!O:O,Match($A141,'Daily Raw Data'!$B:$B,0)),"")</f>
        <v/>
      </c>
      <c r="J141" t="str">
        <f t="array" ref="J141">IFERROR(INDEX('Daily Raw Data'!S:S,Match($A141,'Daily Raw Data'!$B:$B,0)),"")</f>
        <v/>
      </c>
      <c r="K141" t="str">
        <f t="array" ref="K141">IFERROR(INDEX('Daily Raw Data'!T:T,Match($A141,'Daily Raw Data'!$B:$B,0)),"")</f>
        <v/>
      </c>
      <c r="L141" t="str">
        <f t="array" ref="L141">IFERROR(INDEX('Daily Raw Data'!U:U,Match($A141,'Daily Raw Data'!$B:$B,0)),"")</f>
        <v/>
      </c>
      <c r="M141" t="str">
        <f t="array" ref="M141">IFERROR(INDEX('Daily Raw Data'!V:V,Match($A141,'Daily Raw Data'!$B:$B,0)),"")</f>
        <v/>
      </c>
      <c r="N141" t="str">
        <f t="array" ref="N141">IFERROR(INDEX('Daily Raw Data'!W:W,Match($A141,'Daily Raw Data'!$B:$B,0)),"")</f>
        <v/>
      </c>
      <c r="O141" t="str">
        <f t="array" ref="O141">IFERROR(INDEX('Daily Raw Data'!Y:Y,Match($A141,'Daily Raw Data'!$B:$B,0)),"")</f>
        <v/>
      </c>
      <c r="P141" t="str">
        <f t="shared" si="1"/>
        <v/>
      </c>
      <c r="Q141" s="14" t="str">
        <f t="shared" si="2"/>
        <v/>
      </c>
      <c r="R141" s="15" t="str">
        <f>IFERROR(__xludf.DUMMYFUNCTION("IF($A141="""","""", IFERROR(PERCENTRANK.INC(FILTER(P:P,$E:$E&lt;&gt;""""),P141)*100,""""))"),"")</f>
        <v/>
      </c>
      <c r="S141" s="15" t="str">
        <f>IFERROR(__xludf.DUMMYFUNCTION("IF($A141="""","""",IFERROR(PERCENTRANK.INC(FILTER(Q:Q,$E:$E&lt;&gt;""""),Q141)*100,""""))"),"")</f>
        <v/>
      </c>
    </row>
    <row r="142">
      <c r="B142" t="str">
        <f t="array" ref="B142">IFERROR(INDEX('Player Raw Data'!C:C,Match($A142,'Player Raw Data'!$B:$B,0)),"")</f>
        <v/>
      </c>
      <c r="C142" t="str">
        <f t="array" ref="C142">IFERROR(INDEX('Player Raw Data'!D:D,Match($A142,'Player Raw Data'!$B:$B,0)),"")</f>
        <v/>
      </c>
      <c r="D142" t="str">
        <f t="array" ref="D142">IFERROR(IF(A142=A141, INDEX('Player Raw Data'!E:E,Match($A142,'Player Raw Data'!$B:$B,0)+2),INDEX('Player Raw Data'!E:E,Match($A142,'Player Raw Data'!$B:$B,0))),"")</f>
        <v/>
      </c>
      <c r="E142" s="27" t="str">
        <f>IFERROR(__xludf.DUMMYFUNCTION("IFERROR(ARRAY_CONSTRAIN(SPLIT(INDEX('Daily Raw Data'!G:G,Match($A142,'Daily Raw Data'!$B:$B,0)),"":""),1,1),"""")"),"")</f>
        <v/>
      </c>
      <c r="F142" t="str">
        <f t="array" ref="F142">IFERROR(INDEX('Daily Raw Data'!H:H,Match($A142,'Daily Raw Data'!$B:$B,0)),"")</f>
        <v/>
      </c>
      <c r="G142" t="str">
        <f t="array" ref="G142">IFERROR(INDEX('Daily Raw Data'!I:I,Match($A142,'Daily Raw Data'!$B:$B,0)),"")</f>
        <v/>
      </c>
      <c r="H142" t="str">
        <f t="array" ref="H142">IFERROR(INDEX('Daily Raw Data'!N:N,Match($A142,'Daily Raw Data'!$B:$B,0)),"")</f>
        <v/>
      </c>
      <c r="I142" t="str">
        <f t="array" ref="I142">IFERROR(INDEX('Daily Raw Data'!O:O,Match($A142,'Daily Raw Data'!$B:$B,0)),"")</f>
        <v/>
      </c>
      <c r="J142" t="str">
        <f t="array" ref="J142">IFERROR(INDEX('Daily Raw Data'!S:S,Match($A142,'Daily Raw Data'!$B:$B,0)),"")</f>
        <v/>
      </c>
      <c r="K142" t="str">
        <f t="array" ref="K142">IFERROR(INDEX('Daily Raw Data'!T:T,Match($A142,'Daily Raw Data'!$B:$B,0)),"")</f>
        <v/>
      </c>
      <c r="L142" t="str">
        <f t="array" ref="L142">IFERROR(INDEX('Daily Raw Data'!U:U,Match($A142,'Daily Raw Data'!$B:$B,0)),"")</f>
        <v/>
      </c>
      <c r="M142" t="str">
        <f t="array" ref="M142">IFERROR(INDEX('Daily Raw Data'!V:V,Match($A142,'Daily Raw Data'!$B:$B,0)),"")</f>
        <v/>
      </c>
      <c r="N142" t="str">
        <f t="array" ref="N142">IFERROR(INDEX('Daily Raw Data'!W:W,Match($A142,'Daily Raw Data'!$B:$B,0)),"")</f>
        <v/>
      </c>
      <c r="O142" t="str">
        <f t="array" ref="O142">IFERROR(INDEX('Daily Raw Data'!Y:Y,Match($A142,'Daily Raw Data'!$B:$B,0)),"")</f>
        <v/>
      </c>
      <c r="P142" t="str">
        <f t="shared" si="1"/>
        <v/>
      </c>
      <c r="Q142" s="14" t="str">
        <f t="shared" si="2"/>
        <v/>
      </c>
      <c r="R142" s="15" t="str">
        <f>IFERROR(__xludf.DUMMYFUNCTION("IF($A142="""","""", IFERROR(PERCENTRANK.INC(FILTER(P:P,$E:$E&lt;&gt;""""),P142)*100,""""))"),"")</f>
        <v/>
      </c>
      <c r="S142" s="15" t="str">
        <f>IFERROR(__xludf.DUMMYFUNCTION("IF($A142="""","""",IFERROR(PERCENTRANK.INC(FILTER(Q:Q,$E:$E&lt;&gt;""""),Q142)*100,""""))"),"")</f>
        <v/>
      </c>
    </row>
    <row r="143">
      <c r="B143" t="str">
        <f t="array" ref="B143">IFERROR(INDEX('Player Raw Data'!C:C,Match($A143,'Player Raw Data'!$B:$B,0)),"")</f>
        <v/>
      </c>
      <c r="C143" t="str">
        <f t="array" ref="C143">IFERROR(INDEX('Player Raw Data'!D:D,Match($A143,'Player Raw Data'!$B:$B,0)),"")</f>
        <v/>
      </c>
      <c r="D143" t="str">
        <f t="array" ref="D143">IFERROR(IF(A143=A142, INDEX('Player Raw Data'!E:E,Match($A143,'Player Raw Data'!$B:$B,0)+2),INDEX('Player Raw Data'!E:E,Match($A143,'Player Raw Data'!$B:$B,0))),"")</f>
        <v/>
      </c>
      <c r="E143" s="27" t="str">
        <f>IFERROR(__xludf.DUMMYFUNCTION("IFERROR(ARRAY_CONSTRAIN(SPLIT(INDEX('Daily Raw Data'!G:G,Match($A143,'Daily Raw Data'!$B:$B,0)),"":""),1,1),"""")"),"")</f>
        <v/>
      </c>
      <c r="F143" t="str">
        <f t="array" ref="F143">IFERROR(INDEX('Daily Raw Data'!H:H,Match($A143,'Daily Raw Data'!$B:$B,0)),"")</f>
        <v/>
      </c>
      <c r="G143" t="str">
        <f t="array" ref="G143">IFERROR(INDEX('Daily Raw Data'!I:I,Match($A143,'Daily Raw Data'!$B:$B,0)),"")</f>
        <v/>
      </c>
      <c r="H143" t="str">
        <f t="array" ref="H143">IFERROR(INDEX('Daily Raw Data'!N:N,Match($A143,'Daily Raw Data'!$B:$B,0)),"")</f>
        <v/>
      </c>
      <c r="I143" t="str">
        <f t="array" ref="I143">IFERROR(INDEX('Daily Raw Data'!O:O,Match($A143,'Daily Raw Data'!$B:$B,0)),"")</f>
        <v/>
      </c>
      <c r="J143" t="str">
        <f t="array" ref="J143">IFERROR(INDEX('Daily Raw Data'!S:S,Match($A143,'Daily Raw Data'!$B:$B,0)),"")</f>
        <v/>
      </c>
      <c r="K143" t="str">
        <f t="array" ref="K143">IFERROR(INDEX('Daily Raw Data'!T:T,Match($A143,'Daily Raw Data'!$B:$B,0)),"")</f>
        <v/>
      </c>
      <c r="L143" t="str">
        <f t="array" ref="L143">IFERROR(INDEX('Daily Raw Data'!U:U,Match($A143,'Daily Raw Data'!$B:$B,0)),"")</f>
        <v/>
      </c>
      <c r="M143" t="str">
        <f t="array" ref="M143">IFERROR(INDEX('Daily Raw Data'!V:V,Match($A143,'Daily Raw Data'!$B:$B,0)),"")</f>
        <v/>
      </c>
      <c r="N143" t="str">
        <f t="array" ref="N143">IFERROR(INDEX('Daily Raw Data'!W:W,Match($A143,'Daily Raw Data'!$B:$B,0)),"")</f>
        <v/>
      </c>
      <c r="O143" t="str">
        <f t="array" ref="O143">IFERROR(INDEX('Daily Raw Data'!Y:Y,Match($A143,'Daily Raw Data'!$B:$B,0)),"")</f>
        <v/>
      </c>
      <c r="P143" t="str">
        <f t="shared" si="1"/>
        <v/>
      </c>
      <c r="Q143" s="14" t="str">
        <f t="shared" si="2"/>
        <v/>
      </c>
      <c r="R143" s="15" t="str">
        <f>IFERROR(__xludf.DUMMYFUNCTION("IF($A143="""","""", IFERROR(PERCENTRANK.INC(FILTER(P:P,$E:$E&lt;&gt;""""),P143)*100,""""))"),"")</f>
        <v/>
      </c>
      <c r="S143" s="15" t="str">
        <f>IFERROR(__xludf.DUMMYFUNCTION("IF($A143="""","""",IFERROR(PERCENTRANK.INC(FILTER(Q:Q,$E:$E&lt;&gt;""""),Q143)*100,""""))"),"")</f>
        <v/>
      </c>
    </row>
    <row r="144">
      <c r="B144" t="str">
        <f t="array" ref="B144">IFERROR(INDEX('Player Raw Data'!C:C,Match($A144,'Player Raw Data'!$B:$B,0)),"")</f>
        <v/>
      </c>
      <c r="C144" t="str">
        <f t="array" ref="C144">IFERROR(INDEX('Player Raw Data'!D:D,Match($A144,'Player Raw Data'!$B:$B,0)),"")</f>
        <v/>
      </c>
      <c r="D144" t="str">
        <f t="array" ref="D144">IFERROR(IF(A144=A143, INDEX('Player Raw Data'!E:E,Match($A144,'Player Raw Data'!$B:$B,0)+2),INDEX('Player Raw Data'!E:E,Match($A144,'Player Raw Data'!$B:$B,0))),"")</f>
        <v/>
      </c>
      <c r="E144" s="27" t="str">
        <f>IFERROR(__xludf.DUMMYFUNCTION("IFERROR(ARRAY_CONSTRAIN(SPLIT(INDEX('Daily Raw Data'!G:G,Match($A144,'Daily Raw Data'!$B:$B,0)),"":""),1,1),"""")"),"")</f>
        <v/>
      </c>
      <c r="F144" t="str">
        <f t="array" ref="F144">IFERROR(INDEX('Daily Raw Data'!H:H,Match($A144,'Daily Raw Data'!$B:$B,0)),"")</f>
        <v/>
      </c>
      <c r="G144" t="str">
        <f t="array" ref="G144">IFERROR(INDEX('Daily Raw Data'!I:I,Match($A144,'Daily Raw Data'!$B:$B,0)),"")</f>
        <v/>
      </c>
      <c r="H144" t="str">
        <f t="array" ref="H144">IFERROR(INDEX('Daily Raw Data'!N:N,Match($A144,'Daily Raw Data'!$B:$B,0)),"")</f>
        <v/>
      </c>
      <c r="I144" t="str">
        <f t="array" ref="I144">IFERROR(INDEX('Daily Raw Data'!O:O,Match($A144,'Daily Raw Data'!$B:$B,0)),"")</f>
        <v/>
      </c>
      <c r="J144" t="str">
        <f t="array" ref="J144">IFERROR(INDEX('Daily Raw Data'!S:S,Match($A144,'Daily Raw Data'!$B:$B,0)),"")</f>
        <v/>
      </c>
      <c r="K144" t="str">
        <f t="array" ref="K144">IFERROR(INDEX('Daily Raw Data'!T:T,Match($A144,'Daily Raw Data'!$B:$B,0)),"")</f>
        <v/>
      </c>
      <c r="L144" t="str">
        <f t="array" ref="L144">IFERROR(INDEX('Daily Raw Data'!U:U,Match($A144,'Daily Raw Data'!$B:$B,0)),"")</f>
        <v/>
      </c>
      <c r="M144" t="str">
        <f t="array" ref="M144">IFERROR(INDEX('Daily Raw Data'!V:V,Match($A144,'Daily Raw Data'!$B:$B,0)),"")</f>
        <v/>
      </c>
      <c r="N144" t="str">
        <f t="array" ref="N144">IFERROR(INDEX('Daily Raw Data'!W:W,Match($A144,'Daily Raw Data'!$B:$B,0)),"")</f>
        <v/>
      </c>
      <c r="O144" t="str">
        <f t="array" ref="O144">IFERROR(INDEX('Daily Raw Data'!Y:Y,Match($A144,'Daily Raw Data'!$B:$B,0)),"")</f>
        <v/>
      </c>
      <c r="P144" t="str">
        <f t="shared" si="1"/>
        <v/>
      </c>
      <c r="Q144" s="14" t="str">
        <f t="shared" si="2"/>
        <v/>
      </c>
      <c r="R144" s="15" t="str">
        <f>IFERROR(__xludf.DUMMYFUNCTION("IF($A144="""","""", IFERROR(PERCENTRANK.INC(FILTER(P:P,$E:$E&lt;&gt;""""),P144)*100,""""))"),"")</f>
        <v/>
      </c>
      <c r="S144" s="15" t="str">
        <f>IFERROR(__xludf.DUMMYFUNCTION("IF($A144="""","""",IFERROR(PERCENTRANK.INC(FILTER(Q:Q,$E:$E&lt;&gt;""""),Q144)*100,""""))"),"")</f>
        <v/>
      </c>
    </row>
    <row r="145">
      <c r="B145" t="str">
        <f t="array" ref="B145">IFERROR(INDEX('Player Raw Data'!C:C,Match($A145,'Player Raw Data'!$B:$B,0)),"")</f>
        <v/>
      </c>
      <c r="C145" t="str">
        <f t="array" ref="C145">IFERROR(INDEX('Player Raw Data'!D:D,Match($A145,'Player Raw Data'!$B:$B,0)),"")</f>
        <v/>
      </c>
      <c r="D145" t="str">
        <f t="array" ref="D145">IFERROR(IF(A145=A144, INDEX('Player Raw Data'!E:E,Match($A145,'Player Raw Data'!$B:$B,0)+2),INDEX('Player Raw Data'!E:E,Match($A145,'Player Raw Data'!$B:$B,0))),"")</f>
        <v/>
      </c>
      <c r="E145" s="27" t="str">
        <f>IFERROR(__xludf.DUMMYFUNCTION("IFERROR(ARRAY_CONSTRAIN(SPLIT(INDEX('Daily Raw Data'!G:G,Match($A145,'Daily Raw Data'!$B:$B,0)),"":""),1,1),"""")"),"")</f>
        <v/>
      </c>
      <c r="F145" t="str">
        <f t="array" ref="F145">IFERROR(INDEX('Daily Raw Data'!H:H,Match($A145,'Daily Raw Data'!$B:$B,0)),"")</f>
        <v/>
      </c>
      <c r="G145" t="str">
        <f t="array" ref="G145">IFERROR(INDEX('Daily Raw Data'!I:I,Match($A145,'Daily Raw Data'!$B:$B,0)),"")</f>
        <v/>
      </c>
      <c r="H145" t="str">
        <f t="array" ref="H145">IFERROR(INDEX('Daily Raw Data'!N:N,Match($A145,'Daily Raw Data'!$B:$B,0)),"")</f>
        <v/>
      </c>
      <c r="I145" t="str">
        <f t="array" ref="I145">IFERROR(INDEX('Daily Raw Data'!O:O,Match($A145,'Daily Raw Data'!$B:$B,0)),"")</f>
        <v/>
      </c>
      <c r="J145" t="str">
        <f t="array" ref="J145">IFERROR(INDEX('Daily Raw Data'!S:S,Match($A145,'Daily Raw Data'!$B:$B,0)),"")</f>
        <v/>
      </c>
      <c r="K145" t="str">
        <f t="array" ref="K145">IFERROR(INDEX('Daily Raw Data'!T:T,Match($A145,'Daily Raw Data'!$B:$B,0)),"")</f>
        <v/>
      </c>
      <c r="L145" t="str">
        <f t="array" ref="L145">IFERROR(INDEX('Daily Raw Data'!U:U,Match($A145,'Daily Raw Data'!$B:$B,0)),"")</f>
        <v/>
      </c>
      <c r="M145" t="str">
        <f t="array" ref="M145">IFERROR(INDEX('Daily Raw Data'!V:V,Match($A145,'Daily Raw Data'!$B:$B,0)),"")</f>
        <v/>
      </c>
      <c r="N145" t="str">
        <f t="array" ref="N145">IFERROR(INDEX('Daily Raw Data'!W:W,Match($A145,'Daily Raw Data'!$B:$B,0)),"")</f>
        <v/>
      </c>
      <c r="O145" t="str">
        <f t="array" ref="O145">IFERROR(INDEX('Daily Raw Data'!Y:Y,Match($A145,'Daily Raw Data'!$B:$B,0)),"")</f>
        <v/>
      </c>
      <c r="P145" t="str">
        <f t="shared" si="1"/>
        <v/>
      </c>
      <c r="Q145" s="14" t="str">
        <f t="shared" si="2"/>
        <v/>
      </c>
      <c r="R145" s="15" t="str">
        <f>IFERROR(__xludf.DUMMYFUNCTION("IF($A145="""","""", IFERROR(PERCENTRANK.INC(FILTER(P:P,$E:$E&lt;&gt;""""),P145)*100,""""))"),"")</f>
        <v/>
      </c>
      <c r="S145" s="15" t="str">
        <f>IFERROR(__xludf.DUMMYFUNCTION("IF($A145="""","""",IFERROR(PERCENTRANK.INC(FILTER(Q:Q,$E:$E&lt;&gt;""""),Q145)*100,""""))"),"")</f>
        <v/>
      </c>
    </row>
    <row r="146">
      <c r="B146" t="str">
        <f t="array" ref="B146">IFERROR(INDEX('Player Raw Data'!C:C,Match($A146,'Player Raw Data'!$B:$B,0)),"")</f>
        <v/>
      </c>
      <c r="C146" t="str">
        <f t="array" ref="C146">IFERROR(INDEX('Player Raw Data'!D:D,Match($A146,'Player Raw Data'!$B:$B,0)),"")</f>
        <v/>
      </c>
      <c r="D146" t="str">
        <f t="array" ref="D146">IFERROR(IF(A146=A145, INDEX('Player Raw Data'!E:E,Match($A146,'Player Raw Data'!$B:$B,0)+2),INDEX('Player Raw Data'!E:E,Match($A146,'Player Raw Data'!$B:$B,0))),"")</f>
        <v/>
      </c>
      <c r="E146" s="27" t="str">
        <f>IFERROR(__xludf.DUMMYFUNCTION("IFERROR(ARRAY_CONSTRAIN(SPLIT(INDEX('Daily Raw Data'!G:G,Match($A146,'Daily Raw Data'!$B:$B,0)),"":""),1,1),"""")"),"")</f>
        <v/>
      </c>
      <c r="F146" t="str">
        <f t="array" ref="F146">IFERROR(INDEX('Daily Raw Data'!H:H,Match($A146,'Daily Raw Data'!$B:$B,0)),"")</f>
        <v/>
      </c>
      <c r="G146" t="str">
        <f t="array" ref="G146">IFERROR(INDEX('Daily Raw Data'!I:I,Match($A146,'Daily Raw Data'!$B:$B,0)),"")</f>
        <v/>
      </c>
      <c r="H146" t="str">
        <f t="array" ref="H146">IFERROR(INDEX('Daily Raw Data'!N:N,Match($A146,'Daily Raw Data'!$B:$B,0)),"")</f>
        <v/>
      </c>
      <c r="I146" t="str">
        <f t="array" ref="I146">IFERROR(INDEX('Daily Raw Data'!O:O,Match($A146,'Daily Raw Data'!$B:$B,0)),"")</f>
        <v/>
      </c>
      <c r="J146" t="str">
        <f t="array" ref="J146">IFERROR(INDEX('Daily Raw Data'!S:S,Match($A146,'Daily Raw Data'!$B:$B,0)),"")</f>
        <v/>
      </c>
      <c r="K146" t="str">
        <f t="array" ref="K146">IFERROR(INDEX('Daily Raw Data'!T:T,Match($A146,'Daily Raw Data'!$B:$B,0)),"")</f>
        <v/>
      </c>
      <c r="L146" t="str">
        <f t="array" ref="L146">IFERROR(INDEX('Daily Raw Data'!U:U,Match($A146,'Daily Raw Data'!$B:$B,0)),"")</f>
        <v/>
      </c>
      <c r="M146" t="str">
        <f t="array" ref="M146">IFERROR(INDEX('Daily Raw Data'!V:V,Match($A146,'Daily Raw Data'!$B:$B,0)),"")</f>
        <v/>
      </c>
      <c r="N146" t="str">
        <f t="array" ref="N146">IFERROR(INDEX('Daily Raw Data'!W:W,Match($A146,'Daily Raw Data'!$B:$B,0)),"")</f>
        <v/>
      </c>
      <c r="O146" t="str">
        <f t="array" ref="O146">IFERROR(INDEX('Daily Raw Data'!Y:Y,Match($A146,'Daily Raw Data'!$B:$B,0)),"")</f>
        <v/>
      </c>
      <c r="P146" t="str">
        <f t="shared" si="1"/>
        <v/>
      </c>
      <c r="Q146" s="14" t="str">
        <f t="shared" si="2"/>
        <v/>
      </c>
      <c r="R146" s="15" t="str">
        <f>IFERROR(__xludf.DUMMYFUNCTION("IF($A146="""","""", IFERROR(PERCENTRANK.INC(FILTER(P:P,$E:$E&lt;&gt;""""),P146)*100,""""))"),"")</f>
        <v/>
      </c>
      <c r="S146" s="15" t="str">
        <f>IFERROR(__xludf.DUMMYFUNCTION("IF($A146="""","""",IFERROR(PERCENTRANK.INC(FILTER(Q:Q,$E:$E&lt;&gt;""""),Q146)*100,""""))"),"")</f>
        <v/>
      </c>
    </row>
    <row r="147">
      <c r="B147" t="str">
        <f t="array" ref="B147">IFERROR(INDEX('Player Raw Data'!C:C,Match($A147,'Player Raw Data'!$B:$B,0)),"")</f>
        <v/>
      </c>
      <c r="C147" t="str">
        <f t="array" ref="C147">IFERROR(INDEX('Player Raw Data'!D:D,Match($A147,'Player Raw Data'!$B:$B,0)),"")</f>
        <v/>
      </c>
      <c r="D147" t="str">
        <f t="array" ref="D147">IFERROR(IF(A147=A146, INDEX('Player Raw Data'!E:E,Match($A147,'Player Raw Data'!$B:$B,0)+2),INDEX('Player Raw Data'!E:E,Match($A147,'Player Raw Data'!$B:$B,0))),"")</f>
        <v/>
      </c>
      <c r="E147" s="27" t="str">
        <f>IFERROR(__xludf.DUMMYFUNCTION("IFERROR(ARRAY_CONSTRAIN(SPLIT(INDEX('Daily Raw Data'!G:G,Match($A147,'Daily Raw Data'!$B:$B,0)),"":""),1,1),"""")"),"")</f>
        <v/>
      </c>
      <c r="F147" t="str">
        <f t="array" ref="F147">IFERROR(INDEX('Daily Raw Data'!H:H,Match($A147,'Daily Raw Data'!$B:$B,0)),"")</f>
        <v/>
      </c>
      <c r="G147" t="str">
        <f t="array" ref="G147">IFERROR(INDEX('Daily Raw Data'!I:I,Match($A147,'Daily Raw Data'!$B:$B,0)),"")</f>
        <v/>
      </c>
      <c r="H147" t="str">
        <f t="array" ref="H147">IFERROR(INDEX('Daily Raw Data'!N:N,Match($A147,'Daily Raw Data'!$B:$B,0)),"")</f>
        <v/>
      </c>
      <c r="I147" t="str">
        <f t="array" ref="I147">IFERROR(INDEX('Daily Raw Data'!O:O,Match($A147,'Daily Raw Data'!$B:$B,0)),"")</f>
        <v/>
      </c>
      <c r="J147" t="str">
        <f t="array" ref="J147">IFERROR(INDEX('Daily Raw Data'!S:S,Match($A147,'Daily Raw Data'!$B:$B,0)),"")</f>
        <v/>
      </c>
      <c r="K147" t="str">
        <f t="array" ref="K147">IFERROR(INDEX('Daily Raw Data'!T:T,Match($A147,'Daily Raw Data'!$B:$B,0)),"")</f>
        <v/>
      </c>
      <c r="L147" t="str">
        <f t="array" ref="L147">IFERROR(INDEX('Daily Raw Data'!U:U,Match($A147,'Daily Raw Data'!$B:$B,0)),"")</f>
        <v/>
      </c>
      <c r="M147" t="str">
        <f t="array" ref="M147">IFERROR(INDEX('Daily Raw Data'!V:V,Match($A147,'Daily Raw Data'!$B:$B,0)),"")</f>
        <v/>
      </c>
      <c r="N147" t="str">
        <f t="array" ref="N147">IFERROR(INDEX('Daily Raw Data'!W:W,Match($A147,'Daily Raw Data'!$B:$B,0)),"")</f>
        <v/>
      </c>
      <c r="O147" t="str">
        <f t="array" ref="O147">IFERROR(INDEX('Daily Raw Data'!Y:Y,Match($A147,'Daily Raw Data'!$B:$B,0)),"")</f>
        <v/>
      </c>
      <c r="P147" t="str">
        <f t="shared" si="1"/>
        <v/>
      </c>
      <c r="Q147" s="14" t="str">
        <f t="shared" si="2"/>
        <v/>
      </c>
      <c r="R147" s="15" t="str">
        <f>IFERROR(__xludf.DUMMYFUNCTION("IF($A147="""","""", IFERROR(PERCENTRANK.INC(FILTER(P:P,$E:$E&lt;&gt;""""),P147)*100,""""))"),"")</f>
        <v/>
      </c>
      <c r="S147" s="15" t="str">
        <f>IFERROR(__xludf.DUMMYFUNCTION("IF($A147="""","""",IFERROR(PERCENTRANK.INC(FILTER(Q:Q,$E:$E&lt;&gt;""""),Q147)*100,""""))"),"")</f>
        <v/>
      </c>
    </row>
    <row r="148">
      <c r="B148" t="str">
        <f t="array" ref="B148">IFERROR(INDEX('Player Raw Data'!C:C,Match($A148,'Player Raw Data'!$B:$B,0)),"")</f>
        <v/>
      </c>
      <c r="C148" t="str">
        <f t="array" ref="C148">IFERROR(INDEX('Player Raw Data'!D:D,Match($A148,'Player Raw Data'!$B:$B,0)),"")</f>
        <v/>
      </c>
      <c r="D148" t="str">
        <f t="array" ref="D148">IFERROR(IF(A148=A147, INDEX('Player Raw Data'!E:E,Match($A148,'Player Raw Data'!$B:$B,0)+2),INDEX('Player Raw Data'!E:E,Match($A148,'Player Raw Data'!$B:$B,0))),"")</f>
        <v/>
      </c>
      <c r="E148" s="27" t="str">
        <f>IFERROR(__xludf.DUMMYFUNCTION("IFERROR(ARRAY_CONSTRAIN(SPLIT(INDEX('Daily Raw Data'!G:G,Match($A148,'Daily Raw Data'!$B:$B,0)),"":""),1,1),"""")"),"")</f>
        <v/>
      </c>
      <c r="F148" t="str">
        <f t="array" ref="F148">IFERROR(INDEX('Daily Raw Data'!H:H,Match($A148,'Daily Raw Data'!$B:$B,0)),"")</f>
        <v/>
      </c>
      <c r="G148" t="str">
        <f t="array" ref="G148">IFERROR(INDEX('Daily Raw Data'!I:I,Match($A148,'Daily Raw Data'!$B:$B,0)),"")</f>
        <v/>
      </c>
      <c r="H148" t="str">
        <f t="array" ref="H148">IFERROR(INDEX('Daily Raw Data'!N:N,Match($A148,'Daily Raw Data'!$B:$B,0)),"")</f>
        <v/>
      </c>
      <c r="I148" t="str">
        <f t="array" ref="I148">IFERROR(INDEX('Daily Raw Data'!O:O,Match($A148,'Daily Raw Data'!$B:$B,0)),"")</f>
        <v/>
      </c>
      <c r="J148" t="str">
        <f t="array" ref="J148">IFERROR(INDEX('Daily Raw Data'!S:S,Match($A148,'Daily Raw Data'!$B:$B,0)),"")</f>
        <v/>
      </c>
      <c r="K148" t="str">
        <f t="array" ref="K148">IFERROR(INDEX('Daily Raw Data'!T:T,Match($A148,'Daily Raw Data'!$B:$B,0)),"")</f>
        <v/>
      </c>
      <c r="L148" t="str">
        <f t="array" ref="L148">IFERROR(INDEX('Daily Raw Data'!U:U,Match($A148,'Daily Raw Data'!$B:$B,0)),"")</f>
        <v/>
      </c>
      <c r="M148" t="str">
        <f t="array" ref="M148">IFERROR(INDEX('Daily Raw Data'!V:V,Match($A148,'Daily Raw Data'!$B:$B,0)),"")</f>
        <v/>
      </c>
      <c r="N148" t="str">
        <f t="array" ref="N148">IFERROR(INDEX('Daily Raw Data'!W:W,Match($A148,'Daily Raw Data'!$B:$B,0)),"")</f>
        <v/>
      </c>
      <c r="O148" t="str">
        <f t="array" ref="O148">IFERROR(INDEX('Daily Raw Data'!Y:Y,Match($A148,'Daily Raw Data'!$B:$B,0)),"")</f>
        <v/>
      </c>
      <c r="P148" t="str">
        <f t="shared" si="1"/>
        <v/>
      </c>
      <c r="Q148" s="14" t="str">
        <f t="shared" si="2"/>
        <v/>
      </c>
      <c r="R148" s="15" t="str">
        <f>IFERROR(__xludf.DUMMYFUNCTION("IF($A148="""","""", IFERROR(PERCENTRANK.INC(FILTER(P:P,$E:$E&lt;&gt;""""),P148)*100,""""))"),"")</f>
        <v/>
      </c>
      <c r="S148" s="15" t="str">
        <f>IFERROR(__xludf.DUMMYFUNCTION("IF($A148="""","""",IFERROR(PERCENTRANK.INC(FILTER(Q:Q,$E:$E&lt;&gt;""""),Q148)*100,""""))"),"")</f>
        <v/>
      </c>
    </row>
    <row r="149">
      <c r="B149" t="str">
        <f t="array" ref="B149">IFERROR(INDEX('Player Raw Data'!C:C,Match($A149,'Player Raw Data'!$B:$B,0)),"")</f>
        <v/>
      </c>
      <c r="C149" t="str">
        <f t="array" ref="C149">IFERROR(INDEX('Player Raw Data'!D:D,Match($A149,'Player Raw Data'!$B:$B,0)),"")</f>
        <v/>
      </c>
      <c r="D149" t="str">
        <f t="array" ref="D149">IFERROR(IF(A149=A148, INDEX('Player Raw Data'!E:E,Match($A149,'Player Raw Data'!$B:$B,0)+2),INDEX('Player Raw Data'!E:E,Match($A149,'Player Raw Data'!$B:$B,0))),"")</f>
        <v/>
      </c>
      <c r="E149" s="27" t="str">
        <f>IFERROR(__xludf.DUMMYFUNCTION("IFERROR(ARRAY_CONSTRAIN(SPLIT(INDEX('Daily Raw Data'!G:G,Match($A149,'Daily Raw Data'!$B:$B,0)),"":""),1,1),"""")"),"")</f>
        <v/>
      </c>
      <c r="F149" t="str">
        <f t="array" ref="F149">IFERROR(INDEX('Daily Raw Data'!H:H,Match($A149,'Daily Raw Data'!$B:$B,0)),"")</f>
        <v/>
      </c>
      <c r="G149" t="str">
        <f t="array" ref="G149">IFERROR(INDEX('Daily Raw Data'!I:I,Match($A149,'Daily Raw Data'!$B:$B,0)),"")</f>
        <v/>
      </c>
      <c r="H149" t="str">
        <f t="array" ref="H149">IFERROR(INDEX('Daily Raw Data'!N:N,Match($A149,'Daily Raw Data'!$B:$B,0)),"")</f>
        <v/>
      </c>
      <c r="I149" t="str">
        <f t="array" ref="I149">IFERROR(INDEX('Daily Raw Data'!O:O,Match($A149,'Daily Raw Data'!$B:$B,0)),"")</f>
        <v/>
      </c>
      <c r="J149" t="str">
        <f t="array" ref="J149">IFERROR(INDEX('Daily Raw Data'!S:S,Match($A149,'Daily Raw Data'!$B:$B,0)),"")</f>
        <v/>
      </c>
      <c r="K149" t="str">
        <f t="array" ref="K149">IFERROR(INDEX('Daily Raw Data'!T:T,Match($A149,'Daily Raw Data'!$B:$B,0)),"")</f>
        <v/>
      </c>
      <c r="L149" t="str">
        <f t="array" ref="L149">IFERROR(INDEX('Daily Raw Data'!U:U,Match($A149,'Daily Raw Data'!$B:$B,0)),"")</f>
        <v/>
      </c>
      <c r="M149" t="str">
        <f t="array" ref="M149">IFERROR(INDEX('Daily Raw Data'!V:V,Match($A149,'Daily Raw Data'!$B:$B,0)),"")</f>
        <v/>
      </c>
      <c r="N149" t="str">
        <f t="array" ref="N149">IFERROR(INDEX('Daily Raw Data'!W:W,Match($A149,'Daily Raw Data'!$B:$B,0)),"")</f>
        <v/>
      </c>
      <c r="O149" t="str">
        <f t="array" ref="O149">IFERROR(INDEX('Daily Raw Data'!Y:Y,Match($A149,'Daily Raw Data'!$B:$B,0)),"")</f>
        <v/>
      </c>
      <c r="P149" t="str">
        <f t="shared" si="1"/>
        <v/>
      </c>
      <c r="Q149" s="14" t="str">
        <f t="shared" si="2"/>
        <v/>
      </c>
      <c r="R149" s="15" t="str">
        <f>IFERROR(__xludf.DUMMYFUNCTION("IF($A149="""","""", IFERROR(PERCENTRANK.INC(FILTER(P:P,$E:$E&lt;&gt;""""),P149)*100,""""))"),"")</f>
        <v/>
      </c>
      <c r="S149" s="15" t="str">
        <f>IFERROR(__xludf.DUMMYFUNCTION("IF($A149="""","""",IFERROR(PERCENTRANK.INC(FILTER(Q:Q,$E:$E&lt;&gt;""""),Q149)*100,""""))"),"")</f>
        <v/>
      </c>
    </row>
    <row r="150">
      <c r="B150" t="str">
        <f t="array" ref="B150">IFERROR(INDEX('Player Raw Data'!C:C,Match($A150,'Player Raw Data'!$B:$B,0)),"")</f>
        <v/>
      </c>
      <c r="C150" t="str">
        <f t="array" ref="C150">IFERROR(INDEX('Player Raw Data'!D:D,Match($A150,'Player Raw Data'!$B:$B,0)),"")</f>
        <v/>
      </c>
      <c r="D150" t="str">
        <f t="array" ref="D150">IFERROR(IF(A150=A149, INDEX('Player Raw Data'!E:E,Match($A150,'Player Raw Data'!$B:$B,0)+2),INDEX('Player Raw Data'!E:E,Match($A150,'Player Raw Data'!$B:$B,0))),"")</f>
        <v/>
      </c>
      <c r="E150" s="27" t="str">
        <f>IFERROR(__xludf.DUMMYFUNCTION("IFERROR(ARRAY_CONSTRAIN(SPLIT(INDEX('Daily Raw Data'!G:G,Match($A150,'Daily Raw Data'!$B:$B,0)),"":""),1,1),"""")"),"")</f>
        <v/>
      </c>
      <c r="F150" t="str">
        <f t="array" ref="F150">IFERROR(INDEX('Daily Raw Data'!H:H,Match($A150,'Daily Raw Data'!$B:$B,0)),"")</f>
        <v/>
      </c>
      <c r="G150" t="str">
        <f t="array" ref="G150">IFERROR(INDEX('Daily Raw Data'!I:I,Match($A150,'Daily Raw Data'!$B:$B,0)),"")</f>
        <v/>
      </c>
      <c r="H150" t="str">
        <f t="array" ref="H150">IFERROR(INDEX('Daily Raw Data'!N:N,Match($A150,'Daily Raw Data'!$B:$B,0)),"")</f>
        <v/>
      </c>
      <c r="I150" t="str">
        <f t="array" ref="I150">IFERROR(INDEX('Daily Raw Data'!O:O,Match($A150,'Daily Raw Data'!$B:$B,0)),"")</f>
        <v/>
      </c>
      <c r="J150" t="str">
        <f t="array" ref="J150">IFERROR(INDEX('Daily Raw Data'!S:S,Match($A150,'Daily Raw Data'!$B:$B,0)),"")</f>
        <v/>
      </c>
      <c r="K150" t="str">
        <f t="array" ref="K150">IFERROR(INDEX('Daily Raw Data'!T:T,Match($A150,'Daily Raw Data'!$B:$B,0)),"")</f>
        <v/>
      </c>
      <c r="L150" t="str">
        <f t="array" ref="L150">IFERROR(INDEX('Daily Raw Data'!U:U,Match($A150,'Daily Raw Data'!$B:$B,0)),"")</f>
        <v/>
      </c>
      <c r="M150" t="str">
        <f t="array" ref="M150">IFERROR(INDEX('Daily Raw Data'!V:V,Match($A150,'Daily Raw Data'!$B:$B,0)),"")</f>
        <v/>
      </c>
      <c r="N150" t="str">
        <f t="array" ref="N150">IFERROR(INDEX('Daily Raw Data'!W:W,Match($A150,'Daily Raw Data'!$B:$B,0)),"")</f>
        <v/>
      </c>
      <c r="O150" t="str">
        <f t="array" ref="O150">IFERROR(INDEX('Daily Raw Data'!Y:Y,Match($A150,'Daily Raw Data'!$B:$B,0)),"")</f>
        <v/>
      </c>
      <c r="P150" t="str">
        <f t="shared" si="1"/>
        <v/>
      </c>
      <c r="Q150" s="14" t="str">
        <f t="shared" si="2"/>
        <v/>
      </c>
      <c r="R150" s="15" t="str">
        <f>IFERROR(__xludf.DUMMYFUNCTION("IF($A150="""","""", IFERROR(PERCENTRANK.INC(FILTER(P:P,$E:$E&lt;&gt;""""),P150)*100,""""))"),"")</f>
        <v/>
      </c>
      <c r="S150" s="15" t="str">
        <f>IFERROR(__xludf.DUMMYFUNCTION("IF($A150="""","""",IFERROR(PERCENTRANK.INC(FILTER(Q:Q,$E:$E&lt;&gt;""""),Q150)*100,""""))"),"")</f>
        <v/>
      </c>
    </row>
    <row r="151">
      <c r="B151" t="str">
        <f t="array" ref="B151">IFERROR(INDEX('Player Raw Data'!C:C,Match($A151,'Player Raw Data'!$B:$B,0)),"")</f>
        <v/>
      </c>
      <c r="C151" t="str">
        <f t="array" ref="C151">IFERROR(INDEX('Player Raw Data'!D:D,Match($A151,'Player Raw Data'!$B:$B,0)),"")</f>
        <v/>
      </c>
      <c r="D151" t="str">
        <f t="array" ref="D151">IFERROR(IF(A151=A150, INDEX('Player Raw Data'!E:E,Match($A151,'Player Raw Data'!$B:$B,0)+2),INDEX('Player Raw Data'!E:E,Match($A151,'Player Raw Data'!$B:$B,0))),"")</f>
        <v/>
      </c>
      <c r="E151" s="27" t="str">
        <f>IFERROR(__xludf.DUMMYFUNCTION("IFERROR(ARRAY_CONSTRAIN(SPLIT(INDEX('Daily Raw Data'!G:G,Match($A151,'Daily Raw Data'!$B:$B,0)),"":""),1,1),"""")"),"")</f>
        <v/>
      </c>
      <c r="F151" t="str">
        <f t="array" ref="F151">IFERROR(INDEX('Daily Raw Data'!H:H,Match($A151,'Daily Raw Data'!$B:$B,0)),"")</f>
        <v/>
      </c>
      <c r="G151" t="str">
        <f t="array" ref="G151">IFERROR(INDEX('Daily Raw Data'!I:I,Match($A151,'Daily Raw Data'!$B:$B,0)),"")</f>
        <v/>
      </c>
      <c r="H151" t="str">
        <f t="array" ref="H151">IFERROR(INDEX('Daily Raw Data'!N:N,Match($A151,'Daily Raw Data'!$B:$B,0)),"")</f>
        <v/>
      </c>
      <c r="I151" t="str">
        <f t="array" ref="I151">IFERROR(INDEX('Daily Raw Data'!O:O,Match($A151,'Daily Raw Data'!$B:$B,0)),"")</f>
        <v/>
      </c>
      <c r="J151" t="str">
        <f t="array" ref="J151">IFERROR(INDEX('Daily Raw Data'!S:S,Match($A151,'Daily Raw Data'!$B:$B,0)),"")</f>
        <v/>
      </c>
      <c r="K151" t="str">
        <f t="array" ref="K151">IFERROR(INDEX('Daily Raw Data'!T:T,Match($A151,'Daily Raw Data'!$B:$B,0)),"")</f>
        <v/>
      </c>
      <c r="L151" t="str">
        <f t="array" ref="L151">IFERROR(INDEX('Daily Raw Data'!U:U,Match($A151,'Daily Raw Data'!$B:$B,0)),"")</f>
        <v/>
      </c>
      <c r="M151" t="str">
        <f t="array" ref="M151">IFERROR(INDEX('Daily Raw Data'!V:V,Match($A151,'Daily Raw Data'!$B:$B,0)),"")</f>
        <v/>
      </c>
      <c r="N151" t="str">
        <f t="array" ref="N151">IFERROR(INDEX('Daily Raw Data'!W:W,Match($A151,'Daily Raw Data'!$B:$B,0)),"")</f>
        <v/>
      </c>
      <c r="O151" t="str">
        <f t="array" ref="O151">IFERROR(INDEX('Daily Raw Data'!Y:Y,Match($A151,'Daily Raw Data'!$B:$B,0)),"")</f>
        <v/>
      </c>
      <c r="P151" t="str">
        <f t="shared" si="1"/>
        <v/>
      </c>
      <c r="Q151" s="14" t="str">
        <f t="shared" si="2"/>
        <v/>
      </c>
      <c r="R151" s="15" t="str">
        <f>IFERROR(__xludf.DUMMYFUNCTION("IF($A151="""","""", IFERROR(PERCENTRANK.INC(FILTER(P:P,$E:$E&lt;&gt;""""),P151)*100,""""))"),"")</f>
        <v/>
      </c>
      <c r="S151" s="15" t="str">
        <f>IFERROR(__xludf.DUMMYFUNCTION("IF($A151="""","""",IFERROR(PERCENTRANK.INC(FILTER(Q:Q,$E:$E&lt;&gt;""""),Q151)*100,""""))"),"")</f>
        <v/>
      </c>
    </row>
    <row r="152">
      <c r="B152" t="str">
        <f t="array" ref="B152">IFERROR(INDEX('Player Raw Data'!C:C,Match($A152,'Player Raw Data'!$B:$B,0)),"")</f>
        <v/>
      </c>
      <c r="C152" t="str">
        <f t="array" ref="C152">IFERROR(INDEX('Player Raw Data'!D:D,Match($A152,'Player Raw Data'!$B:$B,0)),"")</f>
        <v/>
      </c>
      <c r="D152" t="str">
        <f t="array" ref="D152">IFERROR(IF(A152=A151, INDEX('Player Raw Data'!E:E,Match($A152,'Player Raw Data'!$B:$B,0)+2),INDEX('Player Raw Data'!E:E,Match($A152,'Player Raw Data'!$B:$B,0))),"")</f>
        <v/>
      </c>
      <c r="E152" s="27" t="str">
        <f>IFERROR(__xludf.DUMMYFUNCTION("IFERROR(ARRAY_CONSTRAIN(SPLIT(INDEX('Daily Raw Data'!G:G,Match($A152,'Daily Raw Data'!$B:$B,0)),"":""),1,1),"""")"),"")</f>
        <v/>
      </c>
      <c r="F152" t="str">
        <f t="array" ref="F152">IFERROR(INDEX('Daily Raw Data'!H:H,Match($A152,'Daily Raw Data'!$B:$B,0)),"")</f>
        <v/>
      </c>
      <c r="G152" t="str">
        <f t="array" ref="G152">IFERROR(INDEX('Daily Raw Data'!I:I,Match($A152,'Daily Raw Data'!$B:$B,0)),"")</f>
        <v/>
      </c>
      <c r="H152" t="str">
        <f t="array" ref="H152">IFERROR(INDEX('Daily Raw Data'!N:N,Match($A152,'Daily Raw Data'!$B:$B,0)),"")</f>
        <v/>
      </c>
      <c r="I152" t="str">
        <f t="array" ref="I152">IFERROR(INDEX('Daily Raw Data'!O:O,Match($A152,'Daily Raw Data'!$B:$B,0)),"")</f>
        <v/>
      </c>
      <c r="J152" t="str">
        <f t="array" ref="J152">IFERROR(INDEX('Daily Raw Data'!S:S,Match($A152,'Daily Raw Data'!$B:$B,0)),"")</f>
        <v/>
      </c>
      <c r="K152" t="str">
        <f t="array" ref="K152">IFERROR(INDEX('Daily Raw Data'!T:T,Match($A152,'Daily Raw Data'!$B:$B,0)),"")</f>
        <v/>
      </c>
      <c r="L152" t="str">
        <f t="array" ref="L152">IFERROR(INDEX('Daily Raw Data'!U:U,Match($A152,'Daily Raw Data'!$B:$B,0)),"")</f>
        <v/>
      </c>
      <c r="M152" t="str">
        <f t="array" ref="M152">IFERROR(INDEX('Daily Raw Data'!V:V,Match($A152,'Daily Raw Data'!$B:$B,0)),"")</f>
        <v/>
      </c>
      <c r="N152" t="str">
        <f t="array" ref="N152">IFERROR(INDEX('Daily Raw Data'!W:W,Match($A152,'Daily Raw Data'!$B:$B,0)),"")</f>
        <v/>
      </c>
      <c r="O152" t="str">
        <f t="array" ref="O152">IFERROR(INDEX('Daily Raw Data'!Y:Y,Match($A152,'Daily Raw Data'!$B:$B,0)),"")</f>
        <v/>
      </c>
      <c r="P152" t="str">
        <f t="shared" si="1"/>
        <v/>
      </c>
      <c r="Q152" s="14" t="str">
        <f t="shared" si="2"/>
        <v/>
      </c>
      <c r="R152" s="15" t="str">
        <f>IFERROR(__xludf.DUMMYFUNCTION("IF($A152="""","""", IFERROR(PERCENTRANK.INC(FILTER(P:P,$E:$E&lt;&gt;""""),P152)*100,""""))"),"")</f>
        <v/>
      </c>
      <c r="S152" s="15" t="str">
        <f>IFERROR(__xludf.DUMMYFUNCTION("IF($A152="""","""",IFERROR(PERCENTRANK.INC(FILTER(Q:Q,$E:$E&lt;&gt;""""),Q152)*100,""""))"),"")</f>
        <v/>
      </c>
    </row>
    <row r="153">
      <c r="B153" t="str">
        <f t="array" ref="B153">IFERROR(INDEX('Player Raw Data'!C:C,Match($A153,'Player Raw Data'!$B:$B,0)),"")</f>
        <v/>
      </c>
      <c r="C153" t="str">
        <f t="array" ref="C153">IFERROR(INDEX('Player Raw Data'!D:D,Match($A153,'Player Raw Data'!$B:$B,0)),"")</f>
        <v/>
      </c>
      <c r="D153" t="str">
        <f t="array" ref="D153">IFERROR(IF(A153=A152, INDEX('Player Raw Data'!E:E,Match($A153,'Player Raw Data'!$B:$B,0)+2),INDEX('Player Raw Data'!E:E,Match($A153,'Player Raw Data'!$B:$B,0))),"")</f>
        <v/>
      </c>
      <c r="E153" s="27" t="str">
        <f>IFERROR(__xludf.DUMMYFUNCTION("IFERROR(ARRAY_CONSTRAIN(SPLIT(INDEX('Daily Raw Data'!G:G,Match($A153,'Daily Raw Data'!$B:$B,0)),"":""),1,1),"""")"),"")</f>
        <v/>
      </c>
      <c r="F153" t="str">
        <f t="array" ref="F153">IFERROR(INDEX('Daily Raw Data'!H:H,Match($A153,'Daily Raw Data'!$B:$B,0)),"")</f>
        <v/>
      </c>
      <c r="G153" t="str">
        <f t="array" ref="G153">IFERROR(INDEX('Daily Raw Data'!I:I,Match($A153,'Daily Raw Data'!$B:$B,0)),"")</f>
        <v/>
      </c>
      <c r="H153" t="str">
        <f t="array" ref="H153">IFERROR(INDEX('Daily Raw Data'!N:N,Match($A153,'Daily Raw Data'!$B:$B,0)),"")</f>
        <v/>
      </c>
      <c r="I153" t="str">
        <f t="array" ref="I153">IFERROR(INDEX('Daily Raw Data'!O:O,Match($A153,'Daily Raw Data'!$B:$B,0)),"")</f>
        <v/>
      </c>
      <c r="J153" t="str">
        <f t="array" ref="J153">IFERROR(INDEX('Daily Raw Data'!S:S,Match($A153,'Daily Raw Data'!$B:$B,0)),"")</f>
        <v/>
      </c>
      <c r="K153" t="str">
        <f t="array" ref="K153">IFERROR(INDEX('Daily Raw Data'!T:T,Match($A153,'Daily Raw Data'!$B:$B,0)),"")</f>
        <v/>
      </c>
      <c r="L153" t="str">
        <f t="array" ref="L153">IFERROR(INDEX('Daily Raw Data'!U:U,Match($A153,'Daily Raw Data'!$B:$B,0)),"")</f>
        <v/>
      </c>
      <c r="M153" t="str">
        <f t="array" ref="M153">IFERROR(INDEX('Daily Raw Data'!V:V,Match($A153,'Daily Raw Data'!$B:$B,0)),"")</f>
        <v/>
      </c>
      <c r="N153" t="str">
        <f t="array" ref="N153">IFERROR(INDEX('Daily Raw Data'!W:W,Match($A153,'Daily Raw Data'!$B:$B,0)),"")</f>
        <v/>
      </c>
      <c r="O153" t="str">
        <f t="array" ref="O153">IFERROR(INDEX('Daily Raw Data'!Y:Y,Match($A153,'Daily Raw Data'!$B:$B,0)),"")</f>
        <v/>
      </c>
      <c r="P153" t="str">
        <f t="shared" si="1"/>
        <v/>
      </c>
      <c r="Q153" s="14" t="str">
        <f t="shared" si="2"/>
        <v/>
      </c>
      <c r="R153" s="15" t="str">
        <f>IFERROR(__xludf.DUMMYFUNCTION("IF($A153="""","""", IFERROR(PERCENTRANK.INC(FILTER(P:P,$E:$E&lt;&gt;""""),P153)*100,""""))"),"")</f>
        <v/>
      </c>
      <c r="S153" s="15" t="str">
        <f>IFERROR(__xludf.DUMMYFUNCTION("IF($A153="""","""",IFERROR(PERCENTRANK.INC(FILTER(Q:Q,$E:$E&lt;&gt;""""),Q153)*100,""""))"),"")</f>
        <v/>
      </c>
    </row>
    <row r="154">
      <c r="B154" t="str">
        <f t="array" ref="B154">IFERROR(INDEX('Player Raw Data'!C:C,Match($A154,'Player Raw Data'!$B:$B,0)),"")</f>
        <v/>
      </c>
      <c r="C154" t="str">
        <f t="array" ref="C154">IFERROR(INDEX('Player Raw Data'!D:D,Match($A154,'Player Raw Data'!$B:$B,0)),"")</f>
        <v/>
      </c>
      <c r="D154" t="str">
        <f t="array" ref="D154">IFERROR(IF(A154=A153, INDEX('Player Raw Data'!E:E,Match($A154,'Player Raw Data'!$B:$B,0)+2),INDEX('Player Raw Data'!E:E,Match($A154,'Player Raw Data'!$B:$B,0))),"")</f>
        <v/>
      </c>
      <c r="E154" s="27" t="str">
        <f>IFERROR(__xludf.DUMMYFUNCTION("IFERROR(ARRAY_CONSTRAIN(SPLIT(INDEX('Daily Raw Data'!G:G,Match($A154,'Daily Raw Data'!$B:$B,0)),"":""),1,1),"""")"),"")</f>
        <v/>
      </c>
      <c r="F154" t="str">
        <f t="array" ref="F154">IFERROR(INDEX('Daily Raw Data'!H:H,Match($A154,'Daily Raw Data'!$B:$B,0)),"")</f>
        <v/>
      </c>
      <c r="G154" t="str">
        <f t="array" ref="G154">IFERROR(INDEX('Daily Raw Data'!I:I,Match($A154,'Daily Raw Data'!$B:$B,0)),"")</f>
        <v/>
      </c>
      <c r="H154" t="str">
        <f t="array" ref="H154">IFERROR(INDEX('Daily Raw Data'!N:N,Match($A154,'Daily Raw Data'!$B:$B,0)),"")</f>
        <v/>
      </c>
      <c r="I154" t="str">
        <f t="array" ref="I154">IFERROR(INDEX('Daily Raw Data'!O:O,Match($A154,'Daily Raw Data'!$B:$B,0)),"")</f>
        <v/>
      </c>
      <c r="J154" t="str">
        <f t="array" ref="J154">IFERROR(INDEX('Daily Raw Data'!S:S,Match($A154,'Daily Raw Data'!$B:$B,0)),"")</f>
        <v/>
      </c>
      <c r="K154" t="str">
        <f t="array" ref="K154">IFERROR(INDEX('Daily Raw Data'!T:T,Match($A154,'Daily Raw Data'!$B:$B,0)),"")</f>
        <v/>
      </c>
      <c r="L154" t="str">
        <f t="array" ref="L154">IFERROR(INDEX('Daily Raw Data'!U:U,Match($A154,'Daily Raw Data'!$B:$B,0)),"")</f>
        <v/>
      </c>
      <c r="M154" t="str">
        <f t="array" ref="M154">IFERROR(INDEX('Daily Raw Data'!V:V,Match($A154,'Daily Raw Data'!$B:$B,0)),"")</f>
        <v/>
      </c>
      <c r="N154" t="str">
        <f t="array" ref="N154">IFERROR(INDEX('Daily Raw Data'!W:W,Match($A154,'Daily Raw Data'!$B:$B,0)),"")</f>
        <v/>
      </c>
      <c r="O154" t="str">
        <f t="array" ref="O154">IFERROR(INDEX('Daily Raw Data'!Y:Y,Match($A154,'Daily Raw Data'!$B:$B,0)),"")</f>
        <v/>
      </c>
      <c r="P154" t="str">
        <f t="shared" si="1"/>
        <v/>
      </c>
      <c r="Q154" s="14" t="str">
        <f t="shared" si="2"/>
        <v/>
      </c>
      <c r="R154" s="15" t="str">
        <f>IFERROR(__xludf.DUMMYFUNCTION("IF($A154="""","""", IFERROR(PERCENTRANK.INC(FILTER(P:P,$E:$E&lt;&gt;""""),P154)*100,""""))"),"")</f>
        <v/>
      </c>
      <c r="S154" s="15" t="str">
        <f>IFERROR(__xludf.DUMMYFUNCTION("IF($A154="""","""",IFERROR(PERCENTRANK.INC(FILTER(Q:Q,$E:$E&lt;&gt;""""),Q154)*100,""""))"),"")</f>
        <v/>
      </c>
    </row>
    <row r="155">
      <c r="B155" t="str">
        <f t="array" ref="B155">IFERROR(INDEX('Player Raw Data'!C:C,Match($A155,'Player Raw Data'!$B:$B,0)),"")</f>
        <v/>
      </c>
      <c r="C155" t="str">
        <f t="array" ref="C155">IFERROR(INDEX('Player Raw Data'!D:D,Match($A155,'Player Raw Data'!$B:$B,0)),"")</f>
        <v/>
      </c>
      <c r="D155" t="str">
        <f t="array" ref="D155">IFERROR(IF(A155=A154, INDEX('Player Raw Data'!E:E,Match($A155,'Player Raw Data'!$B:$B,0)+2),INDEX('Player Raw Data'!E:E,Match($A155,'Player Raw Data'!$B:$B,0))),"")</f>
        <v/>
      </c>
      <c r="E155" s="27" t="str">
        <f>IFERROR(__xludf.DUMMYFUNCTION("IFERROR(ARRAY_CONSTRAIN(SPLIT(INDEX('Daily Raw Data'!G:G,Match($A155,'Daily Raw Data'!$B:$B,0)),"":""),1,1),"""")"),"")</f>
        <v/>
      </c>
      <c r="F155" t="str">
        <f t="array" ref="F155">IFERROR(INDEX('Daily Raw Data'!H:H,Match($A155,'Daily Raw Data'!$B:$B,0)),"")</f>
        <v/>
      </c>
      <c r="G155" t="str">
        <f t="array" ref="G155">IFERROR(INDEX('Daily Raw Data'!I:I,Match($A155,'Daily Raw Data'!$B:$B,0)),"")</f>
        <v/>
      </c>
      <c r="H155" t="str">
        <f t="array" ref="H155">IFERROR(INDEX('Daily Raw Data'!N:N,Match($A155,'Daily Raw Data'!$B:$B,0)),"")</f>
        <v/>
      </c>
      <c r="I155" t="str">
        <f t="array" ref="I155">IFERROR(INDEX('Daily Raw Data'!O:O,Match($A155,'Daily Raw Data'!$B:$B,0)),"")</f>
        <v/>
      </c>
      <c r="J155" t="str">
        <f t="array" ref="J155">IFERROR(INDEX('Daily Raw Data'!S:S,Match($A155,'Daily Raw Data'!$B:$B,0)),"")</f>
        <v/>
      </c>
      <c r="K155" t="str">
        <f t="array" ref="K155">IFERROR(INDEX('Daily Raw Data'!T:T,Match($A155,'Daily Raw Data'!$B:$B,0)),"")</f>
        <v/>
      </c>
      <c r="L155" t="str">
        <f t="array" ref="L155">IFERROR(INDEX('Daily Raw Data'!U:U,Match($A155,'Daily Raw Data'!$B:$B,0)),"")</f>
        <v/>
      </c>
      <c r="M155" t="str">
        <f t="array" ref="M155">IFERROR(INDEX('Daily Raw Data'!V:V,Match($A155,'Daily Raw Data'!$B:$B,0)),"")</f>
        <v/>
      </c>
      <c r="N155" t="str">
        <f t="array" ref="N155">IFERROR(INDEX('Daily Raw Data'!W:W,Match($A155,'Daily Raw Data'!$B:$B,0)),"")</f>
        <v/>
      </c>
      <c r="O155" t="str">
        <f t="array" ref="O155">IFERROR(INDEX('Daily Raw Data'!Y:Y,Match($A155,'Daily Raw Data'!$B:$B,0)),"")</f>
        <v/>
      </c>
      <c r="P155" t="str">
        <f t="shared" si="1"/>
        <v/>
      </c>
      <c r="Q155" s="14" t="str">
        <f t="shared" si="2"/>
        <v/>
      </c>
      <c r="R155" s="15" t="str">
        <f>IFERROR(__xludf.DUMMYFUNCTION("IF($A155="""","""", IFERROR(PERCENTRANK.INC(FILTER(P:P,$E:$E&lt;&gt;""""),P155)*100,""""))"),"")</f>
        <v/>
      </c>
      <c r="S155" s="15" t="str">
        <f>IFERROR(__xludf.DUMMYFUNCTION("IF($A155="""","""",IFERROR(PERCENTRANK.INC(FILTER(Q:Q,$E:$E&lt;&gt;""""),Q155)*100,""""))"),"")</f>
        <v/>
      </c>
    </row>
    <row r="156">
      <c r="B156" t="str">
        <f t="array" ref="B156">IFERROR(INDEX('Player Raw Data'!C:C,Match($A156,'Player Raw Data'!$B:$B,0)),"")</f>
        <v/>
      </c>
      <c r="C156" t="str">
        <f t="array" ref="C156">IFERROR(INDEX('Player Raw Data'!D:D,Match($A156,'Player Raw Data'!$B:$B,0)),"")</f>
        <v/>
      </c>
      <c r="D156" t="str">
        <f t="array" ref="D156">IFERROR(IF(A156=A155, INDEX('Player Raw Data'!E:E,Match($A156,'Player Raw Data'!$B:$B,0)+2),INDEX('Player Raw Data'!E:E,Match($A156,'Player Raw Data'!$B:$B,0))),"")</f>
        <v/>
      </c>
      <c r="E156" s="27" t="str">
        <f>IFERROR(__xludf.DUMMYFUNCTION("IFERROR(ARRAY_CONSTRAIN(SPLIT(INDEX('Daily Raw Data'!G:G,Match($A156,'Daily Raw Data'!$B:$B,0)),"":""),1,1),"""")"),"")</f>
        <v/>
      </c>
      <c r="F156" t="str">
        <f t="array" ref="F156">IFERROR(INDEX('Daily Raw Data'!H:H,Match($A156,'Daily Raw Data'!$B:$B,0)),"")</f>
        <v/>
      </c>
      <c r="G156" t="str">
        <f t="array" ref="G156">IFERROR(INDEX('Daily Raw Data'!I:I,Match($A156,'Daily Raw Data'!$B:$B,0)),"")</f>
        <v/>
      </c>
      <c r="H156" t="str">
        <f t="array" ref="H156">IFERROR(INDEX('Daily Raw Data'!N:N,Match($A156,'Daily Raw Data'!$B:$B,0)),"")</f>
        <v/>
      </c>
      <c r="I156" t="str">
        <f t="array" ref="I156">IFERROR(INDEX('Daily Raw Data'!O:O,Match($A156,'Daily Raw Data'!$B:$B,0)),"")</f>
        <v/>
      </c>
      <c r="J156" t="str">
        <f t="array" ref="J156">IFERROR(INDEX('Daily Raw Data'!S:S,Match($A156,'Daily Raw Data'!$B:$B,0)),"")</f>
        <v/>
      </c>
      <c r="K156" t="str">
        <f t="array" ref="K156">IFERROR(INDEX('Daily Raw Data'!T:T,Match($A156,'Daily Raw Data'!$B:$B,0)),"")</f>
        <v/>
      </c>
      <c r="L156" t="str">
        <f t="array" ref="L156">IFERROR(INDEX('Daily Raw Data'!U:U,Match($A156,'Daily Raw Data'!$B:$B,0)),"")</f>
        <v/>
      </c>
      <c r="M156" t="str">
        <f t="array" ref="M156">IFERROR(INDEX('Daily Raw Data'!V:V,Match($A156,'Daily Raw Data'!$B:$B,0)),"")</f>
        <v/>
      </c>
      <c r="N156" t="str">
        <f t="array" ref="N156">IFERROR(INDEX('Daily Raw Data'!W:W,Match($A156,'Daily Raw Data'!$B:$B,0)),"")</f>
        <v/>
      </c>
      <c r="O156" t="str">
        <f t="array" ref="O156">IFERROR(INDEX('Daily Raw Data'!Y:Y,Match($A156,'Daily Raw Data'!$B:$B,0)),"")</f>
        <v/>
      </c>
      <c r="P156" t="str">
        <f t="shared" si="1"/>
        <v/>
      </c>
      <c r="Q156" s="14" t="str">
        <f t="shared" si="2"/>
        <v/>
      </c>
      <c r="R156" s="15" t="str">
        <f>IFERROR(__xludf.DUMMYFUNCTION("IF($A156="""","""", IFERROR(PERCENTRANK.INC(FILTER(P:P,$E:$E&lt;&gt;""""),P156)*100,""""))"),"")</f>
        <v/>
      </c>
      <c r="S156" s="15" t="str">
        <f>IFERROR(__xludf.DUMMYFUNCTION("IF($A156="""","""",IFERROR(PERCENTRANK.INC(FILTER(Q:Q,$E:$E&lt;&gt;""""),Q156)*100,""""))"),"")</f>
        <v/>
      </c>
    </row>
    <row r="157">
      <c r="B157" t="str">
        <f t="array" ref="B157">IFERROR(INDEX('Player Raw Data'!C:C,Match($A157,'Player Raw Data'!$B:$B,0)),"")</f>
        <v/>
      </c>
      <c r="C157" t="str">
        <f t="array" ref="C157">IFERROR(INDEX('Player Raw Data'!D:D,Match($A157,'Player Raw Data'!$B:$B,0)),"")</f>
        <v/>
      </c>
      <c r="D157" t="str">
        <f t="array" ref="D157">IFERROR(IF(A157=A156, INDEX('Player Raw Data'!E:E,Match($A157,'Player Raw Data'!$B:$B,0)+2),INDEX('Player Raw Data'!E:E,Match($A157,'Player Raw Data'!$B:$B,0))),"")</f>
        <v/>
      </c>
      <c r="E157" s="27" t="str">
        <f>IFERROR(__xludf.DUMMYFUNCTION("IFERROR(ARRAY_CONSTRAIN(SPLIT(INDEX('Daily Raw Data'!G:G,Match($A157,'Daily Raw Data'!$B:$B,0)),"":""),1,1),"""")"),"")</f>
        <v/>
      </c>
      <c r="F157" t="str">
        <f t="array" ref="F157">IFERROR(INDEX('Daily Raw Data'!H:H,Match($A157,'Daily Raw Data'!$B:$B,0)),"")</f>
        <v/>
      </c>
      <c r="G157" t="str">
        <f t="array" ref="G157">IFERROR(INDEX('Daily Raw Data'!I:I,Match($A157,'Daily Raw Data'!$B:$B,0)),"")</f>
        <v/>
      </c>
      <c r="H157" t="str">
        <f t="array" ref="H157">IFERROR(INDEX('Daily Raw Data'!N:N,Match($A157,'Daily Raw Data'!$B:$B,0)),"")</f>
        <v/>
      </c>
      <c r="I157" t="str">
        <f t="array" ref="I157">IFERROR(INDEX('Daily Raw Data'!O:O,Match($A157,'Daily Raw Data'!$B:$B,0)),"")</f>
        <v/>
      </c>
      <c r="J157" t="str">
        <f t="array" ref="J157">IFERROR(INDEX('Daily Raw Data'!S:S,Match($A157,'Daily Raw Data'!$B:$B,0)),"")</f>
        <v/>
      </c>
      <c r="K157" t="str">
        <f t="array" ref="K157">IFERROR(INDEX('Daily Raw Data'!T:T,Match($A157,'Daily Raw Data'!$B:$B,0)),"")</f>
        <v/>
      </c>
      <c r="L157" t="str">
        <f t="array" ref="L157">IFERROR(INDEX('Daily Raw Data'!U:U,Match($A157,'Daily Raw Data'!$B:$B,0)),"")</f>
        <v/>
      </c>
      <c r="M157" t="str">
        <f t="array" ref="M157">IFERROR(INDEX('Daily Raw Data'!V:V,Match($A157,'Daily Raw Data'!$B:$B,0)),"")</f>
        <v/>
      </c>
      <c r="N157" t="str">
        <f t="array" ref="N157">IFERROR(INDEX('Daily Raw Data'!W:W,Match($A157,'Daily Raw Data'!$B:$B,0)),"")</f>
        <v/>
      </c>
      <c r="O157" t="str">
        <f t="array" ref="O157">IFERROR(INDEX('Daily Raw Data'!Y:Y,Match($A157,'Daily Raw Data'!$B:$B,0)),"")</f>
        <v/>
      </c>
      <c r="P157" t="str">
        <f t="shared" si="1"/>
        <v/>
      </c>
      <c r="Q157" s="14" t="str">
        <f t="shared" si="2"/>
        <v/>
      </c>
      <c r="R157" s="15" t="str">
        <f>IFERROR(__xludf.DUMMYFUNCTION("IF($A157="""","""", IFERROR(PERCENTRANK.INC(FILTER(P:P,$E:$E&lt;&gt;""""),P157)*100,""""))"),"")</f>
        <v/>
      </c>
      <c r="S157" s="15" t="str">
        <f>IFERROR(__xludf.DUMMYFUNCTION("IF($A157="""","""",IFERROR(PERCENTRANK.INC(FILTER(Q:Q,$E:$E&lt;&gt;""""),Q157)*100,""""))"),"")</f>
        <v/>
      </c>
    </row>
    <row r="158">
      <c r="B158" t="str">
        <f t="array" ref="B158">IFERROR(INDEX('Player Raw Data'!C:C,Match($A158,'Player Raw Data'!$B:$B,0)),"")</f>
        <v/>
      </c>
      <c r="C158" t="str">
        <f t="array" ref="C158">IFERROR(INDEX('Player Raw Data'!D:D,Match($A158,'Player Raw Data'!$B:$B,0)),"")</f>
        <v/>
      </c>
      <c r="D158" t="str">
        <f t="array" ref="D158">IFERROR(IF(A158=A157, INDEX('Player Raw Data'!E:E,Match($A158,'Player Raw Data'!$B:$B,0)+2),INDEX('Player Raw Data'!E:E,Match($A158,'Player Raw Data'!$B:$B,0))),"")</f>
        <v/>
      </c>
      <c r="E158" s="27" t="str">
        <f>IFERROR(__xludf.DUMMYFUNCTION("IFERROR(ARRAY_CONSTRAIN(SPLIT(INDEX('Daily Raw Data'!G:G,Match($A158,'Daily Raw Data'!$B:$B,0)),"":""),1,1),"""")"),"")</f>
        <v/>
      </c>
      <c r="F158" t="str">
        <f t="array" ref="F158">IFERROR(INDEX('Daily Raw Data'!H:H,Match($A158,'Daily Raw Data'!$B:$B,0)),"")</f>
        <v/>
      </c>
      <c r="G158" t="str">
        <f t="array" ref="G158">IFERROR(INDEX('Daily Raw Data'!I:I,Match($A158,'Daily Raw Data'!$B:$B,0)),"")</f>
        <v/>
      </c>
      <c r="H158" t="str">
        <f t="array" ref="H158">IFERROR(INDEX('Daily Raw Data'!N:N,Match($A158,'Daily Raw Data'!$B:$B,0)),"")</f>
        <v/>
      </c>
      <c r="I158" t="str">
        <f t="array" ref="I158">IFERROR(INDEX('Daily Raw Data'!O:O,Match($A158,'Daily Raw Data'!$B:$B,0)),"")</f>
        <v/>
      </c>
      <c r="J158" t="str">
        <f t="array" ref="J158">IFERROR(INDEX('Daily Raw Data'!S:S,Match($A158,'Daily Raw Data'!$B:$B,0)),"")</f>
        <v/>
      </c>
      <c r="K158" t="str">
        <f t="array" ref="K158">IFERROR(INDEX('Daily Raw Data'!T:T,Match($A158,'Daily Raw Data'!$B:$B,0)),"")</f>
        <v/>
      </c>
      <c r="L158" t="str">
        <f t="array" ref="L158">IFERROR(INDEX('Daily Raw Data'!U:U,Match($A158,'Daily Raw Data'!$B:$B,0)),"")</f>
        <v/>
      </c>
      <c r="M158" t="str">
        <f t="array" ref="M158">IFERROR(INDEX('Daily Raw Data'!V:V,Match($A158,'Daily Raw Data'!$B:$B,0)),"")</f>
        <v/>
      </c>
      <c r="N158" t="str">
        <f t="array" ref="N158">IFERROR(INDEX('Daily Raw Data'!W:W,Match($A158,'Daily Raw Data'!$B:$B,0)),"")</f>
        <v/>
      </c>
      <c r="O158" t="str">
        <f t="array" ref="O158">IFERROR(INDEX('Daily Raw Data'!Y:Y,Match($A158,'Daily Raw Data'!$B:$B,0)),"")</f>
        <v/>
      </c>
      <c r="P158" t="str">
        <f t="shared" si="1"/>
        <v/>
      </c>
      <c r="Q158" s="14" t="str">
        <f t="shared" si="2"/>
        <v/>
      </c>
      <c r="R158" s="15" t="str">
        <f>IFERROR(__xludf.DUMMYFUNCTION("IF($A158="""","""", IFERROR(PERCENTRANK.INC(FILTER(P:P,$E:$E&lt;&gt;""""),P158)*100,""""))"),"")</f>
        <v/>
      </c>
      <c r="S158" s="15" t="str">
        <f>IFERROR(__xludf.DUMMYFUNCTION("IF($A158="""","""",IFERROR(PERCENTRANK.INC(FILTER(Q:Q,$E:$E&lt;&gt;""""),Q158)*100,""""))"),"")</f>
        <v/>
      </c>
    </row>
    <row r="159">
      <c r="B159" t="str">
        <f t="array" ref="B159">IFERROR(INDEX('Player Raw Data'!C:C,Match($A159,'Player Raw Data'!$B:$B,0)),"")</f>
        <v/>
      </c>
      <c r="C159" t="str">
        <f t="array" ref="C159">IFERROR(INDEX('Player Raw Data'!D:D,Match($A159,'Player Raw Data'!$B:$B,0)),"")</f>
        <v/>
      </c>
      <c r="D159" t="str">
        <f t="array" ref="D159">IFERROR(IF(A159=A158, INDEX('Player Raw Data'!E:E,Match($A159,'Player Raw Data'!$B:$B,0)+2),INDEX('Player Raw Data'!E:E,Match($A159,'Player Raw Data'!$B:$B,0))),"")</f>
        <v/>
      </c>
      <c r="E159" s="27" t="str">
        <f>IFERROR(__xludf.DUMMYFUNCTION("IFERROR(ARRAY_CONSTRAIN(SPLIT(INDEX('Daily Raw Data'!G:G,Match($A159,'Daily Raw Data'!$B:$B,0)),"":""),1,1),"""")"),"")</f>
        <v/>
      </c>
      <c r="F159" t="str">
        <f t="array" ref="F159">IFERROR(INDEX('Daily Raw Data'!H:H,Match($A159,'Daily Raw Data'!$B:$B,0)),"")</f>
        <v/>
      </c>
      <c r="G159" t="str">
        <f t="array" ref="G159">IFERROR(INDEX('Daily Raw Data'!I:I,Match($A159,'Daily Raw Data'!$B:$B,0)),"")</f>
        <v/>
      </c>
      <c r="H159" t="str">
        <f t="array" ref="H159">IFERROR(INDEX('Daily Raw Data'!N:N,Match($A159,'Daily Raw Data'!$B:$B,0)),"")</f>
        <v/>
      </c>
      <c r="I159" t="str">
        <f t="array" ref="I159">IFERROR(INDEX('Daily Raw Data'!O:O,Match($A159,'Daily Raw Data'!$B:$B,0)),"")</f>
        <v/>
      </c>
      <c r="J159" t="str">
        <f t="array" ref="J159">IFERROR(INDEX('Daily Raw Data'!S:S,Match($A159,'Daily Raw Data'!$B:$B,0)),"")</f>
        <v/>
      </c>
      <c r="K159" t="str">
        <f t="array" ref="K159">IFERROR(INDEX('Daily Raw Data'!T:T,Match($A159,'Daily Raw Data'!$B:$B,0)),"")</f>
        <v/>
      </c>
      <c r="L159" t="str">
        <f t="array" ref="L159">IFERROR(INDEX('Daily Raw Data'!U:U,Match($A159,'Daily Raw Data'!$B:$B,0)),"")</f>
        <v/>
      </c>
      <c r="M159" t="str">
        <f t="array" ref="M159">IFERROR(INDEX('Daily Raw Data'!V:V,Match($A159,'Daily Raw Data'!$B:$B,0)),"")</f>
        <v/>
      </c>
      <c r="N159" t="str">
        <f t="array" ref="N159">IFERROR(INDEX('Daily Raw Data'!W:W,Match($A159,'Daily Raw Data'!$B:$B,0)),"")</f>
        <v/>
      </c>
      <c r="O159" t="str">
        <f t="array" ref="O159">IFERROR(INDEX('Daily Raw Data'!Y:Y,Match($A159,'Daily Raw Data'!$B:$B,0)),"")</f>
        <v/>
      </c>
      <c r="P159" t="str">
        <f t="shared" si="1"/>
        <v/>
      </c>
      <c r="Q159" s="14" t="str">
        <f t="shared" si="2"/>
        <v/>
      </c>
      <c r="R159" s="15" t="str">
        <f>IFERROR(__xludf.DUMMYFUNCTION("IF($A159="""","""", IFERROR(PERCENTRANK.INC(FILTER(P:P,$E:$E&lt;&gt;""""),P159)*100,""""))"),"")</f>
        <v/>
      </c>
      <c r="S159" s="15" t="str">
        <f>IFERROR(__xludf.DUMMYFUNCTION("IF($A159="""","""",IFERROR(PERCENTRANK.INC(FILTER(Q:Q,$E:$E&lt;&gt;""""),Q159)*100,""""))"),"")</f>
        <v/>
      </c>
    </row>
    <row r="160">
      <c r="B160" t="str">
        <f t="array" ref="B160">IFERROR(INDEX('Player Raw Data'!C:C,Match($A160,'Player Raw Data'!$B:$B,0)),"")</f>
        <v/>
      </c>
      <c r="C160" t="str">
        <f t="array" ref="C160">IFERROR(INDEX('Player Raw Data'!D:D,Match($A160,'Player Raw Data'!$B:$B,0)),"")</f>
        <v/>
      </c>
      <c r="D160" t="str">
        <f t="array" ref="D160">IFERROR(IF(A160=A159, INDEX('Player Raw Data'!E:E,Match($A160,'Player Raw Data'!$B:$B,0)+2),INDEX('Player Raw Data'!E:E,Match($A160,'Player Raw Data'!$B:$B,0))),"")</f>
        <v/>
      </c>
      <c r="E160" s="27" t="str">
        <f>IFERROR(__xludf.DUMMYFUNCTION("IFERROR(ARRAY_CONSTRAIN(SPLIT(INDEX('Daily Raw Data'!G:G,Match($A160,'Daily Raw Data'!$B:$B,0)),"":""),1,1),"""")"),"")</f>
        <v/>
      </c>
      <c r="F160" t="str">
        <f t="array" ref="F160">IFERROR(INDEX('Daily Raw Data'!H:H,Match($A160,'Daily Raw Data'!$B:$B,0)),"")</f>
        <v/>
      </c>
      <c r="G160" t="str">
        <f t="array" ref="G160">IFERROR(INDEX('Daily Raw Data'!I:I,Match($A160,'Daily Raw Data'!$B:$B,0)),"")</f>
        <v/>
      </c>
      <c r="H160" t="str">
        <f t="array" ref="H160">IFERROR(INDEX('Daily Raw Data'!N:N,Match($A160,'Daily Raw Data'!$B:$B,0)),"")</f>
        <v/>
      </c>
      <c r="I160" t="str">
        <f t="array" ref="I160">IFERROR(INDEX('Daily Raw Data'!O:O,Match($A160,'Daily Raw Data'!$B:$B,0)),"")</f>
        <v/>
      </c>
      <c r="J160" t="str">
        <f t="array" ref="J160">IFERROR(INDEX('Daily Raw Data'!S:S,Match($A160,'Daily Raw Data'!$B:$B,0)),"")</f>
        <v/>
      </c>
      <c r="K160" t="str">
        <f t="array" ref="K160">IFERROR(INDEX('Daily Raw Data'!T:T,Match($A160,'Daily Raw Data'!$B:$B,0)),"")</f>
        <v/>
      </c>
      <c r="L160" t="str">
        <f t="array" ref="L160">IFERROR(INDEX('Daily Raw Data'!U:U,Match($A160,'Daily Raw Data'!$B:$B,0)),"")</f>
        <v/>
      </c>
      <c r="M160" t="str">
        <f t="array" ref="M160">IFERROR(INDEX('Daily Raw Data'!V:V,Match($A160,'Daily Raw Data'!$B:$B,0)),"")</f>
        <v/>
      </c>
      <c r="N160" t="str">
        <f t="array" ref="N160">IFERROR(INDEX('Daily Raw Data'!W:W,Match($A160,'Daily Raw Data'!$B:$B,0)),"")</f>
        <v/>
      </c>
      <c r="O160" t="str">
        <f t="array" ref="O160">IFERROR(INDEX('Daily Raw Data'!Y:Y,Match($A160,'Daily Raw Data'!$B:$B,0)),"")</f>
        <v/>
      </c>
      <c r="P160" t="str">
        <f t="shared" si="1"/>
        <v/>
      </c>
      <c r="Q160" s="14" t="str">
        <f t="shared" si="2"/>
        <v/>
      </c>
      <c r="R160" s="15" t="str">
        <f>IFERROR(__xludf.DUMMYFUNCTION("IF($A160="""","""", IFERROR(PERCENTRANK.INC(FILTER(P:P,$E:$E&lt;&gt;""""),P160)*100,""""))"),"")</f>
        <v/>
      </c>
      <c r="S160" s="15" t="str">
        <f>IFERROR(__xludf.DUMMYFUNCTION("IF($A160="""","""",IFERROR(PERCENTRANK.INC(FILTER(Q:Q,$E:$E&lt;&gt;""""),Q160)*100,""""))"),"")</f>
        <v/>
      </c>
    </row>
    <row r="161">
      <c r="B161" t="str">
        <f t="array" ref="B161">IFERROR(INDEX('Player Raw Data'!C:C,Match($A161,'Player Raw Data'!$B:$B,0)),"")</f>
        <v/>
      </c>
      <c r="C161" t="str">
        <f t="array" ref="C161">IFERROR(INDEX('Player Raw Data'!D:D,Match($A161,'Player Raw Data'!$B:$B,0)),"")</f>
        <v/>
      </c>
      <c r="D161" t="str">
        <f t="array" ref="D161">IFERROR(IF(A161=A160, INDEX('Player Raw Data'!E:E,Match($A161,'Player Raw Data'!$B:$B,0)+2),INDEX('Player Raw Data'!E:E,Match($A161,'Player Raw Data'!$B:$B,0))),"")</f>
        <v/>
      </c>
      <c r="E161" s="27" t="str">
        <f>IFERROR(__xludf.DUMMYFUNCTION("IFERROR(ARRAY_CONSTRAIN(SPLIT(INDEX('Daily Raw Data'!G:G,Match($A161,'Daily Raw Data'!$B:$B,0)),"":""),1,1),"""")"),"")</f>
        <v/>
      </c>
      <c r="F161" t="str">
        <f t="array" ref="F161">IFERROR(INDEX('Daily Raw Data'!H:H,Match($A161,'Daily Raw Data'!$B:$B,0)),"")</f>
        <v/>
      </c>
      <c r="G161" t="str">
        <f t="array" ref="G161">IFERROR(INDEX('Daily Raw Data'!I:I,Match($A161,'Daily Raw Data'!$B:$B,0)),"")</f>
        <v/>
      </c>
      <c r="H161" t="str">
        <f t="array" ref="H161">IFERROR(INDEX('Daily Raw Data'!N:N,Match($A161,'Daily Raw Data'!$B:$B,0)),"")</f>
        <v/>
      </c>
      <c r="I161" t="str">
        <f t="array" ref="I161">IFERROR(INDEX('Daily Raw Data'!O:O,Match($A161,'Daily Raw Data'!$B:$B,0)),"")</f>
        <v/>
      </c>
      <c r="J161" t="str">
        <f t="array" ref="J161">IFERROR(INDEX('Daily Raw Data'!S:S,Match($A161,'Daily Raw Data'!$B:$B,0)),"")</f>
        <v/>
      </c>
      <c r="K161" t="str">
        <f t="array" ref="K161">IFERROR(INDEX('Daily Raw Data'!T:T,Match($A161,'Daily Raw Data'!$B:$B,0)),"")</f>
        <v/>
      </c>
      <c r="L161" t="str">
        <f t="array" ref="L161">IFERROR(INDEX('Daily Raw Data'!U:U,Match($A161,'Daily Raw Data'!$B:$B,0)),"")</f>
        <v/>
      </c>
      <c r="M161" t="str">
        <f t="array" ref="M161">IFERROR(INDEX('Daily Raw Data'!V:V,Match($A161,'Daily Raw Data'!$B:$B,0)),"")</f>
        <v/>
      </c>
      <c r="N161" t="str">
        <f t="array" ref="N161">IFERROR(INDEX('Daily Raw Data'!W:W,Match($A161,'Daily Raw Data'!$B:$B,0)),"")</f>
        <v/>
      </c>
      <c r="O161" t="str">
        <f t="array" ref="O161">IFERROR(INDEX('Daily Raw Data'!Y:Y,Match($A161,'Daily Raw Data'!$B:$B,0)),"")</f>
        <v/>
      </c>
      <c r="P161" t="str">
        <f t="shared" si="1"/>
        <v/>
      </c>
      <c r="Q161" s="14" t="str">
        <f t="shared" si="2"/>
        <v/>
      </c>
      <c r="R161" s="15" t="str">
        <f>IFERROR(__xludf.DUMMYFUNCTION("IF($A161="""","""", IFERROR(PERCENTRANK.INC(FILTER(P:P,$E:$E&lt;&gt;""""),P161)*100,""""))"),"")</f>
        <v/>
      </c>
      <c r="S161" s="15" t="str">
        <f>IFERROR(__xludf.DUMMYFUNCTION("IF($A161="""","""",IFERROR(PERCENTRANK.INC(FILTER(Q:Q,$E:$E&lt;&gt;""""),Q161)*100,""""))"),"")</f>
        <v/>
      </c>
    </row>
    <row r="162">
      <c r="B162" t="str">
        <f t="array" ref="B162">IFERROR(INDEX('Player Raw Data'!C:C,Match($A162,'Player Raw Data'!$B:$B,0)),"")</f>
        <v/>
      </c>
      <c r="C162" t="str">
        <f t="array" ref="C162">IFERROR(INDEX('Player Raw Data'!D:D,Match($A162,'Player Raw Data'!$B:$B,0)),"")</f>
        <v/>
      </c>
      <c r="D162" t="str">
        <f t="array" ref="D162">IFERROR(IF(A162=A161, INDEX('Player Raw Data'!E:E,Match($A162,'Player Raw Data'!$B:$B,0)+2),INDEX('Player Raw Data'!E:E,Match($A162,'Player Raw Data'!$B:$B,0))),"")</f>
        <v/>
      </c>
      <c r="E162" s="27" t="str">
        <f>IFERROR(__xludf.DUMMYFUNCTION("IFERROR(ARRAY_CONSTRAIN(SPLIT(INDEX('Daily Raw Data'!G:G,Match($A162,'Daily Raw Data'!$B:$B,0)),"":""),1,1),"""")"),"")</f>
        <v/>
      </c>
      <c r="F162" t="str">
        <f t="array" ref="F162">IFERROR(INDEX('Daily Raw Data'!H:H,Match($A162,'Daily Raw Data'!$B:$B,0)),"")</f>
        <v/>
      </c>
      <c r="G162" t="str">
        <f t="array" ref="G162">IFERROR(INDEX('Daily Raw Data'!I:I,Match($A162,'Daily Raw Data'!$B:$B,0)),"")</f>
        <v/>
      </c>
      <c r="H162" t="str">
        <f t="array" ref="H162">IFERROR(INDEX('Daily Raw Data'!N:N,Match($A162,'Daily Raw Data'!$B:$B,0)),"")</f>
        <v/>
      </c>
      <c r="I162" t="str">
        <f t="array" ref="I162">IFERROR(INDEX('Daily Raw Data'!O:O,Match($A162,'Daily Raw Data'!$B:$B,0)),"")</f>
        <v/>
      </c>
      <c r="J162" t="str">
        <f t="array" ref="J162">IFERROR(INDEX('Daily Raw Data'!S:S,Match($A162,'Daily Raw Data'!$B:$B,0)),"")</f>
        <v/>
      </c>
      <c r="K162" t="str">
        <f t="array" ref="K162">IFERROR(INDEX('Daily Raw Data'!T:T,Match($A162,'Daily Raw Data'!$B:$B,0)),"")</f>
        <v/>
      </c>
      <c r="L162" t="str">
        <f t="array" ref="L162">IFERROR(INDEX('Daily Raw Data'!U:U,Match($A162,'Daily Raw Data'!$B:$B,0)),"")</f>
        <v/>
      </c>
      <c r="M162" t="str">
        <f t="array" ref="M162">IFERROR(INDEX('Daily Raw Data'!V:V,Match($A162,'Daily Raw Data'!$B:$B,0)),"")</f>
        <v/>
      </c>
      <c r="N162" t="str">
        <f t="array" ref="N162">IFERROR(INDEX('Daily Raw Data'!W:W,Match($A162,'Daily Raw Data'!$B:$B,0)),"")</f>
        <v/>
      </c>
      <c r="O162" t="str">
        <f t="array" ref="O162">IFERROR(INDEX('Daily Raw Data'!Y:Y,Match($A162,'Daily Raw Data'!$B:$B,0)),"")</f>
        <v/>
      </c>
      <c r="P162" t="str">
        <f t="shared" si="1"/>
        <v/>
      </c>
      <c r="Q162" s="14" t="str">
        <f t="shared" si="2"/>
        <v/>
      </c>
      <c r="R162" s="15" t="str">
        <f>IFERROR(__xludf.DUMMYFUNCTION("IF($A162="""","""", IFERROR(PERCENTRANK.INC(FILTER(P:P,$E:$E&lt;&gt;""""),P162)*100,""""))"),"")</f>
        <v/>
      </c>
      <c r="S162" s="15" t="str">
        <f>IFERROR(__xludf.DUMMYFUNCTION("IF($A162="""","""",IFERROR(PERCENTRANK.INC(FILTER(Q:Q,$E:$E&lt;&gt;""""),Q162)*100,""""))"),"")</f>
        <v/>
      </c>
    </row>
    <row r="163">
      <c r="B163" t="str">
        <f t="array" ref="B163">IFERROR(INDEX('Player Raw Data'!C:C,Match($A163,'Player Raw Data'!$B:$B,0)),"")</f>
        <v/>
      </c>
      <c r="C163" t="str">
        <f t="array" ref="C163">IFERROR(INDEX('Player Raw Data'!D:D,Match($A163,'Player Raw Data'!$B:$B,0)),"")</f>
        <v/>
      </c>
      <c r="D163" t="str">
        <f t="array" ref="D163">IFERROR(IF(A163=A162, INDEX('Player Raw Data'!E:E,Match($A163,'Player Raw Data'!$B:$B,0)+2),INDEX('Player Raw Data'!E:E,Match($A163,'Player Raw Data'!$B:$B,0))),"")</f>
        <v/>
      </c>
      <c r="E163" s="27" t="str">
        <f>IFERROR(__xludf.DUMMYFUNCTION("IFERROR(ARRAY_CONSTRAIN(SPLIT(INDEX('Daily Raw Data'!G:G,Match($A163,'Daily Raw Data'!$B:$B,0)),"":""),1,1),"""")"),"")</f>
        <v/>
      </c>
      <c r="F163" t="str">
        <f t="array" ref="F163">IFERROR(INDEX('Daily Raw Data'!H:H,Match($A163,'Daily Raw Data'!$B:$B,0)),"")</f>
        <v/>
      </c>
      <c r="G163" t="str">
        <f t="array" ref="G163">IFERROR(INDEX('Daily Raw Data'!I:I,Match($A163,'Daily Raw Data'!$B:$B,0)),"")</f>
        <v/>
      </c>
      <c r="H163" t="str">
        <f t="array" ref="H163">IFERROR(INDEX('Daily Raw Data'!N:N,Match($A163,'Daily Raw Data'!$B:$B,0)),"")</f>
        <v/>
      </c>
      <c r="I163" t="str">
        <f t="array" ref="I163">IFERROR(INDEX('Daily Raw Data'!O:O,Match($A163,'Daily Raw Data'!$B:$B,0)),"")</f>
        <v/>
      </c>
      <c r="J163" t="str">
        <f t="array" ref="J163">IFERROR(INDEX('Daily Raw Data'!S:S,Match($A163,'Daily Raw Data'!$B:$B,0)),"")</f>
        <v/>
      </c>
      <c r="K163" t="str">
        <f t="array" ref="K163">IFERROR(INDEX('Daily Raw Data'!T:T,Match($A163,'Daily Raw Data'!$B:$B,0)),"")</f>
        <v/>
      </c>
      <c r="L163" t="str">
        <f t="array" ref="L163">IFERROR(INDEX('Daily Raw Data'!U:U,Match($A163,'Daily Raw Data'!$B:$B,0)),"")</f>
        <v/>
      </c>
      <c r="M163" t="str">
        <f t="array" ref="M163">IFERROR(INDEX('Daily Raw Data'!V:V,Match($A163,'Daily Raw Data'!$B:$B,0)),"")</f>
        <v/>
      </c>
      <c r="N163" t="str">
        <f t="array" ref="N163">IFERROR(INDEX('Daily Raw Data'!W:W,Match($A163,'Daily Raw Data'!$B:$B,0)),"")</f>
        <v/>
      </c>
      <c r="O163" t="str">
        <f t="array" ref="O163">IFERROR(INDEX('Daily Raw Data'!Y:Y,Match($A163,'Daily Raw Data'!$B:$B,0)),"")</f>
        <v/>
      </c>
      <c r="P163" t="str">
        <f t="shared" si="1"/>
        <v/>
      </c>
      <c r="Q163" s="14" t="str">
        <f t="shared" si="2"/>
        <v/>
      </c>
      <c r="R163" s="15" t="str">
        <f>IFERROR(__xludf.DUMMYFUNCTION("IF($A163="""","""", IFERROR(PERCENTRANK.INC(FILTER(P:P,$E:$E&lt;&gt;""""),P163)*100,""""))"),"")</f>
        <v/>
      </c>
      <c r="S163" s="15" t="str">
        <f>IFERROR(__xludf.DUMMYFUNCTION("IF($A163="""","""",IFERROR(PERCENTRANK.INC(FILTER(Q:Q,$E:$E&lt;&gt;""""),Q163)*100,""""))"),"")</f>
        <v/>
      </c>
    </row>
    <row r="164">
      <c r="B164" t="str">
        <f t="array" ref="B164">IFERROR(INDEX('Player Raw Data'!C:C,Match($A164,'Player Raw Data'!$B:$B,0)),"")</f>
        <v/>
      </c>
      <c r="C164" t="str">
        <f t="array" ref="C164">IFERROR(INDEX('Player Raw Data'!D:D,Match($A164,'Player Raw Data'!$B:$B,0)),"")</f>
        <v/>
      </c>
      <c r="D164" t="str">
        <f t="array" ref="D164">IFERROR(IF(A164=A163, INDEX('Player Raw Data'!E:E,Match($A164,'Player Raw Data'!$B:$B,0)+2),INDEX('Player Raw Data'!E:E,Match($A164,'Player Raw Data'!$B:$B,0))),"")</f>
        <v/>
      </c>
      <c r="E164" s="27" t="str">
        <f>IFERROR(__xludf.DUMMYFUNCTION("IFERROR(ARRAY_CONSTRAIN(SPLIT(INDEX('Daily Raw Data'!G:G,Match($A164,'Daily Raw Data'!$B:$B,0)),"":""),1,1),"""")"),"")</f>
        <v/>
      </c>
      <c r="F164" t="str">
        <f t="array" ref="F164">IFERROR(INDEX('Daily Raw Data'!H:H,Match($A164,'Daily Raw Data'!$B:$B,0)),"")</f>
        <v/>
      </c>
      <c r="G164" t="str">
        <f t="array" ref="G164">IFERROR(INDEX('Daily Raw Data'!I:I,Match($A164,'Daily Raw Data'!$B:$B,0)),"")</f>
        <v/>
      </c>
      <c r="H164" t="str">
        <f t="array" ref="H164">IFERROR(INDEX('Daily Raw Data'!N:N,Match($A164,'Daily Raw Data'!$B:$B,0)),"")</f>
        <v/>
      </c>
      <c r="I164" t="str">
        <f t="array" ref="I164">IFERROR(INDEX('Daily Raw Data'!O:O,Match($A164,'Daily Raw Data'!$B:$B,0)),"")</f>
        <v/>
      </c>
      <c r="J164" t="str">
        <f t="array" ref="J164">IFERROR(INDEX('Daily Raw Data'!S:S,Match($A164,'Daily Raw Data'!$B:$B,0)),"")</f>
        <v/>
      </c>
      <c r="K164" t="str">
        <f t="array" ref="K164">IFERROR(INDEX('Daily Raw Data'!T:T,Match($A164,'Daily Raw Data'!$B:$B,0)),"")</f>
        <v/>
      </c>
      <c r="L164" t="str">
        <f t="array" ref="L164">IFERROR(INDEX('Daily Raw Data'!U:U,Match($A164,'Daily Raw Data'!$B:$B,0)),"")</f>
        <v/>
      </c>
      <c r="M164" t="str">
        <f t="array" ref="M164">IFERROR(INDEX('Daily Raw Data'!V:V,Match($A164,'Daily Raw Data'!$B:$B,0)),"")</f>
        <v/>
      </c>
      <c r="N164" t="str">
        <f t="array" ref="N164">IFERROR(INDEX('Daily Raw Data'!W:W,Match($A164,'Daily Raw Data'!$B:$B,0)),"")</f>
        <v/>
      </c>
      <c r="O164" t="str">
        <f t="array" ref="O164">IFERROR(INDEX('Daily Raw Data'!Y:Y,Match($A164,'Daily Raw Data'!$B:$B,0)),"")</f>
        <v/>
      </c>
      <c r="P164" t="str">
        <f t="shared" si="1"/>
        <v/>
      </c>
      <c r="Q164" s="14" t="str">
        <f t="shared" si="2"/>
        <v/>
      </c>
      <c r="R164" s="15" t="str">
        <f>IFERROR(__xludf.DUMMYFUNCTION("IF($A164="""","""", IFERROR(PERCENTRANK.INC(FILTER(P:P,$E:$E&lt;&gt;""""),P164)*100,""""))"),"")</f>
        <v/>
      </c>
      <c r="S164" s="15" t="str">
        <f>IFERROR(__xludf.DUMMYFUNCTION("IF($A164="""","""",IFERROR(PERCENTRANK.INC(FILTER(Q:Q,$E:$E&lt;&gt;""""),Q164)*100,""""))"),"")</f>
        <v/>
      </c>
    </row>
    <row r="165">
      <c r="B165" t="str">
        <f t="array" ref="B165">IFERROR(INDEX('Player Raw Data'!C:C,Match($A165,'Player Raw Data'!$B:$B,0)),"")</f>
        <v/>
      </c>
      <c r="C165" t="str">
        <f t="array" ref="C165">IFERROR(INDEX('Player Raw Data'!D:D,Match($A165,'Player Raw Data'!$B:$B,0)),"")</f>
        <v/>
      </c>
      <c r="D165" t="str">
        <f t="array" ref="D165">IFERROR(IF(A165=A164, INDEX('Player Raw Data'!E:E,Match($A165,'Player Raw Data'!$B:$B,0)+2),INDEX('Player Raw Data'!E:E,Match($A165,'Player Raw Data'!$B:$B,0))),"")</f>
        <v/>
      </c>
      <c r="E165" s="27" t="str">
        <f>IFERROR(__xludf.DUMMYFUNCTION("IFERROR(ARRAY_CONSTRAIN(SPLIT(INDEX('Daily Raw Data'!G:G,Match($A165,'Daily Raw Data'!$B:$B,0)),"":""),1,1),"""")"),"")</f>
        <v/>
      </c>
      <c r="F165" t="str">
        <f t="array" ref="F165">IFERROR(INDEX('Daily Raw Data'!H:H,Match($A165,'Daily Raw Data'!$B:$B,0)),"")</f>
        <v/>
      </c>
      <c r="G165" t="str">
        <f t="array" ref="G165">IFERROR(INDEX('Daily Raw Data'!I:I,Match($A165,'Daily Raw Data'!$B:$B,0)),"")</f>
        <v/>
      </c>
      <c r="H165" t="str">
        <f t="array" ref="H165">IFERROR(INDEX('Daily Raw Data'!N:N,Match($A165,'Daily Raw Data'!$B:$B,0)),"")</f>
        <v/>
      </c>
      <c r="I165" t="str">
        <f t="array" ref="I165">IFERROR(INDEX('Daily Raw Data'!O:O,Match($A165,'Daily Raw Data'!$B:$B,0)),"")</f>
        <v/>
      </c>
      <c r="J165" t="str">
        <f t="array" ref="J165">IFERROR(INDEX('Daily Raw Data'!S:S,Match($A165,'Daily Raw Data'!$B:$B,0)),"")</f>
        <v/>
      </c>
      <c r="K165" t="str">
        <f t="array" ref="K165">IFERROR(INDEX('Daily Raw Data'!T:T,Match($A165,'Daily Raw Data'!$B:$B,0)),"")</f>
        <v/>
      </c>
      <c r="L165" t="str">
        <f t="array" ref="L165">IFERROR(INDEX('Daily Raw Data'!U:U,Match($A165,'Daily Raw Data'!$B:$B,0)),"")</f>
        <v/>
      </c>
      <c r="M165" t="str">
        <f t="array" ref="M165">IFERROR(INDEX('Daily Raw Data'!V:V,Match($A165,'Daily Raw Data'!$B:$B,0)),"")</f>
        <v/>
      </c>
      <c r="N165" t="str">
        <f t="array" ref="N165">IFERROR(INDEX('Daily Raw Data'!W:W,Match($A165,'Daily Raw Data'!$B:$B,0)),"")</f>
        <v/>
      </c>
      <c r="O165" t="str">
        <f t="array" ref="O165">IFERROR(INDEX('Daily Raw Data'!Y:Y,Match($A165,'Daily Raw Data'!$B:$B,0)),"")</f>
        <v/>
      </c>
      <c r="P165" t="str">
        <f t="shared" si="1"/>
        <v/>
      </c>
      <c r="Q165" s="14" t="str">
        <f t="shared" si="2"/>
        <v/>
      </c>
      <c r="R165" s="15" t="str">
        <f>IFERROR(__xludf.DUMMYFUNCTION("IF($A165="""","""", IFERROR(PERCENTRANK.INC(FILTER(P:P,$E:$E&lt;&gt;""""),P165)*100,""""))"),"")</f>
        <v/>
      </c>
      <c r="S165" s="15" t="str">
        <f>IFERROR(__xludf.DUMMYFUNCTION("IF($A165="""","""",IFERROR(PERCENTRANK.INC(FILTER(Q:Q,$E:$E&lt;&gt;""""),Q165)*100,""""))"),"")</f>
        <v/>
      </c>
    </row>
    <row r="166">
      <c r="B166" t="str">
        <f t="array" ref="B166">IFERROR(INDEX('Player Raw Data'!C:C,Match($A166,'Player Raw Data'!$B:$B,0)),"")</f>
        <v/>
      </c>
      <c r="C166" t="str">
        <f t="array" ref="C166">IFERROR(INDEX('Player Raw Data'!D:D,Match($A166,'Player Raw Data'!$B:$B,0)),"")</f>
        <v/>
      </c>
      <c r="D166" t="str">
        <f t="array" ref="D166">IFERROR(IF(A166=A165, INDEX('Player Raw Data'!E:E,Match($A166,'Player Raw Data'!$B:$B,0)+2),INDEX('Player Raw Data'!E:E,Match($A166,'Player Raw Data'!$B:$B,0))),"")</f>
        <v/>
      </c>
      <c r="E166" s="27" t="str">
        <f>IFERROR(__xludf.DUMMYFUNCTION("IFERROR(ARRAY_CONSTRAIN(SPLIT(INDEX('Daily Raw Data'!G:G,Match($A166,'Daily Raw Data'!$B:$B,0)),"":""),1,1),"""")"),"")</f>
        <v/>
      </c>
      <c r="F166" t="str">
        <f t="array" ref="F166">IFERROR(INDEX('Daily Raw Data'!H:H,Match($A166,'Daily Raw Data'!$B:$B,0)),"")</f>
        <v/>
      </c>
      <c r="G166" t="str">
        <f t="array" ref="G166">IFERROR(INDEX('Daily Raw Data'!I:I,Match($A166,'Daily Raw Data'!$B:$B,0)),"")</f>
        <v/>
      </c>
      <c r="H166" t="str">
        <f t="array" ref="H166">IFERROR(INDEX('Daily Raw Data'!N:N,Match($A166,'Daily Raw Data'!$B:$B,0)),"")</f>
        <v/>
      </c>
      <c r="I166" t="str">
        <f t="array" ref="I166">IFERROR(INDEX('Daily Raw Data'!O:O,Match($A166,'Daily Raw Data'!$B:$B,0)),"")</f>
        <v/>
      </c>
      <c r="J166" t="str">
        <f t="array" ref="J166">IFERROR(INDEX('Daily Raw Data'!S:S,Match($A166,'Daily Raw Data'!$B:$B,0)),"")</f>
        <v/>
      </c>
      <c r="K166" t="str">
        <f t="array" ref="K166">IFERROR(INDEX('Daily Raw Data'!T:T,Match($A166,'Daily Raw Data'!$B:$B,0)),"")</f>
        <v/>
      </c>
      <c r="L166" t="str">
        <f t="array" ref="L166">IFERROR(INDEX('Daily Raw Data'!U:U,Match($A166,'Daily Raw Data'!$B:$B,0)),"")</f>
        <v/>
      </c>
      <c r="M166" t="str">
        <f t="array" ref="M166">IFERROR(INDEX('Daily Raw Data'!V:V,Match($A166,'Daily Raw Data'!$B:$B,0)),"")</f>
        <v/>
      </c>
      <c r="N166" t="str">
        <f t="array" ref="N166">IFERROR(INDEX('Daily Raw Data'!W:W,Match($A166,'Daily Raw Data'!$B:$B,0)),"")</f>
        <v/>
      </c>
      <c r="O166" t="str">
        <f t="array" ref="O166">IFERROR(INDEX('Daily Raw Data'!Y:Y,Match($A166,'Daily Raw Data'!$B:$B,0)),"")</f>
        <v/>
      </c>
      <c r="P166" t="str">
        <f t="shared" si="1"/>
        <v/>
      </c>
      <c r="Q166" s="14" t="str">
        <f t="shared" si="2"/>
        <v/>
      </c>
      <c r="R166" s="15" t="str">
        <f>IFERROR(__xludf.DUMMYFUNCTION("IF($A166="""","""", IFERROR(PERCENTRANK.INC(FILTER(P:P,$E:$E&lt;&gt;""""),P166)*100,""""))"),"")</f>
        <v/>
      </c>
      <c r="S166" s="15" t="str">
        <f>IFERROR(__xludf.DUMMYFUNCTION("IF($A166="""","""",IFERROR(PERCENTRANK.INC(FILTER(Q:Q,$E:$E&lt;&gt;""""),Q166)*100,""""))"),"")</f>
        <v/>
      </c>
    </row>
    <row r="167">
      <c r="B167" t="str">
        <f t="array" ref="B167">IFERROR(INDEX('Player Raw Data'!C:C,Match($A167,'Player Raw Data'!$B:$B,0)),"")</f>
        <v/>
      </c>
      <c r="C167" t="str">
        <f t="array" ref="C167">IFERROR(INDEX('Player Raw Data'!D:D,Match($A167,'Player Raw Data'!$B:$B,0)),"")</f>
        <v/>
      </c>
      <c r="D167" t="str">
        <f t="array" ref="D167">IFERROR(IF(A167=A166, INDEX('Player Raw Data'!E:E,Match($A167,'Player Raw Data'!$B:$B,0)+2),INDEX('Player Raw Data'!E:E,Match($A167,'Player Raw Data'!$B:$B,0))),"")</f>
        <v/>
      </c>
      <c r="E167" s="27" t="str">
        <f>IFERROR(__xludf.DUMMYFUNCTION("IFERROR(ARRAY_CONSTRAIN(SPLIT(INDEX('Daily Raw Data'!G:G,Match($A167,'Daily Raw Data'!$B:$B,0)),"":""),1,1),"""")"),"")</f>
        <v/>
      </c>
      <c r="F167" t="str">
        <f t="array" ref="F167">IFERROR(INDEX('Daily Raw Data'!H:H,Match($A167,'Daily Raw Data'!$B:$B,0)),"")</f>
        <v/>
      </c>
      <c r="G167" t="str">
        <f t="array" ref="G167">IFERROR(INDEX('Daily Raw Data'!I:I,Match($A167,'Daily Raw Data'!$B:$B,0)),"")</f>
        <v/>
      </c>
      <c r="H167" t="str">
        <f t="array" ref="H167">IFERROR(INDEX('Daily Raw Data'!N:N,Match($A167,'Daily Raw Data'!$B:$B,0)),"")</f>
        <v/>
      </c>
      <c r="I167" t="str">
        <f t="array" ref="I167">IFERROR(INDEX('Daily Raw Data'!O:O,Match($A167,'Daily Raw Data'!$B:$B,0)),"")</f>
        <v/>
      </c>
      <c r="J167" t="str">
        <f t="array" ref="J167">IFERROR(INDEX('Daily Raw Data'!S:S,Match($A167,'Daily Raw Data'!$B:$B,0)),"")</f>
        <v/>
      </c>
      <c r="K167" t="str">
        <f t="array" ref="K167">IFERROR(INDEX('Daily Raw Data'!T:T,Match($A167,'Daily Raw Data'!$B:$B,0)),"")</f>
        <v/>
      </c>
      <c r="L167" t="str">
        <f t="array" ref="L167">IFERROR(INDEX('Daily Raw Data'!U:U,Match($A167,'Daily Raw Data'!$B:$B,0)),"")</f>
        <v/>
      </c>
      <c r="M167" t="str">
        <f t="array" ref="M167">IFERROR(INDEX('Daily Raw Data'!V:V,Match($A167,'Daily Raw Data'!$B:$B,0)),"")</f>
        <v/>
      </c>
      <c r="N167" t="str">
        <f t="array" ref="N167">IFERROR(INDEX('Daily Raw Data'!W:W,Match($A167,'Daily Raw Data'!$B:$B,0)),"")</f>
        <v/>
      </c>
      <c r="O167" t="str">
        <f t="array" ref="O167">IFERROR(INDEX('Daily Raw Data'!Y:Y,Match($A167,'Daily Raw Data'!$B:$B,0)),"")</f>
        <v/>
      </c>
      <c r="P167" t="str">
        <f t="shared" si="1"/>
        <v/>
      </c>
      <c r="Q167" s="14" t="str">
        <f t="shared" si="2"/>
        <v/>
      </c>
      <c r="R167" s="15" t="str">
        <f>IFERROR(__xludf.DUMMYFUNCTION("IF($A167="""","""", IFERROR(PERCENTRANK.INC(FILTER(P:P,$E:$E&lt;&gt;""""),P167)*100,""""))"),"")</f>
        <v/>
      </c>
      <c r="S167" s="15" t="str">
        <f>IFERROR(__xludf.DUMMYFUNCTION("IF($A167="""","""",IFERROR(PERCENTRANK.INC(FILTER(Q:Q,$E:$E&lt;&gt;""""),Q167)*100,""""))"),"")</f>
        <v/>
      </c>
    </row>
    <row r="168">
      <c r="B168" t="str">
        <f t="array" ref="B168">IFERROR(INDEX('Player Raw Data'!C:C,Match($A168,'Player Raw Data'!$B:$B,0)),"")</f>
        <v/>
      </c>
      <c r="C168" t="str">
        <f t="array" ref="C168">IFERROR(INDEX('Player Raw Data'!D:D,Match($A168,'Player Raw Data'!$B:$B,0)),"")</f>
        <v/>
      </c>
      <c r="D168" t="str">
        <f t="array" ref="D168">IFERROR(IF(A168=A167, INDEX('Player Raw Data'!E:E,Match($A168,'Player Raw Data'!$B:$B,0)+2),INDEX('Player Raw Data'!E:E,Match($A168,'Player Raw Data'!$B:$B,0))),"")</f>
        <v/>
      </c>
      <c r="E168" s="27" t="str">
        <f>IFERROR(__xludf.DUMMYFUNCTION("IFERROR(ARRAY_CONSTRAIN(SPLIT(INDEX('Daily Raw Data'!G:G,Match($A168,'Daily Raw Data'!$B:$B,0)),"":""),1,1),"""")"),"")</f>
        <v/>
      </c>
      <c r="F168" t="str">
        <f t="array" ref="F168">IFERROR(INDEX('Daily Raw Data'!H:H,Match($A168,'Daily Raw Data'!$B:$B,0)),"")</f>
        <v/>
      </c>
      <c r="G168" t="str">
        <f t="array" ref="G168">IFERROR(INDEX('Daily Raw Data'!I:I,Match($A168,'Daily Raw Data'!$B:$B,0)),"")</f>
        <v/>
      </c>
      <c r="H168" t="str">
        <f t="array" ref="H168">IFERROR(INDEX('Daily Raw Data'!N:N,Match($A168,'Daily Raw Data'!$B:$B,0)),"")</f>
        <v/>
      </c>
      <c r="I168" t="str">
        <f t="array" ref="I168">IFERROR(INDEX('Daily Raw Data'!O:O,Match($A168,'Daily Raw Data'!$B:$B,0)),"")</f>
        <v/>
      </c>
      <c r="J168" t="str">
        <f t="array" ref="J168">IFERROR(INDEX('Daily Raw Data'!S:S,Match($A168,'Daily Raw Data'!$B:$B,0)),"")</f>
        <v/>
      </c>
      <c r="K168" t="str">
        <f t="array" ref="K168">IFERROR(INDEX('Daily Raw Data'!T:T,Match($A168,'Daily Raw Data'!$B:$B,0)),"")</f>
        <v/>
      </c>
      <c r="L168" t="str">
        <f t="array" ref="L168">IFERROR(INDEX('Daily Raw Data'!U:U,Match($A168,'Daily Raw Data'!$B:$B,0)),"")</f>
        <v/>
      </c>
      <c r="M168" t="str">
        <f t="array" ref="M168">IFERROR(INDEX('Daily Raw Data'!V:V,Match($A168,'Daily Raw Data'!$B:$B,0)),"")</f>
        <v/>
      </c>
      <c r="N168" t="str">
        <f t="array" ref="N168">IFERROR(INDEX('Daily Raw Data'!W:W,Match($A168,'Daily Raw Data'!$B:$B,0)),"")</f>
        <v/>
      </c>
      <c r="O168" t="str">
        <f t="array" ref="O168">IFERROR(INDEX('Daily Raw Data'!Y:Y,Match($A168,'Daily Raw Data'!$B:$B,0)),"")</f>
        <v/>
      </c>
      <c r="P168" t="str">
        <f t="shared" si="1"/>
        <v/>
      </c>
      <c r="Q168" s="14" t="str">
        <f t="shared" si="2"/>
        <v/>
      </c>
      <c r="R168" s="15" t="str">
        <f>IFERROR(__xludf.DUMMYFUNCTION("IF($A168="""","""", IFERROR(PERCENTRANK.INC(FILTER(P:P,$E:$E&lt;&gt;""""),P168)*100,""""))"),"")</f>
        <v/>
      </c>
      <c r="S168" s="15" t="str">
        <f>IFERROR(__xludf.DUMMYFUNCTION("IF($A168="""","""",IFERROR(PERCENTRANK.INC(FILTER(Q:Q,$E:$E&lt;&gt;""""),Q168)*100,""""))"),"")</f>
        <v/>
      </c>
    </row>
    <row r="169">
      <c r="B169" t="str">
        <f t="array" ref="B169">IFERROR(INDEX('Player Raw Data'!C:C,Match($A169,'Player Raw Data'!$B:$B,0)),"")</f>
        <v/>
      </c>
      <c r="C169" t="str">
        <f t="array" ref="C169">IFERROR(INDEX('Player Raw Data'!D:D,Match($A169,'Player Raw Data'!$B:$B,0)),"")</f>
        <v/>
      </c>
      <c r="D169" t="str">
        <f t="array" ref="D169">IFERROR(IF(A169=A168, INDEX('Player Raw Data'!E:E,Match($A169,'Player Raw Data'!$B:$B,0)+2),INDEX('Player Raw Data'!E:E,Match($A169,'Player Raw Data'!$B:$B,0))),"")</f>
        <v/>
      </c>
      <c r="E169" s="27" t="str">
        <f>IFERROR(__xludf.DUMMYFUNCTION("IFERROR(ARRAY_CONSTRAIN(SPLIT(INDEX('Daily Raw Data'!G:G,Match($A169,'Daily Raw Data'!$B:$B,0)),"":""),1,1),"""")"),"")</f>
        <v/>
      </c>
      <c r="F169" t="str">
        <f t="array" ref="F169">IFERROR(INDEX('Daily Raw Data'!H:H,Match($A169,'Daily Raw Data'!$B:$B,0)),"")</f>
        <v/>
      </c>
      <c r="G169" t="str">
        <f t="array" ref="G169">IFERROR(INDEX('Daily Raw Data'!I:I,Match($A169,'Daily Raw Data'!$B:$B,0)),"")</f>
        <v/>
      </c>
      <c r="H169" t="str">
        <f t="array" ref="H169">IFERROR(INDEX('Daily Raw Data'!N:N,Match($A169,'Daily Raw Data'!$B:$B,0)),"")</f>
        <v/>
      </c>
      <c r="I169" t="str">
        <f t="array" ref="I169">IFERROR(INDEX('Daily Raw Data'!O:O,Match($A169,'Daily Raw Data'!$B:$B,0)),"")</f>
        <v/>
      </c>
      <c r="J169" t="str">
        <f t="array" ref="J169">IFERROR(INDEX('Daily Raw Data'!S:S,Match($A169,'Daily Raw Data'!$B:$B,0)),"")</f>
        <v/>
      </c>
      <c r="K169" t="str">
        <f t="array" ref="K169">IFERROR(INDEX('Daily Raw Data'!T:T,Match($A169,'Daily Raw Data'!$B:$B,0)),"")</f>
        <v/>
      </c>
      <c r="L169" t="str">
        <f t="array" ref="L169">IFERROR(INDEX('Daily Raw Data'!U:U,Match($A169,'Daily Raw Data'!$B:$B,0)),"")</f>
        <v/>
      </c>
      <c r="M169" t="str">
        <f t="array" ref="M169">IFERROR(INDEX('Daily Raw Data'!V:V,Match($A169,'Daily Raw Data'!$B:$B,0)),"")</f>
        <v/>
      </c>
      <c r="N169" t="str">
        <f t="array" ref="N169">IFERROR(INDEX('Daily Raw Data'!W:W,Match($A169,'Daily Raw Data'!$B:$B,0)),"")</f>
        <v/>
      </c>
      <c r="O169" t="str">
        <f t="array" ref="O169">IFERROR(INDEX('Daily Raw Data'!Y:Y,Match($A169,'Daily Raw Data'!$B:$B,0)),"")</f>
        <v/>
      </c>
      <c r="P169" t="str">
        <f t="shared" si="1"/>
        <v/>
      </c>
      <c r="Q169" s="14" t="str">
        <f t="shared" si="2"/>
        <v/>
      </c>
      <c r="R169" s="15" t="str">
        <f>IFERROR(__xludf.DUMMYFUNCTION("IF($A169="""","""", IFERROR(PERCENTRANK.INC(FILTER(P:P,$E:$E&lt;&gt;""""),P169)*100,""""))"),"")</f>
        <v/>
      </c>
      <c r="S169" s="15" t="str">
        <f>IFERROR(__xludf.DUMMYFUNCTION("IF($A169="""","""",IFERROR(PERCENTRANK.INC(FILTER(Q:Q,$E:$E&lt;&gt;""""),Q169)*100,""""))"),"")</f>
        <v/>
      </c>
    </row>
    <row r="170">
      <c r="B170" t="str">
        <f t="array" ref="B170">IFERROR(INDEX('Player Raw Data'!C:C,Match($A170,'Player Raw Data'!$B:$B,0)),"")</f>
        <v/>
      </c>
      <c r="C170" t="str">
        <f t="array" ref="C170">IFERROR(INDEX('Player Raw Data'!D:D,Match($A170,'Player Raw Data'!$B:$B,0)),"")</f>
        <v/>
      </c>
      <c r="D170" t="str">
        <f t="array" ref="D170">IFERROR(IF(A170=A169, INDEX('Player Raw Data'!E:E,Match($A170,'Player Raw Data'!$B:$B,0)+2),INDEX('Player Raw Data'!E:E,Match($A170,'Player Raw Data'!$B:$B,0))),"")</f>
        <v/>
      </c>
      <c r="E170" s="27" t="str">
        <f>IFERROR(__xludf.DUMMYFUNCTION("IFERROR(ARRAY_CONSTRAIN(SPLIT(INDEX('Daily Raw Data'!G:G,Match($A170,'Daily Raw Data'!$B:$B,0)),"":""),1,1),"""")"),"")</f>
        <v/>
      </c>
      <c r="F170" t="str">
        <f t="array" ref="F170">IFERROR(INDEX('Daily Raw Data'!H:H,Match($A170,'Daily Raw Data'!$B:$B,0)),"")</f>
        <v/>
      </c>
      <c r="G170" t="str">
        <f t="array" ref="G170">IFERROR(INDEX('Daily Raw Data'!I:I,Match($A170,'Daily Raw Data'!$B:$B,0)),"")</f>
        <v/>
      </c>
      <c r="H170" t="str">
        <f t="array" ref="H170">IFERROR(INDEX('Daily Raw Data'!N:N,Match($A170,'Daily Raw Data'!$B:$B,0)),"")</f>
        <v/>
      </c>
      <c r="I170" t="str">
        <f t="array" ref="I170">IFERROR(INDEX('Daily Raw Data'!O:O,Match($A170,'Daily Raw Data'!$B:$B,0)),"")</f>
        <v/>
      </c>
      <c r="J170" t="str">
        <f t="array" ref="J170">IFERROR(INDEX('Daily Raw Data'!S:S,Match($A170,'Daily Raw Data'!$B:$B,0)),"")</f>
        <v/>
      </c>
      <c r="K170" t="str">
        <f t="array" ref="K170">IFERROR(INDEX('Daily Raw Data'!T:T,Match($A170,'Daily Raw Data'!$B:$B,0)),"")</f>
        <v/>
      </c>
      <c r="L170" t="str">
        <f t="array" ref="L170">IFERROR(INDEX('Daily Raw Data'!U:U,Match($A170,'Daily Raw Data'!$B:$B,0)),"")</f>
        <v/>
      </c>
      <c r="M170" t="str">
        <f t="array" ref="M170">IFERROR(INDEX('Daily Raw Data'!V:V,Match($A170,'Daily Raw Data'!$B:$B,0)),"")</f>
        <v/>
      </c>
      <c r="N170" t="str">
        <f t="array" ref="N170">IFERROR(INDEX('Daily Raw Data'!W:W,Match($A170,'Daily Raw Data'!$B:$B,0)),"")</f>
        <v/>
      </c>
      <c r="O170" t="str">
        <f t="array" ref="O170">IFERROR(INDEX('Daily Raw Data'!Y:Y,Match($A170,'Daily Raw Data'!$B:$B,0)),"")</f>
        <v/>
      </c>
      <c r="P170" t="str">
        <f t="shared" si="1"/>
        <v/>
      </c>
      <c r="Q170" s="14" t="str">
        <f t="shared" si="2"/>
        <v/>
      </c>
      <c r="R170" s="15" t="str">
        <f>IFERROR(__xludf.DUMMYFUNCTION("IF($A170="""","""", IFERROR(PERCENTRANK.INC(FILTER(P:P,$E:$E&lt;&gt;""""),P170)*100,""""))"),"")</f>
        <v/>
      </c>
      <c r="S170" s="15" t="str">
        <f>IFERROR(__xludf.DUMMYFUNCTION("IF($A170="""","""",IFERROR(PERCENTRANK.INC(FILTER(Q:Q,$E:$E&lt;&gt;""""),Q170)*100,""""))"),"")</f>
        <v/>
      </c>
    </row>
    <row r="171">
      <c r="B171" t="str">
        <f t="array" ref="B171">IFERROR(INDEX('Player Raw Data'!C:C,Match($A171,'Player Raw Data'!$B:$B,0)),"")</f>
        <v/>
      </c>
      <c r="C171" t="str">
        <f t="array" ref="C171">IFERROR(INDEX('Player Raw Data'!D:D,Match($A171,'Player Raw Data'!$B:$B,0)),"")</f>
        <v/>
      </c>
      <c r="D171" t="str">
        <f t="array" ref="D171">IFERROR(IF(A171=A170, INDEX('Player Raw Data'!E:E,Match($A171,'Player Raw Data'!$B:$B,0)+2),INDEX('Player Raw Data'!E:E,Match($A171,'Player Raw Data'!$B:$B,0))),"")</f>
        <v/>
      </c>
      <c r="E171" s="27" t="str">
        <f>IFERROR(__xludf.DUMMYFUNCTION("IFERROR(ARRAY_CONSTRAIN(SPLIT(INDEX('Daily Raw Data'!G:G,Match($A171,'Daily Raw Data'!$B:$B,0)),"":""),1,1),"""")"),"")</f>
        <v/>
      </c>
      <c r="F171" t="str">
        <f t="array" ref="F171">IFERROR(INDEX('Daily Raw Data'!H:H,Match($A171,'Daily Raw Data'!$B:$B,0)),"")</f>
        <v/>
      </c>
      <c r="G171" t="str">
        <f t="array" ref="G171">IFERROR(INDEX('Daily Raw Data'!I:I,Match($A171,'Daily Raw Data'!$B:$B,0)),"")</f>
        <v/>
      </c>
      <c r="H171" t="str">
        <f t="array" ref="H171">IFERROR(INDEX('Daily Raw Data'!N:N,Match($A171,'Daily Raw Data'!$B:$B,0)),"")</f>
        <v/>
      </c>
      <c r="I171" t="str">
        <f t="array" ref="I171">IFERROR(INDEX('Daily Raw Data'!O:O,Match($A171,'Daily Raw Data'!$B:$B,0)),"")</f>
        <v/>
      </c>
      <c r="J171" t="str">
        <f t="array" ref="J171">IFERROR(INDEX('Daily Raw Data'!S:S,Match($A171,'Daily Raw Data'!$B:$B,0)),"")</f>
        <v/>
      </c>
      <c r="K171" t="str">
        <f t="array" ref="K171">IFERROR(INDEX('Daily Raw Data'!T:T,Match($A171,'Daily Raw Data'!$B:$B,0)),"")</f>
        <v/>
      </c>
      <c r="L171" t="str">
        <f t="array" ref="L171">IFERROR(INDEX('Daily Raw Data'!U:U,Match($A171,'Daily Raw Data'!$B:$B,0)),"")</f>
        <v/>
      </c>
      <c r="M171" t="str">
        <f t="array" ref="M171">IFERROR(INDEX('Daily Raw Data'!V:V,Match($A171,'Daily Raw Data'!$B:$B,0)),"")</f>
        <v/>
      </c>
      <c r="N171" t="str">
        <f t="array" ref="N171">IFERROR(INDEX('Daily Raw Data'!W:W,Match($A171,'Daily Raw Data'!$B:$B,0)),"")</f>
        <v/>
      </c>
      <c r="O171" t="str">
        <f t="array" ref="O171">IFERROR(INDEX('Daily Raw Data'!Y:Y,Match($A171,'Daily Raw Data'!$B:$B,0)),"")</f>
        <v/>
      </c>
      <c r="P171" t="str">
        <f t="shared" si="1"/>
        <v/>
      </c>
      <c r="Q171" s="14" t="str">
        <f t="shared" si="2"/>
        <v/>
      </c>
      <c r="R171" s="15" t="str">
        <f>IFERROR(__xludf.DUMMYFUNCTION("IF($A171="""","""", IFERROR(PERCENTRANK.INC(FILTER(P:P,$E:$E&lt;&gt;""""),P171)*100,""""))"),"")</f>
        <v/>
      </c>
      <c r="S171" s="15" t="str">
        <f>IFERROR(__xludf.DUMMYFUNCTION("IF($A171="""","""",IFERROR(PERCENTRANK.INC(FILTER(Q:Q,$E:$E&lt;&gt;""""),Q171)*100,""""))"),"")</f>
        <v/>
      </c>
    </row>
    <row r="172">
      <c r="B172" t="str">
        <f t="array" ref="B172">IFERROR(INDEX('Player Raw Data'!C:C,Match($A172,'Player Raw Data'!$B:$B,0)),"")</f>
        <v/>
      </c>
      <c r="C172" t="str">
        <f t="array" ref="C172">IFERROR(INDEX('Player Raw Data'!D:D,Match($A172,'Player Raw Data'!$B:$B,0)),"")</f>
        <v/>
      </c>
      <c r="D172" t="str">
        <f t="array" ref="D172">IFERROR(IF(A172=A171, INDEX('Player Raw Data'!E:E,Match($A172,'Player Raw Data'!$B:$B,0)+2),INDEX('Player Raw Data'!E:E,Match($A172,'Player Raw Data'!$B:$B,0))),"")</f>
        <v/>
      </c>
      <c r="E172" s="27" t="str">
        <f>IFERROR(__xludf.DUMMYFUNCTION("IFERROR(ARRAY_CONSTRAIN(SPLIT(INDEX('Daily Raw Data'!G:G,Match($A172,'Daily Raw Data'!$B:$B,0)),"":""),1,1),"""")"),"")</f>
        <v/>
      </c>
      <c r="F172" t="str">
        <f t="array" ref="F172">IFERROR(INDEX('Daily Raw Data'!H:H,Match($A172,'Daily Raw Data'!$B:$B,0)),"")</f>
        <v/>
      </c>
      <c r="G172" t="str">
        <f t="array" ref="G172">IFERROR(INDEX('Daily Raw Data'!I:I,Match($A172,'Daily Raw Data'!$B:$B,0)),"")</f>
        <v/>
      </c>
      <c r="H172" t="str">
        <f t="array" ref="H172">IFERROR(INDEX('Daily Raw Data'!N:N,Match($A172,'Daily Raw Data'!$B:$B,0)),"")</f>
        <v/>
      </c>
      <c r="I172" t="str">
        <f t="array" ref="I172">IFERROR(INDEX('Daily Raw Data'!O:O,Match($A172,'Daily Raw Data'!$B:$B,0)),"")</f>
        <v/>
      </c>
      <c r="J172" t="str">
        <f t="array" ref="J172">IFERROR(INDEX('Daily Raw Data'!S:S,Match($A172,'Daily Raw Data'!$B:$B,0)),"")</f>
        <v/>
      </c>
      <c r="K172" t="str">
        <f t="array" ref="K172">IFERROR(INDEX('Daily Raw Data'!T:T,Match($A172,'Daily Raw Data'!$B:$B,0)),"")</f>
        <v/>
      </c>
      <c r="L172" t="str">
        <f t="array" ref="L172">IFERROR(INDEX('Daily Raw Data'!U:U,Match($A172,'Daily Raw Data'!$B:$B,0)),"")</f>
        <v/>
      </c>
      <c r="M172" t="str">
        <f t="array" ref="M172">IFERROR(INDEX('Daily Raw Data'!V:V,Match($A172,'Daily Raw Data'!$B:$B,0)),"")</f>
        <v/>
      </c>
      <c r="N172" t="str">
        <f t="array" ref="N172">IFERROR(INDEX('Daily Raw Data'!W:W,Match($A172,'Daily Raw Data'!$B:$B,0)),"")</f>
        <v/>
      </c>
      <c r="O172" t="str">
        <f t="array" ref="O172">IFERROR(INDEX('Daily Raw Data'!Y:Y,Match($A172,'Daily Raw Data'!$B:$B,0)),"")</f>
        <v/>
      </c>
      <c r="P172" t="str">
        <f t="shared" si="1"/>
        <v/>
      </c>
      <c r="Q172" s="14" t="str">
        <f t="shared" si="2"/>
        <v/>
      </c>
      <c r="R172" s="15" t="str">
        <f>IFERROR(__xludf.DUMMYFUNCTION("IF($A172="""","""", IFERROR(PERCENTRANK.INC(FILTER(P:P,$E:$E&lt;&gt;""""),P172)*100,""""))"),"")</f>
        <v/>
      </c>
      <c r="S172" s="15" t="str">
        <f>IFERROR(__xludf.DUMMYFUNCTION("IF($A172="""","""",IFERROR(PERCENTRANK.INC(FILTER(Q:Q,$E:$E&lt;&gt;""""),Q172)*100,""""))"),"")</f>
        <v/>
      </c>
    </row>
    <row r="173">
      <c r="B173" t="str">
        <f t="array" ref="B173">IFERROR(INDEX('Player Raw Data'!C:C,Match($A173,'Player Raw Data'!$B:$B,0)),"")</f>
        <v/>
      </c>
      <c r="C173" t="str">
        <f t="array" ref="C173">IFERROR(INDEX('Player Raw Data'!D:D,Match($A173,'Player Raw Data'!$B:$B,0)),"")</f>
        <v/>
      </c>
      <c r="D173" t="str">
        <f t="array" ref="D173">IFERROR(IF(A173=A172, INDEX('Player Raw Data'!E:E,Match($A173,'Player Raw Data'!$B:$B,0)+2),INDEX('Player Raw Data'!E:E,Match($A173,'Player Raw Data'!$B:$B,0))),"")</f>
        <v/>
      </c>
      <c r="E173" s="27" t="str">
        <f>IFERROR(__xludf.DUMMYFUNCTION("IFERROR(ARRAY_CONSTRAIN(SPLIT(INDEX('Daily Raw Data'!G:G,Match($A173,'Daily Raw Data'!$B:$B,0)),"":""),1,1),"""")"),"")</f>
        <v/>
      </c>
      <c r="F173" t="str">
        <f t="array" ref="F173">IFERROR(INDEX('Daily Raw Data'!H:H,Match($A173,'Daily Raw Data'!$B:$B,0)),"")</f>
        <v/>
      </c>
      <c r="G173" t="str">
        <f t="array" ref="G173">IFERROR(INDEX('Daily Raw Data'!I:I,Match($A173,'Daily Raw Data'!$B:$B,0)),"")</f>
        <v/>
      </c>
      <c r="H173" t="str">
        <f t="array" ref="H173">IFERROR(INDEX('Daily Raw Data'!N:N,Match($A173,'Daily Raw Data'!$B:$B,0)),"")</f>
        <v/>
      </c>
      <c r="I173" t="str">
        <f t="array" ref="I173">IFERROR(INDEX('Daily Raw Data'!O:O,Match($A173,'Daily Raw Data'!$B:$B,0)),"")</f>
        <v/>
      </c>
      <c r="J173" t="str">
        <f t="array" ref="J173">IFERROR(INDEX('Daily Raw Data'!S:S,Match($A173,'Daily Raw Data'!$B:$B,0)),"")</f>
        <v/>
      </c>
      <c r="K173" t="str">
        <f t="array" ref="K173">IFERROR(INDEX('Daily Raw Data'!T:T,Match($A173,'Daily Raw Data'!$B:$B,0)),"")</f>
        <v/>
      </c>
      <c r="L173" t="str">
        <f t="array" ref="L173">IFERROR(INDEX('Daily Raw Data'!U:U,Match($A173,'Daily Raw Data'!$B:$B,0)),"")</f>
        <v/>
      </c>
      <c r="M173" t="str">
        <f t="array" ref="M173">IFERROR(INDEX('Daily Raw Data'!V:V,Match($A173,'Daily Raw Data'!$B:$B,0)),"")</f>
        <v/>
      </c>
      <c r="N173" t="str">
        <f t="array" ref="N173">IFERROR(INDEX('Daily Raw Data'!W:W,Match($A173,'Daily Raw Data'!$B:$B,0)),"")</f>
        <v/>
      </c>
      <c r="O173" t="str">
        <f t="array" ref="O173">IFERROR(INDEX('Daily Raw Data'!Y:Y,Match($A173,'Daily Raw Data'!$B:$B,0)),"")</f>
        <v/>
      </c>
      <c r="P173" t="str">
        <f t="shared" si="1"/>
        <v/>
      </c>
      <c r="Q173" s="14" t="str">
        <f t="shared" si="2"/>
        <v/>
      </c>
      <c r="R173" s="15" t="str">
        <f>IFERROR(__xludf.DUMMYFUNCTION("IF($A173="""","""", IFERROR(PERCENTRANK.INC(FILTER(P:P,$E:$E&lt;&gt;""""),P173)*100,""""))"),"")</f>
        <v/>
      </c>
      <c r="S173" s="15" t="str">
        <f>IFERROR(__xludf.DUMMYFUNCTION("IF($A173="""","""",IFERROR(PERCENTRANK.INC(FILTER(Q:Q,$E:$E&lt;&gt;""""),Q173)*100,""""))"),"")</f>
        <v/>
      </c>
    </row>
    <row r="174">
      <c r="B174" t="str">
        <f t="array" ref="B174">IFERROR(INDEX('Player Raw Data'!C:C,Match($A174,'Player Raw Data'!$B:$B,0)),"")</f>
        <v/>
      </c>
      <c r="C174" t="str">
        <f t="array" ref="C174">IFERROR(INDEX('Player Raw Data'!D:D,Match($A174,'Player Raw Data'!$B:$B,0)),"")</f>
        <v/>
      </c>
      <c r="D174" t="str">
        <f t="array" ref="D174">IFERROR(IF(A174=A173, INDEX('Player Raw Data'!E:E,Match($A174,'Player Raw Data'!$B:$B,0)+2),INDEX('Player Raw Data'!E:E,Match($A174,'Player Raw Data'!$B:$B,0))),"")</f>
        <v/>
      </c>
      <c r="E174" s="27" t="str">
        <f>IFERROR(__xludf.DUMMYFUNCTION("IFERROR(ARRAY_CONSTRAIN(SPLIT(INDEX('Daily Raw Data'!G:G,Match($A174,'Daily Raw Data'!$B:$B,0)),"":""),1,1),"""")"),"")</f>
        <v/>
      </c>
      <c r="F174" t="str">
        <f t="array" ref="F174">IFERROR(INDEX('Daily Raw Data'!H:H,Match($A174,'Daily Raw Data'!$B:$B,0)),"")</f>
        <v/>
      </c>
      <c r="G174" t="str">
        <f t="array" ref="G174">IFERROR(INDEX('Daily Raw Data'!I:I,Match($A174,'Daily Raw Data'!$B:$B,0)),"")</f>
        <v/>
      </c>
      <c r="H174" t="str">
        <f t="array" ref="H174">IFERROR(INDEX('Daily Raw Data'!N:N,Match($A174,'Daily Raw Data'!$B:$B,0)),"")</f>
        <v/>
      </c>
      <c r="I174" t="str">
        <f t="array" ref="I174">IFERROR(INDEX('Daily Raw Data'!O:O,Match($A174,'Daily Raw Data'!$B:$B,0)),"")</f>
        <v/>
      </c>
      <c r="J174" t="str">
        <f t="array" ref="J174">IFERROR(INDEX('Daily Raw Data'!S:S,Match($A174,'Daily Raw Data'!$B:$B,0)),"")</f>
        <v/>
      </c>
      <c r="K174" t="str">
        <f t="array" ref="K174">IFERROR(INDEX('Daily Raw Data'!T:T,Match($A174,'Daily Raw Data'!$B:$B,0)),"")</f>
        <v/>
      </c>
      <c r="L174" t="str">
        <f t="array" ref="L174">IFERROR(INDEX('Daily Raw Data'!U:U,Match($A174,'Daily Raw Data'!$B:$B,0)),"")</f>
        <v/>
      </c>
      <c r="M174" t="str">
        <f t="array" ref="M174">IFERROR(INDEX('Daily Raw Data'!V:V,Match($A174,'Daily Raw Data'!$B:$B,0)),"")</f>
        <v/>
      </c>
      <c r="N174" t="str">
        <f t="array" ref="N174">IFERROR(INDEX('Daily Raw Data'!W:W,Match($A174,'Daily Raw Data'!$B:$B,0)),"")</f>
        <v/>
      </c>
      <c r="O174" t="str">
        <f t="array" ref="O174">IFERROR(INDEX('Daily Raw Data'!Y:Y,Match($A174,'Daily Raw Data'!$B:$B,0)),"")</f>
        <v/>
      </c>
      <c r="P174" t="str">
        <f t="shared" si="1"/>
        <v/>
      </c>
      <c r="Q174" s="14" t="str">
        <f t="shared" si="2"/>
        <v/>
      </c>
      <c r="R174" s="15" t="str">
        <f>IFERROR(__xludf.DUMMYFUNCTION("IF($A174="""","""", IFERROR(PERCENTRANK.INC(FILTER(P:P,$E:$E&lt;&gt;""""),P174)*100,""""))"),"")</f>
        <v/>
      </c>
      <c r="S174" s="15" t="str">
        <f>IFERROR(__xludf.DUMMYFUNCTION("IF($A174="""","""",IFERROR(PERCENTRANK.INC(FILTER(Q:Q,$E:$E&lt;&gt;""""),Q174)*100,""""))"),"")</f>
        <v/>
      </c>
    </row>
    <row r="175">
      <c r="B175" t="str">
        <f t="array" ref="B175">IFERROR(INDEX('Player Raw Data'!C:C,Match($A175,'Player Raw Data'!$B:$B,0)),"")</f>
        <v/>
      </c>
      <c r="C175" t="str">
        <f t="array" ref="C175">IFERROR(INDEX('Player Raw Data'!D:D,Match($A175,'Player Raw Data'!$B:$B,0)),"")</f>
        <v/>
      </c>
      <c r="D175" t="str">
        <f t="array" ref="D175">IFERROR(IF(A175=A174, INDEX('Player Raw Data'!E:E,Match($A175,'Player Raw Data'!$B:$B,0)+2),INDEX('Player Raw Data'!E:E,Match($A175,'Player Raw Data'!$B:$B,0))),"")</f>
        <v/>
      </c>
      <c r="E175" s="27" t="str">
        <f>IFERROR(__xludf.DUMMYFUNCTION("IFERROR(ARRAY_CONSTRAIN(SPLIT(INDEX('Daily Raw Data'!G:G,Match($A175,'Daily Raw Data'!$B:$B,0)),"":""),1,1),"""")"),"")</f>
        <v/>
      </c>
      <c r="F175" t="str">
        <f t="array" ref="F175">IFERROR(INDEX('Daily Raw Data'!H:H,Match($A175,'Daily Raw Data'!$B:$B,0)),"")</f>
        <v/>
      </c>
      <c r="G175" t="str">
        <f t="array" ref="G175">IFERROR(INDEX('Daily Raw Data'!I:I,Match($A175,'Daily Raw Data'!$B:$B,0)),"")</f>
        <v/>
      </c>
      <c r="H175" t="str">
        <f t="array" ref="H175">IFERROR(INDEX('Daily Raw Data'!N:N,Match($A175,'Daily Raw Data'!$B:$B,0)),"")</f>
        <v/>
      </c>
      <c r="I175" t="str">
        <f t="array" ref="I175">IFERROR(INDEX('Daily Raw Data'!O:O,Match($A175,'Daily Raw Data'!$B:$B,0)),"")</f>
        <v/>
      </c>
      <c r="J175" t="str">
        <f t="array" ref="J175">IFERROR(INDEX('Daily Raw Data'!S:S,Match($A175,'Daily Raw Data'!$B:$B,0)),"")</f>
        <v/>
      </c>
      <c r="K175" t="str">
        <f t="array" ref="K175">IFERROR(INDEX('Daily Raw Data'!T:T,Match($A175,'Daily Raw Data'!$B:$B,0)),"")</f>
        <v/>
      </c>
      <c r="L175" t="str">
        <f t="array" ref="L175">IFERROR(INDEX('Daily Raw Data'!U:U,Match($A175,'Daily Raw Data'!$B:$B,0)),"")</f>
        <v/>
      </c>
      <c r="M175" t="str">
        <f t="array" ref="M175">IFERROR(INDEX('Daily Raw Data'!V:V,Match($A175,'Daily Raw Data'!$B:$B,0)),"")</f>
        <v/>
      </c>
      <c r="N175" t="str">
        <f t="array" ref="N175">IFERROR(INDEX('Daily Raw Data'!W:W,Match($A175,'Daily Raw Data'!$B:$B,0)),"")</f>
        <v/>
      </c>
      <c r="O175" t="str">
        <f t="array" ref="O175">IFERROR(INDEX('Daily Raw Data'!Y:Y,Match($A175,'Daily Raw Data'!$B:$B,0)),"")</f>
        <v/>
      </c>
      <c r="P175" t="str">
        <f t="shared" si="1"/>
        <v/>
      </c>
      <c r="Q175" s="14" t="str">
        <f t="shared" si="2"/>
        <v/>
      </c>
      <c r="R175" s="15" t="str">
        <f>IFERROR(__xludf.DUMMYFUNCTION("IF($A175="""","""", IFERROR(PERCENTRANK.INC(FILTER(P:P,$E:$E&lt;&gt;""""),P175)*100,""""))"),"")</f>
        <v/>
      </c>
      <c r="S175" s="15" t="str">
        <f>IFERROR(__xludf.DUMMYFUNCTION("IF($A175="""","""",IFERROR(PERCENTRANK.INC(FILTER(Q:Q,$E:$E&lt;&gt;""""),Q175)*100,""""))"),"")</f>
        <v/>
      </c>
    </row>
    <row r="176">
      <c r="B176" t="str">
        <f t="array" ref="B176">IFERROR(INDEX('Player Raw Data'!C:C,Match($A176,'Player Raw Data'!$B:$B,0)),"")</f>
        <v/>
      </c>
      <c r="C176" t="str">
        <f t="array" ref="C176">IFERROR(INDEX('Player Raw Data'!D:D,Match($A176,'Player Raw Data'!$B:$B,0)),"")</f>
        <v/>
      </c>
      <c r="D176" t="str">
        <f t="array" ref="D176">IFERROR(IF(A176=A175, INDEX('Player Raw Data'!E:E,Match($A176,'Player Raw Data'!$B:$B,0)+2),INDEX('Player Raw Data'!E:E,Match($A176,'Player Raw Data'!$B:$B,0))),"")</f>
        <v/>
      </c>
      <c r="E176" s="27" t="str">
        <f>IFERROR(__xludf.DUMMYFUNCTION("IFERROR(ARRAY_CONSTRAIN(SPLIT(INDEX('Daily Raw Data'!G:G,Match($A176,'Daily Raw Data'!$B:$B,0)),"":""),1,1),"""")"),"")</f>
        <v/>
      </c>
      <c r="F176" t="str">
        <f t="array" ref="F176">IFERROR(INDEX('Daily Raw Data'!H:H,Match($A176,'Daily Raw Data'!$B:$B,0)),"")</f>
        <v/>
      </c>
      <c r="G176" t="str">
        <f t="array" ref="G176">IFERROR(INDEX('Daily Raw Data'!I:I,Match($A176,'Daily Raw Data'!$B:$B,0)),"")</f>
        <v/>
      </c>
      <c r="H176" t="str">
        <f t="array" ref="H176">IFERROR(INDEX('Daily Raw Data'!N:N,Match($A176,'Daily Raw Data'!$B:$B,0)),"")</f>
        <v/>
      </c>
      <c r="I176" t="str">
        <f t="array" ref="I176">IFERROR(INDEX('Daily Raw Data'!O:O,Match($A176,'Daily Raw Data'!$B:$B,0)),"")</f>
        <v/>
      </c>
      <c r="J176" t="str">
        <f t="array" ref="J176">IFERROR(INDEX('Daily Raw Data'!S:S,Match($A176,'Daily Raw Data'!$B:$B,0)),"")</f>
        <v/>
      </c>
      <c r="K176" t="str">
        <f t="array" ref="K176">IFERROR(INDEX('Daily Raw Data'!T:T,Match($A176,'Daily Raw Data'!$B:$B,0)),"")</f>
        <v/>
      </c>
      <c r="L176" t="str">
        <f t="array" ref="L176">IFERROR(INDEX('Daily Raw Data'!U:U,Match($A176,'Daily Raw Data'!$B:$B,0)),"")</f>
        <v/>
      </c>
      <c r="M176" t="str">
        <f t="array" ref="M176">IFERROR(INDEX('Daily Raw Data'!V:V,Match($A176,'Daily Raw Data'!$B:$B,0)),"")</f>
        <v/>
      </c>
      <c r="N176" t="str">
        <f t="array" ref="N176">IFERROR(INDEX('Daily Raw Data'!W:W,Match($A176,'Daily Raw Data'!$B:$B,0)),"")</f>
        <v/>
      </c>
      <c r="O176" t="str">
        <f t="array" ref="O176">IFERROR(INDEX('Daily Raw Data'!Y:Y,Match($A176,'Daily Raw Data'!$B:$B,0)),"")</f>
        <v/>
      </c>
      <c r="P176" t="str">
        <f t="shared" si="1"/>
        <v/>
      </c>
      <c r="Q176" s="14" t="str">
        <f t="shared" si="2"/>
        <v/>
      </c>
      <c r="R176" s="15" t="str">
        <f>IFERROR(__xludf.DUMMYFUNCTION("IF($A176="""","""", IFERROR(PERCENTRANK.INC(FILTER(P:P,$E:$E&lt;&gt;""""),P176)*100,""""))"),"")</f>
        <v/>
      </c>
      <c r="S176" s="15" t="str">
        <f>IFERROR(__xludf.DUMMYFUNCTION("IF($A176="""","""",IFERROR(PERCENTRANK.INC(FILTER(Q:Q,$E:$E&lt;&gt;""""),Q176)*100,""""))"),"")</f>
        <v/>
      </c>
    </row>
    <row r="177">
      <c r="B177" t="str">
        <f t="array" ref="B177">IFERROR(INDEX('Player Raw Data'!C:C,Match($A177,'Player Raw Data'!$B:$B,0)),"")</f>
        <v/>
      </c>
      <c r="C177" t="str">
        <f t="array" ref="C177">IFERROR(INDEX('Player Raw Data'!D:D,Match($A177,'Player Raw Data'!$B:$B,0)),"")</f>
        <v/>
      </c>
      <c r="D177" t="str">
        <f t="array" ref="D177">IFERROR(IF(A177=A176, INDEX('Player Raw Data'!E:E,Match($A177,'Player Raw Data'!$B:$B,0)+2),INDEX('Player Raw Data'!E:E,Match($A177,'Player Raw Data'!$B:$B,0))),"")</f>
        <v/>
      </c>
      <c r="E177" s="27" t="str">
        <f>IFERROR(__xludf.DUMMYFUNCTION("IFERROR(ARRAY_CONSTRAIN(SPLIT(INDEX('Daily Raw Data'!G:G,Match($A177,'Daily Raw Data'!$B:$B,0)),"":""),1,1),"""")"),"")</f>
        <v/>
      </c>
      <c r="F177" t="str">
        <f t="array" ref="F177">IFERROR(INDEX('Daily Raw Data'!H:H,Match($A177,'Daily Raw Data'!$B:$B,0)),"")</f>
        <v/>
      </c>
      <c r="G177" t="str">
        <f t="array" ref="G177">IFERROR(INDEX('Daily Raw Data'!I:I,Match($A177,'Daily Raw Data'!$B:$B,0)),"")</f>
        <v/>
      </c>
      <c r="H177" t="str">
        <f t="array" ref="H177">IFERROR(INDEX('Daily Raw Data'!N:N,Match($A177,'Daily Raw Data'!$B:$B,0)),"")</f>
        <v/>
      </c>
      <c r="I177" t="str">
        <f t="array" ref="I177">IFERROR(INDEX('Daily Raw Data'!O:O,Match($A177,'Daily Raw Data'!$B:$B,0)),"")</f>
        <v/>
      </c>
      <c r="J177" t="str">
        <f t="array" ref="J177">IFERROR(INDEX('Daily Raw Data'!S:S,Match($A177,'Daily Raw Data'!$B:$B,0)),"")</f>
        <v/>
      </c>
      <c r="K177" t="str">
        <f t="array" ref="K177">IFERROR(INDEX('Daily Raw Data'!T:T,Match($A177,'Daily Raw Data'!$B:$B,0)),"")</f>
        <v/>
      </c>
      <c r="L177" t="str">
        <f t="array" ref="L177">IFERROR(INDEX('Daily Raw Data'!U:U,Match($A177,'Daily Raw Data'!$B:$B,0)),"")</f>
        <v/>
      </c>
      <c r="M177" t="str">
        <f t="array" ref="M177">IFERROR(INDEX('Daily Raw Data'!V:V,Match($A177,'Daily Raw Data'!$B:$B,0)),"")</f>
        <v/>
      </c>
      <c r="N177" t="str">
        <f t="array" ref="N177">IFERROR(INDEX('Daily Raw Data'!W:W,Match($A177,'Daily Raw Data'!$B:$B,0)),"")</f>
        <v/>
      </c>
      <c r="O177" t="str">
        <f t="array" ref="O177">IFERROR(INDEX('Daily Raw Data'!Y:Y,Match($A177,'Daily Raw Data'!$B:$B,0)),"")</f>
        <v/>
      </c>
      <c r="P177" t="str">
        <f t="shared" si="1"/>
        <v/>
      </c>
      <c r="Q177" s="14" t="str">
        <f t="shared" si="2"/>
        <v/>
      </c>
      <c r="R177" s="15" t="str">
        <f>IFERROR(__xludf.DUMMYFUNCTION("IF($A177="""","""", IFERROR(PERCENTRANK.INC(FILTER(P:P,$E:$E&lt;&gt;""""),P177)*100,""""))"),"")</f>
        <v/>
      </c>
      <c r="S177" s="15" t="str">
        <f>IFERROR(__xludf.DUMMYFUNCTION("IF($A177="""","""",IFERROR(PERCENTRANK.INC(FILTER(Q:Q,$E:$E&lt;&gt;""""),Q177)*100,""""))"),"")</f>
        <v/>
      </c>
    </row>
    <row r="178">
      <c r="B178" t="str">
        <f t="array" ref="B178">IFERROR(INDEX('Player Raw Data'!C:C,Match($A178,'Player Raw Data'!$B:$B,0)),"")</f>
        <v/>
      </c>
      <c r="C178" t="str">
        <f t="array" ref="C178">IFERROR(INDEX('Player Raw Data'!D:D,Match($A178,'Player Raw Data'!$B:$B,0)),"")</f>
        <v/>
      </c>
      <c r="D178" t="str">
        <f t="array" ref="D178">IFERROR(IF(A178=A177, INDEX('Player Raw Data'!E:E,Match($A178,'Player Raw Data'!$B:$B,0)+2),INDEX('Player Raw Data'!E:E,Match($A178,'Player Raw Data'!$B:$B,0))),"")</f>
        <v/>
      </c>
      <c r="E178" s="27" t="str">
        <f>IFERROR(__xludf.DUMMYFUNCTION("IFERROR(ARRAY_CONSTRAIN(SPLIT(INDEX('Daily Raw Data'!G:G,Match($A178,'Daily Raw Data'!$B:$B,0)),"":""),1,1),"""")"),"")</f>
        <v/>
      </c>
      <c r="F178" t="str">
        <f t="array" ref="F178">IFERROR(INDEX('Daily Raw Data'!H:H,Match($A178,'Daily Raw Data'!$B:$B,0)),"")</f>
        <v/>
      </c>
      <c r="G178" t="str">
        <f t="array" ref="G178">IFERROR(INDEX('Daily Raw Data'!I:I,Match($A178,'Daily Raw Data'!$B:$B,0)),"")</f>
        <v/>
      </c>
      <c r="H178" t="str">
        <f t="array" ref="H178">IFERROR(INDEX('Daily Raw Data'!N:N,Match($A178,'Daily Raw Data'!$B:$B,0)),"")</f>
        <v/>
      </c>
      <c r="I178" t="str">
        <f t="array" ref="I178">IFERROR(INDEX('Daily Raw Data'!O:O,Match($A178,'Daily Raw Data'!$B:$B,0)),"")</f>
        <v/>
      </c>
      <c r="J178" t="str">
        <f t="array" ref="J178">IFERROR(INDEX('Daily Raw Data'!S:S,Match($A178,'Daily Raw Data'!$B:$B,0)),"")</f>
        <v/>
      </c>
      <c r="K178" t="str">
        <f t="array" ref="K178">IFERROR(INDEX('Daily Raw Data'!T:T,Match($A178,'Daily Raw Data'!$B:$B,0)),"")</f>
        <v/>
      </c>
      <c r="L178" t="str">
        <f t="array" ref="L178">IFERROR(INDEX('Daily Raw Data'!U:U,Match($A178,'Daily Raw Data'!$B:$B,0)),"")</f>
        <v/>
      </c>
      <c r="M178" t="str">
        <f t="array" ref="M178">IFERROR(INDEX('Daily Raw Data'!V:V,Match($A178,'Daily Raw Data'!$B:$B,0)),"")</f>
        <v/>
      </c>
      <c r="N178" t="str">
        <f t="array" ref="N178">IFERROR(INDEX('Daily Raw Data'!W:W,Match($A178,'Daily Raw Data'!$B:$B,0)),"")</f>
        <v/>
      </c>
      <c r="O178" t="str">
        <f t="array" ref="O178">IFERROR(INDEX('Daily Raw Data'!Y:Y,Match($A178,'Daily Raw Data'!$B:$B,0)),"")</f>
        <v/>
      </c>
      <c r="P178" t="str">
        <f t="shared" si="1"/>
        <v/>
      </c>
      <c r="Q178" s="14" t="str">
        <f t="shared" si="2"/>
        <v/>
      </c>
      <c r="R178" s="15" t="str">
        <f>IFERROR(__xludf.DUMMYFUNCTION("IF($A178="""","""", IFERROR(PERCENTRANK.INC(FILTER(P:P,$E:$E&lt;&gt;""""),P178)*100,""""))"),"")</f>
        <v/>
      </c>
      <c r="S178" s="15" t="str">
        <f>IFERROR(__xludf.DUMMYFUNCTION("IF($A178="""","""",IFERROR(PERCENTRANK.INC(FILTER(Q:Q,$E:$E&lt;&gt;""""),Q178)*100,""""))"),"")</f>
        <v/>
      </c>
    </row>
    <row r="179">
      <c r="B179" t="str">
        <f t="array" ref="B179">IFERROR(INDEX('Player Raw Data'!C:C,Match($A179,'Player Raw Data'!$B:$B,0)),"")</f>
        <v/>
      </c>
      <c r="C179" t="str">
        <f t="array" ref="C179">IFERROR(INDEX('Player Raw Data'!D:D,Match($A179,'Player Raw Data'!$B:$B,0)),"")</f>
        <v/>
      </c>
      <c r="D179" t="str">
        <f t="array" ref="D179">IFERROR(IF(A179=A178, INDEX('Player Raw Data'!E:E,Match($A179,'Player Raw Data'!$B:$B,0)+2),INDEX('Player Raw Data'!E:E,Match($A179,'Player Raw Data'!$B:$B,0))),"")</f>
        <v/>
      </c>
      <c r="E179" s="27" t="str">
        <f>IFERROR(__xludf.DUMMYFUNCTION("IFERROR(ARRAY_CONSTRAIN(SPLIT(INDEX('Daily Raw Data'!G:G,Match($A179,'Daily Raw Data'!$B:$B,0)),"":""),1,1),"""")"),"")</f>
        <v/>
      </c>
      <c r="F179" t="str">
        <f t="array" ref="F179">IFERROR(INDEX('Daily Raw Data'!H:H,Match($A179,'Daily Raw Data'!$B:$B,0)),"")</f>
        <v/>
      </c>
      <c r="G179" t="str">
        <f t="array" ref="G179">IFERROR(INDEX('Daily Raw Data'!I:I,Match($A179,'Daily Raw Data'!$B:$B,0)),"")</f>
        <v/>
      </c>
      <c r="H179" t="str">
        <f t="array" ref="H179">IFERROR(INDEX('Daily Raw Data'!N:N,Match($A179,'Daily Raw Data'!$B:$B,0)),"")</f>
        <v/>
      </c>
      <c r="I179" t="str">
        <f t="array" ref="I179">IFERROR(INDEX('Daily Raw Data'!O:O,Match($A179,'Daily Raw Data'!$B:$B,0)),"")</f>
        <v/>
      </c>
      <c r="J179" t="str">
        <f t="array" ref="J179">IFERROR(INDEX('Daily Raw Data'!S:S,Match($A179,'Daily Raw Data'!$B:$B,0)),"")</f>
        <v/>
      </c>
      <c r="K179" t="str">
        <f t="array" ref="K179">IFERROR(INDEX('Daily Raw Data'!T:T,Match($A179,'Daily Raw Data'!$B:$B,0)),"")</f>
        <v/>
      </c>
      <c r="L179" t="str">
        <f t="array" ref="L179">IFERROR(INDEX('Daily Raw Data'!U:U,Match($A179,'Daily Raw Data'!$B:$B,0)),"")</f>
        <v/>
      </c>
      <c r="M179" t="str">
        <f t="array" ref="M179">IFERROR(INDEX('Daily Raw Data'!V:V,Match($A179,'Daily Raw Data'!$B:$B,0)),"")</f>
        <v/>
      </c>
      <c r="N179" t="str">
        <f t="array" ref="N179">IFERROR(INDEX('Daily Raw Data'!W:W,Match($A179,'Daily Raw Data'!$B:$B,0)),"")</f>
        <v/>
      </c>
      <c r="O179" t="str">
        <f t="array" ref="O179">IFERROR(INDEX('Daily Raw Data'!Y:Y,Match($A179,'Daily Raw Data'!$B:$B,0)),"")</f>
        <v/>
      </c>
      <c r="P179" t="str">
        <f t="shared" si="1"/>
        <v/>
      </c>
      <c r="Q179" s="14" t="str">
        <f t="shared" si="2"/>
        <v/>
      </c>
      <c r="R179" s="15" t="str">
        <f>IFERROR(__xludf.DUMMYFUNCTION("IF($A179="""","""", IFERROR(PERCENTRANK.INC(FILTER(P:P,$E:$E&lt;&gt;""""),P179)*100,""""))"),"")</f>
        <v/>
      </c>
      <c r="S179" s="15" t="str">
        <f>IFERROR(__xludf.DUMMYFUNCTION("IF($A179="""","""",IFERROR(PERCENTRANK.INC(FILTER(Q:Q,$E:$E&lt;&gt;""""),Q179)*100,""""))"),"")</f>
        <v/>
      </c>
    </row>
    <row r="180">
      <c r="B180" t="str">
        <f t="array" ref="B180">IFERROR(INDEX('Player Raw Data'!C:C,Match($A180,'Player Raw Data'!$B:$B,0)),"")</f>
        <v/>
      </c>
      <c r="C180" t="str">
        <f t="array" ref="C180">IFERROR(INDEX('Player Raw Data'!D:D,Match($A180,'Player Raw Data'!$B:$B,0)),"")</f>
        <v/>
      </c>
      <c r="D180" t="str">
        <f t="array" ref="D180">IFERROR(IF(A180=A179, INDEX('Player Raw Data'!E:E,Match($A180,'Player Raw Data'!$B:$B,0)+2),INDEX('Player Raw Data'!E:E,Match($A180,'Player Raw Data'!$B:$B,0))),"")</f>
        <v/>
      </c>
      <c r="E180" s="27" t="str">
        <f>IFERROR(__xludf.DUMMYFUNCTION("IFERROR(ARRAY_CONSTRAIN(SPLIT(INDEX('Daily Raw Data'!G:G,Match($A180,'Daily Raw Data'!$B:$B,0)),"":""),1,1),"""")"),"")</f>
        <v/>
      </c>
      <c r="F180" t="str">
        <f t="array" ref="F180">IFERROR(INDEX('Daily Raw Data'!H:H,Match($A180,'Daily Raw Data'!$B:$B,0)),"")</f>
        <v/>
      </c>
      <c r="G180" t="str">
        <f t="array" ref="G180">IFERROR(INDEX('Daily Raw Data'!I:I,Match($A180,'Daily Raw Data'!$B:$B,0)),"")</f>
        <v/>
      </c>
      <c r="H180" t="str">
        <f t="array" ref="H180">IFERROR(INDEX('Daily Raw Data'!N:N,Match($A180,'Daily Raw Data'!$B:$B,0)),"")</f>
        <v/>
      </c>
      <c r="I180" t="str">
        <f t="array" ref="I180">IFERROR(INDEX('Daily Raw Data'!O:O,Match($A180,'Daily Raw Data'!$B:$B,0)),"")</f>
        <v/>
      </c>
      <c r="J180" t="str">
        <f t="array" ref="J180">IFERROR(INDEX('Daily Raw Data'!S:S,Match($A180,'Daily Raw Data'!$B:$B,0)),"")</f>
        <v/>
      </c>
      <c r="K180" t="str">
        <f t="array" ref="K180">IFERROR(INDEX('Daily Raw Data'!T:T,Match($A180,'Daily Raw Data'!$B:$B,0)),"")</f>
        <v/>
      </c>
      <c r="L180" t="str">
        <f t="array" ref="L180">IFERROR(INDEX('Daily Raw Data'!U:U,Match($A180,'Daily Raw Data'!$B:$B,0)),"")</f>
        <v/>
      </c>
      <c r="M180" t="str">
        <f t="array" ref="M180">IFERROR(INDEX('Daily Raw Data'!V:V,Match($A180,'Daily Raw Data'!$B:$B,0)),"")</f>
        <v/>
      </c>
      <c r="N180" t="str">
        <f t="array" ref="N180">IFERROR(INDEX('Daily Raw Data'!W:W,Match($A180,'Daily Raw Data'!$B:$B,0)),"")</f>
        <v/>
      </c>
      <c r="O180" t="str">
        <f t="array" ref="O180">IFERROR(INDEX('Daily Raw Data'!Y:Y,Match($A180,'Daily Raw Data'!$B:$B,0)),"")</f>
        <v/>
      </c>
      <c r="P180" t="str">
        <f t="shared" si="1"/>
        <v/>
      </c>
      <c r="Q180" s="14" t="str">
        <f t="shared" si="2"/>
        <v/>
      </c>
      <c r="R180" s="15" t="str">
        <f>IFERROR(__xludf.DUMMYFUNCTION("IF($A180="""","""", IFERROR(PERCENTRANK.INC(FILTER(P:P,$E:$E&lt;&gt;""""),P180)*100,""""))"),"")</f>
        <v/>
      </c>
      <c r="S180" s="15" t="str">
        <f>IFERROR(__xludf.DUMMYFUNCTION("IF($A180="""","""",IFERROR(PERCENTRANK.INC(FILTER(Q:Q,$E:$E&lt;&gt;""""),Q180)*100,""""))"),"")</f>
        <v/>
      </c>
    </row>
    <row r="181">
      <c r="B181" t="str">
        <f t="array" ref="B181">IFERROR(INDEX('Player Raw Data'!C:C,Match($A181,'Player Raw Data'!$B:$B,0)),"")</f>
        <v/>
      </c>
      <c r="C181" t="str">
        <f t="array" ref="C181">IFERROR(INDEX('Player Raw Data'!D:D,Match($A181,'Player Raw Data'!$B:$B,0)),"")</f>
        <v/>
      </c>
      <c r="D181" t="str">
        <f t="array" ref="D181">IFERROR(IF(A181=A180, INDEX('Player Raw Data'!E:E,Match($A181,'Player Raw Data'!$B:$B,0)+2),INDEX('Player Raw Data'!E:E,Match($A181,'Player Raw Data'!$B:$B,0))),"")</f>
        <v/>
      </c>
      <c r="E181" s="27" t="str">
        <f>IFERROR(__xludf.DUMMYFUNCTION("IFERROR(ARRAY_CONSTRAIN(SPLIT(INDEX('Daily Raw Data'!G:G,Match($A181,'Daily Raw Data'!$B:$B,0)),"":""),1,1),"""")"),"")</f>
        <v/>
      </c>
      <c r="F181" t="str">
        <f t="array" ref="F181">IFERROR(INDEX('Daily Raw Data'!H:H,Match($A181,'Daily Raw Data'!$B:$B,0)),"")</f>
        <v/>
      </c>
      <c r="G181" t="str">
        <f t="array" ref="G181">IFERROR(INDEX('Daily Raw Data'!I:I,Match($A181,'Daily Raw Data'!$B:$B,0)),"")</f>
        <v/>
      </c>
      <c r="H181" t="str">
        <f t="array" ref="H181">IFERROR(INDEX('Daily Raw Data'!N:N,Match($A181,'Daily Raw Data'!$B:$B,0)),"")</f>
        <v/>
      </c>
      <c r="I181" t="str">
        <f t="array" ref="I181">IFERROR(INDEX('Daily Raw Data'!O:O,Match($A181,'Daily Raw Data'!$B:$B,0)),"")</f>
        <v/>
      </c>
      <c r="J181" t="str">
        <f t="array" ref="J181">IFERROR(INDEX('Daily Raw Data'!S:S,Match($A181,'Daily Raw Data'!$B:$B,0)),"")</f>
        <v/>
      </c>
      <c r="K181" t="str">
        <f t="array" ref="K181">IFERROR(INDEX('Daily Raw Data'!T:T,Match($A181,'Daily Raw Data'!$B:$B,0)),"")</f>
        <v/>
      </c>
      <c r="L181" t="str">
        <f t="array" ref="L181">IFERROR(INDEX('Daily Raw Data'!U:U,Match($A181,'Daily Raw Data'!$B:$B,0)),"")</f>
        <v/>
      </c>
      <c r="M181" t="str">
        <f t="array" ref="M181">IFERROR(INDEX('Daily Raw Data'!V:V,Match($A181,'Daily Raw Data'!$B:$B,0)),"")</f>
        <v/>
      </c>
      <c r="N181" t="str">
        <f t="array" ref="N181">IFERROR(INDEX('Daily Raw Data'!W:W,Match($A181,'Daily Raw Data'!$B:$B,0)),"")</f>
        <v/>
      </c>
      <c r="O181" t="str">
        <f t="array" ref="O181">IFERROR(INDEX('Daily Raw Data'!Y:Y,Match($A181,'Daily Raw Data'!$B:$B,0)),"")</f>
        <v/>
      </c>
      <c r="P181" t="str">
        <f t="shared" si="1"/>
        <v/>
      </c>
      <c r="Q181" s="14" t="str">
        <f t="shared" si="2"/>
        <v/>
      </c>
      <c r="R181" s="15" t="str">
        <f>IFERROR(__xludf.DUMMYFUNCTION("IF($A181="""","""", IFERROR(PERCENTRANK.INC(FILTER(P:P,$E:$E&lt;&gt;""""),P181)*100,""""))"),"")</f>
        <v/>
      </c>
      <c r="S181" s="15" t="str">
        <f>IFERROR(__xludf.DUMMYFUNCTION("IF($A181="""","""",IFERROR(PERCENTRANK.INC(FILTER(Q:Q,$E:$E&lt;&gt;""""),Q181)*100,""""))"),"")</f>
        <v/>
      </c>
    </row>
    <row r="182">
      <c r="B182" t="str">
        <f t="array" ref="B182">IFERROR(INDEX('Player Raw Data'!C:C,Match($A182,'Player Raw Data'!$B:$B,0)),"")</f>
        <v/>
      </c>
      <c r="C182" t="str">
        <f t="array" ref="C182">IFERROR(INDEX('Player Raw Data'!D:D,Match($A182,'Player Raw Data'!$B:$B,0)),"")</f>
        <v/>
      </c>
      <c r="D182" t="str">
        <f t="array" ref="D182">IFERROR(IF(A182=A181, INDEX('Player Raw Data'!E:E,Match($A182,'Player Raw Data'!$B:$B,0)+2),INDEX('Player Raw Data'!E:E,Match($A182,'Player Raw Data'!$B:$B,0))),"")</f>
        <v/>
      </c>
      <c r="E182" s="27" t="str">
        <f>IFERROR(__xludf.DUMMYFUNCTION("IFERROR(ARRAY_CONSTRAIN(SPLIT(INDEX('Daily Raw Data'!G:G,Match($A182,'Daily Raw Data'!$B:$B,0)),"":""),1,1),"""")"),"")</f>
        <v/>
      </c>
      <c r="F182" t="str">
        <f t="array" ref="F182">IFERROR(INDEX('Daily Raw Data'!H:H,Match($A182,'Daily Raw Data'!$B:$B,0)),"")</f>
        <v/>
      </c>
      <c r="G182" t="str">
        <f t="array" ref="G182">IFERROR(INDEX('Daily Raw Data'!I:I,Match($A182,'Daily Raw Data'!$B:$B,0)),"")</f>
        <v/>
      </c>
      <c r="H182" t="str">
        <f t="array" ref="H182">IFERROR(INDEX('Daily Raw Data'!N:N,Match($A182,'Daily Raw Data'!$B:$B,0)),"")</f>
        <v/>
      </c>
      <c r="I182" t="str">
        <f t="array" ref="I182">IFERROR(INDEX('Daily Raw Data'!O:O,Match($A182,'Daily Raw Data'!$B:$B,0)),"")</f>
        <v/>
      </c>
      <c r="J182" t="str">
        <f t="array" ref="J182">IFERROR(INDEX('Daily Raw Data'!S:S,Match($A182,'Daily Raw Data'!$B:$B,0)),"")</f>
        <v/>
      </c>
      <c r="K182" t="str">
        <f t="array" ref="K182">IFERROR(INDEX('Daily Raw Data'!T:T,Match($A182,'Daily Raw Data'!$B:$B,0)),"")</f>
        <v/>
      </c>
      <c r="L182" t="str">
        <f t="array" ref="L182">IFERROR(INDEX('Daily Raw Data'!U:U,Match($A182,'Daily Raw Data'!$B:$B,0)),"")</f>
        <v/>
      </c>
      <c r="M182" t="str">
        <f t="array" ref="M182">IFERROR(INDEX('Daily Raw Data'!V:V,Match($A182,'Daily Raw Data'!$B:$B,0)),"")</f>
        <v/>
      </c>
      <c r="N182" t="str">
        <f t="array" ref="N182">IFERROR(INDEX('Daily Raw Data'!W:W,Match($A182,'Daily Raw Data'!$B:$B,0)),"")</f>
        <v/>
      </c>
      <c r="O182" t="str">
        <f t="array" ref="O182">IFERROR(INDEX('Daily Raw Data'!Y:Y,Match($A182,'Daily Raw Data'!$B:$B,0)),"")</f>
        <v/>
      </c>
      <c r="P182" t="str">
        <f t="shared" si="1"/>
        <v/>
      </c>
      <c r="Q182" s="14" t="str">
        <f t="shared" si="2"/>
        <v/>
      </c>
      <c r="R182" s="15" t="str">
        <f>IFERROR(__xludf.DUMMYFUNCTION("IF($A182="""","""", IFERROR(PERCENTRANK.INC(FILTER(P:P,$E:$E&lt;&gt;""""),P182)*100,""""))"),"")</f>
        <v/>
      </c>
      <c r="S182" s="15" t="str">
        <f>IFERROR(__xludf.DUMMYFUNCTION("IF($A182="""","""",IFERROR(PERCENTRANK.INC(FILTER(Q:Q,$E:$E&lt;&gt;""""),Q182)*100,""""))"),"")</f>
        <v/>
      </c>
    </row>
    <row r="183">
      <c r="B183" t="str">
        <f t="array" ref="B183">IFERROR(INDEX('Player Raw Data'!C:C,Match($A183,'Player Raw Data'!$B:$B,0)),"")</f>
        <v/>
      </c>
      <c r="C183" t="str">
        <f t="array" ref="C183">IFERROR(INDEX('Player Raw Data'!D:D,Match($A183,'Player Raw Data'!$B:$B,0)),"")</f>
        <v/>
      </c>
      <c r="D183" t="str">
        <f t="array" ref="D183">IFERROR(IF(A183=A182, INDEX('Player Raw Data'!E:E,Match($A183,'Player Raw Data'!$B:$B,0)+2),INDEX('Player Raw Data'!E:E,Match($A183,'Player Raw Data'!$B:$B,0))),"")</f>
        <v/>
      </c>
      <c r="E183" s="27" t="str">
        <f>IFERROR(__xludf.DUMMYFUNCTION("IFERROR(ARRAY_CONSTRAIN(SPLIT(INDEX('Daily Raw Data'!G:G,Match($A183,'Daily Raw Data'!$B:$B,0)),"":""),1,1),"""")"),"")</f>
        <v/>
      </c>
      <c r="F183" t="str">
        <f t="array" ref="F183">IFERROR(INDEX('Daily Raw Data'!H:H,Match($A183,'Daily Raw Data'!$B:$B,0)),"")</f>
        <v/>
      </c>
      <c r="G183" t="str">
        <f t="array" ref="G183">IFERROR(INDEX('Daily Raw Data'!I:I,Match($A183,'Daily Raw Data'!$B:$B,0)),"")</f>
        <v/>
      </c>
      <c r="H183" t="str">
        <f t="array" ref="H183">IFERROR(INDEX('Daily Raw Data'!N:N,Match($A183,'Daily Raw Data'!$B:$B,0)),"")</f>
        <v/>
      </c>
      <c r="I183" t="str">
        <f t="array" ref="I183">IFERROR(INDEX('Daily Raw Data'!O:O,Match($A183,'Daily Raw Data'!$B:$B,0)),"")</f>
        <v/>
      </c>
      <c r="J183" t="str">
        <f t="array" ref="J183">IFERROR(INDEX('Daily Raw Data'!S:S,Match($A183,'Daily Raw Data'!$B:$B,0)),"")</f>
        <v/>
      </c>
      <c r="K183" t="str">
        <f t="array" ref="K183">IFERROR(INDEX('Daily Raw Data'!T:T,Match($A183,'Daily Raw Data'!$B:$B,0)),"")</f>
        <v/>
      </c>
      <c r="L183" t="str">
        <f t="array" ref="L183">IFERROR(INDEX('Daily Raw Data'!U:U,Match($A183,'Daily Raw Data'!$B:$B,0)),"")</f>
        <v/>
      </c>
      <c r="M183" t="str">
        <f t="array" ref="M183">IFERROR(INDEX('Daily Raw Data'!V:V,Match($A183,'Daily Raw Data'!$B:$B,0)),"")</f>
        <v/>
      </c>
      <c r="N183" t="str">
        <f t="array" ref="N183">IFERROR(INDEX('Daily Raw Data'!W:W,Match($A183,'Daily Raw Data'!$B:$B,0)),"")</f>
        <v/>
      </c>
      <c r="O183" t="str">
        <f t="array" ref="O183">IFERROR(INDEX('Daily Raw Data'!Y:Y,Match($A183,'Daily Raw Data'!$B:$B,0)),"")</f>
        <v/>
      </c>
      <c r="P183" t="str">
        <f t="shared" si="1"/>
        <v/>
      </c>
      <c r="Q183" s="14" t="str">
        <f t="shared" si="2"/>
        <v/>
      </c>
      <c r="R183" s="15" t="str">
        <f>IFERROR(__xludf.DUMMYFUNCTION("IF($A183="""","""", IFERROR(PERCENTRANK.INC(FILTER(P:P,$E:$E&lt;&gt;""""),P183)*100,""""))"),"")</f>
        <v/>
      </c>
      <c r="S183" s="15" t="str">
        <f>IFERROR(__xludf.DUMMYFUNCTION("IF($A183="""","""",IFERROR(PERCENTRANK.INC(FILTER(Q:Q,$E:$E&lt;&gt;""""),Q183)*100,""""))"),"")</f>
        <v/>
      </c>
    </row>
    <row r="184">
      <c r="B184" t="str">
        <f t="array" ref="B184">IFERROR(INDEX('Player Raw Data'!C:C,Match($A184,'Player Raw Data'!$B:$B,0)),"")</f>
        <v/>
      </c>
      <c r="C184" t="str">
        <f t="array" ref="C184">IFERROR(INDEX('Player Raw Data'!D:D,Match($A184,'Player Raw Data'!$B:$B,0)),"")</f>
        <v/>
      </c>
      <c r="D184" t="str">
        <f t="array" ref="D184">IFERROR(IF(A184=A183, INDEX('Player Raw Data'!E:E,Match($A184,'Player Raw Data'!$B:$B,0)+2),INDEX('Player Raw Data'!E:E,Match($A184,'Player Raw Data'!$B:$B,0))),"")</f>
        <v/>
      </c>
      <c r="E184" s="27" t="str">
        <f>IFERROR(__xludf.DUMMYFUNCTION("IFERROR(ARRAY_CONSTRAIN(SPLIT(INDEX('Daily Raw Data'!G:G,Match($A184,'Daily Raw Data'!$B:$B,0)),"":""),1,1),"""")"),"")</f>
        <v/>
      </c>
      <c r="F184" t="str">
        <f t="array" ref="F184">IFERROR(INDEX('Daily Raw Data'!H:H,Match($A184,'Daily Raw Data'!$B:$B,0)),"")</f>
        <v/>
      </c>
      <c r="G184" t="str">
        <f t="array" ref="G184">IFERROR(INDEX('Daily Raw Data'!I:I,Match($A184,'Daily Raw Data'!$B:$B,0)),"")</f>
        <v/>
      </c>
      <c r="H184" t="str">
        <f t="array" ref="H184">IFERROR(INDEX('Daily Raw Data'!N:N,Match($A184,'Daily Raw Data'!$B:$B,0)),"")</f>
        <v/>
      </c>
      <c r="I184" t="str">
        <f t="array" ref="I184">IFERROR(INDEX('Daily Raw Data'!O:O,Match($A184,'Daily Raw Data'!$B:$B,0)),"")</f>
        <v/>
      </c>
      <c r="J184" t="str">
        <f t="array" ref="J184">IFERROR(INDEX('Daily Raw Data'!S:S,Match($A184,'Daily Raw Data'!$B:$B,0)),"")</f>
        <v/>
      </c>
      <c r="K184" t="str">
        <f t="array" ref="K184">IFERROR(INDEX('Daily Raw Data'!T:T,Match($A184,'Daily Raw Data'!$B:$B,0)),"")</f>
        <v/>
      </c>
      <c r="L184" t="str">
        <f t="array" ref="L184">IFERROR(INDEX('Daily Raw Data'!U:U,Match($A184,'Daily Raw Data'!$B:$B,0)),"")</f>
        <v/>
      </c>
      <c r="M184" t="str">
        <f t="array" ref="M184">IFERROR(INDEX('Daily Raw Data'!V:V,Match($A184,'Daily Raw Data'!$B:$B,0)),"")</f>
        <v/>
      </c>
      <c r="N184" t="str">
        <f t="array" ref="N184">IFERROR(INDEX('Daily Raw Data'!W:W,Match($A184,'Daily Raw Data'!$B:$B,0)),"")</f>
        <v/>
      </c>
      <c r="O184" t="str">
        <f t="array" ref="O184">IFERROR(INDEX('Daily Raw Data'!Y:Y,Match($A184,'Daily Raw Data'!$B:$B,0)),"")</f>
        <v/>
      </c>
      <c r="P184" t="str">
        <f t="shared" si="1"/>
        <v/>
      </c>
      <c r="Q184" s="14" t="str">
        <f t="shared" si="2"/>
        <v/>
      </c>
      <c r="R184" s="15" t="str">
        <f>IFERROR(__xludf.DUMMYFUNCTION("IF($A184="""","""", IFERROR(PERCENTRANK.INC(FILTER(P:P,$E:$E&lt;&gt;""""),P184)*100,""""))"),"")</f>
        <v/>
      </c>
      <c r="S184" s="15" t="str">
        <f>IFERROR(__xludf.DUMMYFUNCTION("IF($A184="""","""",IFERROR(PERCENTRANK.INC(FILTER(Q:Q,$E:$E&lt;&gt;""""),Q184)*100,""""))"),"")</f>
        <v/>
      </c>
    </row>
    <row r="185">
      <c r="B185" t="str">
        <f t="array" ref="B185">IFERROR(INDEX('Player Raw Data'!C:C,Match($A185,'Player Raw Data'!$B:$B,0)),"")</f>
        <v/>
      </c>
      <c r="C185" t="str">
        <f t="array" ref="C185">IFERROR(INDEX('Player Raw Data'!D:D,Match($A185,'Player Raw Data'!$B:$B,0)),"")</f>
        <v/>
      </c>
      <c r="D185" t="str">
        <f t="array" ref="D185">IFERROR(IF(A185=A184, INDEX('Player Raw Data'!E:E,Match($A185,'Player Raw Data'!$B:$B,0)+2),INDEX('Player Raw Data'!E:E,Match($A185,'Player Raw Data'!$B:$B,0))),"")</f>
        <v/>
      </c>
      <c r="E185" s="27" t="str">
        <f>IFERROR(__xludf.DUMMYFUNCTION("IFERROR(ARRAY_CONSTRAIN(SPLIT(INDEX('Daily Raw Data'!G:G,Match($A185,'Daily Raw Data'!$B:$B,0)),"":""),1,1),"""")"),"")</f>
        <v/>
      </c>
      <c r="F185" t="str">
        <f t="array" ref="F185">IFERROR(INDEX('Daily Raw Data'!H:H,Match($A185,'Daily Raw Data'!$B:$B,0)),"")</f>
        <v/>
      </c>
      <c r="G185" t="str">
        <f t="array" ref="G185">IFERROR(INDEX('Daily Raw Data'!I:I,Match($A185,'Daily Raw Data'!$B:$B,0)),"")</f>
        <v/>
      </c>
      <c r="H185" t="str">
        <f t="array" ref="H185">IFERROR(INDEX('Daily Raw Data'!N:N,Match($A185,'Daily Raw Data'!$B:$B,0)),"")</f>
        <v/>
      </c>
      <c r="I185" t="str">
        <f t="array" ref="I185">IFERROR(INDEX('Daily Raw Data'!O:O,Match($A185,'Daily Raw Data'!$B:$B,0)),"")</f>
        <v/>
      </c>
      <c r="J185" t="str">
        <f t="array" ref="J185">IFERROR(INDEX('Daily Raw Data'!S:S,Match($A185,'Daily Raw Data'!$B:$B,0)),"")</f>
        <v/>
      </c>
      <c r="K185" t="str">
        <f t="array" ref="K185">IFERROR(INDEX('Daily Raw Data'!T:T,Match($A185,'Daily Raw Data'!$B:$B,0)),"")</f>
        <v/>
      </c>
      <c r="L185" t="str">
        <f t="array" ref="L185">IFERROR(INDEX('Daily Raw Data'!U:U,Match($A185,'Daily Raw Data'!$B:$B,0)),"")</f>
        <v/>
      </c>
      <c r="M185" t="str">
        <f t="array" ref="M185">IFERROR(INDEX('Daily Raw Data'!V:V,Match($A185,'Daily Raw Data'!$B:$B,0)),"")</f>
        <v/>
      </c>
      <c r="N185" t="str">
        <f t="array" ref="N185">IFERROR(INDEX('Daily Raw Data'!W:W,Match($A185,'Daily Raw Data'!$B:$B,0)),"")</f>
        <v/>
      </c>
      <c r="O185" t="str">
        <f t="array" ref="O185">IFERROR(INDEX('Daily Raw Data'!Y:Y,Match($A185,'Daily Raw Data'!$B:$B,0)),"")</f>
        <v/>
      </c>
      <c r="P185" t="str">
        <f t="shared" si="1"/>
        <v/>
      </c>
      <c r="Q185" s="14" t="str">
        <f t="shared" si="2"/>
        <v/>
      </c>
      <c r="R185" s="15" t="str">
        <f>IFERROR(__xludf.DUMMYFUNCTION("IF($A185="""","""", IFERROR(PERCENTRANK.INC(FILTER(P:P,$E:$E&lt;&gt;""""),P185)*100,""""))"),"")</f>
        <v/>
      </c>
      <c r="S185" s="15" t="str">
        <f>IFERROR(__xludf.DUMMYFUNCTION("IF($A185="""","""",IFERROR(PERCENTRANK.INC(FILTER(Q:Q,$E:$E&lt;&gt;""""),Q185)*100,""""))"),"")</f>
        <v/>
      </c>
    </row>
    <row r="186">
      <c r="B186" t="str">
        <f t="array" ref="B186">IFERROR(INDEX('Player Raw Data'!C:C,Match($A186,'Player Raw Data'!$B:$B,0)),"")</f>
        <v/>
      </c>
      <c r="C186" t="str">
        <f t="array" ref="C186">IFERROR(INDEX('Player Raw Data'!D:D,Match($A186,'Player Raw Data'!$B:$B,0)),"")</f>
        <v/>
      </c>
      <c r="D186" t="str">
        <f t="array" ref="D186">IFERROR(IF(A186=A185, INDEX('Player Raw Data'!E:E,Match($A186,'Player Raw Data'!$B:$B,0)+2),INDEX('Player Raw Data'!E:E,Match($A186,'Player Raw Data'!$B:$B,0))),"")</f>
        <v/>
      </c>
      <c r="E186" s="27" t="str">
        <f>IFERROR(__xludf.DUMMYFUNCTION("IFERROR(ARRAY_CONSTRAIN(SPLIT(INDEX('Daily Raw Data'!G:G,Match($A186,'Daily Raw Data'!$B:$B,0)),"":""),1,1),"""")"),"")</f>
        <v/>
      </c>
      <c r="F186" t="str">
        <f t="array" ref="F186">IFERROR(INDEX('Daily Raw Data'!H:H,Match($A186,'Daily Raw Data'!$B:$B,0)),"")</f>
        <v/>
      </c>
      <c r="G186" t="str">
        <f t="array" ref="G186">IFERROR(INDEX('Daily Raw Data'!I:I,Match($A186,'Daily Raw Data'!$B:$B,0)),"")</f>
        <v/>
      </c>
      <c r="H186" t="str">
        <f t="array" ref="H186">IFERROR(INDEX('Daily Raw Data'!N:N,Match($A186,'Daily Raw Data'!$B:$B,0)),"")</f>
        <v/>
      </c>
      <c r="I186" t="str">
        <f t="array" ref="I186">IFERROR(INDEX('Daily Raw Data'!O:O,Match($A186,'Daily Raw Data'!$B:$B,0)),"")</f>
        <v/>
      </c>
      <c r="J186" t="str">
        <f t="array" ref="J186">IFERROR(INDEX('Daily Raw Data'!S:S,Match($A186,'Daily Raw Data'!$B:$B,0)),"")</f>
        <v/>
      </c>
      <c r="K186" t="str">
        <f t="array" ref="K186">IFERROR(INDEX('Daily Raw Data'!T:T,Match($A186,'Daily Raw Data'!$B:$B,0)),"")</f>
        <v/>
      </c>
      <c r="L186" t="str">
        <f t="array" ref="L186">IFERROR(INDEX('Daily Raw Data'!U:U,Match($A186,'Daily Raw Data'!$B:$B,0)),"")</f>
        <v/>
      </c>
      <c r="M186" t="str">
        <f t="array" ref="M186">IFERROR(INDEX('Daily Raw Data'!V:V,Match($A186,'Daily Raw Data'!$B:$B,0)),"")</f>
        <v/>
      </c>
      <c r="N186" t="str">
        <f t="array" ref="N186">IFERROR(INDEX('Daily Raw Data'!W:W,Match($A186,'Daily Raw Data'!$B:$B,0)),"")</f>
        <v/>
      </c>
      <c r="O186" t="str">
        <f t="array" ref="O186">IFERROR(INDEX('Daily Raw Data'!Y:Y,Match($A186,'Daily Raw Data'!$B:$B,0)),"")</f>
        <v/>
      </c>
      <c r="P186" t="str">
        <f t="shared" si="1"/>
        <v/>
      </c>
      <c r="Q186" s="14" t="str">
        <f t="shared" si="2"/>
        <v/>
      </c>
      <c r="R186" s="15" t="str">
        <f>IFERROR(__xludf.DUMMYFUNCTION("IF($A186="""","""", IFERROR(PERCENTRANK.INC(FILTER(P:P,$E:$E&lt;&gt;""""),P186)*100,""""))"),"")</f>
        <v/>
      </c>
      <c r="S186" s="15" t="str">
        <f>IFERROR(__xludf.DUMMYFUNCTION("IF($A186="""","""",IFERROR(PERCENTRANK.INC(FILTER(Q:Q,$E:$E&lt;&gt;""""),Q186)*100,""""))"),"")</f>
        <v/>
      </c>
    </row>
    <row r="187">
      <c r="B187" t="str">
        <f t="array" ref="B187">IFERROR(INDEX('Player Raw Data'!C:C,Match($A187,'Player Raw Data'!$B:$B,0)),"")</f>
        <v/>
      </c>
      <c r="C187" t="str">
        <f t="array" ref="C187">IFERROR(INDEX('Player Raw Data'!D:D,Match($A187,'Player Raw Data'!$B:$B,0)),"")</f>
        <v/>
      </c>
      <c r="D187" t="str">
        <f t="array" ref="D187">IFERROR(IF(A187=A186, INDEX('Player Raw Data'!E:E,Match($A187,'Player Raw Data'!$B:$B,0)+2),INDEX('Player Raw Data'!E:E,Match($A187,'Player Raw Data'!$B:$B,0))),"")</f>
        <v/>
      </c>
      <c r="E187" s="27" t="str">
        <f>IFERROR(__xludf.DUMMYFUNCTION("IFERROR(ARRAY_CONSTRAIN(SPLIT(INDEX('Daily Raw Data'!G:G,Match($A187,'Daily Raw Data'!$B:$B,0)),"":""),1,1),"""")"),"")</f>
        <v/>
      </c>
      <c r="F187" t="str">
        <f t="array" ref="F187">IFERROR(INDEX('Daily Raw Data'!H:H,Match($A187,'Daily Raw Data'!$B:$B,0)),"")</f>
        <v/>
      </c>
      <c r="G187" t="str">
        <f t="array" ref="G187">IFERROR(INDEX('Daily Raw Data'!I:I,Match($A187,'Daily Raw Data'!$B:$B,0)),"")</f>
        <v/>
      </c>
      <c r="H187" t="str">
        <f t="array" ref="H187">IFERROR(INDEX('Daily Raw Data'!N:N,Match($A187,'Daily Raw Data'!$B:$B,0)),"")</f>
        <v/>
      </c>
      <c r="I187" t="str">
        <f t="array" ref="I187">IFERROR(INDEX('Daily Raw Data'!O:O,Match($A187,'Daily Raw Data'!$B:$B,0)),"")</f>
        <v/>
      </c>
      <c r="J187" t="str">
        <f t="array" ref="J187">IFERROR(INDEX('Daily Raw Data'!S:S,Match($A187,'Daily Raw Data'!$B:$B,0)),"")</f>
        <v/>
      </c>
      <c r="K187" t="str">
        <f t="array" ref="K187">IFERROR(INDEX('Daily Raw Data'!T:T,Match($A187,'Daily Raw Data'!$B:$B,0)),"")</f>
        <v/>
      </c>
      <c r="L187" t="str">
        <f t="array" ref="L187">IFERROR(INDEX('Daily Raw Data'!U:U,Match($A187,'Daily Raw Data'!$B:$B,0)),"")</f>
        <v/>
      </c>
      <c r="M187" t="str">
        <f t="array" ref="M187">IFERROR(INDEX('Daily Raw Data'!V:V,Match($A187,'Daily Raw Data'!$B:$B,0)),"")</f>
        <v/>
      </c>
      <c r="N187" t="str">
        <f t="array" ref="N187">IFERROR(INDEX('Daily Raw Data'!W:W,Match($A187,'Daily Raw Data'!$B:$B,0)),"")</f>
        <v/>
      </c>
      <c r="O187" t="str">
        <f t="array" ref="O187">IFERROR(INDEX('Daily Raw Data'!Y:Y,Match($A187,'Daily Raw Data'!$B:$B,0)),"")</f>
        <v/>
      </c>
      <c r="P187" t="str">
        <f t="shared" si="1"/>
        <v/>
      </c>
      <c r="Q187" s="14" t="str">
        <f t="shared" si="2"/>
        <v/>
      </c>
      <c r="R187" s="15" t="str">
        <f>IFERROR(__xludf.DUMMYFUNCTION("IF($A187="""","""", IFERROR(PERCENTRANK.INC(FILTER(P:P,$E:$E&lt;&gt;""""),P187)*100,""""))"),"")</f>
        <v/>
      </c>
      <c r="S187" s="15" t="str">
        <f>IFERROR(__xludf.DUMMYFUNCTION("IF($A187="""","""",IFERROR(PERCENTRANK.INC(FILTER(Q:Q,$E:$E&lt;&gt;""""),Q187)*100,""""))"),"")</f>
        <v/>
      </c>
    </row>
    <row r="188">
      <c r="B188" t="str">
        <f t="array" ref="B188">IFERROR(INDEX('Player Raw Data'!C:C,Match($A188,'Player Raw Data'!$B:$B,0)),"")</f>
        <v/>
      </c>
      <c r="C188" t="str">
        <f t="array" ref="C188">IFERROR(INDEX('Player Raw Data'!D:D,Match($A188,'Player Raw Data'!$B:$B,0)),"")</f>
        <v/>
      </c>
      <c r="D188" t="str">
        <f t="array" ref="D188">IFERROR(IF(A188=A187, INDEX('Player Raw Data'!E:E,Match($A188,'Player Raw Data'!$B:$B,0)+2),INDEX('Player Raw Data'!E:E,Match($A188,'Player Raw Data'!$B:$B,0))),"")</f>
        <v/>
      </c>
      <c r="E188" s="27" t="str">
        <f>IFERROR(__xludf.DUMMYFUNCTION("IFERROR(ARRAY_CONSTRAIN(SPLIT(INDEX('Daily Raw Data'!G:G,Match($A188,'Daily Raw Data'!$B:$B,0)),"":""),1,1),"""")"),"")</f>
        <v/>
      </c>
      <c r="F188" t="str">
        <f t="array" ref="F188">IFERROR(INDEX('Daily Raw Data'!H:H,Match($A188,'Daily Raw Data'!$B:$B,0)),"")</f>
        <v/>
      </c>
      <c r="G188" t="str">
        <f t="array" ref="G188">IFERROR(INDEX('Daily Raw Data'!I:I,Match($A188,'Daily Raw Data'!$B:$B,0)),"")</f>
        <v/>
      </c>
      <c r="H188" t="str">
        <f t="array" ref="H188">IFERROR(INDEX('Daily Raw Data'!N:N,Match($A188,'Daily Raw Data'!$B:$B,0)),"")</f>
        <v/>
      </c>
      <c r="I188" t="str">
        <f t="array" ref="I188">IFERROR(INDEX('Daily Raw Data'!O:O,Match($A188,'Daily Raw Data'!$B:$B,0)),"")</f>
        <v/>
      </c>
      <c r="J188" t="str">
        <f t="array" ref="J188">IFERROR(INDEX('Daily Raw Data'!S:S,Match($A188,'Daily Raw Data'!$B:$B,0)),"")</f>
        <v/>
      </c>
      <c r="K188" t="str">
        <f t="array" ref="K188">IFERROR(INDEX('Daily Raw Data'!T:T,Match($A188,'Daily Raw Data'!$B:$B,0)),"")</f>
        <v/>
      </c>
      <c r="L188" t="str">
        <f t="array" ref="L188">IFERROR(INDEX('Daily Raw Data'!U:U,Match($A188,'Daily Raw Data'!$B:$B,0)),"")</f>
        <v/>
      </c>
      <c r="M188" t="str">
        <f t="array" ref="M188">IFERROR(INDEX('Daily Raw Data'!V:V,Match($A188,'Daily Raw Data'!$B:$B,0)),"")</f>
        <v/>
      </c>
      <c r="N188" t="str">
        <f t="array" ref="N188">IFERROR(INDEX('Daily Raw Data'!W:W,Match($A188,'Daily Raw Data'!$B:$B,0)),"")</f>
        <v/>
      </c>
      <c r="O188" t="str">
        <f t="array" ref="O188">IFERROR(INDEX('Daily Raw Data'!Y:Y,Match($A188,'Daily Raw Data'!$B:$B,0)),"")</f>
        <v/>
      </c>
      <c r="P188" t="str">
        <f t="shared" si="1"/>
        <v/>
      </c>
      <c r="Q188" s="14" t="str">
        <f t="shared" si="2"/>
        <v/>
      </c>
      <c r="R188" s="15" t="str">
        <f>IFERROR(__xludf.DUMMYFUNCTION("IF($A188="""","""", IFERROR(PERCENTRANK.INC(FILTER(P:P,$E:$E&lt;&gt;""""),P188)*100,""""))"),"")</f>
        <v/>
      </c>
      <c r="S188" s="15" t="str">
        <f>IFERROR(__xludf.DUMMYFUNCTION("IF($A188="""","""",IFERROR(PERCENTRANK.INC(FILTER(Q:Q,$E:$E&lt;&gt;""""),Q188)*100,""""))"),"")</f>
        <v/>
      </c>
    </row>
    <row r="189">
      <c r="B189" t="str">
        <f t="array" ref="B189">IFERROR(INDEX('Player Raw Data'!C:C,Match($A189,'Player Raw Data'!$B:$B,0)),"")</f>
        <v/>
      </c>
      <c r="C189" t="str">
        <f t="array" ref="C189">IFERROR(INDEX('Player Raw Data'!D:D,Match($A189,'Player Raw Data'!$B:$B,0)),"")</f>
        <v/>
      </c>
      <c r="D189" t="str">
        <f t="array" ref="D189">IFERROR(IF(A189=A188, INDEX('Player Raw Data'!E:E,Match($A189,'Player Raw Data'!$B:$B,0)+2),INDEX('Player Raw Data'!E:E,Match($A189,'Player Raw Data'!$B:$B,0))),"")</f>
        <v/>
      </c>
      <c r="E189" s="27" t="str">
        <f>IFERROR(__xludf.DUMMYFUNCTION("IFERROR(ARRAY_CONSTRAIN(SPLIT(INDEX('Daily Raw Data'!G:G,Match($A189,'Daily Raw Data'!$B:$B,0)),"":""),1,1),"""")"),"")</f>
        <v/>
      </c>
      <c r="F189" t="str">
        <f t="array" ref="F189">IFERROR(INDEX('Daily Raw Data'!H:H,Match($A189,'Daily Raw Data'!$B:$B,0)),"")</f>
        <v/>
      </c>
      <c r="G189" t="str">
        <f t="array" ref="G189">IFERROR(INDEX('Daily Raw Data'!I:I,Match($A189,'Daily Raw Data'!$B:$B,0)),"")</f>
        <v/>
      </c>
      <c r="H189" t="str">
        <f t="array" ref="H189">IFERROR(INDEX('Daily Raw Data'!N:N,Match($A189,'Daily Raw Data'!$B:$B,0)),"")</f>
        <v/>
      </c>
      <c r="I189" t="str">
        <f t="array" ref="I189">IFERROR(INDEX('Daily Raw Data'!O:O,Match($A189,'Daily Raw Data'!$B:$B,0)),"")</f>
        <v/>
      </c>
      <c r="J189" t="str">
        <f t="array" ref="J189">IFERROR(INDEX('Daily Raw Data'!S:S,Match($A189,'Daily Raw Data'!$B:$B,0)),"")</f>
        <v/>
      </c>
      <c r="K189" t="str">
        <f t="array" ref="K189">IFERROR(INDEX('Daily Raw Data'!T:T,Match($A189,'Daily Raw Data'!$B:$B,0)),"")</f>
        <v/>
      </c>
      <c r="L189" t="str">
        <f t="array" ref="L189">IFERROR(INDEX('Daily Raw Data'!U:U,Match($A189,'Daily Raw Data'!$B:$B,0)),"")</f>
        <v/>
      </c>
      <c r="M189" t="str">
        <f t="array" ref="M189">IFERROR(INDEX('Daily Raw Data'!V:V,Match($A189,'Daily Raw Data'!$B:$B,0)),"")</f>
        <v/>
      </c>
      <c r="N189" t="str">
        <f t="array" ref="N189">IFERROR(INDEX('Daily Raw Data'!W:W,Match($A189,'Daily Raw Data'!$B:$B,0)),"")</f>
        <v/>
      </c>
      <c r="O189" t="str">
        <f t="array" ref="O189">IFERROR(INDEX('Daily Raw Data'!Y:Y,Match($A189,'Daily Raw Data'!$B:$B,0)),"")</f>
        <v/>
      </c>
      <c r="P189" t="str">
        <f t="shared" si="1"/>
        <v/>
      </c>
      <c r="Q189" s="14" t="str">
        <f t="shared" si="2"/>
        <v/>
      </c>
      <c r="R189" s="15" t="str">
        <f>IFERROR(__xludf.DUMMYFUNCTION("IF($A189="""","""", IFERROR(PERCENTRANK.INC(FILTER(P:P,$E:$E&lt;&gt;""""),P189)*100,""""))"),"")</f>
        <v/>
      </c>
      <c r="S189" s="15" t="str">
        <f>IFERROR(__xludf.DUMMYFUNCTION("IF($A189="""","""",IFERROR(PERCENTRANK.INC(FILTER(Q:Q,$E:$E&lt;&gt;""""),Q189)*100,""""))"),"")</f>
        <v/>
      </c>
    </row>
    <row r="190">
      <c r="B190" t="str">
        <f t="array" ref="B190">IFERROR(INDEX('Player Raw Data'!C:C,Match($A190,'Player Raw Data'!$B:$B,0)),"")</f>
        <v/>
      </c>
      <c r="C190" t="str">
        <f t="array" ref="C190">IFERROR(INDEX('Player Raw Data'!D:D,Match($A190,'Player Raw Data'!$B:$B,0)),"")</f>
        <v/>
      </c>
      <c r="D190" t="str">
        <f t="array" ref="D190">IFERROR(IF(A190=A189, INDEX('Player Raw Data'!E:E,Match($A190,'Player Raw Data'!$B:$B,0)+2),INDEX('Player Raw Data'!E:E,Match($A190,'Player Raw Data'!$B:$B,0))),"")</f>
        <v/>
      </c>
      <c r="E190" s="27" t="str">
        <f>IFERROR(__xludf.DUMMYFUNCTION("IFERROR(ARRAY_CONSTRAIN(SPLIT(INDEX('Daily Raw Data'!G:G,Match($A190,'Daily Raw Data'!$B:$B,0)),"":""),1,1),"""")"),"")</f>
        <v/>
      </c>
      <c r="F190" t="str">
        <f t="array" ref="F190">IFERROR(INDEX('Daily Raw Data'!H:H,Match($A190,'Daily Raw Data'!$B:$B,0)),"")</f>
        <v/>
      </c>
      <c r="G190" t="str">
        <f t="array" ref="G190">IFERROR(INDEX('Daily Raw Data'!I:I,Match($A190,'Daily Raw Data'!$B:$B,0)),"")</f>
        <v/>
      </c>
      <c r="H190" t="str">
        <f t="array" ref="H190">IFERROR(INDEX('Daily Raw Data'!N:N,Match($A190,'Daily Raw Data'!$B:$B,0)),"")</f>
        <v/>
      </c>
      <c r="I190" t="str">
        <f t="array" ref="I190">IFERROR(INDEX('Daily Raw Data'!O:O,Match($A190,'Daily Raw Data'!$B:$B,0)),"")</f>
        <v/>
      </c>
      <c r="J190" t="str">
        <f t="array" ref="J190">IFERROR(INDEX('Daily Raw Data'!S:S,Match($A190,'Daily Raw Data'!$B:$B,0)),"")</f>
        <v/>
      </c>
      <c r="K190" t="str">
        <f t="array" ref="K190">IFERROR(INDEX('Daily Raw Data'!T:T,Match($A190,'Daily Raw Data'!$B:$B,0)),"")</f>
        <v/>
      </c>
      <c r="L190" t="str">
        <f t="array" ref="L190">IFERROR(INDEX('Daily Raw Data'!U:U,Match($A190,'Daily Raw Data'!$B:$B,0)),"")</f>
        <v/>
      </c>
      <c r="M190" t="str">
        <f t="array" ref="M190">IFERROR(INDEX('Daily Raw Data'!V:V,Match($A190,'Daily Raw Data'!$B:$B,0)),"")</f>
        <v/>
      </c>
      <c r="N190" t="str">
        <f t="array" ref="N190">IFERROR(INDEX('Daily Raw Data'!W:W,Match($A190,'Daily Raw Data'!$B:$B,0)),"")</f>
        <v/>
      </c>
      <c r="O190" t="str">
        <f t="array" ref="O190">IFERROR(INDEX('Daily Raw Data'!Y:Y,Match($A190,'Daily Raw Data'!$B:$B,0)),"")</f>
        <v/>
      </c>
      <c r="P190" t="str">
        <f t="shared" si="1"/>
        <v/>
      </c>
      <c r="Q190" s="14" t="str">
        <f t="shared" si="2"/>
        <v/>
      </c>
      <c r="R190" s="15" t="str">
        <f>IFERROR(__xludf.DUMMYFUNCTION("IF($A190="""","""", IFERROR(PERCENTRANK.INC(FILTER(P:P,$E:$E&lt;&gt;""""),P190)*100,""""))"),"")</f>
        <v/>
      </c>
      <c r="S190" s="15" t="str">
        <f>IFERROR(__xludf.DUMMYFUNCTION("IF($A190="""","""",IFERROR(PERCENTRANK.INC(FILTER(Q:Q,$E:$E&lt;&gt;""""),Q190)*100,""""))"),"")</f>
        <v/>
      </c>
    </row>
    <row r="191">
      <c r="B191" t="str">
        <f t="array" ref="B191">IFERROR(INDEX('Player Raw Data'!C:C,Match($A191,'Player Raw Data'!$B:$B,0)),"")</f>
        <v/>
      </c>
      <c r="C191" t="str">
        <f t="array" ref="C191">IFERROR(INDEX('Player Raw Data'!D:D,Match($A191,'Player Raw Data'!$B:$B,0)),"")</f>
        <v/>
      </c>
      <c r="D191" t="str">
        <f t="array" ref="D191">IFERROR(IF(A191=A190, INDEX('Player Raw Data'!E:E,Match($A191,'Player Raw Data'!$B:$B,0)+2),INDEX('Player Raw Data'!E:E,Match($A191,'Player Raw Data'!$B:$B,0))),"")</f>
        <v/>
      </c>
      <c r="E191" s="27" t="str">
        <f>IFERROR(__xludf.DUMMYFUNCTION("IFERROR(ARRAY_CONSTRAIN(SPLIT(INDEX('Daily Raw Data'!G:G,Match($A191,'Daily Raw Data'!$B:$B,0)),"":""),1,1),"""")"),"")</f>
        <v/>
      </c>
      <c r="F191" t="str">
        <f t="array" ref="F191">IFERROR(INDEX('Daily Raw Data'!H:H,Match($A191,'Daily Raw Data'!$B:$B,0)),"")</f>
        <v/>
      </c>
      <c r="G191" t="str">
        <f t="array" ref="G191">IFERROR(INDEX('Daily Raw Data'!I:I,Match($A191,'Daily Raw Data'!$B:$B,0)),"")</f>
        <v/>
      </c>
      <c r="H191" t="str">
        <f t="array" ref="H191">IFERROR(INDEX('Daily Raw Data'!N:N,Match($A191,'Daily Raw Data'!$B:$B,0)),"")</f>
        <v/>
      </c>
      <c r="I191" t="str">
        <f t="array" ref="I191">IFERROR(INDEX('Daily Raw Data'!O:O,Match($A191,'Daily Raw Data'!$B:$B,0)),"")</f>
        <v/>
      </c>
      <c r="J191" t="str">
        <f t="array" ref="J191">IFERROR(INDEX('Daily Raw Data'!S:S,Match($A191,'Daily Raw Data'!$B:$B,0)),"")</f>
        <v/>
      </c>
      <c r="K191" t="str">
        <f t="array" ref="K191">IFERROR(INDEX('Daily Raw Data'!T:T,Match($A191,'Daily Raw Data'!$B:$B,0)),"")</f>
        <v/>
      </c>
      <c r="L191" t="str">
        <f t="array" ref="L191">IFERROR(INDEX('Daily Raw Data'!U:U,Match($A191,'Daily Raw Data'!$B:$B,0)),"")</f>
        <v/>
      </c>
      <c r="M191" t="str">
        <f t="array" ref="M191">IFERROR(INDEX('Daily Raw Data'!V:V,Match($A191,'Daily Raw Data'!$B:$B,0)),"")</f>
        <v/>
      </c>
      <c r="N191" t="str">
        <f t="array" ref="N191">IFERROR(INDEX('Daily Raw Data'!W:W,Match($A191,'Daily Raw Data'!$B:$B,0)),"")</f>
        <v/>
      </c>
      <c r="O191" t="str">
        <f t="array" ref="O191">IFERROR(INDEX('Daily Raw Data'!Y:Y,Match($A191,'Daily Raw Data'!$B:$B,0)),"")</f>
        <v/>
      </c>
      <c r="P191" t="str">
        <f t="shared" si="1"/>
        <v/>
      </c>
      <c r="Q191" s="14" t="str">
        <f t="shared" si="2"/>
        <v/>
      </c>
      <c r="R191" s="15" t="str">
        <f>IFERROR(__xludf.DUMMYFUNCTION("IF($A191="""","""", IFERROR(PERCENTRANK.INC(FILTER(P:P,$E:$E&lt;&gt;""""),P191)*100,""""))"),"")</f>
        <v/>
      </c>
      <c r="S191" s="15" t="str">
        <f>IFERROR(__xludf.DUMMYFUNCTION("IF($A191="""","""",IFERROR(PERCENTRANK.INC(FILTER(Q:Q,$E:$E&lt;&gt;""""),Q191)*100,""""))"),"")</f>
        <v/>
      </c>
    </row>
    <row r="192">
      <c r="B192" t="str">
        <f t="array" ref="B192">IFERROR(INDEX('Player Raw Data'!C:C,Match($A192,'Player Raw Data'!$B:$B,0)),"")</f>
        <v/>
      </c>
      <c r="C192" t="str">
        <f t="array" ref="C192">IFERROR(INDEX('Player Raw Data'!D:D,Match($A192,'Player Raw Data'!$B:$B,0)),"")</f>
        <v/>
      </c>
      <c r="D192" t="str">
        <f t="array" ref="D192">IFERROR(IF(A192=A191, INDEX('Player Raw Data'!E:E,Match($A192,'Player Raw Data'!$B:$B,0)+2),INDEX('Player Raw Data'!E:E,Match($A192,'Player Raw Data'!$B:$B,0))),"")</f>
        <v/>
      </c>
      <c r="E192" s="27" t="str">
        <f>IFERROR(__xludf.DUMMYFUNCTION("IFERROR(ARRAY_CONSTRAIN(SPLIT(INDEX('Daily Raw Data'!G:G,Match($A192,'Daily Raw Data'!$B:$B,0)),"":""),1,1),"""")"),"")</f>
        <v/>
      </c>
      <c r="F192" t="str">
        <f t="array" ref="F192">IFERROR(INDEX('Daily Raw Data'!H:H,Match($A192,'Daily Raw Data'!$B:$B,0)),"")</f>
        <v/>
      </c>
      <c r="G192" t="str">
        <f t="array" ref="G192">IFERROR(INDEX('Daily Raw Data'!I:I,Match($A192,'Daily Raw Data'!$B:$B,0)),"")</f>
        <v/>
      </c>
      <c r="H192" t="str">
        <f t="array" ref="H192">IFERROR(INDEX('Daily Raw Data'!N:N,Match($A192,'Daily Raw Data'!$B:$B,0)),"")</f>
        <v/>
      </c>
      <c r="I192" t="str">
        <f t="array" ref="I192">IFERROR(INDEX('Daily Raw Data'!O:O,Match($A192,'Daily Raw Data'!$B:$B,0)),"")</f>
        <v/>
      </c>
      <c r="J192" t="str">
        <f t="array" ref="J192">IFERROR(INDEX('Daily Raw Data'!S:S,Match($A192,'Daily Raw Data'!$B:$B,0)),"")</f>
        <v/>
      </c>
      <c r="K192" t="str">
        <f t="array" ref="K192">IFERROR(INDEX('Daily Raw Data'!T:T,Match($A192,'Daily Raw Data'!$B:$B,0)),"")</f>
        <v/>
      </c>
      <c r="L192" t="str">
        <f t="array" ref="L192">IFERROR(INDEX('Daily Raw Data'!U:U,Match($A192,'Daily Raw Data'!$B:$B,0)),"")</f>
        <v/>
      </c>
      <c r="M192" t="str">
        <f t="array" ref="M192">IFERROR(INDEX('Daily Raw Data'!V:V,Match($A192,'Daily Raw Data'!$B:$B,0)),"")</f>
        <v/>
      </c>
      <c r="N192" t="str">
        <f t="array" ref="N192">IFERROR(INDEX('Daily Raw Data'!W:W,Match($A192,'Daily Raw Data'!$B:$B,0)),"")</f>
        <v/>
      </c>
      <c r="O192" t="str">
        <f t="array" ref="O192">IFERROR(INDEX('Daily Raw Data'!Y:Y,Match($A192,'Daily Raw Data'!$B:$B,0)),"")</f>
        <v/>
      </c>
      <c r="P192" t="str">
        <f t="shared" si="1"/>
        <v/>
      </c>
      <c r="Q192" s="14" t="str">
        <f t="shared" si="2"/>
        <v/>
      </c>
      <c r="R192" s="15" t="str">
        <f>IFERROR(__xludf.DUMMYFUNCTION("IF($A192="""","""", IFERROR(PERCENTRANK.INC(FILTER(P:P,$E:$E&lt;&gt;""""),P192)*100,""""))"),"")</f>
        <v/>
      </c>
      <c r="S192" s="15" t="str">
        <f>IFERROR(__xludf.DUMMYFUNCTION("IF($A192="""","""",IFERROR(PERCENTRANK.INC(FILTER(Q:Q,$E:$E&lt;&gt;""""),Q192)*100,""""))"),"")</f>
        <v/>
      </c>
    </row>
    <row r="193">
      <c r="B193" t="str">
        <f t="array" ref="B193">IFERROR(INDEX('Player Raw Data'!C:C,Match($A193,'Player Raw Data'!$B:$B,0)),"")</f>
        <v/>
      </c>
      <c r="C193" t="str">
        <f t="array" ref="C193">IFERROR(INDEX('Player Raw Data'!D:D,Match($A193,'Player Raw Data'!$B:$B,0)),"")</f>
        <v/>
      </c>
      <c r="D193" t="str">
        <f t="array" ref="D193">IFERROR(IF(A193=A192, INDEX('Player Raw Data'!E:E,Match($A193,'Player Raw Data'!$B:$B,0)+2),INDEX('Player Raw Data'!E:E,Match($A193,'Player Raw Data'!$B:$B,0))),"")</f>
        <v/>
      </c>
      <c r="E193" s="27" t="str">
        <f>IFERROR(__xludf.DUMMYFUNCTION("IFERROR(ARRAY_CONSTRAIN(SPLIT(INDEX('Daily Raw Data'!G:G,Match($A193,'Daily Raw Data'!$B:$B,0)),"":""),1,1),"""")"),"")</f>
        <v/>
      </c>
      <c r="F193" t="str">
        <f t="array" ref="F193">IFERROR(INDEX('Daily Raw Data'!H:H,Match($A193,'Daily Raw Data'!$B:$B,0)),"")</f>
        <v/>
      </c>
      <c r="G193" t="str">
        <f t="array" ref="G193">IFERROR(INDEX('Daily Raw Data'!I:I,Match($A193,'Daily Raw Data'!$B:$B,0)),"")</f>
        <v/>
      </c>
      <c r="H193" t="str">
        <f t="array" ref="H193">IFERROR(INDEX('Daily Raw Data'!N:N,Match($A193,'Daily Raw Data'!$B:$B,0)),"")</f>
        <v/>
      </c>
      <c r="I193" t="str">
        <f t="array" ref="I193">IFERROR(INDEX('Daily Raw Data'!O:O,Match($A193,'Daily Raw Data'!$B:$B,0)),"")</f>
        <v/>
      </c>
      <c r="J193" t="str">
        <f t="array" ref="J193">IFERROR(INDEX('Daily Raw Data'!S:S,Match($A193,'Daily Raw Data'!$B:$B,0)),"")</f>
        <v/>
      </c>
      <c r="K193" t="str">
        <f t="array" ref="K193">IFERROR(INDEX('Daily Raw Data'!T:T,Match($A193,'Daily Raw Data'!$B:$B,0)),"")</f>
        <v/>
      </c>
      <c r="L193" t="str">
        <f t="array" ref="L193">IFERROR(INDEX('Daily Raw Data'!U:U,Match($A193,'Daily Raw Data'!$B:$B,0)),"")</f>
        <v/>
      </c>
      <c r="M193" t="str">
        <f t="array" ref="M193">IFERROR(INDEX('Daily Raw Data'!V:V,Match($A193,'Daily Raw Data'!$B:$B,0)),"")</f>
        <v/>
      </c>
      <c r="N193" t="str">
        <f t="array" ref="N193">IFERROR(INDEX('Daily Raw Data'!W:W,Match($A193,'Daily Raw Data'!$B:$B,0)),"")</f>
        <v/>
      </c>
      <c r="O193" t="str">
        <f t="array" ref="O193">IFERROR(INDEX('Daily Raw Data'!Y:Y,Match($A193,'Daily Raw Data'!$B:$B,0)),"")</f>
        <v/>
      </c>
      <c r="P193" t="str">
        <f t="shared" si="1"/>
        <v/>
      </c>
      <c r="Q193" s="14" t="str">
        <f t="shared" si="2"/>
        <v/>
      </c>
      <c r="R193" s="15" t="str">
        <f>IFERROR(__xludf.DUMMYFUNCTION("IF($A193="""","""", IFERROR(PERCENTRANK.INC(FILTER(P:P,$E:$E&lt;&gt;""""),P193)*100,""""))"),"")</f>
        <v/>
      </c>
      <c r="S193" s="15" t="str">
        <f>IFERROR(__xludf.DUMMYFUNCTION("IF($A193="""","""",IFERROR(PERCENTRANK.INC(FILTER(Q:Q,$E:$E&lt;&gt;""""),Q193)*100,""""))"),"")</f>
        <v/>
      </c>
    </row>
    <row r="194">
      <c r="B194" t="str">
        <f t="array" ref="B194">IFERROR(INDEX('Player Raw Data'!C:C,Match($A194,'Player Raw Data'!$B:$B,0)),"")</f>
        <v/>
      </c>
      <c r="C194" t="str">
        <f t="array" ref="C194">IFERROR(INDEX('Player Raw Data'!D:D,Match($A194,'Player Raw Data'!$B:$B,0)),"")</f>
        <v/>
      </c>
      <c r="D194" t="str">
        <f t="array" ref="D194">IFERROR(IF(A194=A193, INDEX('Player Raw Data'!E:E,Match($A194,'Player Raw Data'!$B:$B,0)+2),INDEX('Player Raw Data'!E:E,Match($A194,'Player Raw Data'!$B:$B,0))),"")</f>
        <v/>
      </c>
      <c r="E194" s="27" t="str">
        <f>IFERROR(__xludf.DUMMYFUNCTION("IFERROR(ARRAY_CONSTRAIN(SPLIT(INDEX('Daily Raw Data'!G:G,Match($A194,'Daily Raw Data'!$B:$B,0)),"":""),1,1),"""")"),"")</f>
        <v/>
      </c>
      <c r="F194" t="str">
        <f t="array" ref="F194">IFERROR(INDEX('Daily Raw Data'!H:H,Match($A194,'Daily Raw Data'!$B:$B,0)),"")</f>
        <v/>
      </c>
      <c r="G194" t="str">
        <f t="array" ref="G194">IFERROR(INDEX('Daily Raw Data'!I:I,Match($A194,'Daily Raw Data'!$B:$B,0)),"")</f>
        <v/>
      </c>
      <c r="H194" t="str">
        <f t="array" ref="H194">IFERROR(INDEX('Daily Raw Data'!N:N,Match($A194,'Daily Raw Data'!$B:$B,0)),"")</f>
        <v/>
      </c>
      <c r="I194" t="str">
        <f t="array" ref="I194">IFERROR(INDEX('Daily Raw Data'!O:O,Match($A194,'Daily Raw Data'!$B:$B,0)),"")</f>
        <v/>
      </c>
      <c r="J194" t="str">
        <f t="array" ref="J194">IFERROR(INDEX('Daily Raw Data'!S:S,Match($A194,'Daily Raw Data'!$B:$B,0)),"")</f>
        <v/>
      </c>
      <c r="K194" t="str">
        <f t="array" ref="K194">IFERROR(INDEX('Daily Raw Data'!T:T,Match($A194,'Daily Raw Data'!$B:$B,0)),"")</f>
        <v/>
      </c>
      <c r="L194" t="str">
        <f t="array" ref="L194">IFERROR(INDEX('Daily Raw Data'!U:U,Match($A194,'Daily Raw Data'!$B:$B,0)),"")</f>
        <v/>
      </c>
      <c r="M194" t="str">
        <f t="array" ref="M194">IFERROR(INDEX('Daily Raw Data'!V:V,Match($A194,'Daily Raw Data'!$B:$B,0)),"")</f>
        <v/>
      </c>
      <c r="N194" t="str">
        <f t="array" ref="N194">IFERROR(INDEX('Daily Raw Data'!W:W,Match($A194,'Daily Raw Data'!$B:$B,0)),"")</f>
        <v/>
      </c>
      <c r="O194" t="str">
        <f t="array" ref="O194">IFERROR(INDEX('Daily Raw Data'!Y:Y,Match($A194,'Daily Raw Data'!$B:$B,0)),"")</f>
        <v/>
      </c>
      <c r="P194" t="str">
        <f t="shared" si="1"/>
        <v/>
      </c>
      <c r="Q194" s="14" t="str">
        <f t="shared" si="2"/>
        <v/>
      </c>
      <c r="R194" s="15" t="str">
        <f>IFERROR(__xludf.DUMMYFUNCTION("IF($A194="""","""", IFERROR(PERCENTRANK.INC(FILTER(P:P,$E:$E&lt;&gt;""""),P194)*100,""""))"),"")</f>
        <v/>
      </c>
      <c r="S194" s="15" t="str">
        <f>IFERROR(__xludf.DUMMYFUNCTION("IF($A194="""","""",IFERROR(PERCENTRANK.INC(FILTER(Q:Q,$E:$E&lt;&gt;""""),Q194)*100,""""))"),"")</f>
        <v/>
      </c>
    </row>
    <row r="195">
      <c r="B195" t="str">
        <f t="array" ref="B195">IFERROR(INDEX('Player Raw Data'!C:C,Match($A195,'Player Raw Data'!$B:$B,0)),"")</f>
        <v/>
      </c>
      <c r="C195" t="str">
        <f t="array" ref="C195">IFERROR(INDEX('Player Raw Data'!D:D,Match($A195,'Player Raw Data'!$B:$B,0)),"")</f>
        <v/>
      </c>
      <c r="D195" t="str">
        <f t="array" ref="D195">IFERROR(IF(A195=A194, INDEX('Player Raw Data'!E:E,Match($A195,'Player Raw Data'!$B:$B,0)+2),INDEX('Player Raw Data'!E:E,Match($A195,'Player Raw Data'!$B:$B,0))),"")</f>
        <v/>
      </c>
      <c r="E195" s="27" t="str">
        <f>IFERROR(__xludf.DUMMYFUNCTION("IFERROR(ARRAY_CONSTRAIN(SPLIT(INDEX('Daily Raw Data'!G:G,Match($A195,'Daily Raw Data'!$B:$B,0)),"":""),1,1),"""")"),"")</f>
        <v/>
      </c>
      <c r="F195" t="str">
        <f t="array" ref="F195">IFERROR(INDEX('Daily Raw Data'!H:H,Match($A195,'Daily Raw Data'!$B:$B,0)),"")</f>
        <v/>
      </c>
      <c r="G195" t="str">
        <f t="array" ref="G195">IFERROR(INDEX('Daily Raw Data'!I:I,Match($A195,'Daily Raw Data'!$B:$B,0)),"")</f>
        <v/>
      </c>
      <c r="H195" t="str">
        <f t="array" ref="H195">IFERROR(INDEX('Daily Raw Data'!N:N,Match($A195,'Daily Raw Data'!$B:$B,0)),"")</f>
        <v/>
      </c>
      <c r="I195" t="str">
        <f t="array" ref="I195">IFERROR(INDEX('Daily Raw Data'!O:O,Match($A195,'Daily Raw Data'!$B:$B,0)),"")</f>
        <v/>
      </c>
      <c r="J195" t="str">
        <f t="array" ref="J195">IFERROR(INDEX('Daily Raw Data'!S:S,Match($A195,'Daily Raw Data'!$B:$B,0)),"")</f>
        <v/>
      </c>
      <c r="K195" t="str">
        <f t="array" ref="K195">IFERROR(INDEX('Daily Raw Data'!T:T,Match($A195,'Daily Raw Data'!$B:$B,0)),"")</f>
        <v/>
      </c>
      <c r="L195" t="str">
        <f t="array" ref="L195">IFERROR(INDEX('Daily Raw Data'!U:U,Match($A195,'Daily Raw Data'!$B:$B,0)),"")</f>
        <v/>
      </c>
      <c r="M195" t="str">
        <f t="array" ref="M195">IFERROR(INDEX('Daily Raw Data'!V:V,Match($A195,'Daily Raw Data'!$B:$B,0)),"")</f>
        <v/>
      </c>
      <c r="N195" t="str">
        <f t="array" ref="N195">IFERROR(INDEX('Daily Raw Data'!W:W,Match($A195,'Daily Raw Data'!$B:$B,0)),"")</f>
        <v/>
      </c>
      <c r="O195" t="str">
        <f t="array" ref="O195">IFERROR(INDEX('Daily Raw Data'!Y:Y,Match($A195,'Daily Raw Data'!$B:$B,0)),"")</f>
        <v/>
      </c>
      <c r="P195" t="str">
        <f t="shared" si="1"/>
        <v/>
      </c>
      <c r="Q195" s="14" t="str">
        <f t="shared" si="2"/>
        <v/>
      </c>
      <c r="R195" s="15" t="str">
        <f>IFERROR(__xludf.DUMMYFUNCTION("IF($A195="""","""", IFERROR(PERCENTRANK.INC(FILTER(P:P,$E:$E&lt;&gt;""""),P195)*100,""""))"),"")</f>
        <v/>
      </c>
      <c r="S195" s="15" t="str">
        <f>IFERROR(__xludf.DUMMYFUNCTION("IF($A195="""","""",IFERROR(PERCENTRANK.INC(FILTER(Q:Q,$E:$E&lt;&gt;""""),Q195)*100,""""))"),"")</f>
        <v/>
      </c>
    </row>
    <row r="196">
      <c r="B196" t="str">
        <f t="array" ref="B196">IFERROR(INDEX('Player Raw Data'!C:C,Match($A196,'Player Raw Data'!$B:$B,0)),"")</f>
        <v/>
      </c>
      <c r="C196" t="str">
        <f t="array" ref="C196">IFERROR(INDEX('Player Raw Data'!D:D,Match($A196,'Player Raw Data'!$B:$B,0)),"")</f>
        <v/>
      </c>
      <c r="D196" t="str">
        <f t="array" ref="D196">IFERROR(IF(A196=A195, INDEX('Player Raw Data'!E:E,Match($A196,'Player Raw Data'!$B:$B,0)+2),INDEX('Player Raw Data'!E:E,Match($A196,'Player Raw Data'!$B:$B,0))),"")</f>
        <v/>
      </c>
      <c r="E196" s="27" t="str">
        <f>IFERROR(__xludf.DUMMYFUNCTION("IFERROR(ARRAY_CONSTRAIN(SPLIT(INDEX('Daily Raw Data'!G:G,Match($A196,'Daily Raw Data'!$B:$B,0)),"":""),1,1),"""")"),"")</f>
        <v/>
      </c>
      <c r="F196" t="str">
        <f t="array" ref="F196">IFERROR(INDEX('Daily Raw Data'!H:H,Match($A196,'Daily Raw Data'!$B:$B,0)),"")</f>
        <v/>
      </c>
      <c r="G196" t="str">
        <f t="array" ref="G196">IFERROR(INDEX('Daily Raw Data'!I:I,Match($A196,'Daily Raw Data'!$B:$B,0)),"")</f>
        <v/>
      </c>
      <c r="H196" t="str">
        <f t="array" ref="H196">IFERROR(INDEX('Daily Raw Data'!N:N,Match($A196,'Daily Raw Data'!$B:$B,0)),"")</f>
        <v/>
      </c>
      <c r="I196" t="str">
        <f t="array" ref="I196">IFERROR(INDEX('Daily Raw Data'!O:O,Match($A196,'Daily Raw Data'!$B:$B,0)),"")</f>
        <v/>
      </c>
      <c r="J196" t="str">
        <f t="array" ref="J196">IFERROR(INDEX('Daily Raw Data'!S:S,Match($A196,'Daily Raw Data'!$B:$B,0)),"")</f>
        <v/>
      </c>
      <c r="K196" t="str">
        <f t="array" ref="K196">IFERROR(INDEX('Daily Raw Data'!T:T,Match($A196,'Daily Raw Data'!$B:$B,0)),"")</f>
        <v/>
      </c>
      <c r="L196" t="str">
        <f t="array" ref="L196">IFERROR(INDEX('Daily Raw Data'!U:U,Match($A196,'Daily Raw Data'!$B:$B,0)),"")</f>
        <v/>
      </c>
      <c r="M196" t="str">
        <f t="array" ref="M196">IFERROR(INDEX('Daily Raw Data'!V:V,Match($A196,'Daily Raw Data'!$B:$B,0)),"")</f>
        <v/>
      </c>
      <c r="N196" t="str">
        <f t="array" ref="N196">IFERROR(INDEX('Daily Raw Data'!W:W,Match($A196,'Daily Raw Data'!$B:$B,0)),"")</f>
        <v/>
      </c>
      <c r="O196" t="str">
        <f t="array" ref="O196">IFERROR(INDEX('Daily Raw Data'!Y:Y,Match($A196,'Daily Raw Data'!$B:$B,0)),"")</f>
        <v/>
      </c>
      <c r="P196" t="str">
        <f t="shared" si="1"/>
        <v/>
      </c>
      <c r="Q196" s="14" t="str">
        <f t="shared" si="2"/>
        <v/>
      </c>
      <c r="R196" s="15" t="str">
        <f>IFERROR(__xludf.DUMMYFUNCTION("IF($A196="""","""", IFERROR(PERCENTRANK.INC(FILTER(P:P,$E:$E&lt;&gt;""""),P196)*100,""""))"),"")</f>
        <v/>
      </c>
      <c r="S196" s="15" t="str">
        <f>IFERROR(__xludf.DUMMYFUNCTION("IF($A196="""","""",IFERROR(PERCENTRANK.INC(FILTER(Q:Q,$E:$E&lt;&gt;""""),Q196)*100,""""))"),"")</f>
        <v/>
      </c>
    </row>
    <row r="197">
      <c r="B197" t="str">
        <f t="array" ref="B197">IFERROR(INDEX('Player Raw Data'!C:C,Match($A197,'Player Raw Data'!$B:$B,0)),"")</f>
        <v/>
      </c>
      <c r="C197" t="str">
        <f t="array" ref="C197">IFERROR(INDEX('Player Raw Data'!D:D,Match($A197,'Player Raw Data'!$B:$B,0)),"")</f>
        <v/>
      </c>
      <c r="D197" t="str">
        <f t="array" ref="D197">IFERROR(IF(A197=A196, INDEX('Player Raw Data'!E:E,Match($A197,'Player Raw Data'!$B:$B,0)+2),INDEX('Player Raw Data'!E:E,Match($A197,'Player Raw Data'!$B:$B,0))),"")</f>
        <v/>
      </c>
      <c r="E197" s="27" t="str">
        <f>IFERROR(__xludf.DUMMYFUNCTION("IFERROR(ARRAY_CONSTRAIN(SPLIT(INDEX('Daily Raw Data'!G:G,Match($A197,'Daily Raw Data'!$B:$B,0)),"":""),1,1),"""")"),"")</f>
        <v/>
      </c>
      <c r="F197" t="str">
        <f t="array" ref="F197">IFERROR(INDEX('Daily Raw Data'!H:H,Match($A197,'Daily Raw Data'!$B:$B,0)),"")</f>
        <v/>
      </c>
      <c r="G197" t="str">
        <f t="array" ref="G197">IFERROR(INDEX('Daily Raw Data'!I:I,Match($A197,'Daily Raw Data'!$B:$B,0)),"")</f>
        <v/>
      </c>
      <c r="H197" t="str">
        <f t="array" ref="H197">IFERROR(INDEX('Daily Raw Data'!N:N,Match($A197,'Daily Raw Data'!$B:$B,0)),"")</f>
        <v/>
      </c>
      <c r="I197" t="str">
        <f t="array" ref="I197">IFERROR(INDEX('Daily Raw Data'!O:O,Match($A197,'Daily Raw Data'!$B:$B,0)),"")</f>
        <v/>
      </c>
      <c r="J197" t="str">
        <f t="array" ref="J197">IFERROR(INDEX('Daily Raw Data'!S:S,Match($A197,'Daily Raw Data'!$B:$B,0)),"")</f>
        <v/>
      </c>
      <c r="K197" t="str">
        <f t="array" ref="K197">IFERROR(INDEX('Daily Raw Data'!T:T,Match($A197,'Daily Raw Data'!$B:$B,0)),"")</f>
        <v/>
      </c>
      <c r="L197" t="str">
        <f t="array" ref="L197">IFERROR(INDEX('Daily Raw Data'!U:U,Match($A197,'Daily Raw Data'!$B:$B,0)),"")</f>
        <v/>
      </c>
      <c r="M197" t="str">
        <f t="array" ref="M197">IFERROR(INDEX('Daily Raw Data'!V:V,Match($A197,'Daily Raw Data'!$B:$B,0)),"")</f>
        <v/>
      </c>
      <c r="N197" t="str">
        <f t="array" ref="N197">IFERROR(INDEX('Daily Raw Data'!W:W,Match($A197,'Daily Raw Data'!$B:$B,0)),"")</f>
        <v/>
      </c>
      <c r="O197" t="str">
        <f t="array" ref="O197">IFERROR(INDEX('Daily Raw Data'!Y:Y,Match($A197,'Daily Raw Data'!$B:$B,0)),"")</f>
        <v/>
      </c>
      <c r="P197" t="str">
        <f t="shared" si="1"/>
        <v/>
      </c>
      <c r="Q197" s="14" t="str">
        <f t="shared" si="2"/>
        <v/>
      </c>
      <c r="R197" s="15" t="str">
        <f>IFERROR(__xludf.DUMMYFUNCTION("IF($A197="""","""", IFERROR(PERCENTRANK.INC(FILTER(P:P,$E:$E&lt;&gt;""""),P197)*100,""""))"),"")</f>
        <v/>
      </c>
      <c r="S197" s="15" t="str">
        <f>IFERROR(__xludf.DUMMYFUNCTION("IF($A197="""","""",IFERROR(PERCENTRANK.INC(FILTER(Q:Q,$E:$E&lt;&gt;""""),Q197)*100,""""))"),"")</f>
        <v/>
      </c>
    </row>
    <row r="198">
      <c r="B198" t="str">
        <f t="array" ref="B198">IFERROR(INDEX('Player Raw Data'!C:C,Match($A198,'Player Raw Data'!$B:$B,0)),"")</f>
        <v/>
      </c>
      <c r="C198" t="str">
        <f t="array" ref="C198">IFERROR(INDEX('Player Raw Data'!D:D,Match($A198,'Player Raw Data'!$B:$B,0)),"")</f>
        <v/>
      </c>
      <c r="D198" t="str">
        <f t="array" ref="D198">IFERROR(IF(A198=A197, INDEX('Player Raw Data'!E:E,Match($A198,'Player Raw Data'!$B:$B,0)+2),INDEX('Player Raw Data'!E:E,Match($A198,'Player Raw Data'!$B:$B,0))),"")</f>
        <v/>
      </c>
      <c r="E198" s="27" t="str">
        <f>IFERROR(__xludf.DUMMYFUNCTION("IFERROR(ARRAY_CONSTRAIN(SPLIT(INDEX('Daily Raw Data'!G:G,Match($A198,'Daily Raw Data'!$B:$B,0)),"":""),1,1),"""")"),"")</f>
        <v/>
      </c>
      <c r="F198" t="str">
        <f t="array" ref="F198">IFERROR(INDEX('Daily Raw Data'!H:H,Match($A198,'Daily Raw Data'!$B:$B,0)),"")</f>
        <v/>
      </c>
      <c r="G198" t="str">
        <f t="array" ref="G198">IFERROR(INDEX('Daily Raw Data'!I:I,Match($A198,'Daily Raw Data'!$B:$B,0)),"")</f>
        <v/>
      </c>
      <c r="H198" t="str">
        <f t="array" ref="H198">IFERROR(INDEX('Daily Raw Data'!N:N,Match($A198,'Daily Raw Data'!$B:$B,0)),"")</f>
        <v/>
      </c>
      <c r="I198" t="str">
        <f t="array" ref="I198">IFERROR(INDEX('Daily Raw Data'!O:O,Match($A198,'Daily Raw Data'!$B:$B,0)),"")</f>
        <v/>
      </c>
      <c r="J198" t="str">
        <f t="array" ref="J198">IFERROR(INDEX('Daily Raw Data'!S:S,Match($A198,'Daily Raw Data'!$B:$B,0)),"")</f>
        <v/>
      </c>
      <c r="K198" t="str">
        <f t="array" ref="K198">IFERROR(INDEX('Daily Raw Data'!T:T,Match($A198,'Daily Raw Data'!$B:$B,0)),"")</f>
        <v/>
      </c>
      <c r="L198" t="str">
        <f t="array" ref="L198">IFERROR(INDEX('Daily Raw Data'!U:U,Match($A198,'Daily Raw Data'!$B:$B,0)),"")</f>
        <v/>
      </c>
      <c r="M198" t="str">
        <f t="array" ref="M198">IFERROR(INDEX('Daily Raw Data'!V:V,Match($A198,'Daily Raw Data'!$B:$B,0)),"")</f>
        <v/>
      </c>
      <c r="N198" t="str">
        <f t="array" ref="N198">IFERROR(INDEX('Daily Raw Data'!W:W,Match($A198,'Daily Raw Data'!$B:$B,0)),"")</f>
        <v/>
      </c>
      <c r="O198" t="str">
        <f t="array" ref="O198">IFERROR(INDEX('Daily Raw Data'!Y:Y,Match($A198,'Daily Raw Data'!$B:$B,0)),"")</f>
        <v/>
      </c>
      <c r="P198" t="str">
        <f t="shared" si="1"/>
        <v/>
      </c>
      <c r="Q198" s="14" t="str">
        <f t="shared" si="2"/>
        <v/>
      </c>
      <c r="R198" s="15" t="str">
        <f>IFERROR(__xludf.DUMMYFUNCTION("IF($A198="""","""", IFERROR(PERCENTRANK.INC(FILTER(P:P,$E:$E&lt;&gt;""""),P198)*100,""""))"),"")</f>
        <v/>
      </c>
      <c r="S198" s="15" t="str">
        <f>IFERROR(__xludf.DUMMYFUNCTION("IF($A198="""","""",IFERROR(PERCENTRANK.INC(FILTER(Q:Q,$E:$E&lt;&gt;""""),Q198)*100,""""))"),"")</f>
        <v/>
      </c>
    </row>
    <row r="199">
      <c r="B199" t="str">
        <f t="array" ref="B199">IFERROR(INDEX('Player Raw Data'!C:C,Match($A199,'Player Raw Data'!$B:$B,0)),"")</f>
        <v/>
      </c>
      <c r="C199" t="str">
        <f t="array" ref="C199">IFERROR(INDEX('Player Raw Data'!D:D,Match($A199,'Player Raw Data'!$B:$B,0)),"")</f>
        <v/>
      </c>
      <c r="D199" t="str">
        <f t="array" ref="D199">IFERROR(IF(A199=A198, INDEX('Player Raw Data'!E:E,Match($A199,'Player Raw Data'!$B:$B,0)+2),INDEX('Player Raw Data'!E:E,Match($A199,'Player Raw Data'!$B:$B,0))),"")</f>
        <v/>
      </c>
      <c r="E199" s="27" t="str">
        <f>IFERROR(__xludf.DUMMYFUNCTION("IFERROR(ARRAY_CONSTRAIN(SPLIT(INDEX('Daily Raw Data'!G:G,Match($A199,'Daily Raw Data'!$B:$B,0)),"":""),1,1),"""")"),"")</f>
        <v/>
      </c>
      <c r="F199" t="str">
        <f t="array" ref="F199">IFERROR(INDEX('Daily Raw Data'!H:H,Match($A199,'Daily Raw Data'!$B:$B,0)),"")</f>
        <v/>
      </c>
      <c r="G199" t="str">
        <f t="array" ref="G199">IFERROR(INDEX('Daily Raw Data'!I:I,Match($A199,'Daily Raw Data'!$B:$B,0)),"")</f>
        <v/>
      </c>
      <c r="H199" t="str">
        <f t="array" ref="H199">IFERROR(INDEX('Daily Raw Data'!N:N,Match($A199,'Daily Raw Data'!$B:$B,0)),"")</f>
        <v/>
      </c>
      <c r="I199" t="str">
        <f t="array" ref="I199">IFERROR(INDEX('Daily Raw Data'!O:O,Match($A199,'Daily Raw Data'!$B:$B,0)),"")</f>
        <v/>
      </c>
      <c r="J199" t="str">
        <f t="array" ref="J199">IFERROR(INDEX('Daily Raw Data'!S:S,Match($A199,'Daily Raw Data'!$B:$B,0)),"")</f>
        <v/>
      </c>
      <c r="K199" t="str">
        <f t="array" ref="K199">IFERROR(INDEX('Daily Raw Data'!T:T,Match($A199,'Daily Raw Data'!$B:$B,0)),"")</f>
        <v/>
      </c>
      <c r="L199" t="str">
        <f t="array" ref="L199">IFERROR(INDEX('Daily Raw Data'!U:U,Match($A199,'Daily Raw Data'!$B:$B,0)),"")</f>
        <v/>
      </c>
      <c r="M199" t="str">
        <f t="array" ref="M199">IFERROR(INDEX('Daily Raw Data'!V:V,Match($A199,'Daily Raw Data'!$B:$B,0)),"")</f>
        <v/>
      </c>
      <c r="N199" t="str">
        <f t="array" ref="N199">IFERROR(INDEX('Daily Raw Data'!W:W,Match($A199,'Daily Raw Data'!$B:$B,0)),"")</f>
        <v/>
      </c>
      <c r="O199" t="str">
        <f t="array" ref="O199">IFERROR(INDEX('Daily Raw Data'!Y:Y,Match($A199,'Daily Raw Data'!$B:$B,0)),"")</f>
        <v/>
      </c>
      <c r="P199" t="str">
        <f t="shared" si="1"/>
        <v/>
      </c>
      <c r="Q199" s="14" t="str">
        <f t="shared" si="2"/>
        <v/>
      </c>
      <c r="R199" s="15" t="str">
        <f>IFERROR(__xludf.DUMMYFUNCTION("IF($A199="""","""", IFERROR(PERCENTRANK.INC(FILTER(P:P,$E:$E&lt;&gt;""""),P199)*100,""""))"),"")</f>
        <v/>
      </c>
      <c r="S199" s="15" t="str">
        <f>IFERROR(__xludf.DUMMYFUNCTION("IF($A199="""","""",IFERROR(PERCENTRANK.INC(FILTER(Q:Q,$E:$E&lt;&gt;""""),Q199)*100,""""))"),"")</f>
        <v/>
      </c>
    </row>
    <row r="200">
      <c r="B200" t="str">
        <f t="array" ref="B200">IFERROR(INDEX('Player Raw Data'!C:C,Match($A200,'Player Raw Data'!$B:$B,0)),"")</f>
        <v/>
      </c>
      <c r="C200" t="str">
        <f t="array" ref="C200">IFERROR(INDEX('Player Raw Data'!D:D,Match($A200,'Player Raw Data'!$B:$B,0)),"")</f>
        <v/>
      </c>
      <c r="D200" t="str">
        <f t="array" ref="D200">IFERROR(IF(A200=A199, INDEX('Player Raw Data'!E:E,Match($A200,'Player Raw Data'!$B:$B,0)+2),INDEX('Player Raw Data'!E:E,Match($A200,'Player Raw Data'!$B:$B,0))),"")</f>
        <v/>
      </c>
      <c r="E200" s="27" t="str">
        <f>IFERROR(__xludf.DUMMYFUNCTION("IFERROR(ARRAY_CONSTRAIN(SPLIT(INDEX('Daily Raw Data'!G:G,Match($A200,'Daily Raw Data'!$B:$B,0)),"":""),1,1),"""")"),"")</f>
        <v/>
      </c>
      <c r="F200" t="str">
        <f t="array" ref="F200">IFERROR(INDEX('Daily Raw Data'!H:H,Match($A200,'Daily Raw Data'!$B:$B,0)),"")</f>
        <v/>
      </c>
      <c r="G200" t="str">
        <f t="array" ref="G200">IFERROR(INDEX('Daily Raw Data'!I:I,Match($A200,'Daily Raw Data'!$B:$B,0)),"")</f>
        <v/>
      </c>
      <c r="H200" t="str">
        <f t="array" ref="H200">IFERROR(INDEX('Daily Raw Data'!N:N,Match($A200,'Daily Raw Data'!$B:$B,0)),"")</f>
        <v/>
      </c>
      <c r="I200" t="str">
        <f t="array" ref="I200">IFERROR(INDEX('Daily Raw Data'!O:O,Match($A200,'Daily Raw Data'!$B:$B,0)),"")</f>
        <v/>
      </c>
      <c r="J200" t="str">
        <f t="array" ref="J200">IFERROR(INDEX('Daily Raw Data'!S:S,Match($A200,'Daily Raw Data'!$B:$B,0)),"")</f>
        <v/>
      </c>
      <c r="K200" t="str">
        <f t="array" ref="K200">IFERROR(INDEX('Daily Raw Data'!T:T,Match($A200,'Daily Raw Data'!$B:$B,0)),"")</f>
        <v/>
      </c>
      <c r="L200" t="str">
        <f t="array" ref="L200">IFERROR(INDEX('Daily Raw Data'!U:U,Match($A200,'Daily Raw Data'!$B:$B,0)),"")</f>
        <v/>
      </c>
      <c r="M200" t="str">
        <f t="array" ref="M200">IFERROR(INDEX('Daily Raw Data'!V:V,Match($A200,'Daily Raw Data'!$B:$B,0)),"")</f>
        <v/>
      </c>
      <c r="N200" t="str">
        <f t="array" ref="N200">IFERROR(INDEX('Daily Raw Data'!W:W,Match($A200,'Daily Raw Data'!$B:$B,0)),"")</f>
        <v/>
      </c>
      <c r="O200" t="str">
        <f t="array" ref="O200">IFERROR(INDEX('Daily Raw Data'!Y:Y,Match($A200,'Daily Raw Data'!$B:$B,0)),"")</f>
        <v/>
      </c>
      <c r="P200" t="str">
        <f t="shared" si="1"/>
        <v/>
      </c>
      <c r="Q200" s="14" t="str">
        <f t="shared" si="2"/>
        <v/>
      </c>
      <c r="R200" s="15" t="str">
        <f>IFERROR(__xludf.DUMMYFUNCTION("IF($A200="""","""", IFERROR(PERCENTRANK.INC(FILTER(P:P,$E:$E&lt;&gt;""""),P200)*100,""""))"),"")</f>
        <v/>
      </c>
      <c r="S200" s="15" t="str">
        <f>IFERROR(__xludf.DUMMYFUNCTION("IF($A200="""","""",IFERROR(PERCENTRANK.INC(FILTER(Q:Q,$E:$E&lt;&gt;""""),Q200)*100,""""))"),"")</f>
        <v/>
      </c>
    </row>
    <row r="201">
      <c r="B201" t="str">
        <f t="array" ref="B201">IFERROR(INDEX('Player Raw Data'!C:C,Match($A201,'Player Raw Data'!$B:$B,0)),"")</f>
        <v/>
      </c>
      <c r="C201" t="str">
        <f t="array" ref="C201">IFERROR(INDEX('Player Raw Data'!D:D,Match($A201,'Player Raw Data'!$B:$B,0)),"")</f>
        <v/>
      </c>
      <c r="D201" t="str">
        <f t="array" ref="D201">IFERROR(IF(A201=A200, INDEX('Player Raw Data'!E:E,Match($A201,'Player Raw Data'!$B:$B,0)+2),INDEX('Player Raw Data'!E:E,Match($A201,'Player Raw Data'!$B:$B,0))),"")</f>
        <v/>
      </c>
      <c r="E201" s="27" t="str">
        <f>IFERROR(__xludf.DUMMYFUNCTION("IFERROR(ARRAY_CONSTRAIN(SPLIT(INDEX('Daily Raw Data'!G:G,Match($A201,'Daily Raw Data'!$B:$B,0)),"":""),1,1),"""")"),"")</f>
        <v/>
      </c>
      <c r="F201" t="str">
        <f t="array" ref="F201">IFERROR(INDEX('Daily Raw Data'!H:H,Match($A201,'Daily Raw Data'!$B:$B,0)),"")</f>
        <v/>
      </c>
      <c r="G201" t="str">
        <f t="array" ref="G201">IFERROR(INDEX('Daily Raw Data'!I:I,Match($A201,'Daily Raw Data'!$B:$B,0)),"")</f>
        <v/>
      </c>
      <c r="H201" t="str">
        <f t="array" ref="H201">IFERROR(INDEX('Daily Raw Data'!N:N,Match($A201,'Daily Raw Data'!$B:$B,0)),"")</f>
        <v/>
      </c>
      <c r="I201" t="str">
        <f t="array" ref="I201">IFERROR(INDEX('Daily Raw Data'!O:O,Match($A201,'Daily Raw Data'!$B:$B,0)),"")</f>
        <v/>
      </c>
      <c r="J201" t="str">
        <f t="array" ref="J201">IFERROR(INDEX('Daily Raw Data'!S:S,Match($A201,'Daily Raw Data'!$B:$B,0)),"")</f>
        <v/>
      </c>
      <c r="K201" t="str">
        <f t="array" ref="K201">IFERROR(INDEX('Daily Raw Data'!T:T,Match($A201,'Daily Raw Data'!$B:$B,0)),"")</f>
        <v/>
      </c>
      <c r="L201" t="str">
        <f t="array" ref="L201">IFERROR(INDEX('Daily Raw Data'!U:U,Match($A201,'Daily Raw Data'!$B:$B,0)),"")</f>
        <v/>
      </c>
      <c r="M201" t="str">
        <f t="array" ref="M201">IFERROR(INDEX('Daily Raw Data'!V:V,Match($A201,'Daily Raw Data'!$B:$B,0)),"")</f>
        <v/>
      </c>
      <c r="N201" t="str">
        <f t="array" ref="N201">IFERROR(INDEX('Daily Raw Data'!W:W,Match($A201,'Daily Raw Data'!$B:$B,0)),"")</f>
        <v/>
      </c>
      <c r="O201" t="str">
        <f t="array" ref="O201">IFERROR(INDEX('Daily Raw Data'!Y:Y,Match($A201,'Daily Raw Data'!$B:$B,0)),"")</f>
        <v/>
      </c>
      <c r="P201" t="str">
        <f t="shared" si="1"/>
        <v/>
      </c>
      <c r="Q201" s="14" t="str">
        <f t="shared" si="2"/>
        <v/>
      </c>
      <c r="R201" s="15" t="str">
        <f>IFERROR(__xludf.DUMMYFUNCTION("IF($A201="""","""", IFERROR(PERCENTRANK.INC(FILTER(P:P,$E:$E&lt;&gt;""""),P201)*100,""""))"),"")</f>
        <v/>
      </c>
      <c r="S201" s="15" t="str">
        <f>IFERROR(__xludf.DUMMYFUNCTION("IF($A201="""","""",IFERROR(PERCENTRANK.INC(FILTER(Q:Q,$E:$E&lt;&gt;""""),Q201)*100,""""))"),"")</f>
        <v/>
      </c>
    </row>
    <row r="202">
      <c r="B202" t="str">
        <f t="array" ref="B202">IFERROR(INDEX('Player Raw Data'!C:C,Match($A202,'Player Raw Data'!$B:$B,0)),"")</f>
        <v/>
      </c>
      <c r="C202" t="str">
        <f t="array" ref="C202">IFERROR(INDEX('Player Raw Data'!D:D,Match($A202,'Player Raw Data'!$B:$B,0)),"")</f>
        <v/>
      </c>
      <c r="D202" t="str">
        <f t="array" ref="D202">IFERROR(IF(A202=A201, INDEX('Player Raw Data'!E:E,Match($A202,'Player Raw Data'!$B:$B,0)+2),INDEX('Player Raw Data'!E:E,Match($A202,'Player Raw Data'!$B:$B,0))),"")</f>
        <v/>
      </c>
      <c r="E202" s="27" t="str">
        <f>IFERROR(__xludf.DUMMYFUNCTION("IFERROR(ARRAY_CONSTRAIN(SPLIT(INDEX('Daily Raw Data'!G:G,Match($A202,'Daily Raw Data'!$B:$B,0)),"":""),1,1),"""")"),"")</f>
        <v/>
      </c>
      <c r="F202" t="str">
        <f t="array" ref="F202">IFERROR(INDEX('Daily Raw Data'!H:H,Match($A202,'Daily Raw Data'!$B:$B,0)),"")</f>
        <v/>
      </c>
      <c r="G202" t="str">
        <f t="array" ref="G202">IFERROR(INDEX('Daily Raw Data'!I:I,Match($A202,'Daily Raw Data'!$B:$B,0)),"")</f>
        <v/>
      </c>
      <c r="H202" t="str">
        <f t="array" ref="H202">IFERROR(INDEX('Daily Raw Data'!N:N,Match($A202,'Daily Raw Data'!$B:$B,0)),"")</f>
        <v/>
      </c>
      <c r="I202" t="str">
        <f t="array" ref="I202">IFERROR(INDEX('Daily Raw Data'!O:O,Match($A202,'Daily Raw Data'!$B:$B,0)),"")</f>
        <v/>
      </c>
      <c r="J202" t="str">
        <f t="array" ref="J202">IFERROR(INDEX('Daily Raw Data'!S:S,Match($A202,'Daily Raw Data'!$B:$B,0)),"")</f>
        <v/>
      </c>
      <c r="K202" t="str">
        <f t="array" ref="K202">IFERROR(INDEX('Daily Raw Data'!T:T,Match($A202,'Daily Raw Data'!$B:$B,0)),"")</f>
        <v/>
      </c>
      <c r="L202" t="str">
        <f t="array" ref="L202">IFERROR(INDEX('Daily Raw Data'!U:U,Match($A202,'Daily Raw Data'!$B:$B,0)),"")</f>
        <v/>
      </c>
      <c r="M202" t="str">
        <f t="array" ref="M202">IFERROR(INDEX('Daily Raw Data'!V:V,Match($A202,'Daily Raw Data'!$B:$B,0)),"")</f>
        <v/>
      </c>
      <c r="N202" t="str">
        <f t="array" ref="N202">IFERROR(INDEX('Daily Raw Data'!W:W,Match($A202,'Daily Raw Data'!$B:$B,0)),"")</f>
        <v/>
      </c>
      <c r="O202" t="str">
        <f t="array" ref="O202">IFERROR(INDEX('Daily Raw Data'!Y:Y,Match($A202,'Daily Raw Data'!$B:$B,0)),"")</f>
        <v/>
      </c>
      <c r="P202" t="str">
        <f t="shared" si="1"/>
        <v/>
      </c>
      <c r="Q202" s="14" t="str">
        <f t="shared" si="2"/>
        <v/>
      </c>
      <c r="R202" s="15" t="str">
        <f>IFERROR(__xludf.DUMMYFUNCTION("IF($A202="""","""", IFERROR(PERCENTRANK.INC(FILTER(P:P,$E:$E&lt;&gt;""""),P202)*100,""""))"),"")</f>
        <v/>
      </c>
      <c r="S202" s="15" t="str">
        <f>IFERROR(__xludf.DUMMYFUNCTION("IF($A202="""","""",IFERROR(PERCENTRANK.INC(FILTER(Q:Q,$E:$E&lt;&gt;""""),Q202)*100,""""))"),"")</f>
        <v/>
      </c>
    </row>
    <row r="203">
      <c r="B203" t="str">
        <f t="array" ref="B203">IFERROR(INDEX('Player Raw Data'!C:C,Match($A203,'Player Raw Data'!$B:$B,0)),"")</f>
        <v/>
      </c>
      <c r="C203" t="str">
        <f t="array" ref="C203">IFERROR(INDEX('Player Raw Data'!D:D,Match($A203,'Player Raw Data'!$B:$B,0)),"")</f>
        <v/>
      </c>
      <c r="D203" t="str">
        <f t="array" ref="D203">IFERROR(IF(A203=A202, INDEX('Player Raw Data'!E:E,Match($A203,'Player Raw Data'!$B:$B,0)+2),INDEX('Player Raw Data'!E:E,Match($A203,'Player Raw Data'!$B:$B,0))),"")</f>
        <v/>
      </c>
      <c r="E203" s="27" t="str">
        <f>IFERROR(__xludf.DUMMYFUNCTION("IFERROR(ARRAY_CONSTRAIN(SPLIT(INDEX('Daily Raw Data'!G:G,Match($A203,'Daily Raw Data'!$B:$B,0)),"":""),1,1),"""")"),"")</f>
        <v/>
      </c>
      <c r="F203" t="str">
        <f t="array" ref="F203">IFERROR(INDEX('Daily Raw Data'!H:H,Match($A203,'Daily Raw Data'!$B:$B,0)),"")</f>
        <v/>
      </c>
      <c r="G203" t="str">
        <f t="array" ref="G203">IFERROR(INDEX('Daily Raw Data'!I:I,Match($A203,'Daily Raw Data'!$B:$B,0)),"")</f>
        <v/>
      </c>
      <c r="H203" t="str">
        <f t="array" ref="H203">IFERROR(INDEX('Daily Raw Data'!N:N,Match($A203,'Daily Raw Data'!$B:$B,0)),"")</f>
        <v/>
      </c>
      <c r="I203" t="str">
        <f t="array" ref="I203">IFERROR(INDEX('Daily Raw Data'!O:O,Match($A203,'Daily Raw Data'!$B:$B,0)),"")</f>
        <v/>
      </c>
      <c r="J203" t="str">
        <f t="array" ref="J203">IFERROR(INDEX('Daily Raw Data'!S:S,Match($A203,'Daily Raw Data'!$B:$B,0)),"")</f>
        <v/>
      </c>
      <c r="K203" t="str">
        <f t="array" ref="K203">IFERROR(INDEX('Daily Raw Data'!T:T,Match($A203,'Daily Raw Data'!$B:$B,0)),"")</f>
        <v/>
      </c>
      <c r="L203" t="str">
        <f t="array" ref="L203">IFERROR(INDEX('Daily Raw Data'!U:U,Match($A203,'Daily Raw Data'!$B:$B,0)),"")</f>
        <v/>
      </c>
      <c r="M203" t="str">
        <f t="array" ref="M203">IFERROR(INDEX('Daily Raw Data'!V:V,Match($A203,'Daily Raw Data'!$B:$B,0)),"")</f>
        <v/>
      </c>
      <c r="N203" t="str">
        <f t="array" ref="N203">IFERROR(INDEX('Daily Raw Data'!W:W,Match($A203,'Daily Raw Data'!$B:$B,0)),"")</f>
        <v/>
      </c>
      <c r="O203" t="str">
        <f t="array" ref="O203">IFERROR(INDEX('Daily Raw Data'!Y:Y,Match($A203,'Daily Raw Data'!$B:$B,0)),"")</f>
        <v/>
      </c>
      <c r="P203" t="str">
        <f t="shared" si="1"/>
        <v/>
      </c>
      <c r="Q203" s="14" t="str">
        <f t="shared" si="2"/>
        <v/>
      </c>
      <c r="R203" s="15" t="str">
        <f>IFERROR(__xludf.DUMMYFUNCTION("IF($A203="""","""", IFERROR(PERCENTRANK.INC(FILTER(P:P,$E:$E&lt;&gt;""""),P203)*100,""""))"),"")</f>
        <v/>
      </c>
      <c r="S203" s="15" t="str">
        <f>IFERROR(__xludf.DUMMYFUNCTION("IF($A203="""","""",IFERROR(PERCENTRANK.INC(FILTER(Q:Q,$E:$E&lt;&gt;""""),Q203)*100,""""))"),"")</f>
        <v/>
      </c>
    </row>
    <row r="204">
      <c r="B204" t="str">
        <f t="array" ref="B204">IFERROR(INDEX('Player Raw Data'!C:C,Match($A204,'Player Raw Data'!$B:$B,0)),"")</f>
        <v/>
      </c>
      <c r="C204" t="str">
        <f t="array" ref="C204">IFERROR(INDEX('Player Raw Data'!D:D,Match($A204,'Player Raw Data'!$B:$B,0)),"")</f>
        <v/>
      </c>
      <c r="D204" t="str">
        <f t="array" ref="D204">IFERROR(IF(A204=A203, INDEX('Player Raw Data'!E:E,Match($A204,'Player Raw Data'!$B:$B,0)+2),INDEX('Player Raw Data'!E:E,Match($A204,'Player Raw Data'!$B:$B,0))),"")</f>
        <v/>
      </c>
      <c r="E204" s="27" t="str">
        <f>IFERROR(__xludf.DUMMYFUNCTION("IFERROR(ARRAY_CONSTRAIN(SPLIT(INDEX('Daily Raw Data'!G:G,Match($A204,'Daily Raw Data'!$B:$B,0)),"":""),1,1),"""")"),"")</f>
        <v/>
      </c>
      <c r="F204" t="str">
        <f t="array" ref="F204">IFERROR(INDEX('Daily Raw Data'!H:H,Match($A204,'Daily Raw Data'!$B:$B,0)),"")</f>
        <v/>
      </c>
      <c r="G204" t="str">
        <f t="array" ref="G204">IFERROR(INDEX('Daily Raw Data'!I:I,Match($A204,'Daily Raw Data'!$B:$B,0)),"")</f>
        <v/>
      </c>
      <c r="H204" t="str">
        <f t="array" ref="H204">IFERROR(INDEX('Daily Raw Data'!N:N,Match($A204,'Daily Raw Data'!$B:$B,0)),"")</f>
        <v/>
      </c>
      <c r="I204" t="str">
        <f t="array" ref="I204">IFERROR(INDEX('Daily Raw Data'!O:O,Match($A204,'Daily Raw Data'!$B:$B,0)),"")</f>
        <v/>
      </c>
      <c r="J204" t="str">
        <f t="array" ref="J204">IFERROR(INDEX('Daily Raw Data'!S:S,Match($A204,'Daily Raw Data'!$B:$B,0)),"")</f>
        <v/>
      </c>
      <c r="K204" t="str">
        <f t="array" ref="K204">IFERROR(INDEX('Daily Raw Data'!T:T,Match($A204,'Daily Raw Data'!$B:$B,0)),"")</f>
        <v/>
      </c>
      <c r="L204" t="str">
        <f t="array" ref="L204">IFERROR(INDEX('Daily Raw Data'!U:U,Match($A204,'Daily Raw Data'!$B:$B,0)),"")</f>
        <v/>
      </c>
      <c r="M204" t="str">
        <f t="array" ref="M204">IFERROR(INDEX('Daily Raw Data'!V:V,Match($A204,'Daily Raw Data'!$B:$B,0)),"")</f>
        <v/>
      </c>
      <c r="N204" t="str">
        <f t="array" ref="N204">IFERROR(INDEX('Daily Raw Data'!W:W,Match($A204,'Daily Raw Data'!$B:$B,0)),"")</f>
        <v/>
      </c>
      <c r="O204" t="str">
        <f t="array" ref="O204">IFERROR(INDEX('Daily Raw Data'!Y:Y,Match($A204,'Daily Raw Data'!$B:$B,0)),"")</f>
        <v/>
      </c>
      <c r="P204" t="str">
        <f t="shared" si="1"/>
        <v/>
      </c>
      <c r="Q204" s="14" t="str">
        <f t="shared" si="2"/>
        <v/>
      </c>
      <c r="R204" s="15" t="str">
        <f>IFERROR(__xludf.DUMMYFUNCTION("IF($A204="""","""", IFERROR(PERCENTRANK.INC(FILTER(P:P,$E:$E&lt;&gt;""""),P204)*100,""""))"),"")</f>
        <v/>
      </c>
      <c r="S204" s="15" t="str">
        <f>IFERROR(__xludf.DUMMYFUNCTION("IF($A204="""","""",IFERROR(PERCENTRANK.INC(FILTER(Q:Q,$E:$E&lt;&gt;""""),Q204)*100,""""))"),"")</f>
        <v/>
      </c>
    </row>
    <row r="205">
      <c r="B205" t="str">
        <f t="array" ref="B205">IFERROR(INDEX('Player Raw Data'!C:C,Match($A205,'Player Raw Data'!$B:$B,0)),"")</f>
        <v/>
      </c>
      <c r="C205" t="str">
        <f t="array" ref="C205">IFERROR(INDEX('Player Raw Data'!D:D,Match($A205,'Player Raw Data'!$B:$B,0)),"")</f>
        <v/>
      </c>
      <c r="D205" t="str">
        <f t="array" ref="D205">IFERROR(IF(A205=A204, INDEX('Player Raw Data'!E:E,Match($A205,'Player Raw Data'!$B:$B,0)+2),INDEX('Player Raw Data'!E:E,Match($A205,'Player Raw Data'!$B:$B,0))),"")</f>
        <v/>
      </c>
      <c r="E205" s="27" t="str">
        <f>IFERROR(__xludf.DUMMYFUNCTION("IFERROR(ARRAY_CONSTRAIN(SPLIT(INDEX('Daily Raw Data'!G:G,Match($A205,'Daily Raw Data'!$B:$B,0)),"":""),1,1),"""")"),"")</f>
        <v/>
      </c>
      <c r="F205" t="str">
        <f t="array" ref="F205">IFERROR(INDEX('Daily Raw Data'!H:H,Match($A205,'Daily Raw Data'!$B:$B,0)),"")</f>
        <v/>
      </c>
      <c r="G205" t="str">
        <f t="array" ref="G205">IFERROR(INDEX('Daily Raw Data'!I:I,Match($A205,'Daily Raw Data'!$B:$B,0)),"")</f>
        <v/>
      </c>
      <c r="H205" t="str">
        <f t="array" ref="H205">IFERROR(INDEX('Daily Raw Data'!N:N,Match($A205,'Daily Raw Data'!$B:$B,0)),"")</f>
        <v/>
      </c>
      <c r="I205" t="str">
        <f t="array" ref="I205">IFERROR(INDEX('Daily Raw Data'!O:O,Match($A205,'Daily Raw Data'!$B:$B,0)),"")</f>
        <v/>
      </c>
      <c r="J205" t="str">
        <f t="array" ref="J205">IFERROR(INDEX('Daily Raw Data'!S:S,Match($A205,'Daily Raw Data'!$B:$B,0)),"")</f>
        <v/>
      </c>
      <c r="K205" t="str">
        <f t="array" ref="K205">IFERROR(INDEX('Daily Raw Data'!T:T,Match($A205,'Daily Raw Data'!$B:$B,0)),"")</f>
        <v/>
      </c>
      <c r="L205" t="str">
        <f t="array" ref="L205">IFERROR(INDEX('Daily Raw Data'!U:U,Match($A205,'Daily Raw Data'!$B:$B,0)),"")</f>
        <v/>
      </c>
      <c r="M205" t="str">
        <f t="array" ref="M205">IFERROR(INDEX('Daily Raw Data'!V:V,Match($A205,'Daily Raw Data'!$B:$B,0)),"")</f>
        <v/>
      </c>
      <c r="N205" t="str">
        <f t="array" ref="N205">IFERROR(INDEX('Daily Raw Data'!W:W,Match($A205,'Daily Raw Data'!$B:$B,0)),"")</f>
        <v/>
      </c>
      <c r="O205" t="str">
        <f t="array" ref="O205">IFERROR(INDEX('Daily Raw Data'!Y:Y,Match($A205,'Daily Raw Data'!$B:$B,0)),"")</f>
        <v/>
      </c>
      <c r="P205" t="str">
        <f t="shared" si="1"/>
        <v/>
      </c>
      <c r="Q205" s="14" t="str">
        <f t="shared" si="2"/>
        <v/>
      </c>
      <c r="R205" s="15" t="str">
        <f>IFERROR(__xludf.DUMMYFUNCTION("IF($A205="""","""", IFERROR(PERCENTRANK.INC(FILTER(P:P,$E:$E&lt;&gt;""""),P205)*100,""""))"),"")</f>
        <v/>
      </c>
      <c r="S205" s="15" t="str">
        <f>IFERROR(__xludf.DUMMYFUNCTION("IF($A205="""","""",IFERROR(PERCENTRANK.INC(FILTER(Q:Q,$E:$E&lt;&gt;""""),Q205)*100,""""))"),"")</f>
        <v/>
      </c>
    </row>
    <row r="206">
      <c r="B206" t="str">
        <f t="array" ref="B206">IFERROR(INDEX('Player Raw Data'!C:C,Match($A206,'Player Raw Data'!$B:$B,0)),"")</f>
        <v/>
      </c>
      <c r="C206" t="str">
        <f t="array" ref="C206">IFERROR(INDEX('Player Raw Data'!D:D,Match($A206,'Player Raw Data'!$B:$B,0)),"")</f>
        <v/>
      </c>
      <c r="D206" t="str">
        <f t="array" ref="D206">IFERROR(IF(A206=A205, INDEX('Player Raw Data'!E:E,Match($A206,'Player Raw Data'!$B:$B,0)+2),INDEX('Player Raw Data'!E:E,Match($A206,'Player Raw Data'!$B:$B,0))),"")</f>
        <v/>
      </c>
      <c r="E206" s="27" t="str">
        <f>IFERROR(__xludf.DUMMYFUNCTION("IFERROR(ARRAY_CONSTRAIN(SPLIT(INDEX('Daily Raw Data'!G:G,Match($A206,'Daily Raw Data'!$B:$B,0)),"":""),1,1),"""")"),"")</f>
        <v/>
      </c>
      <c r="F206" t="str">
        <f t="array" ref="F206">IFERROR(INDEX('Daily Raw Data'!H:H,Match($A206,'Daily Raw Data'!$B:$B,0)),"")</f>
        <v/>
      </c>
      <c r="G206" t="str">
        <f t="array" ref="G206">IFERROR(INDEX('Daily Raw Data'!I:I,Match($A206,'Daily Raw Data'!$B:$B,0)),"")</f>
        <v/>
      </c>
      <c r="H206" t="str">
        <f t="array" ref="H206">IFERROR(INDEX('Daily Raw Data'!N:N,Match($A206,'Daily Raw Data'!$B:$B,0)),"")</f>
        <v/>
      </c>
      <c r="I206" t="str">
        <f t="array" ref="I206">IFERROR(INDEX('Daily Raw Data'!O:O,Match($A206,'Daily Raw Data'!$B:$B,0)),"")</f>
        <v/>
      </c>
      <c r="J206" t="str">
        <f t="array" ref="J206">IFERROR(INDEX('Daily Raw Data'!S:S,Match($A206,'Daily Raw Data'!$B:$B,0)),"")</f>
        <v/>
      </c>
      <c r="K206" t="str">
        <f t="array" ref="K206">IFERROR(INDEX('Daily Raw Data'!T:T,Match($A206,'Daily Raw Data'!$B:$B,0)),"")</f>
        <v/>
      </c>
      <c r="L206" t="str">
        <f t="array" ref="L206">IFERROR(INDEX('Daily Raw Data'!U:U,Match($A206,'Daily Raw Data'!$B:$B,0)),"")</f>
        <v/>
      </c>
      <c r="M206" t="str">
        <f t="array" ref="M206">IFERROR(INDEX('Daily Raw Data'!V:V,Match($A206,'Daily Raw Data'!$B:$B,0)),"")</f>
        <v/>
      </c>
      <c r="N206" t="str">
        <f t="array" ref="N206">IFERROR(INDEX('Daily Raw Data'!W:W,Match($A206,'Daily Raw Data'!$B:$B,0)),"")</f>
        <v/>
      </c>
      <c r="O206" t="str">
        <f t="array" ref="O206">IFERROR(INDEX('Daily Raw Data'!Y:Y,Match($A206,'Daily Raw Data'!$B:$B,0)),"")</f>
        <v/>
      </c>
      <c r="P206" t="str">
        <f t="shared" si="1"/>
        <v/>
      </c>
      <c r="Q206" s="14" t="str">
        <f t="shared" si="2"/>
        <v/>
      </c>
      <c r="R206" s="15" t="str">
        <f>IFERROR(__xludf.DUMMYFUNCTION("IF($A206="""","""", IFERROR(PERCENTRANK.INC(FILTER(P:P,$E:$E&lt;&gt;""""),P206)*100,""""))"),"")</f>
        <v/>
      </c>
      <c r="S206" s="15" t="str">
        <f>IFERROR(__xludf.DUMMYFUNCTION("IF($A206="""","""",IFERROR(PERCENTRANK.INC(FILTER(Q:Q,$E:$E&lt;&gt;""""),Q206)*100,""""))"),"")</f>
        <v/>
      </c>
    </row>
    <row r="207">
      <c r="B207" t="str">
        <f t="array" ref="B207">IFERROR(INDEX('Player Raw Data'!C:C,Match($A207,'Player Raw Data'!$B:$B,0)),"")</f>
        <v/>
      </c>
      <c r="C207" t="str">
        <f t="array" ref="C207">IFERROR(INDEX('Player Raw Data'!D:D,Match($A207,'Player Raw Data'!$B:$B,0)),"")</f>
        <v/>
      </c>
      <c r="D207" t="str">
        <f t="array" ref="D207">IFERROR(IF(A207=A206, INDEX('Player Raw Data'!E:E,Match($A207,'Player Raw Data'!$B:$B,0)+2),INDEX('Player Raw Data'!E:E,Match($A207,'Player Raw Data'!$B:$B,0))),"")</f>
        <v/>
      </c>
      <c r="E207" s="27" t="str">
        <f>IFERROR(__xludf.DUMMYFUNCTION("IFERROR(ARRAY_CONSTRAIN(SPLIT(INDEX('Daily Raw Data'!G:G,Match($A207,'Daily Raw Data'!$B:$B,0)),"":""),1,1),"""")"),"")</f>
        <v/>
      </c>
      <c r="F207" t="str">
        <f t="array" ref="F207">IFERROR(INDEX('Daily Raw Data'!H:H,Match($A207,'Daily Raw Data'!$B:$B,0)),"")</f>
        <v/>
      </c>
      <c r="G207" t="str">
        <f t="array" ref="G207">IFERROR(INDEX('Daily Raw Data'!I:I,Match($A207,'Daily Raw Data'!$B:$B,0)),"")</f>
        <v/>
      </c>
      <c r="H207" t="str">
        <f t="array" ref="H207">IFERROR(INDEX('Daily Raw Data'!N:N,Match($A207,'Daily Raw Data'!$B:$B,0)),"")</f>
        <v/>
      </c>
      <c r="I207" t="str">
        <f t="array" ref="I207">IFERROR(INDEX('Daily Raw Data'!O:O,Match($A207,'Daily Raw Data'!$B:$B,0)),"")</f>
        <v/>
      </c>
      <c r="J207" t="str">
        <f t="array" ref="J207">IFERROR(INDEX('Daily Raw Data'!S:S,Match($A207,'Daily Raw Data'!$B:$B,0)),"")</f>
        <v/>
      </c>
      <c r="K207" t="str">
        <f t="array" ref="K207">IFERROR(INDEX('Daily Raw Data'!T:T,Match($A207,'Daily Raw Data'!$B:$B,0)),"")</f>
        <v/>
      </c>
      <c r="L207" t="str">
        <f t="array" ref="L207">IFERROR(INDEX('Daily Raw Data'!U:U,Match($A207,'Daily Raw Data'!$B:$B,0)),"")</f>
        <v/>
      </c>
      <c r="M207" t="str">
        <f t="array" ref="M207">IFERROR(INDEX('Daily Raw Data'!V:V,Match($A207,'Daily Raw Data'!$B:$B,0)),"")</f>
        <v/>
      </c>
      <c r="N207" t="str">
        <f t="array" ref="N207">IFERROR(INDEX('Daily Raw Data'!W:W,Match($A207,'Daily Raw Data'!$B:$B,0)),"")</f>
        <v/>
      </c>
      <c r="O207" t="str">
        <f t="array" ref="O207">IFERROR(INDEX('Daily Raw Data'!Y:Y,Match($A207,'Daily Raw Data'!$B:$B,0)),"")</f>
        <v/>
      </c>
      <c r="P207" t="str">
        <f t="shared" si="1"/>
        <v/>
      </c>
      <c r="Q207" s="14" t="str">
        <f t="shared" si="2"/>
        <v/>
      </c>
      <c r="R207" s="15" t="str">
        <f>IFERROR(__xludf.DUMMYFUNCTION("IF($A207="""","""", IFERROR(PERCENTRANK.INC(FILTER(P:P,$E:$E&lt;&gt;""""),P207)*100,""""))"),"")</f>
        <v/>
      </c>
      <c r="S207" s="15" t="str">
        <f>IFERROR(__xludf.DUMMYFUNCTION("IF($A207="""","""",IFERROR(PERCENTRANK.INC(FILTER(Q:Q,$E:$E&lt;&gt;""""),Q207)*100,""""))"),"")</f>
        <v/>
      </c>
    </row>
    <row r="208">
      <c r="B208" t="str">
        <f t="array" ref="B208">IFERROR(INDEX('Player Raw Data'!C:C,Match($A208,'Player Raw Data'!$B:$B,0)),"")</f>
        <v/>
      </c>
      <c r="C208" t="str">
        <f t="array" ref="C208">IFERROR(INDEX('Player Raw Data'!D:D,Match($A208,'Player Raw Data'!$B:$B,0)),"")</f>
        <v/>
      </c>
      <c r="D208" t="str">
        <f t="array" ref="D208">IFERROR(IF(A208=A207, INDEX('Player Raw Data'!E:E,Match($A208,'Player Raw Data'!$B:$B,0)+2),INDEX('Player Raw Data'!E:E,Match($A208,'Player Raw Data'!$B:$B,0))),"")</f>
        <v/>
      </c>
      <c r="E208" s="27" t="str">
        <f>IFERROR(__xludf.DUMMYFUNCTION("IFERROR(ARRAY_CONSTRAIN(SPLIT(INDEX('Daily Raw Data'!G:G,Match($A208,'Daily Raw Data'!$B:$B,0)),"":""),1,1),"""")"),"")</f>
        <v/>
      </c>
      <c r="F208" t="str">
        <f t="array" ref="F208">IFERROR(INDEX('Daily Raw Data'!H:H,Match($A208,'Daily Raw Data'!$B:$B,0)),"")</f>
        <v/>
      </c>
      <c r="G208" t="str">
        <f t="array" ref="G208">IFERROR(INDEX('Daily Raw Data'!I:I,Match($A208,'Daily Raw Data'!$B:$B,0)),"")</f>
        <v/>
      </c>
      <c r="H208" t="str">
        <f t="array" ref="H208">IFERROR(INDEX('Daily Raw Data'!N:N,Match($A208,'Daily Raw Data'!$B:$B,0)),"")</f>
        <v/>
      </c>
      <c r="I208" t="str">
        <f t="array" ref="I208">IFERROR(INDEX('Daily Raw Data'!O:O,Match($A208,'Daily Raw Data'!$B:$B,0)),"")</f>
        <v/>
      </c>
      <c r="J208" t="str">
        <f t="array" ref="J208">IFERROR(INDEX('Daily Raw Data'!S:S,Match($A208,'Daily Raw Data'!$B:$B,0)),"")</f>
        <v/>
      </c>
      <c r="K208" t="str">
        <f t="array" ref="K208">IFERROR(INDEX('Daily Raw Data'!T:T,Match($A208,'Daily Raw Data'!$B:$B,0)),"")</f>
        <v/>
      </c>
      <c r="L208" t="str">
        <f t="array" ref="L208">IFERROR(INDEX('Daily Raw Data'!U:U,Match($A208,'Daily Raw Data'!$B:$B,0)),"")</f>
        <v/>
      </c>
      <c r="M208" t="str">
        <f t="array" ref="M208">IFERROR(INDEX('Daily Raw Data'!V:V,Match($A208,'Daily Raw Data'!$B:$B,0)),"")</f>
        <v/>
      </c>
      <c r="N208" t="str">
        <f t="array" ref="N208">IFERROR(INDEX('Daily Raw Data'!W:W,Match($A208,'Daily Raw Data'!$B:$B,0)),"")</f>
        <v/>
      </c>
      <c r="O208" t="str">
        <f t="array" ref="O208">IFERROR(INDEX('Daily Raw Data'!Y:Y,Match($A208,'Daily Raw Data'!$B:$B,0)),"")</f>
        <v/>
      </c>
      <c r="P208" t="str">
        <f t="shared" si="1"/>
        <v/>
      </c>
      <c r="Q208" s="14" t="str">
        <f t="shared" si="2"/>
        <v/>
      </c>
      <c r="R208" s="15" t="str">
        <f>IFERROR(__xludf.DUMMYFUNCTION("IF($A208="""","""", IFERROR(PERCENTRANK.INC(FILTER(P:P,$E:$E&lt;&gt;""""),P208)*100,""""))"),"")</f>
        <v/>
      </c>
      <c r="S208" s="15" t="str">
        <f>IFERROR(__xludf.DUMMYFUNCTION("IF($A208="""","""",IFERROR(PERCENTRANK.INC(FILTER(Q:Q,$E:$E&lt;&gt;""""),Q208)*100,""""))"),"")</f>
        <v/>
      </c>
    </row>
    <row r="209">
      <c r="B209" t="str">
        <f t="array" ref="B209">IFERROR(INDEX('Player Raw Data'!C:C,Match($A209,'Player Raw Data'!$B:$B,0)),"")</f>
        <v/>
      </c>
      <c r="C209" t="str">
        <f t="array" ref="C209">IFERROR(INDEX('Player Raw Data'!D:D,Match($A209,'Player Raw Data'!$B:$B,0)),"")</f>
        <v/>
      </c>
      <c r="D209" t="str">
        <f t="array" ref="D209">IFERROR(IF(A209=A208, INDEX('Player Raw Data'!E:E,Match($A209,'Player Raw Data'!$B:$B,0)+2),INDEX('Player Raw Data'!E:E,Match($A209,'Player Raw Data'!$B:$B,0))),"")</f>
        <v/>
      </c>
      <c r="E209" s="27" t="str">
        <f>IFERROR(__xludf.DUMMYFUNCTION("IFERROR(ARRAY_CONSTRAIN(SPLIT(INDEX('Daily Raw Data'!G:G,Match($A209,'Daily Raw Data'!$B:$B,0)),"":""),1,1),"""")"),"")</f>
        <v/>
      </c>
      <c r="F209" t="str">
        <f t="array" ref="F209">IFERROR(INDEX('Daily Raw Data'!H:H,Match($A209,'Daily Raw Data'!$B:$B,0)),"")</f>
        <v/>
      </c>
      <c r="G209" t="str">
        <f t="array" ref="G209">IFERROR(INDEX('Daily Raw Data'!I:I,Match($A209,'Daily Raw Data'!$B:$B,0)),"")</f>
        <v/>
      </c>
      <c r="H209" t="str">
        <f t="array" ref="H209">IFERROR(INDEX('Daily Raw Data'!N:N,Match($A209,'Daily Raw Data'!$B:$B,0)),"")</f>
        <v/>
      </c>
      <c r="I209" t="str">
        <f t="array" ref="I209">IFERROR(INDEX('Daily Raw Data'!O:O,Match($A209,'Daily Raw Data'!$B:$B,0)),"")</f>
        <v/>
      </c>
      <c r="J209" t="str">
        <f t="array" ref="J209">IFERROR(INDEX('Daily Raw Data'!S:S,Match($A209,'Daily Raw Data'!$B:$B,0)),"")</f>
        <v/>
      </c>
      <c r="K209" t="str">
        <f t="array" ref="K209">IFERROR(INDEX('Daily Raw Data'!T:T,Match($A209,'Daily Raw Data'!$B:$B,0)),"")</f>
        <v/>
      </c>
      <c r="L209" t="str">
        <f t="array" ref="L209">IFERROR(INDEX('Daily Raw Data'!U:U,Match($A209,'Daily Raw Data'!$B:$B,0)),"")</f>
        <v/>
      </c>
      <c r="M209" t="str">
        <f t="array" ref="M209">IFERROR(INDEX('Daily Raw Data'!V:V,Match($A209,'Daily Raw Data'!$B:$B,0)),"")</f>
        <v/>
      </c>
      <c r="N209" t="str">
        <f t="array" ref="N209">IFERROR(INDEX('Daily Raw Data'!W:W,Match($A209,'Daily Raw Data'!$B:$B,0)),"")</f>
        <v/>
      </c>
      <c r="O209" t="str">
        <f t="array" ref="O209">IFERROR(INDEX('Daily Raw Data'!Y:Y,Match($A209,'Daily Raw Data'!$B:$B,0)),"")</f>
        <v/>
      </c>
      <c r="P209" t="str">
        <f t="shared" si="1"/>
        <v/>
      </c>
      <c r="Q209" s="14" t="str">
        <f t="shared" si="2"/>
        <v/>
      </c>
      <c r="R209" s="15" t="str">
        <f>IFERROR(__xludf.DUMMYFUNCTION("IF($A209="""","""", IFERROR(PERCENTRANK.INC(FILTER(P:P,$E:$E&lt;&gt;""""),P209)*100,""""))"),"")</f>
        <v/>
      </c>
      <c r="S209" s="15" t="str">
        <f>IFERROR(__xludf.DUMMYFUNCTION("IF($A209="""","""",IFERROR(PERCENTRANK.INC(FILTER(Q:Q,$E:$E&lt;&gt;""""),Q209)*100,""""))"),"")</f>
        <v/>
      </c>
    </row>
    <row r="210">
      <c r="B210" t="str">
        <f t="array" ref="B210">IFERROR(INDEX('Player Raw Data'!C:C,Match($A210,'Player Raw Data'!$B:$B,0)),"")</f>
        <v/>
      </c>
      <c r="C210" t="str">
        <f t="array" ref="C210">IFERROR(INDEX('Player Raw Data'!D:D,Match($A210,'Player Raw Data'!$B:$B,0)),"")</f>
        <v/>
      </c>
      <c r="D210" t="str">
        <f t="array" ref="D210">IFERROR(IF(A210=A209, INDEX('Player Raw Data'!E:E,Match($A210,'Player Raw Data'!$B:$B,0)+2),INDEX('Player Raw Data'!E:E,Match($A210,'Player Raw Data'!$B:$B,0))),"")</f>
        <v/>
      </c>
      <c r="E210" s="27" t="str">
        <f>IFERROR(__xludf.DUMMYFUNCTION("IFERROR(ARRAY_CONSTRAIN(SPLIT(INDEX('Daily Raw Data'!G:G,Match($A210,'Daily Raw Data'!$B:$B,0)),"":""),1,1),"""")"),"")</f>
        <v/>
      </c>
      <c r="F210" t="str">
        <f t="array" ref="F210">IFERROR(INDEX('Daily Raw Data'!H:H,Match($A210,'Daily Raw Data'!$B:$B,0)),"")</f>
        <v/>
      </c>
      <c r="G210" t="str">
        <f t="array" ref="G210">IFERROR(INDEX('Daily Raw Data'!I:I,Match($A210,'Daily Raw Data'!$B:$B,0)),"")</f>
        <v/>
      </c>
      <c r="H210" t="str">
        <f t="array" ref="H210">IFERROR(INDEX('Daily Raw Data'!N:N,Match($A210,'Daily Raw Data'!$B:$B,0)),"")</f>
        <v/>
      </c>
      <c r="I210" t="str">
        <f t="array" ref="I210">IFERROR(INDEX('Daily Raw Data'!O:O,Match($A210,'Daily Raw Data'!$B:$B,0)),"")</f>
        <v/>
      </c>
      <c r="J210" t="str">
        <f t="array" ref="J210">IFERROR(INDEX('Daily Raw Data'!S:S,Match($A210,'Daily Raw Data'!$B:$B,0)),"")</f>
        <v/>
      </c>
      <c r="K210" t="str">
        <f t="array" ref="K210">IFERROR(INDEX('Daily Raw Data'!T:T,Match($A210,'Daily Raw Data'!$B:$B,0)),"")</f>
        <v/>
      </c>
      <c r="L210" t="str">
        <f t="array" ref="L210">IFERROR(INDEX('Daily Raw Data'!U:U,Match($A210,'Daily Raw Data'!$B:$B,0)),"")</f>
        <v/>
      </c>
      <c r="M210" t="str">
        <f t="array" ref="M210">IFERROR(INDEX('Daily Raw Data'!V:V,Match($A210,'Daily Raw Data'!$B:$B,0)),"")</f>
        <v/>
      </c>
      <c r="N210" t="str">
        <f t="array" ref="N210">IFERROR(INDEX('Daily Raw Data'!W:W,Match($A210,'Daily Raw Data'!$B:$B,0)),"")</f>
        <v/>
      </c>
      <c r="O210" t="str">
        <f t="array" ref="O210">IFERROR(INDEX('Daily Raw Data'!Y:Y,Match($A210,'Daily Raw Data'!$B:$B,0)),"")</f>
        <v/>
      </c>
      <c r="P210" t="str">
        <f t="shared" si="1"/>
        <v/>
      </c>
      <c r="Q210" s="14" t="str">
        <f t="shared" si="2"/>
        <v/>
      </c>
      <c r="R210" s="15" t="str">
        <f>IFERROR(__xludf.DUMMYFUNCTION("IF($A210="""","""", IFERROR(PERCENTRANK.INC(FILTER(P:P,$E:$E&lt;&gt;""""),P210)*100,""""))"),"")</f>
        <v/>
      </c>
      <c r="S210" s="15" t="str">
        <f>IFERROR(__xludf.DUMMYFUNCTION("IF($A210="""","""",IFERROR(PERCENTRANK.INC(FILTER(Q:Q,$E:$E&lt;&gt;""""),Q210)*100,""""))"),"")</f>
        <v/>
      </c>
    </row>
    <row r="211">
      <c r="B211" t="str">
        <f t="array" ref="B211">IFERROR(INDEX('Player Raw Data'!C:C,Match($A211,'Player Raw Data'!$B:$B,0)),"")</f>
        <v/>
      </c>
      <c r="C211" t="str">
        <f t="array" ref="C211">IFERROR(INDEX('Player Raw Data'!D:D,Match($A211,'Player Raw Data'!$B:$B,0)),"")</f>
        <v/>
      </c>
      <c r="D211" t="str">
        <f t="array" ref="D211">IFERROR(IF(A211=A210, INDEX('Player Raw Data'!E:E,Match($A211,'Player Raw Data'!$B:$B,0)+2),INDEX('Player Raw Data'!E:E,Match($A211,'Player Raw Data'!$B:$B,0))),"")</f>
        <v/>
      </c>
      <c r="E211" s="27" t="str">
        <f>IFERROR(__xludf.DUMMYFUNCTION("IFERROR(ARRAY_CONSTRAIN(SPLIT(INDEX('Daily Raw Data'!G:G,Match($A211,'Daily Raw Data'!$B:$B,0)),"":""),1,1),"""")"),"")</f>
        <v/>
      </c>
      <c r="F211" t="str">
        <f t="array" ref="F211">IFERROR(INDEX('Daily Raw Data'!H:H,Match($A211,'Daily Raw Data'!$B:$B,0)),"")</f>
        <v/>
      </c>
      <c r="G211" t="str">
        <f t="array" ref="G211">IFERROR(INDEX('Daily Raw Data'!I:I,Match($A211,'Daily Raw Data'!$B:$B,0)),"")</f>
        <v/>
      </c>
      <c r="H211" t="str">
        <f t="array" ref="H211">IFERROR(INDEX('Daily Raw Data'!N:N,Match($A211,'Daily Raw Data'!$B:$B,0)),"")</f>
        <v/>
      </c>
      <c r="I211" t="str">
        <f t="array" ref="I211">IFERROR(INDEX('Daily Raw Data'!O:O,Match($A211,'Daily Raw Data'!$B:$B,0)),"")</f>
        <v/>
      </c>
      <c r="J211" t="str">
        <f t="array" ref="J211">IFERROR(INDEX('Daily Raw Data'!S:S,Match($A211,'Daily Raw Data'!$B:$B,0)),"")</f>
        <v/>
      </c>
      <c r="K211" t="str">
        <f t="array" ref="K211">IFERROR(INDEX('Daily Raw Data'!T:T,Match($A211,'Daily Raw Data'!$B:$B,0)),"")</f>
        <v/>
      </c>
      <c r="L211" t="str">
        <f t="array" ref="L211">IFERROR(INDEX('Daily Raw Data'!U:U,Match($A211,'Daily Raw Data'!$B:$B,0)),"")</f>
        <v/>
      </c>
      <c r="M211" t="str">
        <f t="array" ref="M211">IFERROR(INDEX('Daily Raw Data'!V:V,Match($A211,'Daily Raw Data'!$B:$B,0)),"")</f>
        <v/>
      </c>
      <c r="N211" t="str">
        <f t="array" ref="N211">IFERROR(INDEX('Daily Raw Data'!W:W,Match($A211,'Daily Raw Data'!$B:$B,0)),"")</f>
        <v/>
      </c>
      <c r="O211" t="str">
        <f t="array" ref="O211">IFERROR(INDEX('Daily Raw Data'!Y:Y,Match($A211,'Daily Raw Data'!$B:$B,0)),"")</f>
        <v/>
      </c>
      <c r="P211" t="str">
        <f t="shared" si="1"/>
        <v/>
      </c>
      <c r="Q211" s="14" t="str">
        <f t="shared" si="2"/>
        <v/>
      </c>
      <c r="R211" s="15" t="str">
        <f>IFERROR(__xludf.DUMMYFUNCTION("IF($A211="""","""", IFERROR(PERCENTRANK.INC(FILTER(P:P,$E:$E&lt;&gt;""""),P211)*100,""""))"),"")</f>
        <v/>
      </c>
      <c r="S211" s="15" t="str">
        <f>IFERROR(__xludf.DUMMYFUNCTION("IF($A211="""","""",IFERROR(PERCENTRANK.INC(FILTER(Q:Q,$E:$E&lt;&gt;""""),Q211)*100,""""))"),"")</f>
        <v/>
      </c>
    </row>
    <row r="212">
      <c r="B212" t="str">
        <f t="array" ref="B212">IFERROR(INDEX('Player Raw Data'!C:C,Match($A212,'Player Raw Data'!$B:$B,0)),"")</f>
        <v/>
      </c>
      <c r="C212" t="str">
        <f t="array" ref="C212">IFERROR(INDEX('Player Raw Data'!D:D,Match($A212,'Player Raw Data'!$B:$B,0)),"")</f>
        <v/>
      </c>
      <c r="D212" t="str">
        <f t="array" ref="D212">IFERROR(IF(A212=A211, INDEX('Player Raw Data'!E:E,Match($A212,'Player Raw Data'!$B:$B,0)+2),INDEX('Player Raw Data'!E:E,Match($A212,'Player Raw Data'!$B:$B,0))),"")</f>
        <v/>
      </c>
      <c r="E212" s="27" t="str">
        <f>IFERROR(__xludf.DUMMYFUNCTION("IFERROR(ARRAY_CONSTRAIN(SPLIT(INDEX('Daily Raw Data'!G:G,Match($A212,'Daily Raw Data'!$B:$B,0)),"":""),1,1),"""")"),"")</f>
        <v/>
      </c>
      <c r="F212" t="str">
        <f t="array" ref="F212">IFERROR(INDEX('Daily Raw Data'!H:H,Match($A212,'Daily Raw Data'!$B:$B,0)),"")</f>
        <v/>
      </c>
      <c r="G212" t="str">
        <f t="array" ref="G212">IFERROR(INDEX('Daily Raw Data'!I:I,Match($A212,'Daily Raw Data'!$B:$B,0)),"")</f>
        <v/>
      </c>
      <c r="H212" t="str">
        <f t="array" ref="H212">IFERROR(INDEX('Daily Raw Data'!N:N,Match($A212,'Daily Raw Data'!$B:$B,0)),"")</f>
        <v/>
      </c>
      <c r="I212" t="str">
        <f t="array" ref="I212">IFERROR(INDEX('Daily Raw Data'!O:O,Match($A212,'Daily Raw Data'!$B:$B,0)),"")</f>
        <v/>
      </c>
      <c r="J212" t="str">
        <f t="array" ref="J212">IFERROR(INDEX('Daily Raw Data'!S:S,Match($A212,'Daily Raw Data'!$B:$B,0)),"")</f>
        <v/>
      </c>
      <c r="K212" t="str">
        <f t="array" ref="K212">IFERROR(INDEX('Daily Raw Data'!T:T,Match($A212,'Daily Raw Data'!$B:$B,0)),"")</f>
        <v/>
      </c>
      <c r="L212" t="str">
        <f t="array" ref="L212">IFERROR(INDEX('Daily Raw Data'!U:U,Match($A212,'Daily Raw Data'!$B:$B,0)),"")</f>
        <v/>
      </c>
      <c r="M212" t="str">
        <f t="array" ref="M212">IFERROR(INDEX('Daily Raw Data'!V:V,Match($A212,'Daily Raw Data'!$B:$B,0)),"")</f>
        <v/>
      </c>
      <c r="N212" t="str">
        <f t="array" ref="N212">IFERROR(INDEX('Daily Raw Data'!W:W,Match($A212,'Daily Raw Data'!$B:$B,0)),"")</f>
        <v/>
      </c>
      <c r="O212" t="str">
        <f t="array" ref="O212">IFERROR(INDEX('Daily Raw Data'!Y:Y,Match($A212,'Daily Raw Data'!$B:$B,0)),"")</f>
        <v/>
      </c>
      <c r="P212" t="str">
        <f t="shared" si="1"/>
        <v/>
      </c>
      <c r="Q212" s="14" t="str">
        <f t="shared" si="2"/>
        <v/>
      </c>
      <c r="R212" s="15" t="str">
        <f>IFERROR(__xludf.DUMMYFUNCTION("IF($A212="""","""", IFERROR(PERCENTRANK.INC(FILTER(P:P,$E:$E&lt;&gt;""""),P212)*100,""""))"),"")</f>
        <v/>
      </c>
      <c r="S212" s="15" t="str">
        <f>IFERROR(__xludf.DUMMYFUNCTION("IF($A212="""","""",IFERROR(PERCENTRANK.INC(FILTER(Q:Q,$E:$E&lt;&gt;""""),Q212)*100,""""))"),"")</f>
        <v/>
      </c>
    </row>
    <row r="213">
      <c r="B213" t="str">
        <f t="array" ref="B213">IFERROR(INDEX('Player Raw Data'!C:C,Match($A213,'Player Raw Data'!$B:$B,0)),"")</f>
        <v/>
      </c>
      <c r="C213" t="str">
        <f t="array" ref="C213">IFERROR(INDEX('Player Raw Data'!D:D,Match($A213,'Player Raw Data'!$B:$B,0)),"")</f>
        <v/>
      </c>
      <c r="D213" t="str">
        <f t="array" ref="D213">IFERROR(IF(A213=A212, INDEX('Player Raw Data'!E:E,Match($A213,'Player Raw Data'!$B:$B,0)+2),INDEX('Player Raw Data'!E:E,Match($A213,'Player Raw Data'!$B:$B,0))),"")</f>
        <v/>
      </c>
      <c r="E213" s="27" t="str">
        <f>IFERROR(__xludf.DUMMYFUNCTION("IFERROR(ARRAY_CONSTRAIN(SPLIT(INDEX('Daily Raw Data'!G:G,Match($A213,'Daily Raw Data'!$B:$B,0)),"":""),1,1),"""")"),"")</f>
        <v/>
      </c>
      <c r="F213" t="str">
        <f t="array" ref="F213">IFERROR(INDEX('Daily Raw Data'!H:H,Match($A213,'Daily Raw Data'!$B:$B,0)),"")</f>
        <v/>
      </c>
      <c r="G213" t="str">
        <f t="array" ref="G213">IFERROR(INDEX('Daily Raw Data'!I:I,Match($A213,'Daily Raw Data'!$B:$B,0)),"")</f>
        <v/>
      </c>
      <c r="H213" t="str">
        <f t="array" ref="H213">IFERROR(INDEX('Daily Raw Data'!N:N,Match($A213,'Daily Raw Data'!$B:$B,0)),"")</f>
        <v/>
      </c>
      <c r="I213" t="str">
        <f t="array" ref="I213">IFERROR(INDEX('Daily Raw Data'!O:O,Match($A213,'Daily Raw Data'!$B:$B,0)),"")</f>
        <v/>
      </c>
      <c r="J213" t="str">
        <f t="array" ref="J213">IFERROR(INDEX('Daily Raw Data'!S:S,Match($A213,'Daily Raw Data'!$B:$B,0)),"")</f>
        <v/>
      </c>
      <c r="K213" t="str">
        <f t="array" ref="K213">IFERROR(INDEX('Daily Raw Data'!T:T,Match($A213,'Daily Raw Data'!$B:$B,0)),"")</f>
        <v/>
      </c>
      <c r="L213" t="str">
        <f t="array" ref="L213">IFERROR(INDEX('Daily Raw Data'!U:U,Match($A213,'Daily Raw Data'!$B:$B,0)),"")</f>
        <v/>
      </c>
      <c r="M213" t="str">
        <f t="array" ref="M213">IFERROR(INDEX('Daily Raw Data'!V:V,Match($A213,'Daily Raw Data'!$B:$B,0)),"")</f>
        <v/>
      </c>
      <c r="N213" t="str">
        <f t="array" ref="N213">IFERROR(INDEX('Daily Raw Data'!W:W,Match($A213,'Daily Raw Data'!$B:$B,0)),"")</f>
        <v/>
      </c>
      <c r="O213" t="str">
        <f t="array" ref="O213">IFERROR(INDEX('Daily Raw Data'!Y:Y,Match($A213,'Daily Raw Data'!$B:$B,0)),"")</f>
        <v/>
      </c>
      <c r="P213" t="str">
        <f t="shared" si="1"/>
        <v/>
      </c>
      <c r="Q213" s="14" t="str">
        <f t="shared" si="2"/>
        <v/>
      </c>
      <c r="R213" s="15" t="str">
        <f>IFERROR(__xludf.DUMMYFUNCTION("IF($A213="""","""", IFERROR(PERCENTRANK.INC(FILTER(P:P,$E:$E&lt;&gt;""""),P213)*100,""""))"),"")</f>
        <v/>
      </c>
      <c r="S213" s="15" t="str">
        <f>IFERROR(__xludf.DUMMYFUNCTION("IF($A213="""","""",IFERROR(PERCENTRANK.INC(FILTER(Q:Q,$E:$E&lt;&gt;""""),Q213)*100,""""))"),"")</f>
        <v/>
      </c>
    </row>
    <row r="214">
      <c r="B214" t="str">
        <f t="array" ref="B214">IFERROR(INDEX('Player Raw Data'!C:C,Match($A214,'Player Raw Data'!$B:$B,0)),"")</f>
        <v/>
      </c>
      <c r="C214" t="str">
        <f t="array" ref="C214">IFERROR(INDEX('Player Raw Data'!D:D,Match($A214,'Player Raw Data'!$B:$B,0)),"")</f>
        <v/>
      </c>
      <c r="D214" t="str">
        <f t="array" ref="D214">IFERROR(IF(A214=A213, INDEX('Player Raw Data'!E:E,Match($A214,'Player Raw Data'!$B:$B,0)+2),INDEX('Player Raw Data'!E:E,Match($A214,'Player Raw Data'!$B:$B,0))),"")</f>
        <v/>
      </c>
      <c r="E214" s="27" t="str">
        <f>IFERROR(__xludf.DUMMYFUNCTION("IFERROR(ARRAY_CONSTRAIN(SPLIT(INDEX('Daily Raw Data'!G:G,Match($A214,'Daily Raw Data'!$B:$B,0)),"":""),1,1),"""")"),"")</f>
        <v/>
      </c>
      <c r="F214" t="str">
        <f t="array" ref="F214">IFERROR(INDEX('Daily Raw Data'!H:H,Match($A214,'Daily Raw Data'!$B:$B,0)),"")</f>
        <v/>
      </c>
      <c r="G214" t="str">
        <f t="array" ref="G214">IFERROR(INDEX('Daily Raw Data'!I:I,Match($A214,'Daily Raw Data'!$B:$B,0)),"")</f>
        <v/>
      </c>
      <c r="H214" t="str">
        <f t="array" ref="H214">IFERROR(INDEX('Daily Raw Data'!N:N,Match($A214,'Daily Raw Data'!$B:$B,0)),"")</f>
        <v/>
      </c>
      <c r="I214" t="str">
        <f t="array" ref="I214">IFERROR(INDEX('Daily Raw Data'!O:O,Match($A214,'Daily Raw Data'!$B:$B,0)),"")</f>
        <v/>
      </c>
      <c r="J214" t="str">
        <f t="array" ref="J214">IFERROR(INDEX('Daily Raw Data'!S:S,Match($A214,'Daily Raw Data'!$B:$B,0)),"")</f>
        <v/>
      </c>
      <c r="K214" t="str">
        <f t="array" ref="K214">IFERROR(INDEX('Daily Raw Data'!T:T,Match($A214,'Daily Raw Data'!$B:$B,0)),"")</f>
        <v/>
      </c>
      <c r="L214" t="str">
        <f t="array" ref="L214">IFERROR(INDEX('Daily Raw Data'!U:U,Match($A214,'Daily Raw Data'!$B:$B,0)),"")</f>
        <v/>
      </c>
      <c r="M214" t="str">
        <f t="array" ref="M214">IFERROR(INDEX('Daily Raw Data'!V:V,Match($A214,'Daily Raw Data'!$B:$B,0)),"")</f>
        <v/>
      </c>
      <c r="N214" t="str">
        <f t="array" ref="N214">IFERROR(INDEX('Daily Raw Data'!W:W,Match($A214,'Daily Raw Data'!$B:$B,0)),"")</f>
        <v/>
      </c>
      <c r="O214" t="str">
        <f t="array" ref="O214">IFERROR(INDEX('Daily Raw Data'!Y:Y,Match($A214,'Daily Raw Data'!$B:$B,0)),"")</f>
        <v/>
      </c>
      <c r="P214" t="str">
        <f t="shared" si="1"/>
        <v/>
      </c>
      <c r="Q214" s="14" t="str">
        <f t="shared" si="2"/>
        <v/>
      </c>
      <c r="R214" s="15" t="str">
        <f>IFERROR(__xludf.DUMMYFUNCTION("IF($A214="""","""", IFERROR(PERCENTRANK.INC(FILTER(P:P,$E:$E&lt;&gt;""""),P214)*100,""""))"),"")</f>
        <v/>
      </c>
      <c r="S214" s="15" t="str">
        <f>IFERROR(__xludf.DUMMYFUNCTION("IF($A214="""","""",IFERROR(PERCENTRANK.INC(FILTER(Q:Q,$E:$E&lt;&gt;""""),Q214)*100,""""))"),"")</f>
        <v/>
      </c>
    </row>
    <row r="215">
      <c r="B215" t="str">
        <f t="array" ref="B215">IFERROR(INDEX('Player Raw Data'!C:C,Match($A215,'Player Raw Data'!$B:$B,0)),"")</f>
        <v/>
      </c>
      <c r="C215" t="str">
        <f t="array" ref="C215">IFERROR(INDEX('Player Raw Data'!D:D,Match($A215,'Player Raw Data'!$B:$B,0)),"")</f>
        <v/>
      </c>
      <c r="D215" t="str">
        <f t="array" ref="D215">IFERROR(IF(A215=A214, INDEX('Player Raw Data'!E:E,Match($A215,'Player Raw Data'!$B:$B,0)+2),INDEX('Player Raw Data'!E:E,Match($A215,'Player Raw Data'!$B:$B,0))),"")</f>
        <v/>
      </c>
      <c r="E215" s="27" t="str">
        <f>IFERROR(__xludf.DUMMYFUNCTION("IFERROR(ARRAY_CONSTRAIN(SPLIT(INDEX('Daily Raw Data'!G:G,Match($A215,'Daily Raw Data'!$B:$B,0)),"":""),1,1),"""")"),"")</f>
        <v/>
      </c>
      <c r="F215" t="str">
        <f t="array" ref="F215">IFERROR(INDEX('Daily Raw Data'!H:H,Match($A215,'Daily Raw Data'!$B:$B,0)),"")</f>
        <v/>
      </c>
      <c r="G215" t="str">
        <f t="array" ref="G215">IFERROR(INDEX('Daily Raw Data'!I:I,Match($A215,'Daily Raw Data'!$B:$B,0)),"")</f>
        <v/>
      </c>
      <c r="H215" t="str">
        <f t="array" ref="H215">IFERROR(INDEX('Daily Raw Data'!N:N,Match($A215,'Daily Raw Data'!$B:$B,0)),"")</f>
        <v/>
      </c>
      <c r="I215" t="str">
        <f t="array" ref="I215">IFERROR(INDEX('Daily Raw Data'!O:O,Match($A215,'Daily Raw Data'!$B:$B,0)),"")</f>
        <v/>
      </c>
      <c r="J215" t="str">
        <f t="array" ref="J215">IFERROR(INDEX('Daily Raw Data'!S:S,Match($A215,'Daily Raw Data'!$B:$B,0)),"")</f>
        <v/>
      </c>
      <c r="K215" t="str">
        <f t="array" ref="K215">IFERROR(INDEX('Daily Raw Data'!T:T,Match($A215,'Daily Raw Data'!$B:$B,0)),"")</f>
        <v/>
      </c>
      <c r="L215" t="str">
        <f t="array" ref="L215">IFERROR(INDEX('Daily Raw Data'!U:U,Match($A215,'Daily Raw Data'!$B:$B,0)),"")</f>
        <v/>
      </c>
      <c r="M215" t="str">
        <f t="array" ref="M215">IFERROR(INDEX('Daily Raw Data'!V:V,Match($A215,'Daily Raw Data'!$B:$B,0)),"")</f>
        <v/>
      </c>
      <c r="N215" t="str">
        <f t="array" ref="N215">IFERROR(INDEX('Daily Raw Data'!W:W,Match($A215,'Daily Raw Data'!$B:$B,0)),"")</f>
        <v/>
      </c>
      <c r="O215" t="str">
        <f t="array" ref="O215">IFERROR(INDEX('Daily Raw Data'!Y:Y,Match($A215,'Daily Raw Data'!$B:$B,0)),"")</f>
        <v/>
      </c>
      <c r="P215" t="str">
        <f t="shared" si="1"/>
        <v/>
      </c>
      <c r="Q215" s="14" t="str">
        <f t="shared" si="2"/>
        <v/>
      </c>
      <c r="R215" s="15" t="str">
        <f>IFERROR(__xludf.DUMMYFUNCTION("IF($A215="""","""", IFERROR(PERCENTRANK.INC(FILTER(P:P,$E:$E&lt;&gt;""""),P215)*100,""""))"),"")</f>
        <v/>
      </c>
      <c r="S215" s="15" t="str">
        <f>IFERROR(__xludf.DUMMYFUNCTION("IF($A215="""","""",IFERROR(PERCENTRANK.INC(FILTER(Q:Q,$E:$E&lt;&gt;""""),Q215)*100,""""))"),"")</f>
        <v/>
      </c>
    </row>
    <row r="216">
      <c r="B216" t="str">
        <f t="array" ref="B216">IFERROR(INDEX('Player Raw Data'!C:C,Match($A216,'Player Raw Data'!$B:$B,0)),"")</f>
        <v/>
      </c>
      <c r="C216" t="str">
        <f t="array" ref="C216">IFERROR(INDEX('Player Raw Data'!D:D,Match($A216,'Player Raw Data'!$B:$B,0)),"")</f>
        <v/>
      </c>
      <c r="D216" t="str">
        <f t="array" ref="D216">IFERROR(IF(A216=A215, INDEX('Player Raw Data'!E:E,Match($A216,'Player Raw Data'!$B:$B,0)+2),INDEX('Player Raw Data'!E:E,Match($A216,'Player Raw Data'!$B:$B,0))),"")</f>
        <v/>
      </c>
      <c r="E216" s="27" t="str">
        <f>IFERROR(__xludf.DUMMYFUNCTION("IFERROR(ARRAY_CONSTRAIN(SPLIT(INDEX('Daily Raw Data'!G:G,Match($A216,'Daily Raw Data'!$B:$B,0)),"":""),1,1),"""")"),"")</f>
        <v/>
      </c>
      <c r="F216" t="str">
        <f t="array" ref="F216">IFERROR(INDEX('Daily Raw Data'!H:H,Match($A216,'Daily Raw Data'!$B:$B,0)),"")</f>
        <v/>
      </c>
      <c r="G216" t="str">
        <f t="array" ref="G216">IFERROR(INDEX('Daily Raw Data'!I:I,Match($A216,'Daily Raw Data'!$B:$B,0)),"")</f>
        <v/>
      </c>
      <c r="H216" t="str">
        <f t="array" ref="H216">IFERROR(INDEX('Daily Raw Data'!N:N,Match($A216,'Daily Raw Data'!$B:$B,0)),"")</f>
        <v/>
      </c>
      <c r="I216" t="str">
        <f t="array" ref="I216">IFERROR(INDEX('Daily Raw Data'!O:O,Match($A216,'Daily Raw Data'!$B:$B,0)),"")</f>
        <v/>
      </c>
      <c r="J216" t="str">
        <f t="array" ref="J216">IFERROR(INDEX('Daily Raw Data'!S:S,Match($A216,'Daily Raw Data'!$B:$B,0)),"")</f>
        <v/>
      </c>
      <c r="K216" t="str">
        <f t="array" ref="K216">IFERROR(INDEX('Daily Raw Data'!T:T,Match($A216,'Daily Raw Data'!$B:$B,0)),"")</f>
        <v/>
      </c>
      <c r="L216" t="str">
        <f t="array" ref="L216">IFERROR(INDEX('Daily Raw Data'!U:U,Match($A216,'Daily Raw Data'!$B:$B,0)),"")</f>
        <v/>
      </c>
      <c r="M216" t="str">
        <f t="array" ref="M216">IFERROR(INDEX('Daily Raw Data'!V:V,Match($A216,'Daily Raw Data'!$B:$B,0)),"")</f>
        <v/>
      </c>
      <c r="N216" t="str">
        <f t="array" ref="N216">IFERROR(INDEX('Daily Raw Data'!W:W,Match($A216,'Daily Raw Data'!$B:$B,0)),"")</f>
        <v/>
      </c>
      <c r="O216" t="str">
        <f t="array" ref="O216">IFERROR(INDEX('Daily Raw Data'!Y:Y,Match($A216,'Daily Raw Data'!$B:$B,0)),"")</f>
        <v/>
      </c>
      <c r="P216" t="str">
        <f t="shared" si="1"/>
        <v/>
      </c>
      <c r="Q216" s="14" t="str">
        <f t="shared" si="2"/>
        <v/>
      </c>
      <c r="R216" s="15" t="str">
        <f>IFERROR(__xludf.DUMMYFUNCTION("IF($A216="""","""", IFERROR(PERCENTRANK.INC(FILTER(P:P,$E:$E&lt;&gt;""""),P216)*100,""""))"),"")</f>
        <v/>
      </c>
      <c r="S216" s="15" t="str">
        <f>IFERROR(__xludf.DUMMYFUNCTION("IF($A216="""","""",IFERROR(PERCENTRANK.INC(FILTER(Q:Q,$E:$E&lt;&gt;""""),Q216)*100,""""))"),"")</f>
        <v/>
      </c>
    </row>
    <row r="217">
      <c r="B217" t="str">
        <f t="array" ref="B217">IFERROR(INDEX('Player Raw Data'!C:C,Match($A217,'Player Raw Data'!$B:$B,0)),"")</f>
        <v/>
      </c>
      <c r="C217" t="str">
        <f t="array" ref="C217">IFERROR(INDEX('Player Raw Data'!D:D,Match($A217,'Player Raw Data'!$B:$B,0)),"")</f>
        <v/>
      </c>
      <c r="D217" t="str">
        <f t="array" ref="D217">IFERROR(IF(A217=A216, INDEX('Player Raw Data'!E:E,Match($A217,'Player Raw Data'!$B:$B,0)+2),INDEX('Player Raw Data'!E:E,Match($A217,'Player Raw Data'!$B:$B,0))),"")</f>
        <v/>
      </c>
      <c r="E217" s="27" t="str">
        <f>IFERROR(__xludf.DUMMYFUNCTION("IFERROR(ARRAY_CONSTRAIN(SPLIT(INDEX('Daily Raw Data'!G:G,Match($A217,'Daily Raw Data'!$B:$B,0)),"":""),1,1),"""")"),"")</f>
        <v/>
      </c>
      <c r="F217" t="str">
        <f t="array" ref="F217">IFERROR(INDEX('Daily Raw Data'!H:H,Match($A217,'Daily Raw Data'!$B:$B,0)),"")</f>
        <v/>
      </c>
      <c r="G217" t="str">
        <f t="array" ref="G217">IFERROR(INDEX('Daily Raw Data'!I:I,Match($A217,'Daily Raw Data'!$B:$B,0)),"")</f>
        <v/>
      </c>
      <c r="H217" t="str">
        <f t="array" ref="H217">IFERROR(INDEX('Daily Raw Data'!N:N,Match($A217,'Daily Raw Data'!$B:$B,0)),"")</f>
        <v/>
      </c>
      <c r="I217" t="str">
        <f t="array" ref="I217">IFERROR(INDEX('Daily Raw Data'!O:O,Match($A217,'Daily Raw Data'!$B:$B,0)),"")</f>
        <v/>
      </c>
      <c r="J217" t="str">
        <f t="array" ref="J217">IFERROR(INDEX('Daily Raw Data'!S:S,Match($A217,'Daily Raw Data'!$B:$B,0)),"")</f>
        <v/>
      </c>
      <c r="K217" t="str">
        <f t="array" ref="K217">IFERROR(INDEX('Daily Raw Data'!T:T,Match($A217,'Daily Raw Data'!$B:$B,0)),"")</f>
        <v/>
      </c>
      <c r="L217" t="str">
        <f t="array" ref="L217">IFERROR(INDEX('Daily Raw Data'!U:U,Match($A217,'Daily Raw Data'!$B:$B,0)),"")</f>
        <v/>
      </c>
      <c r="M217" t="str">
        <f t="array" ref="M217">IFERROR(INDEX('Daily Raw Data'!V:V,Match($A217,'Daily Raw Data'!$B:$B,0)),"")</f>
        <v/>
      </c>
      <c r="N217" t="str">
        <f t="array" ref="N217">IFERROR(INDEX('Daily Raw Data'!W:W,Match($A217,'Daily Raw Data'!$B:$B,0)),"")</f>
        <v/>
      </c>
      <c r="O217" t="str">
        <f t="array" ref="O217">IFERROR(INDEX('Daily Raw Data'!Y:Y,Match($A217,'Daily Raw Data'!$B:$B,0)),"")</f>
        <v/>
      </c>
      <c r="P217" t="str">
        <f t="shared" si="1"/>
        <v/>
      </c>
      <c r="Q217" s="14" t="str">
        <f t="shared" si="2"/>
        <v/>
      </c>
      <c r="R217" s="15" t="str">
        <f>IFERROR(__xludf.DUMMYFUNCTION("IF($A217="""","""", IFERROR(PERCENTRANK.INC(FILTER(P:P,$E:$E&lt;&gt;""""),P217)*100,""""))"),"")</f>
        <v/>
      </c>
      <c r="S217" s="15" t="str">
        <f>IFERROR(__xludf.DUMMYFUNCTION("IF($A217="""","""",IFERROR(PERCENTRANK.INC(FILTER(Q:Q,$E:$E&lt;&gt;""""),Q217)*100,""""))"),"")</f>
        <v/>
      </c>
    </row>
    <row r="218">
      <c r="B218" t="str">
        <f t="array" ref="B218">IFERROR(INDEX('Player Raw Data'!C:C,Match($A218,'Player Raw Data'!$B:$B,0)),"")</f>
        <v/>
      </c>
      <c r="C218" t="str">
        <f t="array" ref="C218">IFERROR(INDEX('Player Raw Data'!D:D,Match($A218,'Player Raw Data'!$B:$B,0)),"")</f>
        <v/>
      </c>
      <c r="D218" t="str">
        <f t="array" ref="D218">IFERROR(IF(A218=A217, INDEX('Player Raw Data'!E:E,Match($A218,'Player Raw Data'!$B:$B,0)+2),INDEX('Player Raw Data'!E:E,Match($A218,'Player Raw Data'!$B:$B,0))),"")</f>
        <v/>
      </c>
      <c r="E218" s="27" t="str">
        <f>IFERROR(__xludf.DUMMYFUNCTION("IFERROR(ARRAY_CONSTRAIN(SPLIT(INDEX('Daily Raw Data'!G:G,Match($A218,'Daily Raw Data'!$B:$B,0)),"":""),1,1),"""")"),"")</f>
        <v/>
      </c>
      <c r="F218" t="str">
        <f t="array" ref="F218">IFERROR(INDEX('Daily Raw Data'!H:H,Match($A218,'Daily Raw Data'!$B:$B,0)),"")</f>
        <v/>
      </c>
      <c r="G218" t="str">
        <f t="array" ref="G218">IFERROR(INDEX('Daily Raw Data'!I:I,Match($A218,'Daily Raw Data'!$B:$B,0)),"")</f>
        <v/>
      </c>
      <c r="H218" t="str">
        <f t="array" ref="H218">IFERROR(INDEX('Daily Raw Data'!N:N,Match($A218,'Daily Raw Data'!$B:$B,0)),"")</f>
        <v/>
      </c>
      <c r="I218" t="str">
        <f t="array" ref="I218">IFERROR(INDEX('Daily Raw Data'!O:O,Match($A218,'Daily Raw Data'!$B:$B,0)),"")</f>
        <v/>
      </c>
      <c r="J218" t="str">
        <f t="array" ref="J218">IFERROR(INDEX('Daily Raw Data'!S:S,Match($A218,'Daily Raw Data'!$B:$B,0)),"")</f>
        <v/>
      </c>
      <c r="K218" t="str">
        <f t="array" ref="K218">IFERROR(INDEX('Daily Raw Data'!T:T,Match($A218,'Daily Raw Data'!$B:$B,0)),"")</f>
        <v/>
      </c>
      <c r="L218" t="str">
        <f t="array" ref="L218">IFERROR(INDEX('Daily Raw Data'!U:U,Match($A218,'Daily Raw Data'!$B:$B,0)),"")</f>
        <v/>
      </c>
      <c r="M218" t="str">
        <f t="array" ref="M218">IFERROR(INDEX('Daily Raw Data'!V:V,Match($A218,'Daily Raw Data'!$B:$B,0)),"")</f>
        <v/>
      </c>
      <c r="N218" t="str">
        <f t="array" ref="N218">IFERROR(INDEX('Daily Raw Data'!W:W,Match($A218,'Daily Raw Data'!$B:$B,0)),"")</f>
        <v/>
      </c>
      <c r="O218" t="str">
        <f t="array" ref="O218">IFERROR(INDEX('Daily Raw Data'!Y:Y,Match($A218,'Daily Raw Data'!$B:$B,0)),"")</f>
        <v/>
      </c>
      <c r="P218" t="str">
        <f t="shared" si="1"/>
        <v/>
      </c>
      <c r="Q218" s="14" t="str">
        <f t="shared" si="2"/>
        <v/>
      </c>
      <c r="R218" s="15" t="str">
        <f>IFERROR(__xludf.DUMMYFUNCTION("IF($A218="""","""", IFERROR(PERCENTRANK.INC(FILTER(P:P,$E:$E&lt;&gt;""""),P218)*100,""""))"),"")</f>
        <v/>
      </c>
      <c r="S218" s="15" t="str">
        <f>IFERROR(__xludf.DUMMYFUNCTION("IF($A218="""","""",IFERROR(PERCENTRANK.INC(FILTER(Q:Q,$E:$E&lt;&gt;""""),Q218)*100,""""))"),"")</f>
        <v/>
      </c>
    </row>
    <row r="219">
      <c r="B219" t="str">
        <f t="array" ref="B219">IFERROR(INDEX('Player Raw Data'!C:C,Match($A219,'Player Raw Data'!$B:$B,0)),"")</f>
        <v/>
      </c>
      <c r="C219" t="str">
        <f t="array" ref="C219">IFERROR(INDEX('Player Raw Data'!D:D,Match($A219,'Player Raw Data'!$B:$B,0)),"")</f>
        <v/>
      </c>
      <c r="D219" t="str">
        <f t="array" ref="D219">IFERROR(IF(A219=A218, INDEX('Player Raw Data'!E:E,Match($A219,'Player Raw Data'!$B:$B,0)+2),INDEX('Player Raw Data'!E:E,Match($A219,'Player Raw Data'!$B:$B,0))),"")</f>
        <v/>
      </c>
      <c r="E219" s="27" t="str">
        <f>IFERROR(__xludf.DUMMYFUNCTION("IFERROR(ARRAY_CONSTRAIN(SPLIT(INDEX('Daily Raw Data'!G:G,Match($A219,'Daily Raw Data'!$B:$B,0)),"":""),1,1),"""")"),"")</f>
        <v/>
      </c>
      <c r="F219" t="str">
        <f t="array" ref="F219">IFERROR(INDEX('Daily Raw Data'!H:H,Match($A219,'Daily Raw Data'!$B:$B,0)),"")</f>
        <v/>
      </c>
      <c r="G219" t="str">
        <f t="array" ref="G219">IFERROR(INDEX('Daily Raw Data'!I:I,Match($A219,'Daily Raw Data'!$B:$B,0)),"")</f>
        <v/>
      </c>
      <c r="H219" t="str">
        <f t="array" ref="H219">IFERROR(INDEX('Daily Raw Data'!N:N,Match($A219,'Daily Raw Data'!$B:$B,0)),"")</f>
        <v/>
      </c>
      <c r="I219" t="str">
        <f t="array" ref="I219">IFERROR(INDEX('Daily Raw Data'!O:O,Match($A219,'Daily Raw Data'!$B:$B,0)),"")</f>
        <v/>
      </c>
      <c r="J219" t="str">
        <f t="array" ref="J219">IFERROR(INDEX('Daily Raw Data'!S:S,Match($A219,'Daily Raw Data'!$B:$B,0)),"")</f>
        <v/>
      </c>
      <c r="K219" t="str">
        <f t="array" ref="K219">IFERROR(INDEX('Daily Raw Data'!T:T,Match($A219,'Daily Raw Data'!$B:$B,0)),"")</f>
        <v/>
      </c>
      <c r="L219" t="str">
        <f t="array" ref="L219">IFERROR(INDEX('Daily Raw Data'!U:U,Match($A219,'Daily Raw Data'!$B:$B,0)),"")</f>
        <v/>
      </c>
      <c r="M219" t="str">
        <f t="array" ref="M219">IFERROR(INDEX('Daily Raw Data'!V:V,Match($A219,'Daily Raw Data'!$B:$B,0)),"")</f>
        <v/>
      </c>
      <c r="N219" t="str">
        <f t="array" ref="N219">IFERROR(INDEX('Daily Raw Data'!W:W,Match($A219,'Daily Raw Data'!$B:$B,0)),"")</f>
        <v/>
      </c>
      <c r="O219" t="str">
        <f t="array" ref="O219">IFERROR(INDEX('Daily Raw Data'!Y:Y,Match($A219,'Daily Raw Data'!$B:$B,0)),"")</f>
        <v/>
      </c>
      <c r="P219" t="str">
        <f t="shared" si="1"/>
        <v/>
      </c>
      <c r="Q219" s="14" t="str">
        <f t="shared" si="2"/>
        <v/>
      </c>
      <c r="R219" s="15" t="str">
        <f>IFERROR(__xludf.DUMMYFUNCTION("IF($A219="""","""", IFERROR(PERCENTRANK.INC(FILTER(P:P,$E:$E&lt;&gt;""""),P219)*100,""""))"),"")</f>
        <v/>
      </c>
      <c r="S219" s="15" t="str">
        <f>IFERROR(__xludf.DUMMYFUNCTION("IF($A219="""","""",IFERROR(PERCENTRANK.INC(FILTER(Q:Q,$E:$E&lt;&gt;""""),Q219)*100,""""))"),"")</f>
        <v/>
      </c>
    </row>
    <row r="220">
      <c r="B220" t="str">
        <f t="array" ref="B220">IFERROR(INDEX('Player Raw Data'!C:C,Match($A220,'Player Raw Data'!$B:$B,0)),"")</f>
        <v/>
      </c>
      <c r="C220" t="str">
        <f t="array" ref="C220">IFERROR(INDEX('Player Raw Data'!D:D,Match($A220,'Player Raw Data'!$B:$B,0)),"")</f>
        <v/>
      </c>
      <c r="D220" t="str">
        <f t="array" ref="D220">IFERROR(IF(A220=A219, INDEX('Player Raw Data'!E:E,Match($A220,'Player Raw Data'!$B:$B,0)+2),INDEX('Player Raw Data'!E:E,Match($A220,'Player Raw Data'!$B:$B,0))),"")</f>
        <v/>
      </c>
      <c r="E220" s="27" t="str">
        <f>IFERROR(__xludf.DUMMYFUNCTION("IFERROR(ARRAY_CONSTRAIN(SPLIT(INDEX('Daily Raw Data'!G:G,Match($A220,'Daily Raw Data'!$B:$B,0)),"":""),1,1),"""")"),"")</f>
        <v/>
      </c>
      <c r="F220" t="str">
        <f t="array" ref="F220">IFERROR(INDEX('Daily Raw Data'!H:H,Match($A220,'Daily Raw Data'!$B:$B,0)),"")</f>
        <v/>
      </c>
      <c r="G220" t="str">
        <f t="array" ref="G220">IFERROR(INDEX('Daily Raw Data'!I:I,Match($A220,'Daily Raw Data'!$B:$B,0)),"")</f>
        <v/>
      </c>
      <c r="H220" t="str">
        <f t="array" ref="H220">IFERROR(INDEX('Daily Raw Data'!N:N,Match($A220,'Daily Raw Data'!$B:$B,0)),"")</f>
        <v/>
      </c>
      <c r="I220" t="str">
        <f t="array" ref="I220">IFERROR(INDEX('Daily Raw Data'!O:O,Match($A220,'Daily Raw Data'!$B:$B,0)),"")</f>
        <v/>
      </c>
      <c r="J220" t="str">
        <f t="array" ref="J220">IFERROR(INDEX('Daily Raw Data'!S:S,Match($A220,'Daily Raw Data'!$B:$B,0)),"")</f>
        <v/>
      </c>
      <c r="K220" t="str">
        <f t="array" ref="K220">IFERROR(INDEX('Daily Raw Data'!T:T,Match($A220,'Daily Raw Data'!$B:$B,0)),"")</f>
        <v/>
      </c>
      <c r="L220" t="str">
        <f t="array" ref="L220">IFERROR(INDEX('Daily Raw Data'!U:U,Match($A220,'Daily Raw Data'!$B:$B,0)),"")</f>
        <v/>
      </c>
      <c r="M220" t="str">
        <f t="array" ref="M220">IFERROR(INDEX('Daily Raw Data'!V:V,Match($A220,'Daily Raw Data'!$B:$B,0)),"")</f>
        <v/>
      </c>
      <c r="N220" t="str">
        <f t="array" ref="N220">IFERROR(INDEX('Daily Raw Data'!W:W,Match($A220,'Daily Raw Data'!$B:$B,0)),"")</f>
        <v/>
      </c>
      <c r="O220" t="str">
        <f t="array" ref="O220">IFERROR(INDEX('Daily Raw Data'!Y:Y,Match($A220,'Daily Raw Data'!$B:$B,0)),"")</f>
        <v/>
      </c>
      <c r="P220" t="str">
        <f t="shared" si="1"/>
        <v/>
      </c>
      <c r="Q220" s="14" t="str">
        <f t="shared" si="2"/>
        <v/>
      </c>
      <c r="R220" s="15" t="str">
        <f>IFERROR(__xludf.DUMMYFUNCTION("IF($A220="""","""", IFERROR(PERCENTRANK.INC(FILTER(P:P,$E:$E&lt;&gt;""""),P220)*100,""""))"),"")</f>
        <v/>
      </c>
      <c r="S220" s="15" t="str">
        <f>IFERROR(__xludf.DUMMYFUNCTION("IF($A220="""","""",IFERROR(PERCENTRANK.INC(FILTER(Q:Q,$E:$E&lt;&gt;""""),Q220)*100,""""))"),"")</f>
        <v/>
      </c>
    </row>
    <row r="221">
      <c r="B221" t="str">
        <f t="array" ref="B221">IFERROR(INDEX('Player Raw Data'!C:C,Match($A221,'Player Raw Data'!$B:$B,0)),"")</f>
        <v/>
      </c>
      <c r="C221" t="str">
        <f t="array" ref="C221">IFERROR(INDEX('Player Raw Data'!D:D,Match($A221,'Player Raw Data'!$B:$B,0)),"")</f>
        <v/>
      </c>
      <c r="D221" t="str">
        <f t="array" ref="D221">IFERROR(IF(A221=A220, INDEX('Player Raw Data'!E:E,Match($A221,'Player Raw Data'!$B:$B,0)+2),INDEX('Player Raw Data'!E:E,Match($A221,'Player Raw Data'!$B:$B,0))),"")</f>
        <v/>
      </c>
      <c r="E221" s="27" t="str">
        <f>IFERROR(__xludf.DUMMYFUNCTION("IFERROR(ARRAY_CONSTRAIN(SPLIT(INDEX('Daily Raw Data'!G:G,Match($A221,'Daily Raw Data'!$B:$B,0)),"":""),1,1),"""")"),"")</f>
        <v/>
      </c>
      <c r="F221" t="str">
        <f t="array" ref="F221">IFERROR(INDEX('Daily Raw Data'!H:H,Match($A221,'Daily Raw Data'!$B:$B,0)),"")</f>
        <v/>
      </c>
      <c r="G221" t="str">
        <f t="array" ref="G221">IFERROR(INDEX('Daily Raw Data'!I:I,Match($A221,'Daily Raw Data'!$B:$B,0)),"")</f>
        <v/>
      </c>
      <c r="H221" t="str">
        <f t="array" ref="H221">IFERROR(INDEX('Daily Raw Data'!N:N,Match($A221,'Daily Raw Data'!$B:$B,0)),"")</f>
        <v/>
      </c>
      <c r="I221" t="str">
        <f t="array" ref="I221">IFERROR(INDEX('Daily Raw Data'!O:O,Match($A221,'Daily Raw Data'!$B:$B,0)),"")</f>
        <v/>
      </c>
      <c r="J221" t="str">
        <f t="array" ref="J221">IFERROR(INDEX('Daily Raw Data'!S:S,Match($A221,'Daily Raw Data'!$B:$B,0)),"")</f>
        <v/>
      </c>
      <c r="K221" t="str">
        <f t="array" ref="K221">IFERROR(INDEX('Daily Raw Data'!T:T,Match($A221,'Daily Raw Data'!$B:$B,0)),"")</f>
        <v/>
      </c>
      <c r="L221" t="str">
        <f t="array" ref="L221">IFERROR(INDEX('Daily Raw Data'!U:U,Match($A221,'Daily Raw Data'!$B:$B,0)),"")</f>
        <v/>
      </c>
      <c r="M221" t="str">
        <f t="array" ref="M221">IFERROR(INDEX('Daily Raw Data'!V:V,Match($A221,'Daily Raw Data'!$B:$B,0)),"")</f>
        <v/>
      </c>
      <c r="N221" t="str">
        <f t="array" ref="N221">IFERROR(INDEX('Daily Raw Data'!W:W,Match($A221,'Daily Raw Data'!$B:$B,0)),"")</f>
        <v/>
      </c>
      <c r="O221" t="str">
        <f t="array" ref="O221">IFERROR(INDEX('Daily Raw Data'!Y:Y,Match($A221,'Daily Raw Data'!$B:$B,0)),"")</f>
        <v/>
      </c>
      <c r="P221" t="str">
        <f t="shared" si="1"/>
        <v/>
      </c>
      <c r="Q221" s="14" t="str">
        <f t="shared" si="2"/>
        <v/>
      </c>
      <c r="R221" s="15" t="str">
        <f>IFERROR(__xludf.DUMMYFUNCTION("IF($A221="""","""", IFERROR(PERCENTRANK.INC(FILTER(P:P,$E:$E&lt;&gt;""""),P221)*100,""""))"),"")</f>
        <v/>
      </c>
      <c r="S221" s="15" t="str">
        <f>IFERROR(__xludf.DUMMYFUNCTION("IF($A221="""","""",IFERROR(PERCENTRANK.INC(FILTER(Q:Q,$E:$E&lt;&gt;""""),Q221)*100,""""))"),"")</f>
        <v/>
      </c>
    </row>
    <row r="222">
      <c r="B222" t="str">
        <f t="array" ref="B222">IFERROR(INDEX('Player Raw Data'!C:C,Match($A222,'Player Raw Data'!$B:$B,0)),"")</f>
        <v/>
      </c>
      <c r="C222" t="str">
        <f t="array" ref="C222">IFERROR(INDEX('Player Raw Data'!D:D,Match($A222,'Player Raw Data'!$B:$B,0)),"")</f>
        <v/>
      </c>
      <c r="D222" t="str">
        <f t="array" ref="D222">IFERROR(IF(A222=A221, INDEX('Player Raw Data'!E:E,Match($A222,'Player Raw Data'!$B:$B,0)+2),INDEX('Player Raw Data'!E:E,Match($A222,'Player Raw Data'!$B:$B,0))),"")</f>
        <v/>
      </c>
      <c r="E222" s="27" t="str">
        <f>IFERROR(__xludf.DUMMYFUNCTION("IFERROR(ARRAY_CONSTRAIN(SPLIT(INDEX('Daily Raw Data'!G:G,Match($A222,'Daily Raw Data'!$B:$B,0)),"":""),1,1),"""")"),"")</f>
        <v/>
      </c>
      <c r="F222" t="str">
        <f t="array" ref="F222">IFERROR(INDEX('Daily Raw Data'!H:H,Match($A222,'Daily Raw Data'!$B:$B,0)),"")</f>
        <v/>
      </c>
      <c r="G222" t="str">
        <f t="array" ref="G222">IFERROR(INDEX('Daily Raw Data'!I:I,Match($A222,'Daily Raw Data'!$B:$B,0)),"")</f>
        <v/>
      </c>
      <c r="H222" t="str">
        <f t="array" ref="H222">IFERROR(INDEX('Daily Raw Data'!N:N,Match($A222,'Daily Raw Data'!$B:$B,0)),"")</f>
        <v/>
      </c>
      <c r="I222" t="str">
        <f t="array" ref="I222">IFERROR(INDEX('Daily Raw Data'!O:O,Match($A222,'Daily Raw Data'!$B:$B,0)),"")</f>
        <v/>
      </c>
      <c r="J222" t="str">
        <f t="array" ref="J222">IFERROR(INDEX('Daily Raw Data'!S:S,Match($A222,'Daily Raw Data'!$B:$B,0)),"")</f>
        <v/>
      </c>
      <c r="K222" t="str">
        <f t="array" ref="K222">IFERROR(INDEX('Daily Raw Data'!T:T,Match($A222,'Daily Raw Data'!$B:$B,0)),"")</f>
        <v/>
      </c>
      <c r="L222" t="str">
        <f t="array" ref="L222">IFERROR(INDEX('Daily Raw Data'!U:U,Match($A222,'Daily Raw Data'!$B:$B,0)),"")</f>
        <v/>
      </c>
      <c r="M222" t="str">
        <f t="array" ref="M222">IFERROR(INDEX('Daily Raw Data'!V:V,Match($A222,'Daily Raw Data'!$B:$B,0)),"")</f>
        <v/>
      </c>
      <c r="N222" t="str">
        <f t="array" ref="N222">IFERROR(INDEX('Daily Raw Data'!W:W,Match($A222,'Daily Raw Data'!$B:$B,0)),"")</f>
        <v/>
      </c>
      <c r="O222" t="str">
        <f t="array" ref="O222">IFERROR(INDEX('Daily Raw Data'!Y:Y,Match($A222,'Daily Raw Data'!$B:$B,0)),"")</f>
        <v/>
      </c>
      <c r="P222" t="str">
        <f t="shared" si="1"/>
        <v/>
      </c>
      <c r="Q222" s="14" t="str">
        <f t="shared" si="2"/>
        <v/>
      </c>
      <c r="R222" s="15" t="str">
        <f>IFERROR(__xludf.DUMMYFUNCTION("IF($A222="""","""", IFERROR(PERCENTRANK.INC(FILTER(P:P,$E:$E&lt;&gt;""""),P222)*100,""""))"),"")</f>
        <v/>
      </c>
      <c r="S222" s="15" t="str">
        <f>IFERROR(__xludf.DUMMYFUNCTION("IF($A222="""","""",IFERROR(PERCENTRANK.INC(FILTER(Q:Q,$E:$E&lt;&gt;""""),Q222)*100,""""))"),"")</f>
        <v/>
      </c>
    </row>
    <row r="223">
      <c r="B223" t="str">
        <f t="array" ref="B223">IFERROR(INDEX('Player Raw Data'!C:C,Match($A223,'Player Raw Data'!$B:$B,0)),"")</f>
        <v/>
      </c>
      <c r="C223" t="str">
        <f t="array" ref="C223">IFERROR(INDEX('Player Raw Data'!D:D,Match($A223,'Player Raw Data'!$B:$B,0)),"")</f>
        <v/>
      </c>
      <c r="D223" t="str">
        <f t="array" ref="D223">IFERROR(IF(A223=A222, INDEX('Player Raw Data'!E:E,Match($A223,'Player Raw Data'!$B:$B,0)+2),INDEX('Player Raw Data'!E:E,Match($A223,'Player Raw Data'!$B:$B,0))),"")</f>
        <v/>
      </c>
      <c r="E223" s="27" t="str">
        <f>IFERROR(__xludf.DUMMYFUNCTION("IFERROR(ARRAY_CONSTRAIN(SPLIT(INDEX('Daily Raw Data'!G:G,Match($A223,'Daily Raw Data'!$B:$B,0)),"":""),1,1),"""")"),"")</f>
        <v/>
      </c>
      <c r="F223" t="str">
        <f t="array" ref="F223">IFERROR(INDEX('Daily Raw Data'!H:H,Match($A223,'Daily Raw Data'!$B:$B,0)),"")</f>
        <v/>
      </c>
      <c r="G223" t="str">
        <f t="array" ref="G223">IFERROR(INDEX('Daily Raw Data'!I:I,Match($A223,'Daily Raw Data'!$B:$B,0)),"")</f>
        <v/>
      </c>
      <c r="H223" t="str">
        <f t="array" ref="H223">IFERROR(INDEX('Daily Raw Data'!N:N,Match($A223,'Daily Raw Data'!$B:$B,0)),"")</f>
        <v/>
      </c>
      <c r="I223" t="str">
        <f t="array" ref="I223">IFERROR(INDEX('Daily Raw Data'!O:O,Match($A223,'Daily Raw Data'!$B:$B,0)),"")</f>
        <v/>
      </c>
      <c r="J223" t="str">
        <f t="array" ref="J223">IFERROR(INDEX('Daily Raw Data'!S:S,Match($A223,'Daily Raw Data'!$B:$B,0)),"")</f>
        <v/>
      </c>
      <c r="K223" t="str">
        <f t="array" ref="K223">IFERROR(INDEX('Daily Raw Data'!T:T,Match($A223,'Daily Raw Data'!$B:$B,0)),"")</f>
        <v/>
      </c>
      <c r="L223" t="str">
        <f t="array" ref="L223">IFERROR(INDEX('Daily Raw Data'!U:U,Match($A223,'Daily Raw Data'!$B:$B,0)),"")</f>
        <v/>
      </c>
      <c r="M223" t="str">
        <f t="array" ref="M223">IFERROR(INDEX('Daily Raw Data'!V:V,Match($A223,'Daily Raw Data'!$B:$B,0)),"")</f>
        <v/>
      </c>
      <c r="N223" t="str">
        <f t="array" ref="N223">IFERROR(INDEX('Daily Raw Data'!W:W,Match($A223,'Daily Raw Data'!$B:$B,0)),"")</f>
        <v/>
      </c>
      <c r="O223" t="str">
        <f t="array" ref="O223">IFERROR(INDEX('Daily Raw Data'!Y:Y,Match($A223,'Daily Raw Data'!$B:$B,0)),"")</f>
        <v/>
      </c>
      <c r="P223" t="str">
        <f t="shared" si="1"/>
        <v/>
      </c>
      <c r="Q223" s="14" t="str">
        <f t="shared" si="2"/>
        <v/>
      </c>
      <c r="R223" s="15" t="str">
        <f>IFERROR(__xludf.DUMMYFUNCTION("IF($A223="""","""", IFERROR(PERCENTRANK.INC(FILTER(P:P,$E:$E&lt;&gt;""""),P223)*100,""""))"),"")</f>
        <v/>
      </c>
      <c r="S223" s="15" t="str">
        <f>IFERROR(__xludf.DUMMYFUNCTION("IF($A223="""","""",IFERROR(PERCENTRANK.INC(FILTER(Q:Q,$E:$E&lt;&gt;""""),Q223)*100,""""))"),"")</f>
        <v/>
      </c>
    </row>
    <row r="224">
      <c r="B224" t="str">
        <f t="array" ref="B224">IFERROR(INDEX('Player Raw Data'!C:C,Match($A224,'Player Raw Data'!$B:$B,0)),"")</f>
        <v/>
      </c>
      <c r="C224" t="str">
        <f t="array" ref="C224">IFERROR(INDEX('Player Raw Data'!D:D,Match($A224,'Player Raw Data'!$B:$B,0)),"")</f>
        <v/>
      </c>
      <c r="D224" t="str">
        <f t="array" ref="D224">IFERROR(IF(A224=A223, INDEX('Player Raw Data'!E:E,Match($A224,'Player Raw Data'!$B:$B,0)+2),INDEX('Player Raw Data'!E:E,Match($A224,'Player Raw Data'!$B:$B,0))),"")</f>
        <v/>
      </c>
      <c r="E224" s="27" t="str">
        <f>IFERROR(__xludf.DUMMYFUNCTION("IFERROR(ARRAY_CONSTRAIN(SPLIT(INDEX('Daily Raw Data'!G:G,Match($A224,'Daily Raw Data'!$B:$B,0)),"":""),1,1),"""")"),"")</f>
        <v/>
      </c>
      <c r="F224" t="str">
        <f t="array" ref="F224">IFERROR(INDEX('Daily Raw Data'!H:H,Match($A224,'Daily Raw Data'!$B:$B,0)),"")</f>
        <v/>
      </c>
      <c r="G224" t="str">
        <f t="array" ref="G224">IFERROR(INDEX('Daily Raw Data'!I:I,Match($A224,'Daily Raw Data'!$B:$B,0)),"")</f>
        <v/>
      </c>
      <c r="H224" t="str">
        <f t="array" ref="H224">IFERROR(INDEX('Daily Raw Data'!N:N,Match($A224,'Daily Raw Data'!$B:$B,0)),"")</f>
        <v/>
      </c>
      <c r="I224" t="str">
        <f t="array" ref="I224">IFERROR(INDEX('Daily Raw Data'!O:O,Match($A224,'Daily Raw Data'!$B:$B,0)),"")</f>
        <v/>
      </c>
      <c r="J224" t="str">
        <f t="array" ref="J224">IFERROR(INDEX('Daily Raw Data'!S:S,Match($A224,'Daily Raw Data'!$B:$B,0)),"")</f>
        <v/>
      </c>
      <c r="K224" t="str">
        <f t="array" ref="K224">IFERROR(INDEX('Daily Raw Data'!T:T,Match($A224,'Daily Raw Data'!$B:$B,0)),"")</f>
        <v/>
      </c>
      <c r="L224" t="str">
        <f t="array" ref="L224">IFERROR(INDEX('Daily Raw Data'!U:U,Match($A224,'Daily Raw Data'!$B:$B,0)),"")</f>
        <v/>
      </c>
      <c r="M224" t="str">
        <f t="array" ref="M224">IFERROR(INDEX('Daily Raw Data'!V:V,Match($A224,'Daily Raw Data'!$B:$B,0)),"")</f>
        <v/>
      </c>
      <c r="N224" t="str">
        <f t="array" ref="N224">IFERROR(INDEX('Daily Raw Data'!W:W,Match($A224,'Daily Raw Data'!$B:$B,0)),"")</f>
        <v/>
      </c>
      <c r="O224" t="str">
        <f t="array" ref="O224">IFERROR(INDEX('Daily Raw Data'!Y:Y,Match($A224,'Daily Raw Data'!$B:$B,0)),"")</f>
        <v/>
      </c>
      <c r="P224" t="str">
        <f t="shared" si="1"/>
        <v/>
      </c>
      <c r="Q224" s="14" t="str">
        <f t="shared" si="2"/>
        <v/>
      </c>
      <c r="R224" s="15" t="str">
        <f>IFERROR(__xludf.DUMMYFUNCTION("IF($A224="""","""", IFERROR(PERCENTRANK.INC(FILTER(P:P,$E:$E&lt;&gt;""""),P224)*100,""""))"),"")</f>
        <v/>
      </c>
      <c r="S224" s="15" t="str">
        <f>IFERROR(__xludf.DUMMYFUNCTION("IF($A224="""","""",IFERROR(PERCENTRANK.INC(FILTER(Q:Q,$E:$E&lt;&gt;""""),Q224)*100,""""))"),"")</f>
        <v/>
      </c>
    </row>
    <row r="225">
      <c r="B225" t="str">
        <f t="array" ref="B225">IFERROR(INDEX('Player Raw Data'!C:C,Match($A225,'Player Raw Data'!$B:$B,0)),"")</f>
        <v/>
      </c>
      <c r="C225" t="str">
        <f t="array" ref="C225">IFERROR(INDEX('Player Raw Data'!D:D,Match($A225,'Player Raw Data'!$B:$B,0)),"")</f>
        <v/>
      </c>
      <c r="D225" t="str">
        <f t="array" ref="D225">IFERROR(IF(A225=A224, INDEX('Player Raw Data'!E:E,Match($A225,'Player Raw Data'!$B:$B,0)+2),INDEX('Player Raw Data'!E:E,Match($A225,'Player Raw Data'!$B:$B,0))),"")</f>
        <v/>
      </c>
      <c r="E225" s="27" t="str">
        <f>IFERROR(__xludf.DUMMYFUNCTION("IFERROR(ARRAY_CONSTRAIN(SPLIT(INDEX('Daily Raw Data'!G:G,Match($A225,'Daily Raw Data'!$B:$B,0)),"":""),1,1),"""")"),"")</f>
        <v/>
      </c>
      <c r="F225" t="str">
        <f t="array" ref="F225">IFERROR(INDEX('Daily Raw Data'!H:H,Match($A225,'Daily Raw Data'!$B:$B,0)),"")</f>
        <v/>
      </c>
      <c r="G225" t="str">
        <f t="array" ref="G225">IFERROR(INDEX('Daily Raw Data'!I:I,Match($A225,'Daily Raw Data'!$B:$B,0)),"")</f>
        <v/>
      </c>
      <c r="H225" t="str">
        <f t="array" ref="H225">IFERROR(INDEX('Daily Raw Data'!N:N,Match($A225,'Daily Raw Data'!$B:$B,0)),"")</f>
        <v/>
      </c>
      <c r="I225" t="str">
        <f t="array" ref="I225">IFERROR(INDEX('Daily Raw Data'!O:O,Match($A225,'Daily Raw Data'!$B:$B,0)),"")</f>
        <v/>
      </c>
      <c r="J225" t="str">
        <f t="array" ref="J225">IFERROR(INDEX('Daily Raw Data'!S:S,Match($A225,'Daily Raw Data'!$B:$B,0)),"")</f>
        <v/>
      </c>
      <c r="K225" t="str">
        <f t="array" ref="K225">IFERROR(INDEX('Daily Raw Data'!T:T,Match($A225,'Daily Raw Data'!$B:$B,0)),"")</f>
        <v/>
      </c>
      <c r="L225" t="str">
        <f t="array" ref="L225">IFERROR(INDEX('Daily Raw Data'!U:U,Match($A225,'Daily Raw Data'!$B:$B,0)),"")</f>
        <v/>
      </c>
      <c r="M225" t="str">
        <f t="array" ref="M225">IFERROR(INDEX('Daily Raw Data'!V:V,Match($A225,'Daily Raw Data'!$B:$B,0)),"")</f>
        <v/>
      </c>
      <c r="N225" t="str">
        <f t="array" ref="N225">IFERROR(INDEX('Daily Raw Data'!W:W,Match($A225,'Daily Raw Data'!$B:$B,0)),"")</f>
        <v/>
      </c>
      <c r="O225" t="str">
        <f t="array" ref="O225">IFERROR(INDEX('Daily Raw Data'!Y:Y,Match($A225,'Daily Raw Data'!$B:$B,0)),"")</f>
        <v/>
      </c>
      <c r="P225" t="str">
        <f t="shared" si="1"/>
        <v/>
      </c>
      <c r="Q225" s="14" t="str">
        <f t="shared" si="2"/>
        <v/>
      </c>
      <c r="R225" s="15" t="str">
        <f>IFERROR(__xludf.DUMMYFUNCTION("IF($A225="""","""", IFERROR(PERCENTRANK.INC(FILTER(P:P,$E:$E&lt;&gt;""""),P225)*100,""""))"),"")</f>
        <v/>
      </c>
      <c r="S225" s="15" t="str">
        <f>IFERROR(__xludf.DUMMYFUNCTION("IF($A225="""","""",IFERROR(PERCENTRANK.INC(FILTER(Q:Q,$E:$E&lt;&gt;""""),Q225)*100,""""))"),"")</f>
        <v/>
      </c>
    </row>
    <row r="226">
      <c r="B226" t="str">
        <f t="array" ref="B226">IFERROR(INDEX('Player Raw Data'!C:C,Match($A226,'Player Raw Data'!$B:$B,0)),"")</f>
        <v/>
      </c>
      <c r="C226" t="str">
        <f t="array" ref="C226">IFERROR(INDEX('Player Raw Data'!D:D,Match($A226,'Player Raw Data'!$B:$B,0)),"")</f>
        <v/>
      </c>
      <c r="D226" t="str">
        <f t="array" ref="D226">IFERROR(IF(A226=A225, INDEX('Player Raw Data'!E:E,Match($A226,'Player Raw Data'!$B:$B,0)+2),INDEX('Player Raw Data'!E:E,Match($A226,'Player Raw Data'!$B:$B,0))),"")</f>
        <v/>
      </c>
      <c r="E226" s="27" t="str">
        <f>IFERROR(__xludf.DUMMYFUNCTION("IFERROR(ARRAY_CONSTRAIN(SPLIT(INDEX('Daily Raw Data'!G:G,Match($A226,'Daily Raw Data'!$B:$B,0)),"":""),1,1),"""")"),"")</f>
        <v/>
      </c>
      <c r="F226" t="str">
        <f t="array" ref="F226">IFERROR(INDEX('Daily Raw Data'!H:H,Match($A226,'Daily Raw Data'!$B:$B,0)),"")</f>
        <v/>
      </c>
      <c r="G226" t="str">
        <f t="array" ref="G226">IFERROR(INDEX('Daily Raw Data'!I:I,Match($A226,'Daily Raw Data'!$B:$B,0)),"")</f>
        <v/>
      </c>
      <c r="H226" t="str">
        <f t="array" ref="H226">IFERROR(INDEX('Daily Raw Data'!N:N,Match($A226,'Daily Raw Data'!$B:$B,0)),"")</f>
        <v/>
      </c>
      <c r="I226" t="str">
        <f t="array" ref="I226">IFERROR(INDEX('Daily Raw Data'!O:O,Match($A226,'Daily Raw Data'!$B:$B,0)),"")</f>
        <v/>
      </c>
      <c r="J226" t="str">
        <f t="array" ref="J226">IFERROR(INDEX('Daily Raw Data'!S:S,Match($A226,'Daily Raw Data'!$B:$B,0)),"")</f>
        <v/>
      </c>
      <c r="K226" t="str">
        <f t="array" ref="K226">IFERROR(INDEX('Daily Raw Data'!T:T,Match($A226,'Daily Raw Data'!$B:$B,0)),"")</f>
        <v/>
      </c>
      <c r="L226" t="str">
        <f t="array" ref="L226">IFERROR(INDEX('Daily Raw Data'!U:U,Match($A226,'Daily Raw Data'!$B:$B,0)),"")</f>
        <v/>
      </c>
      <c r="M226" t="str">
        <f t="array" ref="M226">IFERROR(INDEX('Daily Raw Data'!V:V,Match($A226,'Daily Raw Data'!$B:$B,0)),"")</f>
        <v/>
      </c>
      <c r="N226" t="str">
        <f t="array" ref="N226">IFERROR(INDEX('Daily Raw Data'!W:W,Match($A226,'Daily Raw Data'!$B:$B,0)),"")</f>
        <v/>
      </c>
      <c r="O226" t="str">
        <f t="array" ref="O226">IFERROR(INDEX('Daily Raw Data'!Y:Y,Match($A226,'Daily Raw Data'!$B:$B,0)),"")</f>
        <v/>
      </c>
      <c r="P226" t="str">
        <f t="shared" si="1"/>
        <v/>
      </c>
      <c r="Q226" s="14" t="str">
        <f t="shared" si="2"/>
        <v/>
      </c>
      <c r="R226" s="15" t="str">
        <f>IFERROR(__xludf.DUMMYFUNCTION("IF($A226="""","""", IFERROR(PERCENTRANK.INC(FILTER(P:P,$E:$E&lt;&gt;""""),P226)*100,""""))"),"")</f>
        <v/>
      </c>
      <c r="S226" s="15" t="str">
        <f>IFERROR(__xludf.DUMMYFUNCTION("IF($A226="""","""",IFERROR(PERCENTRANK.INC(FILTER(Q:Q,$E:$E&lt;&gt;""""),Q226)*100,""""))"),"")</f>
        <v/>
      </c>
    </row>
    <row r="227">
      <c r="B227" t="str">
        <f t="array" ref="B227">IFERROR(INDEX('Player Raw Data'!C:C,Match($A227,'Player Raw Data'!$B:$B,0)),"")</f>
        <v/>
      </c>
      <c r="C227" t="str">
        <f t="array" ref="C227">IFERROR(INDEX('Player Raw Data'!D:D,Match($A227,'Player Raw Data'!$B:$B,0)),"")</f>
        <v/>
      </c>
      <c r="D227" t="str">
        <f t="array" ref="D227">IFERROR(IF(A227=A226, INDEX('Player Raw Data'!E:E,Match($A227,'Player Raw Data'!$B:$B,0)+2),INDEX('Player Raw Data'!E:E,Match($A227,'Player Raw Data'!$B:$B,0))),"")</f>
        <v/>
      </c>
      <c r="E227" s="27" t="str">
        <f>IFERROR(__xludf.DUMMYFUNCTION("IFERROR(ARRAY_CONSTRAIN(SPLIT(INDEX('Daily Raw Data'!G:G,Match($A227,'Daily Raw Data'!$B:$B,0)),"":""),1,1),"""")"),"")</f>
        <v/>
      </c>
      <c r="F227" t="str">
        <f t="array" ref="F227">IFERROR(INDEX('Daily Raw Data'!H:H,Match($A227,'Daily Raw Data'!$B:$B,0)),"")</f>
        <v/>
      </c>
      <c r="G227" t="str">
        <f t="array" ref="G227">IFERROR(INDEX('Daily Raw Data'!I:I,Match($A227,'Daily Raw Data'!$B:$B,0)),"")</f>
        <v/>
      </c>
      <c r="H227" t="str">
        <f t="array" ref="H227">IFERROR(INDEX('Daily Raw Data'!N:N,Match($A227,'Daily Raw Data'!$B:$B,0)),"")</f>
        <v/>
      </c>
      <c r="I227" t="str">
        <f t="array" ref="I227">IFERROR(INDEX('Daily Raw Data'!O:O,Match($A227,'Daily Raw Data'!$B:$B,0)),"")</f>
        <v/>
      </c>
      <c r="J227" t="str">
        <f t="array" ref="J227">IFERROR(INDEX('Daily Raw Data'!S:S,Match($A227,'Daily Raw Data'!$B:$B,0)),"")</f>
        <v/>
      </c>
      <c r="K227" t="str">
        <f t="array" ref="K227">IFERROR(INDEX('Daily Raw Data'!T:T,Match($A227,'Daily Raw Data'!$B:$B,0)),"")</f>
        <v/>
      </c>
      <c r="L227" t="str">
        <f t="array" ref="L227">IFERROR(INDEX('Daily Raw Data'!U:U,Match($A227,'Daily Raw Data'!$B:$B,0)),"")</f>
        <v/>
      </c>
      <c r="M227" t="str">
        <f t="array" ref="M227">IFERROR(INDEX('Daily Raw Data'!V:V,Match($A227,'Daily Raw Data'!$B:$B,0)),"")</f>
        <v/>
      </c>
      <c r="N227" t="str">
        <f t="array" ref="N227">IFERROR(INDEX('Daily Raw Data'!W:W,Match($A227,'Daily Raw Data'!$B:$B,0)),"")</f>
        <v/>
      </c>
      <c r="O227" t="str">
        <f t="array" ref="O227">IFERROR(INDEX('Daily Raw Data'!Y:Y,Match($A227,'Daily Raw Data'!$B:$B,0)),"")</f>
        <v/>
      </c>
      <c r="P227" t="str">
        <f t="shared" si="1"/>
        <v/>
      </c>
      <c r="Q227" s="14" t="str">
        <f t="shared" si="2"/>
        <v/>
      </c>
      <c r="R227" s="15" t="str">
        <f>IFERROR(__xludf.DUMMYFUNCTION("IF($A227="""","""", IFERROR(PERCENTRANK.INC(FILTER(P:P,$E:$E&lt;&gt;""""),P227)*100,""""))"),"")</f>
        <v/>
      </c>
      <c r="S227" s="15" t="str">
        <f>IFERROR(__xludf.DUMMYFUNCTION("IF($A227="""","""",IFERROR(PERCENTRANK.INC(FILTER(Q:Q,$E:$E&lt;&gt;""""),Q227)*100,""""))"),"")</f>
        <v/>
      </c>
    </row>
    <row r="228">
      <c r="B228" t="str">
        <f t="array" ref="B228">IFERROR(INDEX('Player Raw Data'!C:C,Match($A228,'Player Raw Data'!$B:$B,0)),"")</f>
        <v/>
      </c>
      <c r="C228" t="str">
        <f t="array" ref="C228">IFERROR(INDEX('Player Raw Data'!D:D,Match($A228,'Player Raw Data'!$B:$B,0)),"")</f>
        <v/>
      </c>
      <c r="D228" t="str">
        <f t="array" ref="D228">IFERROR(IF(A228=A227, INDEX('Player Raw Data'!E:E,Match($A228,'Player Raw Data'!$B:$B,0)+2),INDEX('Player Raw Data'!E:E,Match($A228,'Player Raw Data'!$B:$B,0))),"")</f>
        <v/>
      </c>
      <c r="E228" s="27" t="str">
        <f>IFERROR(__xludf.DUMMYFUNCTION("IFERROR(ARRAY_CONSTRAIN(SPLIT(INDEX('Daily Raw Data'!G:G,Match($A228,'Daily Raw Data'!$B:$B,0)),"":""),1,1),"""")"),"")</f>
        <v/>
      </c>
      <c r="F228" t="str">
        <f t="array" ref="F228">IFERROR(INDEX('Daily Raw Data'!H:H,Match($A228,'Daily Raw Data'!$B:$B,0)),"")</f>
        <v/>
      </c>
      <c r="G228" t="str">
        <f t="array" ref="G228">IFERROR(INDEX('Daily Raw Data'!I:I,Match($A228,'Daily Raw Data'!$B:$B,0)),"")</f>
        <v/>
      </c>
      <c r="H228" t="str">
        <f t="array" ref="H228">IFERROR(INDEX('Daily Raw Data'!N:N,Match($A228,'Daily Raw Data'!$B:$B,0)),"")</f>
        <v/>
      </c>
      <c r="I228" t="str">
        <f t="array" ref="I228">IFERROR(INDEX('Daily Raw Data'!O:O,Match($A228,'Daily Raw Data'!$B:$B,0)),"")</f>
        <v/>
      </c>
      <c r="J228" t="str">
        <f t="array" ref="J228">IFERROR(INDEX('Daily Raw Data'!S:S,Match($A228,'Daily Raw Data'!$B:$B,0)),"")</f>
        <v/>
      </c>
      <c r="K228" t="str">
        <f t="array" ref="K228">IFERROR(INDEX('Daily Raw Data'!T:T,Match($A228,'Daily Raw Data'!$B:$B,0)),"")</f>
        <v/>
      </c>
      <c r="L228" t="str">
        <f t="array" ref="L228">IFERROR(INDEX('Daily Raw Data'!U:U,Match($A228,'Daily Raw Data'!$B:$B,0)),"")</f>
        <v/>
      </c>
      <c r="M228" t="str">
        <f t="array" ref="M228">IFERROR(INDEX('Daily Raw Data'!V:V,Match($A228,'Daily Raw Data'!$B:$B,0)),"")</f>
        <v/>
      </c>
      <c r="N228" t="str">
        <f t="array" ref="N228">IFERROR(INDEX('Daily Raw Data'!W:W,Match($A228,'Daily Raw Data'!$B:$B,0)),"")</f>
        <v/>
      </c>
      <c r="O228" t="str">
        <f t="array" ref="O228">IFERROR(INDEX('Daily Raw Data'!Y:Y,Match($A228,'Daily Raw Data'!$B:$B,0)),"")</f>
        <v/>
      </c>
      <c r="P228" t="str">
        <f t="shared" si="1"/>
        <v/>
      </c>
      <c r="Q228" s="14" t="str">
        <f t="shared" si="2"/>
        <v/>
      </c>
      <c r="R228" s="15" t="str">
        <f>IFERROR(__xludf.DUMMYFUNCTION("IF($A228="""","""", IFERROR(PERCENTRANK.INC(FILTER(P:P,$E:$E&lt;&gt;""""),P228)*100,""""))"),"")</f>
        <v/>
      </c>
      <c r="S228" s="15" t="str">
        <f>IFERROR(__xludf.DUMMYFUNCTION("IF($A228="""","""",IFERROR(PERCENTRANK.INC(FILTER(Q:Q,$E:$E&lt;&gt;""""),Q228)*100,""""))"),"")</f>
        <v/>
      </c>
    </row>
    <row r="229">
      <c r="B229" t="str">
        <f t="array" ref="B229">IFERROR(INDEX('Player Raw Data'!C:C,Match($A229,'Player Raw Data'!$B:$B,0)),"")</f>
        <v/>
      </c>
      <c r="C229" t="str">
        <f t="array" ref="C229">IFERROR(INDEX('Player Raw Data'!D:D,Match($A229,'Player Raw Data'!$B:$B,0)),"")</f>
        <v/>
      </c>
      <c r="D229" t="str">
        <f t="array" ref="D229">IFERROR(IF(A229=A228, INDEX('Player Raw Data'!E:E,Match($A229,'Player Raw Data'!$B:$B,0)+2),INDEX('Player Raw Data'!E:E,Match($A229,'Player Raw Data'!$B:$B,0))),"")</f>
        <v/>
      </c>
      <c r="E229" s="27" t="str">
        <f>IFERROR(__xludf.DUMMYFUNCTION("IFERROR(ARRAY_CONSTRAIN(SPLIT(INDEX('Daily Raw Data'!G:G,Match($A229,'Daily Raw Data'!$B:$B,0)),"":""),1,1),"""")"),"")</f>
        <v/>
      </c>
      <c r="F229" t="str">
        <f t="array" ref="F229">IFERROR(INDEX('Daily Raw Data'!H:H,Match($A229,'Daily Raw Data'!$B:$B,0)),"")</f>
        <v/>
      </c>
      <c r="G229" t="str">
        <f t="array" ref="G229">IFERROR(INDEX('Daily Raw Data'!I:I,Match($A229,'Daily Raw Data'!$B:$B,0)),"")</f>
        <v/>
      </c>
      <c r="H229" t="str">
        <f t="array" ref="H229">IFERROR(INDEX('Daily Raw Data'!N:N,Match($A229,'Daily Raw Data'!$B:$B,0)),"")</f>
        <v/>
      </c>
      <c r="I229" t="str">
        <f t="array" ref="I229">IFERROR(INDEX('Daily Raw Data'!O:O,Match($A229,'Daily Raw Data'!$B:$B,0)),"")</f>
        <v/>
      </c>
      <c r="J229" t="str">
        <f t="array" ref="J229">IFERROR(INDEX('Daily Raw Data'!S:S,Match($A229,'Daily Raw Data'!$B:$B,0)),"")</f>
        <v/>
      </c>
      <c r="K229" t="str">
        <f t="array" ref="K229">IFERROR(INDEX('Daily Raw Data'!T:T,Match($A229,'Daily Raw Data'!$B:$B,0)),"")</f>
        <v/>
      </c>
      <c r="L229" t="str">
        <f t="array" ref="L229">IFERROR(INDEX('Daily Raw Data'!U:U,Match($A229,'Daily Raw Data'!$B:$B,0)),"")</f>
        <v/>
      </c>
      <c r="M229" t="str">
        <f t="array" ref="M229">IFERROR(INDEX('Daily Raw Data'!V:V,Match($A229,'Daily Raw Data'!$B:$B,0)),"")</f>
        <v/>
      </c>
      <c r="N229" t="str">
        <f t="array" ref="N229">IFERROR(INDEX('Daily Raw Data'!W:W,Match($A229,'Daily Raw Data'!$B:$B,0)),"")</f>
        <v/>
      </c>
      <c r="O229" t="str">
        <f t="array" ref="O229">IFERROR(INDEX('Daily Raw Data'!Y:Y,Match($A229,'Daily Raw Data'!$B:$B,0)),"")</f>
        <v/>
      </c>
      <c r="P229" t="str">
        <f t="shared" si="1"/>
        <v/>
      </c>
      <c r="Q229" s="14" t="str">
        <f t="shared" si="2"/>
        <v/>
      </c>
      <c r="R229" s="15" t="str">
        <f>IFERROR(__xludf.DUMMYFUNCTION("IF($A229="""","""", IFERROR(PERCENTRANK.INC(FILTER(P:P,$E:$E&lt;&gt;""""),P229)*100,""""))"),"")</f>
        <v/>
      </c>
      <c r="S229" s="15" t="str">
        <f>IFERROR(__xludf.DUMMYFUNCTION("IF($A229="""","""",IFERROR(PERCENTRANK.INC(FILTER(Q:Q,$E:$E&lt;&gt;""""),Q229)*100,""""))"),"")</f>
        <v/>
      </c>
    </row>
    <row r="230">
      <c r="B230" t="str">
        <f t="array" ref="B230">IFERROR(INDEX('Player Raw Data'!C:C,Match($A230,'Player Raw Data'!$B:$B,0)),"")</f>
        <v/>
      </c>
      <c r="C230" t="str">
        <f t="array" ref="C230">IFERROR(INDEX('Player Raw Data'!D:D,Match($A230,'Player Raw Data'!$B:$B,0)),"")</f>
        <v/>
      </c>
      <c r="D230" t="str">
        <f t="array" ref="D230">IFERROR(IF(A230=A229, INDEX('Player Raw Data'!E:E,Match($A230,'Player Raw Data'!$B:$B,0)+2),INDEX('Player Raw Data'!E:E,Match($A230,'Player Raw Data'!$B:$B,0))),"")</f>
        <v/>
      </c>
      <c r="E230" s="27" t="str">
        <f>IFERROR(__xludf.DUMMYFUNCTION("IFERROR(ARRAY_CONSTRAIN(SPLIT(INDEX('Daily Raw Data'!G:G,Match($A230,'Daily Raw Data'!$B:$B,0)),"":""),1,1),"""")"),"")</f>
        <v/>
      </c>
      <c r="F230" t="str">
        <f t="array" ref="F230">IFERROR(INDEX('Daily Raw Data'!H:H,Match($A230,'Daily Raw Data'!$B:$B,0)),"")</f>
        <v/>
      </c>
      <c r="G230" t="str">
        <f t="array" ref="G230">IFERROR(INDEX('Daily Raw Data'!I:I,Match($A230,'Daily Raw Data'!$B:$B,0)),"")</f>
        <v/>
      </c>
      <c r="H230" t="str">
        <f t="array" ref="H230">IFERROR(INDEX('Daily Raw Data'!N:N,Match($A230,'Daily Raw Data'!$B:$B,0)),"")</f>
        <v/>
      </c>
      <c r="I230" t="str">
        <f t="array" ref="I230">IFERROR(INDEX('Daily Raw Data'!O:O,Match($A230,'Daily Raw Data'!$B:$B,0)),"")</f>
        <v/>
      </c>
      <c r="J230" t="str">
        <f t="array" ref="J230">IFERROR(INDEX('Daily Raw Data'!S:S,Match($A230,'Daily Raw Data'!$B:$B,0)),"")</f>
        <v/>
      </c>
      <c r="K230" t="str">
        <f t="array" ref="K230">IFERROR(INDEX('Daily Raw Data'!T:T,Match($A230,'Daily Raw Data'!$B:$B,0)),"")</f>
        <v/>
      </c>
      <c r="L230" t="str">
        <f t="array" ref="L230">IFERROR(INDEX('Daily Raw Data'!U:U,Match($A230,'Daily Raw Data'!$B:$B,0)),"")</f>
        <v/>
      </c>
      <c r="M230" t="str">
        <f t="array" ref="M230">IFERROR(INDEX('Daily Raw Data'!V:V,Match($A230,'Daily Raw Data'!$B:$B,0)),"")</f>
        <v/>
      </c>
      <c r="N230" t="str">
        <f t="array" ref="N230">IFERROR(INDEX('Daily Raw Data'!W:W,Match($A230,'Daily Raw Data'!$B:$B,0)),"")</f>
        <v/>
      </c>
      <c r="O230" t="str">
        <f t="array" ref="O230">IFERROR(INDEX('Daily Raw Data'!Y:Y,Match($A230,'Daily Raw Data'!$B:$B,0)),"")</f>
        <v/>
      </c>
      <c r="P230" t="str">
        <f t="shared" si="1"/>
        <v/>
      </c>
      <c r="Q230" s="14" t="str">
        <f t="shared" si="2"/>
        <v/>
      </c>
      <c r="R230" s="15" t="str">
        <f>IFERROR(__xludf.DUMMYFUNCTION("IF($A230="""","""", IFERROR(PERCENTRANK.INC(FILTER(P:P,$E:$E&lt;&gt;""""),P230)*100,""""))"),"")</f>
        <v/>
      </c>
      <c r="S230" s="15" t="str">
        <f>IFERROR(__xludf.DUMMYFUNCTION("IF($A230="""","""",IFERROR(PERCENTRANK.INC(FILTER(Q:Q,$E:$E&lt;&gt;""""),Q230)*100,""""))"),"")</f>
        <v/>
      </c>
    </row>
    <row r="231">
      <c r="B231" t="str">
        <f t="array" ref="B231">IFERROR(INDEX('Player Raw Data'!C:C,Match($A231,'Player Raw Data'!$B:$B,0)),"")</f>
        <v/>
      </c>
      <c r="C231" t="str">
        <f t="array" ref="C231">IFERROR(INDEX('Player Raw Data'!D:D,Match($A231,'Player Raw Data'!$B:$B,0)),"")</f>
        <v/>
      </c>
      <c r="D231" t="str">
        <f t="array" ref="D231">IFERROR(IF(A231=A230, INDEX('Player Raw Data'!E:E,Match($A231,'Player Raw Data'!$B:$B,0)+2),INDEX('Player Raw Data'!E:E,Match($A231,'Player Raw Data'!$B:$B,0))),"")</f>
        <v/>
      </c>
      <c r="E231" s="27" t="str">
        <f>IFERROR(__xludf.DUMMYFUNCTION("IFERROR(ARRAY_CONSTRAIN(SPLIT(INDEX('Daily Raw Data'!G:G,Match($A231,'Daily Raw Data'!$B:$B,0)),"":""),1,1),"""")"),"")</f>
        <v/>
      </c>
      <c r="F231" t="str">
        <f t="array" ref="F231">IFERROR(INDEX('Daily Raw Data'!H:H,Match($A231,'Daily Raw Data'!$B:$B,0)),"")</f>
        <v/>
      </c>
      <c r="G231" t="str">
        <f t="array" ref="G231">IFERROR(INDEX('Daily Raw Data'!I:I,Match($A231,'Daily Raw Data'!$B:$B,0)),"")</f>
        <v/>
      </c>
      <c r="H231" t="str">
        <f t="array" ref="H231">IFERROR(INDEX('Daily Raw Data'!N:N,Match($A231,'Daily Raw Data'!$B:$B,0)),"")</f>
        <v/>
      </c>
      <c r="I231" t="str">
        <f t="array" ref="I231">IFERROR(INDEX('Daily Raw Data'!O:O,Match($A231,'Daily Raw Data'!$B:$B,0)),"")</f>
        <v/>
      </c>
      <c r="J231" t="str">
        <f t="array" ref="J231">IFERROR(INDEX('Daily Raw Data'!S:S,Match($A231,'Daily Raw Data'!$B:$B,0)),"")</f>
        <v/>
      </c>
      <c r="K231" t="str">
        <f t="array" ref="K231">IFERROR(INDEX('Daily Raw Data'!T:T,Match($A231,'Daily Raw Data'!$B:$B,0)),"")</f>
        <v/>
      </c>
      <c r="L231" t="str">
        <f t="array" ref="L231">IFERROR(INDEX('Daily Raw Data'!U:U,Match($A231,'Daily Raw Data'!$B:$B,0)),"")</f>
        <v/>
      </c>
      <c r="M231" t="str">
        <f t="array" ref="M231">IFERROR(INDEX('Daily Raw Data'!V:V,Match($A231,'Daily Raw Data'!$B:$B,0)),"")</f>
        <v/>
      </c>
      <c r="N231" t="str">
        <f t="array" ref="N231">IFERROR(INDEX('Daily Raw Data'!W:W,Match($A231,'Daily Raw Data'!$B:$B,0)),"")</f>
        <v/>
      </c>
      <c r="O231" t="str">
        <f t="array" ref="O231">IFERROR(INDEX('Daily Raw Data'!Y:Y,Match($A231,'Daily Raw Data'!$B:$B,0)),"")</f>
        <v/>
      </c>
      <c r="P231" t="str">
        <f t="shared" si="1"/>
        <v/>
      </c>
      <c r="Q231" s="14" t="str">
        <f t="shared" si="2"/>
        <v/>
      </c>
      <c r="R231" s="15" t="str">
        <f>IFERROR(__xludf.DUMMYFUNCTION("IF($A231="""","""", IFERROR(PERCENTRANK.INC(FILTER(P:P,$E:$E&lt;&gt;""""),P231)*100,""""))"),"")</f>
        <v/>
      </c>
      <c r="S231" s="15" t="str">
        <f>IFERROR(__xludf.DUMMYFUNCTION("IF($A231="""","""",IFERROR(PERCENTRANK.INC(FILTER(Q:Q,$E:$E&lt;&gt;""""),Q231)*100,""""))"),"")</f>
        <v/>
      </c>
    </row>
    <row r="232">
      <c r="B232" t="str">
        <f t="array" ref="B232">IFERROR(INDEX('Player Raw Data'!C:C,Match($A232,'Player Raw Data'!$B:$B,0)),"")</f>
        <v/>
      </c>
      <c r="C232" t="str">
        <f t="array" ref="C232">IFERROR(INDEX('Player Raw Data'!D:D,Match($A232,'Player Raw Data'!$B:$B,0)),"")</f>
        <v/>
      </c>
      <c r="D232" t="str">
        <f t="array" ref="D232">IFERROR(IF(A232=A231, INDEX('Player Raw Data'!E:E,Match($A232,'Player Raw Data'!$B:$B,0)+2),INDEX('Player Raw Data'!E:E,Match($A232,'Player Raw Data'!$B:$B,0))),"")</f>
        <v/>
      </c>
      <c r="E232" s="27" t="str">
        <f>IFERROR(__xludf.DUMMYFUNCTION("IFERROR(ARRAY_CONSTRAIN(SPLIT(INDEX('Daily Raw Data'!G:G,Match($A232,'Daily Raw Data'!$B:$B,0)),"":""),1,1),"""")"),"")</f>
        <v/>
      </c>
      <c r="F232" t="str">
        <f t="array" ref="F232">IFERROR(INDEX('Daily Raw Data'!H:H,Match($A232,'Daily Raw Data'!$B:$B,0)),"")</f>
        <v/>
      </c>
      <c r="G232" t="str">
        <f t="array" ref="G232">IFERROR(INDEX('Daily Raw Data'!I:I,Match($A232,'Daily Raw Data'!$B:$B,0)),"")</f>
        <v/>
      </c>
      <c r="H232" t="str">
        <f t="array" ref="H232">IFERROR(INDEX('Daily Raw Data'!N:N,Match($A232,'Daily Raw Data'!$B:$B,0)),"")</f>
        <v/>
      </c>
      <c r="I232" t="str">
        <f t="array" ref="I232">IFERROR(INDEX('Daily Raw Data'!O:O,Match($A232,'Daily Raw Data'!$B:$B,0)),"")</f>
        <v/>
      </c>
      <c r="J232" t="str">
        <f t="array" ref="J232">IFERROR(INDEX('Daily Raw Data'!S:S,Match($A232,'Daily Raw Data'!$B:$B,0)),"")</f>
        <v/>
      </c>
      <c r="K232" t="str">
        <f t="array" ref="K232">IFERROR(INDEX('Daily Raw Data'!T:T,Match($A232,'Daily Raw Data'!$B:$B,0)),"")</f>
        <v/>
      </c>
      <c r="L232" t="str">
        <f t="array" ref="L232">IFERROR(INDEX('Daily Raw Data'!U:U,Match($A232,'Daily Raw Data'!$B:$B,0)),"")</f>
        <v/>
      </c>
      <c r="M232" t="str">
        <f t="array" ref="M232">IFERROR(INDEX('Daily Raw Data'!V:V,Match($A232,'Daily Raw Data'!$B:$B,0)),"")</f>
        <v/>
      </c>
      <c r="N232" t="str">
        <f t="array" ref="N232">IFERROR(INDEX('Daily Raw Data'!W:W,Match($A232,'Daily Raw Data'!$B:$B,0)),"")</f>
        <v/>
      </c>
      <c r="O232" t="str">
        <f t="array" ref="O232">IFERROR(INDEX('Daily Raw Data'!Y:Y,Match($A232,'Daily Raw Data'!$B:$B,0)),"")</f>
        <v/>
      </c>
      <c r="P232" t="str">
        <f t="shared" si="1"/>
        <v/>
      </c>
      <c r="Q232" s="14" t="str">
        <f t="shared" si="2"/>
        <v/>
      </c>
      <c r="R232" s="15" t="str">
        <f>IFERROR(__xludf.DUMMYFUNCTION("IF($A232="""","""", IFERROR(PERCENTRANK.INC(FILTER(P:P,$E:$E&lt;&gt;""""),P232)*100,""""))"),"")</f>
        <v/>
      </c>
      <c r="S232" s="15" t="str">
        <f>IFERROR(__xludf.DUMMYFUNCTION("IF($A232="""","""",IFERROR(PERCENTRANK.INC(FILTER(Q:Q,$E:$E&lt;&gt;""""),Q232)*100,""""))"),"")</f>
        <v/>
      </c>
    </row>
    <row r="233">
      <c r="B233" t="str">
        <f t="array" ref="B233">IFERROR(INDEX('Player Raw Data'!C:C,Match($A233,'Player Raw Data'!$B:$B,0)),"")</f>
        <v/>
      </c>
      <c r="C233" t="str">
        <f t="array" ref="C233">IFERROR(INDEX('Player Raw Data'!D:D,Match($A233,'Player Raw Data'!$B:$B,0)),"")</f>
        <v/>
      </c>
      <c r="D233" t="str">
        <f t="array" ref="D233">IFERROR(IF(A233=A232, INDEX('Player Raw Data'!E:E,Match($A233,'Player Raw Data'!$B:$B,0)+2),INDEX('Player Raw Data'!E:E,Match($A233,'Player Raw Data'!$B:$B,0))),"")</f>
        <v/>
      </c>
      <c r="E233" s="27" t="str">
        <f>IFERROR(__xludf.DUMMYFUNCTION("IFERROR(ARRAY_CONSTRAIN(SPLIT(INDEX('Daily Raw Data'!G:G,Match($A233,'Daily Raw Data'!$B:$B,0)),"":""),1,1),"""")"),"")</f>
        <v/>
      </c>
      <c r="F233" t="str">
        <f t="array" ref="F233">IFERROR(INDEX('Daily Raw Data'!H:H,Match($A233,'Daily Raw Data'!$B:$B,0)),"")</f>
        <v/>
      </c>
      <c r="G233" t="str">
        <f t="array" ref="G233">IFERROR(INDEX('Daily Raw Data'!I:I,Match($A233,'Daily Raw Data'!$B:$B,0)),"")</f>
        <v/>
      </c>
      <c r="H233" t="str">
        <f t="array" ref="H233">IFERROR(INDEX('Daily Raw Data'!N:N,Match($A233,'Daily Raw Data'!$B:$B,0)),"")</f>
        <v/>
      </c>
      <c r="I233" t="str">
        <f t="array" ref="I233">IFERROR(INDEX('Daily Raw Data'!O:O,Match($A233,'Daily Raw Data'!$B:$B,0)),"")</f>
        <v/>
      </c>
      <c r="J233" t="str">
        <f t="array" ref="J233">IFERROR(INDEX('Daily Raw Data'!S:S,Match($A233,'Daily Raw Data'!$B:$B,0)),"")</f>
        <v/>
      </c>
      <c r="K233" t="str">
        <f t="array" ref="K233">IFERROR(INDEX('Daily Raw Data'!T:T,Match($A233,'Daily Raw Data'!$B:$B,0)),"")</f>
        <v/>
      </c>
      <c r="L233" t="str">
        <f t="array" ref="L233">IFERROR(INDEX('Daily Raw Data'!U:U,Match($A233,'Daily Raw Data'!$B:$B,0)),"")</f>
        <v/>
      </c>
      <c r="M233" t="str">
        <f t="array" ref="M233">IFERROR(INDEX('Daily Raw Data'!V:V,Match($A233,'Daily Raw Data'!$B:$B,0)),"")</f>
        <v/>
      </c>
      <c r="N233" t="str">
        <f t="array" ref="N233">IFERROR(INDEX('Daily Raw Data'!W:W,Match($A233,'Daily Raw Data'!$B:$B,0)),"")</f>
        <v/>
      </c>
      <c r="O233" t="str">
        <f t="array" ref="O233">IFERROR(INDEX('Daily Raw Data'!Y:Y,Match($A233,'Daily Raw Data'!$B:$B,0)),"")</f>
        <v/>
      </c>
      <c r="P233" t="str">
        <f t="shared" si="1"/>
        <v/>
      </c>
      <c r="Q233" s="14" t="str">
        <f t="shared" si="2"/>
        <v/>
      </c>
      <c r="R233" s="15" t="str">
        <f>IFERROR(__xludf.DUMMYFUNCTION("IF($A233="""","""", IFERROR(PERCENTRANK.INC(FILTER(P:P,$E:$E&lt;&gt;""""),P233)*100,""""))"),"")</f>
        <v/>
      </c>
      <c r="S233" s="15" t="str">
        <f>IFERROR(__xludf.DUMMYFUNCTION("IF($A233="""","""",IFERROR(PERCENTRANK.INC(FILTER(Q:Q,$E:$E&lt;&gt;""""),Q233)*100,""""))"),"")</f>
        <v/>
      </c>
    </row>
    <row r="234">
      <c r="B234" t="str">
        <f t="array" ref="B234">IFERROR(INDEX('Player Raw Data'!C:C,Match($A234,'Player Raw Data'!$B:$B,0)),"")</f>
        <v/>
      </c>
      <c r="C234" t="str">
        <f t="array" ref="C234">IFERROR(INDEX('Player Raw Data'!D:D,Match($A234,'Player Raw Data'!$B:$B,0)),"")</f>
        <v/>
      </c>
      <c r="D234" t="str">
        <f t="array" ref="D234">IFERROR(IF(A234=A233, INDEX('Player Raw Data'!E:E,Match($A234,'Player Raw Data'!$B:$B,0)+2),INDEX('Player Raw Data'!E:E,Match($A234,'Player Raw Data'!$B:$B,0))),"")</f>
        <v/>
      </c>
      <c r="E234" s="27" t="str">
        <f>IFERROR(__xludf.DUMMYFUNCTION("IFERROR(ARRAY_CONSTRAIN(SPLIT(INDEX('Daily Raw Data'!G:G,Match($A234,'Daily Raw Data'!$B:$B,0)),"":""),1,1),"""")"),"")</f>
        <v/>
      </c>
      <c r="F234" t="str">
        <f t="array" ref="F234">IFERROR(INDEX('Daily Raw Data'!H:H,Match($A234,'Daily Raw Data'!$B:$B,0)),"")</f>
        <v/>
      </c>
      <c r="G234" t="str">
        <f t="array" ref="G234">IFERROR(INDEX('Daily Raw Data'!I:I,Match($A234,'Daily Raw Data'!$B:$B,0)),"")</f>
        <v/>
      </c>
      <c r="H234" t="str">
        <f t="array" ref="H234">IFERROR(INDEX('Daily Raw Data'!N:N,Match($A234,'Daily Raw Data'!$B:$B,0)),"")</f>
        <v/>
      </c>
      <c r="I234" t="str">
        <f t="array" ref="I234">IFERROR(INDEX('Daily Raw Data'!O:O,Match($A234,'Daily Raw Data'!$B:$B,0)),"")</f>
        <v/>
      </c>
      <c r="J234" t="str">
        <f t="array" ref="J234">IFERROR(INDEX('Daily Raw Data'!S:S,Match($A234,'Daily Raw Data'!$B:$B,0)),"")</f>
        <v/>
      </c>
      <c r="K234" t="str">
        <f t="array" ref="K234">IFERROR(INDEX('Daily Raw Data'!T:T,Match($A234,'Daily Raw Data'!$B:$B,0)),"")</f>
        <v/>
      </c>
      <c r="L234" t="str">
        <f t="array" ref="L234">IFERROR(INDEX('Daily Raw Data'!U:U,Match($A234,'Daily Raw Data'!$B:$B,0)),"")</f>
        <v/>
      </c>
      <c r="M234" t="str">
        <f t="array" ref="M234">IFERROR(INDEX('Daily Raw Data'!V:V,Match($A234,'Daily Raw Data'!$B:$B,0)),"")</f>
        <v/>
      </c>
      <c r="N234" t="str">
        <f t="array" ref="N234">IFERROR(INDEX('Daily Raw Data'!W:W,Match($A234,'Daily Raw Data'!$B:$B,0)),"")</f>
        <v/>
      </c>
      <c r="O234" t="str">
        <f t="array" ref="O234">IFERROR(INDEX('Daily Raw Data'!Y:Y,Match($A234,'Daily Raw Data'!$B:$B,0)),"")</f>
        <v/>
      </c>
      <c r="P234" t="str">
        <f t="shared" si="1"/>
        <v/>
      </c>
      <c r="Q234" s="14" t="str">
        <f t="shared" si="2"/>
        <v/>
      </c>
      <c r="R234" s="15" t="str">
        <f>IFERROR(__xludf.DUMMYFUNCTION("IF($A234="""","""", IFERROR(PERCENTRANK.INC(FILTER(P:P,$E:$E&lt;&gt;""""),P234)*100,""""))"),"")</f>
        <v/>
      </c>
      <c r="S234" s="15" t="str">
        <f>IFERROR(__xludf.DUMMYFUNCTION("IF($A234="""","""",IFERROR(PERCENTRANK.INC(FILTER(Q:Q,$E:$E&lt;&gt;""""),Q234)*100,""""))"),"")</f>
        <v/>
      </c>
    </row>
    <row r="235">
      <c r="B235" t="str">
        <f t="array" ref="B235">IFERROR(INDEX('Player Raw Data'!C:C,Match($A235,'Player Raw Data'!$B:$B,0)),"")</f>
        <v/>
      </c>
      <c r="C235" t="str">
        <f t="array" ref="C235">IFERROR(INDEX('Player Raw Data'!D:D,Match($A235,'Player Raw Data'!$B:$B,0)),"")</f>
        <v/>
      </c>
      <c r="D235" t="str">
        <f t="array" ref="D235">IFERROR(IF(A235=A234, INDEX('Player Raw Data'!E:E,Match($A235,'Player Raw Data'!$B:$B,0)+2),INDEX('Player Raw Data'!E:E,Match($A235,'Player Raw Data'!$B:$B,0))),"")</f>
        <v/>
      </c>
      <c r="E235" s="27" t="str">
        <f>IFERROR(__xludf.DUMMYFUNCTION("IFERROR(ARRAY_CONSTRAIN(SPLIT(INDEX('Daily Raw Data'!G:G,Match($A235,'Daily Raw Data'!$B:$B,0)),"":""),1,1),"""")"),"")</f>
        <v/>
      </c>
      <c r="F235" t="str">
        <f t="array" ref="F235">IFERROR(INDEX('Daily Raw Data'!H:H,Match($A235,'Daily Raw Data'!$B:$B,0)),"")</f>
        <v/>
      </c>
      <c r="G235" t="str">
        <f t="array" ref="G235">IFERROR(INDEX('Daily Raw Data'!I:I,Match($A235,'Daily Raw Data'!$B:$B,0)),"")</f>
        <v/>
      </c>
      <c r="H235" t="str">
        <f t="array" ref="H235">IFERROR(INDEX('Daily Raw Data'!N:N,Match($A235,'Daily Raw Data'!$B:$B,0)),"")</f>
        <v/>
      </c>
      <c r="I235" t="str">
        <f t="array" ref="I235">IFERROR(INDEX('Daily Raw Data'!O:O,Match($A235,'Daily Raw Data'!$B:$B,0)),"")</f>
        <v/>
      </c>
      <c r="J235" t="str">
        <f t="array" ref="J235">IFERROR(INDEX('Daily Raw Data'!S:S,Match($A235,'Daily Raw Data'!$B:$B,0)),"")</f>
        <v/>
      </c>
      <c r="K235" t="str">
        <f t="array" ref="K235">IFERROR(INDEX('Daily Raw Data'!T:T,Match($A235,'Daily Raw Data'!$B:$B,0)),"")</f>
        <v/>
      </c>
      <c r="L235" t="str">
        <f t="array" ref="L235">IFERROR(INDEX('Daily Raw Data'!U:U,Match($A235,'Daily Raw Data'!$B:$B,0)),"")</f>
        <v/>
      </c>
      <c r="M235" t="str">
        <f t="array" ref="M235">IFERROR(INDEX('Daily Raw Data'!V:V,Match($A235,'Daily Raw Data'!$B:$B,0)),"")</f>
        <v/>
      </c>
      <c r="N235" t="str">
        <f t="array" ref="N235">IFERROR(INDEX('Daily Raw Data'!W:W,Match($A235,'Daily Raw Data'!$B:$B,0)),"")</f>
        <v/>
      </c>
      <c r="O235" t="str">
        <f t="array" ref="O235">IFERROR(INDEX('Daily Raw Data'!Y:Y,Match($A235,'Daily Raw Data'!$B:$B,0)),"")</f>
        <v/>
      </c>
      <c r="P235" t="str">
        <f t="shared" si="1"/>
        <v/>
      </c>
      <c r="Q235" s="14" t="str">
        <f t="shared" si="2"/>
        <v/>
      </c>
      <c r="R235" s="15" t="str">
        <f>IFERROR(__xludf.DUMMYFUNCTION("IF($A235="""","""", IFERROR(PERCENTRANK.INC(FILTER(P:P,$E:$E&lt;&gt;""""),P235)*100,""""))"),"")</f>
        <v/>
      </c>
      <c r="S235" s="15" t="str">
        <f>IFERROR(__xludf.DUMMYFUNCTION("IF($A235="""","""",IFERROR(PERCENTRANK.INC(FILTER(Q:Q,$E:$E&lt;&gt;""""),Q235)*100,""""))"),"")</f>
        <v/>
      </c>
    </row>
    <row r="236">
      <c r="B236" t="str">
        <f t="array" ref="B236">IFERROR(INDEX('Player Raw Data'!C:C,Match($A236,'Player Raw Data'!$B:$B,0)),"")</f>
        <v/>
      </c>
      <c r="C236" t="str">
        <f t="array" ref="C236">IFERROR(INDEX('Player Raw Data'!D:D,Match($A236,'Player Raw Data'!$B:$B,0)),"")</f>
        <v/>
      </c>
      <c r="D236" t="str">
        <f t="array" ref="D236">IFERROR(IF(A236=A235, INDEX('Player Raw Data'!E:E,Match($A236,'Player Raw Data'!$B:$B,0)+2),INDEX('Player Raw Data'!E:E,Match($A236,'Player Raw Data'!$B:$B,0))),"")</f>
        <v/>
      </c>
      <c r="E236" s="27" t="str">
        <f>IFERROR(__xludf.DUMMYFUNCTION("IFERROR(ARRAY_CONSTRAIN(SPLIT(INDEX('Daily Raw Data'!G:G,Match($A236,'Daily Raw Data'!$B:$B,0)),"":""),1,1),"""")"),"")</f>
        <v/>
      </c>
      <c r="F236" t="str">
        <f t="array" ref="F236">IFERROR(INDEX('Daily Raw Data'!H:H,Match($A236,'Daily Raw Data'!$B:$B,0)),"")</f>
        <v/>
      </c>
      <c r="G236" t="str">
        <f t="array" ref="G236">IFERROR(INDEX('Daily Raw Data'!I:I,Match($A236,'Daily Raw Data'!$B:$B,0)),"")</f>
        <v/>
      </c>
      <c r="H236" t="str">
        <f t="array" ref="H236">IFERROR(INDEX('Daily Raw Data'!N:N,Match($A236,'Daily Raw Data'!$B:$B,0)),"")</f>
        <v/>
      </c>
      <c r="I236" t="str">
        <f t="array" ref="I236">IFERROR(INDEX('Daily Raw Data'!O:O,Match($A236,'Daily Raw Data'!$B:$B,0)),"")</f>
        <v/>
      </c>
      <c r="J236" t="str">
        <f t="array" ref="J236">IFERROR(INDEX('Daily Raw Data'!S:S,Match($A236,'Daily Raw Data'!$B:$B,0)),"")</f>
        <v/>
      </c>
      <c r="K236" t="str">
        <f t="array" ref="K236">IFERROR(INDEX('Daily Raw Data'!T:T,Match($A236,'Daily Raw Data'!$B:$B,0)),"")</f>
        <v/>
      </c>
      <c r="L236" t="str">
        <f t="array" ref="L236">IFERROR(INDEX('Daily Raw Data'!U:U,Match($A236,'Daily Raw Data'!$B:$B,0)),"")</f>
        <v/>
      </c>
      <c r="M236" t="str">
        <f t="array" ref="M236">IFERROR(INDEX('Daily Raw Data'!V:V,Match($A236,'Daily Raw Data'!$B:$B,0)),"")</f>
        <v/>
      </c>
      <c r="N236" t="str">
        <f t="array" ref="N236">IFERROR(INDEX('Daily Raw Data'!W:W,Match($A236,'Daily Raw Data'!$B:$B,0)),"")</f>
        <v/>
      </c>
      <c r="O236" t="str">
        <f t="array" ref="O236">IFERROR(INDEX('Daily Raw Data'!Y:Y,Match($A236,'Daily Raw Data'!$B:$B,0)),"")</f>
        <v/>
      </c>
      <c r="P236" t="str">
        <f t="shared" si="1"/>
        <v/>
      </c>
      <c r="Q236" s="14" t="str">
        <f t="shared" si="2"/>
        <v/>
      </c>
      <c r="R236" s="15" t="str">
        <f>IFERROR(__xludf.DUMMYFUNCTION("IF($A236="""","""", IFERROR(PERCENTRANK.INC(FILTER(P:P,$E:$E&lt;&gt;""""),P236)*100,""""))"),"")</f>
        <v/>
      </c>
      <c r="S236" s="15" t="str">
        <f>IFERROR(__xludf.DUMMYFUNCTION("IF($A236="""","""",IFERROR(PERCENTRANK.INC(FILTER(Q:Q,$E:$E&lt;&gt;""""),Q236)*100,""""))"),"")</f>
        <v/>
      </c>
    </row>
    <row r="237">
      <c r="B237" t="str">
        <f t="array" ref="B237">IFERROR(INDEX('Player Raw Data'!C:C,Match($A237,'Player Raw Data'!$B:$B,0)),"")</f>
        <v/>
      </c>
      <c r="C237" t="str">
        <f t="array" ref="C237">IFERROR(INDEX('Player Raw Data'!D:D,Match($A237,'Player Raw Data'!$B:$B,0)),"")</f>
        <v/>
      </c>
      <c r="D237" t="str">
        <f t="array" ref="D237">IFERROR(IF(A237=A236, INDEX('Player Raw Data'!E:E,Match($A237,'Player Raw Data'!$B:$B,0)+2),INDEX('Player Raw Data'!E:E,Match($A237,'Player Raw Data'!$B:$B,0))),"")</f>
        <v/>
      </c>
      <c r="E237" s="27" t="str">
        <f>IFERROR(__xludf.DUMMYFUNCTION("IFERROR(ARRAY_CONSTRAIN(SPLIT(INDEX('Daily Raw Data'!G:G,Match($A237,'Daily Raw Data'!$B:$B,0)),"":""),1,1),"""")"),"")</f>
        <v/>
      </c>
      <c r="F237" t="str">
        <f t="array" ref="F237">IFERROR(INDEX('Daily Raw Data'!H:H,Match($A237,'Daily Raw Data'!$B:$B,0)),"")</f>
        <v/>
      </c>
      <c r="G237" t="str">
        <f t="array" ref="G237">IFERROR(INDEX('Daily Raw Data'!I:I,Match($A237,'Daily Raw Data'!$B:$B,0)),"")</f>
        <v/>
      </c>
      <c r="H237" t="str">
        <f t="array" ref="H237">IFERROR(INDEX('Daily Raw Data'!N:N,Match($A237,'Daily Raw Data'!$B:$B,0)),"")</f>
        <v/>
      </c>
      <c r="I237" t="str">
        <f t="array" ref="I237">IFERROR(INDEX('Daily Raw Data'!O:O,Match($A237,'Daily Raw Data'!$B:$B,0)),"")</f>
        <v/>
      </c>
      <c r="J237" t="str">
        <f t="array" ref="J237">IFERROR(INDEX('Daily Raw Data'!S:S,Match($A237,'Daily Raw Data'!$B:$B,0)),"")</f>
        <v/>
      </c>
      <c r="K237" t="str">
        <f t="array" ref="K237">IFERROR(INDEX('Daily Raw Data'!T:T,Match($A237,'Daily Raw Data'!$B:$B,0)),"")</f>
        <v/>
      </c>
      <c r="L237" t="str">
        <f t="array" ref="L237">IFERROR(INDEX('Daily Raw Data'!U:U,Match($A237,'Daily Raw Data'!$B:$B,0)),"")</f>
        <v/>
      </c>
      <c r="M237" t="str">
        <f t="array" ref="M237">IFERROR(INDEX('Daily Raw Data'!V:V,Match($A237,'Daily Raw Data'!$B:$B,0)),"")</f>
        <v/>
      </c>
      <c r="N237" t="str">
        <f t="array" ref="N237">IFERROR(INDEX('Daily Raw Data'!W:W,Match($A237,'Daily Raw Data'!$B:$B,0)),"")</f>
        <v/>
      </c>
      <c r="O237" t="str">
        <f t="array" ref="O237">IFERROR(INDEX('Daily Raw Data'!Y:Y,Match($A237,'Daily Raw Data'!$B:$B,0)),"")</f>
        <v/>
      </c>
      <c r="P237" t="str">
        <f t="shared" si="1"/>
        <v/>
      </c>
      <c r="Q237" s="14" t="str">
        <f t="shared" si="2"/>
        <v/>
      </c>
      <c r="R237" s="15" t="str">
        <f>IFERROR(__xludf.DUMMYFUNCTION("IF($A237="""","""", IFERROR(PERCENTRANK.INC(FILTER(P:P,$E:$E&lt;&gt;""""),P237)*100,""""))"),"")</f>
        <v/>
      </c>
      <c r="S237" s="15" t="str">
        <f>IFERROR(__xludf.DUMMYFUNCTION("IF($A237="""","""",IFERROR(PERCENTRANK.INC(FILTER(Q:Q,$E:$E&lt;&gt;""""),Q237)*100,""""))"),"")</f>
        <v/>
      </c>
    </row>
    <row r="238">
      <c r="B238" t="str">
        <f t="array" ref="B238">IFERROR(INDEX('Player Raw Data'!C:C,Match($A238,'Player Raw Data'!$B:$B,0)),"")</f>
        <v/>
      </c>
      <c r="C238" t="str">
        <f t="array" ref="C238">IFERROR(INDEX('Player Raw Data'!D:D,Match($A238,'Player Raw Data'!$B:$B,0)),"")</f>
        <v/>
      </c>
      <c r="D238" t="str">
        <f t="array" ref="D238">IFERROR(IF(A238=A237, INDEX('Player Raw Data'!E:E,Match($A238,'Player Raw Data'!$B:$B,0)+2),INDEX('Player Raw Data'!E:E,Match($A238,'Player Raw Data'!$B:$B,0))),"")</f>
        <v/>
      </c>
      <c r="E238" s="27" t="str">
        <f>IFERROR(__xludf.DUMMYFUNCTION("IFERROR(ARRAY_CONSTRAIN(SPLIT(INDEX('Daily Raw Data'!G:G,Match($A238,'Daily Raw Data'!$B:$B,0)),"":""),1,1),"""")"),"")</f>
        <v/>
      </c>
      <c r="F238" t="str">
        <f t="array" ref="F238">IFERROR(INDEX('Daily Raw Data'!H:H,Match($A238,'Daily Raw Data'!$B:$B,0)),"")</f>
        <v/>
      </c>
      <c r="G238" t="str">
        <f t="array" ref="G238">IFERROR(INDEX('Daily Raw Data'!I:I,Match($A238,'Daily Raw Data'!$B:$B,0)),"")</f>
        <v/>
      </c>
      <c r="H238" t="str">
        <f t="array" ref="H238">IFERROR(INDEX('Daily Raw Data'!N:N,Match($A238,'Daily Raw Data'!$B:$B,0)),"")</f>
        <v/>
      </c>
      <c r="I238" t="str">
        <f t="array" ref="I238">IFERROR(INDEX('Daily Raw Data'!O:O,Match($A238,'Daily Raw Data'!$B:$B,0)),"")</f>
        <v/>
      </c>
      <c r="J238" t="str">
        <f t="array" ref="J238">IFERROR(INDEX('Daily Raw Data'!S:S,Match($A238,'Daily Raw Data'!$B:$B,0)),"")</f>
        <v/>
      </c>
      <c r="K238" t="str">
        <f t="array" ref="K238">IFERROR(INDEX('Daily Raw Data'!T:T,Match($A238,'Daily Raw Data'!$B:$B,0)),"")</f>
        <v/>
      </c>
      <c r="L238" t="str">
        <f t="array" ref="L238">IFERROR(INDEX('Daily Raw Data'!U:U,Match($A238,'Daily Raw Data'!$B:$B,0)),"")</f>
        <v/>
      </c>
      <c r="M238" t="str">
        <f t="array" ref="M238">IFERROR(INDEX('Daily Raw Data'!V:V,Match($A238,'Daily Raw Data'!$B:$B,0)),"")</f>
        <v/>
      </c>
      <c r="N238" t="str">
        <f t="array" ref="N238">IFERROR(INDEX('Daily Raw Data'!W:W,Match($A238,'Daily Raw Data'!$B:$B,0)),"")</f>
        <v/>
      </c>
      <c r="O238" t="str">
        <f t="array" ref="O238">IFERROR(INDEX('Daily Raw Data'!Y:Y,Match($A238,'Daily Raw Data'!$B:$B,0)),"")</f>
        <v/>
      </c>
      <c r="P238" t="str">
        <f t="shared" si="1"/>
        <v/>
      </c>
      <c r="Q238" s="14" t="str">
        <f t="shared" si="2"/>
        <v/>
      </c>
      <c r="R238" s="15" t="str">
        <f>IFERROR(__xludf.DUMMYFUNCTION("IF($A238="""","""", IFERROR(PERCENTRANK.INC(FILTER(P:P,$E:$E&lt;&gt;""""),P238)*100,""""))"),"")</f>
        <v/>
      </c>
      <c r="S238" s="15" t="str">
        <f>IFERROR(__xludf.DUMMYFUNCTION("IF($A238="""","""",IFERROR(PERCENTRANK.INC(FILTER(Q:Q,$E:$E&lt;&gt;""""),Q238)*100,""""))"),"")</f>
        <v/>
      </c>
    </row>
    <row r="239">
      <c r="B239" t="str">
        <f t="array" ref="B239">IFERROR(INDEX('Player Raw Data'!C:C,Match($A239,'Player Raw Data'!$B:$B,0)),"")</f>
        <v/>
      </c>
      <c r="C239" t="str">
        <f t="array" ref="C239">IFERROR(INDEX('Player Raw Data'!D:D,Match($A239,'Player Raw Data'!$B:$B,0)),"")</f>
        <v/>
      </c>
      <c r="D239" t="str">
        <f t="array" ref="D239">IFERROR(IF(A239=A238, INDEX('Player Raw Data'!E:E,Match($A239,'Player Raw Data'!$B:$B,0)+2),INDEX('Player Raw Data'!E:E,Match($A239,'Player Raw Data'!$B:$B,0))),"")</f>
        <v/>
      </c>
      <c r="E239" s="27" t="str">
        <f>IFERROR(__xludf.DUMMYFUNCTION("IFERROR(ARRAY_CONSTRAIN(SPLIT(INDEX('Daily Raw Data'!G:G,Match($A239,'Daily Raw Data'!$B:$B,0)),"":""),1,1),"""")"),"")</f>
        <v/>
      </c>
      <c r="F239" t="str">
        <f t="array" ref="F239">IFERROR(INDEX('Daily Raw Data'!H:H,Match($A239,'Daily Raw Data'!$B:$B,0)),"")</f>
        <v/>
      </c>
      <c r="G239" t="str">
        <f t="array" ref="G239">IFERROR(INDEX('Daily Raw Data'!I:I,Match($A239,'Daily Raw Data'!$B:$B,0)),"")</f>
        <v/>
      </c>
      <c r="H239" t="str">
        <f t="array" ref="H239">IFERROR(INDEX('Daily Raw Data'!N:N,Match($A239,'Daily Raw Data'!$B:$B,0)),"")</f>
        <v/>
      </c>
      <c r="I239" t="str">
        <f t="array" ref="I239">IFERROR(INDEX('Daily Raw Data'!O:O,Match($A239,'Daily Raw Data'!$B:$B,0)),"")</f>
        <v/>
      </c>
      <c r="J239" t="str">
        <f t="array" ref="J239">IFERROR(INDEX('Daily Raw Data'!S:S,Match($A239,'Daily Raw Data'!$B:$B,0)),"")</f>
        <v/>
      </c>
      <c r="K239" t="str">
        <f t="array" ref="K239">IFERROR(INDEX('Daily Raw Data'!T:T,Match($A239,'Daily Raw Data'!$B:$B,0)),"")</f>
        <v/>
      </c>
      <c r="L239" t="str">
        <f t="array" ref="L239">IFERROR(INDEX('Daily Raw Data'!U:U,Match($A239,'Daily Raw Data'!$B:$B,0)),"")</f>
        <v/>
      </c>
      <c r="M239" t="str">
        <f t="array" ref="M239">IFERROR(INDEX('Daily Raw Data'!V:V,Match($A239,'Daily Raw Data'!$B:$B,0)),"")</f>
        <v/>
      </c>
      <c r="N239" t="str">
        <f t="array" ref="N239">IFERROR(INDEX('Daily Raw Data'!W:W,Match($A239,'Daily Raw Data'!$B:$B,0)),"")</f>
        <v/>
      </c>
      <c r="O239" t="str">
        <f t="array" ref="O239">IFERROR(INDEX('Daily Raw Data'!Y:Y,Match($A239,'Daily Raw Data'!$B:$B,0)),"")</f>
        <v/>
      </c>
      <c r="P239" t="str">
        <f t="shared" si="1"/>
        <v/>
      </c>
      <c r="Q239" s="14" t="str">
        <f t="shared" si="2"/>
        <v/>
      </c>
      <c r="R239" s="15" t="str">
        <f>IFERROR(__xludf.DUMMYFUNCTION("IF($A239="""","""", IFERROR(PERCENTRANK.INC(FILTER(P:P,$E:$E&lt;&gt;""""),P239)*100,""""))"),"")</f>
        <v/>
      </c>
      <c r="S239" s="15" t="str">
        <f>IFERROR(__xludf.DUMMYFUNCTION("IF($A239="""","""",IFERROR(PERCENTRANK.INC(FILTER(Q:Q,$E:$E&lt;&gt;""""),Q239)*100,""""))"),"")</f>
        <v/>
      </c>
    </row>
    <row r="240">
      <c r="B240" t="str">
        <f t="array" ref="B240">IFERROR(INDEX('Player Raw Data'!C:C,Match($A240,'Player Raw Data'!$B:$B,0)),"")</f>
        <v/>
      </c>
      <c r="C240" t="str">
        <f t="array" ref="C240">IFERROR(INDEX('Player Raw Data'!D:D,Match($A240,'Player Raw Data'!$B:$B,0)),"")</f>
        <v/>
      </c>
      <c r="D240" t="str">
        <f t="array" ref="D240">IFERROR(IF(A240=A239, INDEX('Player Raw Data'!E:E,Match($A240,'Player Raw Data'!$B:$B,0)+2),INDEX('Player Raw Data'!E:E,Match($A240,'Player Raw Data'!$B:$B,0))),"")</f>
        <v/>
      </c>
      <c r="E240" s="27" t="str">
        <f>IFERROR(__xludf.DUMMYFUNCTION("IFERROR(ARRAY_CONSTRAIN(SPLIT(INDEX('Daily Raw Data'!G:G,Match($A240,'Daily Raw Data'!$B:$B,0)),"":""),1,1),"""")"),"")</f>
        <v/>
      </c>
      <c r="F240" t="str">
        <f t="array" ref="F240">IFERROR(INDEX('Daily Raw Data'!H:H,Match($A240,'Daily Raw Data'!$B:$B,0)),"")</f>
        <v/>
      </c>
      <c r="G240" t="str">
        <f t="array" ref="G240">IFERROR(INDEX('Daily Raw Data'!I:I,Match($A240,'Daily Raw Data'!$B:$B,0)),"")</f>
        <v/>
      </c>
      <c r="H240" t="str">
        <f t="array" ref="H240">IFERROR(INDEX('Daily Raw Data'!N:N,Match($A240,'Daily Raw Data'!$B:$B,0)),"")</f>
        <v/>
      </c>
      <c r="I240" t="str">
        <f t="array" ref="I240">IFERROR(INDEX('Daily Raw Data'!O:O,Match($A240,'Daily Raw Data'!$B:$B,0)),"")</f>
        <v/>
      </c>
      <c r="J240" t="str">
        <f t="array" ref="J240">IFERROR(INDEX('Daily Raw Data'!S:S,Match($A240,'Daily Raw Data'!$B:$B,0)),"")</f>
        <v/>
      </c>
      <c r="K240" t="str">
        <f t="array" ref="K240">IFERROR(INDEX('Daily Raw Data'!T:T,Match($A240,'Daily Raw Data'!$B:$B,0)),"")</f>
        <v/>
      </c>
      <c r="L240" t="str">
        <f t="array" ref="L240">IFERROR(INDEX('Daily Raw Data'!U:U,Match($A240,'Daily Raw Data'!$B:$B,0)),"")</f>
        <v/>
      </c>
      <c r="M240" t="str">
        <f t="array" ref="M240">IFERROR(INDEX('Daily Raw Data'!V:V,Match($A240,'Daily Raw Data'!$B:$B,0)),"")</f>
        <v/>
      </c>
      <c r="N240" t="str">
        <f t="array" ref="N240">IFERROR(INDEX('Daily Raw Data'!W:W,Match($A240,'Daily Raw Data'!$B:$B,0)),"")</f>
        <v/>
      </c>
      <c r="O240" t="str">
        <f t="array" ref="O240">IFERROR(INDEX('Daily Raw Data'!Y:Y,Match($A240,'Daily Raw Data'!$B:$B,0)),"")</f>
        <v/>
      </c>
      <c r="P240" t="str">
        <f t="shared" si="1"/>
        <v/>
      </c>
      <c r="Q240" s="14" t="str">
        <f t="shared" si="2"/>
        <v/>
      </c>
      <c r="R240" s="15" t="str">
        <f>IFERROR(__xludf.DUMMYFUNCTION("IF($A240="""","""", IFERROR(PERCENTRANK.INC(FILTER(P:P,$E:$E&lt;&gt;""""),P240)*100,""""))"),"")</f>
        <v/>
      </c>
      <c r="S240" s="15" t="str">
        <f>IFERROR(__xludf.DUMMYFUNCTION("IF($A240="""","""",IFERROR(PERCENTRANK.INC(FILTER(Q:Q,$E:$E&lt;&gt;""""),Q240)*100,""""))"),"")</f>
        <v/>
      </c>
    </row>
    <row r="241">
      <c r="B241" t="str">
        <f t="array" ref="B241">IFERROR(INDEX('Player Raw Data'!C:C,Match($A241,'Player Raw Data'!$B:$B,0)),"")</f>
        <v/>
      </c>
      <c r="C241" t="str">
        <f t="array" ref="C241">IFERROR(INDEX('Player Raw Data'!D:D,Match($A241,'Player Raw Data'!$B:$B,0)),"")</f>
        <v/>
      </c>
      <c r="D241" t="str">
        <f t="array" ref="D241">IFERROR(IF(A241=A240, INDEX('Player Raw Data'!E:E,Match($A241,'Player Raw Data'!$B:$B,0)+2),INDEX('Player Raw Data'!E:E,Match($A241,'Player Raw Data'!$B:$B,0))),"")</f>
        <v/>
      </c>
      <c r="E241" s="27" t="str">
        <f>IFERROR(__xludf.DUMMYFUNCTION("IFERROR(ARRAY_CONSTRAIN(SPLIT(INDEX('Daily Raw Data'!G:G,Match($A241,'Daily Raw Data'!$B:$B,0)),"":""),1,1),"""")"),"")</f>
        <v/>
      </c>
      <c r="F241" t="str">
        <f t="array" ref="F241">IFERROR(INDEX('Daily Raw Data'!H:H,Match($A241,'Daily Raw Data'!$B:$B,0)),"")</f>
        <v/>
      </c>
      <c r="G241" t="str">
        <f t="array" ref="G241">IFERROR(INDEX('Daily Raw Data'!I:I,Match($A241,'Daily Raw Data'!$B:$B,0)),"")</f>
        <v/>
      </c>
      <c r="H241" t="str">
        <f t="array" ref="H241">IFERROR(INDEX('Daily Raw Data'!N:N,Match($A241,'Daily Raw Data'!$B:$B,0)),"")</f>
        <v/>
      </c>
      <c r="I241" t="str">
        <f t="array" ref="I241">IFERROR(INDEX('Daily Raw Data'!O:O,Match($A241,'Daily Raw Data'!$B:$B,0)),"")</f>
        <v/>
      </c>
      <c r="J241" t="str">
        <f t="array" ref="J241">IFERROR(INDEX('Daily Raw Data'!S:S,Match($A241,'Daily Raw Data'!$B:$B,0)),"")</f>
        <v/>
      </c>
      <c r="K241" t="str">
        <f t="array" ref="K241">IFERROR(INDEX('Daily Raw Data'!T:T,Match($A241,'Daily Raw Data'!$B:$B,0)),"")</f>
        <v/>
      </c>
      <c r="L241" t="str">
        <f t="array" ref="L241">IFERROR(INDEX('Daily Raw Data'!U:U,Match($A241,'Daily Raw Data'!$B:$B,0)),"")</f>
        <v/>
      </c>
      <c r="M241" t="str">
        <f t="array" ref="M241">IFERROR(INDEX('Daily Raw Data'!V:V,Match($A241,'Daily Raw Data'!$B:$B,0)),"")</f>
        <v/>
      </c>
      <c r="N241" t="str">
        <f t="array" ref="N241">IFERROR(INDEX('Daily Raw Data'!W:W,Match($A241,'Daily Raw Data'!$B:$B,0)),"")</f>
        <v/>
      </c>
      <c r="O241" t="str">
        <f t="array" ref="O241">IFERROR(INDEX('Daily Raw Data'!Y:Y,Match($A241,'Daily Raw Data'!$B:$B,0)),"")</f>
        <v/>
      </c>
      <c r="P241" t="str">
        <f t="shared" si="1"/>
        <v/>
      </c>
      <c r="Q241" s="14" t="str">
        <f t="shared" si="2"/>
        <v/>
      </c>
      <c r="R241" s="15" t="str">
        <f>IFERROR(__xludf.DUMMYFUNCTION("IF($A241="""","""", IFERROR(PERCENTRANK.INC(FILTER(P:P,$E:$E&lt;&gt;""""),P241)*100,""""))"),"")</f>
        <v/>
      </c>
      <c r="S241" s="15" t="str">
        <f>IFERROR(__xludf.DUMMYFUNCTION("IF($A241="""","""",IFERROR(PERCENTRANK.INC(FILTER(Q:Q,$E:$E&lt;&gt;""""),Q241)*100,""""))"),"")</f>
        <v/>
      </c>
    </row>
    <row r="242">
      <c r="B242" t="str">
        <f t="array" ref="B242">IFERROR(INDEX('Player Raw Data'!C:C,Match($A242,'Player Raw Data'!$B:$B,0)),"")</f>
        <v/>
      </c>
      <c r="C242" t="str">
        <f t="array" ref="C242">IFERROR(INDEX('Player Raw Data'!D:D,Match($A242,'Player Raw Data'!$B:$B,0)),"")</f>
        <v/>
      </c>
      <c r="D242" t="str">
        <f t="array" ref="D242">IFERROR(IF(A242=A241, INDEX('Player Raw Data'!E:E,Match($A242,'Player Raw Data'!$B:$B,0)+2),INDEX('Player Raw Data'!E:E,Match($A242,'Player Raw Data'!$B:$B,0))),"")</f>
        <v/>
      </c>
      <c r="E242" s="27" t="str">
        <f>IFERROR(__xludf.DUMMYFUNCTION("IFERROR(ARRAY_CONSTRAIN(SPLIT(INDEX('Daily Raw Data'!G:G,Match($A242,'Daily Raw Data'!$B:$B,0)),"":""),1,1),"""")"),"")</f>
        <v/>
      </c>
      <c r="F242" t="str">
        <f t="array" ref="F242">IFERROR(INDEX('Daily Raw Data'!H:H,Match($A242,'Daily Raw Data'!$B:$B,0)),"")</f>
        <v/>
      </c>
      <c r="G242" t="str">
        <f t="array" ref="G242">IFERROR(INDEX('Daily Raw Data'!I:I,Match($A242,'Daily Raw Data'!$B:$B,0)),"")</f>
        <v/>
      </c>
      <c r="H242" t="str">
        <f t="array" ref="H242">IFERROR(INDEX('Daily Raw Data'!N:N,Match($A242,'Daily Raw Data'!$B:$B,0)),"")</f>
        <v/>
      </c>
      <c r="I242" t="str">
        <f t="array" ref="I242">IFERROR(INDEX('Daily Raw Data'!O:O,Match($A242,'Daily Raw Data'!$B:$B,0)),"")</f>
        <v/>
      </c>
      <c r="J242" t="str">
        <f t="array" ref="J242">IFERROR(INDEX('Daily Raw Data'!S:S,Match($A242,'Daily Raw Data'!$B:$B,0)),"")</f>
        <v/>
      </c>
      <c r="K242" t="str">
        <f t="array" ref="K242">IFERROR(INDEX('Daily Raw Data'!T:T,Match($A242,'Daily Raw Data'!$B:$B,0)),"")</f>
        <v/>
      </c>
      <c r="L242" t="str">
        <f t="array" ref="L242">IFERROR(INDEX('Daily Raw Data'!U:U,Match($A242,'Daily Raw Data'!$B:$B,0)),"")</f>
        <v/>
      </c>
      <c r="M242" t="str">
        <f t="array" ref="M242">IFERROR(INDEX('Daily Raw Data'!V:V,Match($A242,'Daily Raw Data'!$B:$B,0)),"")</f>
        <v/>
      </c>
      <c r="N242" t="str">
        <f t="array" ref="N242">IFERROR(INDEX('Daily Raw Data'!W:W,Match($A242,'Daily Raw Data'!$B:$B,0)),"")</f>
        <v/>
      </c>
      <c r="O242" t="str">
        <f t="array" ref="O242">IFERROR(INDEX('Daily Raw Data'!Y:Y,Match($A242,'Daily Raw Data'!$B:$B,0)),"")</f>
        <v/>
      </c>
      <c r="P242" t="str">
        <f t="shared" si="1"/>
        <v/>
      </c>
      <c r="Q242" s="14" t="str">
        <f t="shared" si="2"/>
        <v/>
      </c>
      <c r="R242" s="15" t="str">
        <f>IFERROR(__xludf.DUMMYFUNCTION("IF($A242="""","""", IFERROR(PERCENTRANK.INC(FILTER(P:P,$E:$E&lt;&gt;""""),P242)*100,""""))"),"")</f>
        <v/>
      </c>
      <c r="S242" s="15" t="str">
        <f>IFERROR(__xludf.DUMMYFUNCTION("IF($A242="""","""",IFERROR(PERCENTRANK.INC(FILTER(Q:Q,$E:$E&lt;&gt;""""),Q242)*100,""""))"),"")</f>
        <v/>
      </c>
    </row>
    <row r="243">
      <c r="B243" t="str">
        <f t="array" ref="B243">IFERROR(INDEX('Player Raw Data'!C:C,Match($A243,'Player Raw Data'!$B:$B,0)),"")</f>
        <v/>
      </c>
      <c r="C243" t="str">
        <f t="array" ref="C243">IFERROR(INDEX('Player Raw Data'!D:D,Match($A243,'Player Raw Data'!$B:$B,0)),"")</f>
        <v/>
      </c>
      <c r="D243" t="str">
        <f t="array" ref="D243">IFERROR(IF(A243=A242, INDEX('Player Raw Data'!E:E,Match($A243,'Player Raw Data'!$B:$B,0)+2),INDEX('Player Raw Data'!E:E,Match($A243,'Player Raw Data'!$B:$B,0))),"")</f>
        <v/>
      </c>
      <c r="E243" s="27" t="str">
        <f>IFERROR(__xludf.DUMMYFUNCTION("IFERROR(ARRAY_CONSTRAIN(SPLIT(INDEX('Daily Raw Data'!G:G,Match($A243,'Daily Raw Data'!$B:$B,0)),"":""),1,1),"""")"),"")</f>
        <v/>
      </c>
      <c r="F243" t="str">
        <f t="array" ref="F243">IFERROR(INDEX('Daily Raw Data'!H:H,Match($A243,'Daily Raw Data'!$B:$B,0)),"")</f>
        <v/>
      </c>
      <c r="G243" t="str">
        <f t="array" ref="G243">IFERROR(INDEX('Daily Raw Data'!I:I,Match($A243,'Daily Raw Data'!$B:$B,0)),"")</f>
        <v/>
      </c>
      <c r="H243" t="str">
        <f t="array" ref="H243">IFERROR(INDEX('Daily Raw Data'!N:N,Match($A243,'Daily Raw Data'!$B:$B,0)),"")</f>
        <v/>
      </c>
      <c r="I243" t="str">
        <f t="array" ref="I243">IFERROR(INDEX('Daily Raw Data'!O:O,Match($A243,'Daily Raw Data'!$B:$B,0)),"")</f>
        <v/>
      </c>
      <c r="J243" t="str">
        <f t="array" ref="J243">IFERROR(INDEX('Daily Raw Data'!S:S,Match($A243,'Daily Raw Data'!$B:$B,0)),"")</f>
        <v/>
      </c>
      <c r="K243" t="str">
        <f t="array" ref="K243">IFERROR(INDEX('Daily Raw Data'!T:T,Match($A243,'Daily Raw Data'!$B:$B,0)),"")</f>
        <v/>
      </c>
      <c r="L243" t="str">
        <f t="array" ref="L243">IFERROR(INDEX('Daily Raw Data'!U:U,Match($A243,'Daily Raw Data'!$B:$B,0)),"")</f>
        <v/>
      </c>
      <c r="M243" t="str">
        <f t="array" ref="M243">IFERROR(INDEX('Daily Raw Data'!V:V,Match($A243,'Daily Raw Data'!$B:$B,0)),"")</f>
        <v/>
      </c>
      <c r="N243" t="str">
        <f t="array" ref="N243">IFERROR(INDEX('Daily Raw Data'!W:W,Match($A243,'Daily Raw Data'!$B:$B,0)),"")</f>
        <v/>
      </c>
      <c r="O243" t="str">
        <f t="array" ref="O243">IFERROR(INDEX('Daily Raw Data'!Y:Y,Match($A243,'Daily Raw Data'!$B:$B,0)),"")</f>
        <v/>
      </c>
      <c r="P243" t="str">
        <f t="shared" si="1"/>
        <v/>
      </c>
      <c r="Q243" s="14" t="str">
        <f t="shared" si="2"/>
        <v/>
      </c>
      <c r="R243" s="15" t="str">
        <f>IFERROR(__xludf.DUMMYFUNCTION("IF($A243="""","""", IFERROR(PERCENTRANK.INC(FILTER(P:P,$E:$E&lt;&gt;""""),P243)*100,""""))"),"")</f>
        <v/>
      </c>
      <c r="S243" s="15" t="str">
        <f>IFERROR(__xludf.DUMMYFUNCTION("IF($A243="""","""",IFERROR(PERCENTRANK.INC(FILTER(Q:Q,$E:$E&lt;&gt;""""),Q243)*100,""""))"),"")</f>
        <v/>
      </c>
    </row>
    <row r="244">
      <c r="B244" t="str">
        <f t="array" ref="B244">IFERROR(INDEX('Player Raw Data'!C:C,Match($A244,'Player Raw Data'!$B:$B,0)),"")</f>
        <v/>
      </c>
      <c r="C244" t="str">
        <f t="array" ref="C244">IFERROR(INDEX('Player Raw Data'!D:D,Match($A244,'Player Raw Data'!$B:$B,0)),"")</f>
        <v/>
      </c>
      <c r="D244" t="str">
        <f t="array" ref="D244">IFERROR(IF(A244=A243, INDEX('Player Raw Data'!E:E,Match($A244,'Player Raw Data'!$B:$B,0)+2),INDEX('Player Raw Data'!E:E,Match($A244,'Player Raw Data'!$B:$B,0))),"")</f>
        <v/>
      </c>
      <c r="E244" s="27" t="str">
        <f>IFERROR(__xludf.DUMMYFUNCTION("IFERROR(ARRAY_CONSTRAIN(SPLIT(INDEX('Daily Raw Data'!G:G,Match($A244,'Daily Raw Data'!$B:$B,0)),"":""),1,1),"""")"),"")</f>
        <v/>
      </c>
      <c r="F244" t="str">
        <f t="array" ref="F244">IFERROR(INDEX('Daily Raw Data'!H:H,Match($A244,'Daily Raw Data'!$B:$B,0)),"")</f>
        <v/>
      </c>
      <c r="G244" t="str">
        <f t="array" ref="G244">IFERROR(INDEX('Daily Raw Data'!I:I,Match($A244,'Daily Raw Data'!$B:$B,0)),"")</f>
        <v/>
      </c>
      <c r="H244" t="str">
        <f t="array" ref="H244">IFERROR(INDEX('Daily Raw Data'!N:N,Match($A244,'Daily Raw Data'!$B:$B,0)),"")</f>
        <v/>
      </c>
      <c r="I244" t="str">
        <f t="array" ref="I244">IFERROR(INDEX('Daily Raw Data'!O:O,Match($A244,'Daily Raw Data'!$B:$B,0)),"")</f>
        <v/>
      </c>
      <c r="J244" t="str">
        <f t="array" ref="J244">IFERROR(INDEX('Daily Raw Data'!S:S,Match($A244,'Daily Raw Data'!$B:$B,0)),"")</f>
        <v/>
      </c>
      <c r="K244" t="str">
        <f t="array" ref="K244">IFERROR(INDEX('Daily Raw Data'!T:T,Match($A244,'Daily Raw Data'!$B:$B,0)),"")</f>
        <v/>
      </c>
      <c r="L244" t="str">
        <f t="array" ref="L244">IFERROR(INDEX('Daily Raw Data'!U:U,Match($A244,'Daily Raw Data'!$B:$B,0)),"")</f>
        <v/>
      </c>
      <c r="M244" t="str">
        <f t="array" ref="M244">IFERROR(INDEX('Daily Raw Data'!V:V,Match($A244,'Daily Raw Data'!$B:$B,0)),"")</f>
        <v/>
      </c>
      <c r="N244" t="str">
        <f t="array" ref="N244">IFERROR(INDEX('Daily Raw Data'!W:W,Match($A244,'Daily Raw Data'!$B:$B,0)),"")</f>
        <v/>
      </c>
      <c r="O244" t="str">
        <f t="array" ref="O244">IFERROR(INDEX('Daily Raw Data'!Y:Y,Match($A244,'Daily Raw Data'!$B:$B,0)),"")</f>
        <v/>
      </c>
      <c r="P244" t="str">
        <f t="shared" si="1"/>
        <v/>
      </c>
      <c r="Q244" s="14" t="str">
        <f t="shared" si="2"/>
        <v/>
      </c>
      <c r="R244" s="15" t="str">
        <f>IFERROR(__xludf.DUMMYFUNCTION("IF($A244="""","""", IFERROR(PERCENTRANK.INC(FILTER(P:P,$E:$E&lt;&gt;""""),P244)*100,""""))"),"")</f>
        <v/>
      </c>
      <c r="S244" s="15" t="str">
        <f>IFERROR(__xludf.DUMMYFUNCTION("IF($A244="""","""",IFERROR(PERCENTRANK.INC(FILTER(Q:Q,$E:$E&lt;&gt;""""),Q244)*100,""""))"),"")</f>
        <v/>
      </c>
    </row>
    <row r="245">
      <c r="B245" t="str">
        <f t="array" ref="B245">IFERROR(INDEX('Player Raw Data'!C:C,Match($A245,'Player Raw Data'!$B:$B,0)),"")</f>
        <v/>
      </c>
      <c r="C245" t="str">
        <f t="array" ref="C245">IFERROR(INDEX('Player Raw Data'!D:D,Match($A245,'Player Raw Data'!$B:$B,0)),"")</f>
        <v/>
      </c>
      <c r="D245" t="str">
        <f t="array" ref="D245">IFERROR(IF(A245=A244, INDEX('Player Raw Data'!E:E,Match($A245,'Player Raw Data'!$B:$B,0)+2),INDEX('Player Raw Data'!E:E,Match($A245,'Player Raw Data'!$B:$B,0))),"")</f>
        <v/>
      </c>
      <c r="E245" s="27" t="str">
        <f>IFERROR(__xludf.DUMMYFUNCTION("IFERROR(ARRAY_CONSTRAIN(SPLIT(INDEX('Daily Raw Data'!G:G,Match($A245,'Daily Raw Data'!$B:$B,0)),"":""),1,1),"""")"),"")</f>
        <v/>
      </c>
      <c r="F245" t="str">
        <f t="array" ref="F245">IFERROR(INDEX('Daily Raw Data'!H:H,Match($A245,'Daily Raw Data'!$B:$B,0)),"")</f>
        <v/>
      </c>
      <c r="G245" t="str">
        <f t="array" ref="G245">IFERROR(INDEX('Daily Raw Data'!I:I,Match($A245,'Daily Raw Data'!$B:$B,0)),"")</f>
        <v/>
      </c>
      <c r="H245" t="str">
        <f t="array" ref="H245">IFERROR(INDEX('Daily Raw Data'!N:N,Match($A245,'Daily Raw Data'!$B:$B,0)),"")</f>
        <v/>
      </c>
      <c r="I245" t="str">
        <f t="array" ref="I245">IFERROR(INDEX('Daily Raw Data'!O:O,Match($A245,'Daily Raw Data'!$B:$B,0)),"")</f>
        <v/>
      </c>
      <c r="J245" t="str">
        <f t="array" ref="J245">IFERROR(INDEX('Daily Raw Data'!S:S,Match($A245,'Daily Raw Data'!$B:$B,0)),"")</f>
        <v/>
      </c>
      <c r="K245" t="str">
        <f t="array" ref="K245">IFERROR(INDEX('Daily Raw Data'!T:T,Match($A245,'Daily Raw Data'!$B:$B,0)),"")</f>
        <v/>
      </c>
      <c r="L245" t="str">
        <f t="array" ref="L245">IFERROR(INDEX('Daily Raw Data'!U:U,Match($A245,'Daily Raw Data'!$B:$B,0)),"")</f>
        <v/>
      </c>
      <c r="M245" t="str">
        <f t="array" ref="M245">IFERROR(INDEX('Daily Raw Data'!V:V,Match($A245,'Daily Raw Data'!$B:$B,0)),"")</f>
        <v/>
      </c>
      <c r="N245" t="str">
        <f t="array" ref="N245">IFERROR(INDEX('Daily Raw Data'!W:W,Match($A245,'Daily Raw Data'!$B:$B,0)),"")</f>
        <v/>
      </c>
      <c r="O245" t="str">
        <f t="array" ref="O245">IFERROR(INDEX('Daily Raw Data'!Y:Y,Match($A245,'Daily Raw Data'!$B:$B,0)),"")</f>
        <v/>
      </c>
      <c r="P245" t="str">
        <f t="shared" si="1"/>
        <v/>
      </c>
      <c r="Q245" s="14" t="str">
        <f t="shared" si="2"/>
        <v/>
      </c>
      <c r="R245" s="15" t="str">
        <f>IFERROR(__xludf.DUMMYFUNCTION("IF($A245="""","""", IFERROR(PERCENTRANK.INC(FILTER(P:P,$E:$E&lt;&gt;""""),P245)*100,""""))"),"")</f>
        <v/>
      </c>
      <c r="S245" s="15" t="str">
        <f>IFERROR(__xludf.DUMMYFUNCTION("IF($A245="""","""",IFERROR(PERCENTRANK.INC(FILTER(Q:Q,$E:$E&lt;&gt;""""),Q245)*100,""""))"),"")</f>
        <v/>
      </c>
    </row>
    <row r="246">
      <c r="B246" t="str">
        <f t="array" ref="B246">IFERROR(INDEX('Player Raw Data'!C:C,Match($A246,'Player Raw Data'!$B:$B,0)),"")</f>
        <v/>
      </c>
      <c r="C246" t="str">
        <f t="array" ref="C246">IFERROR(INDEX('Player Raw Data'!D:D,Match($A246,'Player Raw Data'!$B:$B,0)),"")</f>
        <v/>
      </c>
      <c r="D246" t="str">
        <f t="array" ref="D246">IFERROR(IF(A246=A245, INDEX('Player Raw Data'!E:E,Match($A246,'Player Raw Data'!$B:$B,0)+2),INDEX('Player Raw Data'!E:E,Match($A246,'Player Raw Data'!$B:$B,0))),"")</f>
        <v/>
      </c>
      <c r="E246" s="27" t="str">
        <f>IFERROR(__xludf.DUMMYFUNCTION("IFERROR(ARRAY_CONSTRAIN(SPLIT(INDEX('Daily Raw Data'!G:G,Match($A246,'Daily Raw Data'!$B:$B,0)),"":""),1,1),"""")"),"")</f>
        <v/>
      </c>
      <c r="F246" t="str">
        <f t="array" ref="F246">IFERROR(INDEX('Daily Raw Data'!H:H,Match($A246,'Daily Raw Data'!$B:$B,0)),"")</f>
        <v/>
      </c>
      <c r="G246" t="str">
        <f t="array" ref="G246">IFERROR(INDEX('Daily Raw Data'!I:I,Match($A246,'Daily Raw Data'!$B:$B,0)),"")</f>
        <v/>
      </c>
      <c r="H246" t="str">
        <f t="array" ref="H246">IFERROR(INDEX('Daily Raw Data'!N:N,Match($A246,'Daily Raw Data'!$B:$B,0)),"")</f>
        <v/>
      </c>
      <c r="I246" t="str">
        <f t="array" ref="I246">IFERROR(INDEX('Daily Raw Data'!O:O,Match($A246,'Daily Raw Data'!$B:$B,0)),"")</f>
        <v/>
      </c>
      <c r="J246" t="str">
        <f t="array" ref="J246">IFERROR(INDEX('Daily Raw Data'!S:S,Match($A246,'Daily Raw Data'!$B:$B,0)),"")</f>
        <v/>
      </c>
      <c r="K246" t="str">
        <f t="array" ref="K246">IFERROR(INDEX('Daily Raw Data'!T:T,Match($A246,'Daily Raw Data'!$B:$B,0)),"")</f>
        <v/>
      </c>
      <c r="L246" t="str">
        <f t="array" ref="L246">IFERROR(INDEX('Daily Raw Data'!U:U,Match($A246,'Daily Raw Data'!$B:$B,0)),"")</f>
        <v/>
      </c>
      <c r="M246" t="str">
        <f t="array" ref="M246">IFERROR(INDEX('Daily Raw Data'!V:V,Match($A246,'Daily Raw Data'!$B:$B,0)),"")</f>
        <v/>
      </c>
      <c r="N246" t="str">
        <f t="array" ref="N246">IFERROR(INDEX('Daily Raw Data'!W:W,Match($A246,'Daily Raw Data'!$B:$B,0)),"")</f>
        <v/>
      </c>
      <c r="O246" t="str">
        <f t="array" ref="O246">IFERROR(INDEX('Daily Raw Data'!Y:Y,Match($A246,'Daily Raw Data'!$B:$B,0)),"")</f>
        <v/>
      </c>
      <c r="P246" t="str">
        <f t="shared" si="1"/>
        <v/>
      </c>
      <c r="Q246" s="14" t="str">
        <f t="shared" si="2"/>
        <v/>
      </c>
      <c r="R246" s="15" t="str">
        <f>IFERROR(__xludf.DUMMYFUNCTION("IF($A246="""","""", IFERROR(PERCENTRANK.INC(FILTER(P:P,$E:$E&lt;&gt;""""),P246)*100,""""))"),"")</f>
        <v/>
      </c>
      <c r="S246" s="15" t="str">
        <f>IFERROR(__xludf.DUMMYFUNCTION("IF($A246="""","""",IFERROR(PERCENTRANK.INC(FILTER(Q:Q,$E:$E&lt;&gt;""""),Q246)*100,""""))"),"")</f>
        <v/>
      </c>
    </row>
    <row r="247">
      <c r="B247" t="str">
        <f t="array" ref="B247">IFERROR(INDEX('Player Raw Data'!C:C,Match($A247,'Player Raw Data'!$B:$B,0)),"")</f>
        <v/>
      </c>
      <c r="C247" t="str">
        <f t="array" ref="C247">IFERROR(INDEX('Player Raw Data'!D:D,Match($A247,'Player Raw Data'!$B:$B,0)),"")</f>
        <v/>
      </c>
      <c r="D247" t="str">
        <f t="array" ref="D247">IFERROR(IF(A247=A246, INDEX('Player Raw Data'!E:E,Match($A247,'Player Raw Data'!$B:$B,0)+2),INDEX('Player Raw Data'!E:E,Match($A247,'Player Raw Data'!$B:$B,0))),"")</f>
        <v/>
      </c>
      <c r="E247" s="27" t="str">
        <f>IFERROR(__xludf.DUMMYFUNCTION("IFERROR(ARRAY_CONSTRAIN(SPLIT(INDEX('Daily Raw Data'!G:G,Match($A247,'Daily Raw Data'!$B:$B,0)),"":""),1,1),"""")"),"")</f>
        <v/>
      </c>
      <c r="F247" t="str">
        <f t="array" ref="F247">IFERROR(INDEX('Daily Raw Data'!H:H,Match($A247,'Daily Raw Data'!$B:$B,0)),"")</f>
        <v/>
      </c>
      <c r="G247" t="str">
        <f t="array" ref="G247">IFERROR(INDEX('Daily Raw Data'!I:I,Match($A247,'Daily Raw Data'!$B:$B,0)),"")</f>
        <v/>
      </c>
      <c r="H247" t="str">
        <f t="array" ref="H247">IFERROR(INDEX('Daily Raw Data'!N:N,Match($A247,'Daily Raw Data'!$B:$B,0)),"")</f>
        <v/>
      </c>
      <c r="I247" t="str">
        <f t="array" ref="I247">IFERROR(INDEX('Daily Raw Data'!O:O,Match($A247,'Daily Raw Data'!$B:$B,0)),"")</f>
        <v/>
      </c>
      <c r="J247" t="str">
        <f t="array" ref="J247">IFERROR(INDEX('Daily Raw Data'!S:S,Match($A247,'Daily Raw Data'!$B:$B,0)),"")</f>
        <v/>
      </c>
      <c r="K247" t="str">
        <f t="array" ref="K247">IFERROR(INDEX('Daily Raw Data'!T:T,Match($A247,'Daily Raw Data'!$B:$B,0)),"")</f>
        <v/>
      </c>
      <c r="L247" t="str">
        <f t="array" ref="L247">IFERROR(INDEX('Daily Raw Data'!U:U,Match($A247,'Daily Raw Data'!$B:$B,0)),"")</f>
        <v/>
      </c>
      <c r="M247" t="str">
        <f t="array" ref="M247">IFERROR(INDEX('Daily Raw Data'!V:V,Match($A247,'Daily Raw Data'!$B:$B,0)),"")</f>
        <v/>
      </c>
      <c r="N247" t="str">
        <f t="array" ref="N247">IFERROR(INDEX('Daily Raw Data'!W:W,Match($A247,'Daily Raw Data'!$B:$B,0)),"")</f>
        <v/>
      </c>
      <c r="O247" t="str">
        <f t="array" ref="O247">IFERROR(INDEX('Daily Raw Data'!Y:Y,Match($A247,'Daily Raw Data'!$B:$B,0)),"")</f>
        <v/>
      </c>
      <c r="P247" t="str">
        <f t="shared" si="1"/>
        <v/>
      </c>
      <c r="Q247" s="14" t="str">
        <f t="shared" si="2"/>
        <v/>
      </c>
      <c r="R247" s="15" t="str">
        <f>IFERROR(__xludf.DUMMYFUNCTION("IF($A247="""","""", IFERROR(PERCENTRANK.INC(FILTER(P:P,$E:$E&lt;&gt;""""),P247)*100,""""))"),"")</f>
        <v/>
      </c>
      <c r="S247" s="15" t="str">
        <f>IFERROR(__xludf.DUMMYFUNCTION("IF($A247="""","""",IFERROR(PERCENTRANK.INC(FILTER(Q:Q,$E:$E&lt;&gt;""""),Q247)*100,""""))"),"")</f>
        <v/>
      </c>
    </row>
    <row r="248">
      <c r="B248" t="str">
        <f t="array" ref="B248">IFERROR(INDEX('Player Raw Data'!C:C,Match($A248,'Player Raw Data'!$B:$B,0)),"")</f>
        <v/>
      </c>
      <c r="C248" t="str">
        <f t="array" ref="C248">IFERROR(INDEX('Player Raw Data'!D:D,Match($A248,'Player Raw Data'!$B:$B,0)),"")</f>
        <v/>
      </c>
      <c r="D248" t="str">
        <f t="array" ref="D248">IFERROR(IF(A248=A247, INDEX('Player Raw Data'!E:E,Match($A248,'Player Raw Data'!$B:$B,0)+2),INDEX('Player Raw Data'!E:E,Match($A248,'Player Raw Data'!$B:$B,0))),"")</f>
        <v/>
      </c>
      <c r="E248" s="27" t="str">
        <f>IFERROR(__xludf.DUMMYFUNCTION("IFERROR(ARRAY_CONSTRAIN(SPLIT(INDEX('Daily Raw Data'!G:G,Match($A248,'Daily Raw Data'!$B:$B,0)),"":""),1,1),"""")"),"")</f>
        <v/>
      </c>
      <c r="F248" t="str">
        <f t="array" ref="F248">IFERROR(INDEX('Daily Raw Data'!H:H,Match($A248,'Daily Raw Data'!$B:$B,0)),"")</f>
        <v/>
      </c>
      <c r="G248" t="str">
        <f t="array" ref="G248">IFERROR(INDEX('Daily Raw Data'!I:I,Match($A248,'Daily Raw Data'!$B:$B,0)),"")</f>
        <v/>
      </c>
      <c r="H248" t="str">
        <f t="array" ref="H248">IFERROR(INDEX('Daily Raw Data'!N:N,Match($A248,'Daily Raw Data'!$B:$B,0)),"")</f>
        <v/>
      </c>
      <c r="I248" t="str">
        <f t="array" ref="I248">IFERROR(INDEX('Daily Raw Data'!O:O,Match($A248,'Daily Raw Data'!$B:$B,0)),"")</f>
        <v/>
      </c>
      <c r="J248" t="str">
        <f t="array" ref="J248">IFERROR(INDEX('Daily Raw Data'!S:S,Match($A248,'Daily Raw Data'!$B:$B,0)),"")</f>
        <v/>
      </c>
      <c r="K248" t="str">
        <f t="array" ref="K248">IFERROR(INDEX('Daily Raw Data'!T:T,Match($A248,'Daily Raw Data'!$B:$B,0)),"")</f>
        <v/>
      </c>
      <c r="L248" t="str">
        <f t="array" ref="L248">IFERROR(INDEX('Daily Raw Data'!U:U,Match($A248,'Daily Raw Data'!$B:$B,0)),"")</f>
        <v/>
      </c>
      <c r="M248" t="str">
        <f t="array" ref="M248">IFERROR(INDEX('Daily Raw Data'!V:V,Match($A248,'Daily Raw Data'!$B:$B,0)),"")</f>
        <v/>
      </c>
      <c r="N248" t="str">
        <f t="array" ref="N248">IFERROR(INDEX('Daily Raw Data'!W:W,Match($A248,'Daily Raw Data'!$B:$B,0)),"")</f>
        <v/>
      </c>
      <c r="O248" t="str">
        <f t="array" ref="O248">IFERROR(INDEX('Daily Raw Data'!Y:Y,Match($A248,'Daily Raw Data'!$B:$B,0)),"")</f>
        <v/>
      </c>
      <c r="P248" t="str">
        <f t="shared" si="1"/>
        <v/>
      </c>
      <c r="Q248" s="14" t="str">
        <f t="shared" si="2"/>
        <v/>
      </c>
      <c r="R248" s="15" t="str">
        <f>IFERROR(__xludf.DUMMYFUNCTION("IF($A248="""","""", IFERROR(PERCENTRANK.INC(FILTER(P:P,$E:$E&lt;&gt;""""),P248)*100,""""))"),"")</f>
        <v/>
      </c>
      <c r="S248" s="15" t="str">
        <f>IFERROR(__xludf.DUMMYFUNCTION("IF($A248="""","""",IFERROR(PERCENTRANK.INC(FILTER(Q:Q,$E:$E&lt;&gt;""""),Q248)*100,""""))"),"")</f>
        <v/>
      </c>
    </row>
    <row r="249">
      <c r="B249" t="str">
        <f t="array" ref="B249">IFERROR(INDEX('Player Raw Data'!C:C,Match($A249,'Player Raw Data'!$B:$B,0)),"")</f>
        <v/>
      </c>
      <c r="C249" t="str">
        <f t="array" ref="C249">IFERROR(INDEX('Player Raw Data'!D:D,Match($A249,'Player Raw Data'!$B:$B,0)),"")</f>
        <v/>
      </c>
      <c r="D249" t="str">
        <f t="array" ref="D249">IFERROR(IF(A249=A248, INDEX('Player Raw Data'!E:E,Match($A249,'Player Raw Data'!$B:$B,0)+2),INDEX('Player Raw Data'!E:E,Match($A249,'Player Raw Data'!$B:$B,0))),"")</f>
        <v/>
      </c>
      <c r="E249" s="27" t="str">
        <f>IFERROR(__xludf.DUMMYFUNCTION("IFERROR(ARRAY_CONSTRAIN(SPLIT(INDEX('Daily Raw Data'!G:G,Match($A249,'Daily Raw Data'!$B:$B,0)),"":""),1,1),"""")"),"")</f>
        <v/>
      </c>
      <c r="F249" t="str">
        <f t="array" ref="F249">IFERROR(INDEX('Daily Raw Data'!H:H,Match($A249,'Daily Raw Data'!$B:$B,0)),"")</f>
        <v/>
      </c>
      <c r="G249" t="str">
        <f t="array" ref="G249">IFERROR(INDEX('Daily Raw Data'!I:I,Match($A249,'Daily Raw Data'!$B:$B,0)),"")</f>
        <v/>
      </c>
      <c r="H249" t="str">
        <f t="array" ref="H249">IFERROR(INDEX('Daily Raw Data'!N:N,Match($A249,'Daily Raw Data'!$B:$B,0)),"")</f>
        <v/>
      </c>
      <c r="I249" t="str">
        <f t="array" ref="I249">IFERROR(INDEX('Daily Raw Data'!O:O,Match($A249,'Daily Raw Data'!$B:$B,0)),"")</f>
        <v/>
      </c>
      <c r="J249" t="str">
        <f t="array" ref="J249">IFERROR(INDEX('Daily Raw Data'!S:S,Match($A249,'Daily Raw Data'!$B:$B,0)),"")</f>
        <v/>
      </c>
      <c r="K249" t="str">
        <f t="array" ref="K249">IFERROR(INDEX('Daily Raw Data'!T:T,Match($A249,'Daily Raw Data'!$B:$B,0)),"")</f>
        <v/>
      </c>
      <c r="L249" t="str">
        <f t="array" ref="L249">IFERROR(INDEX('Daily Raw Data'!U:U,Match($A249,'Daily Raw Data'!$B:$B,0)),"")</f>
        <v/>
      </c>
      <c r="M249" t="str">
        <f t="array" ref="M249">IFERROR(INDEX('Daily Raw Data'!V:V,Match($A249,'Daily Raw Data'!$B:$B,0)),"")</f>
        <v/>
      </c>
      <c r="N249" t="str">
        <f t="array" ref="N249">IFERROR(INDEX('Daily Raw Data'!W:W,Match($A249,'Daily Raw Data'!$B:$B,0)),"")</f>
        <v/>
      </c>
      <c r="O249" t="str">
        <f t="array" ref="O249">IFERROR(INDEX('Daily Raw Data'!Y:Y,Match($A249,'Daily Raw Data'!$B:$B,0)),"")</f>
        <v/>
      </c>
      <c r="P249" t="str">
        <f t="shared" si="1"/>
        <v/>
      </c>
      <c r="Q249" s="14" t="str">
        <f t="shared" si="2"/>
        <v/>
      </c>
      <c r="R249" s="15" t="str">
        <f>IFERROR(__xludf.DUMMYFUNCTION("IF($A249="""","""", IFERROR(PERCENTRANK.INC(FILTER(P:P,$E:$E&lt;&gt;""""),P249)*100,""""))"),"")</f>
        <v/>
      </c>
      <c r="S249" s="15" t="str">
        <f>IFERROR(__xludf.DUMMYFUNCTION("IF($A249="""","""",IFERROR(PERCENTRANK.INC(FILTER(Q:Q,$E:$E&lt;&gt;""""),Q249)*100,""""))"),"")</f>
        <v/>
      </c>
    </row>
    <row r="250">
      <c r="B250" t="str">
        <f t="array" ref="B250">IFERROR(INDEX('Player Raw Data'!C:C,Match($A250,'Player Raw Data'!$B:$B,0)),"")</f>
        <v/>
      </c>
      <c r="C250" t="str">
        <f t="array" ref="C250">IFERROR(INDEX('Player Raw Data'!D:D,Match($A250,'Player Raw Data'!$B:$B,0)),"")</f>
        <v/>
      </c>
      <c r="D250" t="str">
        <f t="array" ref="D250">IFERROR(IF(A250=A249, INDEX('Player Raw Data'!E:E,Match($A250,'Player Raw Data'!$B:$B,0)+2),INDEX('Player Raw Data'!E:E,Match($A250,'Player Raw Data'!$B:$B,0))),"")</f>
        <v/>
      </c>
      <c r="E250" s="27" t="str">
        <f>IFERROR(__xludf.DUMMYFUNCTION("IFERROR(ARRAY_CONSTRAIN(SPLIT(INDEX('Daily Raw Data'!G:G,Match($A250,'Daily Raw Data'!$B:$B,0)),"":""),1,1),"""")"),"")</f>
        <v/>
      </c>
      <c r="F250" t="str">
        <f t="array" ref="F250">IFERROR(INDEX('Daily Raw Data'!H:H,Match($A250,'Daily Raw Data'!$B:$B,0)),"")</f>
        <v/>
      </c>
      <c r="G250" t="str">
        <f t="array" ref="G250">IFERROR(INDEX('Daily Raw Data'!I:I,Match($A250,'Daily Raw Data'!$B:$B,0)),"")</f>
        <v/>
      </c>
      <c r="H250" t="str">
        <f t="array" ref="H250">IFERROR(INDEX('Daily Raw Data'!N:N,Match($A250,'Daily Raw Data'!$B:$B,0)),"")</f>
        <v/>
      </c>
      <c r="I250" t="str">
        <f t="array" ref="I250">IFERROR(INDEX('Daily Raw Data'!O:O,Match($A250,'Daily Raw Data'!$B:$B,0)),"")</f>
        <v/>
      </c>
      <c r="J250" t="str">
        <f t="array" ref="J250">IFERROR(INDEX('Daily Raw Data'!S:S,Match($A250,'Daily Raw Data'!$B:$B,0)),"")</f>
        <v/>
      </c>
      <c r="K250" t="str">
        <f t="array" ref="K250">IFERROR(INDEX('Daily Raw Data'!T:T,Match($A250,'Daily Raw Data'!$B:$B,0)),"")</f>
        <v/>
      </c>
      <c r="L250" t="str">
        <f t="array" ref="L250">IFERROR(INDEX('Daily Raw Data'!U:U,Match($A250,'Daily Raw Data'!$B:$B,0)),"")</f>
        <v/>
      </c>
      <c r="M250" t="str">
        <f t="array" ref="M250">IFERROR(INDEX('Daily Raw Data'!V:V,Match($A250,'Daily Raw Data'!$B:$B,0)),"")</f>
        <v/>
      </c>
      <c r="N250" t="str">
        <f t="array" ref="N250">IFERROR(INDEX('Daily Raw Data'!W:W,Match($A250,'Daily Raw Data'!$B:$B,0)),"")</f>
        <v/>
      </c>
      <c r="O250" t="str">
        <f t="array" ref="O250">IFERROR(INDEX('Daily Raw Data'!Y:Y,Match($A250,'Daily Raw Data'!$B:$B,0)),"")</f>
        <v/>
      </c>
      <c r="P250" t="str">
        <f t="shared" si="1"/>
        <v/>
      </c>
      <c r="Q250" s="14" t="str">
        <f t="shared" si="2"/>
        <v/>
      </c>
      <c r="R250" s="15" t="str">
        <f>IFERROR(__xludf.DUMMYFUNCTION("IF($A250="""","""", IFERROR(PERCENTRANK.INC(FILTER(P:P,$E:$E&lt;&gt;""""),P250)*100,""""))"),"")</f>
        <v/>
      </c>
      <c r="S250" s="15" t="str">
        <f>IFERROR(__xludf.DUMMYFUNCTION("IF($A250="""","""",IFERROR(PERCENTRANK.INC(FILTER(Q:Q,$E:$E&lt;&gt;""""),Q250)*100,""""))"),"")</f>
        <v/>
      </c>
    </row>
    <row r="251">
      <c r="B251" t="str">
        <f t="array" ref="B251">IFERROR(INDEX('Player Raw Data'!C:C,Match($A251,'Player Raw Data'!$B:$B,0)),"")</f>
        <v/>
      </c>
      <c r="C251" t="str">
        <f t="array" ref="C251">IFERROR(INDEX('Player Raw Data'!D:D,Match($A251,'Player Raw Data'!$B:$B,0)),"")</f>
        <v/>
      </c>
      <c r="D251" t="str">
        <f t="array" ref="D251">IFERROR(IF(A251=A250, INDEX('Player Raw Data'!E:E,Match($A251,'Player Raw Data'!$B:$B,0)+2),INDEX('Player Raw Data'!E:E,Match($A251,'Player Raw Data'!$B:$B,0))),"")</f>
        <v/>
      </c>
      <c r="E251" s="27" t="str">
        <f>IFERROR(__xludf.DUMMYFUNCTION("IFERROR(ARRAY_CONSTRAIN(SPLIT(INDEX('Daily Raw Data'!G:G,Match($A251,'Daily Raw Data'!$B:$B,0)),"":""),1,1),"""")"),"")</f>
        <v/>
      </c>
      <c r="F251" t="str">
        <f t="array" ref="F251">IFERROR(INDEX('Daily Raw Data'!H:H,Match($A251,'Daily Raw Data'!$B:$B,0)),"")</f>
        <v/>
      </c>
      <c r="G251" t="str">
        <f t="array" ref="G251">IFERROR(INDEX('Daily Raw Data'!I:I,Match($A251,'Daily Raw Data'!$B:$B,0)),"")</f>
        <v/>
      </c>
      <c r="H251" t="str">
        <f t="array" ref="H251">IFERROR(INDEX('Daily Raw Data'!N:N,Match($A251,'Daily Raw Data'!$B:$B,0)),"")</f>
        <v/>
      </c>
      <c r="I251" t="str">
        <f t="array" ref="I251">IFERROR(INDEX('Daily Raw Data'!O:O,Match($A251,'Daily Raw Data'!$B:$B,0)),"")</f>
        <v/>
      </c>
      <c r="J251" t="str">
        <f t="array" ref="J251">IFERROR(INDEX('Daily Raw Data'!S:S,Match($A251,'Daily Raw Data'!$B:$B,0)),"")</f>
        <v/>
      </c>
      <c r="K251" t="str">
        <f t="array" ref="K251">IFERROR(INDEX('Daily Raw Data'!T:T,Match($A251,'Daily Raw Data'!$B:$B,0)),"")</f>
        <v/>
      </c>
      <c r="L251" t="str">
        <f t="array" ref="L251">IFERROR(INDEX('Daily Raw Data'!U:U,Match($A251,'Daily Raw Data'!$B:$B,0)),"")</f>
        <v/>
      </c>
      <c r="M251" t="str">
        <f t="array" ref="M251">IFERROR(INDEX('Daily Raw Data'!V:V,Match($A251,'Daily Raw Data'!$B:$B,0)),"")</f>
        <v/>
      </c>
      <c r="N251" t="str">
        <f t="array" ref="N251">IFERROR(INDEX('Daily Raw Data'!W:W,Match($A251,'Daily Raw Data'!$B:$B,0)),"")</f>
        <v/>
      </c>
      <c r="O251" t="str">
        <f t="array" ref="O251">IFERROR(INDEX('Daily Raw Data'!Y:Y,Match($A251,'Daily Raw Data'!$B:$B,0)),"")</f>
        <v/>
      </c>
      <c r="P251" t="str">
        <f t="shared" si="1"/>
        <v/>
      </c>
      <c r="Q251" s="14" t="str">
        <f t="shared" si="2"/>
        <v/>
      </c>
      <c r="R251" s="15" t="str">
        <f>IFERROR(__xludf.DUMMYFUNCTION("IF($A251="""","""", IFERROR(PERCENTRANK.INC(FILTER(P:P,$E:$E&lt;&gt;""""),P251)*100,""""))"),"")</f>
        <v/>
      </c>
      <c r="S251" s="15" t="str">
        <f>IFERROR(__xludf.DUMMYFUNCTION("IF($A251="""","""",IFERROR(PERCENTRANK.INC(FILTER(Q:Q,$E:$E&lt;&gt;""""),Q251)*100,""""))"),"")</f>
        <v/>
      </c>
    </row>
    <row r="252">
      <c r="B252" t="str">
        <f t="array" ref="B252">IFERROR(INDEX('Player Raw Data'!C:C,Match($A252,'Player Raw Data'!$B:$B,0)),"")</f>
        <v/>
      </c>
      <c r="C252" t="str">
        <f t="array" ref="C252">IFERROR(INDEX('Player Raw Data'!D:D,Match($A252,'Player Raw Data'!$B:$B,0)),"")</f>
        <v/>
      </c>
      <c r="D252" t="str">
        <f t="array" ref="D252">IFERROR(IF(A252=A251, INDEX('Player Raw Data'!E:E,Match($A252,'Player Raw Data'!$B:$B,0)+2),INDEX('Player Raw Data'!E:E,Match($A252,'Player Raw Data'!$B:$B,0))),"")</f>
        <v/>
      </c>
      <c r="E252" s="27" t="str">
        <f>IFERROR(__xludf.DUMMYFUNCTION("IFERROR(ARRAY_CONSTRAIN(SPLIT(INDEX('Daily Raw Data'!G:G,Match($A252,'Daily Raw Data'!$B:$B,0)),"":""),1,1),"""")"),"")</f>
        <v/>
      </c>
      <c r="F252" t="str">
        <f t="array" ref="F252">IFERROR(INDEX('Daily Raw Data'!H:H,Match($A252,'Daily Raw Data'!$B:$B,0)),"")</f>
        <v/>
      </c>
      <c r="G252" t="str">
        <f t="array" ref="G252">IFERROR(INDEX('Daily Raw Data'!I:I,Match($A252,'Daily Raw Data'!$B:$B,0)),"")</f>
        <v/>
      </c>
      <c r="H252" t="str">
        <f t="array" ref="H252">IFERROR(INDEX('Daily Raw Data'!N:N,Match($A252,'Daily Raw Data'!$B:$B,0)),"")</f>
        <v/>
      </c>
      <c r="I252" t="str">
        <f t="array" ref="I252">IFERROR(INDEX('Daily Raw Data'!O:O,Match($A252,'Daily Raw Data'!$B:$B,0)),"")</f>
        <v/>
      </c>
      <c r="J252" t="str">
        <f t="array" ref="J252">IFERROR(INDEX('Daily Raw Data'!S:S,Match($A252,'Daily Raw Data'!$B:$B,0)),"")</f>
        <v/>
      </c>
      <c r="K252" t="str">
        <f t="array" ref="K252">IFERROR(INDEX('Daily Raw Data'!T:T,Match($A252,'Daily Raw Data'!$B:$B,0)),"")</f>
        <v/>
      </c>
      <c r="L252" t="str">
        <f t="array" ref="L252">IFERROR(INDEX('Daily Raw Data'!U:U,Match($A252,'Daily Raw Data'!$B:$B,0)),"")</f>
        <v/>
      </c>
      <c r="M252" t="str">
        <f t="array" ref="M252">IFERROR(INDEX('Daily Raw Data'!V:V,Match($A252,'Daily Raw Data'!$B:$B,0)),"")</f>
        <v/>
      </c>
      <c r="N252" t="str">
        <f t="array" ref="N252">IFERROR(INDEX('Daily Raw Data'!W:W,Match($A252,'Daily Raw Data'!$B:$B,0)),"")</f>
        <v/>
      </c>
      <c r="O252" t="str">
        <f t="array" ref="O252">IFERROR(INDEX('Daily Raw Data'!Y:Y,Match($A252,'Daily Raw Data'!$B:$B,0)),"")</f>
        <v/>
      </c>
      <c r="P252" t="str">
        <f t="shared" si="1"/>
        <v/>
      </c>
      <c r="Q252" s="14" t="str">
        <f t="shared" si="2"/>
        <v/>
      </c>
      <c r="R252" s="15" t="str">
        <f>IFERROR(__xludf.DUMMYFUNCTION("IF($A252="""","""", IFERROR(PERCENTRANK.INC(FILTER(P:P,$E:$E&lt;&gt;""""),P252)*100,""""))"),"")</f>
        <v/>
      </c>
      <c r="S252" s="15" t="str">
        <f>IFERROR(__xludf.DUMMYFUNCTION("IF($A252="""","""",IFERROR(PERCENTRANK.INC(FILTER(Q:Q,$E:$E&lt;&gt;""""),Q252)*100,""""))"),"")</f>
        <v/>
      </c>
    </row>
    <row r="253">
      <c r="B253" t="str">
        <f t="array" ref="B253">IFERROR(INDEX('Player Raw Data'!C:C,Match($A253,'Player Raw Data'!$B:$B,0)),"")</f>
        <v/>
      </c>
      <c r="C253" t="str">
        <f t="array" ref="C253">IFERROR(INDEX('Player Raw Data'!D:D,Match($A253,'Player Raw Data'!$B:$B,0)),"")</f>
        <v/>
      </c>
      <c r="D253" t="str">
        <f t="array" ref="D253">IFERROR(IF(A253=A252, INDEX('Player Raw Data'!E:E,Match($A253,'Player Raw Data'!$B:$B,0)+2),INDEX('Player Raw Data'!E:E,Match($A253,'Player Raw Data'!$B:$B,0))),"")</f>
        <v/>
      </c>
      <c r="E253" s="27" t="str">
        <f>IFERROR(__xludf.DUMMYFUNCTION("IFERROR(ARRAY_CONSTRAIN(SPLIT(INDEX('Daily Raw Data'!G:G,Match($A253,'Daily Raw Data'!$B:$B,0)),"":""),1,1),"""")"),"")</f>
        <v/>
      </c>
      <c r="F253" t="str">
        <f t="array" ref="F253">IFERROR(INDEX('Daily Raw Data'!H:H,Match($A253,'Daily Raw Data'!$B:$B,0)),"")</f>
        <v/>
      </c>
      <c r="G253" t="str">
        <f t="array" ref="G253">IFERROR(INDEX('Daily Raw Data'!I:I,Match($A253,'Daily Raw Data'!$B:$B,0)),"")</f>
        <v/>
      </c>
      <c r="H253" t="str">
        <f t="array" ref="H253">IFERROR(INDEX('Daily Raw Data'!N:N,Match($A253,'Daily Raw Data'!$B:$B,0)),"")</f>
        <v/>
      </c>
      <c r="I253" t="str">
        <f t="array" ref="I253">IFERROR(INDEX('Daily Raw Data'!O:O,Match($A253,'Daily Raw Data'!$B:$B,0)),"")</f>
        <v/>
      </c>
      <c r="J253" t="str">
        <f t="array" ref="J253">IFERROR(INDEX('Daily Raw Data'!S:S,Match($A253,'Daily Raw Data'!$B:$B,0)),"")</f>
        <v/>
      </c>
      <c r="K253" t="str">
        <f t="array" ref="K253">IFERROR(INDEX('Daily Raw Data'!T:T,Match($A253,'Daily Raw Data'!$B:$B,0)),"")</f>
        <v/>
      </c>
      <c r="L253" t="str">
        <f t="array" ref="L253">IFERROR(INDEX('Daily Raw Data'!U:U,Match($A253,'Daily Raw Data'!$B:$B,0)),"")</f>
        <v/>
      </c>
      <c r="M253" t="str">
        <f t="array" ref="M253">IFERROR(INDEX('Daily Raw Data'!V:V,Match($A253,'Daily Raw Data'!$B:$B,0)),"")</f>
        <v/>
      </c>
      <c r="N253" t="str">
        <f t="array" ref="N253">IFERROR(INDEX('Daily Raw Data'!W:W,Match($A253,'Daily Raw Data'!$B:$B,0)),"")</f>
        <v/>
      </c>
      <c r="O253" t="str">
        <f t="array" ref="O253">IFERROR(INDEX('Daily Raw Data'!Y:Y,Match($A253,'Daily Raw Data'!$B:$B,0)),"")</f>
        <v/>
      </c>
      <c r="P253" t="str">
        <f t="shared" si="1"/>
        <v/>
      </c>
      <c r="Q253" s="14" t="str">
        <f t="shared" si="2"/>
        <v/>
      </c>
      <c r="R253" s="15" t="str">
        <f>IFERROR(__xludf.DUMMYFUNCTION("IF($A253="""","""", IFERROR(PERCENTRANK.INC(FILTER(P:P,$E:$E&lt;&gt;""""),P253)*100,""""))"),"")</f>
        <v/>
      </c>
      <c r="S253" s="15" t="str">
        <f>IFERROR(__xludf.DUMMYFUNCTION("IF($A253="""","""",IFERROR(PERCENTRANK.INC(FILTER(Q:Q,$E:$E&lt;&gt;""""),Q253)*100,""""))"),"")</f>
        <v/>
      </c>
    </row>
    <row r="254">
      <c r="B254" t="str">
        <f t="array" ref="B254">IFERROR(INDEX('Player Raw Data'!C:C,Match($A254,'Player Raw Data'!$B:$B,0)),"")</f>
        <v/>
      </c>
      <c r="C254" t="str">
        <f t="array" ref="C254">IFERROR(INDEX('Player Raw Data'!D:D,Match($A254,'Player Raw Data'!$B:$B,0)),"")</f>
        <v/>
      </c>
      <c r="D254" t="str">
        <f t="array" ref="D254">IFERROR(IF(A254=A253, INDEX('Player Raw Data'!E:E,Match($A254,'Player Raw Data'!$B:$B,0)+2),INDEX('Player Raw Data'!E:E,Match($A254,'Player Raw Data'!$B:$B,0))),"")</f>
        <v/>
      </c>
      <c r="E254" s="27" t="str">
        <f>IFERROR(__xludf.DUMMYFUNCTION("IFERROR(ARRAY_CONSTRAIN(SPLIT(INDEX('Daily Raw Data'!G:G,Match($A254,'Daily Raw Data'!$B:$B,0)),"":""),1,1),"""")"),"")</f>
        <v/>
      </c>
      <c r="F254" t="str">
        <f t="array" ref="F254">IFERROR(INDEX('Daily Raw Data'!H:H,Match($A254,'Daily Raw Data'!$B:$B,0)),"")</f>
        <v/>
      </c>
      <c r="G254" t="str">
        <f t="array" ref="G254">IFERROR(INDEX('Daily Raw Data'!I:I,Match($A254,'Daily Raw Data'!$B:$B,0)),"")</f>
        <v/>
      </c>
      <c r="H254" t="str">
        <f t="array" ref="H254">IFERROR(INDEX('Daily Raw Data'!N:N,Match($A254,'Daily Raw Data'!$B:$B,0)),"")</f>
        <v/>
      </c>
      <c r="I254" t="str">
        <f t="array" ref="I254">IFERROR(INDEX('Daily Raw Data'!O:O,Match($A254,'Daily Raw Data'!$B:$B,0)),"")</f>
        <v/>
      </c>
      <c r="J254" t="str">
        <f t="array" ref="J254">IFERROR(INDEX('Daily Raw Data'!S:S,Match($A254,'Daily Raw Data'!$B:$B,0)),"")</f>
        <v/>
      </c>
      <c r="K254" t="str">
        <f t="array" ref="K254">IFERROR(INDEX('Daily Raw Data'!T:T,Match($A254,'Daily Raw Data'!$B:$B,0)),"")</f>
        <v/>
      </c>
      <c r="L254" t="str">
        <f t="array" ref="L254">IFERROR(INDEX('Daily Raw Data'!U:U,Match($A254,'Daily Raw Data'!$B:$B,0)),"")</f>
        <v/>
      </c>
      <c r="M254" t="str">
        <f t="array" ref="M254">IFERROR(INDEX('Daily Raw Data'!V:V,Match($A254,'Daily Raw Data'!$B:$B,0)),"")</f>
        <v/>
      </c>
      <c r="N254" t="str">
        <f t="array" ref="N254">IFERROR(INDEX('Daily Raw Data'!W:W,Match($A254,'Daily Raw Data'!$B:$B,0)),"")</f>
        <v/>
      </c>
      <c r="O254" t="str">
        <f t="array" ref="O254">IFERROR(INDEX('Daily Raw Data'!Y:Y,Match($A254,'Daily Raw Data'!$B:$B,0)),"")</f>
        <v/>
      </c>
      <c r="P254" t="str">
        <f t="shared" si="1"/>
        <v/>
      </c>
      <c r="Q254" s="14" t="str">
        <f t="shared" si="2"/>
        <v/>
      </c>
      <c r="R254" s="15" t="str">
        <f>IFERROR(__xludf.DUMMYFUNCTION("IF($A254="""","""", IFERROR(PERCENTRANK.INC(FILTER(P:P,$E:$E&lt;&gt;""""),P254)*100,""""))"),"")</f>
        <v/>
      </c>
      <c r="S254" s="15" t="str">
        <f>IFERROR(__xludf.DUMMYFUNCTION("IF($A254="""","""",IFERROR(PERCENTRANK.INC(FILTER(Q:Q,$E:$E&lt;&gt;""""),Q254)*100,""""))"),"")</f>
        <v/>
      </c>
    </row>
    <row r="255">
      <c r="B255" t="str">
        <f t="array" ref="B255">IFERROR(INDEX('Player Raw Data'!C:C,Match($A255,'Player Raw Data'!$B:$B,0)),"")</f>
        <v/>
      </c>
      <c r="C255" t="str">
        <f t="array" ref="C255">IFERROR(INDEX('Player Raw Data'!D:D,Match($A255,'Player Raw Data'!$B:$B,0)),"")</f>
        <v/>
      </c>
      <c r="D255" t="str">
        <f t="array" ref="D255">IFERROR(IF(A255=A254, INDEX('Player Raw Data'!E:E,Match($A255,'Player Raw Data'!$B:$B,0)+2),INDEX('Player Raw Data'!E:E,Match($A255,'Player Raw Data'!$B:$B,0))),"")</f>
        <v/>
      </c>
      <c r="E255" s="27" t="str">
        <f>IFERROR(__xludf.DUMMYFUNCTION("IFERROR(ARRAY_CONSTRAIN(SPLIT(INDEX('Daily Raw Data'!G:G,Match($A255,'Daily Raw Data'!$B:$B,0)),"":""),1,1),"""")"),"")</f>
        <v/>
      </c>
      <c r="F255" t="str">
        <f t="array" ref="F255">IFERROR(INDEX('Daily Raw Data'!H:H,Match($A255,'Daily Raw Data'!$B:$B,0)),"")</f>
        <v/>
      </c>
      <c r="G255" t="str">
        <f t="array" ref="G255">IFERROR(INDEX('Daily Raw Data'!I:I,Match($A255,'Daily Raw Data'!$B:$B,0)),"")</f>
        <v/>
      </c>
      <c r="H255" t="str">
        <f t="array" ref="H255">IFERROR(INDEX('Daily Raw Data'!N:N,Match($A255,'Daily Raw Data'!$B:$B,0)),"")</f>
        <v/>
      </c>
      <c r="I255" t="str">
        <f t="array" ref="I255">IFERROR(INDEX('Daily Raw Data'!O:O,Match($A255,'Daily Raw Data'!$B:$B,0)),"")</f>
        <v/>
      </c>
      <c r="J255" t="str">
        <f t="array" ref="J255">IFERROR(INDEX('Daily Raw Data'!S:S,Match($A255,'Daily Raw Data'!$B:$B,0)),"")</f>
        <v/>
      </c>
      <c r="K255" t="str">
        <f t="array" ref="K255">IFERROR(INDEX('Daily Raw Data'!T:T,Match($A255,'Daily Raw Data'!$B:$B,0)),"")</f>
        <v/>
      </c>
      <c r="L255" t="str">
        <f t="array" ref="L255">IFERROR(INDEX('Daily Raw Data'!U:U,Match($A255,'Daily Raw Data'!$B:$B,0)),"")</f>
        <v/>
      </c>
      <c r="M255" t="str">
        <f t="array" ref="M255">IFERROR(INDEX('Daily Raw Data'!V:V,Match($A255,'Daily Raw Data'!$B:$B,0)),"")</f>
        <v/>
      </c>
      <c r="N255" t="str">
        <f t="array" ref="N255">IFERROR(INDEX('Daily Raw Data'!W:W,Match($A255,'Daily Raw Data'!$B:$B,0)),"")</f>
        <v/>
      </c>
      <c r="O255" t="str">
        <f t="array" ref="O255">IFERROR(INDEX('Daily Raw Data'!Y:Y,Match($A255,'Daily Raw Data'!$B:$B,0)),"")</f>
        <v/>
      </c>
      <c r="P255" t="str">
        <f t="shared" si="1"/>
        <v/>
      </c>
      <c r="Q255" s="14" t="str">
        <f t="shared" si="2"/>
        <v/>
      </c>
      <c r="R255" s="15" t="str">
        <f>IFERROR(__xludf.DUMMYFUNCTION("IF($A255="""","""", IFERROR(PERCENTRANK.INC(FILTER(P:P,$E:$E&lt;&gt;""""),P255)*100,""""))"),"")</f>
        <v/>
      </c>
      <c r="S255" s="15" t="str">
        <f>IFERROR(__xludf.DUMMYFUNCTION("IF($A255="""","""",IFERROR(PERCENTRANK.INC(FILTER(Q:Q,$E:$E&lt;&gt;""""),Q255)*100,""""))"),"")</f>
        <v/>
      </c>
    </row>
    <row r="256">
      <c r="B256" t="str">
        <f t="array" ref="B256">IFERROR(INDEX('Player Raw Data'!C:C,Match($A256,'Player Raw Data'!$B:$B,0)),"")</f>
        <v/>
      </c>
      <c r="C256" t="str">
        <f t="array" ref="C256">IFERROR(INDEX('Player Raw Data'!D:D,Match($A256,'Player Raw Data'!$B:$B,0)),"")</f>
        <v/>
      </c>
      <c r="D256" t="str">
        <f t="array" ref="D256">IFERROR(IF(A256=A255, INDEX('Player Raw Data'!E:E,Match($A256,'Player Raw Data'!$B:$B,0)+2),INDEX('Player Raw Data'!E:E,Match($A256,'Player Raw Data'!$B:$B,0))),"")</f>
        <v/>
      </c>
      <c r="E256" s="27" t="str">
        <f>IFERROR(__xludf.DUMMYFUNCTION("IFERROR(ARRAY_CONSTRAIN(SPLIT(INDEX('Daily Raw Data'!G:G,Match($A256,'Daily Raw Data'!$B:$B,0)),"":""),1,1),"""")"),"")</f>
        <v/>
      </c>
      <c r="F256" t="str">
        <f t="array" ref="F256">IFERROR(INDEX('Daily Raw Data'!H:H,Match($A256,'Daily Raw Data'!$B:$B,0)),"")</f>
        <v/>
      </c>
      <c r="G256" t="str">
        <f t="array" ref="G256">IFERROR(INDEX('Daily Raw Data'!I:I,Match($A256,'Daily Raw Data'!$B:$B,0)),"")</f>
        <v/>
      </c>
      <c r="H256" t="str">
        <f t="array" ref="H256">IFERROR(INDEX('Daily Raw Data'!N:N,Match($A256,'Daily Raw Data'!$B:$B,0)),"")</f>
        <v/>
      </c>
      <c r="I256" t="str">
        <f t="array" ref="I256">IFERROR(INDEX('Daily Raw Data'!O:O,Match($A256,'Daily Raw Data'!$B:$B,0)),"")</f>
        <v/>
      </c>
      <c r="J256" t="str">
        <f t="array" ref="J256">IFERROR(INDEX('Daily Raw Data'!S:S,Match($A256,'Daily Raw Data'!$B:$B,0)),"")</f>
        <v/>
      </c>
      <c r="K256" t="str">
        <f t="array" ref="K256">IFERROR(INDEX('Daily Raw Data'!T:T,Match($A256,'Daily Raw Data'!$B:$B,0)),"")</f>
        <v/>
      </c>
      <c r="L256" t="str">
        <f t="array" ref="L256">IFERROR(INDEX('Daily Raw Data'!U:U,Match($A256,'Daily Raw Data'!$B:$B,0)),"")</f>
        <v/>
      </c>
      <c r="M256" t="str">
        <f t="array" ref="M256">IFERROR(INDEX('Daily Raw Data'!V:V,Match($A256,'Daily Raw Data'!$B:$B,0)),"")</f>
        <v/>
      </c>
      <c r="N256" t="str">
        <f t="array" ref="N256">IFERROR(INDEX('Daily Raw Data'!W:W,Match($A256,'Daily Raw Data'!$B:$B,0)),"")</f>
        <v/>
      </c>
      <c r="O256" t="str">
        <f t="array" ref="O256">IFERROR(INDEX('Daily Raw Data'!Y:Y,Match($A256,'Daily Raw Data'!$B:$B,0)),"")</f>
        <v/>
      </c>
      <c r="P256" t="str">
        <f t="shared" si="1"/>
        <v/>
      </c>
      <c r="Q256" s="14" t="str">
        <f t="shared" si="2"/>
        <v/>
      </c>
      <c r="R256" s="15" t="str">
        <f>IFERROR(__xludf.DUMMYFUNCTION("IF($A256="""","""", IFERROR(PERCENTRANK.INC(FILTER(P:P,$E:$E&lt;&gt;""""),P256)*100,""""))"),"")</f>
        <v/>
      </c>
      <c r="S256" s="15" t="str">
        <f>IFERROR(__xludf.DUMMYFUNCTION("IF($A256="""","""",IFERROR(PERCENTRANK.INC(FILTER(Q:Q,$E:$E&lt;&gt;""""),Q256)*100,""""))"),"")</f>
        <v/>
      </c>
    </row>
    <row r="257">
      <c r="B257" t="str">
        <f t="array" ref="B257">IFERROR(INDEX('Player Raw Data'!C:C,Match($A257,'Player Raw Data'!$B:$B,0)),"")</f>
        <v/>
      </c>
      <c r="C257" t="str">
        <f t="array" ref="C257">IFERROR(INDEX('Player Raw Data'!D:D,Match($A257,'Player Raw Data'!$B:$B,0)),"")</f>
        <v/>
      </c>
      <c r="D257" t="str">
        <f t="array" ref="D257">IFERROR(IF(A257=A256, INDEX('Player Raw Data'!E:E,Match($A257,'Player Raw Data'!$B:$B,0)+2),INDEX('Player Raw Data'!E:E,Match($A257,'Player Raw Data'!$B:$B,0))),"")</f>
        <v/>
      </c>
      <c r="E257" s="27" t="str">
        <f>IFERROR(__xludf.DUMMYFUNCTION("IFERROR(ARRAY_CONSTRAIN(SPLIT(INDEX('Daily Raw Data'!G:G,Match($A257,'Daily Raw Data'!$B:$B,0)),"":""),1,1),"""")"),"")</f>
        <v/>
      </c>
      <c r="F257" t="str">
        <f t="array" ref="F257">IFERROR(INDEX('Daily Raw Data'!H:H,Match($A257,'Daily Raw Data'!$B:$B,0)),"")</f>
        <v/>
      </c>
      <c r="G257" t="str">
        <f t="array" ref="G257">IFERROR(INDEX('Daily Raw Data'!I:I,Match($A257,'Daily Raw Data'!$B:$B,0)),"")</f>
        <v/>
      </c>
      <c r="H257" t="str">
        <f t="array" ref="H257">IFERROR(INDEX('Daily Raw Data'!N:N,Match($A257,'Daily Raw Data'!$B:$B,0)),"")</f>
        <v/>
      </c>
      <c r="I257" t="str">
        <f t="array" ref="I257">IFERROR(INDEX('Daily Raw Data'!O:O,Match($A257,'Daily Raw Data'!$B:$B,0)),"")</f>
        <v/>
      </c>
      <c r="J257" t="str">
        <f t="array" ref="J257">IFERROR(INDEX('Daily Raw Data'!S:S,Match($A257,'Daily Raw Data'!$B:$B,0)),"")</f>
        <v/>
      </c>
      <c r="K257" t="str">
        <f t="array" ref="K257">IFERROR(INDEX('Daily Raw Data'!T:T,Match($A257,'Daily Raw Data'!$B:$B,0)),"")</f>
        <v/>
      </c>
      <c r="L257" t="str">
        <f t="array" ref="L257">IFERROR(INDEX('Daily Raw Data'!U:U,Match($A257,'Daily Raw Data'!$B:$B,0)),"")</f>
        <v/>
      </c>
      <c r="M257" t="str">
        <f t="array" ref="M257">IFERROR(INDEX('Daily Raw Data'!V:V,Match($A257,'Daily Raw Data'!$B:$B,0)),"")</f>
        <v/>
      </c>
      <c r="N257" t="str">
        <f t="array" ref="N257">IFERROR(INDEX('Daily Raw Data'!W:W,Match($A257,'Daily Raw Data'!$B:$B,0)),"")</f>
        <v/>
      </c>
      <c r="O257" t="str">
        <f t="array" ref="O257">IFERROR(INDEX('Daily Raw Data'!Y:Y,Match($A257,'Daily Raw Data'!$B:$B,0)),"")</f>
        <v/>
      </c>
      <c r="P257" t="str">
        <f t="shared" si="1"/>
        <v/>
      </c>
      <c r="Q257" s="14" t="str">
        <f t="shared" si="2"/>
        <v/>
      </c>
      <c r="R257" s="15" t="str">
        <f>IFERROR(__xludf.DUMMYFUNCTION("IF($A257="""","""", IFERROR(PERCENTRANK.INC(FILTER(P:P,$E:$E&lt;&gt;""""),P257)*100,""""))"),"")</f>
        <v/>
      </c>
      <c r="S257" s="15" t="str">
        <f>IFERROR(__xludf.DUMMYFUNCTION("IF($A257="""","""",IFERROR(PERCENTRANK.INC(FILTER(Q:Q,$E:$E&lt;&gt;""""),Q257)*100,""""))"),"")</f>
        <v/>
      </c>
    </row>
    <row r="258">
      <c r="B258" t="str">
        <f t="array" ref="B258">IFERROR(INDEX('Player Raw Data'!C:C,Match($A258,'Player Raw Data'!$B:$B,0)),"")</f>
        <v/>
      </c>
      <c r="C258" t="str">
        <f t="array" ref="C258">IFERROR(INDEX('Player Raw Data'!D:D,Match($A258,'Player Raw Data'!$B:$B,0)),"")</f>
        <v/>
      </c>
      <c r="D258" t="str">
        <f t="array" ref="D258">IFERROR(IF(A258=A257, INDEX('Player Raw Data'!E:E,Match($A258,'Player Raw Data'!$B:$B,0)+2),INDEX('Player Raw Data'!E:E,Match($A258,'Player Raw Data'!$B:$B,0))),"")</f>
        <v/>
      </c>
      <c r="E258" s="27" t="str">
        <f>IFERROR(__xludf.DUMMYFUNCTION("IFERROR(ARRAY_CONSTRAIN(SPLIT(INDEX('Daily Raw Data'!G:G,Match($A258,'Daily Raw Data'!$B:$B,0)),"":""),1,1),"""")"),"")</f>
        <v/>
      </c>
      <c r="F258" t="str">
        <f t="array" ref="F258">IFERROR(INDEX('Daily Raw Data'!H:H,Match($A258,'Daily Raw Data'!$B:$B,0)),"")</f>
        <v/>
      </c>
      <c r="G258" t="str">
        <f t="array" ref="G258">IFERROR(INDEX('Daily Raw Data'!I:I,Match($A258,'Daily Raw Data'!$B:$B,0)),"")</f>
        <v/>
      </c>
      <c r="H258" t="str">
        <f t="array" ref="H258">IFERROR(INDEX('Daily Raw Data'!N:N,Match($A258,'Daily Raw Data'!$B:$B,0)),"")</f>
        <v/>
      </c>
      <c r="I258" t="str">
        <f t="array" ref="I258">IFERROR(INDEX('Daily Raw Data'!O:O,Match($A258,'Daily Raw Data'!$B:$B,0)),"")</f>
        <v/>
      </c>
      <c r="J258" t="str">
        <f t="array" ref="J258">IFERROR(INDEX('Daily Raw Data'!S:S,Match($A258,'Daily Raw Data'!$B:$B,0)),"")</f>
        <v/>
      </c>
      <c r="K258" t="str">
        <f t="array" ref="K258">IFERROR(INDEX('Daily Raw Data'!T:T,Match($A258,'Daily Raw Data'!$B:$B,0)),"")</f>
        <v/>
      </c>
      <c r="L258" t="str">
        <f t="array" ref="L258">IFERROR(INDEX('Daily Raw Data'!U:U,Match($A258,'Daily Raw Data'!$B:$B,0)),"")</f>
        <v/>
      </c>
      <c r="M258" t="str">
        <f t="array" ref="M258">IFERROR(INDEX('Daily Raw Data'!V:V,Match($A258,'Daily Raw Data'!$B:$B,0)),"")</f>
        <v/>
      </c>
      <c r="N258" t="str">
        <f t="array" ref="N258">IFERROR(INDEX('Daily Raw Data'!W:W,Match($A258,'Daily Raw Data'!$B:$B,0)),"")</f>
        <v/>
      </c>
      <c r="O258" t="str">
        <f t="array" ref="O258">IFERROR(INDEX('Daily Raw Data'!Y:Y,Match($A258,'Daily Raw Data'!$B:$B,0)),"")</f>
        <v/>
      </c>
      <c r="P258" t="str">
        <f t="shared" si="1"/>
        <v/>
      </c>
      <c r="Q258" s="14" t="str">
        <f t="shared" si="2"/>
        <v/>
      </c>
      <c r="R258" s="15" t="str">
        <f>IFERROR(__xludf.DUMMYFUNCTION("IF($A258="""","""", IFERROR(PERCENTRANK.INC(FILTER(P:P,$E:$E&lt;&gt;""""),P258)*100,""""))"),"")</f>
        <v/>
      </c>
      <c r="S258" s="15" t="str">
        <f>IFERROR(__xludf.DUMMYFUNCTION("IF($A258="""","""",IFERROR(PERCENTRANK.INC(FILTER(Q:Q,$E:$E&lt;&gt;""""),Q258)*100,""""))"),"")</f>
        <v/>
      </c>
    </row>
    <row r="259">
      <c r="B259" t="str">
        <f t="array" ref="B259">IFERROR(INDEX('Player Raw Data'!C:C,Match($A259,'Player Raw Data'!$B:$B,0)),"")</f>
        <v/>
      </c>
      <c r="C259" t="str">
        <f t="array" ref="C259">IFERROR(INDEX('Player Raw Data'!D:D,Match($A259,'Player Raw Data'!$B:$B,0)),"")</f>
        <v/>
      </c>
      <c r="D259" t="str">
        <f t="array" ref="D259">IFERROR(IF(A259=A258, INDEX('Player Raw Data'!E:E,Match($A259,'Player Raw Data'!$B:$B,0)+2),INDEX('Player Raw Data'!E:E,Match($A259,'Player Raw Data'!$B:$B,0))),"")</f>
        <v/>
      </c>
      <c r="E259" s="27" t="str">
        <f>IFERROR(__xludf.DUMMYFUNCTION("IFERROR(ARRAY_CONSTRAIN(SPLIT(INDEX('Daily Raw Data'!G:G,Match($A259,'Daily Raw Data'!$B:$B,0)),"":""),1,1),"""")"),"")</f>
        <v/>
      </c>
      <c r="F259" t="str">
        <f t="array" ref="F259">IFERROR(INDEX('Daily Raw Data'!H:H,Match($A259,'Daily Raw Data'!$B:$B,0)),"")</f>
        <v/>
      </c>
      <c r="G259" t="str">
        <f t="array" ref="G259">IFERROR(INDEX('Daily Raw Data'!I:I,Match($A259,'Daily Raw Data'!$B:$B,0)),"")</f>
        <v/>
      </c>
      <c r="H259" t="str">
        <f t="array" ref="H259">IFERROR(INDEX('Daily Raw Data'!N:N,Match($A259,'Daily Raw Data'!$B:$B,0)),"")</f>
        <v/>
      </c>
      <c r="I259" t="str">
        <f t="array" ref="I259">IFERROR(INDEX('Daily Raw Data'!O:O,Match($A259,'Daily Raw Data'!$B:$B,0)),"")</f>
        <v/>
      </c>
      <c r="J259" t="str">
        <f t="array" ref="J259">IFERROR(INDEX('Daily Raw Data'!S:S,Match($A259,'Daily Raw Data'!$B:$B,0)),"")</f>
        <v/>
      </c>
      <c r="K259" t="str">
        <f t="array" ref="K259">IFERROR(INDEX('Daily Raw Data'!T:T,Match($A259,'Daily Raw Data'!$B:$B,0)),"")</f>
        <v/>
      </c>
      <c r="L259" t="str">
        <f t="array" ref="L259">IFERROR(INDEX('Daily Raw Data'!U:U,Match($A259,'Daily Raw Data'!$B:$B,0)),"")</f>
        <v/>
      </c>
      <c r="M259" t="str">
        <f t="array" ref="M259">IFERROR(INDEX('Daily Raw Data'!V:V,Match($A259,'Daily Raw Data'!$B:$B,0)),"")</f>
        <v/>
      </c>
      <c r="N259" t="str">
        <f t="array" ref="N259">IFERROR(INDEX('Daily Raw Data'!W:W,Match($A259,'Daily Raw Data'!$B:$B,0)),"")</f>
        <v/>
      </c>
      <c r="O259" t="str">
        <f t="array" ref="O259">IFERROR(INDEX('Daily Raw Data'!Y:Y,Match($A259,'Daily Raw Data'!$B:$B,0)),"")</f>
        <v/>
      </c>
      <c r="P259" t="str">
        <f t="shared" si="1"/>
        <v/>
      </c>
      <c r="Q259" s="14" t="str">
        <f t="shared" si="2"/>
        <v/>
      </c>
      <c r="R259" s="15" t="str">
        <f>IFERROR(__xludf.DUMMYFUNCTION("IF($A259="""","""", IFERROR(PERCENTRANK.INC(FILTER(P:P,$E:$E&lt;&gt;""""),P259)*100,""""))"),"")</f>
        <v/>
      </c>
      <c r="S259" s="15" t="str">
        <f>IFERROR(__xludf.DUMMYFUNCTION("IF($A259="""","""",IFERROR(PERCENTRANK.INC(FILTER(Q:Q,$E:$E&lt;&gt;""""),Q259)*100,""""))"),"")</f>
        <v/>
      </c>
    </row>
    <row r="260">
      <c r="B260" t="str">
        <f t="array" ref="B260">IFERROR(INDEX('Player Raw Data'!C:C,Match($A260,'Player Raw Data'!$B:$B,0)),"")</f>
        <v/>
      </c>
      <c r="C260" t="str">
        <f t="array" ref="C260">IFERROR(INDEX('Player Raw Data'!D:D,Match($A260,'Player Raw Data'!$B:$B,0)),"")</f>
        <v/>
      </c>
      <c r="D260" t="str">
        <f t="array" ref="D260">IFERROR(IF(A260=A259, INDEX('Player Raw Data'!E:E,Match($A260,'Player Raw Data'!$B:$B,0)+2),INDEX('Player Raw Data'!E:E,Match($A260,'Player Raw Data'!$B:$B,0))),"")</f>
        <v/>
      </c>
      <c r="E260" s="27" t="str">
        <f>IFERROR(__xludf.DUMMYFUNCTION("IFERROR(ARRAY_CONSTRAIN(SPLIT(INDEX('Daily Raw Data'!G:G,Match($A260,'Daily Raw Data'!$B:$B,0)),"":""),1,1),"""")"),"")</f>
        <v/>
      </c>
      <c r="F260" t="str">
        <f t="array" ref="F260">IFERROR(INDEX('Daily Raw Data'!H:H,Match($A260,'Daily Raw Data'!$B:$B,0)),"")</f>
        <v/>
      </c>
      <c r="G260" t="str">
        <f t="array" ref="G260">IFERROR(INDEX('Daily Raw Data'!I:I,Match($A260,'Daily Raw Data'!$B:$B,0)),"")</f>
        <v/>
      </c>
      <c r="H260" t="str">
        <f t="array" ref="H260">IFERROR(INDEX('Daily Raw Data'!N:N,Match($A260,'Daily Raw Data'!$B:$B,0)),"")</f>
        <v/>
      </c>
      <c r="I260" t="str">
        <f t="array" ref="I260">IFERROR(INDEX('Daily Raw Data'!O:O,Match($A260,'Daily Raw Data'!$B:$B,0)),"")</f>
        <v/>
      </c>
      <c r="J260" t="str">
        <f t="array" ref="J260">IFERROR(INDEX('Daily Raw Data'!S:S,Match($A260,'Daily Raw Data'!$B:$B,0)),"")</f>
        <v/>
      </c>
      <c r="K260" t="str">
        <f t="array" ref="K260">IFERROR(INDEX('Daily Raw Data'!T:T,Match($A260,'Daily Raw Data'!$B:$B,0)),"")</f>
        <v/>
      </c>
      <c r="L260" t="str">
        <f t="array" ref="L260">IFERROR(INDEX('Daily Raw Data'!U:U,Match($A260,'Daily Raw Data'!$B:$B,0)),"")</f>
        <v/>
      </c>
      <c r="M260" t="str">
        <f t="array" ref="M260">IFERROR(INDEX('Daily Raw Data'!V:V,Match($A260,'Daily Raw Data'!$B:$B,0)),"")</f>
        <v/>
      </c>
      <c r="N260" t="str">
        <f t="array" ref="N260">IFERROR(INDEX('Daily Raw Data'!W:W,Match($A260,'Daily Raw Data'!$B:$B,0)),"")</f>
        <v/>
      </c>
      <c r="O260" t="str">
        <f t="array" ref="O260">IFERROR(INDEX('Daily Raw Data'!Y:Y,Match($A260,'Daily Raw Data'!$B:$B,0)),"")</f>
        <v/>
      </c>
      <c r="P260" t="str">
        <f t="shared" si="1"/>
        <v/>
      </c>
      <c r="Q260" s="14" t="str">
        <f t="shared" si="2"/>
        <v/>
      </c>
      <c r="R260" s="15" t="str">
        <f>IFERROR(__xludf.DUMMYFUNCTION("IF($A260="""","""", IFERROR(PERCENTRANK.INC(FILTER(P:P,$E:$E&lt;&gt;""""),P260)*100,""""))"),"")</f>
        <v/>
      </c>
      <c r="S260" s="15" t="str">
        <f>IFERROR(__xludf.DUMMYFUNCTION("IF($A260="""","""",IFERROR(PERCENTRANK.INC(FILTER(Q:Q,$E:$E&lt;&gt;""""),Q260)*100,""""))"),"")</f>
        <v/>
      </c>
    </row>
    <row r="261">
      <c r="B261" t="str">
        <f t="array" ref="B261">IFERROR(INDEX('Player Raw Data'!C:C,Match($A261,'Player Raw Data'!$B:$B,0)),"")</f>
        <v/>
      </c>
      <c r="C261" t="str">
        <f t="array" ref="C261">IFERROR(INDEX('Player Raw Data'!D:D,Match($A261,'Player Raw Data'!$B:$B,0)),"")</f>
        <v/>
      </c>
      <c r="D261" t="str">
        <f t="array" ref="D261">IFERROR(IF(A261=A260, INDEX('Player Raw Data'!E:E,Match($A261,'Player Raw Data'!$B:$B,0)+2),INDEX('Player Raw Data'!E:E,Match($A261,'Player Raw Data'!$B:$B,0))),"")</f>
        <v/>
      </c>
      <c r="E261" s="27" t="str">
        <f>IFERROR(__xludf.DUMMYFUNCTION("IFERROR(ARRAY_CONSTRAIN(SPLIT(INDEX('Daily Raw Data'!G:G,Match($A261,'Daily Raw Data'!$B:$B,0)),"":""),1,1),"""")"),"")</f>
        <v/>
      </c>
      <c r="F261" t="str">
        <f t="array" ref="F261">IFERROR(INDEX('Daily Raw Data'!H:H,Match($A261,'Daily Raw Data'!$B:$B,0)),"")</f>
        <v/>
      </c>
      <c r="G261" t="str">
        <f t="array" ref="G261">IFERROR(INDEX('Daily Raw Data'!I:I,Match($A261,'Daily Raw Data'!$B:$B,0)),"")</f>
        <v/>
      </c>
      <c r="H261" t="str">
        <f t="array" ref="H261">IFERROR(INDEX('Daily Raw Data'!N:N,Match($A261,'Daily Raw Data'!$B:$B,0)),"")</f>
        <v/>
      </c>
      <c r="I261" t="str">
        <f t="array" ref="I261">IFERROR(INDEX('Daily Raw Data'!O:O,Match($A261,'Daily Raw Data'!$B:$B,0)),"")</f>
        <v/>
      </c>
      <c r="J261" t="str">
        <f t="array" ref="J261">IFERROR(INDEX('Daily Raw Data'!S:S,Match($A261,'Daily Raw Data'!$B:$B,0)),"")</f>
        <v/>
      </c>
      <c r="K261" t="str">
        <f t="array" ref="K261">IFERROR(INDEX('Daily Raw Data'!T:T,Match($A261,'Daily Raw Data'!$B:$B,0)),"")</f>
        <v/>
      </c>
      <c r="L261" t="str">
        <f t="array" ref="L261">IFERROR(INDEX('Daily Raw Data'!U:U,Match($A261,'Daily Raw Data'!$B:$B,0)),"")</f>
        <v/>
      </c>
      <c r="M261" t="str">
        <f t="array" ref="M261">IFERROR(INDEX('Daily Raw Data'!V:V,Match($A261,'Daily Raw Data'!$B:$B,0)),"")</f>
        <v/>
      </c>
      <c r="N261" t="str">
        <f t="array" ref="N261">IFERROR(INDEX('Daily Raw Data'!W:W,Match($A261,'Daily Raw Data'!$B:$B,0)),"")</f>
        <v/>
      </c>
      <c r="O261" t="str">
        <f t="array" ref="O261">IFERROR(INDEX('Daily Raw Data'!Y:Y,Match($A261,'Daily Raw Data'!$B:$B,0)),"")</f>
        <v/>
      </c>
      <c r="P261" t="str">
        <f t="shared" si="1"/>
        <v/>
      </c>
      <c r="Q261" s="14" t="str">
        <f t="shared" si="2"/>
        <v/>
      </c>
      <c r="R261" s="15" t="str">
        <f>IFERROR(__xludf.DUMMYFUNCTION("IF($A261="""","""", IFERROR(PERCENTRANK.INC(FILTER(P:P,$E:$E&lt;&gt;""""),P261)*100,""""))"),"")</f>
        <v/>
      </c>
      <c r="S261" s="15" t="str">
        <f>IFERROR(__xludf.DUMMYFUNCTION("IF($A261="""","""",IFERROR(PERCENTRANK.INC(FILTER(Q:Q,$E:$E&lt;&gt;""""),Q261)*100,""""))"),"")</f>
        <v/>
      </c>
    </row>
    <row r="262">
      <c r="B262" t="str">
        <f t="array" ref="B262">IFERROR(INDEX('Player Raw Data'!C:C,Match($A262,'Player Raw Data'!$B:$B,0)),"")</f>
        <v/>
      </c>
      <c r="C262" t="str">
        <f t="array" ref="C262">IFERROR(INDEX('Player Raw Data'!D:D,Match($A262,'Player Raw Data'!$B:$B,0)),"")</f>
        <v/>
      </c>
      <c r="D262" t="str">
        <f t="array" ref="D262">IFERROR(IF(A262=A261, INDEX('Player Raw Data'!E:E,Match($A262,'Player Raw Data'!$B:$B,0)+2),INDEX('Player Raw Data'!E:E,Match($A262,'Player Raw Data'!$B:$B,0))),"")</f>
        <v/>
      </c>
      <c r="E262" s="27" t="str">
        <f>IFERROR(__xludf.DUMMYFUNCTION("IFERROR(ARRAY_CONSTRAIN(SPLIT(INDEX('Daily Raw Data'!G:G,Match($A262,'Daily Raw Data'!$B:$B,0)),"":""),1,1),"""")"),"")</f>
        <v/>
      </c>
      <c r="F262" t="str">
        <f t="array" ref="F262">IFERROR(INDEX('Daily Raw Data'!H:H,Match($A262,'Daily Raw Data'!$B:$B,0)),"")</f>
        <v/>
      </c>
      <c r="G262" t="str">
        <f t="array" ref="G262">IFERROR(INDEX('Daily Raw Data'!I:I,Match($A262,'Daily Raw Data'!$B:$B,0)),"")</f>
        <v/>
      </c>
      <c r="H262" t="str">
        <f t="array" ref="H262">IFERROR(INDEX('Daily Raw Data'!N:N,Match($A262,'Daily Raw Data'!$B:$B,0)),"")</f>
        <v/>
      </c>
      <c r="I262" t="str">
        <f t="array" ref="I262">IFERROR(INDEX('Daily Raw Data'!O:O,Match($A262,'Daily Raw Data'!$B:$B,0)),"")</f>
        <v/>
      </c>
      <c r="J262" t="str">
        <f t="array" ref="J262">IFERROR(INDEX('Daily Raw Data'!S:S,Match($A262,'Daily Raw Data'!$B:$B,0)),"")</f>
        <v/>
      </c>
      <c r="K262" t="str">
        <f t="array" ref="K262">IFERROR(INDEX('Daily Raw Data'!T:T,Match($A262,'Daily Raw Data'!$B:$B,0)),"")</f>
        <v/>
      </c>
      <c r="L262" t="str">
        <f t="array" ref="L262">IFERROR(INDEX('Daily Raw Data'!U:U,Match($A262,'Daily Raw Data'!$B:$B,0)),"")</f>
        <v/>
      </c>
      <c r="M262" t="str">
        <f t="array" ref="M262">IFERROR(INDEX('Daily Raw Data'!V:V,Match($A262,'Daily Raw Data'!$B:$B,0)),"")</f>
        <v/>
      </c>
      <c r="N262" t="str">
        <f t="array" ref="N262">IFERROR(INDEX('Daily Raw Data'!W:W,Match($A262,'Daily Raw Data'!$B:$B,0)),"")</f>
        <v/>
      </c>
      <c r="O262" t="str">
        <f t="array" ref="O262">IFERROR(INDEX('Daily Raw Data'!Y:Y,Match($A262,'Daily Raw Data'!$B:$B,0)),"")</f>
        <v/>
      </c>
      <c r="P262" t="str">
        <f t="shared" si="1"/>
        <v/>
      </c>
      <c r="Q262" s="14" t="str">
        <f t="shared" si="2"/>
        <v/>
      </c>
      <c r="R262" s="15" t="str">
        <f>IFERROR(__xludf.DUMMYFUNCTION("IF($A262="""","""", IFERROR(PERCENTRANK.INC(FILTER(P:P,$E:$E&lt;&gt;""""),P262)*100,""""))"),"")</f>
        <v/>
      </c>
      <c r="S262" s="15" t="str">
        <f>IFERROR(__xludf.DUMMYFUNCTION("IF($A262="""","""",IFERROR(PERCENTRANK.INC(FILTER(Q:Q,$E:$E&lt;&gt;""""),Q262)*100,""""))"),"")</f>
        <v/>
      </c>
    </row>
    <row r="263">
      <c r="B263" t="str">
        <f t="array" ref="B263">IFERROR(INDEX('Player Raw Data'!C:C,Match($A263,'Player Raw Data'!$B:$B,0)),"")</f>
        <v/>
      </c>
      <c r="C263" t="str">
        <f t="array" ref="C263">IFERROR(INDEX('Player Raw Data'!D:D,Match($A263,'Player Raw Data'!$B:$B,0)),"")</f>
        <v/>
      </c>
      <c r="D263" t="str">
        <f t="array" ref="D263">IFERROR(IF(A263=A262, INDEX('Player Raw Data'!E:E,Match($A263,'Player Raw Data'!$B:$B,0)+2),INDEX('Player Raw Data'!E:E,Match($A263,'Player Raw Data'!$B:$B,0))),"")</f>
        <v/>
      </c>
      <c r="E263" s="27" t="str">
        <f>IFERROR(__xludf.DUMMYFUNCTION("IFERROR(ARRAY_CONSTRAIN(SPLIT(INDEX('Daily Raw Data'!G:G,Match($A263,'Daily Raw Data'!$B:$B,0)),"":""),1,1),"""")"),"")</f>
        <v/>
      </c>
      <c r="F263" t="str">
        <f t="array" ref="F263">IFERROR(INDEX('Daily Raw Data'!H:H,Match($A263,'Daily Raw Data'!$B:$B,0)),"")</f>
        <v/>
      </c>
      <c r="G263" t="str">
        <f t="array" ref="G263">IFERROR(INDEX('Daily Raw Data'!I:I,Match($A263,'Daily Raw Data'!$B:$B,0)),"")</f>
        <v/>
      </c>
      <c r="H263" t="str">
        <f t="array" ref="H263">IFERROR(INDEX('Daily Raw Data'!N:N,Match($A263,'Daily Raw Data'!$B:$B,0)),"")</f>
        <v/>
      </c>
      <c r="I263" t="str">
        <f t="array" ref="I263">IFERROR(INDEX('Daily Raw Data'!O:O,Match($A263,'Daily Raw Data'!$B:$B,0)),"")</f>
        <v/>
      </c>
      <c r="J263" t="str">
        <f t="array" ref="J263">IFERROR(INDEX('Daily Raw Data'!S:S,Match($A263,'Daily Raw Data'!$B:$B,0)),"")</f>
        <v/>
      </c>
      <c r="K263" t="str">
        <f t="array" ref="K263">IFERROR(INDEX('Daily Raw Data'!T:T,Match($A263,'Daily Raw Data'!$B:$B,0)),"")</f>
        <v/>
      </c>
      <c r="L263" t="str">
        <f t="array" ref="L263">IFERROR(INDEX('Daily Raw Data'!U:U,Match($A263,'Daily Raw Data'!$B:$B,0)),"")</f>
        <v/>
      </c>
      <c r="M263" t="str">
        <f t="array" ref="M263">IFERROR(INDEX('Daily Raw Data'!V:V,Match($A263,'Daily Raw Data'!$B:$B,0)),"")</f>
        <v/>
      </c>
      <c r="N263" t="str">
        <f t="array" ref="N263">IFERROR(INDEX('Daily Raw Data'!W:W,Match($A263,'Daily Raw Data'!$B:$B,0)),"")</f>
        <v/>
      </c>
      <c r="O263" t="str">
        <f t="array" ref="O263">IFERROR(INDEX('Daily Raw Data'!Y:Y,Match($A263,'Daily Raw Data'!$B:$B,0)),"")</f>
        <v/>
      </c>
      <c r="P263" t="str">
        <f t="shared" si="1"/>
        <v/>
      </c>
      <c r="Q263" s="14" t="str">
        <f t="shared" si="2"/>
        <v/>
      </c>
      <c r="R263" s="15" t="str">
        <f>IFERROR(__xludf.DUMMYFUNCTION("IF($A263="""","""", IFERROR(PERCENTRANK.INC(FILTER(P:P,$E:$E&lt;&gt;""""),P263)*100,""""))"),"")</f>
        <v/>
      </c>
      <c r="S263" s="15" t="str">
        <f>IFERROR(__xludf.DUMMYFUNCTION("IF($A263="""","""",IFERROR(PERCENTRANK.INC(FILTER(Q:Q,$E:$E&lt;&gt;""""),Q263)*100,""""))"),"")</f>
        <v/>
      </c>
    </row>
    <row r="264">
      <c r="B264" t="str">
        <f t="array" ref="B264">IFERROR(INDEX('Player Raw Data'!C:C,Match($A264,'Player Raw Data'!$B:$B,0)),"")</f>
        <v/>
      </c>
      <c r="C264" t="str">
        <f t="array" ref="C264">IFERROR(INDEX('Player Raw Data'!D:D,Match($A264,'Player Raw Data'!$B:$B,0)),"")</f>
        <v/>
      </c>
      <c r="D264" t="str">
        <f t="array" ref="D264">IFERROR(IF(A264=A263, INDEX('Player Raw Data'!E:E,Match($A264,'Player Raw Data'!$B:$B,0)+2),INDEX('Player Raw Data'!E:E,Match($A264,'Player Raw Data'!$B:$B,0))),"")</f>
        <v/>
      </c>
      <c r="E264" s="27" t="str">
        <f>IFERROR(__xludf.DUMMYFUNCTION("IFERROR(ARRAY_CONSTRAIN(SPLIT(INDEX('Daily Raw Data'!G:G,Match($A264,'Daily Raw Data'!$B:$B,0)),"":""),1,1),"""")"),"")</f>
        <v/>
      </c>
      <c r="F264" t="str">
        <f t="array" ref="F264">IFERROR(INDEX('Daily Raw Data'!H:H,Match($A264,'Daily Raw Data'!$B:$B,0)),"")</f>
        <v/>
      </c>
      <c r="G264" t="str">
        <f t="array" ref="G264">IFERROR(INDEX('Daily Raw Data'!I:I,Match($A264,'Daily Raw Data'!$B:$B,0)),"")</f>
        <v/>
      </c>
      <c r="H264" t="str">
        <f t="array" ref="H264">IFERROR(INDEX('Daily Raw Data'!N:N,Match($A264,'Daily Raw Data'!$B:$B,0)),"")</f>
        <v/>
      </c>
      <c r="I264" t="str">
        <f t="array" ref="I264">IFERROR(INDEX('Daily Raw Data'!O:O,Match($A264,'Daily Raw Data'!$B:$B,0)),"")</f>
        <v/>
      </c>
      <c r="J264" t="str">
        <f t="array" ref="J264">IFERROR(INDEX('Daily Raw Data'!S:S,Match($A264,'Daily Raw Data'!$B:$B,0)),"")</f>
        <v/>
      </c>
      <c r="K264" t="str">
        <f t="array" ref="K264">IFERROR(INDEX('Daily Raw Data'!T:T,Match($A264,'Daily Raw Data'!$B:$B,0)),"")</f>
        <v/>
      </c>
      <c r="L264" t="str">
        <f t="array" ref="L264">IFERROR(INDEX('Daily Raw Data'!U:U,Match($A264,'Daily Raw Data'!$B:$B,0)),"")</f>
        <v/>
      </c>
      <c r="M264" t="str">
        <f t="array" ref="M264">IFERROR(INDEX('Daily Raw Data'!V:V,Match($A264,'Daily Raw Data'!$B:$B,0)),"")</f>
        <v/>
      </c>
      <c r="N264" t="str">
        <f t="array" ref="N264">IFERROR(INDEX('Daily Raw Data'!W:W,Match($A264,'Daily Raw Data'!$B:$B,0)),"")</f>
        <v/>
      </c>
      <c r="O264" t="str">
        <f t="array" ref="O264">IFERROR(INDEX('Daily Raw Data'!Y:Y,Match($A264,'Daily Raw Data'!$B:$B,0)),"")</f>
        <v/>
      </c>
      <c r="P264" t="str">
        <f t="shared" si="1"/>
        <v/>
      </c>
      <c r="Q264" s="14" t="str">
        <f t="shared" si="2"/>
        <v/>
      </c>
      <c r="R264" s="15" t="str">
        <f>IFERROR(__xludf.DUMMYFUNCTION("IF($A264="""","""", IFERROR(PERCENTRANK.INC(FILTER(P:P,$E:$E&lt;&gt;""""),P264)*100,""""))"),"")</f>
        <v/>
      </c>
      <c r="S264" s="15" t="str">
        <f>IFERROR(__xludf.DUMMYFUNCTION("IF($A264="""","""",IFERROR(PERCENTRANK.INC(FILTER(Q:Q,$E:$E&lt;&gt;""""),Q264)*100,""""))"),"")</f>
        <v/>
      </c>
    </row>
    <row r="265">
      <c r="B265" t="str">
        <f t="array" ref="B265">IFERROR(INDEX('Player Raw Data'!C:C,Match($A265,'Player Raw Data'!$B:$B,0)),"")</f>
        <v/>
      </c>
      <c r="C265" t="str">
        <f t="array" ref="C265">IFERROR(INDEX('Player Raw Data'!D:D,Match($A265,'Player Raw Data'!$B:$B,0)),"")</f>
        <v/>
      </c>
      <c r="D265" t="str">
        <f t="array" ref="D265">IFERROR(IF(A265=A264, INDEX('Player Raw Data'!E:E,Match($A265,'Player Raw Data'!$B:$B,0)+2),INDEX('Player Raw Data'!E:E,Match($A265,'Player Raw Data'!$B:$B,0))),"")</f>
        <v/>
      </c>
      <c r="E265" s="27" t="str">
        <f>IFERROR(__xludf.DUMMYFUNCTION("IFERROR(ARRAY_CONSTRAIN(SPLIT(INDEX('Daily Raw Data'!G:G,Match($A265,'Daily Raw Data'!$B:$B,0)),"":""),1,1),"""")"),"")</f>
        <v/>
      </c>
      <c r="F265" t="str">
        <f t="array" ref="F265">IFERROR(INDEX('Daily Raw Data'!H:H,Match($A265,'Daily Raw Data'!$B:$B,0)),"")</f>
        <v/>
      </c>
      <c r="G265" t="str">
        <f t="array" ref="G265">IFERROR(INDEX('Daily Raw Data'!I:I,Match($A265,'Daily Raw Data'!$B:$B,0)),"")</f>
        <v/>
      </c>
      <c r="H265" t="str">
        <f t="array" ref="H265">IFERROR(INDEX('Daily Raw Data'!N:N,Match($A265,'Daily Raw Data'!$B:$B,0)),"")</f>
        <v/>
      </c>
      <c r="I265" t="str">
        <f t="array" ref="I265">IFERROR(INDEX('Daily Raw Data'!O:O,Match($A265,'Daily Raw Data'!$B:$B,0)),"")</f>
        <v/>
      </c>
      <c r="J265" t="str">
        <f t="array" ref="J265">IFERROR(INDEX('Daily Raw Data'!S:S,Match($A265,'Daily Raw Data'!$B:$B,0)),"")</f>
        <v/>
      </c>
      <c r="K265" t="str">
        <f t="array" ref="K265">IFERROR(INDEX('Daily Raw Data'!T:T,Match($A265,'Daily Raw Data'!$B:$B,0)),"")</f>
        <v/>
      </c>
      <c r="L265" t="str">
        <f t="array" ref="L265">IFERROR(INDEX('Daily Raw Data'!U:U,Match($A265,'Daily Raw Data'!$B:$B,0)),"")</f>
        <v/>
      </c>
      <c r="M265" t="str">
        <f t="array" ref="M265">IFERROR(INDEX('Daily Raw Data'!V:V,Match($A265,'Daily Raw Data'!$B:$B,0)),"")</f>
        <v/>
      </c>
      <c r="N265" t="str">
        <f t="array" ref="N265">IFERROR(INDEX('Daily Raw Data'!W:W,Match($A265,'Daily Raw Data'!$B:$B,0)),"")</f>
        <v/>
      </c>
      <c r="O265" t="str">
        <f t="array" ref="O265">IFERROR(INDEX('Daily Raw Data'!Y:Y,Match($A265,'Daily Raw Data'!$B:$B,0)),"")</f>
        <v/>
      </c>
      <c r="P265" t="str">
        <f t="shared" si="1"/>
        <v/>
      </c>
      <c r="Q265" s="14" t="str">
        <f t="shared" si="2"/>
        <v/>
      </c>
      <c r="R265" s="15" t="str">
        <f>IFERROR(__xludf.DUMMYFUNCTION("IF($A265="""","""", IFERROR(PERCENTRANK.INC(FILTER(P:P,$E:$E&lt;&gt;""""),P265)*100,""""))"),"")</f>
        <v/>
      </c>
      <c r="S265" s="15" t="str">
        <f>IFERROR(__xludf.DUMMYFUNCTION("IF($A265="""","""",IFERROR(PERCENTRANK.INC(FILTER(Q:Q,$E:$E&lt;&gt;""""),Q265)*100,""""))"),"")</f>
        <v/>
      </c>
    </row>
    <row r="266">
      <c r="B266" t="str">
        <f t="array" ref="B266">IFERROR(INDEX('Player Raw Data'!C:C,Match($A266,'Player Raw Data'!$B:$B,0)),"")</f>
        <v/>
      </c>
      <c r="C266" t="str">
        <f t="array" ref="C266">IFERROR(INDEX('Player Raw Data'!D:D,Match($A266,'Player Raw Data'!$B:$B,0)),"")</f>
        <v/>
      </c>
      <c r="D266" t="str">
        <f t="array" ref="D266">IFERROR(IF(A266=A265, INDEX('Player Raw Data'!E:E,Match($A266,'Player Raw Data'!$B:$B,0)+2),INDEX('Player Raw Data'!E:E,Match($A266,'Player Raw Data'!$B:$B,0))),"")</f>
        <v/>
      </c>
      <c r="E266" s="27" t="str">
        <f>IFERROR(__xludf.DUMMYFUNCTION("IFERROR(ARRAY_CONSTRAIN(SPLIT(INDEX('Daily Raw Data'!G:G,Match($A266,'Daily Raw Data'!$B:$B,0)),"":""),1,1),"""")"),"")</f>
        <v/>
      </c>
      <c r="F266" t="str">
        <f t="array" ref="F266">IFERROR(INDEX('Daily Raw Data'!H:H,Match($A266,'Daily Raw Data'!$B:$B,0)),"")</f>
        <v/>
      </c>
      <c r="G266" t="str">
        <f t="array" ref="G266">IFERROR(INDEX('Daily Raw Data'!I:I,Match($A266,'Daily Raw Data'!$B:$B,0)),"")</f>
        <v/>
      </c>
      <c r="H266" t="str">
        <f t="array" ref="H266">IFERROR(INDEX('Daily Raw Data'!N:N,Match($A266,'Daily Raw Data'!$B:$B,0)),"")</f>
        <v/>
      </c>
      <c r="I266" t="str">
        <f t="array" ref="I266">IFERROR(INDEX('Daily Raw Data'!O:O,Match($A266,'Daily Raw Data'!$B:$B,0)),"")</f>
        <v/>
      </c>
      <c r="J266" t="str">
        <f t="array" ref="J266">IFERROR(INDEX('Daily Raw Data'!S:S,Match($A266,'Daily Raw Data'!$B:$B,0)),"")</f>
        <v/>
      </c>
      <c r="K266" t="str">
        <f t="array" ref="K266">IFERROR(INDEX('Daily Raw Data'!T:T,Match($A266,'Daily Raw Data'!$B:$B,0)),"")</f>
        <v/>
      </c>
      <c r="L266" t="str">
        <f t="array" ref="L266">IFERROR(INDEX('Daily Raw Data'!U:U,Match($A266,'Daily Raw Data'!$B:$B,0)),"")</f>
        <v/>
      </c>
      <c r="M266" t="str">
        <f t="array" ref="M266">IFERROR(INDEX('Daily Raw Data'!V:V,Match($A266,'Daily Raw Data'!$B:$B,0)),"")</f>
        <v/>
      </c>
      <c r="N266" t="str">
        <f t="array" ref="N266">IFERROR(INDEX('Daily Raw Data'!W:W,Match($A266,'Daily Raw Data'!$B:$B,0)),"")</f>
        <v/>
      </c>
      <c r="O266" t="str">
        <f t="array" ref="O266">IFERROR(INDEX('Daily Raw Data'!Y:Y,Match($A266,'Daily Raw Data'!$B:$B,0)),"")</f>
        <v/>
      </c>
      <c r="P266" t="str">
        <f t="shared" si="1"/>
        <v/>
      </c>
      <c r="Q266" s="14" t="str">
        <f t="shared" si="2"/>
        <v/>
      </c>
      <c r="R266" s="15" t="str">
        <f>IFERROR(__xludf.DUMMYFUNCTION("IF($A266="""","""", IFERROR(PERCENTRANK.INC(FILTER(P:P,$E:$E&lt;&gt;""""),P266)*100,""""))"),"")</f>
        <v/>
      </c>
      <c r="S266" s="15" t="str">
        <f>IFERROR(__xludf.DUMMYFUNCTION("IF($A266="""","""",IFERROR(PERCENTRANK.INC(FILTER(Q:Q,$E:$E&lt;&gt;""""),Q266)*100,""""))"),"")</f>
        <v/>
      </c>
    </row>
    <row r="267">
      <c r="B267" t="str">
        <f t="array" ref="B267">IFERROR(INDEX('Player Raw Data'!C:C,Match($A267,'Player Raw Data'!$B:$B,0)),"")</f>
        <v/>
      </c>
      <c r="C267" t="str">
        <f t="array" ref="C267">IFERROR(INDEX('Player Raw Data'!D:D,Match($A267,'Player Raw Data'!$B:$B,0)),"")</f>
        <v/>
      </c>
      <c r="D267" t="str">
        <f t="array" ref="D267">IFERROR(IF(A267=A266, INDEX('Player Raw Data'!E:E,Match($A267,'Player Raw Data'!$B:$B,0)+2),INDEX('Player Raw Data'!E:E,Match($A267,'Player Raw Data'!$B:$B,0))),"")</f>
        <v/>
      </c>
      <c r="E267" s="27" t="str">
        <f>IFERROR(__xludf.DUMMYFUNCTION("IFERROR(ARRAY_CONSTRAIN(SPLIT(INDEX('Daily Raw Data'!G:G,Match($A267,'Daily Raw Data'!$B:$B,0)),"":""),1,1),"""")"),"")</f>
        <v/>
      </c>
      <c r="F267" t="str">
        <f t="array" ref="F267">IFERROR(INDEX('Daily Raw Data'!H:H,Match($A267,'Daily Raw Data'!$B:$B,0)),"")</f>
        <v/>
      </c>
      <c r="G267" t="str">
        <f t="array" ref="G267">IFERROR(INDEX('Daily Raw Data'!I:I,Match($A267,'Daily Raw Data'!$B:$B,0)),"")</f>
        <v/>
      </c>
      <c r="H267" t="str">
        <f t="array" ref="H267">IFERROR(INDEX('Daily Raw Data'!N:N,Match($A267,'Daily Raw Data'!$B:$B,0)),"")</f>
        <v/>
      </c>
      <c r="I267" t="str">
        <f t="array" ref="I267">IFERROR(INDEX('Daily Raw Data'!O:O,Match($A267,'Daily Raw Data'!$B:$B,0)),"")</f>
        <v/>
      </c>
      <c r="J267" t="str">
        <f t="array" ref="J267">IFERROR(INDEX('Daily Raw Data'!S:S,Match($A267,'Daily Raw Data'!$B:$B,0)),"")</f>
        <v/>
      </c>
      <c r="K267" t="str">
        <f t="array" ref="K267">IFERROR(INDEX('Daily Raw Data'!T:T,Match($A267,'Daily Raw Data'!$B:$B,0)),"")</f>
        <v/>
      </c>
      <c r="L267" t="str">
        <f t="array" ref="L267">IFERROR(INDEX('Daily Raw Data'!U:U,Match($A267,'Daily Raw Data'!$B:$B,0)),"")</f>
        <v/>
      </c>
      <c r="M267" t="str">
        <f t="array" ref="M267">IFERROR(INDEX('Daily Raw Data'!V:V,Match($A267,'Daily Raw Data'!$B:$B,0)),"")</f>
        <v/>
      </c>
      <c r="N267" t="str">
        <f t="array" ref="N267">IFERROR(INDEX('Daily Raw Data'!W:W,Match($A267,'Daily Raw Data'!$B:$B,0)),"")</f>
        <v/>
      </c>
      <c r="O267" t="str">
        <f t="array" ref="O267">IFERROR(INDEX('Daily Raw Data'!Y:Y,Match($A267,'Daily Raw Data'!$B:$B,0)),"")</f>
        <v/>
      </c>
      <c r="P267" t="str">
        <f t="shared" si="1"/>
        <v/>
      </c>
      <c r="Q267" s="14" t="str">
        <f t="shared" si="2"/>
        <v/>
      </c>
      <c r="R267" s="15" t="str">
        <f>IFERROR(__xludf.DUMMYFUNCTION("IF($A267="""","""", IFERROR(PERCENTRANK.INC(FILTER(P:P,$E:$E&lt;&gt;""""),P267)*100,""""))"),"")</f>
        <v/>
      </c>
      <c r="S267" s="15" t="str">
        <f>IFERROR(__xludf.DUMMYFUNCTION("IF($A267="""","""",IFERROR(PERCENTRANK.INC(FILTER(Q:Q,$E:$E&lt;&gt;""""),Q267)*100,""""))"),"")</f>
        <v/>
      </c>
    </row>
    <row r="268">
      <c r="B268" t="str">
        <f t="array" ref="B268">IFERROR(INDEX('Player Raw Data'!C:C,Match($A268,'Player Raw Data'!$B:$B,0)),"")</f>
        <v/>
      </c>
      <c r="C268" t="str">
        <f t="array" ref="C268">IFERROR(INDEX('Player Raw Data'!D:D,Match($A268,'Player Raw Data'!$B:$B,0)),"")</f>
        <v/>
      </c>
      <c r="D268" t="str">
        <f t="array" ref="D268">IFERROR(IF(A268=A267, INDEX('Player Raw Data'!E:E,Match($A268,'Player Raw Data'!$B:$B,0)+2),INDEX('Player Raw Data'!E:E,Match($A268,'Player Raw Data'!$B:$B,0))),"")</f>
        <v/>
      </c>
      <c r="E268" s="27" t="str">
        <f>IFERROR(__xludf.DUMMYFUNCTION("IFERROR(ARRAY_CONSTRAIN(SPLIT(INDEX('Daily Raw Data'!G:G,Match($A268,'Daily Raw Data'!$B:$B,0)),"":""),1,1),"""")"),"")</f>
        <v/>
      </c>
      <c r="F268" t="str">
        <f t="array" ref="F268">IFERROR(INDEX('Daily Raw Data'!H:H,Match($A268,'Daily Raw Data'!$B:$B,0)),"")</f>
        <v/>
      </c>
      <c r="G268" t="str">
        <f t="array" ref="G268">IFERROR(INDEX('Daily Raw Data'!I:I,Match($A268,'Daily Raw Data'!$B:$B,0)),"")</f>
        <v/>
      </c>
      <c r="H268" t="str">
        <f t="array" ref="H268">IFERROR(INDEX('Daily Raw Data'!N:N,Match($A268,'Daily Raw Data'!$B:$B,0)),"")</f>
        <v/>
      </c>
      <c r="I268" t="str">
        <f t="array" ref="I268">IFERROR(INDEX('Daily Raw Data'!O:O,Match($A268,'Daily Raw Data'!$B:$B,0)),"")</f>
        <v/>
      </c>
      <c r="J268" t="str">
        <f t="array" ref="J268">IFERROR(INDEX('Daily Raw Data'!S:S,Match($A268,'Daily Raw Data'!$B:$B,0)),"")</f>
        <v/>
      </c>
      <c r="K268" t="str">
        <f t="array" ref="K268">IFERROR(INDEX('Daily Raw Data'!T:T,Match($A268,'Daily Raw Data'!$B:$B,0)),"")</f>
        <v/>
      </c>
      <c r="L268" t="str">
        <f t="array" ref="L268">IFERROR(INDEX('Daily Raw Data'!U:U,Match($A268,'Daily Raw Data'!$B:$B,0)),"")</f>
        <v/>
      </c>
      <c r="M268" t="str">
        <f t="array" ref="M268">IFERROR(INDEX('Daily Raw Data'!V:V,Match($A268,'Daily Raw Data'!$B:$B,0)),"")</f>
        <v/>
      </c>
      <c r="N268" t="str">
        <f t="array" ref="N268">IFERROR(INDEX('Daily Raw Data'!W:W,Match($A268,'Daily Raw Data'!$B:$B,0)),"")</f>
        <v/>
      </c>
      <c r="O268" t="str">
        <f t="array" ref="O268">IFERROR(INDEX('Daily Raw Data'!Y:Y,Match($A268,'Daily Raw Data'!$B:$B,0)),"")</f>
        <v/>
      </c>
      <c r="P268" t="str">
        <f t="shared" si="1"/>
        <v/>
      </c>
      <c r="Q268" s="14" t="str">
        <f t="shared" si="2"/>
        <v/>
      </c>
      <c r="R268" s="15" t="str">
        <f>IFERROR(__xludf.DUMMYFUNCTION("IF($A268="""","""", IFERROR(PERCENTRANK.INC(FILTER(P:P,$E:$E&lt;&gt;""""),P268)*100,""""))"),"")</f>
        <v/>
      </c>
      <c r="S268" s="15" t="str">
        <f>IFERROR(__xludf.DUMMYFUNCTION("IF($A268="""","""",IFERROR(PERCENTRANK.INC(FILTER(Q:Q,$E:$E&lt;&gt;""""),Q268)*100,""""))"),"")</f>
        <v/>
      </c>
    </row>
    <row r="269">
      <c r="B269" t="str">
        <f t="array" ref="B269">IFERROR(INDEX('Player Raw Data'!C:C,Match($A269,'Player Raw Data'!$B:$B,0)),"")</f>
        <v/>
      </c>
      <c r="C269" t="str">
        <f t="array" ref="C269">IFERROR(INDEX('Player Raw Data'!D:D,Match($A269,'Player Raw Data'!$B:$B,0)),"")</f>
        <v/>
      </c>
      <c r="D269" t="str">
        <f t="array" ref="D269">IFERROR(IF(A269=A268, INDEX('Player Raw Data'!E:E,Match($A269,'Player Raw Data'!$B:$B,0)+2),INDEX('Player Raw Data'!E:E,Match($A269,'Player Raw Data'!$B:$B,0))),"")</f>
        <v/>
      </c>
      <c r="E269" s="27" t="str">
        <f>IFERROR(__xludf.DUMMYFUNCTION("IFERROR(ARRAY_CONSTRAIN(SPLIT(INDEX('Daily Raw Data'!G:G,Match($A269,'Daily Raw Data'!$B:$B,0)),"":""),1,1),"""")"),"")</f>
        <v/>
      </c>
      <c r="F269" t="str">
        <f t="array" ref="F269">IFERROR(INDEX('Daily Raw Data'!H:H,Match($A269,'Daily Raw Data'!$B:$B,0)),"")</f>
        <v/>
      </c>
      <c r="G269" t="str">
        <f t="array" ref="G269">IFERROR(INDEX('Daily Raw Data'!I:I,Match($A269,'Daily Raw Data'!$B:$B,0)),"")</f>
        <v/>
      </c>
      <c r="H269" t="str">
        <f t="array" ref="H269">IFERROR(INDEX('Daily Raw Data'!N:N,Match($A269,'Daily Raw Data'!$B:$B,0)),"")</f>
        <v/>
      </c>
      <c r="I269" t="str">
        <f t="array" ref="I269">IFERROR(INDEX('Daily Raw Data'!O:O,Match($A269,'Daily Raw Data'!$B:$B,0)),"")</f>
        <v/>
      </c>
      <c r="J269" t="str">
        <f t="array" ref="J269">IFERROR(INDEX('Daily Raw Data'!S:S,Match($A269,'Daily Raw Data'!$B:$B,0)),"")</f>
        <v/>
      </c>
      <c r="K269" t="str">
        <f t="array" ref="K269">IFERROR(INDEX('Daily Raw Data'!T:T,Match($A269,'Daily Raw Data'!$B:$B,0)),"")</f>
        <v/>
      </c>
      <c r="L269" t="str">
        <f t="array" ref="L269">IFERROR(INDEX('Daily Raw Data'!U:U,Match($A269,'Daily Raw Data'!$B:$B,0)),"")</f>
        <v/>
      </c>
      <c r="M269" t="str">
        <f t="array" ref="M269">IFERROR(INDEX('Daily Raw Data'!V:V,Match($A269,'Daily Raw Data'!$B:$B,0)),"")</f>
        <v/>
      </c>
      <c r="N269" t="str">
        <f t="array" ref="N269">IFERROR(INDEX('Daily Raw Data'!W:W,Match($A269,'Daily Raw Data'!$B:$B,0)),"")</f>
        <v/>
      </c>
      <c r="O269" t="str">
        <f t="array" ref="O269">IFERROR(INDEX('Daily Raw Data'!Y:Y,Match($A269,'Daily Raw Data'!$B:$B,0)),"")</f>
        <v/>
      </c>
      <c r="P269" t="str">
        <f t="shared" si="1"/>
        <v/>
      </c>
      <c r="Q269" s="14" t="str">
        <f t="shared" si="2"/>
        <v/>
      </c>
      <c r="R269" s="15" t="str">
        <f>IFERROR(__xludf.DUMMYFUNCTION("IF($A269="""","""", IFERROR(PERCENTRANK.INC(FILTER(P:P,$E:$E&lt;&gt;""""),P269)*100,""""))"),"")</f>
        <v/>
      </c>
      <c r="S269" s="15" t="str">
        <f>IFERROR(__xludf.DUMMYFUNCTION("IF($A269="""","""",IFERROR(PERCENTRANK.INC(FILTER(Q:Q,$E:$E&lt;&gt;""""),Q269)*100,""""))"),"")</f>
        <v/>
      </c>
    </row>
    <row r="270">
      <c r="B270" t="str">
        <f t="array" ref="B270">IFERROR(INDEX('Player Raw Data'!C:C,Match($A270,'Player Raw Data'!$B:$B,0)),"")</f>
        <v/>
      </c>
      <c r="C270" t="str">
        <f t="array" ref="C270">IFERROR(INDEX('Player Raw Data'!D:D,Match($A270,'Player Raw Data'!$B:$B,0)),"")</f>
        <v/>
      </c>
      <c r="D270" t="str">
        <f t="array" ref="D270">IFERROR(IF(A270=A269, INDEX('Player Raw Data'!E:E,Match($A270,'Player Raw Data'!$B:$B,0)+2),INDEX('Player Raw Data'!E:E,Match($A270,'Player Raw Data'!$B:$B,0))),"")</f>
        <v/>
      </c>
      <c r="E270" s="27" t="str">
        <f>IFERROR(__xludf.DUMMYFUNCTION("IFERROR(ARRAY_CONSTRAIN(SPLIT(INDEX('Daily Raw Data'!G:G,Match($A270,'Daily Raw Data'!$B:$B,0)),"":""),1,1),"""")"),"")</f>
        <v/>
      </c>
      <c r="F270" t="str">
        <f t="array" ref="F270">IFERROR(INDEX('Daily Raw Data'!H:H,Match($A270,'Daily Raw Data'!$B:$B,0)),"")</f>
        <v/>
      </c>
      <c r="G270" t="str">
        <f t="array" ref="G270">IFERROR(INDEX('Daily Raw Data'!I:I,Match($A270,'Daily Raw Data'!$B:$B,0)),"")</f>
        <v/>
      </c>
      <c r="H270" t="str">
        <f t="array" ref="H270">IFERROR(INDEX('Daily Raw Data'!N:N,Match($A270,'Daily Raw Data'!$B:$B,0)),"")</f>
        <v/>
      </c>
      <c r="I270" t="str">
        <f t="array" ref="I270">IFERROR(INDEX('Daily Raw Data'!O:O,Match($A270,'Daily Raw Data'!$B:$B,0)),"")</f>
        <v/>
      </c>
      <c r="J270" t="str">
        <f t="array" ref="J270">IFERROR(INDEX('Daily Raw Data'!S:S,Match($A270,'Daily Raw Data'!$B:$B,0)),"")</f>
        <v/>
      </c>
      <c r="K270" t="str">
        <f t="array" ref="K270">IFERROR(INDEX('Daily Raw Data'!T:T,Match($A270,'Daily Raw Data'!$B:$B,0)),"")</f>
        <v/>
      </c>
      <c r="L270" t="str">
        <f t="array" ref="L270">IFERROR(INDEX('Daily Raw Data'!U:U,Match($A270,'Daily Raw Data'!$B:$B,0)),"")</f>
        <v/>
      </c>
      <c r="M270" t="str">
        <f t="array" ref="M270">IFERROR(INDEX('Daily Raw Data'!V:V,Match($A270,'Daily Raw Data'!$B:$B,0)),"")</f>
        <v/>
      </c>
      <c r="N270" t="str">
        <f t="array" ref="N270">IFERROR(INDEX('Daily Raw Data'!W:W,Match($A270,'Daily Raw Data'!$B:$B,0)),"")</f>
        <v/>
      </c>
      <c r="O270" t="str">
        <f t="array" ref="O270">IFERROR(INDEX('Daily Raw Data'!Y:Y,Match($A270,'Daily Raw Data'!$B:$B,0)),"")</f>
        <v/>
      </c>
      <c r="P270" t="str">
        <f t="shared" si="1"/>
        <v/>
      </c>
      <c r="Q270" s="14" t="str">
        <f t="shared" si="2"/>
        <v/>
      </c>
      <c r="R270" s="15" t="str">
        <f>IFERROR(__xludf.DUMMYFUNCTION("IF($A270="""","""", IFERROR(PERCENTRANK.INC(FILTER(P:P,$E:$E&lt;&gt;""""),P270)*100,""""))"),"")</f>
        <v/>
      </c>
      <c r="S270" s="15" t="str">
        <f>IFERROR(__xludf.DUMMYFUNCTION("IF($A270="""","""",IFERROR(PERCENTRANK.INC(FILTER(Q:Q,$E:$E&lt;&gt;""""),Q270)*100,""""))"),"")</f>
        <v/>
      </c>
    </row>
    <row r="271">
      <c r="B271" t="str">
        <f t="array" ref="B271">IFERROR(INDEX('Player Raw Data'!C:C,Match($A271,'Player Raw Data'!$B:$B,0)),"")</f>
        <v/>
      </c>
      <c r="C271" t="str">
        <f t="array" ref="C271">IFERROR(INDEX('Player Raw Data'!D:D,Match($A271,'Player Raw Data'!$B:$B,0)),"")</f>
        <v/>
      </c>
      <c r="D271" t="str">
        <f t="array" ref="D271">IFERROR(IF(A271=A270, INDEX('Player Raw Data'!E:E,Match($A271,'Player Raw Data'!$B:$B,0)+2),INDEX('Player Raw Data'!E:E,Match($A271,'Player Raw Data'!$B:$B,0))),"")</f>
        <v/>
      </c>
      <c r="E271" s="27" t="str">
        <f>IFERROR(__xludf.DUMMYFUNCTION("IFERROR(ARRAY_CONSTRAIN(SPLIT(INDEX('Daily Raw Data'!G:G,Match($A271,'Daily Raw Data'!$B:$B,0)),"":""),1,1),"""")"),"")</f>
        <v/>
      </c>
      <c r="F271" t="str">
        <f t="array" ref="F271">IFERROR(INDEX('Daily Raw Data'!H:H,Match($A271,'Daily Raw Data'!$B:$B,0)),"")</f>
        <v/>
      </c>
      <c r="G271" t="str">
        <f t="array" ref="G271">IFERROR(INDEX('Daily Raw Data'!I:I,Match($A271,'Daily Raw Data'!$B:$B,0)),"")</f>
        <v/>
      </c>
      <c r="H271" t="str">
        <f t="array" ref="H271">IFERROR(INDEX('Daily Raw Data'!N:N,Match($A271,'Daily Raw Data'!$B:$B,0)),"")</f>
        <v/>
      </c>
      <c r="I271" t="str">
        <f t="array" ref="I271">IFERROR(INDEX('Daily Raw Data'!O:O,Match($A271,'Daily Raw Data'!$B:$B,0)),"")</f>
        <v/>
      </c>
      <c r="J271" t="str">
        <f t="array" ref="J271">IFERROR(INDEX('Daily Raw Data'!S:S,Match($A271,'Daily Raw Data'!$B:$B,0)),"")</f>
        <v/>
      </c>
      <c r="K271" t="str">
        <f t="array" ref="K271">IFERROR(INDEX('Daily Raw Data'!T:T,Match($A271,'Daily Raw Data'!$B:$B,0)),"")</f>
        <v/>
      </c>
      <c r="L271" t="str">
        <f t="array" ref="L271">IFERROR(INDEX('Daily Raw Data'!U:U,Match($A271,'Daily Raw Data'!$B:$B,0)),"")</f>
        <v/>
      </c>
      <c r="M271" t="str">
        <f t="array" ref="M271">IFERROR(INDEX('Daily Raw Data'!V:V,Match($A271,'Daily Raw Data'!$B:$B,0)),"")</f>
        <v/>
      </c>
      <c r="N271" t="str">
        <f t="array" ref="N271">IFERROR(INDEX('Daily Raw Data'!W:W,Match($A271,'Daily Raw Data'!$B:$B,0)),"")</f>
        <v/>
      </c>
      <c r="O271" t="str">
        <f t="array" ref="O271">IFERROR(INDEX('Daily Raw Data'!Y:Y,Match($A271,'Daily Raw Data'!$B:$B,0)),"")</f>
        <v/>
      </c>
      <c r="P271" t="str">
        <f t="shared" si="1"/>
        <v/>
      </c>
      <c r="Q271" s="14" t="str">
        <f t="shared" si="2"/>
        <v/>
      </c>
      <c r="R271" s="15" t="str">
        <f>IFERROR(__xludf.DUMMYFUNCTION("IF($A271="""","""", IFERROR(PERCENTRANK.INC(FILTER(P:P,$E:$E&lt;&gt;""""),P271)*100,""""))"),"")</f>
        <v/>
      </c>
      <c r="S271" s="15" t="str">
        <f>IFERROR(__xludf.DUMMYFUNCTION("IF($A271="""","""",IFERROR(PERCENTRANK.INC(FILTER(Q:Q,$E:$E&lt;&gt;""""),Q271)*100,""""))"),"")</f>
        <v/>
      </c>
    </row>
    <row r="272">
      <c r="B272" t="str">
        <f t="array" ref="B272">IFERROR(INDEX('Player Raw Data'!C:C,Match($A272,'Player Raw Data'!$B:$B,0)),"")</f>
        <v/>
      </c>
      <c r="C272" t="str">
        <f t="array" ref="C272">IFERROR(INDEX('Player Raw Data'!D:D,Match($A272,'Player Raw Data'!$B:$B,0)),"")</f>
        <v/>
      </c>
      <c r="D272" t="str">
        <f t="array" ref="D272">IFERROR(IF(A272=A271, INDEX('Player Raw Data'!E:E,Match($A272,'Player Raw Data'!$B:$B,0)+2),INDEX('Player Raw Data'!E:E,Match($A272,'Player Raw Data'!$B:$B,0))),"")</f>
        <v/>
      </c>
      <c r="E272" s="27" t="str">
        <f>IFERROR(__xludf.DUMMYFUNCTION("IFERROR(ARRAY_CONSTRAIN(SPLIT(INDEX('Daily Raw Data'!G:G,Match($A272,'Daily Raw Data'!$B:$B,0)),"":""),1,1),"""")"),"")</f>
        <v/>
      </c>
      <c r="F272" t="str">
        <f t="array" ref="F272">IFERROR(INDEX('Daily Raw Data'!H:H,Match($A272,'Daily Raw Data'!$B:$B,0)),"")</f>
        <v/>
      </c>
      <c r="G272" t="str">
        <f t="array" ref="G272">IFERROR(INDEX('Daily Raw Data'!I:I,Match($A272,'Daily Raw Data'!$B:$B,0)),"")</f>
        <v/>
      </c>
      <c r="H272" t="str">
        <f t="array" ref="H272">IFERROR(INDEX('Daily Raw Data'!N:N,Match($A272,'Daily Raw Data'!$B:$B,0)),"")</f>
        <v/>
      </c>
      <c r="I272" t="str">
        <f t="array" ref="I272">IFERROR(INDEX('Daily Raw Data'!O:O,Match($A272,'Daily Raw Data'!$B:$B,0)),"")</f>
        <v/>
      </c>
      <c r="J272" t="str">
        <f t="array" ref="J272">IFERROR(INDEX('Daily Raw Data'!S:S,Match($A272,'Daily Raw Data'!$B:$B,0)),"")</f>
        <v/>
      </c>
      <c r="K272" t="str">
        <f t="array" ref="K272">IFERROR(INDEX('Daily Raw Data'!T:T,Match($A272,'Daily Raw Data'!$B:$B,0)),"")</f>
        <v/>
      </c>
      <c r="L272" t="str">
        <f t="array" ref="L272">IFERROR(INDEX('Daily Raw Data'!U:U,Match($A272,'Daily Raw Data'!$B:$B,0)),"")</f>
        <v/>
      </c>
      <c r="M272" t="str">
        <f t="array" ref="M272">IFERROR(INDEX('Daily Raw Data'!V:V,Match($A272,'Daily Raw Data'!$B:$B,0)),"")</f>
        <v/>
      </c>
      <c r="N272" t="str">
        <f t="array" ref="N272">IFERROR(INDEX('Daily Raw Data'!W:W,Match($A272,'Daily Raw Data'!$B:$B,0)),"")</f>
        <v/>
      </c>
      <c r="O272" t="str">
        <f t="array" ref="O272">IFERROR(INDEX('Daily Raw Data'!Y:Y,Match($A272,'Daily Raw Data'!$B:$B,0)),"")</f>
        <v/>
      </c>
      <c r="P272" t="str">
        <f t="shared" si="1"/>
        <v/>
      </c>
      <c r="Q272" s="14" t="str">
        <f t="shared" si="2"/>
        <v/>
      </c>
      <c r="R272" s="15" t="str">
        <f>IFERROR(__xludf.DUMMYFUNCTION("IF($A272="""","""", IFERROR(PERCENTRANK.INC(FILTER(P:P,$E:$E&lt;&gt;""""),P272)*100,""""))"),"")</f>
        <v/>
      </c>
      <c r="S272" s="15" t="str">
        <f>IFERROR(__xludf.DUMMYFUNCTION("IF($A272="""","""",IFERROR(PERCENTRANK.INC(FILTER(Q:Q,$E:$E&lt;&gt;""""),Q272)*100,""""))"),"")</f>
        <v/>
      </c>
    </row>
    <row r="273">
      <c r="B273" t="str">
        <f t="array" ref="B273">IFERROR(INDEX('Player Raw Data'!C:C,Match($A273,'Player Raw Data'!$B:$B,0)),"")</f>
        <v/>
      </c>
      <c r="C273" t="str">
        <f t="array" ref="C273">IFERROR(INDEX('Player Raw Data'!D:D,Match($A273,'Player Raw Data'!$B:$B,0)),"")</f>
        <v/>
      </c>
      <c r="D273" t="str">
        <f t="array" ref="D273">IFERROR(IF(A273=A272, INDEX('Player Raw Data'!E:E,Match($A273,'Player Raw Data'!$B:$B,0)+2),INDEX('Player Raw Data'!E:E,Match($A273,'Player Raw Data'!$B:$B,0))),"")</f>
        <v/>
      </c>
      <c r="E273" s="27" t="str">
        <f>IFERROR(__xludf.DUMMYFUNCTION("IFERROR(ARRAY_CONSTRAIN(SPLIT(INDEX('Daily Raw Data'!G:G,Match($A273,'Daily Raw Data'!$B:$B,0)),"":""),1,1),"""")"),"")</f>
        <v/>
      </c>
      <c r="F273" t="str">
        <f t="array" ref="F273">IFERROR(INDEX('Daily Raw Data'!H:H,Match($A273,'Daily Raw Data'!$B:$B,0)),"")</f>
        <v/>
      </c>
      <c r="G273" t="str">
        <f t="array" ref="G273">IFERROR(INDEX('Daily Raw Data'!I:I,Match($A273,'Daily Raw Data'!$B:$B,0)),"")</f>
        <v/>
      </c>
      <c r="H273" t="str">
        <f t="array" ref="H273">IFERROR(INDEX('Daily Raw Data'!N:N,Match($A273,'Daily Raw Data'!$B:$B,0)),"")</f>
        <v/>
      </c>
      <c r="I273" t="str">
        <f t="array" ref="I273">IFERROR(INDEX('Daily Raw Data'!O:O,Match($A273,'Daily Raw Data'!$B:$B,0)),"")</f>
        <v/>
      </c>
      <c r="J273" t="str">
        <f t="array" ref="J273">IFERROR(INDEX('Daily Raw Data'!S:S,Match($A273,'Daily Raw Data'!$B:$B,0)),"")</f>
        <v/>
      </c>
      <c r="K273" t="str">
        <f t="array" ref="K273">IFERROR(INDEX('Daily Raw Data'!T:T,Match($A273,'Daily Raw Data'!$B:$B,0)),"")</f>
        <v/>
      </c>
      <c r="L273" t="str">
        <f t="array" ref="L273">IFERROR(INDEX('Daily Raw Data'!U:U,Match($A273,'Daily Raw Data'!$B:$B,0)),"")</f>
        <v/>
      </c>
      <c r="M273" t="str">
        <f t="array" ref="M273">IFERROR(INDEX('Daily Raw Data'!V:V,Match($A273,'Daily Raw Data'!$B:$B,0)),"")</f>
        <v/>
      </c>
      <c r="N273" t="str">
        <f t="array" ref="N273">IFERROR(INDEX('Daily Raw Data'!W:W,Match($A273,'Daily Raw Data'!$B:$B,0)),"")</f>
        <v/>
      </c>
      <c r="O273" t="str">
        <f t="array" ref="O273">IFERROR(INDEX('Daily Raw Data'!Y:Y,Match($A273,'Daily Raw Data'!$B:$B,0)),"")</f>
        <v/>
      </c>
      <c r="P273" t="str">
        <f t="shared" si="1"/>
        <v/>
      </c>
      <c r="Q273" s="14" t="str">
        <f t="shared" si="2"/>
        <v/>
      </c>
      <c r="R273" s="15" t="str">
        <f>IFERROR(__xludf.DUMMYFUNCTION("IF($A273="""","""", IFERROR(PERCENTRANK.INC(FILTER(P:P,$E:$E&lt;&gt;""""),P273)*100,""""))"),"")</f>
        <v/>
      </c>
      <c r="S273" s="15" t="str">
        <f>IFERROR(__xludf.DUMMYFUNCTION("IF($A273="""","""",IFERROR(PERCENTRANK.INC(FILTER(Q:Q,$E:$E&lt;&gt;""""),Q273)*100,""""))"),"")</f>
        <v/>
      </c>
    </row>
    <row r="274">
      <c r="B274" t="str">
        <f t="array" ref="B274">IFERROR(INDEX('Player Raw Data'!C:C,Match($A274,'Player Raw Data'!$B:$B,0)),"")</f>
        <v/>
      </c>
      <c r="C274" t="str">
        <f t="array" ref="C274">IFERROR(INDEX('Player Raw Data'!D:D,Match($A274,'Player Raw Data'!$B:$B,0)),"")</f>
        <v/>
      </c>
      <c r="D274" t="str">
        <f t="array" ref="D274">IFERROR(IF(A274=A273, INDEX('Player Raw Data'!E:E,Match($A274,'Player Raw Data'!$B:$B,0)+2),INDEX('Player Raw Data'!E:E,Match($A274,'Player Raw Data'!$B:$B,0))),"")</f>
        <v/>
      </c>
      <c r="E274" s="27" t="str">
        <f>IFERROR(__xludf.DUMMYFUNCTION("IFERROR(ARRAY_CONSTRAIN(SPLIT(INDEX('Daily Raw Data'!G:G,Match($A274,'Daily Raw Data'!$B:$B,0)),"":""),1,1),"""")"),"")</f>
        <v/>
      </c>
      <c r="F274" t="str">
        <f t="array" ref="F274">IFERROR(INDEX('Daily Raw Data'!H:H,Match($A274,'Daily Raw Data'!$B:$B,0)),"")</f>
        <v/>
      </c>
      <c r="G274" t="str">
        <f t="array" ref="G274">IFERROR(INDEX('Daily Raw Data'!I:I,Match($A274,'Daily Raw Data'!$B:$B,0)),"")</f>
        <v/>
      </c>
      <c r="H274" t="str">
        <f t="array" ref="H274">IFERROR(INDEX('Daily Raw Data'!N:N,Match($A274,'Daily Raw Data'!$B:$B,0)),"")</f>
        <v/>
      </c>
      <c r="I274" t="str">
        <f t="array" ref="I274">IFERROR(INDEX('Daily Raw Data'!O:O,Match($A274,'Daily Raw Data'!$B:$B,0)),"")</f>
        <v/>
      </c>
      <c r="J274" t="str">
        <f t="array" ref="J274">IFERROR(INDEX('Daily Raw Data'!S:S,Match($A274,'Daily Raw Data'!$B:$B,0)),"")</f>
        <v/>
      </c>
      <c r="K274" t="str">
        <f t="array" ref="K274">IFERROR(INDEX('Daily Raw Data'!T:T,Match($A274,'Daily Raw Data'!$B:$B,0)),"")</f>
        <v/>
      </c>
      <c r="L274" t="str">
        <f t="array" ref="L274">IFERROR(INDEX('Daily Raw Data'!U:U,Match($A274,'Daily Raw Data'!$B:$B,0)),"")</f>
        <v/>
      </c>
      <c r="M274" t="str">
        <f t="array" ref="M274">IFERROR(INDEX('Daily Raw Data'!V:V,Match($A274,'Daily Raw Data'!$B:$B,0)),"")</f>
        <v/>
      </c>
      <c r="N274" t="str">
        <f t="array" ref="N274">IFERROR(INDEX('Daily Raw Data'!W:W,Match($A274,'Daily Raw Data'!$B:$B,0)),"")</f>
        <v/>
      </c>
      <c r="O274" t="str">
        <f t="array" ref="O274">IFERROR(INDEX('Daily Raw Data'!Y:Y,Match($A274,'Daily Raw Data'!$B:$B,0)),"")</f>
        <v/>
      </c>
      <c r="P274" t="str">
        <f t="shared" si="1"/>
        <v/>
      </c>
      <c r="Q274" s="14" t="str">
        <f t="shared" si="2"/>
        <v/>
      </c>
      <c r="R274" s="15" t="str">
        <f>IFERROR(__xludf.DUMMYFUNCTION("IF($A274="""","""", IFERROR(PERCENTRANK.INC(FILTER(P:P,$E:$E&lt;&gt;""""),P274)*100,""""))"),"")</f>
        <v/>
      </c>
      <c r="S274" s="15" t="str">
        <f>IFERROR(__xludf.DUMMYFUNCTION("IF($A274="""","""",IFERROR(PERCENTRANK.INC(FILTER(Q:Q,$E:$E&lt;&gt;""""),Q274)*100,""""))"),"")</f>
        <v/>
      </c>
    </row>
    <row r="275">
      <c r="B275" t="str">
        <f t="array" ref="B275">IFERROR(INDEX('Player Raw Data'!C:C,Match($A275,'Player Raw Data'!$B:$B,0)),"")</f>
        <v/>
      </c>
      <c r="C275" t="str">
        <f t="array" ref="C275">IFERROR(INDEX('Player Raw Data'!D:D,Match($A275,'Player Raw Data'!$B:$B,0)),"")</f>
        <v/>
      </c>
      <c r="D275" t="str">
        <f t="array" ref="D275">IFERROR(IF(A275=A274, INDEX('Player Raw Data'!E:E,Match($A275,'Player Raw Data'!$B:$B,0)+2),INDEX('Player Raw Data'!E:E,Match($A275,'Player Raw Data'!$B:$B,0))),"")</f>
        <v/>
      </c>
      <c r="E275" s="27" t="str">
        <f>IFERROR(__xludf.DUMMYFUNCTION("IFERROR(ARRAY_CONSTRAIN(SPLIT(INDEX('Daily Raw Data'!G:G,Match($A275,'Daily Raw Data'!$B:$B,0)),"":""),1,1),"""")"),"")</f>
        <v/>
      </c>
      <c r="F275" t="str">
        <f t="array" ref="F275">IFERROR(INDEX('Daily Raw Data'!H:H,Match($A275,'Daily Raw Data'!$B:$B,0)),"")</f>
        <v/>
      </c>
      <c r="G275" t="str">
        <f t="array" ref="G275">IFERROR(INDEX('Daily Raw Data'!I:I,Match($A275,'Daily Raw Data'!$B:$B,0)),"")</f>
        <v/>
      </c>
      <c r="H275" t="str">
        <f t="array" ref="H275">IFERROR(INDEX('Daily Raw Data'!N:N,Match($A275,'Daily Raw Data'!$B:$B,0)),"")</f>
        <v/>
      </c>
      <c r="I275" t="str">
        <f t="array" ref="I275">IFERROR(INDEX('Daily Raw Data'!O:O,Match($A275,'Daily Raw Data'!$B:$B,0)),"")</f>
        <v/>
      </c>
      <c r="J275" t="str">
        <f t="array" ref="J275">IFERROR(INDEX('Daily Raw Data'!S:S,Match($A275,'Daily Raw Data'!$B:$B,0)),"")</f>
        <v/>
      </c>
      <c r="K275" t="str">
        <f t="array" ref="K275">IFERROR(INDEX('Daily Raw Data'!T:T,Match($A275,'Daily Raw Data'!$B:$B,0)),"")</f>
        <v/>
      </c>
      <c r="L275" t="str">
        <f t="array" ref="L275">IFERROR(INDEX('Daily Raw Data'!U:U,Match($A275,'Daily Raw Data'!$B:$B,0)),"")</f>
        <v/>
      </c>
      <c r="M275" t="str">
        <f t="array" ref="M275">IFERROR(INDEX('Daily Raw Data'!V:V,Match($A275,'Daily Raw Data'!$B:$B,0)),"")</f>
        <v/>
      </c>
      <c r="N275" t="str">
        <f t="array" ref="N275">IFERROR(INDEX('Daily Raw Data'!W:W,Match($A275,'Daily Raw Data'!$B:$B,0)),"")</f>
        <v/>
      </c>
      <c r="O275" t="str">
        <f t="array" ref="O275">IFERROR(INDEX('Daily Raw Data'!Y:Y,Match($A275,'Daily Raw Data'!$B:$B,0)),"")</f>
        <v/>
      </c>
      <c r="P275" t="str">
        <f t="shared" si="1"/>
        <v/>
      </c>
      <c r="Q275" s="14" t="str">
        <f t="shared" si="2"/>
        <v/>
      </c>
      <c r="R275" s="15" t="str">
        <f>IFERROR(__xludf.DUMMYFUNCTION("IF($A275="""","""", IFERROR(PERCENTRANK.INC(FILTER(P:P,$E:$E&lt;&gt;""""),P275)*100,""""))"),"")</f>
        <v/>
      </c>
      <c r="S275" s="15" t="str">
        <f>IFERROR(__xludf.DUMMYFUNCTION("IF($A275="""","""",IFERROR(PERCENTRANK.INC(FILTER(Q:Q,$E:$E&lt;&gt;""""),Q275)*100,""""))"),"")</f>
        <v/>
      </c>
    </row>
    <row r="276">
      <c r="B276" t="str">
        <f t="array" ref="B276">IFERROR(INDEX('Player Raw Data'!C:C,Match($A276,'Player Raw Data'!$B:$B,0)),"")</f>
        <v/>
      </c>
      <c r="C276" t="str">
        <f t="array" ref="C276">IFERROR(INDEX('Player Raw Data'!D:D,Match($A276,'Player Raw Data'!$B:$B,0)),"")</f>
        <v/>
      </c>
      <c r="D276" t="str">
        <f t="array" ref="D276">IFERROR(IF(A276=A275, INDEX('Player Raw Data'!E:E,Match($A276,'Player Raw Data'!$B:$B,0)+2),INDEX('Player Raw Data'!E:E,Match($A276,'Player Raw Data'!$B:$B,0))),"")</f>
        <v/>
      </c>
      <c r="E276" s="27" t="str">
        <f>IFERROR(__xludf.DUMMYFUNCTION("IFERROR(ARRAY_CONSTRAIN(SPLIT(INDEX('Daily Raw Data'!G:G,Match($A276,'Daily Raw Data'!$B:$B,0)),"":""),1,1),"""")"),"")</f>
        <v/>
      </c>
      <c r="F276" t="str">
        <f t="array" ref="F276">IFERROR(INDEX('Daily Raw Data'!H:H,Match($A276,'Daily Raw Data'!$B:$B,0)),"")</f>
        <v/>
      </c>
      <c r="G276" t="str">
        <f t="array" ref="G276">IFERROR(INDEX('Daily Raw Data'!I:I,Match($A276,'Daily Raw Data'!$B:$B,0)),"")</f>
        <v/>
      </c>
      <c r="H276" t="str">
        <f t="array" ref="H276">IFERROR(INDEX('Daily Raw Data'!N:N,Match($A276,'Daily Raw Data'!$B:$B,0)),"")</f>
        <v/>
      </c>
      <c r="I276" t="str">
        <f t="array" ref="I276">IFERROR(INDEX('Daily Raw Data'!O:O,Match($A276,'Daily Raw Data'!$B:$B,0)),"")</f>
        <v/>
      </c>
      <c r="J276" t="str">
        <f t="array" ref="J276">IFERROR(INDEX('Daily Raw Data'!S:S,Match($A276,'Daily Raw Data'!$B:$B,0)),"")</f>
        <v/>
      </c>
      <c r="K276" t="str">
        <f t="array" ref="K276">IFERROR(INDEX('Daily Raw Data'!T:T,Match($A276,'Daily Raw Data'!$B:$B,0)),"")</f>
        <v/>
      </c>
      <c r="L276" t="str">
        <f t="array" ref="L276">IFERROR(INDEX('Daily Raw Data'!U:U,Match($A276,'Daily Raw Data'!$B:$B,0)),"")</f>
        <v/>
      </c>
      <c r="M276" t="str">
        <f t="array" ref="M276">IFERROR(INDEX('Daily Raw Data'!V:V,Match($A276,'Daily Raw Data'!$B:$B,0)),"")</f>
        <v/>
      </c>
      <c r="N276" t="str">
        <f t="array" ref="N276">IFERROR(INDEX('Daily Raw Data'!W:W,Match($A276,'Daily Raw Data'!$B:$B,0)),"")</f>
        <v/>
      </c>
      <c r="O276" t="str">
        <f t="array" ref="O276">IFERROR(INDEX('Daily Raw Data'!Y:Y,Match($A276,'Daily Raw Data'!$B:$B,0)),"")</f>
        <v/>
      </c>
      <c r="P276" t="str">
        <f t="shared" si="1"/>
        <v/>
      </c>
      <c r="Q276" s="14" t="str">
        <f t="shared" si="2"/>
        <v/>
      </c>
      <c r="R276" s="15" t="str">
        <f>IFERROR(__xludf.DUMMYFUNCTION("IF($A276="""","""", IFERROR(PERCENTRANK.INC(FILTER(P:P,$E:$E&lt;&gt;""""),P276)*100,""""))"),"")</f>
        <v/>
      </c>
      <c r="S276" s="15" t="str">
        <f>IFERROR(__xludf.DUMMYFUNCTION("IF($A276="""","""",IFERROR(PERCENTRANK.INC(FILTER(Q:Q,$E:$E&lt;&gt;""""),Q276)*100,""""))"),"")</f>
        <v/>
      </c>
    </row>
    <row r="277">
      <c r="B277" t="str">
        <f t="array" ref="B277">IFERROR(INDEX('Player Raw Data'!C:C,Match($A277,'Player Raw Data'!$B:$B,0)),"")</f>
        <v/>
      </c>
      <c r="C277" t="str">
        <f t="array" ref="C277">IFERROR(INDEX('Player Raw Data'!D:D,Match($A277,'Player Raw Data'!$B:$B,0)),"")</f>
        <v/>
      </c>
      <c r="D277" t="str">
        <f t="array" ref="D277">IFERROR(IF(A277=A276, INDEX('Player Raw Data'!E:E,Match($A277,'Player Raw Data'!$B:$B,0)+2),INDEX('Player Raw Data'!E:E,Match($A277,'Player Raw Data'!$B:$B,0))),"")</f>
        <v/>
      </c>
      <c r="E277" s="27" t="str">
        <f>IFERROR(__xludf.DUMMYFUNCTION("IFERROR(ARRAY_CONSTRAIN(SPLIT(INDEX('Daily Raw Data'!G:G,Match($A277,'Daily Raw Data'!$B:$B,0)),"":""),1,1),"""")"),"")</f>
        <v/>
      </c>
      <c r="F277" t="str">
        <f t="array" ref="F277">IFERROR(INDEX('Daily Raw Data'!H:H,Match($A277,'Daily Raw Data'!$B:$B,0)),"")</f>
        <v/>
      </c>
      <c r="G277" t="str">
        <f t="array" ref="G277">IFERROR(INDEX('Daily Raw Data'!I:I,Match($A277,'Daily Raw Data'!$B:$B,0)),"")</f>
        <v/>
      </c>
      <c r="H277" t="str">
        <f t="array" ref="H277">IFERROR(INDEX('Daily Raw Data'!N:N,Match($A277,'Daily Raw Data'!$B:$B,0)),"")</f>
        <v/>
      </c>
      <c r="I277" t="str">
        <f t="array" ref="I277">IFERROR(INDEX('Daily Raw Data'!O:O,Match($A277,'Daily Raw Data'!$B:$B,0)),"")</f>
        <v/>
      </c>
      <c r="J277" t="str">
        <f t="array" ref="J277">IFERROR(INDEX('Daily Raw Data'!S:S,Match($A277,'Daily Raw Data'!$B:$B,0)),"")</f>
        <v/>
      </c>
      <c r="K277" t="str">
        <f t="array" ref="K277">IFERROR(INDEX('Daily Raw Data'!T:T,Match($A277,'Daily Raw Data'!$B:$B,0)),"")</f>
        <v/>
      </c>
      <c r="L277" t="str">
        <f t="array" ref="L277">IFERROR(INDEX('Daily Raw Data'!U:U,Match($A277,'Daily Raw Data'!$B:$B,0)),"")</f>
        <v/>
      </c>
      <c r="M277" t="str">
        <f t="array" ref="M277">IFERROR(INDEX('Daily Raw Data'!V:V,Match($A277,'Daily Raw Data'!$B:$B,0)),"")</f>
        <v/>
      </c>
      <c r="N277" t="str">
        <f t="array" ref="N277">IFERROR(INDEX('Daily Raw Data'!W:W,Match($A277,'Daily Raw Data'!$B:$B,0)),"")</f>
        <v/>
      </c>
      <c r="O277" t="str">
        <f t="array" ref="O277">IFERROR(INDEX('Daily Raw Data'!Y:Y,Match($A277,'Daily Raw Data'!$B:$B,0)),"")</f>
        <v/>
      </c>
      <c r="P277" t="str">
        <f t="shared" si="1"/>
        <v/>
      </c>
      <c r="Q277" s="14" t="str">
        <f t="shared" si="2"/>
        <v/>
      </c>
      <c r="R277" s="15" t="str">
        <f>IFERROR(__xludf.DUMMYFUNCTION("IF($A277="""","""", IFERROR(PERCENTRANK.INC(FILTER(P:P,$E:$E&lt;&gt;""""),P277)*100,""""))"),"")</f>
        <v/>
      </c>
      <c r="S277" s="15" t="str">
        <f>IFERROR(__xludf.DUMMYFUNCTION("IF($A277="""","""",IFERROR(PERCENTRANK.INC(FILTER(Q:Q,$E:$E&lt;&gt;""""),Q277)*100,""""))"),"")</f>
        <v/>
      </c>
    </row>
    <row r="278">
      <c r="B278" t="str">
        <f t="array" ref="B278">IFERROR(INDEX('Player Raw Data'!C:C,Match($A278,'Player Raw Data'!$B:$B,0)),"")</f>
        <v/>
      </c>
      <c r="C278" t="str">
        <f t="array" ref="C278">IFERROR(INDEX('Player Raw Data'!D:D,Match($A278,'Player Raw Data'!$B:$B,0)),"")</f>
        <v/>
      </c>
      <c r="D278" t="str">
        <f t="array" ref="D278">IFERROR(IF(A278=A277, INDEX('Player Raw Data'!E:E,Match($A278,'Player Raw Data'!$B:$B,0)+2),INDEX('Player Raw Data'!E:E,Match($A278,'Player Raw Data'!$B:$B,0))),"")</f>
        <v/>
      </c>
      <c r="E278" s="27" t="str">
        <f>IFERROR(__xludf.DUMMYFUNCTION("IFERROR(ARRAY_CONSTRAIN(SPLIT(INDEX('Daily Raw Data'!G:G,Match($A278,'Daily Raw Data'!$B:$B,0)),"":""),1,1),"""")"),"")</f>
        <v/>
      </c>
      <c r="F278" t="str">
        <f t="array" ref="F278">IFERROR(INDEX('Daily Raw Data'!H:H,Match($A278,'Daily Raw Data'!$B:$B,0)),"")</f>
        <v/>
      </c>
      <c r="G278" t="str">
        <f t="array" ref="G278">IFERROR(INDEX('Daily Raw Data'!I:I,Match($A278,'Daily Raw Data'!$B:$B,0)),"")</f>
        <v/>
      </c>
      <c r="H278" t="str">
        <f t="array" ref="H278">IFERROR(INDEX('Daily Raw Data'!N:N,Match($A278,'Daily Raw Data'!$B:$B,0)),"")</f>
        <v/>
      </c>
      <c r="I278" t="str">
        <f t="array" ref="I278">IFERROR(INDEX('Daily Raw Data'!O:O,Match($A278,'Daily Raw Data'!$B:$B,0)),"")</f>
        <v/>
      </c>
      <c r="J278" t="str">
        <f t="array" ref="J278">IFERROR(INDEX('Daily Raw Data'!S:S,Match($A278,'Daily Raw Data'!$B:$B,0)),"")</f>
        <v/>
      </c>
      <c r="K278" t="str">
        <f t="array" ref="K278">IFERROR(INDEX('Daily Raw Data'!T:T,Match($A278,'Daily Raw Data'!$B:$B,0)),"")</f>
        <v/>
      </c>
      <c r="L278" t="str">
        <f t="array" ref="L278">IFERROR(INDEX('Daily Raw Data'!U:U,Match($A278,'Daily Raw Data'!$B:$B,0)),"")</f>
        <v/>
      </c>
      <c r="M278" t="str">
        <f t="array" ref="M278">IFERROR(INDEX('Daily Raw Data'!V:V,Match($A278,'Daily Raw Data'!$B:$B,0)),"")</f>
        <v/>
      </c>
      <c r="N278" t="str">
        <f t="array" ref="N278">IFERROR(INDEX('Daily Raw Data'!W:W,Match($A278,'Daily Raw Data'!$B:$B,0)),"")</f>
        <v/>
      </c>
      <c r="O278" t="str">
        <f t="array" ref="O278">IFERROR(INDEX('Daily Raw Data'!Y:Y,Match($A278,'Daily Raw Data'!$B:$B,0)),"")</f>
        <v/>
      </c>
      <c r="P278" t="str">
        <f t="shared" si="1"/>
        <v/>
      </c>
      <c r="Q278" s="14" t="str">
        <f t="shared" si="2"/>
        <v/>
      </c>
      <c r="R278" s="15" t="str">
        <f>IFERROR(__xludf.DUMMYFUNCTION("IF($A278="""","""", IFERROR(PERCENTRANK.INC(FILTER(P:P,$E:$E&lt;&gt;""""),P278)*100,""""))"),"")</f>
        <v/>
      </c>
      <c r="S278" s="15" t="str">
        <f>IFERROR(__xludf.DUMMYFUNCTION("IF($A278="""","""",IFERROR(PERCENTRANK.INC(FILTER(Q:Q,$E:$E&lt;&gt;""""),Q278)*100,""""))"),"")</f>
        <v/>
      </c>
    </row>
    <row r="279">
      <c r="B279" t="str">
        <f t="array" ref="B279">IFERROR(INDEX('Player Raw Data'!C:C,Match($A279,'Player Raw Data'!$B:$B,0)),"")</f>
        <v/>
      </c>
      <c r="C279" t="str">
        <f t="array" ref="C279">IFERROR(INDEX('Player Raw Data'!D:D,Match($A279,'Player Raw Data'!$B:$B,0)),"")</f>
        <v/>
      </c>
      <c r="D279" t="str">
        <f t="array" ref="D279">IFERROR(IF(A279=A278, INDEX('Player Raw Data'!E:E,Match($A279,'Player Raw Data'!$B:$B,0)+2),INDEX('Player Raw Data'!E:E,Match($A279,'Player Raw Data'!$B:$B,0))),"")</f>
        <v/>
      </c>
      <c r="E279" s="27" t="str">
        <f>IFERROR(__xludf.DUMMYFUNCTION("IFERROR(ARRAY_CONSTRAIN(SPLIT(INDEX('Daily Raw Data'!G:G,Match($A279,'Daily Raw Data'!$B:$B,0)),"":""),1,1),"""")"),"")</f>
        <v/>
      </c>
      <c r="F279" t="str">
        <f t="array" ref="F279">IFERROR(INDEX('Daily Raw Data'!H:H,Match($A279,'Daily Raw Data'!$B:$B,0)),"")</f>
        <v/>
      </c>
      <c r="G279" t="str">
        <f t="array" ref="G279">IFERROR(INDEX('Daily Raw Data'!I:I,Match($A279,'Daily Raw Data'!$B:$B,0)),"")</f>
        <v/>
      </c>
      <c r="H279" t="str">
        <f t="array" ref="H279">IFERROR(INDEX('Daily Raw Data'!N:N,Match($A279,'Daily Raw Data'!$B:$B,0)),"")</f>
        <v/>
      </c>
      <c r="I279" t="str">
        <f t="array" ref="I279">IFERROR(INDEX('Daily Raw Data'!O:O,Match($A279,'Daily Raw Data'!$B:$B,0)),"")</f>
        <v/>
      </c>
      <c r="J279" t="str">
        <f t="array" ref="J279">IFERROR(INDEX('Daily Raw Data'!S:S,Match($A279,'Daily Raw Data'!$B:$B,0)),"")</f>
        <v/>
      </c>
      <c r="K279" t="str">
        <f t="array" ref="K279">IFERROR(INDEX('Daily Raw Data'!T:T,Match($A279,'Daily Raw Data'!$B:$B,0)),"")</f>
        <v/>
      </c>
      <c r="L279" t="str">
        <f t="array" ref="L279">IFERROR(INDEX('Daily Raw Data'!U:U,Match($A279,'Daily Raw Data'!$B:$B,0)),"")</f>
        <v/>
      </c>
      <c r="M279" t="str">
        <f t="array" ref="M279">IFERROR(INDEX('Daily Raw Data'!V:V,Match($A279,'Daily Raw Data'!$B:$B,0)),"")</f>
        <v/>
      </c>
      <c r="N279" t="str">
        <f t="array" ref="N279">IFERROR(INDEX('Daily Raw Data'!W:W,Match($A279,'Daily Raw Data'!$B:$B,0)),"")</f>
        <v/>
      </c>
      <c r="O279" t="str">
        <f t="array" ref="O279">IFERROR(INDEX('Daily Raw Data'!Y:Y,Match($A279,'Daily Raw Data'!$B:$B,0)),"")</f>
        <v/>
      </c>
      <c r="P279" t="str">
        <f t="shared" si="1"/>
        <v/>
      </c>
      <c r="Q279" s="14" t="str">
        <f t="shared" si="2"/>
        <v/>
      </c>
      <c r="R279" s="15" t="str">
        <f>IFERROR(__xludf.DUMMYFUNCTION("IF($A279="""","""", IFERROR(PERCENTRANK.INC(FILTER(P:P,$E:$E&lt;&gt;""""),P279)*100,""""))"),"")</f>
        <v/>
      </c>
      <c r="S279" s="15" t="str">
        <f>IFERROR(__xludf.DUMMYFUNCTION("IF($A279="""","""",IFERROR(PERCENTRANK.INC(FILTER(Q:Q,$E:$E&lt;&gt;""""),Q279)*100,""""))"),"")</f>
        <v/>
      </c>
    </row>
    <row r="280">
      <c r="B280" t="str">
        <f t="array" ref="B280">IFERROR(INDEX('Player Raw Data'!C:C,Match($A280,'Player Raw Data'!$B:$B,0)),"")</f>
        <v/>
      </c>
      <c r="C280" t="str">
        <f t="array" ref="C280">IFERROR(INDEX('Player Raw Data'!D:D,Match($A280,'Player Raw Data'!$B:$B,0)),"")</f>
        <v/>
      </c>
      <c r="D280" t="str">
        <f t="array" ref="D280">IFERROR(IF(A280=A279, INDEX('Player Raw Data'!E:E,Match($A280,'Player Raw Data'!$B:$B,0)+2),INDEX('Player Raw Data'!E:E,Match($A280,'Player Raw Data'!$B:$B,0))),"")</f>
        <v/>
      </c>
      <c r="E280" s="27" t="str">
        <f>IFERROR(__xludf.DUMMYFUNCTION("IFERROR(ARRAY_CONSTRAIN(SPLIT(INDEX('Daily Raw Data'!G:G,Match($A280,'Daily Raw Data'!$B:$B,0)),"":""),1,1),"""")"),"")</f>
        <v/>
      </c>
      <c r="F280" t="str">
        <f t="array" ref="F280">IFERROR(INDEX('Daily Raw Data'!H:H,Match($A280,'Daily Raw Data'!$B:$B,0)),"")</f>
        <v/>
      </c>
      <c r="G280" t="str">
        <f t="array" ref="G280">IFERROR(INDEX('Daily Raw Data'!I:I,Match($A280,'Daily Raw Data'!$B:$B,0)),"")</f>
        <v/>
      </c>
      <c r="H280" t="str">
        <f t="array" ref="H280">IFERROR(INDEX('Daily Raw Data'!N:N,Match($A280,'Daily Raw Data'!$B:$B,0)),"")</f>
        <v/>
      </c>
      <c r="I280" t="str">
        <f t="array" ref="I280">IFERROR(INDEX('Daily Raw Data'!O:O,Match($A280,'Daily Raw Data'!$B:$B,0)),"")</f>
        <v/>
      </c>
      <c r="J280" t="str">
        <f t="array" ref="J280">IFERROR(INDEX('Daily Raw Data'!S:S,Match($A280,'Daily Raw Data'!$B:$B,0)),"")</f>
        <v/>
      </c>
      <c r="K280" t="str">
        <f t="array" ref="K280">IFERROR(INDEX('Daily Raw Data'!T:T,Match($A280,'Daily Raw Data'!$B:$B,0)),"")</f>
        <v/>
      </c>
      <c r="L280" t="str">
        <f t="array" ref="L280">IFERROR(INDEX('Daily Raw Data'!U:U,Match($A280,'Daily Raw Data'!$B:$B,0)),"")</f>
        <v/>
      </c>
      <c r="M280" t="str">
        <f t="array" ref="M280">IFERROR(INDEX('Daily Raw Data'!V:V,Match($A280,'Daily Raw Data'!$B:$B,0)),"")</f>
        <v/>
      </c>
      <c r="N280" t="str">
        <f t="array" ref="N280">IFERROR(INDEX('Daily Raw Data'!W:W,Match($A280,'Daily Raw Data'!$B:$B,0)),"")</f>
        <v/>
      </c>
      <c r="O280" t="str">
        <f t="array" ref="O280">IFERROR(INDEX('Daily Raw Data'!Y:Y,Match($A280,'Daily Raw Data'!$B:$B,0)),"")</f>
        <v/>
      </c>
      <c r="P280" t="str">
        <f t="shared" si="1"/>
        <v/>
      </c>
      <c r="Q280" s="14" t="str">
        <f t="shared" si="2"/>
        <v/>
      </c>
      <c r="R280" s="15" t="str">
        <f>IFERROR(__xludf.DUMMYFUNCTION("IF($A280="""","""", IFERROR(PERCENTRANK.INC(FILTER(P:P,$E:$E&lt;&gt;""""),P280)*100,""""))"),"")</f>
        <v/>
      </c>
      <c r="S280" s="15" t="str">
        <f>IFERROR(__xludf.DUMMYFUNCTION("IF($A280="""","""",IFERROR(PERCENTRANK.INC(FILTER(Q:Q,$E:$E&lt;&gt;""""),Q280)*100,""""))"),"")</f>
        <v/>
      </c>
    </row>
    <row r="281">
      <c r="B281" t="str">
        <f t="array" ref="B281">IFERROR(INDEX('Player Raw Data'!C:C,Match($A281,'Player Raw Data'!$B:$B,0)),"")</f>
        <v/>
      </c>
      <c r="C281" t="str">
        <f t="array" ref="C281">IFERROR(INDEX('Player Raw Data'!D:D,Match($A281,'Player Raw Data'!$B:$B,0)),"")</f>
        <v/>
      </c>
      <c r="D281" t="str">
        <f t="array" ref="D281">IFERROR(IF(A281=A280, INDEX('Player Raw Data'!E:E,Match($A281,'Player Raw Data'!$B:$B,0)+2),INDEX('Player Raw Data'!E:E,Match($A281,'Player Raw Data'!$B:$B,0))),"")</f>
        <v/>
      </c>
      <c r="E281" s="27" t="str">
        <f>IFERROR(__xludf.DUMMYFUNCTION("IFERROR(ARRAY_CONSTRAIN(SPLIT(INDEX('Daily Raw Data'!G:G,Match($A281,'Daily Raw Data'!$B:$B,0)),"":""),1,1),"""")"),"")</f>
        <v/>
      </c>
      <c r="F281" t="str">
        <f t="array" ref="F281">IFERROR(INDEX('Daily Raw Data'!H:H,Match($A281,'Daily Raw Data'!$B:$B,0)),"")</f>
        <v/>
      </c>
      <c r="G281" t="str">
        <f t="array" ref="G281">IFERROR(INDEX('Daily Raw Data'!I:I,Match($A281,'Daily Raw Data'!$B:$B,0)),"")</f>
        <v/>
      </c>
      <c r="H281" t="str">
        <f t="array" ref="H281">IFERROR(INDEX('Daily Raw Data'!N:N,Match($A281,'Daily Raw Data'!$B:$B,0)),"")</f>
        <v/>
      </c>
      <c r="I281" t="str">
        <f t="array" ref="I281">IFERROR(INDEX('Daily Raw Data'!O:O,Match($A281,'Daily Raw Data'!$B:$B,0)),"")</f>
        <v/>
      </c>
      <c r="J281" t="str">
        <f t="array" ref="J281">IFERROR(INDEX('Daily Raw Data'!S:S,Match($A281,'Daily Raw Data'!$B:$B,0)),"")</f>
        <v/>
      </c>
      <c r="K281" t="str">
        <f t="array" ref="K281">IFERROR(INDEX('Daily Raw Data'!T:T,Match($A281,'Daily Raw Data'!$B:$B,0)),"")</f>
        <v/>
      </c>
      <c r="L281" t="str">
        <f t="array" ref="L281">IFERROR(INDEX('Daily Raw Data'!U:U,Match($A281,'Daily Raw Data'!$B:$B,0)),"")</f>
        <v/>
      </c>
      <c r="M281" t="str">
        <f t="array" ref="M281">IFERROR(INDEX('Daily Raw Data'!V:V,Match($A281,'Daily Raw Data'!$B:$B,0)),"")</f>
        <v/>
      </c>
      <c r="N281" t="str">
        <f t="array" ref="N281">IFERROR(INDEX('Daily Raw Data'!W:W,Match($A281,'Daily Raw Data'!$B:$B,0)),"")</f>
        <v/>
      </c>
      <c r="O281" t="str">
        <f t="array" ref="O281">IFERROR(INDEX('Daily Raw Data'!Y:Y,Match($A281,'Daily Raw Data'!$B:$B,0)),"")</f>
        <v/>
      </c>
      <c r="P281" t="str">
        <f t="shared" si="1"/>
        <v/>
      </c>
      <c r="Q281" s="14" t="str">
        <f t="shared" si="2"/>
        <v/>
      </c>
      <c r="R281" s="15" t="str">
        <f>IFERROR(__xludf.DUMMYFUNCTION("IF($A281="""","""", IFERROR(PERCENTRANK.INC(FILTER(P:P,$E:$E&lt;&gt;""""),P281)*100,""""))"),"")</f>
        <v/>
      </c>
      <c r="S281" s="15" t="str">
        <f>IFERROR(__xludf.DUMMYFUNCTION("IF($A281="""","""",IFERROR(PERCENTRANK.INC(FILTER(Q:Q,$E:$E&lt;&gt;""""),Q281)*100,""""))"),"")</f>
        <v/>
      </c>
    </row>
    <row r="282">
      <c r="B282" t="str">
        <f t="array" ref="B282">IFERROR(INDEX('Player Raw Data'!C:C,Match($A282,'Player Raw Data'!$B:$B,0)),"")</f>
        <v/>
      </c>
      <c r="C282" t="str">
        <f t="array" ref="C282">IFERROR(INDEX('Player Raw Data'!D:D,Match($A282,'Player Raw Data'!$B:$B,0)),"")</f>
        <v/>
      </c>
      <c r="D282" t="str">
        <f t="array" ref="D282">IFERROR(IF(A282=A281, INDEX('Player Raw Data'!E:E,Match($A282,'Player Raw Data'!$B:$B,0)+2),INDEX('Player Raw Data'!E:E,Match($A282,'Player Raw Data'!$B:$B,0))),"")</f>
        <v/>
      </c>
      <c r="E282" s="27" t="str">
        <f>IFERROR(__xludf.DUMMYFUNCTION("IFERROR(ARRAY_CONSTRAIN(SPLIT(INDEX('Daily Raw Data'!G:G,Match($A282,'Daily Raw Data'!$B:$B,0)),"":""),1,1),"""")"),"")</f>
        <v/>
      </c>
      <c r="F282" t="str">
        <f t="array" ref="F282">IFERROR(INDEX('Daily Raw Data'!H:H,Match($A282,'Daily Raw Data'!$B:$B,0)),"")</f>
        <v/>
      </c>
      <c r="G282" t="str">
        <f t="array" ref="G282">IFERROR(INDEX('Daily Raw Data'!I:I,Match($A282,'Daily Raw Data'!$B:$B,0)),"")</f>
        <v/>
      </c>
      <c r="H282" t="str">
        <f t="array" ref="H282">IFERROR(INDEX('Daily Raw Data'!N:N,Match($A282,'Daily Raw Data'!$B:$B,0)),"")</f>
        <v/>
      </c>
      <c r="I282" t="str">
        <f t="array" ref="I282">IFERROR(INDEX('Daily Raw Data'!O:O,Match($A282,'Daily Raw Data'!$B:$B,0)),"")</f>
        <v/>
      </c>
      <c r="J282" t="str">
        <f t="array" ref="J282">IFERROR(INDEX('Daily Raw Data'!S:S,Match($A282,'Daily Raw Data'!$B:$B,0)),"")</f>
        <v/>
      </c>
      <c r="K282" t="str">
        <f t="array" ref="K282">IFERROR(INDEX('Daily Raw Data'!T:T,Match($A282,'Daily Raw Data'!$B:$B,0)),"")</f>
        <v/>
      </c>
      <c r="L282" t="str">
        <f t="array" ref="L282">IFERROR(INDEX('Daily Raw Data'!U:U,Match($A282,'Daily Raw Data'!$B:$B,0)),"")</f>
        <v/>
      </c>
      <c r="M282" t="str">
        <f t="array" ref="M282">IFERROR(INDEX('Daily Raw Data'!V:V,Match($A282,'Daily Raw Data'!$B:$B,0)),"")</f>
        <v/>
      </c>
      <c r="N282" t="str">
        <f t="array" ref="N282">IFERROR(INDEX('Daily Raw Data'!W:W,Match($A282,'Daily Raw Data'!$B:$B,0)),"")</f>
        <v/>
      </c>
      <c r="O282" t="str">
        <f t="array" ref="O282">IFERROR(INDEX('Daily Raw Data'!Y:Y,Match($A282,'Daily Raw Data'!$B:$B,0)),"")</f>
        <v/>
      </c>
      <c r="P282" t="str">
        <f t="shared" si="1"/>
        <v/>
      </c>
      <c r="Q282" s="14" t="str">
        <f t="shared" si="2"/>
        <v/>
      </c>
      <c r="R282" s="15" t="str">
        <f>IFERROR(__xludf.DUMMYFUNCTION("IF($A282="""","""", IFERROR(PERCENTRANK.INC(FILTER(P:P,$E:$E&lt;&gt;""""),P282)*100,""""))"),"")</f>
        <v/>
      </c>
      <c r="S282" s="15" t="str">
        <f>IFERROR(__xludf.DUMMYFUNCTION("IF($A282="""","""",IFERROR(PERCENTRANK.INC(FILTER(Q:Q,$E:$E&lt;&gt;""""),Q282)*100,""""))"),"")</f>
        <v/>
      </c>
    </row>
    <row r="283">
      <c r="B283" t="str">
        <f t="array" ref="B283">IFERROR(INDEX('Player Raw Data'!C:C,Match($A283,'Player Raw Data'!$B:$B,0)),"")</f>
        <v/>
      </c>
      <c r="C283" t="str">
        <f t="array" ref="C283">IFERROR(INDEX('Player Raw Data'!D:D,Match($A283,'Player Raw Data'!$B:$B,0)),"")</f>
        <v/>
      </c>
      <c r="D283" t="str">
        <f t="array" ref="D283">IFERROR(IF(A283=A282, INDEX('Player Raw Data'!E:E,Match($A283,'Player Raw Data'!$B:$B,0)+2),INDEX('Player Raw Data'!E:E,Match($A283,'Player Raw Data'!$B:$B,0))),"")</f>
        <v/>
      </c>
      <c r="E283" s="27" t="str">
        <f>IFERROR(__xludf.DUMMYFUNCTION("IFERROR(ARRAY_CONSTRAIN(SPLIT(INDEX('Daily Raw Data'!G:G,Match($A283,'Daily Raw Data'!$B:$B,0)),"":""),1,1),"""")"),"")</f>
        <v/>
      </c>
      <c r="F283" t="str">
        <f t="array" ref="F283">IFERROR(INDEX('Daily Raw Data'!H:H,Match($A283,'Daily Raw Data'!$B:$B,0)),"")</f>
        <v/>
      </c>
      <c r="G283" t="str">
        <f t="array" ref="G283">IFERROR(INDEX('Daily Raw Data'!I:I,Match($A283,'Daily Raw Data'!$B:$B,0)),"")</f>
        <v/>
      </c>
      <c r="H283" t="str">
        <f t="array" ref="H283">IFERROR(INDEX('Daily Raw Data'!N:N,Match($A283,'Daily Raw Data'!$B:$B,0)),"")</f>
        <v/>
      </c>
      <c r="I283" t="str">
        <f t="array" ref="I283">IFERROR(INDEX('Daily Raw Data'!O:O,Match($A283,'Daily Raw Data'!$B:$B,0)),"")</f>
        <v/>
      </c>
      <c r="J283" t="str">
        <f t="array" ref="J283">IFERROR(INDEX('Daily Raw Data'!S:S,Match($A283,'Daily Raw Data'!$B:$B,0)),"")</f>
        <v/>
      </c>
      <c r="K283" t="str">
        <f t="array" ref="K283">IFERROR(INDEX('Daily Raw Data'!T:T,Match($A283,'Daily Raw Data'!$B:$B,0)),"")</f>
        <v/>
      </c>
      <c r="L283" t="str">
        <f t="array" ref="L283">IFERROR(INDEX('Daily Raw Data'!U:U,Match($A283,'Daily Raw Data'!$B:$B,0)),"")</f>
        <v/>
      </c>
      <c r="M283" t="str">
        <f t="array" ref="M283">IFERROR(INDEX('Daily Raw Data'!V:V,Match($A283,'Daily Raw Data'!$B:$B,0)),"")</f>
        <v/>
      </c>
      <c r="N283" t="str">
        <f t="array" ref="N283">IFERROR(INDEX('Daily Raw Data'!W:W,Match($A283,'Daily Raw Data'!$B:$B,0)),"")</f>
        <v/>
      </c>
      <c r="O283" t="str">
        <f t="array" ref="O283">IFERROR(INDEX('Daily Raw Data'!Y:Y,Match($A283,'Daily Raw Data'!$B:$B,0)),"")</f>
        <v/>
      </c>
      <c r="P283" t="str">
        <f t="shared" si="1"/>
        <v/>
      </c>
      <c r="Q283" s="14" t="str">
        <f t="shared" si="2"/>
        <v/>
      </c>
      <c r="R283" s="15" t="str">
        <f>IFERROR(__xludf.DUMMYFUNCTION("IF($A283="""","""", IFERROR(PERCENTRANK.INC(FILTER(P:P,$E:$E&lt;&gt;""""),P283)*100,""""))"),"")</f>
        <v/>
      </c>
      <c r="S283" s="15" t="str">
        <f>IFERROR(__xludf.DUMMYFUNCTION("IF($A283="""","""",IFERROR(PERCENTRANK.INC(FILTER(Q:Q,$E:$E&lt;&gt;""""),Q283)*100,""""))"),"")</f>
        <v/>
      </c>
    </row>
    <row r="284">
      <c r="B284" t="str">
        <f t="array" ref="B284">IFERROR(INDEX('Player Raw Data'!C:C,Match($A284,'Player Raw Data'!$B:$B,0)),"")</f>
        <v/>
      </c>
      <c r="C284" t="str">
        <f t="array" ref="C284">IFERROR(INDEX('Player Raw Data'!D:D,Match($A284,'Player Raw Data'!$B:$B,0)),"")</f>
        <v/>
      </c>
      <c r="D284" t="str">
        <f t="array" ref="D284">IFERROR(IF(A284=A283, INDEX('Player Raw Data'!E:E,Match($A284,'Player Raw Data'!$B:$B,0)+2),INDEX('Player Raw Data'!E:E,Match($A284,'Player Raw Data'!$B:$B,0))),"")</f>
        <v/>
      </c>
      <c r="E284" s="27" t="str">
        <f>IFERROR(__xludf.DUMMYFUNCTION("IFERROR(ARRAY_CONSTRAIN(SPLIT(INDEX('Daily Raw Data'!G:G,Match($A284,'Daily Raw Data'!$B:$B,0)),"":""),1,1),"""")"),"")</f>
        <v/>
      </c>
      <c r="F284" t="str">
        <f t="array" ref="F284">IFERROR(INDEX('Daily Raw Data'!H:H,Match($A284,'Daily Raw Data'!$B:$B,0)),"")</f>
        <v/>
      </c>
      <c r="G284" t="str">
        <f t="array" ref="G284">IFERROR(INDEX('Daily Raw Data'!I:I,Match($A284,'Daily Raw Data'!$B:$B,0)),"")</f>
        <v/>
      </c>
      <c r="H284" t="str">
        <f t="array" ref="H284">IFERROR(INDEX('Daily Raw Data'!N:N,Match($A284,'Daily Raw Data'!$B:$B,0)),"")</f>
        <v/>
      </c>
      <c r="I284" t="str">
        <f t="array" ref="I284">IFERROR(INDEX('Daily Raw Data'!O:O,Match($A284,'Daily Raw Data'!$B:$B,0)),"")</f>
        <v/>
      </c>
      <c r="J284" t="str">
        <f t="array" ref="J284">IFERROR(INDEX('Daily Raw Data'!S:S,Match($A284,'Daily Raw Data'!$B:$B,0)),"")</f>
        <v/>
      </c>
      <c r="K284" t="str">
        <f t="array" ref="K284">IFERROR(INDEX('Daily Raw Data'!T:T,Match($A284,'Daily Raw Data'!$B:$B,0)),"")</f>
        <v/>
      </c>
      <c r="L284" t="str">
        <f t="array" ref="L284">IFERROR(INDEX('Daily Raw Data'!U:U,Match($A284,'Daily Raw Data'!$B:$B,0)),"")</f>
        <v/>
      </c>
      <c r="M284" t="str">
        <f t="array" ref="M284">IFERROR(INDEX('Daily Raw Data'!V:V,Match($A284,'Daily Raw Data'!$B:$B,0)),"")</f>
        <v/>
      </c>
      <c r="N284" t="str">
        <f t="array" ref="N284">IFERROR(INDEX('Daily Raw Data'!W:W,Match($A284,'Daily Raw Data'!$B:$B,0)),"")</f>
        <v/>
      </c>
      <c r="O284" t="str">
        <f t="array" ref="O284">IFERROR(INDEX('Daily Raw Data'!Y:Y,Match($A284,'Daily Raw Data'!$B:$B,0)),"")</f>
        <v/>
      </c>
      <c r="P284" t="str">
        <f t="shared" si="1"/>
        <v/>
      </c>
      <c r="Q284" s="14" t="str">
        <f t="shared" si="2"/>
        <v/>
      </c>
      <c r="R284" s="15" t="str">
        <f>IFERROR(__xludf.DUMMYFUNCTION("IF($A284="""","""", IFERROR(PERCENTRANK.INC(FILTER(P:P,$E:$E&lt;&gt;""""),P284)*100,""""))"),"")</f>
        <v/>
      </c>
      <c r="S284" s="15" t="str">
        <f>IFERROR(__xludf.DUMMYFUNCTION("IF($A284="""","""",IFERROR(PERCENTRANK.INC(FILTER(Q:Q,$E:$E&lt;&gt;""""),Q284)*100,""""))"),"")</f>
        <v/>
      </c>
    </row>
    <row r="285">
      <c r="B285" t="str">
        <f t="array" ref="B285">IFERROR(INDEX('Player Raw Data'!C:C,Match($A285,'Player Raw Data'!$B:$B,0)),"")</f>
        <v/>
      </c>
      <c r="C285" t="str">
        <f t="array" ref="C285">IFERROR(INDEX('Player Raw Data'!D:D,Match($A285,'Player Raw Data'!$B:$B,0)),"")</f>
        <v/>
      </c>
      <c r="D285" t="str">
        <f t="array" ref="D285">IFERROR(IF(A285=A284, INDEX('Player Raw Data'!E:E,Match($A285,'Player Raw Data'!$B:$B,0)+2),INDEX('Player Raw Data'!E:E,Match($A285,'Player Raw Data'!$B:$B,0))),"")</f>
        <v/>
      </c>
      <c r="E285" s="27" t="str">
        <f>IFERROR(__xludf.DUMMYFUNCTION("IFERROR(ARRAY_CONSTRAIN(SPLIT(INDEX('Daily Raw Data'!G:G,Match($A285,'Daily Raw Data'!$B:$B,0)),"":""),1,1),"""")"),"")</f>
        <v/>
      </c>
      <c r="F285" t="str">
        <f t="array" ref="F285">IFERROR(INDEX('Daily Raw Data'!H:H,Match($A285,'Daily Raw Data'!$B:$B,0)),"")</f>
        <v/>
      </c>
      <c r="G285" t="str">
        <f t="array" ref="G285">IFERROR(INDEX('Daily Raw Data'!I:I,Match($A285,'Daily Raw Data'!$B:$B,0)),"")</f>
        <v/>
      </c>
      <c r="H285" t="str">
        <f t="array" ref="H285">IFERROR(INDEX('Daily Raw Data'!N:N,Match($A285,'Daily Raw Data'!$B:$B,0)),"")</f>
        <v/>
      </c>
      <c r="I285" t="str">
        <f t="array" ref="I285">IFERROR(INDEX('Daily Raw Data'!O:O,Match($A285,'Daily Raw Data'!$B:$B,0)),"")</f>
        <v/>
      </c>
      <c r="J285" t="str">
        <f t="array" ref="J285">IFERROR(INDEX('Daily Raw Data'!S:S,Match($A285,'Daily Raw Data'!$B:$B,0)),"")</f>
        <v/>
      </c>
      <c r="K285" t="str">
        <f t="array" ref="K285">IFERROR(INDEX('Daily Raw Data'!T:T,Match($A285,'Daily Raw Data'!$B:$B,0)),"")</f>
        <v/>
      </c>
      <c r="L285" t="str">
        <f t="array" ref="L285">IFERROR(INDEX('Daily Raw Data'!U:U,Match($A285,'Daily Raw Data'!$B:$B,0)),"")</f>
        <v/>
      </c>
      <c r="M285" t="str">
        <f t="array" ref="M285">IFERROR(INDEX('Daily Raw Data'!V:V,Match($A285,'Daily Raw Data'!$B:$B,0)),"")</f>
        <v/>
      </c>
      <c r="N285" t="str">
        <f t="array" ref="N285">IFERROR(INDEX('Daily Raw Data'!W:W,Match($A285,'Daily Raw Data'!$B:$B,0)),"")</f>
        <v/>
      </c>
      <c r="O285" t="str">
        <f t="array" ref="O285">IFERROR(INDEX('Daily Raw Data'!Y:Y,Match($A285,'Daily Raw Data'!$B:$B,0)),"")</f>
        <v/>
      </c>
      <c r="P285" t="str">
        <f t="shared" si="1"/>
        <v/>
      </c>
      <c r="Q285" s="14" t="str">
        <f t="shared" si="2"/>
        <v/>
      </c>
      <c r="R285" s="15" t="str">
        <f>IFERROR(__xludf.DUMMYFUNCTION("IF($A285="""","""", IFERROR(PERCENTRANK.INC(FILTER(P:P,$E:$E&lt;&gt;""""),P285)*100,""""))"),"")</f>
        <v/>
      </c>
      <c r="S285" s="15" t="str">
        <f>IFERROR(__xludf.DUMMYFUNCTION("IF($A285="""","""",IFERROR(PERCENTRANK.INC(FILTER(Q:Q,$E:$E&lt;&gt;""""),Q285)*100,""""))"),"")</f>
        <v/>
      </c>
    </row>
    <row r="286">
      <c r="B286" t="str">
        <f t="array" ref="B286">IFERROR(INDEX('Player Raw Data'!C:C,Match($A286,'Player Raw Data'!$B:$B,0)),"")</f>
        <v/>
      </c>
      <c r="C286" t="str">
        <f t="array" ref="C286">IFERROR(INDEX('Player Raw Data'!D:D,Match($A286,'Player Raw Data'!$B:$B,0)),"")</f>
        <v/>
      </c>
      <c r="D286" t="str">
        <f t="array" ref="D286">IFERROR(IF(A286=A285, INDEX('Player Raw Data'!E:E,Match($A286,'Player Raw Data'!$B:$B,0)+2),INDEX('Player Raw Data'!E:E,Match($A286,'Player Raw Data'!$B:$B,0))),"")</f>
        <v/>
      </c>
      <c r="E286" s="27" t="str">
        <f>IFERROR(__xludf.DUMMYFUNCTION("IFERROR(ARRAY_CONSTRAIN(SPLIT(INDEX('Daily Raw Data'!G:G,Match($A286,'Daily Raw Data'!$B:$B,0)),"":""),1,1),"""")"),"")</f>
        <v/>
      </c>
      <c r="F286" t="str">
        <f t="array" ref="F286">IFERROR(INDEX('Daily Raw Data'!H:H,Match($A286,'Daily Raw Data'!$B:$B,0)),"")</f>
        <v/>
      </c>
      <c r="G286" t="str">
        <f t="array" ref="G286">IFERROR(INDEX('Daily Raw Data'!I:I,Match($A286,'Daily Raw Data'!$B:$B,0)),"")</f>
        <v/>
      </c>
      <c r="H286" t="str">
        <f t="array" ref="H286">IFERROR(INDEX('Daily Raw Data'!N:N,Match($A286,'Daily Raw Data'!$B:$B,0)),"")</f>
        <v/>
      </c>
      <c r="I286" t="str">
        <f t="array" ref="I286">IFERROR(INDEX('Daily Raw Data'!O:O,Match($A286,'Daily Raw Data'!$B:$B,0)),"")</f>
        <v/>
      </c>
      <c r="J286" t="str">
        <f t="array" ref="J286">IFERROR(INDEX('Daily Raw Data'!S:S,Match($A286,'Daily Raw Data'!$B:$B,0)),"")</f>
        <v/>
      </c>
      <c r="K286" t="str">
        <f t="array" ref="K286">IFERROR(INDEX('Daily Raw Data'!T:T,Match($A286,'Daily Raw Data'!$B:$B,0)),"")</f>
        <v/>
      </c>
      <c r="L286" t="str">
        <f t="array" ref="L286">IFERROR(INDEX('Daily Raw Data'!U:U,Match($A286,'Daily Raw Data'!$B:$B,0)),"")</f>
        <v/>
      </c>
      <c r="M286" t="str">
        <f t="array" ref="M286">IFERROR(INDEX('Daily Raw Data'!V:V,Match($A286,'Daily Raw Data'!$B:$B,0)),"")</f>
        <v/>
      </c>
      <c r="N286" t="str">
        <f t="array" ref="N286">IFERROR(INDEX('Daily Raw Data'!W:W,Match($A286,'Daily Raw Data'!$B:$B,0)),"")</f>
        <v/>
      </c>
      <c r="O286" t="str">
        <f t="array" ref="O286">IFERROR(INDEX('Daily Raw Data'!Y:Y,Match($A286,'Daily Raw Data'!$B:$B,0)),"")</f>
        <v/>
      </c>
      <c r="P286" t="str">
        <f t="shared" si="1"/>
        <v/>
      </c>
      <c r="Q286" s="14" t="str">
        <f t="shared" si="2"/>
        <v/>
      </c>
      <c r="R286" s="15" t="str">
        <f>IFERROR(__xludf.DUMMYFUNCTION("IF($A286="""","""", IFERROR(PERCENTRANK.INC(FILTER(P:P,$E:$E&lt;&gt;""""),P286)*100,""""))"),"")</f>
        <v/>
      </c>
      <c r="S286" s="15" t="str">
        <f>IFERROR(__xludf.DUMMYFUNCTION("IF($A286="""","""",IFERROR(PERCENTRANK.INC(FILTER(Q:Q,$E:$E&lt;&gt;""""),Q286)*100,""""))"),"")</f>
        <v/>
      </c>
    </row>
    <row r="287">
      <c r="B287" t="str">
        <f t="array" ref="B287">IFERROR(INDEX('Player Raw Data'!C:C,Match($A287,'Player Raw Data'!$B:$B,0)),"")</f>
        <v/>
      </c>
      <c r="C287" t="str">
        <f t="array" ref="C287">IFERROR(INDEX('Player Raw Data'!D:D,Match($A287,'Player Raw Data'!$B:$B,0)),"")</f>
        <v/>
      </c>
      <c r="D287" t="str">
        <f t="array" ref="D287">IFERROR(IF(A287=A286, INDEX('Player Raw Data'!E:E,Match($A287,'Player Raw Data'!$B:$B,0)+2),INDEX('Player Raw Data'!E:E,Match($A287,'Player Raw Data'!$B:$B,0))),"")</f>
        <v/>
      </c>
      <c r="E287" s="27" t="str">
        <f>IFERROR(__xludf.DUMMYFUNCTION("IFERROR(ARRAY_CONSTRAIN(SPLIT(INDEX('Daily Raw Data'!G:G,Match($A287,'Daily Raw Data'!$B:$B,0)),"":""),1,1),"""")"),"")</f>
        <v/>
      </c>
      <c r="F287" t="str">
        <f t="array" ref="F287">IFERROR(INDEX('Daily Raw Data'!H:H,Match($A287,'Daily Raw Data'!$B:$B,0)),"")</f>
        <v/>
      </c>
      <c r="G287" t="str">
        <f t="array" ref="G287">IFERROR(INDEX('Daily Raw Data'!I:I,Match($A287,'Daily Raw Data'!$B:$B,0)),"")</f>
        <v/>
      </c>
      <c r="H287" t="str">
        <f t="array" ref="H287">IFERROR(INDEX('Daily Raw Data'!N:N,Match($A287,'Daily Raw Data'!$B:$B,0)),"")</f>
        <v/>
      </c>
      <c r="I287" t="str">
        <f t="array" ref="I287">IFERROR(INDEX('Daily Raw Data'!O:O,Match($A287,'Daily Raw Data'!$B:$B,0)),"")</f>
        <v/>
      </c>
      <c r="J287" t="str">
        <f t="array" ref="J287">IFERROR(INDEX('Daily Raw Data'!S:S,Match($A287,'Daily Raw Data'!$B:$B,0)),"")</f>
        <v/>
      </c>
      <c r="K287" t="str">
        <f t="array" ref="K287">IFERROR(INDEX('Daily Raw Data'!T:T,Match($A287,'Daily Raw Data'!$B:$B,0)),"")</f>
        <v/>
      </c>
      <c r="L287" t="str">
        <f t="array" ref="L287">IFERROR(INDEX('Daily Raw Data'!U:U,Match($A287,'Daily Raw Data'!$B:$B,0)),"")</f>
        <v/>
      </c>
      <c r="M287" t="str">
        <f t="array" ref="M287">IFERROR(INDEX('Daily Raw Data'!V:V,Match($A287,'Daily Raw Data'!$B:$B,0)),"")</f>
        <v/>
      </c>
      <c r="N287" t="str">
        <f t="array" ref="N287">IFERROR(INDEX('Daily Raw Data'!W:W,Match($A287,'Daily Raw Data'!$B:$B,0)),"")</f>
        <v/>
      </c>
      <c r="O287" t="str">
        <f t="array" ref="O287">IFERROR(INDEX('Daily Raw Data'!Y:Y,Match($A287,'Daily Raw Data'!$B:$B,0)),"")</f>
        <v/>
      </c>
      <c r="P287" t="str">
        <f t="shared" si="1"/>
        <v/>
      </c>
      <c r="Q287" s="14" t="str">
        <f t="shared" si="2"/>
        <v/>
      </c>
      <c r="R287" s="15" t="str">
        <f>IFERROR(__xludf.DUMMYFUNCTION("IF($A287="""","""", IFERROR(PERCENTRANK.INC(FILTER(P:P,$E:$E&lt;&gt;""""),P287)*100,""""))"),"")</f>
        <v/>
      </c>
      <c r="S287" s="15" t="str">
        <f>IFERROR(__xludf.DUMMYFUNCTION("IF($A287="""","""",IFERROR(PERCENTRANK.INC(FILTER(Q:Q,$E:$E&lt;&gt;""""),Q287)*100,""""))"),"")</f>
        <v/>
      </c>
    </row>
    <row r="288">
      <c r="B288" t="str">
        <f t="array" ref="B288">IFERROR(INDEX('Player Raw Data'!C:C,Match($A288,'Player Raw Data'!$B:$B,0)),"")</f>
        <v/>
      </c>
      <c r="C288" t="str">
        <f t="array" ref="C288">IFERROR(INDEX('Player Raw Data'!D:D,Match($A288,'Player Raw Data'!$B:$B,0)),"")</f>
        <v/>
      </c>
      <c r="D288" t="str">
        <f t="array" ref="D288">IFERROR(IF(A288=A287, INDEX('Player Raw Data'!E:E,Match($A288,'Player Raw Data'!$B:$B,0)+2),INDEX('Player Raw Data'!E:E,Match($A288,'Player Raw Data'!$B:$B,0))),"")</f>
        <v/>
      </c>
      <c r="E288" s="27" t="str">
        <f>IFERROR(__xludf.DUMMYFUNCTION("IFERROR(ARRAY_CONSTRAIN(SPLIT(INDEX('Daily Raw Data'!G:G,Match($A288,'Daily Raw Data'!$B:$B,0)),"":""),1,1),"""")"),"")</f>
        <v/>
      </c>
      <c r="F288" t="str">
        <f t="array" ref="F288">IFERROR(INDEX('Daily Raw Data'!H:H,Match($A288,'Daily Raw Data'!$B:$B,0)),"")</f>
        <v/>
      </c>
      <c r="G288" t="str">
        <f t="array" ref="G288">IFERROR(INDEX('Daily Raw Data'!I:I,Match($A288,'Daily Raw Data'!$B:$B,0)),"")</f>
        <v/>
      </c>
      <c r="H288" t="str">
        <f t="array" ref="H288">IFERROR(INDEX('Daily Raw Data'!N:N,Match($A288,'Daily Raw Data'!$B:$B,0)),"")</f>
        <v/>
      </c>
      <c r="I288" t="str">
        <f t="array" ref="I288">IFERROR(INDEX('Daily Raw Data'!O:O,Match($A288,'Daily Raw Data'!$B:$B,0)),"")</f>
        <v/>
      </c>
      <c r="J288" t="str">
        <f t="array" ref="J288">IFERROR(INDEX('Daily Raw Data'!S:S,Match($A288,'Daily Raw Data'!$B:$B,0)),"")</f>
        <v/>
      </c>
      <c r="K288" t="str">
        <f t="array" ref="K288">IFERROR(INDEX('Daily Raw Data'!T:T,Match($A288,'Daily Raw Data'!$B:$B,0)),"")</f>
        <v/>
      </c>
      <c r="L288" t="str">
        <f t="array" ref="L288">IFERROR(INDEX('Daily Raw Data'!U:U,Match($A288,'Daily Raw Data'!$B:$B,0)),"")</f>
        <v/>
      </c>
      <c r="M288" t="str">
        <f t="array" ref="M288">IFERROR(INDEX('Daily Raw Data'!V:V,Match($A288,'Daily Raw Data'!$B:$B,0)),"")</f>
        <v/>
      </c>
      <c r="N288" t="str">
        <f t="array" ref="N288">IFERROR(INDEX('Daily Raw Data'!W:W,Match($A288,'Daily Raw Data'!$B:$B,0)),"")</f>
        <v/>
      </c>
      <c r="O288" t="str">
        <f t="array" ref="O288">IFERROR(INDEX('Daily Raw Data'!Y:Y,Match($A288,'Daily Raw Data'!$B:$B,0)),"")</f>
        <v/>
      </c>
      <c r="P288" t="str">
        <f t="shared" si="1"/>
        <v/>
      </c>
      <c r="Q288" s="14" t="str">
        <f t="shared" si="2"/>
        <v/>
      </c>
      <c r="R288" s="15" t="str">
        <f>IFERROR(__xludf.DUMMYFUNCTION("IF($A288="""","""", IFERROR(PERCENTRANK.INC(FILTER(P:P,$E:$E&lt;&gt;""""),P288)*100,""""))"),"")</f>
        <v/>
      </c>
      <c r="S288" s="15" t="str">
        <f>IFERROR(__xludf.DUMMYFUNCTION("IF($A288="""","""",IFERROR(PERCENTRANK.INC(FILTER(Q:Q,$E:$E&lt;&gt;""""),Q288)*100,""""))"),"")</f>
        <v/>
      </c>
    </row>
    <row r="289">
      <c r="B289" t="str">
        <f t="array" ref="B289">IFERROR(INDEX('Player Raw Data'!C:C,Match($A289,'Player Raw Data'!$B:$B,0)),"")</f>
        <v/>
      </c>
      <c r="C289" t="str">
        <f t="array" ref="C289">IFERROR(INDEX('Player Raw Data'!D:D,Match($A289,'Player Raw Data'!$B:$B,0)),"")</f>
        <v/>
      </c>
      <c r="D289" t="str">
        <f t="array" ref="D289">IFERROR(IF(A289=A288, INDEX('Player Raw Data'!E:E,Match($A289,'Player Raw Data'!$B:$B,0)+2),INDEX('Player Raw Data'!E:E,Match($A289,'Player Raw Data'!$B:$B,0))),"")</f>
        <v/>
      </c>
      <c r="E289" s="27" t="str">
        <f>IFERROR(__xludf.DUMMYFUNCTION("IFERROR(ARRAY_CONSTRAIN(SPLIT(INDEX('Daily Raw Data'!G:G,Match($A289,'Daily Raw Data'!$B:$B,0)),"":""),1,1),"""")"),"")</f>
        <v/>
      </c>
      <c r="F289" t="str">
        <f t="array" ref="F289">IFERROR(INDEX('Daily Raw Data'!H:H,Match($A289,'Daily Raw Data'!$B:$B,0)),"")</f>
        <v/>
      </c>
      <c r="G289" t="str">
        <f t="array" ref="G289">IFERROR(INDEX('Daily Raw Data'!I:I,Match($A289,'Daily Raw Data'!$B:$B,0)),"")</f>
        <v/>
      </c>
      <c r="H289" t="str">
        <f t="array" ref="H289">IFERROR(INDEX('Daily Raw Data'!N:N,Match($A289,'Daily Raw Data'!$B:$B,0)),"")</f>
        <v/>
      </c>
      <c r="I289" t="str">
        <f t="array" ref="I289">IFERROR(INDEX('Daily Raw Data'!O:O,Match($A289,'Daily Raw Data'!$B:$B,0)),"")</f>
        <v/>
      </c>
      <c r="J289" t="str">
        <f t="array" ref="J289">IFERROR(INDEX('Daily Raw Data'!S:S,Match($A289,'Daily Raw Data'!$B:$B,0)),"")</f>
        <v/>
      </c>
      <c r="K289" t="str">
        <f t="array" ref="K289">IFERROR(INDEX('Daily Raw Data'!T:T,Match($A289,'Daily Raw Data'!$B:$B,0)),"")</f>
        <v/>
      </c>
      <c r="L289" t="str">
        <f t="array" ref="L289">IFERROR(INDEX('Daily Raw Data'!U:U,Match($A289,'Daily Raw Data'!$B:$B,0)),"")</f>
        <v/>
      </c>
      <c r="M289" t="str">
        <f t="array" ref="M289">IFERROR(INDEX('Daily Raw Data'!V:V,Match($A289,'Daily Raw Data'!$B:$B,0)),"")</f>
        <v/>
      </c>
      <c r="N289" t="str">
        <f t="array" ref="N289">IFERROR(INDEX('Daily Raw Data'!W:W,Match($A289,'Daily Raw Data'!$B:$B,0)),"")</f>
        <v/>
      </c>
      <c r="O289" t="str">
        <f t="array" ref="O289">IFERROR(INDEX('Daily Raw Data'!Y:Y,Match($A289,'Daily Raw Data'!$B:$B,0)),"")</f>
        <v/>
      </c>
      <c r="P289" t="str">
        <f t="shared" si="1"/>
        <v/>
      </c>
      <c r="Q289" s="14" t="str">
        <f t="shared" si="2"/>
        <v/>
      </c>
      <c r="R289" s="15" t="str">
        <f>IFERROR(__xludf.DUMMYFUNCTION("IF($A289="""","""", IFERROR(PERCENTRANK.INC(FILTER(P:P,$E:$E&lt;&gt;""""),P289)*100,""""))"),"")</f>
        <v/>
      </c>
      <c r="S289" s="15" t="str">
        <f>IFERROR(__xludf.DUMMYFUNCTION("IF($A289="""","""",IFERROR(PERCENTRANK.INC(FILTER(Q:Q,$E:$E&lt;&gt;""""),Q289)*100,""""))"),"")</f>
        <v/>
      </c>
    </row>
    <row r="290">
      <c r="B290" t="str">
        <f t="array" ref="B290">IFERROR(INDEX('Player Raw Data'!C:C,Match($A290,'Player Raw Data'!$B:$B,0)),"")</f>
        <v/>
      </c>
      <c r="C290" t="str">
        <f t="array" ref="C290">IFERROR(INDEX('Player Raw Data'!D:D,Match($A290,'Player Raw Data'!$B:$B,0)),"")</f>
        <v/>
      </c>
      <c r="D290" t="str">
        <f t="array" ref="D290">IFERROR(IF(A290=A289, INDEX('Player Raw Data'!E:E,Match($A290,'Player Raw Data'!$B:$B,0)+2),INDEX('Player Raw Data'!E:E,Match($A290,'Player Raw Data'!$B:$B,0))),"")</f>
        <v/>
      </c>
      <c r="E290" s="27" t="str">
        <f>IFERROR(__xludf.DUMMYFUNCTION("IFERROR(ARRAY_CONSTRAIN(SPLIT(INDEX('Daily Raw Data'!G:G,Match($A290,'Daily Raw Data'!$B:$B,0)),"":""),1,1),"""")"),"")</f>
        <v/>
      </c>
      <c r="F290" t="str">
        <f t="array" ref="F290">IFERROR(INDEX('Daily Raw Data'!H:H,Match($A290,'Daily Raw Data'!$B:$B,0)),"")</f>
        <v/>
      </c>
      <c r="G290" t="str">
        <f t="array" ref="G290">IFERROR(INDEX('Daily Raw Data'!I:I,Match($A290,'Daily Raw Data'!$B:$B,0)),"")</f>
        <v/>
      </c>
      <c r="H290" t="str">
        <f t="array" ref="H290">IFERROR(INDEX('Daily Raw Data'!N:N,Match($A290,'Daily Raw Data'!$B:$B,0)),"")</f>
        <v/>
      </c>
      <c r="I290" t="str">
        <f t="array" ref="I290">IFERROR(INDEX('Daily Raw Data'!O:O,Match($A290,'Daily Raw Data'!$B:$B,0)),"")</f>
        <v/>
      </c>
      <c r="J290" t="str">
        <f t="array" ref="J290">IFERROR(INDEX('Daily Raw Data'!S:S,Match($A290,'Daily Raw Data'!$B:$B,0)),"")</f>
        <v/>
      </c>
      <c r="K290" t="str">
        <f t="array" ref="K290">IFERROR(INDEX('Daily Raw Data'!T:T,Match($A290,'Daily Raw Data'!$B:$B,0)),"")</f>
        <v/>
      </c>
      <c r="L290" t="str">
        <f t="array" ref="L290">IFERROR(INDEX('Daily Raw Data'!U:U,Match($A290,'Daily Raw Data'!$B:$B,0)),"")</f>
        <v/>
      </c>
      <c r="M290" t="str">
        <f t="array" ref="M290">IFERROR(INDEX('Daily Raw Data'!V:V,Match($A290,'Daily Raw Data'!$B:$B,0)),"")</f>
        <v/>
      </c>
      <c r="N290" t="str">
        <f t="array" ref="N290">IFERROR(INDEX('Daily Raw Data'!W:W,Match($A290,'Daily Raw Data'!$B:$B,0)),"")</f>
        <v/>
      </c>
      <c r="O290" t="str">
        <f t="array" ref="O290">IFERROR(INDEX('Daily Raw Data'!Y:Y,Match($A290,'Daily Raw Data'!$B:$B,0)),"")</f>
        <v/>
      </c>
      <c r="P290" t="str">
        <f t="shared" si="1"/>
        <v/>
      </c>
      <c r="Q290" s="14" t="str">
        <f t="shared" si="2"/>
        <v/>
      </c>
      <c r="R290" s="15" t="str">
        <f>IFERROR(__xludf.DUMMYFUNCTION("IF($A290="""","""", IFERROR(PERCENTRANK.INC(FILTER(P:P,$E:$E&lt;&gt;""""),P290)*100,""""))"),"")</f>
        <v/>
      </c>
      <c r="S290" s="15" t="str">
        <f>IFERROR(__xludf.DUMMYFUNCTION("IF($A290="""","""",IFERROR(PERCENTRANK.INC(FILTER(Q:Q,$E:$E&lt;&gt;""""),Q290)*100,""""))"),"")</f>
        <v/>
      </c>
    </row>
    <row r="291">
      <c r="B291" t="str">
        <f t="array" ref="B291">IFERROR(INDEX('Player Raw Data'!C:C,Match($A291,'Player Raw Data'!$B:$B,0)),"")</f>
        <v/>
      </c>
      <c r="C291" t="str">
        <f t="array" ref="C291">IFERROR(INDEX('Player Raw Data'!D:D,Match($A291,'Player Raw Data'!$B:$B,0)),"")</f>
        <v/>
      </c>
      <c r="D291" t="str">
        <f t="array" ref="D291">IFERROR(IF(A291=A290, INDEX('Player Raw Data'!E:E,Match($A291,'Player Raw Data'!$B:$B,0)+2),INDEX('Player Raw Data'!E:E,Match($A291,'Player Raw Data'!$B:$B,0))),"")</f>
        <v/>
      </c>
      <c r="E291" s="27" t="str">
        <f>IFERROR(__xludf.DUMMYFUNCTION("IFERROR(ARRAY_CONSTRAIN(SPLIT(INDEX('Daily Raw Data'!G:G,Match($A291,'Daily Raw Data'!$B:$B,0)),"":""),1,1),"""")"),"")</f>
        <v/>
      </c>
      <c r="F291" t="str">
        <f t="array" ref="F291">IFERROR(INDEX('Daily Raw Data'!H:H,Match($A291,'Daily Raw Data'!$B:$B,0)),"")</f>
        <v/>
      </c>
      <c r="G291" t="str">
        <f t="array" ref="G291">IFERROR(INDEX('Daily Raw Data'!I:I,Match($A291,'Daily Raw Data'!$B:$B,0)),"")</f>
        <v/>
      </c>
      <c r="H291" t="str">
        <f t="array" ref="H291">IFERROR(INDEX('Daily Raw Data'!N:N,Match($A291,'Daily Raw Data'!$B:$B,0)),"")</f>
        <v/>
      </c>
      <c r="I291" t="str">
        <f t="array" ref="I291">IFERROR(INDEX('Daily Raw Data'!O:O,Match($A291,'Daily Raw Data'!$B:$B,0)),"")</f>
        <v/>
      </c>
      <c r="J291" t="str">
        <f t="array" ref="J291">IFERROR(INDEX('Daily Raw Data'!S:S,Match($A291,'Daily Raw Data'!$B:$B,0)),"")</f>
        <v/>
      </c>
      <c r="K291" t="str">
        <f t="array" ref="K291">IFERROR(INDEX('Daily Raw Data'!T:T,Match($A291,'Daily Raw Data'!$B:$B,0)),"")</f>
        <v/>
      </c>
      <c r="L291" t="str">
        <f t="array" ref="L291">IFERROR(INDEX('Daily Raw Data'!U:U,Match($A291,'Daily Raw Data'!$B:$B,0)),"")</f>
        <v/>
      </c>
      <c r="M291" t="str">
        <f t="array" ref="M291">IFERROR(INDEX('Daily Raw Data'!V:V,Match($A291,'Daily Raw Data'!$B:$B,0)),"")</f>
        <v/>
      </c>
      <c r="N291" t="str">
        <f t="array" ref="N291">IFERROR(INDEX('Daily Raw Data'!W:W,Match($A291,'Daily Raw Data'!$B:$B,0)),"")</f>
        <v/>
      </c>
      <c r="O291" t="str">
        <f t="array" ref="O291">IFERROR(INDEX('Daily Raw Data'!Y:Y,Match($A291,'Daily Raw Data'!$B:$B,0)),"")</f>
        <v/>
      </c>
      <c r="P291" t="str">
        <f t="shared" si="1"/>
        <v/>
      </c>
      <c r="Q291" s="14" t="str">
        <f t="shared" si="2"/>
        <v/>
      </c>
      <c r="R291" s="15" t="str">
        <f>IFERROR(__xludf.DUMMYFUNCTION("IF($A291="""","""", IFERROR(PERCENTRANK.INC(FILTER(P:P,$E:$E&lt;&gt;""""),P291)*100,""""))"),"")</f>
        <v/>
      </c>
      <c r="S291" s="15" t="str">
        <f>IFERROR(__xludf.DUMMYFUNCTION("IF($A291="""","""",IFERROR(PERCENTRANK.INC(FILTER(Q:Q,$E:$E&lt;&gt;""""),Q291)*100,""""))"),"")</f>
        <v/>
      </c>
    </row>
    <row r="292">
      <c r="B292" t="str">
        <f t="array" ref="B292">IFERROR(INDEX('Player Raw Data'!C:C,Match($A292,'Player Raw Data'!$B:$B,0)),"")</f>
        <v/>
      </c>
      <c r="C292" t="str">
        <f t="array" ref="C292">IFERROR(INDEX('Player Raw Data'!D:D,Match($A292,'Player Raw Data'!$B:$B,0)),"")</f>
        <v/>
      </c>
      <c r="D292" t="str">
        <f t="array" ref="D292">IFERROR(IF(A292=A291, INDEX('Player Raw Data'!E:E,Match($A292,'Player Raw Data'!$B:$B,0)+2),INDEX('Player Raw Data'!E:E,Match($A292,'Player Raw Data'!$B:$B,0))),"")</f>
        <v/>
      </c>
      <c r="E292" s="27" t="str">
        <f>IFERROR(__xludf.DUMMYFUNCTION("IFERROR(ARRAY_CONSTRAIN(SPLIT(INDEX('Daily Raw Data'!G:G,Match($A292,'Daily Raw Data'!$B:$B,0)),"":""),1,1),"""")"),"")</f>
        <v/>
      </c>
      <c r="F292" t="str">
        <f t="array" ref="F292">IFERROR(INDEX('Daily Raw Data'!H:H,Match($A292,'Daily Raw Data'!$B:$B,0)),"")</f>
        <v/>
      </c>
      <c r="G292" t="str">
        <f t="array" ref="G292">IFERROR(INDEX('Daily Raw Data'!I:I,Match($A292,'Daily Raw Data'!$B:$B,0)),"")</f>
        <v/>
      </c>
      <c r="H292" t="str">
        <f t="array" ref="H292">IFERROR(INDEX('Daily Raw Data'!N:N,Match($A292,'Daily Raw Data'!$B:$B,0)),"")</f>
        <v/>
      </c>
      <c r="I292" t="str">
        <f t="array" ref="I292">IFERROR(INDEX('Daily Raw Data'!O:O,Match($A292,'Daily Raw Data'!$B:$B,0)),"")</f>
        <v/>
      </c>
      <c r="J292" t="str">
        <f t="array" ref="J292">IFERROR(INDEX('Daily Raw Data'!S:S,Match($A292,'Daily Raw Data'!$B:$B,0)),"")</f>
        <v/>
      </c>
      <c r="K292" t="str">
        <f t="array" ref="K292">IFERROR(INDEX('Daily Raw Data'!T:T,Match($A292,'Daily Raw Data'!$B:$B,0)),"")</f>
        <v/>
      </c>
      <c r="L292" t="str">
        <f t="array" ref="L292">IFERROR(INDEX('Daily Raw Data'!U:U,Match($A292,'Daily Raw Data'!$B:$B,0)),"")</f>
        <v/>
      </c>
      <c r="M292" t="str">
        <f t="array" ref="M292">IFERROR(INDEX('Daily Raw Data'!V:V,Match($A292,'Daily Raw Data'!$B:$B,0)),"")</f>
        <v/>
      </c>
      <c r="N292" t="str">
        <f t="array" ref="N292">IFERROR(INDEX('Daily Raw Data'!W:W,Match($A292,'Daily Raw Data'!$B:$B,0)),"")</f>
        <v/>
      </c>
      <c r="O292" t="str">
        <f t="array" ref="O292">IFERROR(INDEX('Daily Raw Data'!Y:Y,Match($A292,'Daily Raw Data'!$B:$B,0)),"")</f>
        <v/>
      </c>
      <c r="P292" t="str">
        <f t="shared" si="1"/>
        <v/>
      </c>
      <c r="Q292" s="14" t="str">
        <f t="shared" si="2"/>
        <v/>
      </c>
      <c r="R292" s="15" t="str">
        <f>IFERROR(__xludf.DUMMYFUNCTION("IF($A292="""","""", IFERROR(PERCENTRANK.INC(FILTER(P:P,$E:$E&lt;&gt;""""),P292)*100,""""))"),"")</f>
        <v/>
      </c>
      <c r="S292" s="15" t="str">
        <f>IFERROR(__xludf.DUMMYFUNCTION("IF($A292="""","""",IFERROR(PERCENTRANK.INC(FILTER(Q:Q,$E:$E&lt;&gt;""""),Q292)*100,""""))"),"")</f>
        <v/>
      </c>
    </row>
    <row r="293">
      <c r="B293" t="str">
        <f t="array" ref="B293">IFERROR(INDEX('Player Raw Data'!C:C,Match($A293,'Player Raw Data'!$B:$B,0)),"")</f>
        <v/>
      </c>
      <c r="C293" t="str">
        <f t="array" ref="C293">IFERROR(INDEX('Player Raw Data'!D:D,Match($A293,'Player Raw Data'!$B:$B,0)),"")</f>
        <v/>
      </c>
      <c r="D293" t="str">
        <f t="array" ref="D293">IFERROR(IF(A293=A292, INDEX('Player Raw Data'!E:E,Match($A293,'Player Raw Data'!$B:$B,0)+2),INDEX('Player Raw Data'!E:E,Match($A293,'Player Raw Data'!$B:$B,0))),"")</f>
        <v/>
      </c>
      <c r="E293" s="27" t="str">
        <f>IFERROR(__xludf.DUMMYFUNCTION("IFERROR(ARRAY_CONSTRAIN(SPLIT(INDEX('Daily Raw Data'!G:G,Match($A293,'Daily Raw Data'!$B:$B,0)),"":""),1,1),"""")"),"")</f>
        <v/>
      </c>
      <c r="F293" t="str">
        <f t="array" ref="F293">IFERROR(INDEX('Daily Raw Data'!H:H,Match($A293,'Daily Raw Data'!$B:$B,0)),"")</f>
        <v/>
      </c>
      <c r="G293" t="str">
        <f t="array" ref="G293">IFERROR(INDEX('Daily Raw Data'!I:I,Match($A293,'Daily Raw Data'!$B:$B,0)),"")</f>
        <v/>
      </c>
      <c r="H293" t="str">
        <f t="array" ref="H293">IFERROR(INDEX('Daily Raw Data'!N:N,Match($A293,'Daily Raw Data'!$B:$B,0)),"")</f>
        <v/>
      </c>
      <c r="I293" t="str">
        <f t="array" ref="I293">IFERROR(INDEX('Daily Raw Data'!O:O,Match($A293,'Daily Raw Data'!$B:$B,0)),"")</f>
        <v/>
      </c>
      <c r="J293" t="str">
        <f t="array" ref="J293">IFERROR(INDEX('Daily Raw Data'!S:S,Match($A293,'Daily Raw Data'!$B:$B,0)),"")</f>
        <v/>
      </c>
      <c r="K293" t="str">
        <f t="array" ref="K293">IFERROR(INDEX('Daily Raw Data'!T:T,Match($A293,'Daily Raw Data'!$B:$B,0)),"")</f>
        <v/>
      </c>
      <c r="L293" t="str">
        <f t="array" ref="L293">IFERROR(INDEX('Daily Raw Data'!U:U,Match($A293,'Daily Raw Data'!$B:$B,0)),"")</f>
        <v/>
      </c>
      <c r="M293" t="str">
        <f t="array" ref="M293">IFERROR(INDEX('Daily Raw Data'!V:V,Match($A293,'Daily Raw Data'!$B:$B,0)),"")</f>
        <v/>
      </c>
      <c r="N293" t="str">
        <f t="array" ref="N293">IFERROR(INDEX('Daily Raw Data'!W:W,Match($A293,'Daily Raw Data'!$B:$B,0)),"")</f>
        <v/>
      </c>
      <c r="O293" t="str">
        <f t="array" ref="O293">IFERROR(INDEX('Daily Raw Data'!Y:Y,Match($A293,'Daily Raw Data'!$B:$B,0)),"")</f>
        <v/>
      </c>
      <c r="P293" t="str">
        <f t="shared" si="1"/>
        <v/>
      </c>
      <c r="Q293" s="14" t="str">
        <f t="shared" si="2"/>
        <v/>
      </c>
      <c r="R293" s="15" t="str">
        <f>IFERROR(__xludf.DUMMYFUNCTION("IF($A293="""","""", IFERROR(PERCENTRANK.INC(FILTER(P:P,$E:$E&lt;&gt;""""),P293)*100,""""))"),"")</f>
        <v/>
      </c>
      <c r="S293" s="15" t="str">
        <f>IFERROR(__xludf.DUMMYFUNCTION("IF($A293="""","""",IFERROR(PERCENTRANK.INC(FILTER(Q:Q,$E:$E&lt;&gt;""""),Q293)*100,""""))"),"")</f>
        <v/>
      </c>
    </row>
    <row r="294">
      <c r="B294" t="str">
        <f t="array" ref="B294">IFERROR(INDEX('Player Raw Data'!C:C,Match($A294,'Player Raw Data'!$B:$B,0)),"")</f>
        <v/>
      </c>
      <c r="C294" t="str">
        <f t="array" ref="C294">IFERROR(INDEX('Player Raw Data'!D:D,Match($A294,'Player Raw Data'!$B:$B,0)),"")</f>
        <v/>
      </c>
      <c r="D294" t="str">
        <f t="array" ref="D294">IFERROR(IF(A294=A293, INDEX('Player Raw Data'!E:E,Match($A294,'Player Raw Data'!$B:$B,0)+2),INDEX('Player Raw Data'!E:E,Match($A294,'Player Raw Data'!$B:$B,0))),"")</f>
        <v/>
      </c>
      <c r="E294" s="27" t="str">
        <f>IFERROR(__xludf.DUMMYFUNCTION("IFERROR(ARRAY_CONSTRAIN(SPLIT(INDEX('Daily Raw Data'!G:G,Match($A294,'Daily Raw Data'!$B:$B,0)),"":""),1,1),"""")"),"")</f>
        <v/>
      </c>
      <c r="F294" t="str">
        <f t="array" ref="F294">IFERROR(INDEX('Daily Raw Data'!H:H,Match($A294,'Daily Raw Data'!$B:$B,0)),"")</f>
        <v/>
      </c>
      <c r="G294" t="str">
        <f t="array" ref="G294">IFERROR(INDEX('Daily Raw Data'!I:I,Match($A294,'Daily Raw Data'!$B:$B,0)),"")</f>
        <v/>
      </c>
      <c r="H294" t="str">
        <f t="array" ref="H294">IFERROR(INDEX('Daily Raw Data'!N:N,Match($A294,'Daily Raw Data'!$B:$B,0)),"")</f>
        <v/>
      </c>
      <c r="I294" t="str">
        <f t="array" ref="I294">IFERROR(INDEX('Daily Raw Data'!O:O,Match($A294,'Daily Raw Data'!$B:$B,0)),"")</f>
        <v/>
      </c>
      <c r="J294" t="str">
        <f t="array" ref="J294">IFERROR(INDEX('Daily Raw Data'!S:S,Match($A294,'Daily Raw Data'!$B:$B,0)),"")</f>
        <v/>
      </c>
      <c r="K294" t="str">
        <f t="array" ref="K294">IFERROR(INDEX('Daily Raw Data'!T:T,Match($A294,'Daily Raw Data'!$B:$B,0)),"")</f>
        <v/>
      </c>
      <c r="L294" t="str">
        <f t="array" ref="L294">IFERROR(INDEX('Daily Raw Data'!U:U,Match($A294,'Daily Raw Data'!$B:$B,0)),"")</f>
        <v/>
      </c>
      <c r="M294" t="str">
        <f t="array" ref="M294">IFERROR(INDEX('Daily Raw Data'!V:V,Match($A294,'Daily Raw Data'!$B:$B,0)),"")</f>
        <v/>
      </c>
      <c r="N294" t="str">
        <f t="array" ref="N294">IFERROR(INDEX('Daily Raw Data'!W:W,Match($A294,'Daily Raw Data'!$B:$B,0)),"")</f>
        <v/>
      </c>
      <c r="O294" t="str">
        <f t="array" ref="O294">IFERROR(INDEX('Daily Raw Data'!Y:Y,Match($A294,'Daily Raw Data'!$B:$B,0)),"")</f>
        <v/>
      </c>
      <c r="P294" t="str">
        <f t="shared" si="1"/>
        <v/>
      </c>
      <c r="Q294" s="14" t="str">
        <f t="shared" si="2"/>
        <v/>
      </c>
      <c r="R294" s="15" t="str">
        <f>IFERROR(__xludf.DUMMYFUNCTION("IF($A294="""","""", IFERROR(PERCENTRANK.INC(FILTER(P:P,$E:$E&lt;&gt;""""),P294)*100,""""))"),"")</f>
        <v/>
      </c>
      <c r="S294" s="15" t="str">
        <f>IFERROR(__xludf.DUMMYFUNCTION("IF($A294="""","""",IFERROR(PERCENTRANK.INC(FILTER(Q:Q,$E:$E&lt;&gt;""""),Q294)*100,""""))"),"")</f>
        <v/>
      </c>
    </row>
    <row r="295">
      <c r="B295" t="str">
        <f t="array" ref="B295">IFERROR(INDEX('Player Raw Data'!C:C,Match($A295,'Player Raw Data'!$B:$B,0)),"")</f>
        <v/>
      </c>
      <c r="C295" t="str">
        <f t="array" ref="C295">IFERROR(INDEX('Player Raw Data'!D:D,Match($A295,'Player Raw Data'!$B:$B,0)),"")</f>
        <v/>
      </c>
      <c r="D295" t="str">
        <f t="array" ref="D295">IFERROR(IF(A295=A294, INDEX('Player Raw Data'!E:E,Match($A295,'Player Raw Data'!$B:$B,0)+2),INDEX('Player Raw Data'!E:E,Match($A295,'Player Raw Data'!$B:$B,0))),"")</f>
        <v/>
      </c>
      <c r="E295" s="27" t="str">
        <f>IFERROR(__xludf.DUMMYFUNCTION("IFERROR(ARRAY_CONSTRAIN(SPLIT(INDEX('Daily Raw Data'!G:G,Match($A295,'Daily Raw Data'!$B:$B,0)),"":""),1,1),"""")"),"")</f>
        <v/>
      </c>
      <c r="F295" t="str">
        <f t="array" ref="F295">IFERROR(INDEX('Daily Raw Data'!H:H,Match($A295,'Daily Raw Data'!$B:$B,0)),"")</f>
        <v/>
      </c>
      <c r="G295" t="str">
        <f t="array" ref="G295">IFERROR(INDEX('Daily Raw Data'!I:I,Match($A295,'Daily Raw Data'!$B:$B,0)),"")</f>
        <v/>
      </c>
      <c r="H295" t="str">
        <f t="array" ref="H295">IFERROR(INDEX('Daily Raw Data'!N:N,Match($A295,'Daily Raw Data'!$B:$B,0)),"")</f>
        <v/>
      </c>
      <c r="I295" t="str">
        <f t="array" ref="I295">IFERROR(INDEX('Daily Raw Data'!O:O,Match($A295,'Daily Raw Data'!$B:$B,0)),"")</f>
        <v/>
      </c>
      <c r="J295" t="str">
        <f t="array" ref="J295">IFERROR(INDEX('Daily Raw Data'!S:S,Match($A295,'Daily Raw Data'!$B:$B,0)),"")</f>
        <v/>
      </c>
      <c r="K295" t="str">
        <f t="array" ref="K295">IFERROR(INDEX('Daily Raw Data'!T:T,Match($A295,'Daily Raw Data'!$B:$B,0)),"")</f>
        <v/>
      </c>
      <c r="L295" t="str">
        <f t="array" ref="L295">IFERROR(INDEX('Daily Raw Data'!U:U,Match($A295,'Daily Raw Data'!$B:$B,0)),"")</f>
        <v/>
      </c>
      <c r="M295" t="str">
        <f t="array" ref="M295">IFERROR(INDEX('Daily Raw Data'!V:V,Match($A295,'Daily Raw Data'!$B:$B,0)),"")</f>
        <v/>
      </c>
      <c r="N295" t="str">
        <f t="array" ref="N295">IFERROR(INDEX('Daily Raw Data'!W:W,Match($A295,'Daily Raw Data'!$B:$B,0)),"")</f>
        <v/>
      </c>
      <c r="O295" t="str">
        <f t="array" ref="O295">IFERROR(INDEX('Daily Raw Data'!Y:Y,Match($A295,'Daily Raw Data'!$B:$B,0)),"")</f>
        <v/>
      </c>
      <c r="P295" t="str">
        <f t="shared" si="1"/>
        <v/>
      </c>
      <c r="Q295" s="14" t="str">
        <f t="shared" si="2"/>
        <v/>
      </c>
      <c r="R295" s="15" t="str">
        <f>IFERROR(__xludf.DUMMYFUNCTION("IF($A295="""","""", IFERROR(PERCENTRANK.INC(FILTER(P:P,$E:$E&lt;&gt;""""),P295)*100,""""))"),"")</f>
        <v/>
      </c>
      <c r="S295" s="15" t="str">
        <f>IFERROR(__xludf.DUMMYFUNCTION("IF($A295="""","""",IFERROR(PERCENTRANK.INC(FILTER(Q:Q,$E:$E&lt;&gt;""""),Q295)*100,""""))"),"")</f>
        <v/>
      </c>
    </row>
    <row r="296">
      <c r="B296" t="str">
        <f t="array" ref="B296">IFERROR(INDEX('Player Raw Data'!C:C,Match($A296,'Player Raw Data'!$B:$B,0)),"")</f>
        <v/>
      </c>
      <c r="C296" t="str">
        <f t="array" ref="C296">IFERROR(INDEX('Player Raw Data'!D:D,Match($A296,'Player Raw Data'!$B:$B,0)),"")</f>
        <v/>
      </c>
      <c r="D296" t="str">
        <f t="array" ref="D296">IFERROR(IF(A296=A295, INDEX('Player Raw Data'!E:E,Match($A296,'Player Raw Data'!$B:$B,0)+2),INDEX('Player Raw Data'!E:E,Match($A296,'Player Raw Data'!$B:$B,0))),"")</f>
        <v/>
      </c>
      <c r="E296" s="27" t="str">
        <f>IFERROR(__xludf.DUMMYFUNCTION("IFERROR(ARRAY_CONSTRAIN(SPLIT(INDEX('Daily Raw Data'!G:G,Match($A296,'Daily Raw Data'!$B:$B,0)),"":""),1,1),"""")"),"")</f>
        <v/>
      </c>
      <c r="F296" t="str">
        <f t="array" ref="F296">IFERROR(INDEX('Daily Raw Data'!H:H,Match($A296,'Daily Raw Data'!$B:$B,0)),"")</f>
        <v/>
      </c>
      <c r="G296" t="str">
        <f t="array" ref="G296">IFERROR(INDEX('Daily Raw Data'!I:I,Match($A296,'Daily Raw Data'!$B:$B,0)),"")</f>
        <v/>
      </c>
      <c r="H296" t="str">
        <f t="array" ref="H296">IFERROR(INDEX('Daily Raw Data'!N:N,Match($A296,'Daily Raw Data'!$B:$B,0)),"")</f>
        <v/>
      </c>
      <c r="I296" t="str">
        <f t="array" ref="I296">IFERROR(INDEX('Daily Raw Data'!O:O,Match($A296,'Daily Raw Data'!$B:$B,0)),"")</f>
        <v/>
      </c>
      <c r="J296" t="str">
        <f t="array" ref="J296">IFERROR(INDEX('Daily Raw Data'!S:S,Match($A296,'Daily Raw Data'!$B:$B,0)),"")</f>
        <v/>
      </c>
      <c r="K296" t="str">
        <f t="array" ref="K296">IFERROR(INDEX('Daily Raw Data'!T:T,Match($A296,'Daily Raw Data'!$B:$B,0)),"")</f>
        <v/>
      </c>
      <c r="L296" t="str">
        <f t="array" ref="L296">IFERROR(INDEX('Daily Raw Data'!U:U,Match($A296,'Daily Raw Data'!$B:$B,0)),"")</f>
        <v/>
      </c>
      <c r="M296" t="str">
        <f t="array" ref="M296">IFERROR(INDEX('Daily Raw Data'!V:V,Match($A296,'Daily Raw Data'!$B:$B,0)),"")</f>
        <v/>
      </c>
      <c r="N296" t="str">
        <f t="array" ref="N296">IFERROR(INDEX('Daily Raw Data'!W:W,Match($A296,'Daily Raw Data'!$B:$B,0)),"")</f>
        <v/>
      </c>
      <c r="O296" t="str">
        <f t="array" ref="O296">IFERROR(INDEX('Daily Raw Data'!Y:Y,Match($A296,'Daily Raw Data'!$B:$B,0)),"")</f>
        <v/>
      </c>
      <c r="P296" t="str">
        <f t="shared" si="1"/>
        <v/>
      </c>
      <c r="Q296" s="14" t="str">
        <f t="shared" si="2"/>
        <v/>
      </c>
      <c r="R296" s="15" t="str">
        <f>IFERROR(__xludf.DUMMYFUNCTION("IF($A296="""","""", IFERROR(PERCENTRANK.INC(FILTER(P:P,$E:$E&lt;&gt;""""),P296)*100,""""))"),"")</f>
        <v/>
      </c>
      <c r="S296" s="15" t="str">
        <f>IFERROR(__xludf.DUMMYFUNCTION("IF($A296="""","""",IFERROR(PERCENTRANK.INC(FILTER(Q:Q,$E:$E&lt;&gt;""""),Q296)*100,""""))"),"")</f>
        <v/>
      </c>
    </row>
    <row r="297">
      <c r="B297" t="str">
        <f t="array" ref="B297">IFERROR(INDEX('Player Raw Data'!C:C,Match($A297,'Player Raw Data'!$B:$B,0)),"")</f>
        <v/>
      </c>
      <c r="C297" t="str">
        <f t="array" ref="C297">IFERROR(INDEX('Player Raw Data'!D:D,Match($A297,'Player Raw Data'!$B:$B,0)),"")</f>
        <v/>
      </c>
      <c r="D297" t="str">
        <f t="array" ref="D297">IFERROR(IF(A297=A296, INDEX('Player Raw Data'!E:E,Match($A297,'Player Raw Data'!$B:$B,0)+2),INDEX('Player Raw Data'!E:E,Match($A297,'Player Raw Data'!$B:$B,0))),"")</f>
        <v/>
      </c>
      <c r="E297" s="27" t="str">
        <f>IFERROR(__xludf.DUMMYFUNCTION("IFERROR(ARRAY_CONSTRAIN(SPLIT(INDEX('Daily Raw Data'!G:G,Match($A297,'Daily Raw Data'!$B:$B,0)),"":""),1,1),"""")"),"")</f>
        <v/>
      </c>
      <c r="F297" t="str">
        <f t="array" ref="F297">IFERROR(INDEX('Daily Raw Data'!H:H,Match($A297,'Daily Raw Data'!$B:$B,0)),"")</f>
        <v/>
      </c>
      <c r="G297" t="str">
        <f t="array" ref="G297">IFERROR(INDEX('Daily Raw Data'!I:I,Match($A297,'Daily Raw Data'!$B:$B,0)),"")</f>
        <v/>
      </c>
      <c r="H297" t="str">
        <f t="array" ref="H297">IFERROR(INDEX('Daily Raw Data'!N:N,Match($A297,'Daily Raw Data'!$B:$B,0)),"")</f>
        <v/>
      </c>
      <c r="I297" t="str">
        <f t="array" ref="I297">IFERROR(INDEX('Daily Raw Data'!O:O,Match($A297,'Daily Raw Data'!$B:$B,0)),"")</f>
        <v/>
      </c>
      <c r="J297" t="str">
        <f t="array" ref="J297">IFERROR(INDEX('Daily Raw Data'!S:S,Match($A297,'Daily Raw Data'!$B:$B,0)),"")</f>
        <v/>
      </c>
      <c r="K297" t="str">
        <f t="array" ref="K297">IFERROR(INDEX('Daily Raw Data'!T:T,Match($A297,'Daily Raw Data'!$B:$B,0)),"")</f>
        <v/>
      </c>
      <c r="L297" t="str">
        <f t="array" ref="L297">IFERROR(INDEX('Daily Raw Data'!U:U,Match($A297,'Daily Raw Data'!$B:$B,0)),"")</f>
        <v/>
      </c>
      <c r="M297" t="str">
        <f t="array" ref="M297">IFERROR(INDEX('Daily Raw Data'!V:V,Match($A297,'Daily Raw Data'!$B:$B,0)),"")</f>
        <v/>
      </c>
      <c r="N297" t="str">
        <f t="array" ref="N297">IFERROR(INDEX('Daily Raw Data'!W:W,Match($A297,'Daily Raw Data'!$B:$B,0)),"")</f>
        <v/>
      </c>
      <c r="O297" t="str">
        <f t="array" ref="O297">IFERROR(INDEX('Daily Raw Data'!Y:Y,Match($A297,'Daily Raw Data'!$B:$B,0)),"")</f>
        <v/>
      </c>
      <c r="P297" t="str">
        <f t="shared" si="1"/>
        <v/>
      </c>
      <c r="Q297" s="14" t="str">
        <f t="shared" si="2"/>
        <v/>
      </c>
      <c r="R297" s="15" t="str">
        <f>IFERROR(__xludf.DUMMYFUNCTION("IF($A297="""","""", IFERROR(PERCENTRANK.INC(FILTER(P:P,$E:$E&lt;&gt;""""),P297)*100,""""))"),"")</f>
        <v/>
      </c>
      <c r="S297" s="15" t="str">
        <f>IFERROR(__xludf.DUMMYFUNCTION("IF($A297="""","""",IFERROR(PERCENTRANK.INC(FILTER(Q:Q,$E:$E&lt;&gt;""""),Q297)*100,""""))"),"")</f>
        <v/>
      </c>
    </row>
    <row r="298">
      <c r="B298" t="str">
        <f t="array" ref="B298">IFERROR(INDEX('Player Raw Data'!C:C,Match($A298,'Player Raw Data'!$B:$B,0)),"")</f>
        <v/>
      </c>
      <c r="C298" t="str">
        <f t="array" ref="C298">IFERROR(INDEX('Player Raw Data'!D:D,Match($A298,'Player Raw Data'!$B:$B,0)),"")</f>
        <v/>
      </c>
      <c r="D298" t="str">
        <f t="array" ref="D298">IFERROR(IF(A298=A297, INDEX('Player Raw Data'!E:E,Match($A298,'Player Raw Data'!$B:$B,0)+2),INDEX('Player Raw Data'!E:E,Match($A298,'Player Raw Data'!$B:$B,0))),"")</f>
        <v/>
      </c>
      <c r="E298" s="27" t="str">
        <f>IFERROR(__xludf.DUMMYFUNCTION("IFERROR(ARRAY_CONSTRAIN(SPLIT(INDEX('Daily Raw Data'!G:G,Match($A298,'Daily Raw Data'!$B:$B,0)),"":""),1,1),"""")"),"")</f>
        <v/>
      </c>
      <c r="F298" t="str">
        <f t="array" ref="F298">IFERROR(INDEX('Daily Raw Data'!H:H,Match($A298,'Daily Raw Data'!$B:$B,0)),"")</f>
        <v/>
      </c>
      <c r="G298" t="str">
        <f t="array" ref="G298">IFERROR(INDEX('Daily Raw Data'!I:I,Match($A298,'Daily Raw Data'!$B:$B,0)),"")</f>
        <v/>
      </c>
      <c r="H298" t="str">
        <f t="array" ref="H298">IFERROR(INDEX('Daily Raw Data'!N:N,Match($A298,'Daily Raw Data'!$B:$B,0)),"")</f>
        <v/>
      </c>
      <c r="I298" t="str">
        <f t="array" ref="I298">IFERROR(INDEX('Daily Raw Data'!O:O,Match($A298,'Daily Raw Data'!$B:$B,0)),"")</f>
        <v/>
      </c>
      <c r="J298" t="str">
        <f t="array" ref="J298">IFERROR(INDEX('Daily Raw Data'!S:S,Match($A298,'Daily Raw Data'!$B:$B,0)),"")</f>
        <v/>
      </c>
      <c r="K298" t="str">
        <f t="array" ref="K298">IFERROR(INDEX('Daily Raw Data'!T:T,Match($A298,'Daily Raw Data'!$B:$B,0)),"")</f>
        <v/>
      </c>
      <c r="L298" t="str">
        <f t="array" ref="L298">IFERROR(INDEX('Daily Raw Data'!U:U,Match($A298,'Daily Raw Data'!$B:$B,0)),"")</f>
        <v/>
      </c>
      <c r="M298" t="str">
        <f t="array" ref="M298">IFERROR(INDEX('Daily Raw Data'!V:V,Match($A298,'Daily Raw Data'!$B:$B,0)),"")</f>
        <v/>
      </c>
      <c r="N298" t="str">
        <f t="array" ref="N298">IFERROR(INDEX('Daily Raw Data'!W:W,Match($A298,'Daily Raw Data'!$B:$B,0)),"")</f>
        <v/>
      </c>
      <c r="O298" t="str">
        <f t="array" ref="O298">IFERROR(INDEX('Daily Raw Data'!Y:Y,Match($A298,'Daily Raw Data'!$B:$B,0)),"")</f>
        <v/>
      </c>
      <c r="P298" t="str">
        <f t="shared" si="1"/>
        <v/>
      </c>
      <c r="Q298" s="14" t="str">
        <f t="shared" si="2"/>
        <v/>
      </c>
      <c r="R298" s="15" t="str">
        <f>IFERROR(__xludf.DUMMYFUNCTION("IF($A298="""","""", IFERROR(PERCENTRANK.INC(FILTER(P:P,$E:$E&lt;&gt;""""),P298)*100,""""))"),"")</f>
        <v/>
      </c>
      <c r="S298" s="15" t="str">
        <f>IFERROR(__xludf.DUMMYFUNCTION("IF($A298="""","""",IFERROR(PERCENTRANK.INC(FILTER(Q:Q,$E:$E&lt;&gt;""""),Q298)*100,""""))"),"")</f>
        <v/>
      </c>
    </row>
    <row r="299">
      <c r="B299" t="str">
        <f t="array" ref="B299">IFERROR(INDEX('Player Raw Data'!C:C,Match($A299,'Player Raw Data'!$B:$B,0)),"")</f>
        <v/>
      </c>
      <c r="C299" t="str">
        <f t="array" ref="C299">IFERROR(INDEX('Player Raw Data'!D:D,Match($A299,'Player Raw Data'!$B:$B,0)),"")</f>
        <v/>
      </c>
      <c r="D299" t="str">
        <f t="array" ref="D299">IFERROR(IF(A299=A298, INDEX('Player Raw Data'!E:E,Match($A299,'Player Raw Data'!$B:$B,0)+2),INDEX('Player Raw Data'!E:E,Match($A299,'Player Raw Data'!$B:$B,0))),"")</f>
        <v/>
      </c>
      <c r="E299" s="27" t="str">
        <f>IFERROR(__xludf.DUMMYFUNCTION("IFERROR(ARRAY_CONSTRAIN(SPLIT(INDEX('Daily Raw Data'!G:G,Match($A299,'Daily Raw Data'!$B:$B,0)),"":""),1,1),"""")"),"")</f>
        <v/>
      </c>
      <c r="F299" t="str">
        <f t="array" ref="F299">IFERROR(INDEX('Daily Raw Data'!H:H,Match($A299,'Daily Raw Data'!$B:$B,0)),"")</f>
        <v/>
      </c>
      <c r="G299" t="str">
        <f t="array" ref="G299">IFERROR(INDEX('Daily Raw Data'!I:I,Match($A299,'Daily Raw Data'!$B:$B,0)),"")</f>
        <v/>
      </c>
      <c r="H299" t="str">
        <f t="array" ref="H299">IFERROR(INDEX('Daily Raw Data'!N:N,Match($A299,'Daily Raw Data'!$B:$B,0)),"")</f>
        <v/>
      </c>
      <c r="I299" t="str">
        <f t="array" ref="I299">IFERROR(INDEX('Daily Raw Data'!O:O,Match($A299,'Daily Raw Data'!$B:$B,0)),"")</f>
        <v/>
      </c>
      <c r="J299" t="str">
        <f t="array" ref="J299">IFERROR(INDEX('Daily Raw Data'!S:S,Match($A299,'Daily Raw Data'!$B:$B,0)),"")</f>
        <v/>
      </c>
      <c r="K299" t="str">
        <f t="array" ref="K299">IFERROR(INDEX('Daily Raw Data'!T:T,Match($A299,'Daily Raw Data'!$B:$B,0)),"")</f>
        <v/>
      </c>
      <c r="L299" t="str">
        <f t="array" ref="L299">IFERROR(INDEX('Daily Raw Data'!U:U,Match($A299,'Daily Raw Data'!$B:$B,0)),"")</f>
        <v/>
      </c>
      <c r="M299" t="str">
        <f t="array" ref="M299">IFERROR(INDEX('Daily Raw Data'!V:V,Match($A299,'Daily Raw Data'!$B:$B,0)),"")</f>
        <v/>
      </c>
      <c r="N299" t="str">
        <f t="array" ref="N299">IFERROR(INDEX('Daily Raw Data'!W:W,Match($A299,'Daily Raw Data'!$B:$B,0)),"")</f>
        <v/>
      </c>
      <c r="O299" t="str">
        <f t="array" ref="O299">IFERROR(INDEX('Daily Raw Data'!Y:Y,Match($A299,'Daily Raw Data'!$B:$B,0)),"")</f>
        <v/>
      </c>
      <c r="P299" t="str">
        <f t="shared" si="1"/>
        <v/>
      </c>
      <c r="Q299" s="14" t="str">
        <f t="shared" si="2"/>
        <v/>
      </c>
      <c r="R299" s="15" t="str">
        <f>IFERROR(__xludf.DUMMYFUNCTION("IF($A299="""","""", IFERROR(PERCENTRANK.INC(FILTER(P:P,$E:$E&lt;&gt;""""),P299)*100,""""))"),"")</f>
        <v/>
      </c>
      <c r="S299" s="15" t="str">
        <f>IFERROR(__xludf.DUMMYFUNCTION("IF($A299="""","""",IFERROR(PERCENTRANK.INC(FILTER(Q:Q,$E:$E&lt;&gt;""""),Q299)*100,""""))"),"")</f>
        <v/>
      </c>
    </row>
    <row r="300">
      <c r="B300" t="str">
        <f t="array" ref="B300">IFERROR(INDEX('Player Raw Data'!C:C,Match($A300,'Player Raw Data'!$B:$B,0)),"")</f>
        <v/>
      </c>
      <c r="C300" t="str">
        <f t="array" ref="C300">IFERROR(INDEX('Player Raw Data'!D:D,Match($A300,'Player Raw Data'!$B:$B,0)),"")</f>
        <v/>
      </c>
      <c r="D300" t="str">
        <f t="array" ref="D300">IFERROR(IF(A300=A299, INDEX('Player Raw Data'!E:E,Match($A300,'Player Raw Data'!$B:$B,0)+2),INDEX('Player Raw Data'!E:E,Match($A300,'Player Raw Data'!$B:$B,0))),"")</f>
        <v/>
      </c>
      <c r="E300" s="27" t="str">
        <f>IFERROR(__xludf.DUMMYFUNCTION("IFERROR(ARRAY_CONSTRAIN(SPLIT(INDEX('Daily Raw Data'!G:G,Match($A300,'Daily Raw Data'!$B:$B,0)),"":""),1,1),"""")"),"")</f>
        <v/>
      </c>
      <c r="F300" t="str">
        <f t="array" ref="F300">IFERROR(INDEX('Daily Raw Data'!H:H,Match($A300,'Daily Raw Data'!$B:$B,0)),"")</f>
        <v/>
      </c>
      <c r="G300" t="str">
        <f t="array" ref="G300">IFERROR(INDEX('Daily Raw Data'!I:I,Match($A300,'Daily Raw Data'!$B:$B,0)),"")</f>
        <v/>
      </c>
      <c r="H300" t="str">
        <f t="array" ref="H300">IFERROR(INDEX('Daily Raw Data'!N:N,Match($A300,'Daily Raw Data'!$B:$B,0)),"")</f>
        <v/>
      </c>
      <c r="I300" t="str">
        <f t="array" ref="I300">IFERROR(INDEX('Daily Raw Data'!O:O,Match($A300,'Daily Raw Data'!$B:$B,0)),"")</f>
        <v/>
      </c>
      <c r="J300" t="str">
        <f t="array" ref="J300">IFERROR(INDEX('Daily Raw Data'!S:S,Match($A300,'Daily Raw Data'!$B:$B,0)),"")</f>
        <v/>
      </c>
      <c r="K300" t="str">
        <f t="array" ref="K300">IFERROR(INDEX('Daily Raw Data'!T:T,Match($A300,'Daily Raw Data'!$B:$B,0)),"")</f>
        <v/>
      </c>
      <c r="L300" t="str">
        <f t="array" ref="L300">IFERROR(INDEX('Daily Raw Data'!U:U,Match($A300,'Daily Raw Data'!$B:$B,0)),"")</f>
        <v/>
      </c>
      <c r="M300" t="str">
        <f t="array" ref="M300">IFERROR(INDEX('Daily Raw Data'!V:V,Match($A300,'Daily Raw Data'!$B:$B,0)),"")</f>
        <v/>
      </c>
      <c r="N300" t="str">
        <f t="array" ref="N300">IFERROR(INDEX('Daily Raw Data'!W:W,Match($A300,'Daily Raw Data'!$B:$B,0)),"")</f>
        <v/>
      </c>
      <c r="O300" t="str">
        <f t="array" ref="O300">IFERROR(INDEX('Daily Raw Data'!Y:Y,Match($A300,'Daily Raw Data'!$B:$B,0)),"")</f>
        <v/>
      </c>
      <c r="P300" t="str">
        <f t="shared" si="1"/>
        <v/>
      </c>
      <c r="Q300" s="14" t="str">
        <f t="shared" si="2"/>
        <v/>
      </c>
      <c r="R300" s="15" t="str">
        <f>IFERROR(__xludf.DUMMYFUNCTION("IF($A300="""","""", IFERROR(PERCENTRANK.INC(FILTER(P:P,$E:$E&lt;&gt;""""),P300)*100,""""))"),"")</f>
        <v/>
      </c>
      <c r="S300" s="15" t="str">
        <f>IFERROR(__xludf.DUMMYFUNCTION("IF($A300="""","""",IFERROR(PERCENTRANK.INC(FILTER(Q:Q,$E:$E&lt;&gt;""""),Q300)*100,""""))"),"")</f>
        <v/>
      </c>
    </row>
    <row r="301">
      <c r="B301" t="str">
        <f t="array" ref="B301">IFERROR(INDEX('Player Raw Data'!C:C,Match($A301,'Player Raw Data'!$B:$B,0)),"")</f>
        <v/>
      </c>
      <c r="C301" t="str">
        <f t="array" ref="C301">IFERROR(INDEX('Player Raw Data'!D:D,Match($A301,'Player Raw Data'!$B:$B,0)),"")</f>
        <v/>
      </c>
      <c r="D301" t="str">
        <f t="array" ref="D301">IFERROR(IF(A301=A300, INDEX('Player Raw Data'!E:E,Match($A301,'Player Raw Data'!$B:$B,0)+2),INDEX('Player Raw Data'!E:E,Match($A301,'Player Raw Data'!$B:$B,0))),"")</f>
        <v/>
      </c>
      <c r="E301" s="27" t="str">
        <f>IFERROR(__xludf.DUMMYFUNCTION("IFERROR(ARRAY_CONSTRAIN(SPLIT(INDEX('Daily Raw Data'!G:G,Match($A301,'Daily Raw Data'!$B:$B,0)),"":""),1,1),"""")"),"")</f>
        <v/>
      </c>
      <c r="F301" t="str">
        <f t="array" ref="F301">IFERROR(INDEX('Daily Raw Data'!H:H,Match($A301,'Daily Raw Data'!$B:$B,0)),"")</f>
        <v/>
      </c>
      <c r="G301" t="str">
        <f t="array" ref="G301">IFERROR(INDEX('Daily Raw Data'!I:I,Match($A301,'Daily Raw Data'!$B:$B,0)),"")</f>
        <v/>
      </c>
      <c r="H301" t="str">
        <f t="array" ref="H301">IFERROR(INDEX('Daily Raw Data'!N:N,Match($A301,'Daily Raw Data'!$B:$B,0)),"")</f>
        <v/>
      </c>
      <c r="I301" t="str">
        <f t="array" ref="I301">IFERROR(INDEX('Daily Raw Data'!O:O,Match($A301,'Daily Raw Data'!$B:$B,0)),"")</f>
        <v/>
      </c>
      <c r="J301" t="str">
        <f t="array" ref="J301">IFERROR(INDEX('Daily Raw Data'!S:S,Match($A301,'Daily Raw Data'!$B:$B,0)),"")</f>
        <v/>
      </c>
      <c r="K301" t="str">
        <f t="array" ref="K301">IFERROR(INDEX('Daily Raw Data'!T:T,Match($A301,'Daily Raw Data'!$B:$B,0)),"")</f>
        <v/>
      </c>
      <c r="L301" t="str">
        <f t="array" ref="L301">IFERROR(INDEX('Daily Raw Data'!U:U,Match($A301,'Daily Raw Data'!$B:$B,0)),"")</f>
        <v/>
      </c>
      <c r="M301" t="str">
        <f t="array" ref="M301">IFERROR(INDEX('Daily Raw Data'!V:V,Match($A301,'Daily Raw Data'!$B:$B,0)),"")</f>
        <v/>
      </c>
      <c r="N301" t="str">
        <f t="array" ref="N301">IFERROR(INDEX('Daily Raw Data'!W:W,Match($A301,'Daily Raw Data'!$B:$B,0)),"")</f>
        <v/>
      </c>
      <c r="O301" t="str">
        <f t="array" ref="O301">IFERROR(INDEX('Daily Raw Data'!Y:Y,Match($A301,'Daily Raw Data'!$B:$B,0)),"")</f>
        <v/>
      </c>
      <c r="P301" t="str">
        <f t="shared" si="1"/>
        <v/>
      </c>
      <c r="Q301" s="14" t="str">
        <f t="shared" si="2"/>
        <v/>
      </c>
      <c r="R301" s="15" t="str">
        <f>IFERROR(__xludf.DUMMYFUNCTION("IF($A301="""","""", IFERROR(PERCENTRANK.INC(FILTER(P:P,$E:$E&lt;&gt;""""),P301)*100,""""))"),"")</f>
        <v/>
      </c>
      <c r="S301" s="15" t="str">
        <f>IFERROR(__xludf.DUMMYFUNCTION("IF($A301="""","""",IFERROR(PERCENTRANK.INC(FILTER(Q:Q,$E:$E&lt;&gt;""""),Q301)*100,""""))"),"")</f>
        <v/>
      </c>
    </row>
    <row r="302">
      <c r="B302" t="str">
        <f t="array" ref="B302">IFERROR(INDEX('Player Raw Data'!C:C,Match($A302,'Player Raw Data'!$B:$B,0)),"")</f>
        <v/>
      </c>
      <c r="C302" t="str">
        <f t="array" ref="C302">IFERROR(INDEX('Player Raw Data'!D:D,Match($A302,'Player Raw Data'!$B:$B,0)),"")</f>
        <v/>
      </c>
      <c r="D302" t="str">
        <f t="array" ref="D302">IFERROR(IF(A302=A301, INDEX('Player Raw Data'!E:E,Match($A302,'Player Raw Data'!$B:$B,0)+2),INDEX('Player Raw Data'!E:E,Match($A302,'Player Raw Data'!$B:$B,0))),"")</f>
        <v/>
      </c>
      <c r="E302" s="27" t="str">
        <f>IFERROR(__xludf.DUMMYFUNCTION("IFERROR(ARRAY_CONSTRAIN(SPLIT(INDEX('Daily Raw Data'!G:G,Match($A302,'Daily Raw Data'!$B:$B,0)),"":""),1,1),"""")"),"")</f>
        <v/>
      </c>
      <c r="F302" t="str">
        <f t="array" ref="F302">IFERROR(INDEX('Daily Raw Data'!H:H,Match($A302,'Daily Raw Data'!$B:$B,0)),"")</f>
        <v/>
      </c>
      <c r="G302" t="str">
        <f t="array" ref="G302">IFERROR(INDEX('Daily Raw Data'!I:I,Match($A302,'Daily Raw Data'!$B:$B,0)),"")</f>
        <v/>
      </c>
      <c r="H302" t="str">
        <f t="array" ref="H302">IFERROR(INDEX('Daily Raw Data'!N:N,Match($A302,'Daily Raw Data'!$B:$B,0)),"")</f>
        <v/>
      </c>
      <c r="I302" t="str">
        <f t="array" ref="I302">IFERROR(INDEX('Daily Raw Data'!O:O,Match($A302,'Daily Raw Data'!$B:$B,0)),"")</f>
        <v/>
      </c>
      <c r="J302" t="str">
        <f t="array" ref="J302">IFERROR(INDEX('Daily Raw Data'!S:S,Match($A302,'Daily Raw Data'!$B:$B,0)),"")</f>
        <v/>
      </c>
      <c r="K302" t="str">
        <f t="array" ref="K302">IFERROR(INDEX('Daily Raw Data'!T:T,Match($A302,'Daily Raw Data'!$B:$B,0)),"")</f>
        <v/>
      </c>
      <c r="L302" t="str">
        <f t="array" ref="L302">IFERROR(INDEX('Daily Raw Data'!U:U,Match($A302,'Daily Raw Data'!$B:$B,0)),"")</f>
        <v/>
      </c>
      <c r="M302" t="str">
        <f t="array" ref="M302">IFERROR(INDEX('Daily Raw Data'!V:V,Match($A302,'Daily Raw Data'!$B:$B,0)),"")</f>
        <v/>
      </c>
      <c r="N302" t="str">
        <f t="array" ref="N302">IFERROR(INDEX('Daily Raw Data'!W:W,Match($A302,'Daily Raw Data'!$B:$B,0)),"")</f>
        <v/>
      </c>
      <c r="O302" t="str">
        <f t="array" ref="O302">IFERROR(INDEX('Daily Raw Data'!Y:Y,Match($A302,'Daily Raw Data'!$B:$B,0)),"")</f>
        <v/>
      </c>
      <c r="P302" t="str">
        <f t="shared" si="1"/>
        <v/>
      </c>
      <c r="Q302" s="14" t="str">
        <f t="shared" si="2"/>
        <v/>
      </c>
      <c r="R302" s="15" t="str">
        <f>IFERROR(__xludf.DUMMYFUNCTION("IF($A302="""","""", IFERROR(PERCENTRANK.INC(FILTER(P:P,$E:$E&lt;&gt;""""),P302)*100,""""))"),"")</f>
        <v/>
      </c>
      <c r="S302" s="15" t="str">
        <f>IFERROR(__xludf.DUMMYFUNCTION("IF($A302="""","""",IFERROR(PERCENTRANK.INC(FILTER(Q:Q,$E:$E&lt;&gt;""""),Q302)*100,""""))"),"")</f>
        <v/>
      </c>
    </row>
    <row r="303">
      <c r="B303" t="str">
        <f t="array" ref="B303">IFERROR(INDEX('Player Raw Data'!C:C,Match($A303,'Player Raw Data'!$B:$B,0)),"")</f>
        <v/>
      </c>
      <c r="C303" t="str">
        <f t="array" ref="C303">IFERROR(INDEX('Player Raw Data'!D:D,Match($A303,'Player Raw Data'!$B:$B,0)),"")</f>
        <v/>
      </c>
      <c r="D303" t="str">
        <f t="array" ref="D303">IFERROR(IF(A303=A302, INDEX('Player Raw Data'!E:E,Match($A303,'Player Raw Data'!$B:$B,0)+2),INDEX('Player Raw Data'!E:E,Match($A303,'Player Raw Data'!$B:$B,0))),"")</f>
        <v/>
      </c>
      <c r="E303" s="27" t="str">
        <f>IFERROR(__xludf.DUMMYFUNCTION("IFERROR(ARRAY_CONSTRAIN(SPLIT(INDEX('Daily Raw Data'!G:G,Match($A303,'Daily Raw Data'!$B:$B,0)),"":""),1,1),"""")"),"")</f>
        <v/>
      </c>
      <c r="F303" t="str">
        <f t="array" ref="F303">IFERROR(INDEX('Daily Raw Data'!H:H,Match($A303,'Daily Raw Data'!$B:$B,0)),"")</f>
        <v/>
      </c>
      <c r="G303" t="str">
        <f t="array" ref="G303">IFERROR(INDEX('Daily Raw Data'!I:I,Match($A303,'Daily Raw Data'!$B:$B,0)),"")</f>
        <v/>
      </c>
      <c r="H303" t="str">
        <f t="array" ref="H303">IFERROR(INDEX('Daily Raw Data'!N:N,Match($A303,'Daily Raw Data'!$B:$B,0)),"")</f>
        <v/>
      </c>
      <c r="I303" t="str">
        <f t="array" ref="I303">IFERROR(INDEX('Daily Raw Data'!O:O,Match($A303,'Daily Raw Data'!$B:$B,0)),"")</f>
        <v/>
      </c>
      <c r="J303" t="str">
        <f t="array" ref="J303">IFERROR(INDEX('Daily Raw Data'!S:S,Match($A303,'Daily Raw Data'!$B:$B,0)),"")</f>
        <v/>
      </c>
      <c r="K303" t="str">
        <f t="array" ref="K303">IFERROR(INDEX('Daily Raw Data'!T:T,Match($A303,'Daily Raw Data'!$B:$B,0)),"")</f>
        <v/>
      </c>
      <c r="L303" t="str">
        <f t="array" ref="L303">IFERROR(INDEX('Daily Raw Data'!U:U,Match($A303,'Daily Raw Data'!$B:$B,0)),"")</f>
        <v/>
      </c>
      <c r="M303" t="str">
        <f t="array" ref="M303">IFERROR(INDEX('Daily Raw Data'!V:V,Match($A303,'Daily Raw Data'!$B:$B,0)),"")</f>
        <v/>
      </c>
      <c r="N303" t="str">
        <f t="array" ref="N303">IFERROR(INDEX('Daily Raw Data'!W:W,Match($A303,'Daily Raw Data'!$B:$B,0)),"")</f>
        <v/>
      </c>
      <c r="O303" t="str">
        <f t="array" ref="O303">IFERROR(INDEX('Daily Raw Data'!Y:Y,Match($A303,'Daily Raw Data'!$B:$B,0)),"")</f>
        <v/>
      </c>
      <c r="P303" t="str">
        <f t="shared" si="1"/>
        <v/>
      </c>
      <c r="Q303" s="14" t="str">
        <f t="shared" si="2"/>
        <v/>
      </c>
      <c r="R303" s="15" t="str">
        <f>IFERROR(__xludf.DUMMYFUNCTION("IF($A303="""","""", IFERROR(PERCENTRANK.INC(FILTER(P:P,$E:$E&lt;&gt;""""),P303)*100,""""))"),"")</f>
        <v/>
      </c>
      <c r="S303" s="15" t="str">
        <f>IFERROR(__xludf.DUMMYFUNCTION("IF($A303="""","""",IFERROR(PERCENTRANK.INC(FILTER(Q:Q,$E:$E&lt;&gt;""""),Q303)*100,""""))"),"")</f>
        <v/>
      </c>
    </row>
    <row r="304">
      <c r="B304" t="str">
        <f t="array" ref="B304">IFERROR(INDEX('Player Raw Data'!C:C,Match($A304,'Player Raw Data'!$B:$B,0)),"")</f>
        <v/>
      </c>
      <c r="C304" t="str">
        <f t="array" ref="C304">IFERROR(INDEX('Player Raw Data'!D:D,Match($A304,'Player Raw Data'!$B:$B,0)),"")</f>
        <v/>
      </c>
      <c r="D304" t="str">
        <f t="array" ref="D304">IFERROR(IF(A304=A303, INDEX('Player Raw Data'!E:E,Match($A304,'Player Raw Data'!$B:$B,0)+2),INDEX('Player Raw Data'!E:E,Match($A304,'Player Raw Data'!$B:$B,0))),"")</f>
        <v/>
      </c>
      <c r="E304" s="27" t="str">
        <f>IFERROR(__xludf.DUMMYFUNCTION("IFERROR(ARRAY_CONSTRAIN(SPLIT(INDEX('Daily Raw Data'!G:G,Match($A304,'Daily Raw Data'!$B:$B,0)),"":""),1,1),"""")"),"")</f>
        <v/>
      </c>
      <c r="F304" t="str">
        <f t="array" ref="F304">IFERROR(INDEX('Daily Raw Data'!H:H,Match($A304,'Daily Raw Data'!$B:$B,0)),"")</f>
        <v/>
      </c>
      <c r="G304" t="str">
        <f t="array" ref="G304">IFERROR(INDEX('Daily Raw Data'!I:I,Match($A304,'Daily Raw Data'!$B:$B,0)),"")</f>
        <v/>
      </c>
      <c r="H304" t="str">
        <f t="array" ref="H304">IFERROR(INDEX('Daily Raw Data'!N:N,Match($A304,'Daily Raw Data'!$B:$B,0)),"")</f>
        <v/>
      </c>
      <c r="I304" t="str">
        <f t="array" ref="I304">IFERROR(INDEX('Daily Raw Data'!O:O,Match($A304,'Daily Raw Data'!$B:$B,0)),"")</f>
        <v/>
      </c>
      <c r="J304" t="str">
        <f t="array" ref="J304">IFERROR(INDEX('Daily Raw Data'!S:S,Match($A304,'Daily Raw Data'!$B:$B,0)),"")</f>
        <v/>
      </c>
      <c r="K304" t="str">
        <f t="array" ref="K304">IFERROR(INDEX('Daily Raw Data'!T:T,Match($A304,'Daily Raw Data'!$B:$B,0)),"")</f>
        <v/>
      </c>
      <c r="L304" t="str">
        <f t="array" ref="L304">IFERROR(INDEX('Daily Raw Data'!U:U,Match($A304,'Daily Raw Data'!$B:$B,0)),"")</f>
        <v/>
      </c>
      <c r="M304" t="str">
        <f t="array" ref="M304">IFERROR(INDEX('Daily Raw Data'!V:V,Match($A304,'Daily Raw Data'!$B:$B,0)),"")</f>
        <v/>
      </c>
      <c r="N304" t="str">
        <f t="array" ref="N304">IFERROR(INDEX('Daily Raw Data'!W:W,Match($A304,'Daily Raw Data'!$B:$B,0)),"")</f>
        <v/>
      </c>
      <c r="O304" t="str">
        <f t="array" ref="O304">IFERROR(INDEX('Daily Raw Data'!Y:Y,Match($A304,'Daily Raw Data'!$B:$B,0)),"")</f>
        <v/>
      </c>
      <c r="P304" t="str">
        <f t="shared" si="1"/>
        <v/>
      </c>
      <c r="Q304" s="14" t="str">
        <f t="shared" si="2"/>
        <v/>
      </c>
      <c r="R304" s="15" t="str">
        <f>IFERROR(__xludf.DUMMYFUNCTION("IF($A304="""","""", IFERROR(PERCENTRANK.INC(FILTER(P:P,$E:$E&lt;&gt;""""),P304)*100,""""))"),"")</f>
        <v/>
      </c>
      <c r="S304" s="15" t="str">
        <f>IFERROR(__xludf.DUMMYFUNCTION("IF($A304="""","""",IFERROR(PERCENTRANK.INC(FILTER(Q:Q,$E:$E&lt;&gt;""""),Q304)*100,""""))"),"")</f>
        <v/>
      </c>
    </row>
    <row r="305">
      <c r="B305" t="str">
        <f t="array" ref="B305">IFERROR(INDEX('Player Raw Data'!C:C,Match($A305,'Player Raw Data'!$B:$B,0)),"")</f>
        <v/>
      </c>
      <c r="C305" t="str">
        <f t="array" ref="C305">IFERROR(INDEX('Player Raw Data'!D:D,Match($A305,'Player Raw Data'!$B:$B,0)),"")</f>
        <v/>
      </c>
      <c r="D305" t="str">
        <f t="array" ref="D305">IFERROR(IF(A305=A304, INDEX('Player Raw Data'!E:E,Match($A305,'Player Raw Data'!$B:$B,0)+2),INDEX('Player Raw Data'!E:E,Match($A305,'Player Raw Data'!$B:$B,0))),"")</f>
        <v/>
      </c>
      <c r="E305" s="27" t="str">
        <f>IFERROR(__xludf.DUMMYFUNCTION("IFERROR(ARRAY_CONSTRAIN(SPLIT(INDEX('Daily Raw Data'!G:G,Match($A305,'Daily Raw Data'!$B:$B,0)),"":""),1,1),"""")"),"")</f>
        <v/>
      </c>
      <c r="F305" t="str">
        <f t="array" ref="F305">IFERROR(INDEX('Daily Raw Data'!H:H,Match($A305,'Daily Raw Data'!$B:$B,0)),"")</f>
        <v/>
      </c>
      <c r="G305" t="str">
        <f t="array" ref="G305">IFERROR(INDEX('Daily Raw Data'!I:I,Match($A305,'Daily Raw Data'!$B:$B,0)),"")</f>
        <v/>
      </c>
      <c r="H305" t="str">
        <f t="array" ref="H305">IFERROR(INDEX('Daily Raw Data'!N:N,Match($A305,'Daily Raw Data'!$B:$B,0)),"")</f>
        <v/>
      </c>
      <c r="I305" t="str">
        <f t="array" ref="I305">IFERROR(INDEX('Daily Raw Data'!O:O,Match($A305,'Daily Raw Data'!$B:$B,0)),"")</f>
        <v/>
      </c>
      <c r="J305" t="str">
        <f t="array" ref="J305">IFERROR(INDEX('Daily Raw Data'!S:S,Match($A305,'Daily Raw Data'!$B:$B,0)),"")</f>
        <v/>
      </c>
      <c r="K305" t="str">
        <f t="array" ref="K305">IFERROR(INDEX('Daily Raw Data'!T:T,Match($A305,'Daily Raw Data'!$B:$B,0)),"")</f>
        <v/>
      </c>
      <c r="L305" t="str">
        <f t="array" ref="L305">IFERROR(INDEX('Daily Raw Data'!U:U,Match($A305,'Daily Raw Data'!$B:$B,0)),"")</f>
        <v/>
      </c>
      <c r="M305" t="str">
        <f t="array" ref="M305">IFERROR(INDEX('Daily Raw Data'!V:V,Match($A305,'Daily Raw Data'!$B:$B,0)),"")</f>
        <v/>
      </c>
      <c r="N305" t="str">
        <f t="array" ref="N305">IFERROR(INDEX('Daily Raw Data'!W:W,Match($A305,'Daily Raw Data'!$B:$B,0)),"")</f>
        <v/>
      </c>
      <c r="O305" t="str">
        <f t="array" ref="O305">IFERROR(INDEX('Daily Raw Data'!Y:Y,Match($A305,'Daily Raw Data'!$B:$B,0)),"")</f>
        <v/>
      </c>
      <c r="P305" t="str">
        <f t="shared" si="1"/>
        <v/>
      </c>
      <c r="Q305" s="14" t="str">
        <f t="shared" si="2"/>
        <v/>
      </c>
      <c r="R305" s="15" t="str">
        <f>IFERROR(__xludf.DUMMYFUNCTION("IF($A305="""","""", IFERROR(PERCENTRANK.INC(FILTER(P:P,$E:$E&lt;&gt;""""),P305)*100,""""))"),"")</f>
        <v/>
      </c>
      <c r="S305" s="15" t="str">
        <f>IFERROR(__xludf.DUMMYFUNCTION("IF($A305="""","""",IFERROR(PERCENTRANK.INC(FILTER(Q:Q,$E:$E&lt;&gt;""""),Q305)*100,""""))"),"")</f>
        <v/>
      </c>
    </row>
    <row r="306">
      <c r="B306" t="str">
        <f t="array" ref="B306">IFERROR(INDEX('Player Raw Data'!C:C,Match($A306,'Player Raw Data'!$B:$B,0)),"")</f>
        <v/>
      </c>
      <c r="C306" t="str">
        <f t="array" ref="C306">IFERROR(INDEX('Player Raw Data'!D:D,Match($A306,'Player Raw Data'!$B:$B,0)),"")</f>
        <v/>
      </c>
      <c r="D306" t="str">
        <f t="array" ref="D306">IFERROR(IF(A306=A305, INDEX('Player Raw Data'!E:E,Match($A306,'Player Raw Data'!$B:$B,0)+2),INDEX('Player Raw Data'!E:E,Match($A306,'Player Raw Data'!$B:$B,0))),"")</f>
        <v/>
      </c>
      <c r="E306" s="27" t="str">
        <f>IFERROR(__xludf.DUMMYFUNCTION("IFERROR(ARRAY_CONSTRAIN(SPLIT(INDEX('Daily Raw Data'!G:G,Match($A306,'Daily Raw Data'!$B:$B,0)),"":""),1,1),"""")"),"")</f>
        <v/>
      </c>
      <c r="F306" t="str">
        <f t="array" ref="F306">IFERROR(INDEX('Daily Raw Data'!H:H,Match($A306,'Daily Raw Data'!$B:$B,0)),"")</f>
        <v/>
      </c>
      <c r="G306" t="str">
        <f t="array" ref="G306">IFERROR(INDEX('Daily Raw Data'!I:I,Match($A306,'Daily Raw Data'!$B:$B,0)),"")</f>
        <v/>
      </c>
      <c r="H306" t="str">
        <f t="array" ref="H306">IFERROR(INDEX('Daily Raw Data'!N:N,Match($A306,'Daily Raw Data'!$B:$B,0)),"")</f>
        <v/>
      </c>
      <c r="I306" t="str">
        <f t="array" ref="I306">IFERROR(INDEX('Daily Raw Data'!O:O,Match($A306,'Daily Raw Data'!$B:$B,0)),"")</f>
        <v/>
      </c>
      <c r="J306" t="str">
        <f t="array" ref="J306">IFERROR(INDEX('Daily Raw Data'!S:S,Match($A306,'Daily Raw Data'!$B:$B,0)),"")</f>
        <v/>
      </c>
      <c r="K306" t="str">
        <f t="array" ref="K306">IFERROR(INDEX('Daily Raw Data'!T:T,Match($A306,'Daily Raw Data'!$B:$B,0)),"")</f>
        <v/>
      </c>
      <c r="L306" t="str">
        <f t="array" ref="L306">IFERROR(INDEX('Daily Raw Data'!U:U,Match($A306,'Daily Raw Data'!$B:$B,0)),"")</f>
        <v/>
      </c>
      <c r="M306" t="str">
        <f t="array" ref="M306">IFERROR(INDEX('Daily Raw Data'!V:V,Match($A306,'Daily Raw Data'!$B:$B,0)),"")</f>
        <v/>
      </c>
      <c r="N306" t="str">
        <f t="array" ref="N306">IFERROR(INDEX('Daily Raw Data'!W:W,Match($A306,'Daily Raw Data'!$B:$B,0)),"")</f>
        <v/>
      </c>
      <c r="O306" t="str">
        <f t="array" ref="O306">IFERROR(INDEX('Daily Raw Data'!Y:Y,Match($A306,'Daily Raw Data'!$B:$B,0)),"")</f>
        <v/>
      </c>
      <c r="P306" t="str">
        <f t="shared" si="1"/>
        <v/>
      </c>
      <c r="Q306" s="14" t="str">
        <f t="shared" si="2"/>
        <v/>
      </c>
      <c r="R306" s="15" t="str">
        <f>IFERROR(__xludf.DUMMYFUNCTION("IF($A306="""","""", IFERROR(PERCENTRANK.INC(FILTER(P:P,$E:$E&lt;&gt;""""),P306)*100,""""))"),"")</f>
        <v/>
      </c>
      <c r="S306" s="15" t="str">
        <f>IFERROR(__xludf.DUMMYFUNCTION("IF($A306="""","""",IFERROR(PERCENTRANK.INC(FILTER(Q:Q,$E:$E&lt;&gt;""""),Q306)*100,""""))"),"")</f>
        <v/>
      </c>
    </row>
    <row r="307">
      <c r="B307" t="str">
        <f t="array" ref="B307">IFERROR(INDEX('Player Raw Data'!C:C,Match($A307,'Player Raw Data'!$B:$B,0)),"")</f>
        <v/>
      </c>
      <c r="C307" t="str">
        <f t="array" ref="C307">IFERROR(INDEX('Player Raw Data'!D:D,Match($A307,'Player Raw Data'!$B:$B,0)),"")</f>
        <v/>
      </c>
      <c r="D307" t="str">
        <f t="array" ref="D307">IFERROR(IF(A307=A306, INDEX('Player Raw Data'!E:E,Match($A307,'Player Raw Data'!$B:$B,0)+2),INDEX('Player Raw Data'!E:E,Match($A307,'Player Raw Data'!$B:$B,0))),"")</f>
        <v/>
      </c>
      <c r="E307" s="27" t="str">
        <f>IFERROR(__xludf.DUMMYFUNCTION("IFERROR(ARRAY_CONSTRAIN(SPLIT(INDEX('Daily Raw Data'!G:G,Match($A307,'Daily Raw Data'!$B:$B,0)),"":""),1,1),"""")"),"")</f>
        <v/>
      </c>
      <c r="F307" t="str">
        <f t="array" ref="F307">IFERROR(INDEX('Daily Raw Data'!H:H,Match($A307,'Daily Raw Data'!$B:$B,0)),"")</f>
        <v/>
      </c>
      <c r="G307" t="str">
        <f t="array" ref="G307">IFERROR(INDEX('Daily Raw Data'!I:I,Match($A307,'Daily Raw Data'!$B:$B,0)),"")</f>
        <v/>
      </c>
      <c r="H307" t="str">
        <f t="array" ref="H307">IFERROR(INDEX('Daily Raw Data'!N:N,Match($A307,'Daily Raw Data'!$B:$B,0)),"")</f>
        <v/>
      </c>
      <c r="I307" t="str">
        <f t="array" ref="I307">IFERROR(INDEX('Daily Raw Data'!O:O,Match($A307,'Daily Raw Data'!$B:$B,0)),"")</f>
        <v/>
      </c>
      <c r="J307" t="str">
        <f t="array" ref="J307">IFERROR(INDEX('Daily Raw Data'!S:S,Match($A307,'Daily Raw Data'!$B:$B,0)),"")</f>
        <v/>
      </c>
      <c r="K307" t="str">
        <f t="array" ref="K307">IFERROR(INDEX('Daily Raw Data'!T:T,Match($A307,'Daily Raw Data'!$B:$B,0)),"")</f>
        <v/>
      </c>
      <c r="L307" t="str">
        <f t="array" ref="L307">IFERROR(INDEX('Daily Raw Data'!U:U,Match($A307,'Daily Raw Data'!$B:$B,0)),"")</f>
        <v/>
      </c>
      <c r="M307" t="str">
        <f t="array" ref="M307">IFERROR(INDEX('Daily Raw Data'!V:V,Match($A307,'Daily Raw Data'!$B:$B,0)),"")</f>
        <v/>
      </c>
      <c r="N307" t="str">
        <f t="array" ref="N307">IFERROR(INDEX('Daily Raw Data'!W:W,Match($A307,'Daily Raw Data'!$B:$B,0)),"")</f>
        <v/>
      </c>
      <c r="O307" t="str">
        <f t="array" ref="O307">IFERROR(INDEX('Daily Raw Data'!Y:Y,Match($A307,'Daily Raw Data'!$B:$B,0)),"")</f>
        <v/>
      </c>
      <c r="P307" t="str">
        <f t="shared" si="1"/>
        <v/>
      </c>
      <c r="Q307" s="14" t="str">
        <f t="shared" si="2"/>
        <v/>
      </c>
      <c r="R307" s="15" t="str">
        <f>IFERROR(__xludf.DUMMYFUNCTION("IF($A307="""","""", IFERROR(PERCENTRANK.INC(FILTER(P:P,$E:$E&lt;&gt;""""),P307)*100,""""))"),"")</f>
        <v/>
      </c>
      <c r="S307" s="15" t="str">
        <f>IFERROR(__xludf.DUMMYFUNCTION("IF($A307="""","""",IFERROR(PERCENTRANK.INC(FILTER(Q:Q,$E:$E&lt;&gt;""""),Q307)*100,""""))"),"")</f>
        <v/>
      </c>
    </row>
    <row r="308">
      <c r="B308" t="str">
        <f t="array" ref="B308">IFERROR(INDEX('Player Raw Data'!C:C,Match($A308,'Player Raw Data'!$B:$B,0)),"")</f>
        <v/>
      </c>
      <c r="C308" t="str">
        <f t="array" ref="C308">IFERROR(INDEX('Player Raw Data'!D:D,Match($A308,'Player Raw Data'!$B:$B,0)),"")</f>
        <v/>
      </c>
      <c r="D308" t="str">
        <f t="array" ref="D308">IFERROR(IF(A308=A307, INDEX('Player Raw Data'!E:E,Match($A308,'Player Raw Data'!$B:$B,0)+2),INDEX('Player Raw Data'!E:E,Match($A308,'Player Raw Data'!$B:$B,0))),"")</f>
        <v/>
      </c>
      <c r="E308" s="27" t="str">
        <f>IFERROR(__xludf.DUMMYFUNCTION("IFERROR(ARRAY_CONSTRAIN(SPLIT(INDEX('Daily Raw Data'!G:G,Match($A308,'Daily Raw Data'!$B:$B,0)),"":""),1,1),"""")"),"")</f>
        <v/>
      </c>
      <c r="F308" t="str">
        <f t="array" ref="F308">IFERROR(INDEX('Daily Raw Data'!H:H,Match($A308,'Daily Raw Data'!$B:$B,0)),"")</f>
        <v/>
      </c>
      <c r="G308" t="str">
        <f t="array" ref="G308">IFERROR(INDEX('Daily Raw Data'!I:I,Match($A308,'Daily Raw Data'!$B:$B,0)),"")</f>
        <v/>
      </c>
      <c r="H308" t="str">
        <f t="array" ref="H308">IFERROR(INDEX('Daily Raw Data'!N:N,Match($A308,'Daily Raw Data'!$B:$B,0)),"")</f>
        <v/>
      </c>
      <c r="I308" t="str">
        <f t="array" ref="I308">IFERROR(INDEX('Daily Raw Data'!O:O,Match($A308,'Daily Raw Data'!$B:$B,0)),"")</f>
        <v/>
      </c>
      <c r="J308" t="str">
        <f t="array" ref="J308">IFERROR(INDEX('Daily Raw Data'!S:S,Match($A308,'Daily Raw Data'!$B:$B,0)),"")</f>
        <v/>
      </c>
      <c r="K308" t="str">
        <f t="array" ref="K308">IFERROR(INDEX('Daily Raw Data'!T:T,Match($A308,'Daily Raw Data'!$B:$B,0)),"")</f>
        <v/>
      </c>
      <c r="L308" t="str">
        <f t="array" ref="L308">IFERROR(INDEX('Daily Raw Data'!U:U,Match($A308,'Daily Raw Data'!$B:$B,0)),"")</f>
        <v/>
      </c>
      <c r="M308" t="str">
        <f t="array" ref="M308">IFERROR(INDEX('Daily Raw Data'!V:V,Match($A308,'Daily Raw Data'!$B:$B,0)),"")</f>
        <v/>
      </c>
      <c r="N308" t="str">
        <f t="array" ref="N308">IFERROR(INDEX('Daily Raw Data'!W:W,Match($A308,'Daily Raw Data'!$B:$B,0)),"")</f>
        <v/>
      </c>
      <c r="O308" t="str">
        <f t="array" ref="O308">IFERROR(INDEX('Daily Raw Data'!Y:Y,Match($A308,'Daily Raw Data'!$B:$B,0)),"")</f>
        <v/>
      </c>
      <c r="P308" t="str">
        <f t="shared" si="1"/>
        <v/>
      </c>
      <c r="Q308" s="14" t="str">
        <f t="shared" si="2"/>
        <v/>
      </c>
      <c r="R308" s="15" t="str">
        <f>IFERROR(__xludf.DUMMYFUNCTION("IF($A308="""","""", IFERROR(PERCENTRANK.INC(FILTER(P:P,$E:$E&lt;&gt;""""),P308)*100,""""))"),"")</f>
        <v/>
      </c>
      <c r="S308" s="15" t="str">
        <f>IFERROR(__xludf.DUMMYFUNCTION("IF($A308="""","""",IFERROR(PERCENTRANK.INC(FILTER(Q:Q,$E:$E&lt;&gt;""""),Q308)*100,""""))"),"")</f>
        <v/>
      </c>
    </row>
    <row r="309">
      <c r="B309" t="str">
        <f t="array" ref="B309">IFERROR(INDEX('Player Raw Data'!C:C,Match($A309,'Player Raw Data'!$B:$B,0)),"")</f>
        <v/>
      </c>
      <c r="C309" t="str">
        <f t="array" ref="C309">IFERROR(INDEX('Player Raw Data'!D:D,Match($A309,'Player Raw Data'!$B:$B,0)),"")</f>
        <v/>
      </c>
      <c r="D309" t="str">
        <f t="array" ref="D309">IFERROR(IF(A309=A308, INDEX('Player Raw Data'!E:E,Match($A309,'Player Raw Data'!$B:$B,0)+2),INDEX('Player Raw Data'!E:E,Match($A309,'Player Raw Data'!$B:$B,0))),"")</f>
        <v/>
      </c>
      <c r="E309" s="27" t="str">
        <f>IFERROR(__xludf.DUMMYFUNCTION("IFERROR(ARRAY_CONSTRAIN(SPLIT(INDEX('Daily Raw Data'!G:G,Match($A309,'Daily Raw Data'!$B:$B,0)),"":""),1,1),"""")"),"")</f>
        <v/>
      </c>
      <c r="F309" t="str">
        <f t="array" ref="F309">IFERROR(INDEX('Daily Raw Data'!H:H,Match($A309,'Daily Raw Data'!$B:$B,0)),"")</f>
        <v/>
      </c>
      <c r="G309" t="str">
        <f t="array" ref="G309">IFERROR(INDEX('Daily Raw Data'!I:I,Match($A309,'Daily Raw Data'!$B:$B,0)),"")</f>
        <v/>
      </c>
      <c r="H309" t="str">
        <f t="array" ref="H309">IFERROR(INDEX('Daily Raw Data'!N:N,Match($A309,'Daily Raw Data'!$B:$B,0)),"")</f>
        <v/>
      </c>
      <c r="I309" t="str">
        <f t="array" ref="I309">IFERROR(INDEX('Daily Raw Data'!O:O,Match($A309,'Daily Raw Data'!$B:$B,0)),"")</f>
        <v/>
      </c>
      <c r="J309" t="str">
        <f t="array" ref="J309">IFERROR(INDEX('Daily Raw Data'!S:S,Match($A309,'Daily Raw Data'!$B:$B,0)),"")</f>
        <v/>
      </c>
      <c r="K309" t="str">
        <f t="array" ref="K309">IFERROR(INDEX('Daily Raw Data'!T:T,Match($A309,'Daily Raw Data'!$B:$B,0)),"")</f>
        <v/>
      </c>
      <c r="L309" t="str">
        <f t="array" ref="L309">IFERROR(INDEX('Daily Raw Data'!U:U,Match($A309,'Daily Raw Data'!$B:$B,0)),"")</f>
        <v/>
      </c>
      <c r="M309" t="str">
        <f t="array" ref="M309">IFERROR(INDEX('Daily Raw Data'!V:V,Match($A309,'Daily Raw Data'!$B:$B,0)),"")</f>
        <v/>
      </c>
      <c r="N309" t="str">
        <f t="array" ref="N309">IFERROR(INDEX('Daily Raw Data'!W:W,Match($A309,'Daily Raw Data'!$B:$B,0)),"")</f>
        <v/>
      </c>
      <c r="O309" t="str">
        <f t="array" ref="O309">IFERROR(INDEX('Daily Raw Data'!Y:Y,Match($A309,'Daily Raw Data'!$B:$B,0)),"")</f>
        <v/>
      </c>
      <c r="P309" t="str">
        <f t="shared" si="1"/>
        <v/>
      </c>
      <c r="Q309" s="14" t="str">
        <f t="shared" si="2"/>
        <v/>
      </c>
      <c r="R309" s="15" t="str">
        <f>IFERROR(__xludf.DUMMYFUNCTION("IF($A309="""","""", IFERROR(PERCENTRANK.INC(FILTER(P:P,$E:$E&lt;&gt;""""),P309)*100,""""))"),"")</f>
        <v/>
      </c>
      <c r="S309" s="15" t="str">
        <f>IFERROR(__xludf.DUMMYFUNCTION("IF($A309="""","""",IFERROR(PERCENTRANK.INC(FILTER(Q:Q,$E:$E&lt;&gt;""""),Q309)*100,""""))"),"")</f>
        <v/>
      </c>
    </row>
    <row r="310">
      <c r="B310" t="str">
        <f t="array" ref="B310">IFERROR(INDEX('Player Raw Data'!C:C,Match($A310,'Player Raw Data'!$B:$B,0)),"")</f>
        <v/>
      </c>
      <c r="C310" t="str">
        <f t="array" ref="C310">IFERROR(INDEX('Player Raw Data'!D:D,Match($A310,'Player Raw Data'!$B:$B,0)),"")</f>
        <v/>
      </c>
      <c r="D310" t="str">
        <f t="array" ref="D310">IFERROR(IF(A310=A309, INDEX('Player Raw Data'!E:E,Match($A310,'Player Raw Data'!$B:$B,0)+2),INDEX('Player Raw Data'!E:E,Match($A310,'Player Raw Data'!$B:$B,0))),"")</f>
        <v/>
      </c>
      <c r="E310" s="27" t="str">
        <f>IFERROR(__xludf.DUMMYFUNCTION("IFERROR(ARRAY_CONSTRAIN(SPLIT(INDEX('Daily Raw Data'!G:G,Match($A310,'Daily Raw Data'!$B:$B,0)),"":""),1,1),"""")"),"")</f>
        <v/>
      </c>
      <c r="F310" t="str">
        <f t="array" ref="F310">IFERROR(INDEX('Daily Raw Data'!H:H,Match($A310,'Daily Raw Data'!$B:$B,0)),"")</f>
        <v/>
      </c>
      <c r="G310" t="str">
        <f t="array" ref="G310">IFERROR(INDEX('Daily Raw Data'!I:I,Match($A310,'Daily Raw Data'!$B:$B,0)),"")</f>
        <v/>
      </c>
      <c r="H310" t="str">
        <f t="array" ref="H310">IFERROR(INDEX('Daily Raw Data'!N:N,Match($A310,'Daily Raw Data'!$B:$B,0)),"")</f>
        <v/>
      </c>
      <c r="I310" t="str">
        <f t="array" ref="I310">IFERROR(INDEX('Daily Raw Data'!O:O,Match($A310,'Daily Raw Data'!$B:$B,0)),"")</f>
        <v/>
      </c>
      <c r="J310" t="str">
        <f t="array" ref="J310">IFERROR(INDEX('Daily Raw Data'!S:S,Match($A310,'Daily Raw Data'!$B:$B,0)),"")</f>
        <v/>
      </c>
      <c r="K310" t="str">
        <f t="array" ref="K310">IFERROR(INDEX('Daily Raw Data'!T:T,Match($A310,'Daily Raw Data'!$B:$B,0)),"")</f>
        <v/>
      </c>
      <c r="L310" t="str">
        <f t="array" ref="L310">IFERROR(INDEX('Daily Raw Data'!U:U,Match($A310,'Daily Raw Data'!$B:$B,0)),"")</f>
        <v/>
      </c>
      <c r="M310" t="str">
        <f t="array" ref="M310">IFERROR(INDEX('Daily Raw Data'!V:V,Match($A310,'Daily Raw Data'!$B:$B,0)),"")</f>
        <v/>
      </c>
      <c r="N310" t="str">
        <f t="array" ref="N310">IFERROR(INDEX('Daily Raw Data'!W:W,Match($A310,'Daily Raw Data'!$B:$B,0)),"")</f>
        <v/>
      </c>
      <c r="O310" t="str">
        <f t="array" ref="O310">IFERROR(INDEX('Daily Raw Data'!Y:Y,Match($A310,'Daily Raw Data'!$B:$B,0)),"")</f>
        <v/>
      </c>
      <c r="P310" t="str">
        <f t="shared" si="1"/>
        <v/>
      </c>
      <c r="Q310" s="14" t="str">
        <f t="shared" si="2"/>
        <v/>
      </c>
      <c r="R310" s="15" t="str">
        <f>IFERROR(__xludf.DUMMYFUNCTION("IF($A310="""","""", IFERROR(PERCENTRANK.INC(FILTER(P:P,$E:$E&lt;&gt;""""),P310)*100,""""))"),"")</f>
        <v/>
      </c>
      <c r="S310" s="15" t="str">
        <f>IFERROR(__xludf.DUMMYFUNCTION("IF($A310="""","""",IFERROR(PERCENTRANK.INC(FILTER(Q:Q,$E:$E&lt;&gt;""""),Q310)*100,""""))"),"")</f>
        <v/>
      </c>
    </row>
    <row r="311">
      <c r="B311" t="str">
        <f t="array" ref="B311">IFERROR(INDEX('Player Raw Data'!C:C,Match($A311,'Player Raw Data'!$B:$B,0)),"")</f>
        <v/>
      </c>
      <c r="C311" t="str">
        <f t="array" ref="C311">IFERROR(INDEX('Player Raw Data'!D:D,Match($A311,'Player Raw Data'!$B:$B,0)),"")</f>
        <v/>
      </c>
      <c r="D311" t="str">
        <f t="array" ref="D311">IFERROR(IF(A311=A310, INDEX('Player Raw Data'!E:E,Match($A311,'Player Raw Data'!$B:$B,0)+2),INDEX('Player Raw Data'!E:E,Match($A311,'Player Raw Data'!$B:$B,0))),"")</f>
        <v/>
      </c>
      <c r="E311" s="27" t="str">
        <f>IFERROR(__xludf.DUMMYFUNCTION("IFERROR(ARRAY_CONSTRAIN(SPLIT(INDEX('Daily Raw Data'!G:G,Match($A311,'Daily Raw Data'!$B:$B,0)),"":""),1,1),"""")"),"")</f>
        <v/>
      </c>
      <c r="F311" t="str">
        <f t="array" ref="F311">IFERROR(INDEX('Daily Raw Data'!H:H,Match($A311,'Daily Raw Data'!$B:$B,0)),"")</f>
        <v/>
      </c>
      <c r="G311" t="str">
        <f t="array" ref="G311">IFERROR(INDEX('Daily Raw Data'!I:I,Match($A311,'Daily Raw Data'!$B:$B,0)),"")</f>
        <v/>
      </c>
      <c r="H311" t="str">
        <f t="array" ref="H311">IFERROR(INDEX('Daily Raw Data'!N:N,Match($A311,'Daily Raw Data'!$B:$B,0)),"")</f>
        <v/>
      </c>
      <c r="I311" t="str">
        <f t="array" ref="I311">IFERROR(INDEX('Daily Raw Data'!O:O,Match($A311,'Daily Raw Data'!$B:$B,0)),"")</f>
        <v/>
      </c>
      <c r="J311" t="str">
        <f t="array" ref="J311">IFERROR(INDEX('Daily Raw Data'!S:S,Match($A311,'Daily Raw Data'!$B:$B,0)),"")</f>
        <v/>
      </c>
      <c r="K311" t="str">
        <f t="array" ref="K311">IFERROR(INDEX('Daily Raw Data'!T:T,Match($A311,'Daily Raw Data'!$B:$B,0)),"")</f>
        <v/>
      </c>
      <c r="L311" t="str">
        <f t="array" ref="L311">IFERROR(INDEX('Daily Raw Data'!U:U,Match($A311,'Daily Raw Data'!$B:$B,0)),"")</f>
        <v/>
      </c>
      <c r="M311" t="str">
        <f t="array" ref="M311">IFERROR(INDEX('Daily Raw Data'!V:V,Match($A311,'Daily Raw Data'!$B:$B,0)),"")</f>
        <v/>
      </c>
      <c r="N311" t="str">
        <f t="array" ref="N311">IFERROR(INDEX('Daily Raw Data'!W:W,Match($A311,'Daily Raw Data'!$B:$B,0)),"")</f>
        <v/>
      </c>
      <c r="O311" t="str">
        <f t="array" ref="O311">IFERROR(INDEX('Daily Raw Data'!Y:Y,Match($A311,'Daily Raw Data'!$B:$B,0)),"")</f>
        <v/>
      </c>
      <c r="P311" t="str">
        <f t="shared" si="1"/>
        <v/>
      </c>
      <c r="Q311" s="14" t="str">
        <f t="shared" si="2"/>
        <v/>
      </c>
      <c r="R311" s="15" t="str">
        <f>IFERROR(__xludf.DUMMYFUNCTION("IF($A311="""","""", IFERROR(PERCENTRANK.INC(FILTER(P:P,$E:$E&lt;&gt;""""),P311)*100,""""))"),"")</f>
        <v/>
      </c>
      <c r="S311" s="15" t="str">
        <f>IFERROR(__xludf.DUMMYFUNCTION("IF($A311="""","""",IFERROR(PERCENTRANK.INC(FILTER(Q:Q,$E:$E&lt;&gt;""""),Q311)*100,""""))"),"")</f>
        <v/>
      </c>
    </row>
    <row r="312">
      <c r="B312" t="str">
        <f t="array" ref="B312">IFERROR(INDEX('Player Raw Data'!C:C,Match($A312,'Player Raw Data'!$B:$B,0)),"")</f>
        <v/>
      </c>
      <c r="C312" t="str">
        <f t="array" ref="C312">IFERROR(INDEX('Player Raw Data'!D:D,Match($A312,'Player Raw Data'!$B:$B,0)),"")</f>
        <v/>
      </c>
      <c r="D312" t="str">
        <f t="array" ref="D312">IFERROR(IF(A312=A311, INDEX('Player Raw Data'!E:E,Match($A312,'Player Raw Data'!$B:$B,0)+2),INDEX('Player Raw Data'!E:E,Match($A312,'Player Raw Data'!$B:$B,0))),"")</f>
        <v/>
      </c>
      <c r="E312" s="27" t="str">
        <f>IFERROR(__xludf.DUMMYFUNCTION("IFERROR(ARRAY_CONSTRAIN(SPLIT(INDEX('Daily Raw Data'!G:G,Match($A312,'Daily Raw Data'!$B:$B,0)),"":""),1,1),"""")"),"")</f>
        <v/>
      </c>
      <c r="F312" t="str">
        <f t="array" ref="F312">IFERROR(INDEX('Daily Raw Data'!H:H,Match($A312,'Daily Raw Data'!$B:$B,0)),"")</f>
        <v/>
      </c>
      <c r="G312" t="str">
        <f t="array" ref="G312">IFERROR(INDEX('Daily Raw Data'!I:I,Match($A312,'Daily Raw Data'!$B:$B,0)),"")</f>
        <v/>
      </c>
      <c r="H312" t="str">
        <f t="array" ref="H312">IFERROR(INDEX('Daily Raw Data'!N:N,Match($A312,'Daily Raw Data'!$B:$B,0)),"")</f>
        <v/>
      </c>
      <c r="I312" t="str">
        <f t="array" ref="I312">IFERROR(INDEX('Daily Raw Data'!O:O,Match($A312,'Daily Raw Data'!$B:$B,0)),"")</f>
        <v/>
      </c>
      <c r="J312" t="str">
        <f t="array" ref="J312">IFERROR(INDEX('Daily Raw Data'!S:S,Match($A312,'Daily Raw Data'!$B:$B,0)),"")</f>
        <v/>
      </c>
      <c r="K312" t="str">
        <f t="array" ref="K312">IFERROR(INDEX('Daily Raw Data'!T:T,Match($A312,'Daily Raw Data'!$B:$B,0)),"")</f>
        <v/>
      </c>
      <c r="L312" t="str">
        <f t="array" ref="L312">IFERROR(INDEX('Daily Raw Data'!U:U,Match($A312,'Daily Raw Data'!$B:$B,0)),"")</f>
        <v/>
      </c>
      <c r="M312" t="str">
        <f t="array" ref="M312">IFERROR(INDEX('Daily Raw Data'!V:V,Match($A312,'Daily Raw Data'!$B:$B,0)),"")</f>
        <v/>
      </c>
      <c r="N312" t="str">
        <f t="array" ref="N312">IFERROR(INDEX('Daily Raw Data'!W:W,Match($A312,'Daily Raw Data'!$B:$B,0)),"")</f>
        <v/>
      </c>
      <c r="O312" t="str">
        <f t="array" ref="O312">IFERROR(INDEX('Daily Raw Data'!Y:Y,Match($A312,'Daily Raw Data'!$B:$B,0)),"")</f>
        <v/>
      </c>
      <c r="P312" t="str">
        <f t="shared" si="1"/>
        <v/>
      </c>
      <c r="Q312" s="14" t="str">
        <f t="shared" si="2"/>
        <v/>
      </c>
      <c r="R312" s="15" t="str">
        <f>IFERROR(__xludf.DUMMYFUNCTION("IF($A312="""","""", IFERROR(PERCENTRANK.INC(FILTER(P:P,$E:$E&lt;&gt;""""),P312)*100,""""))"),"")</f>
        <v/>
      </c>
      <c r="S312" s="15" t="str">
        <f>IFERROR(__xludf.DUMMYFUNCTION("IF($A312="""","""",IFERROR(PERCENTRANK.INC(FILTER(Q:Q,$E:$E&lt;&gt;""""),Q312)*100,""""))"),"")</f>
        <v/>
      </c>
    </row>
    <row r="313">
      <c r="B313" t="str">
        <f t="array" ref="B313">IFERROR(INDEX('Player Raw Data'!C:C,Match($A313,'Player Raw Data'!$B:$B,0)),"")</f>
        <v/>
      </c>
      <c r="C313" t="str">
        <f t="array" ref="C313">IFERROR(INDEX('Player Raw Data'!D:D,Match($A313,'Player Raw Data'!$B:$B,0)),"")</f>
        <v/>
      </c>
      <c r="D313" t="str">
        <f t="array" ref="D313">IFERROR(IF(A313=A312, INDEX('Player Raw Data'!E:E,Match($A313,'Player Raw Data'!$B:$B,0)+2),INDEX('Player Raw Data'!E:E,Match($A313,'Player Raw Data'!$B:$B,0))),"")</f>
        <v/>
      </c>
      <c r="E313" s="27" t="str">
        <f>IFERROR(__xludf.DUMMYFUNCTION("IFERROR(ARRAY_CONSTRAIN(SPLIT(INDEX('Daily Raw Data'!G:G,Match($A313,'Daily Raw Data'!$B:$B,0)),"":""),1,1),"""")"),"")</f>
        <v/>
      </c>
      <c r="F313" t="str">
        <f t="array" ref="F313">IFERROR(INDEX('Daily Raw Data'!H:H,Match($A313,'Daily Raw Data'!$B:$B,0)),"")</f>
        <v/>
      </c>
      <c r="G313" t="str">
        <f t="array" ref="G313">IFERROR(INDEX('Daily Raw Data'!I:I,Match($A313,'Daily Raw Data'!$B:$B,0)),"")</f>
        <v/>
      </c>
      <c r="H313" t="str">
        <f t="array" ref="H313">IFERROR(INDEX('Daily Raw Data'!N:N,Match($A313,'Daily Raw Data'!$B:$B,0)),"")</f>
        <v/>
      </c>
      <c r="I313" t="str">
        <f t="array" ref="I313">IFERROR(INDEX('Daily Raw Data'!O:O,Match($A313,'Daily Raw Data'!$B:$B,0)),"")</f>
        <v/>
      </c>
      <c r="J313" t="str">
        <f t="array" ref="J313">IFERROR(INDEX('Daily Raw Data'!S:S,Match($A313,'Daily Raw Data'!$B:$B,0)),"")</f>
        <v/>
      </c>
      <c r="K313" t="str">
        <f t="array" ref="K313">IFERROR(INDEX('Daily Raw Data'!T:T,Match($A313,'Daily Raw Data'!$B:$B,0)),"")</f>
        <v/>
      </c>
      <c r="L313" t="str">
        <f t="array" ref="L313">IFERROR(INDEX('Daily Raw Data'!U:U,Match($A313,'Daily Raw Data'!$B:$B,0)),"")</f>
        <v/>
      </c>
      <c r="M313" t="str">
        <f t="array" ref="M313">IFERROR(INDEX('Daily Raw Data'!V:V,Match($A313,'Daily Raw Data'!$B:$B,0)),"")</f>
        <v/>
      </c>
      <c r="N313" t="str">
        <f t="array" ref="N313">IFERROR(INDEX('Daily Raw Data'!W:W,Match($A313,'Daily Raw Data'!$B:$B,0)),"")</f>
        <v/>
      </c>
      <c r="O313" t="str">
        <f t="array" ref="O313">IFERROR(INDEX('Daily Raw Data'!Y:Y,Match($A313,'Daily Raw Data'!$B:$B,0)),"")</f>
        <v/>
      </c>
      <c r="P313" t="str">
        <f t="shared" si="1"/>
        <v/>
      </c>
      <c r="Q313" s="14" t="str">
        <f t="shared" si="2"/>
        <v/>
      </c>
      <c r="R313" s="15" t="str">
        <f>IFERROR(__xludf.DUMMYFUNCTION("IF($A313="""","""", IFERROR(PERCENTRANK.INC(FILTER(P:P,$E:$E&lt;&gt;""""),P313)*100,""""))"),"")</f>
        <v/>
      </c>
      <c r="S313" s="15" t="str">
        <f>IFERROR(__xludf.DUMMYFUNCTION("IF($A313="""","""",IFERROR(PERCENTRANK.INC(FILTER(Q:Q,$E:$E&lt;&gt;""""),Q313)*100,""""))"),"")</f>
        <v/>
      </c>
    </row>
    <row r="314">
      <c r="B314" t="str">
        <f t="array" ref="B314">IFERROR(INDEX('Player Raw Data'!C:C,Match($A314,'Player Raw Data'!$B:$B,0)),"")</f>
        <v/>
      </c>
      <c r="C314" t="str">
        <f t="array" ref="C314">IFERROR(INDEX('Player Raw Data'!D:D,Match($A314,'Player Raw Data'!$B:$B,0)),"")</f>
        <v/>
      </c>
      <c r="D314" t="str">
        <f t="array" ref="D314">IFERROR(IF(A314=A313, INDEX('Player Raw Data'!E:E,Match($A314,'Player Raw Data'!$B:$B,0)+2),INDEX('Player Raw Data'!E:E,Match($A314,'Player Raw Data'!$B:$B,0))),"")</f>
        <v/>
      </c>
      <c r="E314" s="27" t="str">
        <f>IFERROR(__xludf.DUMMYFUNCTION("IFERROR(ARRAY_CONSTRAIN(SPLIT(INDEX('Daily Raw Data'!G:G,Match($A314,'Daily Raw Data'!$B:$B,0)),"":""),1,1),"""")"),"")</f>
        <v/>
      </c>
      <c r="F314" t="str">
        <f t="array" ref="F314">IFERROR(INDEX('Daily Raw Data'!H:H,Match($A314,'Daily Raw Data'!$B:$B,0)),"")</f>
        <v/>
      </c>
      <c r="G314" t="str">
        <f t="array" ref="G314">IFERROR(INDEX('Daily Raw Data'!I:I,Match($A314,'Daily Raw Data'!$B:$B,0)),"")</f>
        <v/>
      </c>
      <c r="H314" t="str">
        <f t="array" ref="H314">IFERROR(INDEX('Daily Raw Data'!N:N,Match($A314,'Daily Raw Data'!$B:$B,0)),"")</f>
        <v/>
      </c>
      <c r="I314" t="str">
        <f t="array" ref="I314">IFERROR(INDEX('Daily Raw Data'!O:O,Match($A314,'Daily Raw Data'!$B:$B,0)),"")</f>
        <v/>
      </c>
      <c r="J314" t="str">
        <f t="array" ref="J314">IFERROR(INDEX('Daily Raw Data'!S:S,Match($A314,'Daily Raw Data'!$B:$B,0)),"")</f>
        <v/>
      </c>
      <c r="K314" t="str">
        <f t="array" ref="K314">IFERROR(INDEX('Daily Raw Data'!T:T,Match($A314,'Daily Raw Data'!$B:$B,0)),"")</f>
        <v/>
      </c>
      <c r="L314" t="str">
        <f t="array" ref="L314">IFERROR(INDEX('Daily Raw Data'!U:U,Match($A314,'Daily Raw Data'!$B:$B,0)),"")</f>
        <v/>
      </c>
      <c r="M314" t="str">
        <f t="array" ref="M314">IFERROR(INDEX('Daily Raw Data'!V:V,Match($A314,'Daily Raw Data'!$B:$B,0)),"")</f>
        <v/>
      </c>
      <c r="N314" t="str">
        <f t="array" ref="N314">IFERROR(INDEX('Daily Raw Data'!W:W,Match($A314,'Daily Raw Data'!$B:$B,0)),"")</f>
        <v/>
      </c>
      <c r="O314" t="str">
        <f t="array" ref="O314">IFERROR(INDEX('Daily Raw Data'!Y:Y,Match($A314,'Daily Raw Data'!$B:$B,0)),"")</f>
        <v/>
      </c>
      <c r="P314" t="str">
        <f t="shared" si="1"/>
        <v/>
      </c>
      <c r="Q314" s="14" t="str">
        <f t="shared" si="2"/>
        <v/>
      </c>
      <c r="R314" s="15" t="str">
        <f>IFERROR(__xludf.DUMMYFUNCTION("IF($A314="""","""", IFERROR(PERCENTRANK.INC(FILTER(P:P,$E:$E&lt;&gt;""""),P314)*100,""""))"),"")</f>
        <v/>
      </c>
      <c r="S314" s="15" t="str">
        <f>IFERROR(__xludf.DUMMYFUNCTION("IF($A314="""","""",IFERROR(PERCENTRANK.INC(FILTER(Q:Q,$E:$E&lt;&gt;""""),Q314)*100,""""))"),"")</f>
        <v/>
      </c>
    </row>
    <row r="315">
      <c r="B315" t="str">
        <f t="array" ref="B315">IFERROR(INDEX('Player Raw Data'!C:C,Match($A315,'Player Raw Data'!$B:$B,0)),"")</f>
        <v/>
      </c>
      <c r="C315" t="str">
        <f t="array" ref="C315">IFERROR(INDEX('Player Raw Data'!D:D,Match($A315,'Player Raw Data'!$B:$B,0)),"")</f>
        <v/>
      </c>
      <c r="D315" t="str">
        <f t="array" ref="D315">IFERROR(IF(A315=A314, INDEX('Player Raw Data'!E:E,Match($A315,'Player Raw Data'!$B:$B,0)+2),INDEX('Player Raw Data'!E:E,Match($A315,'Player Raw Data'!$B:$B,0))),"")</f>
        <v/>
      </c>
      <c r="E315" s="27" t="str">
        <f>IFERROR(__xludf.DUMMYFUNCTION("IFERROR(ARRAY_CONSTRAIN(SPLIT(INDEX('Daily Raw Data'!G:G,Match($A315,'Daily Raw Data'!$B:$B,0)),"":""),1,1),"""")"),"")</f>
        <v/>
      </c>
      <c r="F315" t="str">
        <f t="array" ref="F315">IFERROR(INDEX('Daily Raw Data'!H:H,Match($A315,'Daily Raw Data'!$B:$B,0)),"")</f>
        <v/>
      </c>
      <c r="G315" t="str">
        <f t="array" ref="G315">IFERROR(INDEX('Daily Raw Data'!I:I,Match($A315,'Daily Raw Data'!$B:$B,0)),"")</f>
        <v/>
      </c>
      <c r="H315" t="str">
        <f t="array" ref="H315">IFERROR(INDEX('Daily Raw Data'!N:N,Match($A315,'Daily Raw Data'!$B:$B,0)),"")</f>
        <v/>
      </c>
      <c r="I315" t="str">
        <f t="array" ref="I315">IFERROR(INDEX('Daily Raw Data'!O:O,Match($A315,'Daily Raw Data'!$B:$B,0)),"")</f>
        <v/>
      </c>
      <c r="J315" t="str">
        <f t="array" ref="J315">IFERROR(INDEX('Daily Raw Data'!S:S,Match($A315,'Daily Raw Data'!$B:$B,0)),"")</f>
        <v/>
      </c>
      <c r="K315" t="str">
        <f t="array" ref="K315">IFERROR(INDEX('Daily Raw Data'!T:T,Match($A315,'Daily Raw Data'!$B:$B,0)),"")</f>
        <v/>
      </c>
      <c r="L315" t="str">
        <f t="array" ref="L315">IFERROR(INDEX('Daily Raw Data'!U:U,Match($A315,'Daily Raw Data'!$B:$B,0)),"")</f>
        <v/>
      </c>
      <c r="M315" t="str">
        <f t="array" ref="M315">IFERROR(INDEX('Daily Raw Data'!V:V,Match($A315,'Daily Raw Data'!$B:$B,0)),"")</f>
        <v/>
      </c>
      <c r="N315" t="str">
        <f t="array" ref="N315">IFERROR(INDEX('Daily Raw Data'!W:W,Match($A315,'Daily Raw Data'!$B:$B,0)),"")</f>
        <v/>
      </c>
      <c r="O315" t="str">
        <f t="array" ref="O315">IFERROR(INDEX('Daily Raw Data'!Y:Y,Match($A315,'Daily Raw Data'!$B:$B,0)),"")</f>
        <v/>
      </c>
      <c r="P315" t="str">
        <f t="shared" si="1"/>
        <v/>
      </c>
      <c r="Q315" s="14" t="str">
        <f t="shared" si="2"/>
        <v/>
      </c>
      <c r="R315" s="15" t="str">
        <f>IFERROR(__xludf.DUMMYFUNCTION("IF($A315="""","""", IFERROR(PERCENTRANK.INC(FILTER(P:P,$E:$E&lt;&gt;""""),P315)*100,""""))"),"")</f>
        <v/>
      </c>
      <c r="S315" s="15" t="str">
        <f>IFERROR(__xludf.DUMMYFUNCTION("IF($A315="""","""",IFERROR(PERCENTRANK.INC(FILTER(Q:Q,$E:$E&lt;&gt;""""),Q315)*100,""""))"),"")</f>
        <v/>
      </c>
    </row>
    <row r="316">
      <c r="B316" t="str">
        <f t="array" ref="B316">IFERROR(INDEX('Player Raw Data'!C:C,Match($A316,'Player Raw Data'!$B:$B,0)),"")</f>
        <v/>
      </c>
      <c r="C316" t="str">
        <f t="array" ref="C316">IFERROR(INDEX('Player Raw Data'!D:D,Match($A316,'Player Raw Data'!$B:$B,0)),"")</f>
        <v/>
      </c>
      <c r="D316" t="str">
        <f t="array" ref="D316">IFERROR(IF(A316=A315, INDEX('Player Raw Data'!E:E,Match($A316,'Player Raw Data'!$B:$B,0)+2),INDEX('Player Raw Data'!E:E,Match($A316,'Player Raw Data'!$B:$B,0))),"")</f>
        <v/>
      </c>
      <c r="E316" s="27" t="str">
        <f>IFERROR(__xludf.DUMMYFUNCTION("IFERROR(ARRAY_CONSTRAIN(SPLIT(INDEX('Daily Raw Data'!G:G,Match($A316,'Daily Raw Data'!$B:$B,0)),"":""),1,1),"""")"),"")</f>
        <v/>
      </c>
      <c r="F316" t="str">
        <f t="array" ref="F316">IFERROR(INDEX('Daily Raw Data'!H:H,Match($A316,'Daily Raw Data'!$B:$B,0)),"")</f>
        <v/>
      </c>
      <c r="G316" t="str">
        <f t="array" ref="G316">IFERROR(INDEX('Daily Raw Data'!I:I,Match($A316,'Daily Raw Data'!$B:$B,0)),"")</f>
        <v/>
      </c>
      <c r="H316" t="str">
        <f t="array" ref="H316">IFERROR(INDEX('Daily Raw Data'!N:N,Match($A316,'Daily Raw Data'!$B:$B,0)),"")</f>
        <v/>
      </c>
      <c r="I316" t="str">
        <f t="array" ref="I316">IFERROR(INDEX('Daily Raw Data'!O:O,Match($A316,'Daily Raw Data'!$B:$B,0)),"")</f>
        <v/>
      </c>
      <c r="J316" t="str">
        <f t="array" ref="J316">IFERROR(INDEX('Daily Raw Data'!S:S,Match($A316,'Daily Raw Data'!$B:$B,0)),"")</f>
        <v/>
      </c>
      <c r="K316" t="str">
        <f t="array" ref="K316">IFERROR(INDEX('Daily Raw Data'!T:T,Match($A316,'Daily Raw Data'!$B:$B,0)),"")</f>
        <v/>
      </c>
      <c r="L316" t="str">
        <f t="array" ref="L316">IFERROR(INDEX('Daily Raw Data'!U:U,Match($A316,'Daily Raw Data'!$B:$B,0)),"")</f>
        <v/>
      </c>
      <c r="M316" t="str">
        <f t="array" ref="M316">IFERROR(INDEX('Daily Raw Data'!V:V,Match($A316,'Daily Raw Data'!$B:$B,0)),"")</f>
        <v/>
      </c>
      <c r="N316" t="str">
        <f t="array" ref="N316">IFERROR(INDEX('Daily Raw Data'!W:W,Match($A316,'Daily Raw Data'!$B:$B,0)),"")</f>
        <v/>
      </c>
      <c r="O316" t="str">
        <f t="array" ref="O316">IFERROR(INDEX('Daily Raw Data'!Y:Y,Match($A316,'Daily Raw Data'!$B:$B,0)),"")</f>
        <v/>
      </c>
      <c r="P316" t="str">
        <f t="shared" si="1"/>
        <v/>
      </c>
      <c r="Q316" s="14" t="str">
        <f t="shared" si="2"/>
        <v/>
      </c>
      <c r="R316" s="15" t="str">
        <f>IFERROR(__xludf.DUMMYFUNCTION("IF($A316="""","""", IFERROR(PERCENTRANK.INC(FILTER(P:P,$E:$E&lt;&gt;""""),P316)*100,""""))"),"")</f>
        <v/>
      </c>
      <c r="S316" s="15" t="str">
        <f>IFERROR(__xludf.DUMMYFUNCTION("IF($A316="""","""",IFERROR(PERCENTRANK.INC(FILTER(Q:Q,$E:$E&lt;&gt;""""),Q316)*100,""""))"),"")</f>
        <v/>
      </c>
    </row>
    <row r="317">
      <c r="B317" t="str">
        <f t="array" ref="B317">IFERROR(INDEX('Player Raw Data'!C:C,Match($A317,'Player Raw Data'!$B:$B,0)),"")</f>
        <v/>
      </c>
      <c r="C317" t="str">
        <f t="array" ref="C317">IFERROR(INDEX('Player Raw Data'!D:D,Match($A317,'Player Raw Data'!$B:$B,0)),"")</f>
        <v/>
      </c>
      <c r="D317" t="str">
        <f t="array" ref="D317">IFERROR(IF(A317=A316, INDEX('Player Raw Data'!E:E,Match($A317,'Player Raw Data'!$B:$B,0)+2),INDEX('Player Raw Data'!E:E,Match($A317,'Player Raw Data'!$B:$B,0))),"")</f>
        <v/>
      </c>
      <c r="E317" s="27" t="str">
        <f>IFERROR(__xludf.DUMMYFUNCTION("IFERROR(ARRAY_CONSTRAIN(SPLIT(INDEX('Daily Raw Data'!G:G,Match($A317,'Daily Raw Data'!$B:$B,0)),"":""),1,1),"""")"),"")</f>
        <v/>
      </c>
      <c r="F317" t="str">
        <f t="array" ref="F317">IFERROR(INDEX('Daily Raw Data'!H:H,Match($A317,'Daily Raw Data'!$B:$B,0)),"")</f>
        <v/>
      </c>
      <c r="G317" t="str">
        <f t="array" ref="G317">IFERROR(INDEX('Daily Raw Data'!I:I,Match($A317,'Daily Raw Data'!$B:$B,0)),"")</f>
        <v/>
      </c>
      <c r="H317" t="str">
        <f t="array" ref="H317">IFERROR(INDEX('Daily Raw Data'!N:N,Match($A317,'Daily Raw Data'!$B:$B,0)),"")</f>
        <v/>
      </c>
      <c r="I317" t="str">
        <f t="array" ref="I317">IFERROR(INDEX('Daily Raw Data'!O:O,Match($A317,'Daily Raw Data'!$B:$B,0)),"")</f>
        <v/>
      </c>
      <c r="J317" t="str">
        <f t="array" ref="J317">IFERROR(INDEX('Daily Raw Data'!S:S,Match($A317,'Daily Raw Data'!$B:$B,0)),"")</f>
        <v/>
      </c>
      <c r="K317" t="str">
        <f t="array" ref="K317">IFERROR(INDEX('Daily Raw Data'!T:T,Match($A317,'Daily Raw Data'!$B:$B,0)),"")</f>
        <v/>
      </c>
      <c r="L317" t="str">
        <f t="array" ref="L317">IFERROR(INDEX('Daily Raw Data'!U:U,Match($A317,'Daily Raw Data'!$B:$B,0)),"")</f>
        <v/>
      </c>
      <c r="M317" t="str">
        <f t="array" ref="M317">IFERROR(INDEX('Daily Raw Data'!V:V,Match($A317,'Daily Raw Data'!$B:$B,0)),"")</f>
        <v/>
      </c>
      <c r="N317" t="str">
        <f t="array" ref="N317">IFERROR(INDEX('Daily Raw Data'!W:W,Match($A317,'Daily Raw Data'!$B:$B,0)),"")</f>
        <v/>
      </c>
      <c r="O317" t="str">
        <f t="array" ref="O317">IFERROR(INDEX('Daily Raw Data'!Y:Y,Match($A317,'Daily Raw Data'!$B:$B,0)),"")</f>
        <v/>
      </c>
      <c r="P317" t="str">
        <f t="shared" si="1"/>
        <v/>
      </c>
      <c r="Q317" s="14" t="str">
        <f t="shared" si="2"/>
        <v/>
      </c>
      <c r="R317" s="15" t="str">
        <f>IFERROR(__xludf.DUMMYFUNCTION("IF($A317="""","""", IFERROR(PERCENTRANK.INC(FILTER(P:P,$E:$E&lt;&gt;""""),P317)*100,""""))"),"")</f>
        <v/>
      </c>
      <c r="S317" s="15" t="str">
        <f>IFERROR(__xludf.DUMMYFUNCTION("IF($A317="""","""",IFERROR(PERCENTRANK.INC(FILTER(Q:Q,$E:$E&lt;&gt;""""),Q317)*100,""""))"),"")</f>
        <v/>
      </c>
    </row>
    <row r="318">
      <c r="B318" t="str">
        <f t="array" ref="B318">IFERROR(INDEX('Player Raw Data'!C:C,Match($A318,'Player Raw Data'!$B:$B,0)),"")</f>
        <v/>
      </c>
      <c r="C318" t="str">
        <f t="array" ref="C318">IFERROR(INDEX('Player Raw Data'!D:D,Match($A318,'Player Raw Data'!$B:$B,0)),"")</f>
        <v/>
      </c>
      <c r="D318" t="str">
        <f t="array" ref="D318">IFERROR(IF(A318=A317, INDEX('Player Raw Data'!E:E,Match($A318,'Player Raw Data'!$B:$B,0)+2),INDEX('Player Raw Data'!E:E,Match($A318,'Player Raw Data'!$B:$B,0))),"")</f>
        <v/>
      </c>
      <c r="E318" s="27" t="str">
        <f>IFERROR(__xludf.DUMMYFUNCTION("IFERROR(ARRAY_CONSTRAIN(SPLIT(INDEX('Daily Raw Data'!G:G,Match($A318,'Daily Raw Data'!$B:$B,0)),"":""),1,1),"""")"),"")</f>
        <v/>
      </c>
      <c r="F318" t="str">
        <f t="array" ref="F318">IFERROR(INDEX('Daily Raw Data'!H:H,Match($A318,'Daily Raw Data'!$B:$B,0)),"")</f>
        <v/>
      </c>
      <c r="G318" t="str">
        <f t="array" ref="G318">IFERROR(INDEX('Daily Raw Data'!I:I,Match($A318,'Daily Raw Data'!$B:$B,0)),"")</f>
        <v/>
      </c>
      <c r="H318" t="str">
        <f t="array" ref="H318">IFERROR(INDEX('Daily Raw Data'!N:N,Match($A318,'Daily Raw Data'!$B:$B,0)),"")</f>
        <v/>
      </c>
      <c r="I318" t="str">
        <f t="array" ref="I318">IFERROR(INDEX('Daily Raw Data'!O:O,Match($A318,'Daily Raw Data'!$B:$B,0)),"")</f>
        <v/>
      </c>
      <c r="J318" t="str">
        <f t="array" ref="J318">IFERROR(INDEX('Daily Raw Data'!S:S,Match($A318,'Daily Raw Data'!$B:$B,0)),"")</f>
        <v/>
      </c>
      <c r="K318" t="str">
        <f t="array" ref="K318">IFERROR(INDEX('Daily Raw Data'!T:T,Match($A318,'Daily Raw Data'!$B:$B,0)),"")</f>
        <v/>
      </c>
      <c r="L318" t="str">
        <f t="array" ref="L318">IFERROR(INDEX('Daily Raw Data'!U:U,Match($A318,'Daily Raw Data'!$B:$B,0)),"")</f>
        <v/>
      </c>
      <c r="M318" t="str">
        <f t="array" ref="M318">IFERROR(INDEX('Daily Raw Data'!V:V,Match($A318,'Daily Raw Data'!$B:$B,0)),"")</f>
        <v/>
      </c>
      <c r="N318" t="str">
        <f t="array" ref="N318">IFERROR(INDEX('Daily Raw Data'!W:W,Match($A318,'Daily Raw Data'!$B:$B,0)),"")</f>
        <v/>
      </c>
      <c r="O318" t="str">
        <f t="array" ref="O318">IFERROR(INDEX('Daily Raw Data'!Y:Y,Match($A318,'Daily Raw Data'!$B:$B,0)),"")</f>
        <v/>
      </c>
      <c r="P318" t="str">
        <f t="shared" si="1"/>
        <v/>
      </c>
      <c r="Q318" s="14" t="str">
        <f t="shared" si="2"/>
        <v/>
      </c>
      <c r="R318" s="15" t="str">
        <f>IFERROR(__xludf.DUMMYFUNCTION("IF($A318="""","""", IFERROR(PERCENTRANK.INC(FILTER(P:P,$E:$E&lt;&gt;""""),P318)*100,""""))"),"")</f>
        <v/>
      </c>
      <c r="S318" s="15" t="str">
        <f>IFERROR(__xludf.DUMMYFUNCTION("IF($A318="""","""",IFERROR(PERCENTRANK.INC(FILTER(Q:Q,$E:$E&lt;&gt;""""),Q318)*100,""""))"),"")</f>
        <v/>
      </c>
    </row>
    <row r="319">
      <c r="B319" t="str">
        <f t="array" ref="B319">IFERROR(INDEX('Player Raw Data'!C:C,Match($A319,'Player Raw Data'!$B:$B,0)),"")</f>
        <v/>
      </c>
      <c r="C319" t="str">
        <f t="array" ref="C319">IFERROR(INDEX('Player Raw Data'!D:D,Match($A319,'Player Raw Data'!$B:$B,0)),"")</f>
        <v/>
      </c>
      <c r="D319" t="str">
        <f t="array" ref="D319">IFERROR(IF(A319=A318, INDEX('Player Raw Data'!E:E,Match($A319,'Player Raw Data'!$B:$B,0)+2),INDEX('Player Raw Data'!E:E,Match($A319,'Player Raw Data'!$B:$B,0))),"")</f>
        <v/>
      </c>
      <c r="E319" s="27" t="str">
        <f>IFERROR(__xludf.DUMMYFUNCTION("IFERROR(ARRAY_CONSTRAIN(SPLIT(INDEX('Daily Raw Data'!G:G,Match($A319,'Daily Raw Data'!$B:$B,0)),"":""),1,1),"""")"),"")</f>
        <v/>
      </c>
      <c r="F319" t="str">
        <f t="array" ref="F319">IFERROR(INDEX('Daily Raw Data'!H:H,Match($A319,'Daily Raw Data'!$B:$B,0)),"")</f>
        <v/>
      </c>
      <c r="G319" t="str">
        <f t="array" ref="G319">IFERROR(INDEX('Daily Raw Data'!I:I,Match($A319,'Daily Raw Data'!$B:$B,0)),"")</f>
        <v/>
      </c>
      <c r="H319" t="str">
        <f t="array" ref="H319">IFERROR(INDEX('Daily Raw Data'!N:N,Match($A319,'Daily Raw Data'!$B:$B,0)),"")</f>
        <v/>
      </c>
      <c r="I319" t="str">
        <f t="array" ref="I319">IFERROR(INDEX('Daily Raw Data'!O:O,Match($A319,'Daily Raw Data'!$B:$B,0)),"")</f>
        <v/>
      </c>
      <c r="J319" t="str">
        <f t="array" ref="J319">IFERROR(INDEX('Daily Raw Data'!S:S,Match($A319,'Daily Raw Data'!$B:$B,0)),"")</f>
        <v/>
      </c>
      <c r="K319" t="str">
        <f t="array" ref="K319">IFERROR(INDEX('Daily Raw Data'!T:T,Match($A319,'Daily Raw Data'!$B:$B,0)),"")</f>
        <v/>
      </c>
      <c r="L319" t="str">
        <f t="array" ref="L319">IFERROR(INDEX('Daily Raw Data'!U:U,Match($A319,'Daily Raw Data'!$B:$B,0)),"")</f>
        <v/>
      </c>
      <c r="M319" t="str">
        <f t="array" ref="M319">IFERROR(INDEX('Daily Raw Data'!V:V,Match($A319,'Daily Raw Data'!$B:$B,0)),"")</f>
        <v/>
      </c>
      <c r="N319" t="str">
        <f t="array" ref="N319">IFERROR(INDEX('Daily Raw Data'!W:W,Match($A319,'Daily Raw Data'!$B:$B,0)),"")</f>
        <v/>
      </c>
      <c r="O319" t="str">
        <f t="array" ref="O319">IFERROR(INDEX('Daily Raw Data'!Y:Y,Match($A319,'Daily Raw Data'!$B:$B,0)),"")</f>
        <v/>
      </c>
      <c r="P319" t="str">
        <f t="shared" si="1"/>
        <v/>
      </c>
      <c r="Q319" s="14" t="str">
        <f t="shared" si="2"/>
        <v/>
      </c>
      <c r="R319" s="15" t="str">
        <f>IFERROR(__xludf.DUMMYFUNCTION("IF($A319="""","""", IFERROR(PERCENTRANK.INC(FILTER(P:P,$E:$E&lt;&gt;""""),P319)*100,""""))"),"")</f>
        <v/>
      </c>
      <c r="S319" s="15" t="str">
        <f>IFERROR(__xludf.DUMMYFUNCTION("IF($A319="""","""",IFERROR(PERCENTRANK.INC(FILTER(Q:Q,$E:$E&lt;&gt;""""),Q319)*100,""""))"),"")</f>
        <v/>
      </c>
    </row>
    <row r="320">
      <c r="B320" t="str">
        <f t="array" ref="B320">IFERROR(INDEX('Player Raw Data'!C:C,Match($A320,'Player Raw Data'!$B:$B,0)),"")</f>
        <v/>
      </c>
      <c r="C320" t="str">
        <f t="array" ref="C320">IFERROR(INDEX('Player Raw Data'!D:D,Match($A320,'Player Raw Data'!$B:$B,0)),"")</f>
        <v/>
      </c>
      <c r="D320" t="str">
        <f t="array" ref="D320">IFERROR(IF(A320=A319, INDEX('Player Raw Data'!E:E,Match($A320,'Player Raw Data'!$B:$B,0)+2),INDEX('Player Raw Data'!E:E,Match($A320,'Player Raw Data'!$B:$B,0))),"")</f>
        <v/>
      </c>
      <c r="E320" s="27" t="str">
        <f>IFERROR(__xludf.DUMMYFUNCTION("IFERROR(ARRAY_CONSTRAIN(SPLIT(INDEX('Daily Raw Data'!G:G,Match($A320,'Daily Raw Data'!$B:$B,0)),"":""),1,1),"""")"),"")</f>
        <v/>
      </c>
      <c r="F320" t="str">
        <f t="array" ref="F320">IFERROR(INDEX('Daily Raw Data'!H:H,Match($A320,'Daily Raw Data'!$B:$B,0)),"")</f>
        <v/>
      </c>
      <c r="G320" t="str">
        <f t="array" ref="G320">IFERROR(INDEX('Daily Raw Data'!I:I,Match($A320,'Daily Raw Data'!$B:$B,0)),"")</f>
        <v/>
      </c>
      <c r="H320" t="str">
        <f t="array" ref="H320">IFERROR(INDEX('Daily Raw Data'!N:N,Match($A320,'Daily Raw Data'!$B:$B,0)),"")</f>
        <v/>
      </c>
      <c r="I320" t="str">
        <f t="array" ref="I320">IFERROR(INDEX('Daily Raw Data'!O:O,Match($A320,'Daily Raw Data'!$B:$B,0)),"")</f>
        <v/>
      </c>
      <c r="J320" t="str">
        <f t="array" ref="J320">IFERROR(INDEX('Daily Raw Data'!S:S,Match($A320,'Daily Raw Data'!$B:$B,0)),"")</f>
        <v/>
      </c>
      <c r="K320" t="str">
        <f t="array" ref="K320">IFERROR(INDEX('Daily Raw Data'!T:T,Match($A320,'Daily Raw Data'!$B:$B,0)),"")</f>
        <v/>
      </c>
      <c r="L320" t="str">
        <f t="array" ref="L320">IFERROR(INDEX('Daily Raw Data'!U:U,Match($A320,'Daily Raw Data'!$B:$B,0)),"")</f>
        <v/>
      </c>
      <c r="M320" t="str">
        <f t="array" ref="M320">IFERROR(INDEX('Daily Raw Data'!V:V,Match($A320,'Daily Raw Data'!$B:$B,0)),"")</f>
        <v/>
      </c>
      <c r="N320" t="str">
        <f t="array" ref="N320">IFERROR(INDEX('Daily Raw Data'!W:W,Match($A320,'Daily Raw Data'!$B:$B,0)),"")</f>
        <v/>
      </c>
      <c r="O320" t="str">
        <f t="array" ref="O320">IFERROR(INDEX('Daily Raw Data'!Y:Y,Match($A320,'Daily Raw Data'!$B:$B,0)),"")</f>
        <v/>
      </c>
      <c r="P320" t="str">
        <f t="shared" si="1"/>
        <v/>
      </c>
      <c r="Q320" s="14" t="str">
        <f t="shared" si="2"/>
        <v/>
      </c>
      <c r="R320" s="15" t="str">
        <f>IFERROR(__xludf.DUMMYFUNCTION("IF($A320="""","""", IFERROR(PERCENTRANK.INC(FILTER(P:P,$E:$E&lt;&gt;""""),P320)*100,""""))"),"")</f>
        <v/>
      </c>
      <c r="S320" s="15" t="str">
        <f>IFERROR(__xludf.DUMMYFUNCTION("IF($A320="""","""",IFERROR(PERCENTRANK.INC(FILTER(Q:Q,$E:$E&lt;&gt;""""),Q320)*100,""""))"),"")</f>
        <v/>
      </c>
    </row>
    <row r="321">
      <c r="B321" t="str">
        <f t="array" ref="B321">IFERROR(INDEX('Player Raw Data'!C:C,Match($A321,'Player Raw Data'!$B:$B,0)),"")</f>
        <v/>
      </c>
      <c r="C321" t="str">
        <f t="array" ref="C321">IFERROR(INDEX('Player Raw Data'!D:D,Match($A321,'Player Raw Data'!$B:$B,0)),"")</f>
        <v/>
      </c>
      <c r="D321" t="str">
        <f t="array" ref="D321">IFERROR(IF(A321=A320, INDEX('Player Raw Data'!E:E,Match($A321,'Player Raw Data'!$B:$B,0)+2),INDEX('Player Raw Data'!E:E,Match($A321,'Player Raw Data'!$B:$B,0))),"")</f>
        <v/>
      </c>
      <c r="E321" s="27" t="str">
        <f>IFERROR(__xludf.DUMMYFUNCTION("IFERROR(ARRAY_CONSTRAIN(SPLIT(INDEX('Daily Raw Data'!G:G,Match($A321,'Daily Raw Data'!$B:$B,0)),"":""),1,1),"""")"),"")</f>
        <v/>
      </c>
      <c r="F321" t="str">
        <f t="array" ref="F321">IFERROR(INDEX('Daily Raw Data'!H:H,Match($A321,'Daily Raw Data'!$B:$B,0)),"")</f>
        <v/>
      </c>
      <c r="G321" t="str">
        <f t="array" ref="G321">IFERROR(INDEX('Daily Raw Data'!I:I,Match($A321,'Daily Raw Data'!$B:$B,0)),"")</f>
        <v/>
      </c>
      <c r="H321" t="str">
        <f t="array" ref="H321">IFERROR(INDEX('Daily Raw Data'!N:N,Match($A321,'Daily Raw Data'!$B:$B,0)),"")</f>
        <v/>
      </c>
      <c r="I321" t="str">
        <f t="array" ref="I321">IFERROR(INDEX('Daily Raw Data'!O:O,Match($A321,'Daily Raw Data'!$B:$B,0)),"")</f>
        <v/>
      </c>
      <c r="J321" t="str">
        <f t="array" ref="J321">IFERROR(INDEX('Daily Raw Data'!S:S,Match($A321,'Daily Raw Data'!$B:$B,0)),"")</f>
        <v/>
      </c>
      <c r="K321" t="str">
        <f t="array" ref="K321">IFERROR(INDEX('Daily Raw Data'!T:T,Match($A321,'Daily Raw Data'!$B:$B,0)),"")</f>
        <v/>
      </c>
      <c r="L321" t="str">
        <f t="array" ref="L321">IFERROR(INDEX('Daily Raw Data'!U:U,Match($A321,'Daily Raw Data'!$B:$B,0)),"")</f>
        <v/>
      </c>
      <c r="M321" t="str">
        <f t="array" ref="M321">IFERROR(INDEX('Daily Raw Data'!V:V,Match($A321,'Daily Raw Data'!$B:$B,0)),"")</f>
        <v/>
      </c>
      <c r="N321" t="str">
        <f t="array" ref="N321">IFERROR(INDEX('Daily Raw Data'!W:W,Match($A321,'Daily Raw Data'!$B:$B,0)),"")</f>
        <v/>
      </c>
      <c r="O321" t="str">
        <f t="array" ref="O321">IFERROR(INDEX('Daily Raw Data'!Y:Y,Match($A321,'Daily Raw Data'!$B:$B,0)),"")</f>
        <v/>
      </c>
      <c r="P321" t="str">
        <f t="shared" si="1"/>
        <v/>
      </c>
      <c r="Q321" s="14" t="str">
        <f t="shared" si="2"/>
        <v/>
      </c>
      <c r="R321" s="15" t="str">
        <f>IFERROR(__xludf.DUMMYFUNCTION("IF($A321="""","""", IFERROR(PERCENTRANK.INC(FILTER(P:P,$E:$E&lt;&gt;""""),P321)*100,""""))"),"")</f>
        <v/>
      </c>
      <c r="S321" s="15" t="str">
        <f>IFERROR(__xludf.DUMMYFUNCTION("IF($A321="""","""",IFERROR(PERCENTRANK.INC(FILTER(Q:Q,$E:$E&lt;&gt;""""),Q321)*100,""""))"),"")</f>
        <v/>
      </c>
    </row>
    <row r="322">
      <c r="B322" t="str">
        <f t="array" ref="B322">IFERROR(INDEX('Player Raw Data'!C:C,Match($A322,'Player Raw Data'!$B:$B,0)),"")</f>
        <v/>
      </c>
      <c r="C322" t="str">
        <f t="array" ref="C322">IFERROR(INDEX('Player Raw Data'!D:D,Match($A322,'Player Raw Data'!$B:$B,0)),"")</f>
        <v/>
      </c>
      <c r="D322" t="str">
        <f t="array" ref="D322">IFERROR(IF(A322=A321, INDEX('Player Raw Data'!E:E,Match($A322,'Player Raw Data'!$B:$B,0)+2),INDEX('Player Raw Data'!E:E,Match($A322,'Player Raw Data'!$B:$B,0))),"")</f>
        <v/>
      </c>
      <c r="E322" s="27" t="str">
        <f>IFERROR(__xludf.DUMMYFUNCTION("IFERROR(ARRAY_CONSTRAIN(SPLIT(INDEX('Daily Raw Data'!G:G,Match($A322,'Daily Raw Data'!$B:$B,0)),"":""),1,1),"""")"),"")</f>
        <v/>
      </c>
      <c r="F322" t="str">
        <f t="array" ref="F322">IFERROR(INDEX('Daily Raw Data'!H:H,Match($A322,'Daily Raw Data'!$B:$B,0)),"")</f>
        <v/>
      </c>
      <c r="G322" t="str">
        <f t="array" ref="G322">IFERROR(INDEX('Daily Raw Data'!I:I,Match($A322,'Daily Raw Data'!$B:$B,0)),"")</f>
        <v/>
      </c>
      <c r="H322" t="str">
        <f t="array" ref="H322">IFERROR(INDEX('Daily Raw Data'!N:N,Match($A322,'Daily Raw Data'!$B:$B,0)),"")</f>
        <v/>
      </c>
      <c r="I322" t="str">
        <f t="array" ref="I322">IFERROR(INDEX('Daily Raw Data'!O:O,Match($A322,'Daily Raw Data'!$B:$B,0)),"")</f>
        <v/>
      </c>
      <c r="J322" t="str">
        <f t="array" ref="J322">IFERROR(INDEX('Daily Raw Data'!S:S,Match($A322,'Daily Raw Data'!$B:$B,0)),"")</f>
        <v/>
      </c>
      <c r="K322" t="str">
        <f t="array" ref="K322">IFERROR(INDEX('Daily Raw Data'!T:T,Match($A322,'Daily Raw Data'!$B:$B,0)),"")</f>
        <v/>
      </c>
      <c r="L322" t="str">
        <f t="array" ref="L322">IFERROR(INDEX('Daily Raw Data'!U:U,Match($A322,'Daily Raw Data'!$B:$B,0)),"")</f>
        <v/>
      </c>
      <c r="M322" t="str">
        <f t="array" ref="M322">IFERROR(INDEX('Daily Raw Data'!V:V,Match($A322,'Daily Raw Data'!$B:$B,0)),"")</f>
        <v/>
      </c>
      <c r="N322" t="str">
        <f t="array" ref="N322">IFERROR(INDEX('Daily Raw Data'!W:W,Match($A322,'Daily Raw Data'!$B:$B,0)),"")</f>
        <v/>
      </c>
      <c r="O322" t="str">
        <f t="array" ref="O322">IFERROR(INDEX('Daily Raw Data'!Y:Y,Match($A322,'Daily Raw Data'!$B:$B,0)),"")</f>
        <v/>
      </c>
      <c r="P322" t="str">
        <f t="shared" si="1"/>
        <v/>
      </c>
      <c r="Q322" s="14" t="str">
        <f t="shared" si="2"/>
        <v/>
      </c>
      <c r="R322" s="15" t="str">
        <f>IFERROR(__xludf.DUMMYFUNCTION("IF($A322="""","""", IFERROR(PERCENTRANK.INC(FILTER(P:P,$E:$E&lt;&gt;""""),P322)*100,""""))"),"")</f>
        <v/>
      </c>
      <c r="S322" s="15" t="str">
        <f>IFERROR(__xludf.DUMMYFUNCTION("IF($A322="""","""",IFERROR(PERCENTRANK.INC(FILTER(Q:Q,$E:$E&lt;&gt;""""),Q322)*100,""""))"),"")</f>
        <v/>
      </c>
    </row>
    <row r="323">
      <c r="B323" t="str">
        <f t="array" ref="B323">IFERROR(INDEX('Player Raw Data'!C:C,Match($A323,'Player Raw Data'!$B:$B,0)),"")</f>
        <v/>
      </c>
      <c r="C323" t="str">
        <f t="array" ref="C323">IFERROR(INDEX('Player Raw Data'!D:D,Match($A323,'Player Raw Data'!$B:$B,0)),"")</f>
        <v/>
      </c>
      <c r="D323" t="str">
        <f t="array" ref="D323">IFERROR(IF(A323=A322, INDEX('Player Raw Data'!E:E,Match($A323,'Player Raw Data'!$B:$B,0)+2),INDEX('Player Raw Data'!E:E,Match($A323,'Player Raw Data'!$B:$B,0))),"")</f>
        <v/>
      </c>
      <c r="E323" s="27" t="str">
        <f>IFERROR(__xludf.DUMMYFUNCTION("IFERROR(ARRAY_CONSTRAIN(SPLIT(INDEX('Daily Raw Data'!G:G,Match($A323,'Daily Raw Data'!$B:$B,0)),"":""),1,1),"""")"),"")</f>
        <v/>
      </c>
      <c r="F323" t="str">
        <f t="array" ref="F323">IFERROR(INDEX('Daily Raw Data'!H:H,Match($A323,'Daily Raw Data'!$B:$B,0)),"")</f>
        <v/>
      </c>
      <c r="G323" t="str">
        <f t="array" ref="G323">IFERROR(INDEX('Daily Raw Data'!I:I,Match($A323,'Daily Raw Data'!$B:$B,0)),"")</f>
        <v/>
      </c>
      <c r="H323" t="str">
        <f t="array" ref="H323">IFERROR(INDEX('Daily Raw Data'!N:N,Match($A323,'Daily Raw Data'!$B:$B,0)),"")</f>
        <v/>
      </c>
      <c r="I323" t="str">
        <f t="array" ref="I323">IFERROR(INDEX('Daily Raw Data'!O:O,Match($A323,'Daily Raw Data'!$B:$B,0)),"")</f>
        <v/>
      </c>
      <c r="J323" t="str">
        <f t="array" ref="J323">IFERROR(INDEX('Daily Raw Data'!S:S,Match($A323,'Daily Raw Data'!$B:$B,0)),"")</f>
        <v/>
      </c>
      <c r="K323" t="str">
        <f t="array" ref="K323">IFERROR(INDEX('Daily Raw Data'!T:T,Match($A323,'Daily Raw Data'!$B:$B,0)),"")</f>
        <v/>
      </c>
      <c r="L323" t="str">
        <f t="array" ref="L323">IFERROR(INDEX('Daily Raw Data'!U:U,Match($A323,'Daily Raw Data'!$B:$B,0)),"")</f>
        <v/>
      </c>
      <c r="M323" t="str">
        <f t="array" ref="M323">IFERROR(INDEX('Daily Raw Data'!V:V,Match($A323,'Daily Raw Data'!$B:$B,0)),"")</f>
        <v/>
      </c>
      <c r="N323" t="str">
        <f t="array" ref="N323">IFERROR(INDEX('Daily Raw Data'!W:W,Match($A323,'Daily Raw Data'!$B:$B,0)),"")</f>
        <v/>
      </c>
      <c r="O323" t="str">
        <f t="array" ref="O323">IFERROR(INDEX('Daily Raw Data'!Y:Y,Match($A323,'Daily Raw Data'!$B:$B,0)),"")</f>
        <v/>
      </c>
      <c r="P323" t="str">
        <f t="shared" si="1"/>
        <v/>
      </c>
      <c r="Q323" s="14" t="str">
        <f t="shared" si="2"/>
        <v/>
      </c>
      <c r="R323" s="15" t="str">
        <f>IFERROR(__xludf.DUMMYFUNCTION("IF($A323="""","""", IFERROR(PERCENTRANK.INC(FILTER(P:P,$E:$E&lt;&gt;""""),P323)*100,""""))"),"")</f>
        <v/>
      </c>
      <c r="S323" s="15" t="str">
        <f>IFERROR(__xludf.DUMMYFUNCTION("IF($A323="""","""",IFERROR(PERCENTRANK.INC(FILTER(Q:Q,$E:$E&lt;&gt;""""),Q323)*100,""""))"),"")</f>
        <v/>
      </c>
    </row>
    <row r="324">
      <c r="B324" t="str">
        <f t="array" ref="B324">IFERROR(INDEX('Player Raw Data'!C:C,Match($A324,'Player Raw Data'!$B:$B,0)),"")</f>
        <v/>
      </c>
      <c r="C324" t="str">
        <f t="array" ref="C324">IFERROR(INDEX('Player Raw Data'!D:D,Match($A324,'Player Raw Data'!$B:$B,0)),"")</f>
        <v/>
      </c>
      <c r="D324" t="str">
        <f t="array" ref="D324">IFERROR(IF(A324=A323, INDEX('Player Raw Data'!E:E,Match($A324,'Player Raw Data'!$B:$B,0)+2),INDEX('Player Raw Data'!E:E,Match($A324,'Player Raw Data'!$B:$B,0))),"")</f>
        <v/>
      </c>
      <c r="E324" s="27" t="str">
        <f>IFERROR(__xludf.DUMMYFUNCTION("IFERROR(ARRAY_CONSTRAIN(SPLIT(INDEX('Daily Raw Data'!G:G,Match($A324,'Daily Raw Data'!$B:$B,0)),"":""),1,1),"""")"),"")</f>
        <v/>
      </c>
      <c r="F324" t="str">
        <f t="array" ref="F324">IFERROR(INDEX('Daily Raw Data'!H:H,Match($A324,'Daily Raw Data'!$B:$B,0)),"")</f>
        <v/>
      </c>
      <c r="G324" t="str">
        <f t="array" ref="G324">IFERROR(INDEX('Daily Raw Data'!I:I,Match($A324,'Daily Raw Data'!$B:$B,0)),"")</f>
        <v/>
      </c>
      <c r="H324" t="str">
        <f t="array" ref="H324">IFERROR(INDEX('Daily Raw Data'!N:N,Match($A324,'Daily Raw Data'!$B:$B,0)),"")</f>
        <v/>
      </c>
      <c r="I324" t="str">
        <f t="array" ref="I324">IFERROR(INDEX('Daily Raw Data'!O:O,Match($A324,'Daily Raw Data'!$B:$B,0)),"")</f>
        <v/>
      </c>
      <c r="J324" t="str">
        <f t="array" ref="J324">IFERROR(INDEX('Daily Raw Data'!S:S,Match($A324,'Daily Raw Data'!$B:$B,0)),"")</f>
        <v/>
      </c>
      <c r="K324" t="str">
        <f t="array" ref="K324">IFERROR(INDEX('Daily Raw Data'!T:T,Match($A324,'Daily Raw Data'!$B:$B,0)),"")</f>
        <v/>
      </c>
      <c r="L324" t="str">
        <f t="array" ref="L324">IFERROR(INDEX('Daily Raw Data'!U:U,Match($A324,'Daily Raw Data'!$B:$B,0)),"")</f>
        <v/>
      </c>
      <c r="M324" t="str">
        <f t="array" ref="M324">IFERROR(INDEX('Daily Raw Data'!V:V,Match($A324,'Daily Raw Data'!$B:$B,0)),"")</f>
        <v/>
      </c>
      <c r="N324" t="str">
        <f t="array" ref="N324">IFERROR(INDEX('Daily Raw Data'!W:W,Match($A324,'Daily Raw Data'!$B:$B,0)),"")</f>
        <v/>
      </c>
      <c r="O324" t="str">
        <f t="array" ref="O324">IFERROR(INDEX('Daily Raw Data'!Y:Y,Match($A324,'Daily Raw Data'!$B:$B,0)),"")</f>
        <v/>
      </c>
      <c r="P324" t="str">
        <f t="shared" si="1"/>
        <v/>
      </c>
      <c r="Q324" s="14" t="str">
        <f t="shared" si="2"/>
        <v/>
      </c>
      <c r="R324" s="15" t="str">
        <f>IFERROR(__xludf.DUMMYFUNCTION("IF($A324="""","""", IFERROR(PERCENTRANK.INC(FILTER(P:P,$E:$E&lt;&gt;""""),P324)*100,""""))"),"")</f>
        <v/>
      </c>
      <c r="S324" s="15" t="str">
        <f>IFERROR(__xludf.DUMMYFUNCTION("IF($A324="""","""",IFERROR(PERCENTRANK.INC(FILTER(Q:Q,$E:$E&lt;&gt;""""),Q324)*100,""""))"),"")</f>
        <v/>
      </c>
    </row>
    <row r="325">
      <c r="B325" t="str">
        <f t="array" ref="B325">IFERROR(INDEX('Player Raw Data'!C:C,Match($A325,'Player Raw Data'!$B:$B,0)),"")</f>
        <v/>
      </c>
      <c r="C325" t="str">
        <f t="array" ref="C325">IFERROR(INDEX('Player Raw Data'!D:D,Match($A325,'Player Raw Data'!$B:$B,0)),"")</f>
        <v/>
      </c>
      <c r="D325" t="str">
        <f t="array" ref="D325">IFERROR(IF(A325=A324, INDEX('Player Raw Data'!E:E,Match($A325,'Player Raw Data'!$B:$B,0)+2),INDEX('Player Raw Data'!E:E,Match($A325,'Player Raw Data'!$B:$B,0))),"")</f>
        <v/>
      </c>
      <c r="E325" s="27" t="str">
        <f>IFERROR(__xludf.DUMMYFUNCTION("IFERROR(ARRAY_CONSTRAIN(SPLIT(INDEX('Daily Raw Data'!G:G,Match($A325,'Daily Raw Data'!$B:$B,0)),"":""),1,1),"""")"),"")</f>
        <v/>
      </c>
      <c r="F325" t="str">
        <f t="array" ref="F325">IFERROR(INDEX('Daily Raw Data'!H:H,Match($A325,'Daily Raw Data'!$B:$B,0)),"")</f>
        <v/>
      </c>
      <c r="G325" t="str">
        <f t="array" ref="G325">IFERROR(INDEX('Daily Raw Data'!I:I,Match($A325,'Daily Raw Data'!$B:$B,0)),"")</f>
        <v/>
      </c>
      <c r="H325" t="str">
        <f t="array" ref="H325">IFERROR(INDEX('Daily Raw Data'!N:N,Match($A325,'Daily Raw Data'!$B:$B,0)),"")</f>
        <v/>
      </c>
      <c r="I325" t="str">
        <f t="array" ref="I325">IFERROR(INDEX('Daily Raw Data'!O:O,Match($A325,'Daily Raw Data'!$B:$B,0)),"")</f>
        <v/>
      </c>
      <c r="J325" t="str">
        <f t="array" ref="J325">IFERROR(INDEX('Daily Raw Data'!S:S,Match($A325,'Daily Raw Data'!$B:$B,0)),"")</f>
        <v/>
      </c>
      <c r="K325" t="str">
        <f t="array" ref="K325">IFERROR(INDEX('Daily Raw Data'!T:T,Match($A325,'Daily Raw Data'!$B:$B,0)),"")</f>
        <v/>
      </c>
      <c r="L325" t="str">
        <f t="array" ref="L325">IFERROR(INDEX('Daily Raw Data'!U:U,Match($A325,'Daily Raw Data'!$B:$B,0)),"")</f>
        <v/>
      </c>
      <c r="M325" t="str">
        <f t="array" ref="M325">IFERROR(INDEX('Daily Raw Data'!V:V,Match($A325,'Daily Raw Data'!$B:$B,0)),"")</f>
        <v/>
      </c>
      <c r="N325" t="str">
        <f t="array" ref="N325">IFERROR(INDEX('Daily Raw Data'!W:W,Match($A325,'Daily Raw Data'!$B:$B,0)),"")</f>
        <v/>
      </c>
      <c r="O325" t="str">
        <f t="array" ref="O325">IFERROR(INDEX('Daily Raw Data'!Y:Y,Match($A325,'Daily Raw Data'!$B:$B,0)),"")</f>
        <v/>
      </c>
      <c r="P325" t="str">
        <f t="shared" si="1"/>
        <v/>
      </c>
      <c r="Q325" s="14" t="str">
        <f t="shared" si="2"/>
        <v/>
      </c>
      <c r="R325" s="15" t="str">
        <f>IFERROR(__xludf.DUMMYFUNCTION("IF($A325="""","""", IFERROR(PERCENTRANK.INC(FILTER(P:P,$E:$E&lt;&gt;""""),P325)*100,""""))"),"")</f>
        <v/>
      </c>
      <c r="S325" s="15" t="str">
        <f>IFERROR(__xludf.DUMMYFUNCTION("IF($A325="""","""",IFERROR(PERCENTRANK.INC(FILTER(Q:Q,$E:$E&lt;&gt;""""),Q325)*100,""""))"),"")</f>
        <v/>
      </c>
    </row>
    <row r="326">
      <c r="B326" t="str">
        <f t="array" ref="B326">IFERROR(INDEX('Player Raw Data'!C:C,Match($A326,'Player Raw Data'!$B:$B,0)),"")</f>
        <v/>
      </c>
      <c r="C326" t="str">
        <f t="array" ref="C326">IFERROR(INDEX('Player Raw Data'!D:D,Match($A326,'Player Raw Data'!$B:$B,0)),"")</f>
        <v/>
      </c>
      <c r="D326" t="str">
        <f t="array" ref="D326">IFERROR(IF(A326=A325, INDEX('Player Raw Data'!E:E,Match($A326,'Player Raw Data'!$B:$B,0)+2),INDEX('Player Raw Data'!E:E,Match($A326,'Player Raw Data'!$B:$B,0))),"")</f>
        <v/>
      </c>
      <c r="E326" s="27" t="str">
        <f>IFERROR(__xludf.DUMMYFUNCTION("IFERROR(ARRAY_CONSTRAIN(SPLIT(INDEX('Daily Raw Data'!G:G,Match($A326,'Daily Raw Data'!$B:$B,0)),"":""),1,1),"""")"),"")</f>
        <v/>
      </c>
      <c r="F326" t="str">
        <f t="array" ref="F326">IFERROR(INDEX('Daily Raw Data'!H:H,Match($A326,'Daily Raw Data'!$B:$B,0)),"")</f>
        <v/>
      </c>
      <c r="G326" t="str">
        <f t="array" ref="G326">IFERROR(INDEX('Daily Raw Data'!I:I,Match($A326,'Daily Raw Data'!$B:$B,0)),"")</f>
        <v/>
      </c>
      <c r="H326" t="str">
        <f t="array" ref="H326">IFERROR(INDEX('Daily Raw Data'!N:N,Match($A326,'Daily Raw Data'!$B:$B,0)),"")</f>
        <v/>
      </c>
      <c r="I326" t="str">
        <f t="array" ref="I326">IFERROR(INDEX('Daily Raw Data'!O:O,Match($A326,'Daily Raw Data'!$B:$B,0)),"")</f>
        <v/>
      </c>
      <c r="J326" t="str">
        <f t="array" ref="J326">IFERROR(INDEX('Daily Raw Data'!S:S,Match($A326,'Daily Raw Data'!$B:$B,0)),"")</f>
        <v/>
      </c>
      <c r="K326" t="str">
        <f t="array" ref="K326">IFERROR(INDEX('Daily Raw Data'!T:T,Match($A326,'Daily Raw Data'!$B:$B,0)),"")</f>
        <v/>
      </c>
      <c r="L326" t="str">
        <f t="array" ref="L326">IFERROR(INDEX('Daily Raw Data'!U:U,Match($A326,'Daily Raw Data'!$B:$B,0)),"")</f>
        <v/>
      </c>
      <c r="M326" t="str">
        <f t="array" ref="M326">IFERROR(INDEX('Daily Raw Data'!V:V,Match($A326,'Daily Raw Data'!$B:$B,0)),"")</f>
        <v/>
      </c>
      <c r="N326" t="str">
        <f t="array" ref="N326">IFERROR(INDEX('Daily Raw Data'!W:W,Match($A326,'Daily Raw Data'!$B:$B,0)),"")</f>
        <v/>
      </c>
      <c r="O326" t="str">
        <f t="array" ref="O326">IFERROR(INDEX('Daily Raw Data'!Y:Y,Match($A326,'Daily Raw Data'!$B:$B,0)),"")</f>
        <v/>
      </c>
      <c r="P326" t="str">
        <f t="shared" si="1"/>
        <v/>
      </c>
      <c r="Q326" s="14" t="str">
        <f t="shared" si="2"/>
        <v/>
      </c>
      <c r="R326" s="15" t="str">
        <f>IFERROR(__xludf.DUMMYFUNCTION("IF($A326="""","""", IFERROR(PERCENTRANK.INC(FILTER(P:P,$E:$E&lt;&gt;""""),P326)*100,""""))"),"")</f>
        <v/>
      </c>
      <c r="S326" s="15" t="str">
        <f>IFERROR(__xludf.DUMMYFUNCTION("IF($A326="""","""",IFERROR(PERCENTRANK.INC(FILTER(Q:Q,$E:$E&lt;&gt;""""),Q326)*100,""""))"),"")</f>
        <v/>
      </c>
    </row>
    <row r="327">
      <c r="B327" t="str">
        <f t="array" ref="B327">IFERROR(INDEX('Player Raw Data'!C:C,Match($A327,'Player Raw Data'!$B:$B,0)),"")</f>
        <v/>
      </c>
      <c r="C327" t="str">
        <f t="array" ref="C327">IFERROR(INDEX('Player Raw Data'!D:D,Match($A327,'Player Raw Data'!$B:$B,0)),"")</f>
        <v/>
      </c>
      <c r="D327" t="str">
        <f t="array" ref="D327">IFERROR(IF(A327=A326, INDEX('Player Raw Data'!E:E,Match($A327,'Player Raw Data'!$B:$B,0)+2),INDEX('Player Raw Data'!E:E,Match($A327,'Player Raw Data'!$B:$B,0))),"")</f>
        <v/>
      </c>
      <c r="E327" s="27" t="str">
        <f>IFERROR(__xludf.DUMMYFUNCTION("IFERROR(ARRAY_CONSTRAIN(SPLIT(INDEX('Daily Raw Data'!G:G,Match($A327,'Daily Raw Data'!$B:$B,0)),"":""),1,1),"""")"),"")</f>
        <v/>
      </c>
      <c r="F327" t="str">
        <f t="array" ref="F327">IFERROR(INDEX('Daily Raw Data'!H:H,Match($A327,'Daily Raw Data'!$B:$B,0)),"")</f>
        <v/>
      </c>
      <c r="G327" t="str">
        <f t="array" ref="G327">IFERROR(INDEX('Daily Raw Data'!I:I,Match($A327,'Daily Raw Data'!$B:$B,0)),"")</f>
        <v/>
      </c>
      <c r="H327" t="str">
        <f t="array" ref="H327">IFERROR(INDEX('Daily Raw Data'!N:N,Match($A327,'Daily Raw Data'!$B:$B,0)),"")</f>
        <v/>
      </c>
      <c r="I327" t="str">
        <f t="array" ref="I327">IFERROR(INDEX('Daily Raw Data'!O:O,Match($A327,'Daily Raw Data'!$B:$B,0)),"")</f>
        <v/>
      </c>
      <c r="J327" t="str">
        <f t="array" ref="J327">IFERROR(INDEX('Daily Raw Data'!S:S,Match($A327,'Daily Raw Data'!$B:$B,0)),"")</f>
        <v/>
      </c>
      <c r="K327" t="str">
        <f t="array" ref="K327">IFERROR(INDEX('Daily Raw Data'!T:T,Match($A327,'Daily Raw Data'!$B:$B,0)),"")</f>
        <v/>
      </c>
      <c r="L327" t="str">
        <f t="array" ref="L327">IFERROR(INDEX('Daily Raw Data'!U:U,Match($A327,'Daily Raw Data'!$B:$B,0)),"")</f>
        <v/>
      </c>
      <c r="M327" t="str">
        <f t="array" ref="M327">IFERROR(INDEX('Daily Raw Data'!V:V,Match($A327,'Daily Raw Data'!$B:$B,0)),"")</f>
        <v/>
      </c>
      <c r="N327" t="str">
        <f t="array" ref="N327">IFERROR(INDEX('Daily Raw Data'!W:W,Match($A327,'Daily Raw Data'!$B:$B,0)),"")</f>
        <v/>
      </c>
      <c r="O327" t="str">
        <f t="array" ref="O327">IFERROR(INDEX('Daily Raw Data'!Y:Y,Match($A327,'Daily Raw Data'!$B:$B,0)),"")</f>
        <v/>
      </c>
      <c r="P327" t="str">
        <f t="shared" si="1"/>
        <v/>
      </c>
      <c r="Q327" s="14" t="str">
        <f t="shared" si="2"/>
        <v/>
      </c>
      <c r="R327" s="15" t="str">
        <f>IFERROR(__xludf.DUMMYFUNCTION("IF($A327="""","""", IFERROR(PERCENTRANK.INC(FILTER(P:P,$E:$E&lt;&gt;""""),P327)*100,""""))"),"")</f>
        <v/>
      </c>
      <c r="S327" s="15" t="str">
        <f>IFERROR(__xludf.DUMMYFUNCTION("IF($A327="""","""",IFERROR(PERCENTRANK.INC(FILTER(Q:Q,$E:$E&lt;&gt;""""),Q327)*100,""""))"),"")</f>
        <v/>
      </c>
    </row>
    <row r="328">
      <c r="B328" t="str">
        <f t="array" ref="B328">IFERROR(INDEX('Player Raw Data'!C:C,Match($A328,'Player Raw Data'!$B:$B,0)),"")</f>
        <v/>
      </c>
      <c r="C328" t="str">
        <f t="array" ref="C328">IFERROR(INDEX('Player Raw Data'!D:D,Match($A328,'Player Raw Data'!$B:$B,0)),"")</f>
        <v/>
      </c>
      <c r="D328" t="str">
        <f t="array" ref="D328">IFERROR(IF(A328=A327, INDEX('Player Raw Data'!E:E,Match($A328,'Player Raw Data'!$B:$B,0)+2),INDEX('Player Raw Data'!E:E,Match($A328,'Player Raw Data'!$B:$B,0))),"")</f>
        <v/>
      </c>
      <c r="E328" s="27" t="str">
        <f>IFERROR(__xludf.DUMMYFUNCTION("IFERROR(ARRAY_CONSTRAIN(SPLIT(INDEX('Daily Raw Data'!G:G,Match($A328,'Daily Raw Data'!$B:$B,0)),"":""),1,1),"""")"),"")</f>
        <v/>
      </c>
      <c r="F328" t="str">
        <f t="array" ref="F328">IFERROR(INDEX('Daily Raw Data'!H:H,Match($A328,'Daily Raw Data'!$B:$B,0)),"")</f>
        <v/>
      </c>
      <c r="G328" t="str">
        <f t="array" ref="G328">IFERROR(INDEX('Daily Raw Data'!I:I,Match($A328,'Daily Raw Data'!$B:$B,0)),"")</f>
        <v/>
      </c>
      <c r="H328" t="str">
        <f t="array" ref="H328">IFERROR(INDEX('Daily Raw Data'!N:N,Match($A328,'Daily Raw Data'!$B:$B,0)),"")</f>
        <v/>
      </c>
      <c r="I328" t="str">
        <f t="array" ref="I328">IFERROR(INDEX('Daily Raw Data'!O:O,Match($A328,'Daily Raw Data'!$B:$B,0)),"")</f>
        <v/>
      </c>
      <c r="J328" t="str">
        <f t="array" ref="J328">IFERROR(INDEX('Daily Raw Data'!S:S,Match($A328,'Daily Raw Data'!$B:$B,0)),"")</f>
        <v/>
      </c>
      <c r="K328" t="str">
        <f t="array" ref="K328">IFERROR(INDEX('Daily Raw Data'!T:T,Match($A328,'Daily Raw Data'!$B:$B,0)),"")</f>
        <v/>
      </c>
      <c r="L328" t="str">
        <f t="array" ref="L328">IFERROR(INDEX('Daily Raw Data'!U:U,Match($A328,'Daily Raw Data'!$B:$B,0)),"")</f>
        <v/>
      </c>
      <c r="M328" t="str">
        <f t="array" ref="M328">IFERROR(INDEX('Daily Raw Data'!V:V,Match($A328,'Daily Raw Data'!$B:$B,0)),"")</f>
        <v/>
      </c>
      <c r="N328" t="str">
        <f t="array" ref="N328">IFERROR(INDEX('Daily Raw Data'!W:W,Match($A328,'Daily Raw Data'!$B:$B,0)),"")</f>
        <v/>
      </c>
      <c r="O328" t="str">
        <f t="array" ref="O328">IFERROR(INDEX('Daily Raw Data'!Y:Y,Match($A328,'Daily Raw Data'!$B:$B,0)),"")</f>
        <v/>
      </c>
      <c r="P328" t="str">
        <f t="shared" si="1"/>
        <v/>
      </c>
      <c r="Q328" s="14" t="str">
        <f t="shared" si="2"/>
        <v/>
      </c>
      <c r="R328" s="15" t="str">
        <f>IFERROR(__xludf.DUMMYFUNCTION("IF($A328="""","""", IFERROR(PERCENTRANK.INC(FILTER(P:P,$E:$E&lt;&gt;""""),P328)*100,""""))"),"")</f>
        <v/>
      </c>
      <c r="S328" s="15" t="str">
        <f>IFERROR(__xludf.DUMMYFUNCTION("IF($A328="""","""",IFERROR(PERCENTRANK.INC(FILTER(Q:Q,$E:$E&lt;&gt;""""),Q328)*100,""""))"),"")</f>
        <v/>
      </c>
    </row>
    <row r="329">
      <c r="B329" t="str">
        <f t="array" ref="B329">IFERROR(INDEX('Player Raw Data'!C:C,Match($A329,'Player Raw Data'!$B:$B,0)),"")</f>
        <v/>
      </c>
      <c r="C329" t="str">
        <f t="array" ref="C329">IFERROR(INDEX('Player Raw Data'!D:D,Match($A329,'Player Raw Data'!$B:$B,0)),"")</f>
        <v/>
      </c>
      <c r="D329" t="str">
        <f t="array" ref="D329">IFERROR(IF(A329=A328, INDEX('Player Raw Data'!E:E,Match($A329,'Player Raw Data'!$B:$B,0)+2),INDEX('Player Raw Data'!E:E,Match($A329,'Player Raw Data'!$B:$B,0))),"")</f>
        <v/>
      </c>
      <c r="E329" s="27" t="str">
        <f>IFERROR(__xludf.DUMMYFUNCTION("IFERROR(ARRAY_CONSTRAIN(SPLIT(INDEX('Daily Raw Data'!G:G,Match($A329,'Daily Raw Data'!$B:$B,0)),"":""),1,1),"""")"),"")</f>
        <v/>
      </c>
      <c r="F329" t="str">
        <f t="array" ref="F329">IFERROR(INDEX('Daily Raw Data'!H:H,Match($A329,'Daily Raw Data'!$B:$B,0)),"")</f>
        <v/>
      </c>
      <c r="G329" t="str">
        <f t="array" ref="G329">IFERROR(INDEX('Daily Raw Data'!I:I,Match($A329,'Daily Raw Data'!$B:$B,0)),"")</f>
        <v/>
      </c>
      <c r="H329" t="str">
        <f t="array" ref="H329">IFERROR(INDEX('Daily Raw Data'!N:N,Match($A329,'Daily Raw Data'!$B:$B,0)),"")</f>
        <v/>
      </c>
      <c r="I329" t="str">
        <f t="array" ref="I329">IFERROR(INDEX('Daily Raw Data'!O:O,Match($A329,'Daily Raw Data'!$B:$B,0)),"")</f>
        <v/>
      </c>
      <c r="J329" t="str">
        <f t="array" ref="J329">IFERROR(INDEX('Daily Raw Data'!S:S,Match($A329,'Daily Raw Data'!$B:$B,0)),"")</f>
        <v/>
      </c>
      <c r="K329" t="str">
        <f t="array" ref="K329">IFERROR(INDEX('Daily Raw Data'!T:T,Match($A329,'Daily Raw Data'!$B:$B,0)),"")</f>
        <v/>
      </c>
      <c r="L329" t="str">
        <f t="array" ref="L329">IFERROR(INDEX('Daily Raw Data'!U:U,Match($A329,'Daily Raw Data'!$B:$B,0)),"")</f>
        <v/>
      </c>
      <c r="M329" t="str">
        <f t="array" ref="M329">IFERROR(INDEX('Daily Raw Data'!V:V,Match($A329,'Daily Raw Data'!$B:$B,0)),"")</f>
        <v/>
      </c>
      <c r="N329" t="str">
        <f t="array" ref="N329">IFERROR(INDEX('Daily Raw Data'!W:W,Match($A329,'Daily Raw Data'!$B:$B,0)),"")</f>
        <v/>
      </c>
      <c r="O329" t="str">
        <f t="array" ref="O329">IFERROR(INDEX('Daily Raw Data'!Y:Y,Match($A329,'Daily Raw Data'!$B:$B,0)),"")</f>
        <v/>
      </c>
      <c r="P329" t="str">
        <f t="shared" si="1"/>
        <v/>
      </c>
      <c r="Q329" s="14" t="str">
        <f t="shared" si="2"/>
        <v/>
      </c>
      <c r="R329" s="15" t="str">
        <f>IFERROR(__xludf.DUMMYFUNCTION("IF($A329="""","""", IFERROR(PERCENTRANK.INC(FILTER(P:P,$E:$E&lt;&gt;""""),P329)*100,""""))"),"")</f>
        <v/>
      </c>
      <c r="S329" s="15" t="str">
        <f>IFERROR(__xludf.DUMMYFUNCTION("IF($A329="""","""",IFERROR(PERCENTRANK.INC(FILTER(Q:Q,$E:$E&lt;&gt;""""),Q329)*100,""""))"),"")</f>
        <v/>
      </c>
    </row>
    <row r="330">
      <c r="B330" t="str">
        <f t="array" ref="B330">IFERROR(INDEX('Player Raw Data'!C:C,Match($A330,'Player Raw Data'!$B:$B,0)),"")</f>
        <v/>
      </c>
      <c r="C330" t="str">
        <f t="array" ref="C330">IFERROR(INDEX('Player Raw Data'!D:D,Match($A330,'Player Raw Data'!$B:$B,0)),"")</f>
        <v/>
      </c>
      <c r="D330" t="str">
        <f t="array" ref="D330">IFERROR(IF(A330=A329, INDEX('Player Raw Data'!E:E,Match($A330,'Player Raw Data'!$B:$B,0)+2),INDEX('Player Raw Data'!E:E,Match($A330,'Player Raw Data'!$B:$B,0))),"")</f>
        <v/>
      </c>
      <c r="E330" s="27" t="str">
        <f>IFERROR(__xludf.DUMMYFUNCTION("IFERROR(ARRAY_CONSTRAIN(SPLIT(INDEX('Daily Raw Data'!G:G,Match($A330,'Daily Raw Data'!$B:$B,0)),"":""),1,1),"""")"),"")</f>
        <v/>
      </c>
      <c r="F330" t="str">
        <f t="array" ref="F330">IFERROR(INDEX('Daily Raw Data'!H:H,Match($A330,'Daily Raw Data'!$B:$B,0)),"")</f>
        <v/>
      </c>
      <c r="G330" t="str">
        <f t="array" ref="G330">IFERROR(INDEX('Daily Raw Data'!I:I,Match($A330,'Daily Raw Data'!$B:$B,0)),"")</f>
        <v/>
      </c>
      <c r="H330" t="str">
        <f t="array" ref="H330">IFERROR(INDEX('Daily Raw Data'!N:N,Match($A330,'Daily Raw Data'!$B:$B,0)),"")</f>
        <v/>
      </c>
      <c r="I330" t="str">
        <f t="array" ref="I330">IFERROR(INDEX('Daily Raw Data'!O:O,Match($A330,'Daily Raw Data'!$B:$B,0)),"")</f>
        <v/>
      </c>
      <c r="J330" t="str">
        <f t="array" ref="J330">IFERROR(INDEX('Daily Raw Data'!S:S,Match($A330,'Daily Raw Data'!$B:$B,0)),"")</f>
        <v/>
      </c>
      <c r="K330" t="str">
        <f t="array" ref="K330">IFERROR(INDEX('Daily Raw Data'!T:T,Match($A330,'Daily Raw Data'!$B:$B,0)),"")</f>
        <v/>
      </c>
      <c r="L330" t="str">
        <f t="array" ref="L330">IFERROR(INDEX('Daily Raw Data'!U:U,Match($A330,'Daily Raw Data'!$B:$B,0)),"")</f>
        <v/>
      </c>
      <c r="M330" t="str">
        <f t="array" ref="M330">IFERROR(INDEX('Daily Raw Data'!V:V,Match($A330,'Daily Raw Data'!$B:$B,0)),"")</f>
        <v/>
      </c>
      <c r="N330" t="str">
        <f t="array" ref="N330">IFERROR(INDEX('Daily Raw Data'!W:W,Match($A330,'Daily Raw Data'!$B:$B,0)),"")</f>
        <v/>
      </c>
      <c r="O330" t="str">
        <f t="array" ref="O330">IFERROR(INDEX('Daily Raw Data'!Y:Y,Match($A330,'Daily Raw Data'!$B:$B,0)),"")</f>
        <v/>
      </c>
      <c r="P330" t="str">
        <f t="shared" si="1"/>
        <v/>
      </c>
      <c r="Q330" s="14" t="str">
        <f t="shared" si="2"/>
        <v/>
      </c>
      <c r="R330" s="15" t="str">
        <f>IFERROR(__xludf.DUMMYFUNCTION("IF($A330="""","""", IFERROR(PERCENTRANK.INC(FILTER(P:P,$E:$E&lt;&gt;""""),P330)*100,""""))"),"")</f>
        <v/>
      </c>
      <c r="S330" s="15" t="str">
        <f>IFERROR(__xludf.DUMMYFUNCTION("IF($A330="""","""",IFERROR(PERCENTRANK.INC(FILTER(Q:Q,$E:$E&lt;&gt;""""),Q330)*100,""""))"),"")</f>
        <v/>
      </c>
    </row>
    <row r="331">
      <c r="B331" t="str">
        <f t="array" ref="B331">IFERROR(INDEX('Player Raw Data'!C:C,Match($A331,'Player Raw Data'!$B:$B,0)),"")</f>
        <v/>
      </c>
      <c r="C331" t="str">
        <f t="array" ref="C331">IFERROR(INDEX('Player Raw Data'!D:D,Match($A331,'Player Raw Data'!$B:$B,0)),"")</f>
        <v/>
      </c>
      <c r="D331" t="str">
        <f t="array" ref="D331">IFERROR(IF(A331=A330, INDEX('Player Raw Data'!E:E,Match($A331,'Player Raw Data'!$B:$B,0)+2),INDEX('Player Raw Data'!E:E,Match($A331,'Player Raw Data'!$B:$B,0))),"")</f>
        <v/>
      </c>
      <c r="E331" s="27" t="str">
        <f>IFERROR(__xludf.DUMMYFUNCTION("IFERROR(ARRAY_CONSTRAIN(SPLIT(INDEX('Daily Raw Data'!G:G,Match($A331,'Daily Raw Data'!$B:$B,0)),"":""),1,1),"""")"),"")</f>
        <v/>
      </c>
      <c r="F331" t="str">
        <f t="array" ref="F331">IFERROR(INDEX('Daily Raw Data'!H:H,Match($A331,'Daily Raw Data'!$B:$B,0)),"")</f>
        <v/>
      </c>
      <c r="G331" t="str">
        <f t="array" ref="G331">IFERROR(INDEX('Daily Raw Data'!I:I,Match($A331,'Daily Raw Data'!$B:$B,0)),"")</f>
        <v/>
      </c>
      <c r="H331" t="str">
        <f t="array" ref="H331">IFERROR(INDEX('Daily Raw Data'!N:N,Match($A331,'Daily Raw Data'!$B:$B,0)),"")</f>
        <v/>
      </c>
      <c r="I331" t="str">
        <f t="array" ref="I331">IFERROR(INDEX('Daily Raw Data'!O:O,Match($A331,'Daily Raw Data'!$B:$B,0)),"")</f>
        <v/>
      </c>
      <c r="J331" t="str">
        <f t="array" ref="J331">IFERROR(INDEX('Daily Raw Data'!S:S,Match($A331,'Daily Raw Data'!$B:$B,0)),"")</f>
        <v/>
      </c>
      <c r="K331" t="str">
        <f t="array" ref="K331">IFERROR(INDEX('Daily Raw Data'!T:T,Match($A331,'Daily Raw Data'!$B:$B,0)),"")</f>
        <v/>
      </c>
      <c r="L331" t="str">
        <f t="array" ref="L331">IFERROR(INDEX('Daily Raw Data'!U:U,Match($A331,'Daily Raw Data'!$B:$B,0)),"")</f>
        <v/>
      </c>
      <c r="M331" t="str">
        <f t="array" ref="M331">IFERROR(INDEX('Daily Raw Data'!V:V,Match($A331,'Daily Raw Data'!$B:$B,0)),"")</f>
        <v/>
      </c>
      <c r="N331" t="str">
        <f t="array" ref="N331">IFERROR(INDEX('Daily Raw Data'!W:W,Match($A331,'Daily Raw Data'!$B:$B,0)),"")</f>
        <v/>
      </c>
      <c r="O331" t="str">
        <f t="array" ref="O331">IFERROR(INDEX('Daily Raw Data'!Y:Y,Match($A331,'Daily Raw Data'!$B:$B,0)),"")</f>
        <v/>
      </c>
      <c r="P331" t="str">
        <f t="shared" si="1"/>
        <v/>
      </c>
      <c r="Q331" s="14" t="str">
        <f t="shared" si="2"/>
        <v/>
      </c>
      <c r="R331" s="15" t="str">
        <f>IFERROR(__xludf.DUMMYFUNCTION("IF($A331="""","""", IFERROR(PERCENTRANK.INC(FILTER(P:P,$E:$E&lt;&gt;""""),P331)*100,""""))"),"")</f>
        <v/>
      </c>
      <c r="S331" s="15" t="str">
        <f>IFERROR(__xludf.DUMMYFUNCTION("IF($A331="""","""",IFERROR(PERCENTRANK.INC(FILTER(Q:Q,$E:$E&lt;&gt;""""),Q331)*100,""""))"),"")</f>
        <v/>
      </c>
    </row>
    <row r="332">
      <c r="B332" t="str">
        <f t="array" ref="B332">IFERROR(INDEX('Player Raw Data'!C:C,Match($A332,'Player Raw Data'!$B:$B,0)),"")</f>
        <v/>
      </c>
      <c r="C332" t="str">
        <f t="array" ref="C332">IFERROR(INDEX('Player Raw Data'!D:D,Match($A332,'Player Raw Data'!$B:$B,0)),"")</f>
        <v/>
      </c>
      <c r="D332" t="str">
        <f t="array" ref="D332">IFERROR(IF(A332=A331, INDEX('Player Raw Data'!E:E,Match($A332,'Player Raw Data'!$B:$B,0)+2),INDEX('Player Raw Data'!E:E,Match($A332,'Player Raw Data'!$B:$B,0))),"")</f>
        <v/>
      </c>
      <c r="E332" s="27" t="str">
        <f>IFERROR(__xludf.DUMMYFUNCTION("IFERROR(ARRAY_CONSTRAIN(SPLIT(INDEX('Daily Raw Data'!G:G,Match($A332,'Daily Raw Data'!$B:$B,0)),"":""),1,1),"""")"),"")</f>
        <v/>
      </c>
      <c r="F332" t="str">
        <f t="array" ref="F332">IFERROR(INDEX('Daily Raw Data'!H:H,Match($A332,'Daily Raw Data'!$B:$B,0)),"")</f>
        <v/>
      </c>
      <c r="G332" t="str">
        <f t="array" ref="G332">IFERROR(INDEX('Daily Raw Data'!I:I,Match($A332,'Daily Raw Data'!$B:$B,0)),"")</f>
        <v/>
      </c>
      <c r="H332" t="str">
        <f t="array" ref="H332">IFERROR(INDEX('Daily Raw Data'!N:N,Match($A332,'Daily Raw Data'!$B:$B,0)),"")</f>
        <v/>
      </c>
      <c r="I332" t="str">
        <f t="array" ref="I332">IFERROR(INDEX('Daily Raw Data'!O:O,Match($A332,'Daily Raw Data'!$B:$B,0)),"")</f>
        <v/>
      </c>
      <c r="J332" t="str">
        <f t="array" ref="J332">IFERROR(INDEX('Daily Raw Data'!S:S,Match($A332,'Daily Raw Data'!$B:$B,0)),"")</f>
        <v/>
      </c>
      <c r="K332" t="str">
        <f t="array" ref="K332">IFERROR(INDEX('Daily Raw Data'!T:T,Match($A332,'Daily Raw Data'!$B:$B,0)),"")</f>
        <v/>
      </c>
      <c r="L332" t="str">
        <f t="array" ref="L332">IFERROR(INDEX('Daily Raw Data'!U:U,Match($A332,'Daily Raw Data'!$B:$B,0)),"")</f>
        <v/>
      </c>
      <c r="M332" t="str">
        <f t="array" ref="M332">IFERROR(INDEX('Daily Raw Data'!V:V,Match($A332,'Daily Raw Data'!$B:$B,0)),"")</f>
        <v/>
      </c>
      <c r="N332" t="str">
        <f t="array" ref="N332">IFERROR(INDEX('Daily Raw Data'!W:W,Match($A332,'Daily Raw Data'!$B:$B,0)),"")</f>
        <v/>
      </c>
      <c r="O332" t="str">
        <f t="array" ref="O332">IFERROR(INDEX('Daily Raw Data'!Y:Y,Match($A332,'Daily Raw Data'!$B:$B,0)),"")</f>
        <v/>
      </c>
      <c r="P332" t="str">
        <f t="shared" si="1"/>
        <v/>
      </c>
      <c r="Q332" s="14" t="str">
        <f t="shared" si="2"/>
        <v/>
      </c>
      <c r="R332" s="15" t="str">
        <f>IFERROR(__xludf.DUMMYFUNCTION("IF($A332="""","""", IFERROR(PERCENTRANK.INC(FILTER(P:P,$E:$E&lt;&gt;""""),P332)*100,""""))"),"")</f>
        <v/>
      </c>
      <c r="S332" s="15" t="str">
        <f>IFERROR(__xludf.DUMMYFUNCTION("IF($A332="""","""",IFERROR(PERCENTRANK.INC(FILTER(Q:Q,$E:$E&lt;&gt;""""),Q332)*100,""""))"),"")</f>
        <v/>
      </c>
    </row>
    <row r="333">
      <c r="B333" t="str">
        <f t="array" ref="B333">IFERROR(INDEX('Player Raw Data'!C:C,Match($A333,'Player Raw Data'!$B:$B,0)),"")</f>
        <v/>
      </c>
      <c r="C333" t="str">
        <f t="array" ref="C333">IFERROR(INDEX('Player Raw Data'!D:D,Match($A333,'Player Raw Data'!$B:$B,0)),"")</f>
        <v/>
      </c>
      <c r="D333" t="str">
        <f t="array" ref="D333">IFERROR(IF(A333=A332, INDEX('Player Raw Data'!E:E,Match($A333,'Player Raw Data'!$B:$B,0)+2),INDEX('Player Raw Data'!E:E,Match($A333,'Player Raw Data'!$B:$B,0))),"")</f>
        <v/>
      </c>
      <c r="E333" s="27" t="str">
        <f>IFERROR(__xludf.DUMMYFUNCTION("IFERROR(ARRAY_CONSTRAIN(SPLIT(INDEX('Daily Raw Data'!G:G,Match($A333,'Daily Raw Data'!$B:$B,0)),"":""),1,1),"""")"),"")</f>
        <v/>
      </c>
      <c r="F333" t="str">
        <f t="array" ref="F333">IFERROR(INDEX('Daily Raw Data'!H:H,Match($A333,'Daily Raw Data'!$B:$B,0)),"")</f>
        <v/>
      </c>
      <c r="G333" t="str">
        <f t="array" ref="G333">IFERROR(INDEX('Daily Raw Data'!I:I,Match($A333,'Daily Raw Data'!$B:$B,0)),"")</f>
        <v/>
      </c>
      <c r="H333" t="str">
        <f t="array" ref="H333">IFERROR(INDEX('Daily Raw Data'!N:N,Match($A333,'Daily Raw Data'!$B:$B,0)),"")</f>
        <v/>
      </c>
      <c r="I333" t="str">
        <f t="array" ref="I333">IFERROR(INDEX('Daily Raw Data'!O:O,Match($A333,'Daily Raw Data'!$B:$B,0)),"")</f>
        <v/>
      </c>
      <c r="J333" t="str">
        <f t="array" ref="J333">IFERROR(INDEX('Daily Raw Data'!S:S,Match($A333,'Daily Raw Data'!$B:$B,0)),"")</f>
        <v/>
      </c>
      <c r="K333" t="str">
        <f t="array" ref="K333">IFERROR(INDEX('Daily Raw Data'!T:T,Match($A333,'Daily Raw Data'!$B:$B,0)),"")</f>
        <v/>
      </c>
      <c r="L333" t="str">
        <f t="array" ref="L333">IFERROR(INDEX('Daily Raw Data'!U:U,Match($A333,'Daily Raw Data'!$B:$B,0)),"")</f>
        <v/>
      </c>
      <c r="M333" t="str">
        <f t="array" ref="M333">IFERROR(INDEX('Daily Raw Data'!V:V,Match($A333,'Daily Raw Data'!$B:$B,0)),"")</f>
        <v/>
      </c>
      <c r="N333" t="str">
        <f t="array" ref="N333">IFERROR(INDEX('Daily Raw Data'!W:W,Match($A333,'Daily Raw Data'!$B:$B,0)),"")</f>
        <v/>
      </c>
      <c r="O333" t="str">
        <f t="array" ref="O333">IFERROR(INDEX('Daily Raw Data'!Y:Y,Match($A333,'Daily Raw Data'!$B:$B,0)),"")</f>
        <v/>
      </c>
      <c r="P333" t="str">
        <f t="shared" si="1"/>
        <v/>
      </c>
      <c r="Q333" s="14" t="str">
        <f t="shared" si="2"/>
        <v/>
      </c>
      <c r="R333" s="15" t="str">
        <f>IFERROR(__xludf.DUMMYFUNCTION("IF($A333="""","""", IFERROR(PERCENTRANK.INC(FILTER(P:P,$E:$E&lt;&gt;""""),P333)*100,""""))"),"")</f>
        <v/>
      </c>
      <c r="S333" s="15" t="str">
        <f>IFERROR(__xludf.DUMMYFUNCTION("IF($A333="""","""",IFERROR(PERCENTRANK.INC(FILTER(Q:Q,$E:$E&lt;&gt;""""),Q333)*100,""""))"),"")</f>
        <v/>
      </c>
    </row>
    <row r="334">
      <c r="B334" t="str">
        <f t="array" ref="B334">IFERROR(INDEX('Player Raw Data'!C:C,Match($A334,'Player Raw Data'!$B:$B,0)),"")</f>
        <v/>
      </c>
      <c r="C334" t="str">
        <f t="array" ref="C334">IFERROR(INDEX('Player Raw Data'!D:D,Match($A334,'Player Raw Data'!$B:$B,0)),"")</f>
        <v/>
      </c>
      <c r="D334" t="str">
        <f t="array" ref="D334">IFERROR(IF(A334=A333, INDEX('Player Raw Data'!E:E,Match($A334,'Player Raw Data'!$B:$B,0)+2),INDEX('Player Raw Data'!E:E,Match($A334,'Player Raw Data'!$B:$B,0))),"")</f>
        <v/>
      </c>
      <c r="E334" s="27" t="str">
        <f>IFERROR(__xludf.DUMMYFUNCTION("IFERROR(ARRAY_CONSTRAIN(SPLIT(INDEX('Daily Raw Data'!G:G,Match($A334,'Daily Raw Data'!$B:$B,0)),"":""),1,1),"""")"),"")</f>
        <v/>
      </c>
      <c r="F334" t="str">
        <f t="array" ref="F334">IFERROR(INDEX('Daily Raw Data'!H:H,Match($A334,'Daily Raw Data'!$B:$B,0)),"")</f>
        <v/>
      </c>
      <c r="G334" t="str">
        <f t="array" ref="G334">IFERROR(INDEX('Daily Raw Data'!I:I,Match($A334,'Daily Raw Data'!$B:$B,0)),"")</f>
        <v/>
      </c>
      <c r="H334" t="str">
        <f t="array" ref="H334">IFERROR(INDEX('Daily Raw Data'!N:N,Match($A334,'Daily Raw Data'!$B:$B,0)),"")</f>
        <v/>
      </c>
      <c r="I334" t="str">
        <f t="array" ref="I334">IFERROR(INDEX('Daily Raw Data'!O:O,Match($A334,'Daily Raw Data'!$B:$B,0)),"")</f>
        <v/>
      </c>
      <c r="J334" t="str">
        <f t="array" ref="J334">IFERROR(INDEX('Daily Raw Data'!S:S,Match($A334,'Daily Raw Data'!$B:$B,0)),"")</f>
        <v/>
      </c>
      <c r="K334" t="str">
        <f t="array" ref="K334">IFERROR(INDEX('Daily Raw Data'!T:T,Match($A334,'Daily Raw Data'!$B:$B,0)),"")</f>
        <v/>
      </c>
      <c r="L334" t="str">
        <f t="array" ref="L334">IFERROR(INDEX('Daily Raw Data'!U:U,Match($A334,'Daily Raw Data'!$B:$B,0)),"")</f>
        <v/>
      </c>
      <c r="M334" t="str">
        <f t="array" ref="M334">IFERROR(INDEX('Daily Raw Data'!V:V,Match($A334,'Daily Raw Data'!$B:$B,0)),"")</f>
        <v/>
      </c>
      <c r="N334" t="str">
        <f t="array" ref="N334">IFERROR(INDEX('Daily Raw Data'!W:W,Match($A334,'Daily Raw Data'!$B:$B,0)),"")</f>
        <v/>
      </c>
      <c r="O334" t="str">
        <f t="array" ref="O334">IFERROR(INDEX('Daily Raw Data'!Y:Y,Match($A334,'Daily Raw Data'!$B:$B,0)),"")</f>
        <v/>
      </c>
      <c r="P334" t="str">
        <f t="shared" si="1"/>
        <v/>
      </c>
      <c r="Q334" s="14" t="str">
        <f t="shared" si="2"/>
        <v/>
      </c>
      <c r="R334" s="15" t="str">
        <f>IFERROR(__xludf.DUMMYFUNCTION("IF($A334="""","""", IFERROR(PERCENTRANK.INC(FILTER(P:P,$E:$E&lt;&gt;""""),P334)*100,""""))"),"")</f>
        <v/>
      </c>
      <c r="S334" s="15" t="str">
        <f>IFERROR(__xludf.DUMMYFUNCTION("IF($A334="""","""",IFERROR(PERCENTRANK.INC(FILTER(Q:Q,$E:$E&lt;&gt;""""),Q334)*100,""""))"),"")</f>
        <v/>
      </c>
    </row>
    <row r="335">
      <c r="B335" t="str">
        <f t="array" ref="B335">IFERROR(INDEX('Player Raw Data'!C:C,Match($A335,'Player Raw Data'!$B:$B,0)),"")</f>
        <v/>
      </c>
      <c r="C335" t="str">
        <f t="array" ref="C335">IFERROR(INDEX('Player Raw Data'!D:D,Match($A335,'Player Raw Data'!$B:$B,0)),"")</f>
        <v/>
      </c>
      <c r="D335" t="str">
        <f t="array" ref="D335">IFERROR(IF(A335=A334, INDEX('Player Raw Data'!E:E,Match($A335,'Player Raw Data'!$B:$B,0)+2),INDEX('Player Raw Data'!E:E,Match($A335,'Player Raw Data'!$B:$B,0))),"")</f>
        <v/>
      </c>
      <c r="E335" s="27" t="str">
        <f>IFERROR(__xludf.DUMMYFUNCTION("IFERROR(ARRAY_CONSTRAIN(SPLIT(INDEX('Daily Raw Data'!G:G,Match($A335,'Daily Raw Data'!$B:$B,0)),"":""),1,1),"""")"),"")</f>
        <v/>
      </c>
      <c r="F335" t="str">
        <f t="array" ref="F335">IFERROR(INDEX('Daily Raw Data'!H:H,Match($A335,'Daily Raw Data'!$B:$B,0)),"")</f>
        <v/>
      </c>
      <c r="G335" t="str">
        <f t="array" ref="G335">IFERROR(INDEX('Daily Raw Data'!I:I,Match($A335,'Daily Raw Data'!$B:$B,0)),"")</f>
        <v/>
      </c>
      <c r="H335" t="str">
        <f t="array" ref="H335">IFERROR(INDEX('Daily Raw Data'!N:N,Match($A335,'Daily Raw Data'!$B:$B,0)),"")</f>
        <v/>
      </c>
      <c r="I335" t="str">
        <f t="array" ref="I335">IFERROR(INDEX('Daily Raw Data'!O:O,Match($A335,'Daily Raw Data'!$B:$B,0)),"")</f>
        <v/>
      </c>
      <c r="J335" t="str">
        <f t="array" ref="J335">IFERROR(INDEX('Daily Raw Data'!S:S,Match($A335,'Daily Raw Data'!$B:$B,0)),"")</f>
        <v/>
      </c>
      <c r="K335" t="str">
        <f t="array" ref="K335">IFERROR(INDEX('Daily Raw Data'!T:T,Match($A335,'Daily Raw Data'!$B:$B,0)),"")</f>
        <v/>
      </c>
      <c r="L335" t="str">
        <f t="array" ref="L335">IFERROR(INDEX('Daily Raw Data'!U:U,Match($A335,'Daily Raw Data'!$B:$B,0)),"")</f>
        <v/>
      </c>
      <c r="M335" t="str">
        <f t="array" ref="M335">IFERROR(INDEX('Daily Raw Data'!V:V,Match($A335,'Daily Raw Data'!$B:$B,0)),"")</f>
        <v/>
      </c>
      <c r="N335" t="str">
        <f t="array" ref="N335">IFERROR(INDEX('Daily Raw Data'!W:W,Match($A335,'Daily Raw Data'!$B:$B,0)),"")</f>
        <v/>
      </c>
      <c r="O335" t="str">
        <f t="array" ref="O335">IFERROR(INDEX('Daily Raw Data'!Y:Y,Match($A335,'Daily Raw Data'!$B:$B,0)),"")</f>
        <v/>
      </c>
      <c r="P335" t="str">
        <f t="shared" si="1"/>
        <v/>
      </c>
      <c r="Q335" s="14" t="str">
        <f t="shared" si="2"/>
        <v/>
      </c>
      <c r="R335" s="15" t="str">
        <f>IFERROR(__xludf.DUMMYFUNCTION("IF($A335="""","""", IFERROR(PERCENTRANK.INC(FILTER(P:P,$E:$E&lt;&gt;""""),P335)*100,""""))"),"")</f>
        <v/>
      </c>
      <c r="S335" s="15" t="str">
        <f>IFERROR(__xludf.DUMMYFUNCTION("IF($A335="""","""",IFERROR(PERCENTRANK.INC(FILTER(Q:Q,$E:$E&lt;&gt;""""),Q335)*100,""""))"),"")</f>
        <v/>
      </c>
    </row>
    <row r="336">
      <c r="B336" t="str">
        <f t="array" ref="B336">IFERROR(INDEX('Player Raw Data'!C:C,Match($A336,'Player Raw Data'!$B:$B,0)),"")</f>
        <v/>
      </c>
      <c r="C336" t="str">
        <f t="array" ref="C336">IFERROR(INDEX('Player Raw Data'!D:D,Match($A336,'Player Raw Data'!$B:$B,0)),"")</f>
        <v/>
      </c>
      <c r="D336" t="str">
        <f t="array" ref="D336">IFERROR(IF(A336=A335, INDEX('Player Raw Data'!E:E,Match($A336,'Player Raw Data'!$B:$B,0)+2),INDEX('Player Raw Data'!E:E,Match($A336,'Player Raw Data'!$B:$B,0))),"")</f>
        <v/>
      </c>
      <c r="E336" s="27" t="str">
        <f>IFERROR(__xludf.DUMMYFUNCTION("IFERROR(ARRAY_CONSTRAIN(SPLIT(INDEX('Daily Raw Data'!G:G,Match($A336,'Daily Raw Data'!$B:$B,0)),"":""),1,1),"""")"),"")</f>
        <v/>
      </c>
      <c r="F336" t="str">
        <f t="array" ref="F336">IFERROR(INDEX('Daily Raw Data'!H:H,Match($A336,'Daily Raw Data'!$B:$B,0)),"")</f>
        <v/>
      </c>
      <c r="G336" t="str">
        <f t="array" ref="G336">IFERROR(INDEX('Daily Raw Data'!I:I,Match($A336,'Daily Raw Data'!$B:$B,0)),"")</f>
        <v/>
      </c>
      <c r="H336" t="str">
        <f t="array" ref="H336">IFERROR(INDEX('Daily Raw Data'!N:N,Match($A336,'Daily Raw Data'!$B:$B,0)),"")</f>
        <v/>
      </c>
      <c r="I336" t="str">
        <f t="array" ref="I336">IFERROR(INDEX('Daily Raw Data'!O:O,Match($A336,'Daily Raw Data'!$B:$B,0)),"")</f>
        <v/>
      </c>
      <c r="J336" t="str">
        <f t="array" ref="J336">IFERROR(INDEX('Daily Raw Data'!S:S,Match($A336,'Daily Raw Data'!$B:$B,0)),"")</f>
        <v/>
      </c>
      <c r="K336" t="str">
        <f t="array" ref="K336">IFERROR(INDEX('Daily Raw Data'!T:T,Match($A336,'Daily Raw Data'!$B:$B,0)),"")</f>
        <v/>
      </c>
      <c r="L336" t="str">
        <f t="array" ref="L336">IFERROR(INDEX('Daily Raw Data'!U:U,Match($A336,'Daily Raw Data'!$B:$B,0)),"")</f>
        <v/>
      </c>
      <c r="M336" t="str">
        <f t="array" ref="M336">IFERROR(INDEX('Daily Raw Data'!V:V,Match($A336,'Daily Raw Data'!$B:$B,0)),"")</f>
        <v/>
      </c>
      <c r="N336" t="str">
        <f t="array" ref="N336">IFERROR(INDEX('Daily Raw Data'!W:W,Match($A336,'Daily Raw Data'!$B:$B,0)),"")</f>
        <v/>
      </c>
      <c r="O336" t="str">
        <f t="array" ref="O336">IFERROR(INDEX('Daily Raw Data'!Y:Y,Match($A336,'Daily Raw Data'!$B:$B,0)),"")</f>
        <v/>
      </c>
      <c r="P336" t="str">
        <f t="shared" si="1"/>
        <v/>
      </c>
      <c r="Q336" s="14" t="str">
        <f t="shared" si="2"/>
        <v/>
      </c>
      <c r="R336" s="15" t="str">
        <f>IFERROR(__xludf.DUMMYFUNCTION("IF($A336="""","""", IFERROR(PERCENTRANK.INC(FILTER(P:P,$E:$E&lt;&gt;""""),P336)*100,""""))"),"")</f>
        <v/>
      </c>
      <c r="S336" s="15" t="str">
        <f>IFERROR(__xludf.DUMMYFUNCTION("IF($A336="""","""",IFERROR(PERCENTRANK.INC(FILTER(Q:Q,$E:$E&lt;&gt;""""),Q336)*100,""""))"),"")</f>
        <v/>
      </c>
    </row>
    <row r="337">
      <c r="B337" t="str">
        <f t="array" ref="B337">IFERROR(INDEX('Player Raw Data'!C:C,Match($A337,'Player Raw Data'!$B:$B,0)),"")</f>
        <v/>
      </c>
      <c r="C337" t="str">
        <f t="array" ref="C337">IFERROR(INDEX('Player Raw Data'!D:D,Match($A337,'Player Raw Data'!$B:$B,0)),"")</f>
        <v/>
      </c>
      <c r="D337" t="str">
        <f t="array" ref="D337">IFERROR(IF(A337=A336, INDEX('Player Raw Data'!E:E,Match($A337,'Player Raw Data'!$B:$B,0)+2),INDEX('Player Raw Data'!E:E,Match($A337,'Player Raw Data'!$B:$B,0))),"")</f>
        <v/>
      </c>
      <c r="E337" s="27" t="str">
        <f>IFERROR(__xludf.DUMMYFUNCTION("IFERROR(ARRAY_CONSTRAIN(SPLIT(INDEX('Daily Raw Data'!G:G,Match($A337,'Daily Raw Data'!$B:$B,0)),"":""),1,1),"""")"),"")</f>
        <v/>
      </c>
      <c r="F337" t="str">
        <f t="array" ref="F337">IFERROR(INDEX('Daily Raw Data'!H:H,Match($A337,'Daily Raw Data'!$B:$B,0)),"")</f>
        <v/>
      </c>
      <c r="G337" t="str">
        <f t="array" ref="G337">IFERROR(INDEX('Daily Raw Data'!I:I,Match($A337,'Daily Raw Data'!$B:$B,0)),"")</f>
        <v/>
      </c>
      <c r="H337" t="str">
        <f t="array" ref="H337">IFERROR(INDEX('Daily Raw Data'!N:N,Match($A337,'Daily Raw Data'!$B:$B,0)),"")</f>
        <v/>
      </c>
      <c r="I337" t="str">
        <f t="array" ref="I337">IFERROR(INDEX('Daily Raw Data'!O:O,Match($A337,'Daily Raw Data'!$B:$B,0)),"")</f>
        <v/>
      </c>
      <c r="J337" t="str">
        <f t="array" ref="J337">IFERROR(INDEX('Daily Raw Data'!S:S,Match($A337,'Daily Raw Data'!$B:$B,0)),"")</f>
        <v/>
      </c>
      <c r="K337" t="str">
        <f t="array" ref="K337">IFERROR(INDEX('Daily Raw Data'!T:T,Match($A337,'Daily Raw Data'!$B:$B,0)),"")</f>
        <v/>
      </c>
      <c r="L337" t="str">
        <f t="array" ref="L337">IFERROR(INDEX('Daily Raw Data'!U:U,Match($A337,'Daily Raw Data'!$B:$B,0)),"")</f>
        <v/>
      </c>
      <c r="M337" t="str">
        <f t="array" ref="M337">IFERROR(INDEX('Daily Raw Data'!V:V,Match($A337,'Daily Raw Data'!$B:$B,0)),"")</f>
        <v/>
      </c>
      <c r="N337" t="str">
        <f t="array" ref="N337">IFERROR(INDEX('Daily Raw Data'!W:W,Match($A337,'Daily Raw Data'!$B:$B,0)),"")</f>
        <v/>
      </c>
      <c r="O337" t="str">
        <f t="array" ref="O337">IFERROR(INDEX('Daily Raw Data'!Y:Y,Match($A337,'Daily Raw Data'!$B:$B,0)),"")</f>
        <v/>
      </c>
      <c r="P337" t="str">
        <f t="shared" si="1"/>
        <v/>
      </c>
      <c r="Q337" s="14" t="str">
        <f t="shared" si="2"/>
        <v/>
      </c>
      <c r="R337" s="15" t="str">
        <f>IFERROR(__xludf.DUMMYFUNCTION("IF($A337="""","""", IFERROR(PERCENTRANK.INC(FILTER(P:P,$E:$E&lt;&gt;""""),P337)*100,""""))"),"")</f>
        <v/>
      </c>
      <c r="S337" s="15" t="str">
        <f>IFERROR(__xludf.DUMMYFUNCTION("IF($A337="""","""",IFERROR(PERCENTRANK.INC(FILTER(Q:Q,$E:$E&lt;&gt;""""),Q337)*100,""""))"),"")</f>
        <v/>
      </c>
    </row>
    <row r="338">
      <c r="B338" t="str">
        <f t="array" ref="B338">IFERROR(INDEX('Player Raw Data'!C:C,Match($A338,'Player Raw Data'!$B:$B,0)),"")</f>
        <v/>
      </c>
      <c r="C338" t="str">
        <f t="array" ref="C338">IFERROR(INDEX('Player Raw Data'!D:D,Match($A338,'Player Raw Data'!$B:$B,0)),"")</f>
        <v/>
      </c>
      <c r="D338" t="str">
        <f t="array" ref="D338">IFERROR(IF(A338=A337, INDEX('Player Raw Data'!E:E,Match($A338,'Player Raw Data'!$B:$B,0)+2),INDEX('Player Raw Data'!E:E,Match($A338,'Player Raw Data'!$B:$B,0))),"")</f>
        <v/>
      </c>
      <c r="E338" s="27" t="str">
        <f>IFERROR(__xludf.DUMMYFUNCTION("IFERROR(ARRAY_CONSTRAIN(SPLIT(INDEX('Daily Raw Data'!G:G,Match($A338,'Daily Raw Data'!$B:$B,0)),"":""),1,1),"""")"),"")</f>
        <v/>
      </c>
      <c r="F338" t="str">
        <f t="array" ref="F338">IFERROR(INDEX('Daily Raw Data'!H:H,Match($A338,'Daily Raw Data'!$B:$B,0)),"")</f>
        <v/>
      </c>
      <c r="G338" t="str">
        <f t="array" ref="G338">IFERROR(INDEX('Daily Raw Data'!I:I,Match($A338,'Daily Raw Data'!$B:$B,0)),"")</f>
        <v/>
      </c>
      <c r="H338" t="str">
        <f t="array" ref="H338">IFERROR(INDEX('Daily Raw Data'!N:N,Match($A338,'Daily Raw Data'!$B:$B,0)),"")</f>
        <v/>
      </c>
      <c r="I338" t="str">
        <f t="array" ref="I338">IFERROR(INDEX('Daily Raw Data'!O:O,Match($A338,'Daily Raw Data'!$B:$B,0)),"")</f>
        <v/>
      </c>
      <c r="J338" t="str">
        <f t="array" ref="J338">IFERROR(INDEX('Daily Raw Data'!S:S,Match($A338,'Daily Raw Data'!$B:$B,0)),"")</f>
        <v/>
      </c>
      <c r="K338" t="str">
        <f t="array" ref="K338">IFERROR(INDEX('Daily Raw Data'!T:T,Match($A338,'Daily Raw Data'!$B:$B,0)),"")</f>
        <v/>
      </c>
      <c r="L338" t="str">
        <f t="array" ref="L338">IFERROR(INDEX('Daily Raw Data'!U:U,Match($A338,'Daily Raw Data'!$B:$B,0)),"")</f>
        <v/>
      </c>
      <c r="M338" t="str">
        <f t="array" ref="M338">IFERROR(INDEX('Daily Raw Data'!V:V,Match($A338,'Daily Raw Data'!$B:$B,0)),"")</f>
        <v/>
      </c>
      <c r="N338" t="str">
        <f t="array" ref="N338">IFERROR(INDEX('Daily Raw Data'!W:W,Match($A338,'Daily Raw Data'!$B:$B,0)),"")</f>
        <v/>
      </c>
      <c r="O338" t="str">
        <f t="array" ref="O338">IFERROR(INDEX('Daily Raw Data'!Y:Y,Match($A338,'Daily Raw Data'!$B:$B,0)),"")</f>
        <v/>
      </c>
      <c r="P338" t="str">
        <f t="shared" si="1"/>
        <v/>
      </c>
      <c r="Q338" s="14" t="str">
        <f t="shared" si="2"/>
        <v/>
      </c>
      <c r="R338" s="15" t="str">
        <f>IFERROR(__xludf.DUMMYFUNCTION("IF($A338="""","""", IFERROR(PERCENTRANK.INC(FILTER(P:P,$E:$E&lt;&gt;""""),P338)*100,""""))"),"")</f>
        <v/>
      </c>
      <c r="S338" s="15" t="str">
        <f>IFERROR(__xludf.DUMMYFUNCTION("IF($A338="""","""",IFERROR(PERCENTRANK.INC(FILTER(Q:Q,$E:$E&lt;&gt;""""),Q338)*100,""""))"),"")</f>
        <v/>
      </c>
    </row>
    <row r="339">
      <c r="B339" t="str">
        <f t="array" ref="B339">IFERROR(INDEX('Player Raw Data'!C:C,Match($A339,'Player Raw Data'!$B:$B,0)),"")</f>
        <v/>
      </c>
      <c r="C339" t="str">
        <f t="array" ref="C339">IFERROR(INDEX('Player Raw Data'!D:D,Match($A339,'Player Raw Data'!$B:$B,0)),"")</f>
        <v/>
      </c>
      <c r="D339" t="str">
        <f t="array" ref="D339">IFERROR(IF(A339=A338, INDEX('Player Raw Data'!E:E,Match($A339,'Player Raw Data'!$B:$B,0)+2),INDEX('Player Raw Data'!E:E,Match($A339,'Player Raw Data'!$B:$B,0))),"")</f>
        <v/>
      </c>
      <c r="E339" s="27" t="str">
        <f>IFERROR(__xludf.DUMMYFUNCTION("IFERROR(ARRAY_CONSTRAIN(SPLIT(INDEX('Daily Raw Data'!G:G,Match($A339,'Daily Raw Data'!$B:$B,0)),"":""),1,1),"""")"),"")</f>
        <v/>
      </c>
      <c r="F339" t="str">
        <f t="array" ref="F339">IFERROR(INDEX('Daily Raw Data'!H:H,Match($A339,'Daily Raw Data'!$B:$B,0)),"")</f>
        <v/>
      </c>
      <c r="G339" t="str">
        <f t="array" ref="G339">IFERROR(INDEX('Daily Raw Data'!I:I,Match($A339,'Daily Raw Data'!$B:$B,0)),"")</f>
        <v/>
      </c>
      <c r="H339" t="str">
        <f t="array" ref="H339">IFERROR(INDEX('Daily Raw Data'!N:N,Match($A339,'Daily Raw Data'!$B:$B,0)),"")</f>
        <v/>
      </c>
      <c r="I339" t="str">
        <f t="array" ref="I339">IFERROR(INDEX('Daily Raw Data'!O:O,Match($A339,'Daily Raw Data'!$B:$B,0)),"")</f>
        <v/>
      </c>
      <c r="J339" t="str">
        <f t="array" ref="J339">IFERROR(INDEX('Daily Raw Data'!S:S,Match($A339,'Daily Raw Data'!$B:$B,0)),"")</f>
        <v/>
      </c>
      <c r="K339" t="str">
        <f t="array" ref="K339">IFERROR(INDEX('Daily Raw Data'!T:T,Match($A339,'Daily Raw Data'!$B:$B,0)),"")</f>
        <v/>
      </c>
      <c r="L339" t="str">
        <f t="array" ref="L339">IFERROR(INDEX('Daily Raw Data'!U:U,Match($A339,'Daily Raw Data'!$B:$B,0)),"")</f>
        <v/>
      </c>
      <c r="M339" t="str">
        <f t="array" ref="M339">IFERROR(INDEX('Daily Raw Data'!V:V,Match($A339,'Daily Raw Data'!$B:$B,0)),"")</f>
        <v/>
      </c>
      <c r="N339" t="str">
        <f t="array" ref="N339">IFERROR(INDEX('Daily Raw Data'!W:W,Match($A339,'Daily Raw Data'!$B:$B,0)),"")</f>
        <v/>
      </c>
      <c r="O339" t="str">
        <f t="array" ref="O339">IFERROR(INDEX('Daily Raw Data'!Y:Y,Match($A339,'Daily Raw Data'!$B:$B,0)),"")</f>
        <v/>
      </c>
      <c r="P339" t="str">
        <f t="shared" si="1"/>
        <v/>
      </c>
      <c r="Q339" s="14" t="str">
        <f t="shared" si="2"/>
        <v/>
      </c>
      <c r="R339" s="15" t="str">
        <f>IFERROR(__xludf.DUMMYFUNCTION("IF($A339="""","""", IFERROR(PERCENTRANK.INC(FILTER(P:P,$E:$E&lt;&gt;""""),P339)*100,""""))"),"")</f>
        <v/>
      </c>
      <c r="S339" s="15" t="str">
        <f>IFERROR(__xludf.DUMMYFUNCTION("IF($A339="""","""",IFERROR(PERCENTRANK.INC(FILTER(Q:Q,$E:$E&lt;&gt;""""),Q339)*100,""""))"),"")</f>
        <v/>
      </c>
    </row>
    <row r="340">
      <c r="B340" t="str">
        <f t="array" ref="B340">IFERROR(INDEX('Player Raw Data'!C:C,Match($A340,'Player Raw Data'!$B:$B,0)),"")</f>
        <v/>
      </c>
      <c r="C340" t="str">
        <f t="array" ref="C340">IFERROR(INDEX('Player Raw Data'!D:D,Match($A340,'Player Raw Data'!$B:$B,0)),"")</f>
        <v/>
      </c>
      <c r="D340" t="str">
        <f t="array" ref="D340">IFERROR(IF(A340=A339, INDEX('Player Raw Data'!E:E,Match($A340,'Player Raw Data'!$B:$B,0)+2),INDEX('Player Raw Data'!E:E,Match($A340,'Player Raw Data'!$B:$B,0))),"")</f>
        <v/>
      </c>
      <c r="E340" s="27" t="str">
        <f>IFERROR(__xludf.DUMMYFUNCTION("IFERROR(ARRAY_CONSTRAIN(SPLIT(INDEX('Daily Raw Data'!G:G,Match($A340,'Daily Raw Data'!$B:$B,0)),"":""),1,1),"""")"),"")</f>
        <v/>
      </c>
      <c r="F340" t="str">
        <f t="array" ref="F340">IFERROR(INDEX('Daily Raw Data'!H:H,Match($A340,'Daily Raw Data'!$B:$B,0)),"")</f>
        <v/>
      </c>
      <c r="G340" t="str">
        <f t="array" ref="G340">IFERROR(INDEX('Daily Raw Data'!I:I,Match($A340,'Daily Raw Data'!$B:$B,0)),"")</f>
        <v/>
      </c>
      <c r="H340" t="str">
        <f t="array" ref="H340">IFERROR(INDEX('Daily Raw Data'!N:N,Match($A340,'Daily Raw Data'!$B:$B,0)),"")</f>
        <v/>
      </c>
      <c r="I340" t="str">
        <f t="array" ref="I340">IFERROR(INDEX('Daily Raw Data'!O:O,Match($A340,'Daily Raw Data'!$B:$B,0)),"")</f>
        <v/>
      </c>
      <c r="J340" t="str">
        <f t="array" ref="J340">IFERROR(INDEX('Daily Raw Data'!S:S,Match($A340,'Daily Raw Data'!$B:$B,0)),"")</f>
        <v/>
      </c>
      <c r="K340" t="str">
        <f t="array" ref="K340">IFERROR(INDEX('Daily Raw Data'!T:T,Match($A340,'Daily Raw Data'!$B:$B,0)),"")</f>
        <v/>
      </c>
      <c r="L340" t="str">
        <f t="array" ref="L340">IFERROR(INDEX('Daily Raw Data'!U:U,Match($A340,'Daily Raw Data'!$B:$B,0)),"")</f>
        <v/>
      </c>
      <c r="M340" t="str">
        <f t="array" ref="M340">IFERROR(INDEX('Daily Raw Data'!V:V,Match($A340,'Daily Raw Data'!$B:$B,0)),"")</f>
        <v/>
      </c>
      <c r="N340" t="str">
        <f t="array" ref="N340">IFERROR(INDEX('Daily Raw Data'!W:W,Match($A340,'Daily Raw Data'!$B:$B,0)),"")</f>
        <v/>
      </c>
      <c r="O340" t="str">
        <f t="array" ref="O340">IFERROR(INDEX('Daily Raw Data'!Y:Y,Match($A340,'Daily Raw Data'!$B:$B,0)),"")</f>
        <v/>
      </c>
      <c r="P340" t="str">
        <f t="shared" si="1"/>
        <v/>
      </c>
      <c r="Q340" s="14" t="str">
        <f t="shared" si="2"/>
        <v/>
      </c>
      <c r="R340" s="15" t="str">
        <f>IFERROR(__xludf.DUMMYFUNCTION("IF($A340="""","""", IFERROR(PERCENTRANK.INC(FILTER(P:P,$E:$E&lt;&gt;""""),P340)*100,""""))"),"")</f>
        <v/>
      </c>
      <c r="S340" s="15" t="str">
        <f>IFERROR(__xludf.DUMMYFUNCTION("IF($A340="""","""",IFERROR(PERCENTRANK.INC(FILTER(Q:Q,$E:$E&lt;&gt;""""),Q340)*100,""""))"),"")</f>
        <v/>
      </c>
    </row>
    <row r="341">
      <c r="B341" t="str">
        <f t="array" ref="B341">IFERROR(INDEX('Player Raw Data'!C:C,Match($A341,'Player Raw Data'!$B:$B,0)),"")</f>
        <v/>
      </c>
      <c r="C341" t="str">
        <f t="array" ref="C341">IFERROR(INDEX('Player Raw Data'!D:D,Match($A341,'Player Raw Data'!$B:$B,0)),"")</f>
        <v/>
      </c>
      <c r="D341" t="str">
        <f t="array" ref="D341">IFERROR(IF(A341=A340, INDEX('Player Raw Data'!E:E,Match($A341,'Player Raw Data'!$B:$B,0)+2),INDEX('Player Raw Data'!E:E,Match($A341,'Player Raw Data'!$B:$B,0))),"")</f>
        <v/>
      </c>
      <c r="E341" s="27" t="str">
        <f>IFERROR(__xludf.DUMMYFUNCTION("IFERROR(ARRAY_CONSTRAIN(SPLIT(INDEX('Daily Raw Data'!G:G,Match($A341,'Daily Raw Data'!$B:$B,0)),"":""),1,1),"""")"),"")</f>
        <v/>
      </c>
      <c r="F341" t="str">
        <f t="array" ref="F341">IFERROR(INDEX('Daily Raw Data'!H:H,Match($A341,'Daily Raw Data'!$B:$B,0)),"")</f>
        <v/>
      </c>
      <c r="G341" t="str">
        <f t="array" ref="G341">IFERROR(INDEX('Daily Raw Data'!I:I,Match($A341,'Daily Raw Data'!$B:$B,0)),"")</f>
        <v/>
      </c>
      <c r="H341" t="str">
        <f t="array" ref="H341">IFERROR(INDEX('Daily Raw Data'!N:N,Match($A341,'Daily Raw Data'!$B:$B,0)),"")</f>
        <v/>
      </c>
      <c r="I341" t="str">
        <f t="array" ref="I341">IFERROR(INDEX('Daily Raw Data'!O:O,Match($A341,'Daily Raw Data'!$B:$B,0)),"")</f>
        <v/>
      </c>
      <c r="J341" t="str">
        <f t="array" ref="J341">IFERROR(INDEX('Daily Raw Data'!S:S,Match($A341,'Daily Raw Data'!$B:$B,0)),"")</f>
        <v/>
      </c>
      <c r="K341" t="str">
        <f t="array" ref="K341">IFERROR(INDEX('Daily Raw Data'!T:T,Match($A341,'Daily Raw Data'!$B:$B,0)),"")</f>
        <v/>
      </c>
      <c r="L341" t="str">
        <f t="array" ref="L341">IFERROR(INDEX('Daily Raw Data'!U:U,Match($A341,'Daily Raw Data'!$B:$B,0)),"")</f>
        <v/>
      </c>
      <c r="M341" t="str">
        <f t="array" ref="M341">IFERROR(INDEX('Daily Raw Data'!V:V,Match($A341,'Daily Raw Data'!$B:$B,0)),"")</f>
        <v/>
      </c>
      <c r="N341" t="str">
        <f t="array" ref="N341">IFERROR(INDEX('Daily Raw Data'!W:W,Match($A341,'Daily Raw Data'!$B:$B,0)),"")</f>
        <v/>
      </c>
      <c r="O341" t="str">
        <f t="array" ref="O341">IFERROR(INDEX('Daily Raw Data'!Y:Y,Match($A341,'Daily Raw Data'!$B:$B,0)),"")</f>
        <v/>
      </c>
      <c r="P341" t="str">
        <f t="shared" si="1"/>
        <v/>
      </c>
      <c r="Q341" s="14" t="str">
        <f t="shared" si="2"/>
        <v/>
      </c>
      <c r="R341" s="15" t="str">
        <f>IFERROR(__xludf.DUMMYFUNCTION("IF($A341="""","""", IFERROR(PERCENTRANK.INC(FILTER(P:P,$E:$E&lt;&gt;""""),P341)*100,""""))"),"")</f>
        <v/>
      </c>
      <c r="S341" s="15" t="str">
        <f>IFERROR(__xludf.DUMMYFUNCTION("IF($A341="""","""",IFERROR(PERCENTRANK.INC(FILTER(Q:Q,$E:$E&lt;&gt;""""),Q341)*100,""""))"),"")</f>
        <v/>
      </c>
    </row>
    <row r="342">
      <c r="B342" t="str">
        <f t="array" ref="B342">IFERROR(INDEX('Player Raw Data'!C:C,Match($A342,'Player Raw Data'!$B:$B,0)),"")</f>
        <v/>
      </c>
      <c r="C342" t="str">
        <f t="array" ref="C342">IFERROR(INDEX('Player Raw Data'!D:D,Match($A342,'Player Raw Data'!$B:$B,0)),"")</f>
        <v/>
      </c>
      <c r="D342" t="str">
        <f t="array" ref="D342">IFERROR(IF(A342=A341, INDEX('Player Raw Data'!E:E,Match($A342,'Player Raw Data'!$B:$B,0)+2),INDEX('Player Raw Data'!E:E,Match($A342,'Player Raw Data'!$B:$B,0))),"")</f>
        <v/>
      </c>
      <c r="E342" s="27" t="str">
        <f>IFERROR(__xludf.DUMMYFUNCTION("IFERROR(ARRAY_CONSTRAIN(SPLIT(INDEX('Daily Raw Data'!G:G,Match($A342,'Daily Raw Data'!$B:$B,0)),"":""),1,1),"""")"),"")</f>
        <v/>
      </c>
      <c r="F342" t="str">
        <f t="array" ref="F342">IFERROR(INDEX('Daily Raw Data'!H:H,Match($A342,'Daily Raw Data'!$B:$B,0)),"")</f>
        <v/>
      </c>
      <c r="G342" t="str">
        <f t="array" ref="G342">IFERROR(INDEX('Daily Raw Data'!I:I,Match($A342,'Daily Raw Data'!$B:$B,0)),"")</f>
        <v/>
      </c>
      <c r="H342" t="str">
        <f t="array" ref="H342">IFERROR(INDEX('Daily Raw Data'!N:N,Match($A342,'Daily Raw Data'!$B:$B,0)),"")</f>
        <v/>
      </c>
      <c r="I342" t="str">
        <f t="array" ref="I342">IFERROR(INDEX('Daily Raw Data'!O:O,Match($A342,'Daily Raw Data'!$B:$B,0)),"")</f>
        <v/>
      </c>
      <c r="J342" t="str">
        <f t="array" ref="J342">IFERROR(INDEX('Daily Raw Data'!S:S,Match($A342,'Daily Raw Data'!$B:$B,0)),"")</f>
        <v/>
      </c>
      <c r="K342" t="str">
        <f t="array" ref="K342">IFERROR(INDEX('Daily Raw Data'!T:T,Match($A342,'Daily Raw Data'!$B:$B,0)),"")</f>
        <v/>
      </c>
      <c r="L342" t="str">
        <f t="array" ref="L342">IFERROR(INDEX('Daily Raw Data'!U:U,Match($A342,'Daily Raw Data'!$B:$B,0)),"")</f>
        <v/>
      </c>
      <c r="M342" t="str">
        <f t="array" ref="M342">IFERROR(INDEX('Daily Raw Data'!V:V,Match($A342,'Daily Raw Data'!$B:$B,0)),"")</f>
        <v/>
      </c>
      <c r="N342" t="str">
        <f t="array" ref="N342">IFERROR(INDEX('Daily Raw Data'!W:W,Match($A342,'Daily Raw Data'!$B:$B,0)),"")</f>
        <v/>
      </c>
      <c r="O342" t="str">
        <f t="array" ref="O342">IFERROR(INDEX('Daily Raw Data'!Y:Y,Match($A342,'Daily Raw Data'!$B:$B,0)),"")</f>
        <v/>
      </c>
      <c r="P342" t="str">
        <f t="shared" si="1"/>
        <v/>
      </c>
      <c r="Q342" s="14" t="str">
        <f t="shared" si="2"/>
        <v/>
      </c>
      <c r="R342" s="15" t="str">
        <f>IFERROR(__xludf.DUMMYFUNCTION("IF($A342="""","""", IFERROR(PERCENTRANK.INC(FILTER(P:P,$E:$E&lt;&gt;""""),P342)*100,""""))"),"")</f>
        <v/>
      </c>
      <c r="S342" s="15" t="str">
        <f>IFERROR(__xludf.DUMMYFUNCTION("IF($A342="""","""",IFERROR(PERCENTRANK.INC(FILTER(Q:Q,$E:$E&lt;&gt;""""),Q342)*100,""""))"),"")</f>
        <v/>
      </c>
    </row>
    <row r="343">
      <c r="B343" t="str">
        <f t="array" ref="B343">IFERROR(INDEX('Player Raw Data'!C:C,Match($A343,'Player Raw Data'!$B:$B,0)),"")</f>
        <v/>
      </c>
      <c r="C343" t="str">
        <f t="array" ref="C343">IFERROR(INDEX('Player Raw Data'!D:D,Match($A343,'Player Raw Data'!$B:$B,0)),"")</f>
        <v/>
      </c>
      <c r="D343" t="str">
        <f t="array" ref="D343">IFERROR(IF(A343=A342, INDEX('Player Raw Data'!E:E,Match($A343,'Player Raw Data'!$B:$B,0)+2),INDEX('Player Raw Data'!E:E,Match($A343,'Player Raw Data'!$B:$B,0))),"")</f>
        <v/>
      </c>
      <c r="E343" s="27" t="str">
        <f>IFERROR(__xludf.DUMMYFUNCTION("IFERROR(ARRAY_CONSTRAIN(SPLIT(INDEX('Daily Raw Data'!G:G,Match($A343,'Daily Raw Data'!$B:$B,0)),"":""),1,1),"""")"),"")</f>
        <v/>
      </c>
      <c r="F343" t="str">
        <f t="array" ref="F343">IFERROR(INDEX('Daily Raw Data'!H:H,Match($A343,'Daily Raw Data'!$B:$B,0)),"")</f>
        <v/>
      </c>
      <c r="G343" t="str">
        <f t="array" ref="G343">IFERROR(INDEX('Daily Raw Data'!I:I,Match($A343,'Daily Raw Data'!$B:$B,0)),"")</f>
        <v/>
      </c>
      <c r="H343" t="str">
        <f t="array" ref="H343">IFERROR(INDEX('Daily Raw Data'!N:N,Match($A343,'Daily Raw Data'!$B:$B,0)),"")</f>
        <v/>
      </c>
      <c r="I343" t="str">
        <f t="array" ref="I343">IFERROR(INDEX('Daily Raw Data'!O:O,Match($A343,'Daily Raw Data'!$B:$B,0)),"")</f>
        <v/>
      </c>
      <c r="J343" t="str">
        <f t="array" ref="J343">IFERROR(INDEX('Daily Raw Data'!S:S,Match($A343,'Daily Raw Data'!$B:$B,0)),"")</f>
        <v/>
      </c>
      <c r="K343" t="str">
        <f t="array" ref="K343">IFERROR(INDEX('Daily Raw Data'!T:T,Match($A343,'Daily Raw Data'!$B:$B,0)),"")</f>
        <v/>
      </c>
      <c r="L343" t="str">
        <f t="array" ref="L343">IFERROR(INDEX('Daily Raw Data'!U:U,Match($A343,'Daily Raw Data'!$B:$B,0)),"")</f>
        <v/>
      </c>
      <c r="M343" t="str">
        <f t="array" ref="M343">IFERROR(INDEX('Daily Raw Data'!V:V,Match($A343,'Daily Raw Data'!$B:$B,0)),"")</f>
        <v/>
      </c>
      <c r="N343" t="str">
        <f t="array" ref="N343">IFERROR(INDEX('Daily Raw Data'!W:W,Match($A343,'Daily Raw Data'!$B:$B,0)),"")</f>
        <v/>
      </c>
      <c r="O343" t="str">
        <f t="array" ref="O343">IFERROR(INDEX('Daily Raw Data'!Y:Y,Match($A343,'Daily Raw Data'!$B:$B,0)),"")</f>
        <v/>
      </c>
      <c r="P343" t="str">
        <f t="shared" si="1"/>
        <v/>
      </c>
      <c r="Q343" s="14" t="str">
        <f t="shared" si="2"/>
        <v/>
      </c>
      <c r="R343" s="15" t="str">
        <f>IFERROR(__xludf.DUMMYFUNCTION("IF($A343="""","""", IFERROR(PERCENTRANK.INC(FILTER(P:P,$E:$E&lt;&gt;""""),P343)*100,""""))"),"")</f>
        <v/>
      </c>
      <c r="S343" s="15" t="str">
        <f>IFERROR(__xludf.DUMMYFUNCTION("IF($A343="""","""",IFERROR(PERCENTRANK.INC(FILTER(Q:Q,$E:$E&lt;&gt;""""),Q343)*100,""""))"),"")</f>
        <v/>
      </c>
    </row>
    <row r="344">
      <c r="B344" t="str">
        <f t="array" ref="B344">IFERROR(INDEX('Player Raw Data'!C:C,Match($A344,'Player Raw Data'!$B:$B,0)),"")</f>
        <v/>
      </c>
      <c r="C344" t="str">
        <f t="array" ref="C344">IFERROR(INDEX('Player Raw Data'!D:D,Match($A344,'Player Raw Data'!$B:$B,0)),"")</f>
        <v/>
      </c>
      <c r="D344" t="str">
        <f t="array" ref="D344">IFERROR(IF(A344=A343, INDEX('Player Raw Data'!E:E,Match($A344,'Player Raw Data'!$B:$B,0)+2),INDEX('Player Raw Data'!E:E,Match($A344,'Player Raw Data'!$B:$B,0))),"")</f>
        <v/>
      </c>
      <c r="E344" s="27" t="str">
        <f>IFERROR(__xludf.DUMMYFUNCTION("IFERROR(ARRAY_CONSTRAIN(SPLIT(INDEX('Daily Raw Data'!G:G,Match($A344,'Daily Raw Data'!$B:$B,0)),"":""),1,1),"""")"),"")</f>
        <v/>
      </c>
      <c r="F344" t="str">
        <f t="array" ref="F344">IFERROR(INDEX('Daily Raw Data'!H:H,Match($A344,'Daily Raw Data'!$B:$B,0)),"")</f>
        <v/>
      </c>
      <c r="G344" t="str">
        <f t="array" ref="G344">IFERROR(INDEX('Daily Raw Data'!I:I,Match($A344,'Daily Raw Data'!$B:$B,0)),"")</f>
        <v/>
      </c>
      <c r="H344" t="str">
        <f t="array" ref="H344">IFERROR(INDEX('Daily Raw Data'!N:N,Match($A344,'Daily Raw Data'!$B:$B,0)),"")</f>
        <v/>
      </c>
      <c r="I344" t="str">
        <f t="array" ref="I344">IFERROR(INDEX('Daily Raw Data'!O:O,Match($A344,'Daily Raw Data'!$B:$B,0)),"")</f>
        <v/>
      </c>
      <c r="J344" t="str">
        <f t="array" ref="J344">IFERROR(INDEX('Daily Raw Data'!S:S,Match($A344,'Daily Raw Data'!$B:$B,0)),"")</f>
        <v/>
      </c>
      <c r="K344" t="str">
        <f t="array" ref="K344">IFERROR(INDEX('Daily Raw Data'!T:T,Match($A344,'Daily Raw Data'!$B:$B,0)),"")</f>
        <v/>
      </c>
      <c r="L344" t="str">
        <f t="array" ref="L344">IFERROR(INDEX('Daily Raw Data'!U:U,Match($A344,'Daily Raw Data'!$B:$B,0)),"")</f>
        <v/>
      </c>
      <c r="M344" t="str">
        <f t="array" ref="M344">IFERROR(INDEX('Daily Raw Data'!V:V,Match($A344,'Daily Raw Data'!$B:$B,0)),"")</f>
        <v/>
      </c>
      <c r="N344" t="str">
        <f t="array" ref="N344">IFERROR(INDEX('Daily Raw Data'!W:W,Match($A344,'Daily Raw Data'!$B:$B,0)),"")</f>
        <v/>
      </c>
      <c r="O344" t="str">
        <f t="array" ref="O344">IFERROR(INDEX('Daily Raw Data'!Y:Y,Match($A344,'Daily Raw Data'!$B:$B,0)),"")</f>
        <v/>
      </c>
      <c r="P344" t="str">
        <f t="shared" si="1"/>
        <v/>
      </c>
      <c r="Q344" s="14" t="str">
        <f t="shared" si="2"/>
        <v/>
      </c>
      <c r="R344" s="15" t="str">
        <f>IFERROR(__xludf.DUMMYFUNCTION("IF($A344="""","""", IFERROR(PERCENTRANK.INC(FILTER(P:P,$E:$E&lt;&gt;""""),P344)*100,""""))"),"")</f>
        <v/>
      </c>
      <c r="S344" s="15" t="str">
        <f>IFERROR(__xludf.DUMMYFUNCTION("IF($A344="""","""",IFERROR(PERCENTRANK.INC(FILTER(Q:Q,$E:$E&lt;&gt;""""),Q344)*100,""""))"),"")</f>
        <v/>
      </c>
    </row>
    <row r="345">
      <c r="B345" t="str">
        <f t="array" ref="B345">IFERROR(INDEX('Player Raw Data'!C:C,Match($A345,'Player Raw Data'!$B:$B,0)),"")</f>
        <v/>
      </c>
      <c r="C345" t="str">
        <f t="array" ref="C345">IFERROR(INDEX('Player Raw Data'!D:D,Match($A345,'Player Raw Data'!$B:$B,0)),"")</f>
        <v/>
      </c>
      <c r="D345" t="str">
        <f t="array" ref="D345">IFERROR(IF(A345=A344, INDEX('Player Raw Data'!E:E,Match($A345,'Player Raw Data'!$B:$B,0)+2),INDEX('Player Raw Data'!E:E,Match($A345,'Player Raw Data'!$B:$B,0))),"")</f>
        <v/>
      </c>
      <c r="E345" s="27" t="str">
        <f>IFERROR(__xludf.DUMMYFUNCTION("IFERROR(ARRAY_CONSTRAIN(SPLIT(INDEX('Daily Raw Data'!G:G,Match($A345,'Daily Raw Data'!$B:$B,0)),"":""),1,1),"""")"),"")</f>
        <v/>
      </c>
      <c r="F345" t="str">
        <f t="array" ref="F345">IFERROR(INDEX('Daily Raw Data'!H:H,Match($A345,'Daily Raw Data'!$B:$B,0)),"")</f>
        <v/>
      </c>
      <c r="G345" t="str">
        <f t="array" ref="G345">IFERROR(INDEX('Daily Raw Data'!I:I,Match($A345,'Daily Raw Data'!$B:$B,0)),"")</f>
        <v/>
      </c>
      <c r="H345" t="str">
        <f t="array" ref="H345">IFERROR(INDEX('Daily Raw Data'!N:N,Match($A345,'Daily Raw Data'!$B:$B,0)),"")</f>
        <v/>
      </c>
      <c r="I345" t="str">
        <f t="array" ref="I345">IFERROR(INDEX('Daily Raw Data'!O:O,Match($A345,'Daily Raw Data'!$B:$B,0)),"")</f>
        <v/>
      </c>
      <c r="J345" t="str">
        <f t="array" ref="J345">IFERROR(INDEX('Daily Raw Data'!S:S,Match($A345,'Daily Raw Data'!$B:$B,0)),"")</f>
        <v/>
      </c>
      <c r="K345" t="str">
        <f t="array" ref="K345">IFERROR(INDEX('Daily Raw Data'!T:T,Match($A345,'Daily Raw Data'!$B:$B,0)),"")</f>
        <v/>
      </c>
      <c r="L345" t="str">
        <f t="array" ref="L345">IFERROR(INDEX('Daily Raw Data'!U:U,Match($A345,'Daily Raw Data'!$B:$B,0)),"")</f>
        <v/>
      </c>
      <c r="M345" t="str">
        <f t="array" ref="M345">IFERROR(INDEX('Daily Raw Data'!V:V,Match($A345,'Daily Raw Data'!$B:$B,0)),"")</f>
        <v/>
      </c>
      <c r="N345" t="str">
        <f t="array" ref="N345">IFERROR(INDEX('Daily Raw Data'!W:W,Match($A345,'Daily Raw Data'!$B:$B,0)),"")</f>
        <v/>
      </c>
      <c r="O345" t="str">
        <f t="array" ref="O345">IFERROR(INDEX('Daily Raw Data'!Y:Y,Match($A345,'Daily Raw Data'!$B:$B,0)),"")</f>
        <v/>
      </c>
      <c r="P345" t="str">
        <f t="shared" si="1"/>
        <v/>
      </c>
      <c r="Q345" s="14" t="str">
        <f t="shared" si="2"/>
        <v/>
      </c>
      <c r="R345" s="15" t="str">
        <f>IFERROR(__xludf.DUMMYFUNCTION("IF($A345="""","""", IFERROR(PERCENTRANK.INC(FILTER(P:P,$E:$E&lt;&gt;""""),P345)*100,""""))"),"")</f>
        <v/>
      </c>
      <c r="S345" s="15" t="str">
        <f>IFERROR(__xludf.DUMMYFUNCTION("IF($A345="""","""",IFERROR(PERCENTRANK.INC(FILTER(Q:Q,$E:$E&lt;&gt;""""),Q345)*100,""""))"),"")</f>
        <v/>
      </c>
    </row>
    <row r="346">
      <c r="B346" t="str">
        <f t="array" ref="B346">IFERROR(INDEX('Player Raw Data'!C:C,Match($A346,'Player Raw Data'!$B:$B,0)),"")</f>
        <v/>
      </c>
      <c r="C346" t="str">
        <f t="array" ref="C346">IFERROR(INDEX('Player Raw Data'!D:D,Match($A346,'Player Raw Data'!$B:$B,0)),"")</f>
        <v/>
      </c>
      <c r="D346" t="str">
        <f t="array" ref="D346">IFERROR(IF(A346=A345, INDEX('Player Raw Data'!E:E,Match($A346,'Player Raw Data'!$B:$B,0)+2),INDEX('Player Raw Data'!E:E,Match($A346,'Player Raw Data'!$B:$B,0))),"")</f>
        <v/>
      </c>
      <c r="E346" s="27" t="str">
        <f>IFERROR(__xludf.DUMMYFUNCTION("IFERROR(ARRAY_CONSTRAIN(SPLIT(INDEX('Daily Raw Data'!G:G,Match($A346,'Daily Raw Data'!$B:$B,0)),"":""),1,1),"""")"),"")</f>
        <v/>
      </c>
      <c r="F346" t="str">
        <f t="array" ref="F346">IFERROR(INDEX('Daily Raw Data'!H:H,Match($A346,'Daily Raw Data'!$B:$B,0)),"")</f>
        <v/>
      </c>
      <c r="G346" t="str">
        <f t="array" ref="G346">IFERROR(INDEX('Daily Raw Data'!I:I,Match($A346,'Daily Raw Data'!$B:$B,0)),"")</f>
        <v/>
      </c>
      <c r="H346" t="str">
        <f t="array" ref="H346">IFERROR(INDEX('Daily Raw Data'!N:N,Match($A346,'Daily Raw Data'!$B:$B,0)),"")</f>
        <v/>
      </c>
      <c r="I346" t="str">
        <f t="array" ref="I346">IFERROR(INDEX('Daily Raw Data'!O:O,Match($A346,'Daily Raw Data'!$B:$B,0)),"")</f>
        <v/>
      </c>
      <c r="J346" t="str">
        <f t="array" ref="J346">IFERROR(INDEX('Daily Raw Data'!S:S,Match($A346,'Daily Raw Data'!$B:$B,0)),"")</f>
        <v/>
      </c>
      <c r="K346" t="str">
        <f t="array" ref="K346">IFERROR(INDEX('Daily Raw Data'!T:T,Match($A346,'Daily Raw Data'!$B:$B,0)),"")</f>
        <v/>
      </c>
      <c r="L346" t="str">
        <f t="array" ref="L346">IFERROR(INDEX('Daily Raw Data'!U:U,Match($A346,'Daily Raw Data'!$B:$B,0)),"")</f>
        <v/>
      </c>
      <c r="M346" t="str">
        <f t="array" ref="M346">IFERROR(INDEX('Daily Raw Data'!V:V,Match($A346,'Daily Raw Data'!$B:$B,0)),"")</f>
        <v/>
      </c>
      <c r="N346" t="str">
        <f t="array" ref="N346">IFERROR(INDEX('Daily Raw Data'!W:W,Match($A346,'Daily Raw Data'!$B:$B,0)),"")</f>
        <v/>
      </c>
      <c r="O346" t="str">
        <f t="array" ref="O346">IFERROR(INDEX('Daily Raw Data'!Y:Y,Match($A346,'Daily Raw Data'!$B:$B,0)),"")</f>
        <v/>
      </c>
      <c r="P346" t="str">
        <f t="shared" si="1"/>
        <v/>
      </c>
      <c r="Q346" s="14" t="str">
        <f t="shared" si="2"/>
        <v/>
      </c>
      <c r="R346" s="15" t="str">
        <f>IFERROR(__xludf.DUMMYFUNCTION("IF($A346="""","""", IFERROR(PERCENTRANK.INC(FILTER(P:P,$E:$E&lt;&gt;""""),P346)*100,""""))"),"")</f>
        <v/>
      </c>
      <c r="S346" s="15" t="str">
        <f>IFERROR(__xludf.DUMMYFUNCTION("IF($A346="""","""",IFERROR(PERCENTRANK.INC(FILTER(Q:Q,$E:$E&lt;&gt;""""),Q346)*100,""""))"),"")</f>
        <v/>
      </c>
    </row>
    <row r="347">
      <c r="B347" t="str">
        <f t="array" ref="B347">IFERROR(INDEX('Player Raw Data'!C:C,Match($A347,'Player Raw Data'!$B:$B,0)),"")</f>
        <v/>
      </c>
      <c r="C347" t="str">
        <f t="array" ref="C347">IFERROR(INDEX('Player Raw Data'!D:D,Match($A347,'Player Raw Data'!$B:$B,0)),"")</f>
        <v/>
      </c>
      <c r="D347" t="str">
        <f t="array" ref="D347">IFERROR(IF(A347=A346, INDEX('Player Raw Data'!E:E,Match($A347,'Player Raw Data'!$B:$B,0)+2),INDEX('Player Raw Data'!E:E,Match($A347,'Player Raw Data'!$B:$B,0))),"")</f>
        <v/>
      </c>
      <c r="E347" s="27" t="str">
        <f>IFERROR(__xludf.DUMMYFUNCTION("IFERROR(ARRAY_CONSTRAIN(SPLIT(INDEX('Daily Raw Data'!G:G,Match($A347,'Daily Raw Data'!$B:$B,0)),"":""),1,1),"""")"),"")</f>
        <v/>
      </c>
      <c r="F347" t="str">
        <f t="array" ref="F347">IFERROR(INDEX('Daily Raw Data'!H:H,Match($A347,'Daily Raw Data'!$B:$B,0)),"")</f>
        <v/>
      </c>
      <c r="G347" t="str">
        <f t="array" ref="G347">IFERROR(INDEX('Daily Raw Data'!I:I,Match($A347,'Daily Raw Data'!$B:$B,0)),"")</f>
        <v/>
      </c>
      <c r="H347" t="str">
        <f t="array" ref="H347">IFERROR(INDEX('Daily Raw Data'!N:N,Match($A347,'Daily Raw Data'!$B:$B,0)),"")</f>
        <v/>
      </c>
      <c r="I347" t="str">
        <f t="array" ref="I347">IFERROR(INDEX('Daily Raw Data'!O:O,Match($A347,'Daily Raw Data'!$B:$B,0)),"")</f>
        <v/>
      </c>
      <c r="J347" t="str">
        <f t="array" ref="J347">IFERROR(INDEX('Daily Raw Data'!S:S,Match($A347,'Daily Raw Data'!$B:$B,0)),"")</f>
        <v/>
      </c>
      <c r="K347" t="str">
        <f t="array" ref="K347">IFERROR(INDEX('Daily Raw Data'!T:T,Match($A347,'Daily Raw Data'!$B:$B,0)),"")</f>
        <v/>
      </c>
      <c r="L347" t="str">
        <f t="array" ref="L347">IFERROR(INDEX('Daily Raw Data'!U:U,Match($A347,'Daily Raw Data'!$B:$B,0)),"")</f>
        <v/>
      </c>
      <c r="M347" t="str">
        <f t="array" ref="M347">IFERROR(INDEX('Daily Raw Data'!V:V,Match($A347,'Daily Raw Data'!$B:$B,0)),"")</f>
        <v/>
      </c>
      <c r="N347" t="str">
        <f t="array" ref="N347">IFERROR(INDEX('Daily Raw Data'!W:W,Match($A347,'Daily Raw Data'!$B:$B,0)),"")</f>
        <v/>
      </c>
      <c r="O347" t="str">
        <f t="array" ref="O347">IFERROR(INDEX('Daily Raw Data'!Y:Y,Match($A347,'Daily Raw Data'!$B:$B,0)),"")</f>
        <v/>
      </c>
      <c r="P347" t="str">
        <f t="shared" si="1"/>
        <v/>
      </c>
      <c r="Q347" s="14" t="str">
        <f t="shared" si="2"/>
        <v/>
      </c>
      <c r="R347" s="15" t="str">
        <f>IFERROR(__xludf.DUMMYFUNCTION("IF($A347="""","""", IFERROR(PERCENTRANK.INC(FILTER(P:P,$E:$E&lt;&gt;""""),P347)*100,""""))"),"")</f>
        <v/>
      </c>
      <c r="S347" s="15" t="str">
        <f>IFERROR(__xludf.DUMMYFUNCTION("IF($A347="""","""",IFERROR(PERCENTRANK.INC(FILTER(Q:Q,$E:$E&lt;&gt;""""),Q347)*100,""""))"),"")</f>
        <v/>
      </c>
    </row>
    <row r="348">
      <c r="B348" t="str">
        <f t="array" ref="B348">IFERROR(INDEX('Player Raw Data'!C:C,Match($A348,'Player Raw Data'!$B:$B,0)),"")</f>
        <v/>
      </c>
      <c r="C348" t="str">
        <f t="array" ref="C348">IFERROR(INDEX('Player Raw Data'!D:D,Match($A348,'Player Raw Data'!$B:$B,0)),"")</f>
        <v/>
      </c>
      <c r="D348" t="str">
        <f t="array" ref="D348">IFERROR(IF(A348=A347, INDEX('Player Raw Data'!E:E,Match($A348,'Player Raw Data'!$B:$B,0)+2),INDEX('Player Raw Data'!E:E,Match($A348,'Player Raw Data'!$B:$B,0))),"")</f>
        <v/>
      </c>
      <c r="E348" s="27" t="str">
        <f>IFERROR(__xludf.DUMMYFUNCTION("IFERROR(ARRAY_CONSTRAIN(SPLIT(INDEX('Daily Raw Data'!G:G,Match($A348,'Daily Raw Data'!$B:$B,0)),"":""),1,1),"""")"),"")</f>
        <v/>
      </c>
      <c r="F348" t="str">
        <f t="array" ref="F348">IFERROR(INDEX('Daily Raw Data'!H:H,Match($A348,'Daily Raw Data'!$B:$B,0)),"")</f>
        <v/>
      </c>
      <c r="G348" t="str">
        <f t="array" ref="G348">IFERROR(INDEX('Daily Raw Data'!I:I,Match($A348,'Daily Raw Data'!$B:$B,0)),"")</f>
        <v/>
      </c>
      <c r="H348" t="str">
        <f t="array" ref="H348">IFERROR(INDEX('Daily Raw Data'!N:N,Match($A348,'Daily Raw Data'!$B:$B,0)),"")</f>
        <v/>
      </c>
      <c r="I348" t="str">
        <f t="array" ref="I348">IFERROR(INDEX('Daily Raw Data'!O:O,Match($A348,'Daily Raw Data'!$B:$B,0)),"")</f>
        <v/>
      </c>
      <c r="J348" t="str">
        <f t="array" ref="J348">IFERROR(INDEX('Daily Raw Data'!S:S,Match($A348,'Daily Raw Data'!$B:$B,0)),"")</f>
        <v/>
      </c>
      <c r="K348" t="str">
        <f t="array" ref="K348">IFERROR(INDEX('Daily Raw Data'!T:T,Match($A348,'Daily Raw Data'!$B:$B,0)),"")</f>
        <v/>
      </c>
      <c r="L348" t="str">
        <f t="array" ref="L348">IFERROR(INDEX('Daily Raw Data'!U:U,Match($A348,'Daily Raw Data'!$B:$B,0)),"")</f>
        <v/>
      </c>
      <c r="M348" t="str">
        <f t="array" ref="M348">IFERROR(INDEX('Daily Raw Data'!V:V,Match($A348,'Daily Raw Data'!$B:$B,0)),"")</f>
        <v/>
      </c>
      <c r="N348" t="str">
        <f t="array" ref="N348">IFERROR(INDEX('Daily Raw Data'!W:W,Match($A348,'Daily Raw Data'!$B:$B,0)),"")</f>
        <v/>
      </c>
      <c r="O348" t="str">
        <f t="array" ref="O348">IFERROR(INDEX('Daily Raw Data'!Y:Y,Match($A348,'Daily Raw Data'!$B:$B,0)),"")</f>
        <v/>
      </c>
      <c r="P348" t="str">
        <f t="shared" si="1"/>
        <v/>
      </c>
      <c r="Q348" s="14" t="str">
        <f t="shared" si="2"/>
        <v/>
      </c>
      <c r="R348" s="15" t="str">
        <f>IFERROR(__xludf.DUMMYFUNCTION("IF($A348="""","""", IFERROR(PERCENTRANK.INC(FILTER(P:P,$E:$E&lt;&gt;""""),P348)*100,""""))"),"")</f>
        <v/>
      </c>
      <c r="S348" s="15" t="str">
        <f>IFERROR(__xludf.DUMMYFUNCTION("IF($A348="""","""",IFERROR(PERCENTRANK.INC(FILTER(Q:Q,$E:$E&lt;&gt;""""),Q348)*100,""""))"),"")</f>
        <v/>
      </c>
    </row>
    <row r="349">
      <c r="B349" t="str">
        <f t="array" ref="B349">IFERROR(INDEX('Player Raw Data'!C:C,Match($A349,'Player Raw Data'!$B:$B,0)),"")</f>
        <v/>
      </c>
      <c r="C349" t="str">
        <f t="array" ref="C349">IFERROR(INDEX('Player Raw Data'!D:D,Match($A349,'Player Raw Data'!$B:$B,0)),"")</f>
        <v/>
      </c>
      <c r="D349" t="str">
        <f t="array" ref="D349">IFERROR(IF(A349=A348, INDEX('Player Raw Data'!E:E,Match($A349,'Player Raw Data'!$B:$B,0)+2),INDEX('Player Raw Data'!E:E,Match($A349,'Player Raw Data'!$B:$B,0))),"")</f>
        <v/>
      </c>
      <c r="E349" s="27" t="str">
        <f>IFERROR(__xludf.DUMMYFUNCTION("IFERROR(ARRAY_CONSTRAIN(SPLIT(INDEX('Daily Raw Data'!G:G,Match($A349,'Daily Raw Data'!$B:$B,0)),"":""),1,1),"""")"),"")</f>
        <v/>
      </c>
      <c r="F349" t="str">
        <f t="array" ref="F349">IFERROR(INDEX('Daily Raw Data'!H:H,Match($A349,'Daily Raw Data'!$B:$B,0)),"")</f>
        <v/>
      </c>
      <c r="G349" t="str">
        <f t="array" ref="G349">IFERROR(INDEX('Daily Raw Data'!I:I,Match($A349,'Daily Raw Data'!$B:$B,0)),"")</f>
        <v/>
      </c>
      <c r="H349" t="str">
        <f t="array" ref="H349">IFERROR(INDEX('Daily Raw Data'!N:N,Match($A349,'Daily Raw Data'!$B:$B,0)),"")</f>
        <v/>
      </c>
      <c r="I349" t="str">
        <f t="array" ref="I349">IFERROR(INDEX('Daily Raw Data'!O:O,Match($A349,'Daily Raw Data'!$B:$B,0)),"")</f>
        <v/>
      </c>
      <c r="J349" t="str">
        <f t="array" ref="J349">IFERROR(INDEX('Daily Raw Data'!S:S,Match($A349,'Daily Raw Data'!$B:$B,0)),"")</f>
        <v/>
      </c>
      <c r="K349" t="str">
        <f t="array" ref="K349">IFERROR(INDEX('Daily Raw Data'!T:T,Match($A349,'Daily Raw Data'!$B:$B,0)),"")</f>
        <v/>
      </c>
      <c r="L349" t="str">
        <f t="array" ref="L349">IFERROR(INDEX('Daily Raw Data'!U:U,Match($A349,'Daily Raw Data'!$B:$B,0)),"")</f>
        <v/>
      </c>
      <c r="M349" t="str">
        <f t="array" ref="M349">IFERROR(INDEX('Daily Raw Data'!V:V,Match($A349,'Daily Raw Data'!$B:$B,0)),"")</f>
        <v/>
      </c>
      <c r="N349" t="str">
        <f t="array" ref="N349">IFERROR(INDEX('Daily Raw Data'!W:W,Match($A349,'Daily Raw Data'!$B:$B,0)),"")</f>
        <v/>
      </c>
      <c r="O349" t="str">
        <f t="array" ref="O349">IFERROR(INDEX('Daily Raw Data'!Y:Y,Match($A349,'Daily Raw Data'!$B:$B,0)),"")</f>
        <v/>
      </c>
      <c r="P349" t="str">
        <f t="shared" si="1"/>
        <v/>
      </c>
      <c r="Q349" s="14" t="str">
        <f t="shared" si="2"/>
        <v/>
      </c>
      <c r="R349" s="15" t="str">
        <f>IFERROR(__xludf.DUMMYFUNCTION("IF($A349="""","""", IFERROR(PERCENTRANK.INC(FILTER(P:P,$E:$E&lt;&gt;""""),P349)*100,""""))"),"")</f>
        <v/>
      </c>
      <c r="S349" s="15" t="str">
        <f>IFERROR(__xludf.DUMMYFUNCTION("IF($A349="""","""",IFERROR(PERCENTRANK.INC(FILTER(Q:Q,$E:$E&lt;&gt;""""),Q349)*100,""""))"),"")</f>
        <v/>
      </c>
    </row>
    <row r="350">
      <c r="B350" t="str">
        <f t="array" ref="B350">IFERROR(INDEX('Player Raw Data'!C:C,Match($A350,'Player Raw Data'!$B:$B,0)),"")</f>
        <v/>
      </c>
      <c r="C350" t="str">
        <f t="array" ref="C350">IFERROR(INDEX('Player Raw Data'!D:D,Match($A350,'Player Raw Data'!$B:$B,0)),"")</f>
        <v/>
      </c>
      <c r="D350" t="str">
        <f t="array" ref="D350">IFERROR(IF(A350=A349, INDEX('Player Raw Data'!E:E,Match($A350,'Player Raw Data'!$B:$B,0)+2),INDEX('Player Raw Data'!E:E,Match($A350,'Player Raw Data'!$B:$B,0))),"")</f>
        <v/>
      </c>
      <c r="E350" s="27" t="str">
        <f>IFERROR(__xludf.DUMMYFUNCTION("IFERROR(ARRAY_CONSTRAIN(SPLIT(INDEX('Daily Raw Data'!G:G,Match($A350,'Daily Raw Data'!$B:$B,0)),"":""),1,1),"""")"),"")</f>
        <v/>
      </c>
      <c r="F350" t="str">
        <f t="array" ref="F350">IFERROR(INDEX('Daily Raw Data'!H:H,Match($A350,'Daily Raw Data'!$B:$B,0)),"")</f>
        <v/>
      </c>
      <c r="G350" t="str">
        <f t="array" ref="G350">IFERROR(INDEX('Daily Raw Data'!I:I,Match($A350,'Daily Raw Data'!$B:$B,0)),"")</f>
        <v/>
      </c>
      <c r="H350" t="str">
        <f t="array" ref="H350">IFERROR(INDEX('Daily Raw Data'!N:N,Match($A350,'Daily Raw Data'!$B:$B,0)),"")</f>
        <v/>
      </c>
      <c r="I350" t="str">
        <f t="array" ref="I350">IFERROR(INDEX('Daily Raw Data'!O:O,Match($A350,'Daily Raw Data'!$B:$B,0)),"")</f>
        <v/>
      </c>
      <c r="J350" t="str">
        <f t="array" ref="J350">IFERROR(INDEX('Daily Raw Data'!S:S,Match($A350,'Daily Raw Data'!$B:$B,0)),"")</f>
        <v/>
      </c>
      <c r="K350" t="str">
        <f t="array" ref="K350">IFERROR(INDEX('Daily Raw Data'!T:T,Match($A350,'Daily Raw Data'!$B:$B,0)),"")</f>
        <v/>
      </c>
      <c r="L350" t="str">
        <f t="array" ref="L350">IFERROR(INDEX('Daily Raw Data'!U:U,Match($A350,'Daily Raw Data'!$B:$B,0)),"")</f>
        <v/>
      </c>
      <c r="M350" t="str">
        <f t="array" ref="M350">IFERROR(INDEX('Daily Raw Data'!V:V,Match($A350,'Daily Raw Data'!$B:$B,0)),"")</f>
        <v/>
      </c>
      <c r="N350" t="str">
        <f t="array" ref="N350">IFERROR(INDEX('Daily Raw Data'!W:W,Match($A350,'Daily Raw Data'!$B:$B,0)),"")</f>
        <v/>
      </c>
      <c r="O350" t="str">
        <f t="array" ref="O350">IFERROR(INDEX('Daily Raw Data'!Y:Y,Match($A350,'Daily Raw Data'!$B:$B,0)),"")</f>
        <v/>
      </c>
      <c r="P350" t="str">
        <f t="shared" si="1"/>
        <v/>
      </c>
      <c r="Q350" s="14" t="str">
        <f t="shared" si="2"/>
        <v/>
      </c>
      <c r="R350" s="15" t="str">
        <f>IFERROR(__xludf.DUMMYFUNCTION("IF($A350="""","""", IFERROR(PERCENTRANK.INC(FILTER(P:P,$E:$E&lt;&gt;""""),P350)*100,""""))"),"")</f>
        <v/>
      </c>
      <c r="S350" s="15" t="str">
        <f>IFERROR(__xludf.DUMMYFUNCTION("IF($A350="""","""",IFERROR(PERCENTRANK.INC(FILTER(Q:Q,$E:$E&lt;&gt;""""),Q350)*100,""""))"),"")</f>
        <v/>
      </c>
    </row>
    <row r="351">
      <c r="B351" t="str">
        <f t="array" ref="B351">IFERROR(INDEX('Player Raw Data'!C:C,Match($A351,'Player Raw Data'!$B:$B,0)),"")</f>
        <v/>
      </c>
      <c r="C351" t="str">
        <f t="array" ref="C351">IFERROR(INDEX('Player Raw Data'!D:D,Match($A351,'Player Raw Data'!$B:$B,0)),"")</f>
        <v/>
      </c>
      <c r="D351" t="str">
        <f t="array" ref="D351">IFERROR(IF(A351=A350, INDEX('Player Raw Data'!E:E,Match($A351,'Player Raw Data'!$B:$B,0)+2),INDEX('Player Raw Data'!E:E,Match($A351,'Player Raw Data'!$B:$B,0))),"")</f>
        <v/>
      </c>
      <c r="E351" s="27" t="str">
        <f>IFERROR(__xludf.DUMMYFUNCTION("IFERROR(ARRAY_CONSTRAIN(SPLIT(INDEX('Daily Raw Data'!G:G,Match($A351,'Daily Raw Data'!$B:$B,0)),"":""),1,1),"""")"),"")</f>
        <v/>
      </c>
      <c r="F351" t="str">
        <f t="array" ref="F351">IFERROR(INDEX('Daily Raw Data'!H:H,Match($A351,'Daily Raw Data'!$B:$B,0)),"")</f>
        <v/>
      </c>
      <c r="G351" t="str">
        <f t="array" ref="G351">IFERROR(INDEX('Daily Raw Data'!I:I,Match($A351,'Daily Raw Data'!$B:$B,0)),"")</f>
        <v/>
      </c>
      <c r="H351" t="str">
        <f t="array" ref="H351">IFERROR(INDEX('Daily Raw Data'!N:N,Match($A351,'Daily Raw Data'!$B:$B,0)),"")</f>
        <v/>
      </c>
      <c r="I351" t="str">
        <f t="array" ref="I351">IFERROR(INDEX('Daily Raw Data'!O:O,Match($A351,'Daily Raw Data'!$B:$B,0)),"")</f>
        <v/>
      </c>
      <c r="J351" t="str">
        <f t="array" ref="J351">IFERROR(INDEX('Daily Raw Data'!S:S,Match($A351,'Daily Raw Data'!$B:$B,0)),"")</f>
        <v/>
      </c>
      <c r="K351" t="str">
        <f t="array" ref="K351">IFERROR(INDEX('Daily Raw Data'!T:T,Match($A351,'Daily Raw Data'!$B:$B,0)),"")</f>
        <v/>
      </c>
      <c r="L351" t="str">
        <f t="array" ref="L351">IFERROR(INDEX('Daily Raw Data'!U:U,Match($A351,'Daily Raw Data'!$B:$B,0)),"")</f>
        <v/>
      </c>
      <c r="M351" t="str">
        <f t="array" ref="M351">IFERROR(INDEX('Daily Raw Data'!V:V,Match($A351,'Daily Raw Data'!$B:$B,0)),"")</f>
        <v/>
      </c>
      <c r="N351" t="str">
        <f t="array" ref="N351">IFERROR(INDEX('Daily Raw Data'!W:W,Match($A351,'Daily Raw Data'!$B:$B,0)),"")</f>
        <v/>
      </c>
      <c r="O351" t="str">
        <f t="array" ref="O351">IFERROR(INDEX('Daily Raw Data'!Y:Y,Match($A351,'Daily Raw Data'!$B:$B,0)),"")</f>
        <v/>
      </c>
      <c r="P351" t="str">
        <f t="shared" si="1"/>
        <v/>
      </c>
      <c r="Q351" s="14" t="str">
        <f t="shared" si="2"/>
        <v/>
      </c>
      <c r="R351" s="15" t="str">
        <f>IFERROR(__xludf.DUMMYFUNCTION("IF($A351="""","""", IFERROR(PERCENTRANK.INC(FILTER(P:P,$E:$E&lt;&gt;""""),P351)*100,""""))"),"")</f>
        <v/>
      </c>
      <c r="S351" s="15" t="str">
        <f>IFERROR(__xludf.DUMMYFUNCTION("IF($A351="""","""",IFERROR(PERCENTRANK.INC(FILTER(Q:Q,$E:$E&lt;&gt;""""),Q351)*100,""""))"),"")</f>
        <v/>
      </c>
    </row>
    <row r="352">
      <c r="B352" t="str">
        <f t="array" ref="B352">IFERROR(INDEX('Player Raw Data'!C:C,Match($A352,'Player Raw Data'!$B:$B,0)),"")</f>
        <v/>
      </c>
      <c r="C352" t="str">
        <f t="array" ref="C352">IFERROR(INDEX('Player Raw Data'!D:D,Match($A352,'Player Raw Data'!$B:$B,0)),"")</f>
        <v/>
      </c>
      <c r="D352" t="str">
        <f t="array" ref="D352">IFERROR(IF(A352=A351, INDEX('Player Raw Data'!E:E,Match($A352,'Player Raw Data'!$B:$B,0)+2),INDEX('Player Raw Data'!E:E,Match($A352,'Player Raw Data'!$B:$B,0))),"")</f>
        <v/>
      </c>
      <c r="E352" s="27" t="str">
        <f>IFERROR(__xludf.DUMMYFUNCTION("IFERROR(ARRAY_CONSTRAIN(SPLIT(INDEX('Daily Raw Data'!G:G,Match($A352,'Daily Raw Data'!$B:$B,0)),"":""),1,1),"""")"),"")</f>
        <v/>
      </c>
      <c r="F352" t="str">
        <f t="array" ref="F352">IFERROR(INDEX('Daily Raw Data'!H:H,Match($A352,'Daily Raw Data'!$B:$B,0)),"")</f>
        <v/>
      </c>
      <c r="G352" t="str">
        <f t="array" ref="G352">IFERROR(INDEX('Daily Raw Data'!I:I,Match($A352,'Daily Raw Data'!$B:$B,0)),"")</f>
        <v/>
      </c>
      <c r="H352" t="str">
        <f t="array" ref="H352">IFERROR(INDEX('Daily Raw Data'!N:N,Match($A352,'Daily Raw Data'!$B:$B,0)),"")</f>
        <v/>
      </c>
      <c r="I352" t="str">
        <f t="array" ref="I352">IFERROR(INDEX('Daily Raw Data'!O:O,Match($A352,'Daily Raw Data'!$B:$B,0)),"")</f>
        <v/>
      </c>
      <c r="J352" t="str">
        <f t="array" ref="J352">IFERROR(INDEX('Daily Raw Data'!S:S,Match($A352,'Daily Raw Data'!$B:$B,0)),"")</f>
        <v/>
      </c>
      <c r="K352" t="str">
        <f t="array" ref="K352">IFERROR(INDEX('Daily Raw Data'!T:T,Match($A352,'Daily Raw Data'!$B:$B,0)),"")</f>
        <v/>
      </c>
      <c r="L352" t="str">
        <f t="array" ref="L352">IFERROR(INDEX('Daily Raw Data'!U:U,Match($A352,'Daily Raw Data'!$B:$B,0)),"")</f>
        <v/>
      </c>
      <c r="M352" t="str">
        <f t="array" ref="M352">IFERROR(INDEX('Daily Raw Data'!V:V,Match($A352,'Daily Raw Data'!$B:$B,0)),"")</f>
        <v/>
      </c>
      <c r="N352" t="str">
        <f t="array" ref="N352">IFERROR(INDEX('Daily Raw Data'!W:W,Match($A352,'Daily Raw Data'!$B:$B,0)),"")</f>
        <v/>
      </c>
      <c r="O352" t="str">
        <f t="array" ref="O352">IFERROR(INDEX('Daily Raw Data'!Y:Y,Match($A352,'Daily Raw Data'!$B:$B,0)),"")</f>
        <v/>
      </c>
      <c r="P352" t="str">
        <f t="shared" si="1"/>
        <v/>
      </c>
      <c r="Q352" s="14" t="str">
        <f t="shared" si="2"/>
        <v/>
      </c>
      <c r="R352" s="15" t="str">
        <f>IFERROR(__xludf.DUMMYFUNCTION("IF($A352="""","""", IFERROR(PERCENTRANK.INC(FILTER(P:P,$E:$E&lt;&gt;""""),P352)*100,""""))"),"")</f>
        <v/>
      </c>
      <c r="S352" s="15" t="str">
        <f>IFERROR(__xludf.DUMMYFUNCTION("IF($A352="""","""",IFERROR(PERCENTRANK.INC(FILTER(Q:Q,$E:$E&lt;&gt;""""),Q352)*100,""""))"),"")</f>
        <v/>
      </c>
    </row>
    <row r="353">
      <c r="B353" t="str">
        <f t="array" ref="B353">IFERROR(INDEX('Player Raw Data'!C:C,Match($A353,'Player Raw Data'!$B:$B,0)),"")</f>
        <v/>
      </c>
      <c r="C353" t="str">
        <f t="array" ref="C353">IFERROR(INDEX('Player Raw Data'!D:D,Match($A353,'Player Raw Data'!$B:$B,0)),"")</f>
        <v/>
      </c>
      <c r="D353" t="str">
        <f t="array" ref="D353">IFERROR(IF(A353=A352, INDEX('Player Raw Data'!E:E,Match($A353,'Player Raw Data'!$B:$B,0)+2),INDEX('Player Raw Data'!E:E,Match($A353,'Player Raw Data'!$B:$B,0))),"")</f>
        <v/>
      </c>
      <c r="E353" s="27" t="str">
        <f>IFERROR(__xludf.DUMMYFUNCTION("IFERROR(ARRAY_CONSTRAIN(SPLIT(INDEX('Daily Raw Data'!G:G,Match($A353,'Daily Raw Data'!$B:$B,0)),"":""),1,1),"""")"),"")</f>
        <v/>
      </c>
      <c r="F353" t="str">
        <f t="array" ref="F353">IFERROR(INDEX('Daily Raw Data'!H:H,Match($A353,'Daily Raw Data'!$B:$B,0)),"")</f>
        <v/>
      </c>
      <c r="G353" t="str">
        <f t="array" ref="G353">IFERROR(INDEX('Daily Raw Data'!I:I,Match($A353,'Daily Raw Data'!$B:$B,0)),"")</f>
        <v/>
      </c>
      <c r="H353" t="str">
        <f t="array" ref="H353">IFERROR(INDEX('Daily Raw Data'!N:N,Match($A353,'Daily Raw Data'!$B:$B,0)),"")</f>
        <v/>
      </c>
      <c r="I353" t="str">
        <f t="array" ref="I353">IFERROR(INDEX('Daily Raw Data'!O:O,Match($A353,'Daily Raw Data'!$B:$B,0)),"")</f>
        <v/>
      </c>
      <c r="J353" t="str">
        <f t="array" ref="J353">IFERROR(INDEX('Daily Raw Data'!S:S,Match($A353,'Daily Raw Data'!$B:$B,0)),"")</f>
        <v/>
      </c>
      <c r="K353" t="str">
        <f t="array" ref="K353">IFERROR(INDEX('Daily Raw Data'!T:T,Match($A353,'Daily Raw Data'!$B:$B,0)),"")</f>
        <v/>
      </c>
      <c r="L353" t="str">
        <f t="array" ref="L353">IFERROR(INDEX('Daily Raw Data'!U:U,Match($A353,'Daily Raw Data'!$B:$B,0)),"")</f>
        <v/>
      </c>
      <c r="M353" t="str">
        <f t="array" ref="M353">IFERROR(INDEX('Daily Raw Data'!V:V,Match($A353,'Daily Raw Data'!$B:$B,0)),"")</f>
        <v/>
      </c>
      <c r="N353" t="str">
        <f t="array" ref="N353">IFERROR(INDEX('Daily Raw Data'!W:W,Match($A353,'Daily Raw Data'!$B:$B,0)),"")</f>
        <v/>
      </c>
      <c r="O353" t="str">
        <f t="array" ref="O353">IFERROR(INDEX('Daily Raw Data'!Y:Y,Match($A353,'Daily Raw Data'!$B:$B,0)),"")</f>
        <v/>
      </c>
      <c r="P353" t="str">
        <f t="shared" si="1"/>
        <v/>
      </c>
      <c r="Q353" s="14" t="str">
        <f t="shared" si="2"/>
        <v/>
      </c>
      <c r="R353" s="15" t="str">
        <f>IFERROR(__xludf.DUMMYFUNCTION("IF($A353="""","""", IFERROR(PERCENTRANK.INC(FILTER(P:P,$E:$E&lt;&gt;""""),P353)*100,""""))"),"")</f>
        <v/>
      </c>
      <c r="S353" s="15" t="str">
        <f>IFERROR(__xludf.DUMMYFUNCTION("IF($A353="""","""",IFERROR(PERCENTRANK.INC(FILTER(Q:Q,$E:$E&lt;&gt;""""),Q353)*100,""""))"),"")</f>
        <v/>
      </c>
    </row>
    <row r="354">
      <c r="B354" t="str">
        <f t="array" ref="B354">IFERROR(INDEX('Player Raw Data'!C:C,Match($A354,'Player Raw Data'!$B:$B,0)),"")</f>
        <v/>
      </c>
      <c r="C354" t="str">
        <f t="array" ref="C354">IFERROR(INDEX('Player Raw Data'!D:D,Match($A354,'Player Raw Data'!$B:$B,0)),"")</f>
        <v/>
      </c>
      <c r="D354" t="str">
        <f t="array" ref="D354">IFERROR(IF(A354=A353, INDEX('Player Raw Data'!E:E,Match($A354,'Player Raw Data'!$B:$B,0)+2),INDEX('Player Raw Data'!E:E,Match($A354,'Player Raw Data'!$B:$B,0))),"")</f>
        <v/>
      </c>
      <c r="E354" s="27" t="str">
        <f>IFERROR(__xludf.DUMMYFUNCTION("IFERROR(ARRAY_CONSTRAIN(SPLIT(INDEX('Daily Raw Data'!G:G,Match($A354,'Daily Raw Data'!$B:$B,0)),"":""),1,1),"""")"),"")</f>
        <v/>
      </c>
      <c r="F354" t="str">
        <f t="array" ref="F354">IFERROR(INDEX('Daily Raw Data'!H:H,Match($A354,'Daily Raw Data'!$B:$B,0)),"")</f>
        <v/>
      </c>
      <c r="G354" t="str">
        <f t="array" ref="G354">IFERROR(INDEX('Daily Raw Data'!I:I,Match($A354,'Daily Raw Data'!$B:$B,0)),"")</f>
        <v/>
      </c>
      <c r="H354" t="str">
        <f t="array" ref="H354">IFERROR(INDEX('Daily Raw Data'!N:N,Match($A354,'Daily Raw Data'!$B:$B,0)),"")</f>
        <v/>
      </c>
      <c r="I354" t="str">
        <f t="array" ref="I354">IFERROR(INDEX('Daily Raw Data'!O:O,Match($A354,'Daily Raw Data'!$B:$B,0)),"")</f>
        <v/>
      </c>
      <c r="J354" t="str">
        <f t="array" ref="J354">IFERROR(INDEX('Daily Raw Data'!S:S,Match($A354,'Daily Raw Data'!$B:$B,0)),"")</f>
        <v/>
      </c>
      <c r="K354" t="str">
        <f t="array" ref="K354">IFERROR(INDEX('Daily Raw Data'!T:T,Match($A354,'Daily Raw Data'!$B:$B,0)),"")</f>
        <v/>
      </c>
      <c r="L354" t="str">
        <f t="array" ref="L354">IFERROR(INDEX('Daily Raw Data'!U:U,Match($A354,'Daily Raw Data'!$B:$B,0)),"")</f>
        <v/>
      </c>
      <c r="M354" t="str">
        <f t="array" ref="M354">IFERROR(INDEX('Daily Raw Data'!V:V,Match($A354,'Daily Raw Data'!$B:$B,0)),"")</f>
        <v/>
      </c>
      <c r="N354" t="str">
        <f t="array" ref="N354">IFERROR(INDEX('Daily Raw Data'!W:W,Match($A354,'Daily Raw Data'!$B:$B,0)),"")</f>
        <v/>
      </c>
      <c r="O354" t="str">
        <f t="array" ref="O354">IFERROR(INDEX('Daily Raw Data'!Y:Y,Match($A354,'Daily Raw Data'!$B:$B,0)),"")</f>
        <v/>
      </c>
      <c r="P354" t="str">
        <f t="shared" si="1"/>
        <v/>
      </c>
      <c r="Q354" s="14" t="str">
        <f t="shared" si="2"/>
        <v/>
      </c>
      <c r="R354" s="15" t="str">
        <f>IFERROR(__xludf.DUMMYFUNCTION("IF($A354="""","""", IFERROR(PERCENTRANK.INC(FILTER(P:P,$E:$E&lt;&gt;""""),P354)*100,""""))"),"")</f>
        <v/>
      </c>
      <c r="S354" s="15" t="str">
        <f>IFERROR(__xludf.DUMMYFUNCTION("IF($A354="""","""",IFERROR(PERCENTRANK.INC(FILTER(Q:Q,$E:$E&lt;&gt;""""),Q354)*100,""""))"),"")</f>
        <v/>
      </c>
    </row>
    <row r="355">
      <c r="B355" t="str">
        <f t="array" ref="B355">IFERROR(INDEX('Player Raw Data'!C:C,Match($A355,'Player Raw Data'!$B:$B,0)),"")</f>
        <v/>
      </c>
      <c r="C355" t="str">
        <f t="array" ref="C355">IFERROR(INDEX('Player Raw Data'!D:D,Match($A355,'Player Raw Data'!$B:$B,0)),"")</f>
        <v/>
      </c>
      <c r="D355" t="str">
        <f t="array" ref="D355">IFERROR(IF(A355=A354, INDEX('Player Raw Data'!E:E,Match($A355,'Player Raw Data'!$B:$B,0)+2),INDEX('Player Raw Data'!E:E,Match($A355,'Player Raw Data'!$B:$B,0))),"")</f>
        <v/>
      </c>
      <c r="E355" s="27" t="str">
        <f>IFERROR(__xludf.DUMMYFUNCTION("IFERROR(ARRAY_CONSTRAIN(SPLIT(INDEX('Daily Raw Data'!G:G,Match($A355,'Daily Raw Data'!$B:$B,0)),"":""),1,1),"""")"),"")</f>
        <v/>
      </c>
      <c r="F355" t="str">
        <f t="array" ref="F355">IFERROR(INDEX('Daily Raw Data'!H:H,Match($A355,'Daily Raw Data'!$B:$B,0)),"")</f>
        <v/>
      </c>
      <c r="G355" t="str">
        <f t="array" ref="G355">IFERROR(INDEX('Daily Raw Data'!I:I,Match($A355,'Daily Raw Data'!$B:$B,0)),"")</f>
        <v/>
      </c>
      <c r="H355" t="str">
        <f t="array" ref="H355">IFERROR(INDEX('Daily Raw Data'!N:N,Match($A355,'Daily Raw Data'!$B:$B,0)),"")</f>
        <v/>
      </c>
      <c r="I355" t="str">
        <f t="array" ref="I355">IFERROR(INDEX('Daily Raw Data'!O:O,Match($A355,'Daily Raw Data'!$B:$B,0)),"")</f>
        <v/>
      </c>
      <c r="J355" t="str">
        <f t="array" ref="J355">IFERROR(INDEX('Daily Raw Data'!S:S,Match($A355,'Daily Raw Data'!$B:$B,0)),"")</f>
        <v/>
      </c>
      <c r="K355" t="str">
        <f t="array" ref="K355">IFERROR(INDEX('Daily Raw Data'!T:T,Match($A355,'Daily Raw Data'!$B:$B,0)),"")</f>
        <v/>
      </c>
      <c r="L355" t="str">
        <f t="array" ref="L355">IFERROR(INDEX('Daily Raw Data'!U:U,Match($A355,'Daily Raw Data'!$B:$B,0)),"")</f>
        <v/>
      </c>
      <c r="M355" t="str">
        <f t="array" ref="M355">IFERROR(INDEX('Daily Raw Data'!V:V,Match($A355,'Daily Raw Data'!$B:$B,0)),"")</f>
        <v/>
      </c>
      <c r="N355" t="str">
        <f t="array" ref="N355">IFERROR(INDEX('Daily Raw Data'!W:W,Match($A355,'Daily Raw Data'!$B:$B,0)),"")</f>
        <v/>
      </c>
      <c r="O355" t="str">
        <f t="array" ref="O355">IFERROR(INDEX('Daily Raw Data'!Y:Y,Match($A355,'Daily Raw Data'!$B:$B,0)),"")</f>
        <v/>
      </c>
      <c r="P355" t="str">
        <f t="shared" si="1"/>
        <v/>
      </c>
      <c r="Q355" s="14" t="str">
        <f t="shared" si="2"/>
        <v/>
      </c>
      <c r="R355" s="15" t="str">
        <f>IFERROR(__xludf.DUMMYFUNCTION("IF($A355="""","""", IFERROR(PERCENTRANK.INC(FILTER(P:P,$E:$E&lt;&gt;""""),P355)*100,""""))"),"")</f>
        <v/>
      </c>
      <c r="S355" s="15" t="str">
        <f>IFERROR(__xludf.DUMMYFUNCTION("IF($A355="""","""",IFERROR(PERCENTRANK.INC(FILTER(Q:Q,$E:$E&lt;&gt;""""),Q355)*100,""""))"),"")</f>
        <v/>
      </c>
    </row>
    <row r="356">
      <c r="B356" t="str">
        <f t="array" ref="B356">IFERROR(INDEX('Player Raw Data'!C:C,Match($A356,'Player Raw Data'!$B:$B,0)),"")</f>
        <v/>
      </c>
      <c r="C356" t="str">
        <f t="array" ref="C356">IFERROR(INDEX('Player Raw Data'!D:D,Match($A356,'Player Raw Data'!$B:$B,0)),"")</f>
        <v/>
      </c>
      <c r="D356" t="str">
        <f t="array" ref="D356">IFERROR(IF(A356=A355, INDEX('Player Raw Data'!E:E,Match($A356,'Player Raw Data'!$B:$B,0)+2),INDEX('Player Raw Data'!E:E,Match($A356,'Player Raw Data'!$B:$B,0))),"")</f>
        <v/>
      </c>
      <c r="E356" s="27" t="str">
        <f>IFERROR(__xludf.DUMMYFUNCTION("IFERROR(ARRAY_CONSTRAIN(SPLIT(INDEX('Daily Raw Data'!G:G,Match($A356,'Daily Raw Data'!$B:$B,0)),"":""),1,1),"""")"),"")</f>
        <v/>
      </c>
      <c r="F356" t="str">
        <f t="array" ref="F356">IFERROR(INDEX('Daily Raw Data'!H:H,Match($A356,'Daily Raw Data'!$B:$B,0)),"")</f>
        <v/>
      </c>
      <c r="G356" t="str">
        <f t="array" ref="G356">IFERROR(INDEX('Daily Raw Data'!I:I,Match($A356,'Daily Raw Data'!$B:$B,0)),"")</f>
        <v/>
      </c>
      <c r="H356" t="str">
        <f t="array" ref="H356">IFERROR(INDEX('Daily Raw Data'!N:N,Match($A356,'Daily Raw Data'!$B:$B,0)),"")</f>
        <v/>
      </c>
      <c r="I356" t="str">
        <f t="array" ref="I356">IFERROR(INDEX('Daily Raw Data'!O:O,Match($A356,'Daily Raw Data'!$B:$B,0)),"")</f>
        <v/>
      </c>
      <c r="J356" t="str">
        <f t="array" ref="J356">IFERROR(INDEX('Daily Raw Data'!S:S,Match($A356,'Daily Raw Data'!$B:$B,0)),"")</f>
        <v/>
      </c>
      <c r="K356" t="str">
        <f t="array" ref="K356">IFERROR(INDEX('Daily Raw Data'!T:T,Match($A356,'Daily Raw Data'!$B:$B,0)),"")</f>
        <v/>
      </c>
      <c r="L356" t="str">
        <f t="array" ref="L356">IFERROR(INDEX('Daily Raw Data'!U:U,Match($A356,'Daily Raw Data'!$B:$B,0)),"")</f>
        <v/>
      </c>
      <c r="M356" t="str">
        <f t="array" ref="M356">IFERROR(INDEX('Daily Raw Data'!V:V,Match($A356,'Daily Raw Data'!$B:$B,0)),"")</f>
        <v/>
      </c>
      <c r="N356" t="str">
        <f t="array" ref="N356">IFERROR(INDEX('Daily Raw Data'!W:W,Match($A356,'Daily Raw Data'!$B:$B,0)),"")</f>
        <v/>
      </c>
      <c r="O356" t="str">
        <f t="array" ref="O356">IFERROR(INDEX('Daily Raw Data'!Y:Y,Match($A356,'Daily Raw Data'!$B:$B,0)),"")</f>
        <v/>
      </c>
      <c r="P356" t="str">
        <f t="shared" si="1"/>
        <v/>
      </c>
      <c r="Q356" s="14" t="str">
        <f t="shared" si="2"/>
        <v/>
      </c>
      <c r="R356" s="15" t="str">
        <f>IFERROR(__xludf.DUMMYFUNCTION("IF($A356="""","""", IFERROR(PERCENTRANK.INC(FILTER(P:P,$E:$E&lt;&gt;""""),P356)*100,""""))"),"")</f>
        <v/>
      </c>
      <c r="S356" s="15" t="str">
        <f>IFERROR(__xludf.DUMMYFUNCTION("IF($A356="""","""",IFERROR(PERCENTRANK.INC(FILTER(Q:Q,$E:$E&lt;&gt;""""),Q356)*100,""""))"),"")</f>
        <v/>
      </c>
    </row>
    <row r="357">
      <c r="B357" t="str">
        <f t="array" ref="B357">IFERROR(INDEX('Player Raw Data'!C:C,Match($A357,'Player Raw Data'!$B:$B,0)),"")</f>
        <v/>
      </c>
      <c r="C357" t="str">
        <f t="array" ref="C357">IFERROR(INDEX('Player Raw Data'!D:D,Match($A357,'Player Raw Data'!$B:$B,0)),"")</f>
        <v/>
      </c>
      <c r="D357" t="str">
        <f t="array" ref="D357">IFERROR(IF(A357=A356, INDEX('Player Raw Data'!E:E,Match($A357,'Player Raw Data'!$B:$B,0)+2),INDEX('Player Raw Data'!E:E,Match($A357,'Player Raw Data'!$B:$B,0))),"")</f>
        <v/>
      </c>
      <c r="E357" s="27" t="str">
        <f>IFERROR(__xludf.DUMMYFUNCTION("IFERROR(ARRAY_CONSTRAIN(SPLIT(INDEX('Daily Raw Data'!G:G,Match($A357,'Daily Raw Data'!$B:$B,0)),"":""),1,1),"""")"),"")</f>
        <v/>
      </c>
      <c r="F357" t="str">
        <f t="array" ref="F357">IFERROR(INDEX('Daily Raw Data'!H:H,Match($A357,'Daily Raw Data'!$B:$B,0)),"")</f>
        <v/>
      </c>
      <c r="G357" t="str">
        <f t="array" ref="G357">IFERROR(INDEX('Daily Raw Data'!I:I,Match($A357,'Daily Raw Data'!$B:$B,0)),"")</f>
        <v/>
      </c>
      <c r="H357" t="str">
        <f t="array" ref="H357">IFERROR(INDEX('Daily Raw Data'!N:N,Match($A357,'Daily Raw Data'!$B:$B,0)),"")</f>
        <v/>
      </c>
      <c r="I357" t="str">
        <f t="array" ref="I357">IFERROR(INDEX('Daily Raw Data'!O:O,Match($A357,'Daily Raw Data'!$B:$B,0)),"")</f>
        <v/>
      </c>
      <c r="J357" t="str">
        <f t="array" ref="J357">IFERROR(INDEX('Daily Raw Data'!S:S,Match($A357,'Daily Raw Data'!$B:$B,0)),"")</f>
        <v/>
      </c>
      <c r="K357" t="str">
        <f t="array" ref="K357">IFERROR(INDEX('Daily Raw Data'!T:T,Match($A357,'Daily Raw Data'!$B:$B,0)),"")</f>
        <v/>
      </c>
      <c r="L357" t="str">
        <f t="array" ref="L357">IFERROR(INDEX('Daily Raw Data'!U:U,Match($A357,'Daily Raw Data'!$B:$B,0)),"")</f>
        <v/>
      </c>
      <c r="M357" t="str">
        <f t="array" ref="M357">IFERROR(INDEX('Daily Raw Data'!V:V,Match($A357,'Daily Raw Data'!$B:$B,0)),"")</f>
        <v/>
      </c>
      <c r="N357" t="str">
        <f t="array" ref="N357">IFERROR(INDEX('Daily Raw Data'!W:W,Match($A357,'Daily Raw Data'!$B:$B,0)),"")</f>
        <v/>
      </c>
      <c r="O357" t="str">
        <f t="array" ref="O357">IFERROR(INDEX('Daily Raw Data'!Y:Y,Match($A357,'Daily Raw Data'!$B:$B,0)),"")</f>
        <v/>
      </c>
      <c r="P357" t="str">
        <f t="shared" si="1"/>
        <v/>
      </c>
      <c r="Q357" s="14" t="str">
        <f t="shared" si="2"/>
        <v/>
      </c>
      <c r="R357" s="15" t="str">
        <f>IFERROR(__xludf.DUMMYFUNCTION("IF($A357="""","""", IFERROR(PERCENTRANK.INC(FILTER(P:P,$E:$E&lt;&gt;""""),P357)*100,""""))"),"")</f>
        <v/>
      </c>
      <c r="S357" s="15" t="str">
        <f>IFERROR(__xludf.DUMMYFUNCTION("IF($A357="""","""",IFERROR(PERCENTRANK.INC(FILTER(Q:Q,$E:$E&lt;&gt;""""),Q357)*100,""""))"),"")</f>
        <v/>
      </c>
    </row>
    <row r="358">
      <c r="B358" t="str">
        <f t="array" ref="B358">IFERROR(INDEX('Player Raw Data'!C:C,Match($A358,'Player Raw Data'!$B:$B,0)),"")</f>
        <v/>
      </c>
      <c r="C358" t="str">
        <f t="array" ref="C358">IFERROR(INDEX('Player Raw Data'!D:D,Match($A358,'Player Raw Data'!$B:$B,0)),"")</f>
        <v/>
      </c>
      <c r="D358" t="str">
        <f t="array" ref="D358">IFERROR(IF(A358=A357, INDEX('Player Raw Data'!E:E,Match($A358,'Player Raw Data'!$B:$B,0)+2),INDEX('Player Raw Data'!E:E,Match($A358,'Player Raw Data'!$B:$B,0))),"")</f>
        <v/>
      </c>
      <c r="E358" s="27" t="str">
        <f>IFERROR(__xludf.DUMMYFUNCTION("IFERROR(ARRAY_CONSTRAIN(SPLIT(INDEX('Daily Raw Data'!G:G,Match($A358,'Daily Raw Data'!$B:$B,0)),"":""),1,1),"""")"),"")</f>
        <v/>
      </c>
      <c r="F358" t="str">
        <f t="array" ref="F358">IFERROR(INDEX('Daily Raw Data'!H:H,Match($A358,'Daily Raw Data'!$B:$B,0)),"")</f>
        <v/>
      </c>
      <c r="G358" t="str">
        <f t="array" ref="G358">IFERROR(INDEX('Daily Raw Data'!I:I,Match($A358,'Daily Raw Data'!$B:$B,0)),"")</f>
        <v/>
      </c>
      <c r="H358" t="str">
        <f t="array" ref="H358">IFERROR(INDEX('Daily Raw Data'!N:N,Match($A358,'Daily Raw Data'!$B:$B,0)),"")</f>
        <v/>
      </c>
      <c r="I358" t="str">
        <f t="array" ref="I358">IFERROR(INDEX('Daily Raw Data'!O:O,Match($A358,'Daily Raw Data'!$B:$B,0)),"")</f>
        <v/>
      </c>
      <c r="J358" t="str">
        <f t="array" ref="J358">IFERROR(INDEX('Daily Raw Data'!S:S,Match($A358,'Daily Raw Data'!$B:$B,0)),"")</f>
        <v/>
      </c>
      <c r="K358" t="str">
        <f t="array" ref="K358">IFERROR(INDEX('Daily Raw Data'!T:T,Match($A358,'Daily Raw Data'!$B:$B,0)),"")</f>
        <v/>
      </c>
      <c r="L358" t="str">
        <f t="array" ref="L358">IFERROR(INDEX('Daily Raw Data'!U:U,Match($A358,'Daily Raw Data'!$B:$B,0)),"")</f>
        <v/>
      </c>
      <c r="M358" t="str">
        <f t="array" ref="M358">IFERROR(INDEX('Daily Raw Data'!V:V,Match($A358,'Daily Raw Data'!$B:$B,0)),"")</f>
        <v/>
      </c>
      <c r="N358" t="str">
        <f t="array" ref="N358">IFERROR(INDEX('Daily Raw Data'!W:W,Match($A358,'Daily Raw Data'!$B:$B,0)),"")</f>
        <v/>
      </c>
      <c r="O358" t="str">
        <f t="array" ref="O358">IFERROR(INDEX('Daily Raw Data'!Y:Y,Match($A358,'Daily Raw Data'!$B:$B,0)),"")</f>
        <v/>
      </c>
      <c r="P358" t="str">
        <f t="shared" si="1"/>
        <v/>
      </c>
      <c r="Q358" s="14" t="str">
        <f t="shared" si="2"/>
        <v/>
      </c>
      <c r="R358" s="15" t="str">
        <f>IFERROR(__xludf.DUMMYFUNCTION("IF($A358="""","""", IFERROR(PERCENTRANK.INC(FILTER(P:P,$E:$E&lt;&gt;""""),P358)*100,""""))"),"")</f>
        <v/>
      </c>
      <c r="S358" s="15" t="str">
        <f>IFERROR(__xludf.DUMMYFUNCTION("IF($A358="""","""",IFERROR(PERCENTRANK.INC(FILTER(Q:Q,$E:$E&lt;&gt;""""),Q358)*100,""""))"),"")</f>
        <v/>
      </c>
    </row>
    <row r="359">
      <c r="B359" t="str">
        <f t="array" ref="B359">IFERROR(INDEX('Player Raw Data'!C:C,Match($A359,'Player Raw Data'!$B:$B,0)),"")</f>
        <v/>
      </c>
      <c r="C359" t="str">
        <f t="array" ref="C359">IFERROR(INDEX('Player Raw Data'!D:D,Match($A359,'Player Raw Data'!$B:$B,0)),"")</f>
        <v/>
      </c>
      <c r="D359" t="str">
        <f t="array" ref="D359">IFERROR(IF(A359=A358, INDEX('Player Raw Data'!E:E,Match($A359,'Player Raw Data'!$B:$B,0)+2),INDEX('Player Raw Data'!E:E,Match($A359,'Player Raw Data'!$B:$B,0))),"")</f>
        <v/>
      </c>
      <c r="E359" s="27" t="str">
        <f>IFERROR(__xludf.DUMMYFUNCTION("IFERROR(ARRAY_CONSTRAIN(SPLIT(INDEX('Daily Raw Data'!G:G,Match($A359,'Daily Raw Data'!$B:$B,0)),"":""),1,1),"""")"),"")</f>
        <v/>
      </c>
      <c r="F359" t="str">
        <f t="array" ref="F359">IFERROR(INDEX('Daily Raw Data'!H:H,Match($A359,'Daily Raw Data'!$B:$B,0)),"")</f>
        <v/>
      </c>
      <c r="G359" t="str">
        <f t="array" ref="G359">IFERROR(INDEX('Daily Raw Data'!I:I,Match($A359,'Daily Raw Data'!$B:$B,0)),"")</f>
        <v/>
      </c>
      <c r="H359" t="str">
        <f t="array" ref="H359">IFERROR(INDEX('Daily Raw Data'!N:N,Match($A359,'Daily Raw Data'!$B:$B,0)),"")</f>
        <v/>
      </c>
      <c r="I359" t="str">
        <f t="array" ref="I359">IFERROR(INDEX('Daily Raw Data'!O:O,Match($A359,'Daily Raw Data'!$B:$B,0)),"")</f>
        <v/>
      </c>
      <c r="J359" t="str">
        <f t="array" ref="J359">IFERROR(INDEX('Daily Raw Data'!S:S,Match($A359,'Daily Raw Data'!$B:$B,0)),"")</f>
        <v/>
      </c>
      <c r="K359" t="str">
        <f t="array" ref="K359">IFERROR(INDEX('Daily Raw Data'!T:T,Match($A359,'Daily Raw Data'!$B:$B,0)),"")</f>
        <v/>
      </c>
      <c r="L359" t="str">
        <f t="array" ref="L359">IFERROR(INDEX('Daily Raw Data'!U:U,Match($A359,'Daily Raw Data'!$B:$B,0)),"")</f>
        <v/>
      </c>
      <c r="M359" t="str">
        <f t="array" ref="M359">IFERROR(INDEX('Daily Raw Data'!V:V,Match($A359,'Daily Raw Data'!$B:$B,0)),"")</f>
        <v/>
      </c>
      <c r="N359" t="str">
        <f t="array" ref="N359">IFERROR(INDEX('Daily Raw Data'!W:W,Match($A359,'Daily Raw Data'!$B:$B,0)),"")</f>
        <v/>
      </c>
      <c r="O359" t="str">
        <f t="array" ref="O359">IFERROR(INDEX('Daily Raw Data'!Y:Y,Match($A359,'Daily Raw Data'!$B:$B,0)),"")</f>
        <v/>
      </c>
      <c r="P359" t="str">
        <f t="shared" si="1"/>
        <v/>
      </c>
      <c r="Q359" s="14" t="str">
        <f t="shared" si="2"/>
        <v/>
      </c>
      <c r="R359" s="15" t="str">
        <f>IFERROR(__xludf.DUMMYFUNCTION("IF($A359="""","""", IFERROR(PERCENTRANK.INC(FILTER(P:P,$E:$E&lt;&gt;""""),P359)*100,""""))"),"")</f>
        <v/>
      </c>
      <c r="S359" s="15" t="str">
        <f>IFERROR(__xludf.DUMMYFUNCTION("IF($A359="""","""",IFERROR(PERCENTRANK.INC(FILTER(Q:Q,$E:$E&lt;&gt;""""),Q359)*100,""""))"),"")</f>
        <v/>
      </c>
    </row>
    <row r="360">
      <c r="B360" t="str">
        <f t="array" ref="B360">IFERROR(INDEX('Player Raw Data'!C:C,Match($A360,'Player Raw Data'!$B:$B,0)),"")</f>
        <v/>
      </c>
      <c r="C360" t="str">
        <f t="array" ref="C360">IFERROR(INDEX('Player Raw Data'!D:D,Match($A360,'Player Raw Data'!$B:$B,0)),"")</f>
        <v/>
      </c>
      <c r="D360" t="str">
        <f t="array" ref="D360">IFERROR(IF(A360=A359, INDEX('Player Raw Data'!E:E,Match($A360,'Player Raw Data'!$B:$B,0)+2),INDEX('Player Raw Data'!E:E,Match($A360,'Player Raw Data'!$B:$B,0))),"")</f>
        <v/>
      </c>
      <c r="E360" s="27" t="str">
        <f>IFERROR(__xludf.DUMMYFUNCTION("IFERROR(ARRAY_CONSTRAIN(SPLIT(INDEX('Daily Raw Data'!G:G,Match($A360,'Daily Raw Data'!$B:$B,0)),"":""),1,1),"""")"),"")</f>
        <v/>
      </c>
      <c r="F360" t="str">
        <f t="array" ref="F360">IFERROR(INDEX('Daily Raw Data'!H:H,Match($A360,'Daily Raw Data'!$B:$B,0)),"")</f>
        <v/>
      </c>
      <c r="G360" t="str">
        <f t="array" ref="G360">IFERROR(INDEX('Daily Raw Data'!I:I,Match($A360,'Daily Raw Data'!$B:$B,0)),"")</f>
        <v/>
      </c>
      <c r="H360" t="str">
        <f t="array" ref="H360">IFERROR(INDEX('Daily Raw Data'!N:N,Match($A360,'Daily Raw Data'!$B:$B,0)),"")</f>
        <v/>
      </c>
      <c r="I360" t="str">
        <f t="array" ref="I360">IFERROR(INDEX('Daily Raw Data'!O:O,Match($A360,'Daily Raw Data'!$B:$B,0)),"")</f>
        <v/>
      </c>
      <c r="J360" t="str">
        <f t="array" ref="J360">IFERROR(INDEX('Daily Raw Data'!S:S,Match($A360,'Daily Raw Data'!$B:$B,0)),"")</f>
        <v/>
      </c>
      <c r="K360" t="str">
        <f t="array" ref="K360">IFERROR(INDEX('Daily Raw Data'!T:T,Match($A360,'Daily Raw Data'!$B:$B,0)),"")</f>
        <v/>
      </c>
      <c r="L360" t="str">
        <f t="array" ref="L360">IFERROR(INDEX('Daily Raw Data'!U:U,Match($A360,'Daily Raw Data'!$B:$B,0)),"")</f>
        <v/>
      </c>
      <c r="M360" t="str">
        <f t="array" ref="M360">IFERROR(INDEX('Daily Raw Data'!V:V,Match($A360,'Daily Raw Data'!$B:$B,0)),"")</f>
        <v/>
      </c>
      <c r="N360" t="str">
        <f t="array" ref="N360">IFERROR(INDEX('Daily Raw Data'!W:W,Match($A360,'Daily Raw Data'!$B:$B,0)),"")</f>
        <v/>
      </c>
      <c r="O360" t="str">
        <f t="array" ref="O360">IFERROR(INDEX('Daily Raw Data'!Y:Y,Match($A360,'Daily Raw Data'!$B:$B,0)),"")</f>
        <v/>
      </c>
      <c r="P360" t="str">
        <f t="shared" si="1"/>
        <v/>
      </c>
      <c r="Q360" s="14" t="str">
        <f t="shared" si="2"/>
        <v/>
      </c>
      <c r="R360" s="15" t="str">
        <f>IFERROR(__xludf.DUMMYFUNCTION("IF($A360="""","""", IFERROR(PERCENTRANK.INC(FILTER(P:P,$E:$E&lt;&gt;""""),P360)*100,""""))"),"")</f>
        <v/>
      </c>
      <c r="S360" s="15" t="str">
        <f>IFERROR(__xludf.DUMMYFUNCTION("IF($A360="""","""",IFERROR(PERCENTRANK.INC(FILTER(Q:Q,$E:$E&lt;&gt;""""),Q360)*100,""""))"),"")</f>
        <v/>
      </c>
    </row>
    <row r="361">
      <c r="B361" t="str">
        <f t="array" ref="B361">IFERROR(INDEX('Player Raw Data'!C:C,Match($A361,'Player Raw Data'!$B:$B,0)),"")</f>
        <v/>
      </c>
      <c r="C361" t="str">
        <f t="array" ref="C361">IFERROR(INDEX('Player Raw Data'!D:D,Match($A361,'Player Raw Data'!$B:$B,0)),"")</f>
        <v/>
      </c>
      <c r="D361" t="str">
        <f t="array" ref="D361">IFERROR(IF(A361=A360, INDEX('Player Raw Data'!E:E,Match($A361,'Player Raw Data'!$B:$B,0)+2),INDEX('Player Raw Data'!E:E,Match($A361,'Player Raw Data'!$B:$B,0))),"")</f>
        <v/>
      </c>
      <c r="E361" s="27" t="str">
        <f>IFERROR(__xludf.DUMMYFUNCTION("IFERROR(ARRAY_CONSTRAIN(SPLIT(INDEX('Daily Raw Data'!G:G,Match($A361,'Daily Raw Data'!$B:$B,0)),"":""),1,1),"""")"),"")</f>
        <v/>
      </c>
      <c r="F361" t="str">
        <f t="array" ref="F361">IFERROR(INDEX('Daily Raw Data'!H:H,Match($A361,'Daily Raw Data'!$B:$B,0)),"")</f>
        <v/>
      </c>
      <c r="G361" t="str">
        <f t="array" ref="G361">IFERROR(INDEX('Daily Raw Data'!I:I,Match($A361,'Daily Raw Data'!$B:$B,0)),"")</f>
        <v/>
      </c>
      <c r="H361" t="str">
        <f t="array" ref="H361">IFERROR(INDEX('Daily Raw Data'!N:N,Match($A361,'Daily Raw Data'!$B:$B,0)),"")</f>
        <v/>
      </c>
      <c r="I361" t="str">
        <f t="array" ref="I361">IFERROR(INDEX('Daily Raw Data'!O:O,Match($A361,'Daily Raw Data'!$B:$B,0)),"")</f>
        <v/>
      </c>
      <c r="J361" t="str">
        <f t="array" ref="J361">IFERROR(INDEX('Daily Raw Data'!S:S,Match($A361,'Daily Raw Data'!$B:$B,0)),"")</f>
        <v/>
      </c>
      <c r="K361" t="str">
        <f t="array" ref="K361">IFERROR(INDEX('Daily Raw Data'!T:T,Match($A361,'Daily Raw Data'!$B:$B,0)),"")</f>
        <v/>
      </c>
      <c r="L361" t="str">
        <f t="array" ref="L361">IFERROR(INDEX('Daily Raw Data'!U:U,Match($A361,'Daily Raw Data'!$B:$B,0)),"")</f>
        <v/>
      </c>
      <c r="M361" t="str">
        <f t="array" ref="M361">IFERROR(INDEX('Daily Raw Data'!V:V,Match($A361,'Daily Raw Data'!$B:$B,0)),"")</f>
        <v/>
      </c>
      <c r="N361" t="str">
        <f t="array" ref="N361">IFERROR(INDEX('Daily Raw Data'!W:W,Match($A361,'Daily Raw Data'!$B:$B,0)),"")</f>
        <v/>
      </c>
      <c r="O361" t="str">
        <f t="array" ref="O361">IFERROR(INDEX('Daily Raw Data'!Y:Y,Match($A361,'Daily Raw Data'!$B:$B,0)),"")</f>
        <v/>
      </c>
      <c r="P361" t="str">
        <f t="shared" si="1"/>
        <v/>
      </c>
      <c r="Q361" s="14" t="str">
        <f t="shared" si="2"/>
        <v/>
      </c>
      <c r="R361" s="15" t="str">
        <f>IFERROR(__xludf.DUMMYFUNCTION("IF($A361="""","""", IFERROR(PERCENTRANK.INC(FILTER(P:P,$E:$E&lt;&gt;""""),P361)*100,""""))"),"")</f>
        <v/>
      </c>
      <c r="S361" s="15" t="str">
        <f>IFERROR(__xludf.DUMMYFUNCTION("IF($A361="""","""",IFERROR(PERCENTRANK.INC(FILTER(Q:Q,$E:$E&lt;&gt;""""),Q361)*100,""""))"),"")</f>
        <v/>
      </c>
    </row>
    <row r="362">
      <c r="B362" t="str">
        <f t="array" ref="B362">IFERROR(INDEX('Player Raw Data'!C:C,Match($A362,'Player Raw Data'!$B:$B,0)),"")</f>
        <v/>
      </c>
      <c r="C362" t="str">
        <f t="array" ref="C362">IFERROR(INDEX('Player Raw Data'!D:D,Match($A362,'Player Raw Data'!$B:$B,0)),"")</f>
        <v/>
      </c>
      <c r="D362" t="str">
        <f t="array" ref="D362">IFERROR(IF(A362=A361, INDEX('Player Raw Data'!E:E,Match($A362,'Player Raw Data'!$B:$B,0)+2),INDEX('Player Raw Data'!E:E,Match($A362,'Player Raw Data'!$B:$B,0))),"")</f>
        <v/>
      </c>
      <c r="E362" s="27" t="str">
        <f>IFERROR(__xludf.DUMMYFUNCTION("IFERROR(ARRAY_CONSTRAIN(SPLIT(INDEX('Daily Raw Data'!G:G,Match($A362,'Daily Raw Data'!$B:$B,0)),"":""),1,1),"""")"),"")</f>
        <v/>
      </c>
      <c r="F362" t="str">
        <f t="array" ref="F362">IFERROR(INDEX('Daily Raw Data'!H:H,Match($A362,'Daily Raw Data'!$B:$B,0)),"")</f>
        <v/>
      </c>
      <c r="G362" t="str">
        <f t="array" ref="G362">IFERROR(INDEX('Daily Raw Data'!I:I,Match($A362,'Daily Raw Data'!$B:$B,0)),"")</f>
        <v/>
      </c>
      <c r="H362" t="str">
        <f t="array" ref="H362">IFERROR(INDEX('Daily Raw Data'!N:N,Match($A362,'Daily Raw Data'!$B:$B,0)),"")</f>
        <v/>
      </c>
      <c r="I362" t="str">
        <f t="array" ref="I362">IFERROR(INDEX('Daily Raw Data'!O:O,Match($A362,'Daily Raw Data'!$B:$B,0)),"")</f>
        <v/>
      </c>
      <c r="J362" t="str">
        <f t="array" ref="J362">IFERROR(INDEX('Daily Raw Data'!S:S,Match($A362,'Daily Raw Data'!$B:$B,0)),"")</f>
        <v/>
      </c>
      <c r="K362" t="str">
        <f t="array" ref="K362">IFERROR(INDEX('Daily Raw Data'!T:T,Match($A362,'Daily Raw Data'!$B:$B,0)),"")</f>
        <v/>
      </c>
      <c r="L362" t="str">
        <f t="array" ref="L362">IFERROR(INDEX('Daily Raw Data'!U:U,Match($A362,'Daily Raw Data'!$B:$B,0)),"")</f>
        <v/>
      </c>
      <c r="M362" t="str">
        <f t="array" ref="M362">IFERROR(INDEX('Daily Raw Data'!V:V,Match($A362,'Daily Raw Data'!$B:$B,0)),"")</f>
        <v/>
      </c>
      <c r="N362" t="str">
        <f t="array" ref="N362">IFERROR(INDEX('Daily Raw Data'!W:W,Match($A362,'Daily Raw Data'!$B:$B,0)),"")</f>
        <v/>
      </c>
      <c r="O362" t="str">
        <f t="array" ref="O362">IFERROR(INDEX('Daily Raw Data'!Y:Y,Match($A362,'Daily Raw Data'!$B:$B,0)),"")</f>
        <v/>
      </c>
      <c r="P362" t="str">
        <f t="shared" si="1"/>
        <v/>
      </c>
      <c r="Q362" s="14" t="str">
        <f t="shared" si="2"/>
        <v/>
      </c>
      <c r="R362" s="15" t="str">
        <f>IFERROR(__xludf.DUMMYFUNCTION("IF($A362="""","""", IFERROR(PERCENTRANK.INC(FILTER(P:P,$E:$E&lt;&gt;""""),P362)*100,""""))"),"")</f>
        <v/>
      </c>
      <c r="S362" s="15" t="str">
        <f>IFERROR(__xludf.DUMMYFUNCTION("IF($A362="""","""",IFERROR(PERCENTRANK.INC(FILTER(Q:Q,$E:$E&lt;&gt;""""),Q362)*100,""""))"),"")</f>
        <v/>
      </c>
    </row>
    <row r="363">
      <c r="B363" t="str">
        <f t="array" ref="B363">IFERROR(INDEX('Player Raw Data'!C:C,Match($A363,'Player Raw Data'!$B:$B,0)),"")</f>
        <v/>
      </c>
      <c r="C363" t="str">
        <f t="array" ref="C363">IFERROR(INDEX('Player Raw Data'!D:D,Match($A363,'Player Raw Data'!$B:$B,0)),"")</f>
        <v/>
      </c>
      <c r="D363" t="str">
        <f t="array" ref="D363">IFERROR(IF(A363=A362, INDEX('Player Raw Data'!E:E,Match($A363,'Player Raw Data'!$B:$B,0)+2),INDEX('Player Raw Data'!E:E,Match($A363,'Player Raw Data'!$B:$B,0))),"")</f>
        <v/>
      </c>
      <c r="E363" s="27" t="str">
        <f>IFERROR(__xludf.DUMMYFUNCTION("IFERROR(ARRAY_CONSTRAIN(SPLIT(INDEX('Daily Raw Data'!G:G,Match($A363,'Daily Raw Data'!$B:$B,0)),"":""),1,1),"""")"),"")</f>
        <v/>
      </c>
      <c r="F363" t="str">
        <f t="array" ref="F363">IFERROR(INDEX('Daily Raw Data'!H:H,Match($A363,'Daily Raw Data'!$B:$B,0)),"")</f>
        <v/>
      </c>
      <c r="G363" t="str">
        <f t="array" ref="G363">IFERROR(INDEX('Daily Raw Data'!I:I,Match($A363,'Daily Raw Data'!$B:$B,0)),"")</f>
        <v/>
      </c>
      <c r="H363" t="str">
        <f t="array" ref="H363">IFERROR(INDEX('Daily Raw Data'!N:N,Match($A363,'Daily Raw Data'!$B:$B,0)),"")</f>
        <v/>
      </c>
      <c r="I363" t="str">
        <f t="array" ref="I363">IFERROR(INDEX('Daily Raw Data'!O:O,Match($A363,'Daily Raw Data'!$B:$B,0)),"")</f>
        <v/>
      </c>
      <c r="J363" t="str">
        <f t="array" ref="J363">IFERROR(INDEX('Daily Raw Data'!S:S,Match($A363,'Daily Raw Data'!$B:$B,0)),"")</f>
        <v/>
      </c>
      <c r="K363" t="str">
        <f t="array" ref="K363">IFERROR(INDEX('Daily Raw Data'!T:T,Match($A363,'Daily Raw Data'!$B:$B,0)),"")</f>
        <v/>
      </c>
      <c r="L363" t="str">
        <f t="array" ref="L363">IFERROR(INDEX('Daily Raw Data'!U:U,Match($A363,'Daily Raw Data'!$B:$B,0)),"")</f>
        <v/>
      </c>
      <c r="M363" t="str">
        <f t="array" ref="M363">IFERROR(INDEX('Daily Raw Data'!V:V,Match($A363,'Daily Raw Data'!$B:$B,0)),"")</f>
        <v/>
      </c>
      <c r="N363" t="str">
        <f t="array" ref="N363">IFERROR(INDEX('Daily Raw Data'!W:W,Match($A363,'Daily Raw Data'!$B:$B,0)),"")</f>
        <v/>
      </c>
      <c r="O363" t="str">
        <f t="array" ref="O363">IFERROR(INDEX('Daily Raw Data'!Y:Y,Match($A363,'Daily Raw Data'!$B:$B,0)),"")</f>
        <v/>
      </c>
      <c r="P363" t="str">
        <f t="shared" si="1"/>
        <v/>
      </c>
      <c r="Q363" s="14" t="str">
        <f t="shared" si="2"/>
        <v/>
      </c>
      <c r="R363" s="15" t="str">
        <f>IFERROR(__xludf.DUMMYFUNCTION("IF($A363="""","""", IFERROR(PERCENTRANK.INC(FILTER(P:P,$E:$E&lt;&gt;""""),P363)*100,""""))"),"")</f>
        <v/>
      </c>
      <c r="S363" s="15" t="str">
        <f>IFERROR(__xludf.DUMMYFUNCTION("IF($A363="""","""",IFERROR(PERCENTRANK.INC(FILTER(Q:Q,$E:$E&lt;&gt;""""),Q363)*100,""""))"),"")</f>
        <v/>
      </c>
    </row>
    <row r="364">
      <c r="B364" t="str">
        <f t="array" ref="B364">IFERROR(INDEX('Player Raw Data'!C:C,Match($A364,'Player Raw Data'!$B:$B,0)),"")</f>
        <v/>
      </c>
      <c r="C364" t="str">
        <f t="array" ref="C364">IFERROR(INDEX('Player Raw Data'!D:D,Match($A364,'Player Raw Data'!$B:$B,0)),"")</f>
        <v/>
      </c>
      <c r="D364" t="str">
        <f t="array" ref="D364">IFERROR(IF(A364=A363, INDEX('Player Raw Data'!E:E,Match($A364,'Player Raw Data'!$B:$B,0)+2),INDEX('Player Raw Data'!E:E,Match($A364,'Player Raw Data'!$B:$B,0))),"")</f>
        <v/>
      </c>
      <c r="E364" s="27" t="str">
        <f>IFERROR(__xludf.DUMMYFUNCTION("IFERROR(ARRAY_CONSTRAIN(SPLIT(INDEX('Daily Raw Data'!G:G,Match($A364,'Daily Raw Data'!$B:$B,0)),"":""),1,1),"""")"),"")</f>
        <v/>
      </c>
      <c r="F364" t="str">
        <f t="array" ref="F364">IFERROR(INDEX('Daily Raw Data'!H:H,Match($A364,'Daily Raw Data'!$B:$B,0)),"")</f>
        <v/>
      </c>
      <c r="G364" t="str">
        <f t="array" ref="G364">IFERROR(INDEX('Daily Raw Data'!I:I,Match($A364,'Daily Raw Data'!$B:$B,0)),"")</f>
        <v/>
      </c>
      <c r="H364" t="str">
        <f t="array" ref="H364">IFERROR(INDEX('Daily Raw Data'!N:N,Match($A364,'Daily Raw Data'!$B:$B,0)),"")</f>
        <v/>
      </c>
      <c r="I364" t="str">
        <f t="array" ref="I364">IFERROR(INDEX('Daily Raw Data'!O:O,Match($A364,'Daily Raw Data'!$B:$B,0)),"")</f>
        <v/>
      </c>
      <c r="J364" t="str">
        <f t="array" ref="J364">IFERROR(INDEX('Daily Raw Data'!S:S,Match($A364,'Daily Raw Data'!$B:$B,0)),"")</f>
        <v/>
      </c>
      <c r="K364" t="str">
        <f t="array" ref="K364">IFERROR(INDEX('Daily Raw Data'!T:T,Match($A364,'Daily Raw Data'!$B:$B,0)),"")</f>
        <v/>
      </c>
      <c r="L364" t="str">
        <f t="array" ref="L364">IFERROR(INDEX('Daily Raw Data'!U:U,Match($A364,'Daily Raw Data'!$B:$B,0)),"")</f>
        <v/>
      </c>
      <c r="M364" t="str">
        <f t="array" ref="M364">IFERROR(INDEX('Daily Raw Data'!V:V,Match($A364,'Daily Raw Data'!$B:$B,0)),"")</f>
        <v/>
      </c>
      <c r="N364" t="str">
        <f t="array" ref="N364">IFERROR(INDEX('Daily Raw Data'!W:W,Match($A364,'Daily Raw Data'!$B:$B,0)),"")</f>
        <v/>
      </c>
      <c r="O364" t="str">
        <f t="array" ref="O364">IFERROR(INDEX('Daily Raw Data'!Y:Y,Match($A364,'Daily Raw Data'!$B:$B,0)),"")</f>
        <v/>
      </c>
      <c r="P364" t="str">
        <f t="shared" si="1"/>
        <v/>
      </c>
      <c r="Q364" s="14" t="str">
        <f t="shared" si="2"/>
        <v/>
      </c>
      <c r="R364" s="15" t="str">
        <f>IFERROR(__xludf.DUMMYFUNCTION("IF($A364="""","""", IFERROR(PERCENTRANK.INC(FILTER(P:P,$E:$E&lt;&gt;""""),P364)*100,""""))"),"")</f>
        <v/>
      </c>
      <c r="S364" s="15" t="str">
        <f>IFERROR(__xludf.DUMMYFUNCTION("IF($A364="""","""",IFERROR(PERCENTRANK.INC(FILTER(Q:Q,$E:$E&lt;&gt;""""),Q364)*100,""""))"),"")</f>
        <v/>
      </c>
    </row>
    <row r="365">
      <c r="B365" t="str">
        <f t="array" ref="B365">IFERROR(INDEX('Player Raw Data'!C:C,Match($A365,'Player Raw Data'!$B:$B,0)),"")</f>
        <v/>
      </c>
      <c r="C365" t="str">
        <f t="array" ref="C365">IFERROR(INDEX('Player Raw Data'!D:D,Match($A365,'Player Raw Data'!$B:$B,0)),"")</f>
        <v/>
      </c>
      <c r="D365" t="str">
        <f t="array" ref="D365">IFERROR(IF(A365=A364, INDEX('Player Raw Data'!E:E,Match($A365,'Player Raw Data'!$B:$B,0)+2),INDEX('Player Raw Data'!E:E,Match($A365,'Player Raw Data'!$B:$B,0))),"")</f>
        <v/>
      </c>
      <c r="E365" s="27" t="str">
        <f>IFERROR(__xludf.DUMMYFUNCTION("IFERROR(ARRAY_CONSTRAIN(SPLIT(INDEX('Daily Raw Data'!G:G,Match($A365,'Daily Raw Data'!$B:$B,0)),"":""),1,1),"""")"),"")</f>
        <v/>
      </c>
      <c r="F365" t="str">
        <f t="array" ref="F365">IFERROR(INDEX('Daily Raw Data'!H:H,Match($A365,'Daily Raw Data'!$B:$B,0)),"")</f>
        <v/>
      </c>
      <c r="G365" t="str">
        <f t="array" ref="G365">IFERROR(INDEX('Daily Raw Data'!I:I,Match($A365,'Daily Raw Data'!$B:$B,0)),"")</f>
        <v/>
      </c>
      <c r="H365" t="str">
        <f t="array" ref="H365">IFERROR(INDEX('Daily Raw Data'!N:N,Match($A365,'Daily Raw Data'!$B:$B,0)),"")</f>
        <v/>
      </c>
      <c r="I365" t="str">
        <f t="array" ref="I365">IFERROR(INDEX('Daily Raw Data'!O:O,Match($A365,'Daily Raw Data'!$B:$B,0)),"")</f>
        <v/>
      </c>
      <c r="J365" t="str">
        <f t="array" ref="J365">IFERROR(INDEX('Daily Raw Data'!S:S,Match($A365,'Daily Raw Data'!$B:$B,0)),"")</f>
        <v/>
      </c>
      <c r="K365" t="str">
        <f t="array" ref="K365">IFERROR(INDEX('Daily Raw Data'!T:T,Match($A365,'Daily Raw Data'!$B:$B,0)),"")</f>
        <v/>
      </c>
      <c r="L365" t="str">
        <f t="array" ref="L365">IFERROR(INDEX('Daily Raw Data'!U:U,Match($A365,'Daily Raw Data'!$B:$B,0)),"")</f>
        <v/>
      </c>
      <c r="M365" t="str">
        <f t="array" ref="M365">IFERROR(INDEX('Daily Raw Data'!V:V,Match($A365,'Daily Raw Data'!$B:$B,0)),"")</f>
        <v/>
      </c>
      <c r="N365" t="str">
        <f t="array" ref="N365">IFERROR(INDEX('Daily Raw Data'!W:W,Match($A365,'Daily Raw Data'!$B:$B,0)),"")</f>
        <v/>
      </c>
      <c r="O365" t="str">
        <f t="array" ref="O365">IFERROR(INDEX('Daily Raw Data'!Y:Y,Match($A365,'Daily Raw Data'!$B:$B,0)),"")</f>
        <v/>
      </c>
      <c r="P365" t="str">
        <f t="shared" si="1"/>
        <v/>
      </c>
      <c r="Q365" s="14" t="str">
        <f t="shared" si="2"/>
        <v/>
      </c>
      <c r="R365" s="15" t="str">
        <f>IFERROR(__xludf.DUMMYFUNCTION("IF($A365="""","""", IFERROR(PERCENTRANK.INC(FILTER(P:P,$E:$E&lt;&gt;""""),P365)*100,""""))"),"")</f>
        <v/>
      </c>
      <c r="S365" s="15" t="str">
        <f>IFERROR(__xludf.DUMMYFUNCTION("IF($A365="""","""",IFERROR(PERCENTRANK.INC(FILTER(Q:Q,$E:$E&lt;&gt;""""),Q365)*100,""""))"),"")</f>
        <v/>
      </c>
    </row>
    <row r="366">
      <c r="B366" t="str">
        <f t="array" ref="B366">IFERROR(INDEX('Player Raw Data'!C:C,Match($A366,'Player Raw Data'!$B:$B,0)),"")</f>
        <v/>
      </c>
      <c r="C366" t="str">
        <f t="array" ref="C366">IFERROR(INDEX('Player Raw Data'!D:D,Match($A366,'Player Raw Data'!$B:$B,0)),"")</f>
        <v/>
      </c>
      <c r="D366" t="str">
        <f t="array" ref="D366">IFERROR(IF(A366=A365, INDEX('Player Raw Data'!E:E,Match($A366,'Player Raw Data'!$B:$B,0)+2),INDEX('Player Raw Data'!E:E,Match($A366,'Player Raw Data'!$B:$B,0))),"")</f>
        <v/>
      </c>
      <c r="E366" s="27" t="str">
        <f>IFERROR(__xludf.DUMMYFUNCTION("IFERROR(ARRAY_CONSTRAIN(SPLIT(INDEX('Daily Raw Data'!G:G,Match($A366,'Daily Raw Data'!$B:$B,0)),"":""),1,1),"""")"),"")</f>
        <v/>
      </c>
      <c r="F366" t="str">
        <f t="array" ref="F366">IFERROR(INDEX('Daily Raw Data'!H:H,Match($A366,'Daily Raw Data'!$B:$B,0)),"")</f>
        <v/>
      </c>
      <c r="G366" t="str">
        <f t="array" ref="G366">IFERROR(INDEX('Daily Raw Data'!I:I,Match($A366,'Daily Raw Data'!$B:$B,0)),"")</f>
        <v/>
      </c>
      <c r="H366" t="str">
        <f t="array" ref="H366">IFERROR(INDEX('Daily Raw Data'!N:N,Match($A366,'Daily Raw Data'!$B:$B,0)),"")</f>
        <v/>
      </c>
      <c r="I366" t="str">
        <f t="array" ref="I366">IFERROR(INDEX('Daily Raw Data'!O:O,Match($A366,'Daily Raw Data'!$B:$B,0)),"")</f>
        <v/>
      </c>
      <c r="J366" t="str">
        <f t="array" ref="J366">IFERROR(INDEX('Daily Raw Data'!S:S,Match($A366,'Daily Raw Data'!$B:$B,0)),"")</f>
        <v/>
      </c>
      <c r="K366" t="str">
        <f t="array" ref="K366">IFERROR(INDEX('Daily Raw Data'!T:T,Match($A366,'Daily Raw Data'!$B:$B,0)),"")</f>
        <v/>
      </c>
      <c r="L366" t="str">
        <f t="array" ref="L366">IFERROR(INDEX('Daily Raw Data'!U:U,Match($A366,'Daily Raw Data'!$B:$B,0)),"")</f>
        <v/>
      </c>
      <c r="M366" t="str">
        <f t="array" ref="M366">IFERROR(INDEX('Daily Raw Data'!V:V,Match($A366,'Daily Raw Data'!$B:$B,0)),"")</f>
        <v/>
      </c>
      <c r="N366" t="str">
        <f t="array" ref="N366">IFERROR(INDEX('Daily Raw Data'!W:W,Match($A366,'Daily Raw Data'!$B:$B,0)),"")</f>
        <v/>
      </c>
      <c r="O366" t="str">
        <f t="array" ref="O366">IFERROR(INDEX('Daily Raw Data'!Y:Y,Match($A366,'Daily Raw Data'!$B:$B,0)),"")</f>
        <v/>
      </c>
      <c r="P366" t="str">
        <f t="shared" si="1"/>
        <v/>
      </c>
      <c r="Q366" s="14" t="str">
        <f t="shared" si="2"/>
        <v/>
      </c>
      <c r="R366" s="15" t="str">
        <f>IFERROR(__xludf.DUMMYFUNCTION("IF($A366="""","""", IFERROR(PERCENTRANK.INC(FILTER(P:P,$E:$E&lt;&gt;""""),P366)*100,""""))"),"")</f>
        <v/>
      </c>
      <c r="S366" s="15" t="str">
        <f>IFERROR(__xludf.DUMMYFUNCTION("IF($A366="""","""",IFERROR(PERCENTRANK.INC(FILTER(Q:Q,$E:$E&lt;&gt;""""),Q366)*100,""""))"),"")</f>
        <v/>
      </c>
    </row>
    <row r="367">
      <c r="B367" t="str">
        <f t="array" ref="B367">IFERROR(INDEX('Player Raw Data'!C:C,Match($A367,'Player Raw Data'!$B:$B,0)),"")</f>
        <v/>
      </c>
      <c r="C367" t="str">
        <f t="array" ref="C367">IFERROR(INDEX('Player Raw Data'!D:D,Match($A367,'Player Raw Data'!$B:$B,0)),"")</f>
        <v/>
      </c>
      <c r="D367" t="str">
        <f t="array" ref="D367">IFERROR(IF(A367=A366, INDEX('Player Raw Data'!E:E,Match($A367,'Player Raw Data'!$B:$B,0)+2),INDEX('Player Raw Data'!E:E,Match($A367,'Player Raw Data'!$B:$B,0))),"")</f>
        <v/>
      </c>
      <c r="E367" s="27" t="str">
        <f>IFERROR(__xludf.DUMMYFUNCTION("IFERROR(ARRAY_CONSTRAIN(SPLIT(INDEX('Daily Raw Data'!G:G,Match($A367,'Daily Raw Data'!$B:$B,0)),"":""),1,1),"""")"),"")</f>
        <v/>
      </c>
      <c r="F367" t="str">
        <f t="array" ref="F367">IFERROR(INDEX('Daily Raw Data'!H:H,Match($A367,'Daily Raw Data'!$B:$B,0)),"")</f>
        <v/>
      </c>
      <c r="G367" t="str">
        <f t="array" ref="G367">IFERROR(INDEX('Daily Raw Data'!I:I,Match($A367,'Daily Raw Data'!$B:$B,0)),"")</f>
        <v/>
      </c>
      <c r="H367" t="str">
        <f t="array" ref="H367">IFERROR(INDEX('Daily Raw Data'!N:N,Match($A367,'Daily Raw Data'!$B:$B,0)),"")</f>
        <v/>
      </c>
      <c r="I367" t="str">
        <f t="array" ref="I367">IFERROR(INDEX('Daily Raw Data'!O:O,Match($A367,'Daily Raw Data'!$B:$B,0)),"")</f>
        <v/>
      </c>
      <c r="J367" t="str">
        <f t="array" ref="J367">IFERROR(INDEX('Daily Raw Data'!S:S,Match($A367,'Daily Raw Data'!$B:$B,0)),"")</f>
        <v/>
      </c>
      <c r="K367" t="str">
        <f t="array" ref="K367">IFERROR(INDEX('Daily Raw Data'!T:T,Match($A367,'Daily Raw Data'!$B:$B,0)),"")</f>
        <v/>
      </c>
      <c r="L367" t="str">
        <f t="array" ref="L367">IFERROR(INDEX('Daily Raw Data'!U:U,Match($A367,'Daily Raw Data'!$B:$B,0)),"")</f>
        <v/>
      </c>
      <c r="M367" t="str">
        <f t="array" ref="M367">IFERROR(INDEX('Daily Raw Data'!V:V,Match($A367,'Daily Raw Data'!$B:$B,0)),"")</f>
        <v/>
      </c>
      <c r="N367" t="str">
        <f t="array" ref="N367">IFERROR(INDEX('Daily Raw Data'!W:W,Match($A367,'Daily Raw Data'!$B:$B,0)),"")</f>
        <v/>
      </c>
      <c r="O367" t="str">
        <f t="array" ref="O367">IFERROR(INDEX('Daily Raw Data'!Y:Y,Match($A367,'Daily Raw Data'!$B:$B,0)),"")</f>
        <v/>
      </c>
      <c r="P367" t="str">
        <f t="shared" si="1"/>
        <v/>
      </c>
      <c r="Q367" s="14" t="str">
        <f t="shared" si="2"/>
        <v/>
      </c>
      <c r="R367" s="15" t="str">
        <f>IFERROR(__xludf.DUMMYFUNCTION("IF($A367="""","""", IFERROR(PERCENTRANK.INC(FILTER(P:P,$E:$E&lt;&gt;""""),P367)*100,""""))"),"")</f>
        <v/>
      </c>
      <c r="S367" s="15" t="str">
        <f>IFERROR(__xludf.DUMMYFUNCTION("IF($A367="""","""",IFERROR(PERCENTRANK.INC(FILTER(Q:Q,$E:$E&lt;&gt;""""),Q367)*100,""""))"),"")</f>
        <v/>
      </c>
    </row>
    <row r="368">
      <c r="B368" t="str">
        <f t="array" ref="B368">IFERROR(INDEX('Player Raw Data'!C:C,Match($A368,'Player Raw Data'!$B:$B,0)),"")</f>
        <v/>
      </c>
      <c r="C368" t="str">
        <f t="array" ref="C368">IFERROR(INDEX('Player Raw Data'!D:D,Match($A368,'Player Raw Data'!$B:$B,0)),"")</f>
        <v/>
      </c>
      <c r="D368" t="str">
        <f t="array" ref="D368">IFERROR(IF(A368=A367, INDEX('Player Raw Data'!E:E,Match($A368,'Player Raw Data'!$B:$B,0)+2),INDEX('Player Raw Data'!E:E,Match($A368,'Player Raw Data'!$B:$B,0))),"")</f>
        <v/>
      </c>
      <c r="E368" s="27" t="str">
        <f>IFERROR(__xludf.DUMMYFUNCTION("IFERROR(ARRAY_CONSTRAIN(SPLIT(INDEX('Daily Raw Data'!G:G,Match($A368,'Daily Raw Data'!$B:$B,0)),"":""),1,1),"""")"),"")</f>
        <v/>
      </c>
      <c r="F368" t="str">
        <f t="array" ref="F368">IFERROR(INDEX('Daily Raw Data'!H:H,Match($A368,'Daily Raw Data'!$B:$B,0)),"")</f>
        <v/>
      </c>
      <c r="G368" t="str">
        <f t="array" ref="G368">IFERROR(INDEX('Daily Raw Data'!I:I,Match($A368,'Daily Raw Data'!$B:$B,0)),"")</f>
        <v/>
      </c>
      <c r="H368" t="str">
        <f t="array" ref="H368">IFERROR(INDEX('Daily Raw Data'!N:N,Match($A368,'Daily Raw Data'!$B:$B,0)),"")</f>
        <v/>
      </c>
      <c r="I368" t="str">
        <f t="array" ref="I368">IFERROR(INDEX('Daily Raw Data'!O:O,Match($A368,'Daily Raw Data'!$B:$B,0)),"")</f>
        <v/>
      </c>
      <c r="J368" t="str">
        <f t="array" ref="J368">IFERROR(INDEX('Daily Raw Data'!S:S,Match($A368,'Daily Raw Data'!$B:$B,0)),"")</f>
        <v/>
      </c>
      <c r="K368" t="str">
        <f t="array" ref="K368">IFERROR(INDEX('Daily Raw Data'!T:T,Match($A368,'Daily Raw Data'!$B:$B,0)),"")</f>
        <v/>
      </c>
      <c r="L368" t="str">
        <f t="array" ref="L368">IFERROR(INDEX('Daily Raw Data'!U:U,Match($A368,'Daily Raw Data'!$B:$B,0)),"")</f>
        <v/>
      </c>
      <c r="M368" t="str">
        <f t="array" ref="M368">IFERROR(INDEX('Daily Raw Data'!V:V,Match($A368,'Daily Raw Data'!$B:$B,0)),"")</f>
        <v/>
      </c>
      <c r="N368" t="str">
        <f t="array" ref="N368">IFERROR(INDEX('Daily Raw Data'!W:W,Match($A368,'Daily Raw Data'!$B:$B,0)),"")</f>
        <v/>
      </c>
      <c r="O368" t="str">
        <f t="array" ref="O368">IFERROR(INDEX('Daily Raw Data'!Y:Y,Match($A368,'Daily Raw Data'!$B:$B,0)),"")</f>
        <v/>
      </c>
      <c r="P368" t="str">
        <f t="shared" si="1"/>
        <v/>
      </c>
      <c r="Q368" s="14" t="str">
        <f t="shared" si="2"/>
        <v/>
      </c>
      <c r="R368" s="15" t="str">
        <f>IFERROR(__xludf.DUMMYFUNCTION("IF($A368="""","""", IFERROR(PERCENTRANK.INC(FILTER(P:P,$E:$E&lt;&gt;""""),P368)*100,""""))"),"")</f>
        <v/>
      </c>
      <c r="S368" s="15" t="str">
        <f>IFERROR(__xludf.DUMMYFUNCTION("IF($A368="""","""",IFERROR(PERCENTRANK.INC(FILTER(Q:Q,$E:$E&lt;&gt;""""),Q368)*100,""""))"),"")</f>
        <v/>
      </c>
    </row>
    <row r="369">
      <c r="B369" t="str">
        <f t="array" ref="B369">IFERROR(INDEX('Player Raw Data'!C:C,Match($A369,'Player Raw Data'!$B:$B,0)),"")</f>
        <v/>
      </c>
      <c r="C369" t="str">
        <f t="array" ref="C369">IFERROR(INDEX('Player Raw Data'!D:D,Match($A369,'Player Raw Data'!$B:$B,0)),"")</f>
        <v/>
      </c>
      <c r="D369" t="str">
        <f t="array" ref="D369">IFERROR(IF(A369=A368, INDEX('Player Raw Data'!E:E,Match($A369,'Player Raw Data'!$B:$B,0)+2),INDEX('Player Raw Data'!E:E,Match($A369,'Player Raw Data'!$B:$B,0))),"")</f>
        <v/>
      </c>
      <c r="E369" s="27" t="str">
        <f>IFERROR(__xludf.DUMMYFUNCTION("IFERROR(ARRAY_CONSTRAIN(SPLIT(INDEX('Daily Raw Data'!G:G,Match($A369,'Daily Raw Data'!$B:$B,0)),"":""),1,1),"""")"),"")</f>
        <v/>
      </c>
      <c r="F369" t="str">
        <f t="array" ref="F369">IFERROR(INDEX('Daily Raw Data'!H:H,Match($A369,'Daily Raw Data'!$B:$B,0)),"")</f>
        <v/>
      </c>
      <c r="G369" t="str">
        <f t="array" ref="G369">IFERROR(INDEX('Daily Raw Data'!I:I,Match($A369,'Daily Raw Data'!$B:$B,0)),"")</f>
        <v/>
      </c>
      <c r="H369" t="str">
        <f t="array" ref="H369">IFERROR(INDEX('Daily Raw Data'!N:N,Match($A369,'Daily Raw Data'!$B:$B,0)),"")</f>
        <v/>
      </c>
      <c r="I369" t="str">
        <f t="array" ref="I369">IFERROR(INDEX('Daily Raw Data'!O:O,Match($A369,'Daily Raw Data'!$B:$B,0)),"")</f>
        <v/>
      </c>
      <c r="J369" t="str">
        <f t="array" ref="J369">IFERROR(INDEX('Daily Raw Data'!S:S,Match($A369,'Daily Raw Data'!$B:$B,0)),"")</f>
        <v/>
      </c>
      <c r="K369" t="str">
        <f t="array" ref="K369">IFERROR(INDEX('Daily Raw Data'!T:T,Match($A369,'Daily Raw Data'!$B:$B,0)),"")</f>
        <v/>
      </c>
      <c r="L369" t="str">
        <f t="array" ref="L369">IFERROR(INDEX('Daily Raw Data'!U:U,Match($A369,'Daily Raw Data'!$B:$B,0)),"")</f>
        <v/>
      </c>
      <c r="M369" t="str">
        <f t="array" ref="M369">IFERROR(INDEX('Daily Raw Data'!V:V,Match($A369,'Daily Raw Data'!$B:$B,0)),"")</f>
        <v/>
      </c>
      <c r="N369" t="str">
        <f t="array" ref="N369">IFERROR(INDEX('Daily Raw Data'!W:W,Match($A369,'Daily Raw Data'!$B:$B,0)),"")</f>
        <v/>
      </c>
      <c r="O369" t="str">
        <f t="array" ref="O369">IFERROR(INDEX('Daily Raw Data'!Y:Y,Match($A369,'Daily Raw Data'!$B:$B,0)),"")</f>
        <v/>
      </c>
      <c r="P369" t="str">
        <f t="shared" si="1"/>
        <v/>
      </c>
      <c r="Q369" s="14" t="str">
        <f t="shared" si="2"/>
        <v/>
      </c>
      <c r="R369" s="15" t="str">
        <f>IFERROR(__xludf.DUMMYFUNCTION("IF($A369="""","""", IFERROR(PERCENTRANK.INC(FILTER(P:P,$E:$E&lt;&gt;""""),P369)*100,""""))"),"")</f>
        <v/>
      </c>
      <c r="S369" s="15" t="str">
        <f>IFERROR(__xludf.DUMMYFUNCTION("IF($A369="""","""",IFERROR(PERCENTRANK.INC(FILTER(Q:Q,$E:$E&lt;&gt;""""),Q369)*100,""""))"),"")</f>
        <v/>
      </c>
    </row>
    <row r="370">
      <c r="B370" t="str">
        <f t="array" ref="B370">IFERROR(INDEX('Player Raw Data'!C:C,Match($A370,'Player Raw Data'!$B:$B,0)),"")</f>
        <v/>
      </c>
      <c r="C370" t="str">
        <f t="array" ref="C370">IFERROR(INDEX('Player Raw Data'!D:D,Match($A370,'Player Raw Data'!$B:$B,0)),"")</f>
        <v/>
      </c>
      <c r="D370" t="str">
        <f t="array" ref="D370">IFERROR(IF(A370=A369, INDEX('Player Raw Data'!E:E,Match($A370,'Player Raw Data'!$B:$B,0)+2),INDEX('Player Raw Data'!E:E,Match($A370,'Player Raw Data'!$B:$B,0))),"")</f>
        <v/>
      </c>
      <c r="E370" s="27" t="str">
        <f>IFERROR(__xludf.DUMMYFUNCTION("IFERROR(ARRAY_CONSTRAIN(SPLIT(INDEX('Daily Raw Data'!G:G,Match($A370,'Daily Raw Data'!$B:$B,0)),"":""),1,1),"""")"),"")</f>
        <v/>
      </c>
      <c r="F370" t="str">
        <f t="array" ref="F370">IFERROR(INDEX('Daily Raw Data'!H:H,Match($A370,'Daily Raw Data'!$B:$B,0)),"")</f>
        <v/>
      </c>
      <c r="G370" t="str">
        <f t="array" ref="G370">IFERROR(INDEX('Daily Raw Data'!I:I,Match($A370,'Daily Raw Data'!$B:$B,0)),"")</f>
        <v/>
      </c>
      <c r="H370" t="str">
        <f t="array" ref="H370">IFERROR(INDEX('Daily Raw Data'!N:N,Match($A370,'Daily Raw Data'!$B:$B,0)),"")</f>
        <v/>
      </c>
      <c r="I370" t="str">
        <f t="array" ref="I370">IFERROR(INDEX('Daily Raw Data'!O:O,Match($A370,'Daily Raw Data'!$B:$B,0)),"")</f>
        <v/>
      </c>
      <c r="J370" t="str">
        <f t="array" ref="J370">IFERROR(INDEX('Daily Raw Data'!S:S,Match($A370,'Daily Raw Data'!$B:$B,0)),"")</f>
        <v/>
      </c>
      <c r="K370" t="str">
        <f t="array" ref="K370">IFERROR(INDEX('Daily Raw Data'!T:T,Match($A370,'Daily Raw Data'!$B:$B,0)),"")</f>
        <v/>
      </c>
      <c r="L370" t="str">
        <f t="array" ref="L370">IFERROR(INDEX('Daily Raw Data'!U:U,Match($A370,'Daily Raw Data'!$B:$B,0)),"")</f>
        <v/>
      </c>
      <c r="M370" t="str">
        <f t="array" ref="M370">IFERROR(INDEX('Daily Raw Data'!V:V,Match($A370,'Daily Raw Data'!$B:$B,0)),"")</f>
        <v/>
      </c>
      <c r="N370" t="str">
        <f t="array" ref="N370">IFERROR(INDEX('Daily Raw Data'!W:W,Match($A370,'Daily Raw Data'!$B:$B,0)),"")</f>
        <v/>
      </c>
      <c r="O370" t="str">
        <f t="array" ref="O370">IFERROR(INDEX('Daily Raw Data'!Y:Y,Match($A370,'Daily Raw Data'!$B:$B,0)),"")</f>
        <v/>
      </c>
      <c r="P370" t="str">
        <f t="shared" si="1"/>
        <v/>
      </c>
      <c r="Q370" s="14" t="str">
        <f t="shared" si="2"/>
        <v/>
      </c>
      <c r="R370" s="15" t="str">
        <f>IFERROR(__xludf.DUMMYFUNCTION("IF($A370="""","""", IFERROR(PERCENTRANK.INC(FILTER(P:P,$E:$E&lt;&gt;""""),P370)*100,""""))"),"")</f>
        <v/>
      </c>
      <c r="S370" s="15" t="str">
        <f>IFERROR(__xludf.DUMMYFUNCTION("IF($A370="""","""",IFERROR(PERCENTRANK.INC(FILTER(Q:Q,$E:$E&lt;&gt;""""),Q370)*100,""""))"),"")</f>
        <v/>
      </c>
    </row>
    <row r="371">
      <c r="B371" t="str">
        <f t="array" ref="B371">IFERROR(INDEX('Player Raw Data'!C:C,Match($A371,'Player Raw Data'!$B:$B,0)),"")</f>
        <v/>
      </c>
      <c r="C371" t="str">
        <f t="array" ref="C371">IFERROR(INDEX('Player Raw Data'!D:D,Match($A371,'Player Raw Data'!$B:$B,0)),"")</f>
        <v/>
      </c>
      <c r="D371" t="str">
        <f t="array" ref="D371">IFERROR(IF(A371=A370, INDEX('Player Raw Data'!E:E,Match($A371,'Player Raw Data'!$B:$B,0)+2),INDEX('Player Raw Data'!E:E,Match($A371,'Player Raw Data'!$B:$B,0))),"")</f>
        <v/>
      </c>
      <c r="E371" s="27" t="str">
        <f>IFERROR(__xludf.DUMMYFUNCTION("IFERROR(ARRAY_CONSTRAIN(SPLIT(INDEX('Daily Raw Data'!G:G,Match($A371,'Daily Raw Data'!$B:$B,0)),"":""),1,1),"""")"),"")</f>
        <v/>
      </c>
      <c r="F371" t="str">
        <f t="array" ref="F371">IFERROR(INDEX('Daily Raw Data'!H:H,Match($A371,'Daily Raw Data'!$B:$B,0)),"")</f>
        <v/>
      </c>
      <c r="G371" t="str">
        <f t="array" ref="G371">IFERROR(INDEX('Daily Raw Data'!I:I,Match($A371,'Daily Raw Data'!$B:$B,0)),"")</f>
        <v/>
      </c>
      <c r="H371" t="str">
        <f t="array" ref="H371">IFERROR(INDEX('Daily Raw Data'!N:N,Match($A371,'Daily Raw Data'!$B:$B,0)),"")</f>
        <v/>
      </c>
      <c r="I371" t="str">
        <f t="array" ref="I371">IFERROR(INDEX('Daily Raw Data'!O:O,Match($A371,'Daily Raw Data'!$B:$B,0)),"")</f>
        <v/>
      </c>
      <c r="J371" t="str">
        <f t="array" ref="J371">IFERROR(INDEX('Daily Raw Data'!S:S,Match($A371,'Daily Raw Data'!$B:$B,0)),"")</f>
        <v/>
      </c>
      <c r="K371" t="str">
        <f t="array" ref="K371">IFERROR(INDEX('Daily Raw Data'!T:T,Match($A371,'Daily Raw Data'!$B:$B,0)),"")</f>
        <v/>
      </c>
      <c r="L371" t="str">
        <f t="array" ref="L371">IFERROR(INDEX('Daily Raw Data'!U:U,Match($A371,'Daily Raw Data'!$B:$B,0)),"")</f>
        <v/>
      </c>
      <c r="M371" t="str">
        <f t="array" ref="M371">IFERROR(INDEX('Daily Raw Data'!V:V,Match($A371,'Daily Raw Data'!$B:$B,0)),"")</f>
        <v/>
      </c>
      <c r="N371" t="str">
        <f t="array" ref="N371">IFERROR(INDEX('Daily Raw Data'!W:W,Match($A371,'Daily Raw Data'!$B:$B,0)),"")</f>
        <v/>
      </c>
      <c r="O371" t="str">
        <f t="array" ref="O371">IFERROR(INDEX('Daily Raw Data'!Y:Y,Match($A371,'Daily Raw Data'!$B:$B,0)),"")</f>
        <v/>
      </c>
      <c r="P371" t="str">
        <f t="shared" si="1"/>
        <v/>
      </c>
      <c r="Q371" s="14" t="str">
        <f t="shared" si="2"/>
        <v/>
      </c>
      <c r="R371" s="15" t="str">
        <f>IFERROR(__xludf.DUMMYFUNCTION("IF($A371="""","""", IFERROR(PERCENTRANK.INC(FILTER(P:P,$E:$E&lt;&gt;""""),P371)*100,""""))"),"")</f>
        <v/>
      </c>
      <c r="S371" s="15" t="str">
        <f>IFERROR(__xludf.DUMMYFUNCTION("IF($A371="""","""",IFERROR(PERCENTRANK.INC(FILTER(Q:Q,$E:$E&lt;&gt;""""),Q371)*100,""""))"),"")</f>
        <v/>
      </c>
    </row>
    <row r="372">
      <c r="B372" t="str">
        <f t="array" ref="B372">IFERROR(INDEX('Player Raw Data'!C:C,Match($A372,'Player Raw Data'!$B:$B,0)),"")</f>
        <v/>
      </c>
      <c r="C372" t="str">
        <f t="array" ref="C372">IFERROR(INDEX('Player Raw Data'!D:D,Match($A372,'Player Raw Data'!$B:$B,0)),"")</f>
        <v/>
      </c>
      <c r="D372" t="str">
        <f t="array" ref="D372">IFERROR(IF(A372=A371, INDEX('Player Raw Data'!E:E,Match($A372,'Player Raw Data'!$B:$B,0)+2),INDEX('Player Raw Data'!E:E,Match($A372,'Player Raw Data'!$B:$B,0))),"")</f>
        <v/>
      </c>
      <c r="E372" s="27" t="str">
        <f>IFERROR(__xludf.DUMMYFUNCTION("IFERROR(ARRAY_CONSTRAIN(SPLIT(INDEX('Daily Raw Data'!G:G,Match($A372,'Daily Raw Data'!$B:$B,0)),"":""),1,1),"""")"),"")</f>
        <v/>
      </c>
      <c r="F372" t="str">
        <f t="array" ref="F372">IFERROR(INDEX('Daily Raw Data'!H:H,Match($A372,'Daily Raw Data'!$B:$B,0)),"")</f>
        <v/>
      </c>
      <c r="G372" t="str">
        <f t="array" ref="G372">IFERROR(INDEX('Daily Raw Data'!I:I,Match($A372,'Daily Raw Data'!$B:$B,0)),"")</f>
        <v/>
      </c>
      <c r="H372" t="str">
        <f t="array" ref="H372">IFERROR(INDEX('Daily Raw Data'!N:N,Match($A372,'Daily Raw Data'!$B:$B,0)),"")</f>
        <v/>
      </c>
      <c r="I372" t="str">
        <f t="array" ref="I372">IFERROR(INDEX('Daily Raw Data'!O:O,Match($A372,'Daily Raw Data'!$B:$B,0)),"")</f>
        <v/>
      </c>
      <c r="J372" t="str">
        <f t="array" ref="J372">IFERROR(INDEX('Daily Raw Data'!S:S,Match($A372,'Daily Raw Data'!$B:$B,0)),"")</f>
        <v/>
      </c>
      <c r="K372" t="str">
        <f t="array" ref="K372">IFERROR(INDEX('Daily Raw Data'!T:T,Match($A372,'Daily Raw Data'!$B:$B,0)),"")</f>
        <v/>
      </c>
      <c r="L372" t="str">
        <f t="array" ref="L372">IFERROR(INDEX('Daily Raw Data'!U:U,Match($A372,'Daily Raw Data'!$B:$B,0)),"")</f>
        <v/>
      </c>
      <c r="M372" t="str">
        <f t="array" ref="M372">IFERROR(INDEX('Daily Raw Data'!V:V,Match($A372,'Daily Raw Data'!$B:$B,0)),"")</f>
        <v/>
      </c>
      <c r="N372" t="str">
        <f t="array" ref="N372">IFERROR(INDEX('Daily Raw Data'!W:W,Match($A372,'Daily Raw Data'!$B:$B,0)),"")</f>
        <v/>
      </c>
      <c r="O372" t="str">
        <f t="array" ref="O372">IFERROR(INDEX('Daily Raw Data'!Y:Y,Match($A372,'Daily Raw Data'!$B:$B,0)),"")</f>
        <v/>
      </c>
      <c r="P372" t="str">
        <f t="shared" si="1"/>
        <v/>
      </c>
      <c r="Q372" s="14" t="str">
        <f t="shared" si="2"/>
        <v/>
      </c>
      <c r="R372" s="15" t="str">
        <f>IFERROR(__xludf.DUMMYFUNCTION("IF($A372="""","""", IFERROR(PERCENTRANK.INC(FILTER(P:P,$E:$E&lt;&gt;""""),P372)*100,""""))"),"")</f>
        <v/>
      </c>
      <c r="S372" s="15" t="str">
        <f>IFERROR(__xludf.DUMMYFUNCTION("IF($A372="""","""",IFERROR(PERCENTRANK.INC(FILTER(Q:Q,$E:$E&lt;&gt;""""),Q372)*100,""""))"),"")</f>
        <v/>
      </c>
    </row>
    <row r="373">
      <c r="B373" t="str">
        <f t="array" ref="B373">IFERROR(INDEX('Player Raw Data'!C:C,Match($A373,'Player Raw Data'!$B:$B,0)),"")</f>
        <v/>
      </c>
      <c r="C373" t="str">
        <f t="array" ref="C373">IFERROR(INDEX('Player Raw Data'!D:D,Match($A373,'Player Raw Data'!$B:$B,0)),"")</f>
        <v/>
      </c>
      <c r="D373" t="str">
        <f t="array" ref="D373">IFERROR(IF(A373=A372, INDEX('Player Raw Data'!E:E,Match($A373,'Player Raw Data'!$B:$B,0)+2),INDEX('Player Raw Data'!E:E,Match($A373,'Player Raw Data'!$B:$B,0))),"")</f>
        <v/>
      </c>
      <c r="E373" s="27" t="str">
        <f>IFERROR(__xludf.DUMMYFUNCTION("IFERROR(ARRAY_CONSTRAIN(SPLIT(INDEX('Daily Raw Data'!G:G,Match($A373,'Daily Raw Data'!$B:$B,0)),"":""),1,1),"""")"),"")</f>
        <v/>
      </c>
      <c r="F373" t="str">
        <f t="array" ref="F373">IFERROR(INDEX('Daily Raw Data'!H:H,Match($A373,'Daily Raw Data'!$B:$B,0)),"")</f>
        <v/>
      </c>
      <c r="G373" t="str">
        <f t="array" ref="G373">IFERROR(INDEX('Daily Raw Data'!I:I,Match($A373,'Daily Raw Data'!$B:$B,0)),"")</f>
        <v/>
      </c>
      <c r="H373" t="str">
        <f t="array" ref="H373">IFERROR(INDEX('Daily Raw Data'!N:N,Match($A373,'Daily Raw Data'!$B:$B,0)),"")</f>
        <v/>
      </c>
      <c r="I373" t="str">
        <f t="array" ref="I373">IFERROR(INDEX('Daily Raw Data'!O:O,Match($A373,'Daily Raw Data'!$B:$B,0)),"")</f>
        <v/>
      </c>
      <c r="J373" t="str">
        <f t="array" ref="J373">IFERROR(INDEX('Daily Raw Data'!S:S,Match($A373,'Daily Raw Data'!$B:$B,0)),"")</f>
        <v/>
      </c>
      <c r="K373" t="str">
        <f t="array" ref="K373">IFERROR(INDEX('Daily Raw Data'!T:T,Match($A373,'Daily Raw Data'!$B:$B,0)),"")</f>
        <v/>
      </c>
      <c r="L373" t="str">
        <f t="array" ref="L373">IFERROR(INDEX('Daily Raw Data'!U:U,Match($A373,'Daily Raw Data'!$B:$B,0)),"")</f>
        <v/>
      </c>
      <c r="M373" t="str">
        <f t="array" ref="M373">IFERROR(INDEX('Daily Raw Data'!V:V,Match($A373,'Daily Raw Data'!$B:$B,0)),"")</f>
        <v/>
      </c>
      <c r="N373" t="str">
        <f t="array" ref="N373">IFERROR(INDEX('Daily Raw Data'!W:W,Match($A373,'Daily Raw Data'!$B:$B,0)),"")</f>
        <v/>
      </c>
      <c r="O373" t="str">
        <f t="array" ref="O373">IFERROR(INDEX('Daily Raw Data'!Y:Y,Match($A373,'Daily Raw Data'!$B:$B,0)),"")</f>
        <v/>
      </c>
      <c r="P373" t="str">
        <f t="shared" si="1"/>
        <v/>
      </c>
      <c r="Q373" s="14" t="str">
        <f t="shared" si="2"/>
        <v/>
      </c>
      <c r="R373" s="15" t="str">
        <f>IFERROR(__xludf.DUMMYFUNCTION("IF($A373="""","""", IFERROR(PERCENTRANK.INC(FILTER(P:P,$E:$E&lt;&gt;""""),P373)*100,""""))"),"")</f>
        <v/>
      </c>
      <c r="S373" s="15" t="str">
        <f>IFERROR(__xludf.DUMMYFUNCTION("IF($A373="""","""",IFERROR(PERCENTRANK.INC(FILTER(Q:Q,$E:$E&lt;&gt;""""),Q373)*100,""""))"),"")</f>
        <v/>
      </c>
    </row>
    <row r="374">
      <c r="B374" t="str">
        <f t="array" ref="B374">IFERROR(INDEX('Player Raw Data'!C:C,Match($A374,'Player Raw Data'!$B:$B,0)),"")</f>
        <v/>
      </c>
      <c r="C374" t="str">
        <f t="array" ref="C374">IFERROR(INDEX('Player Raw Data'!D:D,Match($A374,'Player Raw Data'!$B:$B,0)),"")</f>
        <v/>
      </c>
      <c r="D374" t="str">
        <f t="array" ref="D374">IFERROR(IF(A374=A373, INDEX('Player Raw Data'!E:E,Match($A374,'Player Raw Data'!$B:$B,0)+2),INDEX('Player Raw Data'!E:E,Match($A374,'Player Raw Data'!$B:$B,0))),"")</f>
        <v/>
      </c>
      <c r="E374" s="27" t="str">
        <f>IFERROR(__xludf.DUMMYFUNCTION("IFERROR(ARRAY_CONSTRAIN(SPLIT(INDEX('Daily Raw Data'!G:G,Match($A374,'Daily Raw Data'!$B:$B,0)),"":""),1,1),"""")"),"")</f>
        <v/>
      </c>
      <c r="F374" t="str">
        <f t="array" ref="F374">IFERROR(INDEX('Daily Raw Data'!H:H,Match($A374,'Daily Raw Data'!$B:$B,0)),"")</f>
        <v/>
      </c>
      <c r="G374" t="str">
        <f t="array" ref="G374">IFERROR(INDEX('Daily Raw Data'!I:I,Match($A374,'Daily Raw Data'!$B:$B,0)),"")</f>
        <v/>
      </c>
      <c r="H374" t="str">
        <f t="array" ref="H374">IFERROR(INDEX('Daily Raw Data'!N:N,Match($A374,'Daily Raw Data'!$B:$B,0)),"")</f>
        <v/>
      </c>
      <c r="I374" t="str">
        <f t="array" ref="I374">IFERROR(INDEX('Daily Raw Data'!O:O,Match($A374,'Daily Raw Data'!$B:$B,0)),"")</f>
        <v/>
      </c>
      <c r="J374" t="str">
        <f t="array" ref="J374">IFERROR(INDEX('Daily Raw Data'!S:S,Match($A374,'Daily Raw Data'!$B:$B,0)),"")</f>
        <v/>
      </c>
      <c r="K374" t="str">
        <f t="array" ref="K374">IFERROR(INDEX('Daily Raw Data'!T:T,Match($A374,'Daily Raw Data'!$B:$B,0)),"")</f>
        <v/>
      </c>
      <c r="L374" t="str">
        <f t="array" ref="L374">IFERROR(INDEX('Daily Raw Data'!U:U,Match($A374,'Daily Raw Data'!$B:$B,0)),"")</f>
        <v/>
      </c>
      <c r="M374" t="str">
        <f t="array" ref="M374">IFERROR(INDEX('Daily Raw Data'!V:V,Match($A374,'Daily Raw Data'!$B:$B,0)),"")</f>
        <v/>
      </c>
      <c r="N374" t="str">
        <f t="array" ref="N374">IFERROR(INDEX('Daily Raw Data'!W:W,Match($A374,'Daily Raw Data'!$B:$B,0)),"")</f>
        <v/>
      </c>
      <c r="O374" t="str">
        <f t="array" ref="O374">IFERROR(INDEX('Daily Raw Data'!Y:Y,Match($A374,'Daily Raw Data'!$B:$B,0)),"")</f>
        <v/>
      </c>
      <c r="P374" t="str">
        <f t="shared" si="1"/>
        <v/>
      </c>
      <c r="Q374" s="14" t="str">
        <f t="shared" si="2"/>
        <v/>
      </c>
      <c r="R374" s="15" t="str">
        <f>IFERROR(__xludf.DUMMYFUNCTION("IF($A374="""","""", IFERROR(PERCENTRANK.INC(FILTER(P:P,$E:$E&lt;&gt;""""),P374)*100,""""))"),"")</f>
        <v/>
      </c>
      <c r="S374" s="15" t="str">
        <f>IFERROR(__xludf.DUMMYFUNCTION("IF($A374="""","""",IFERROR(PERCENTRANK.INC(FILTER(Q:Q,$E:$E&lt;&gt;""""),Q374)*100,""""))"),"")</f>
        <v/>
      </c>
    </row>
    <row r="375">
      <c r="B375" t="str">
        <f t="array" ref="B375">IFERROR(INDEX('Player Raw Data'!C:C,Match($A375,'Player Raw Data'!$B:$B,0)),"")</f>
        <v/>
      </c>
      <c r="C375" t="str">
        <f t="array" ref="C375">IFERROR(INDEX('Player Raw Data'!D:D,Match($A375,'Player Raw Data'!$B:$B,0)),"")</f>
        <v/>
      </c>
      <c r="D375" t="str">
        <f t="array" ref="D375">IFERROR(IF(A375=A374, INDEX('Player Raw Data'!E:E,Match($A375,'Player Raw Data'!$B:$B,0)+2),INDEX('Player Raw Data'!E:E,Match($A375,'Player Raw Data'!$B:$B,0))),"")</f>
        <v/>
      </c>
      <c r="E375" s="27" t="str">
        <f>IFERROR(__xludf.DUMMYFUNCTION("IFERROR(ARRAY_CONSTRAIN(SPLIT(INDEX('Daily Raw Data'!G:G,Match($A375,'Daily Raw Data'!$B:$B,0)),"":""),1,1),"""")"),"")</f>
        <v/>
      </c>
      <c r="F375" t="str">
        <f t="array" ref="F375">IFERROR(INDEX('Daily Raw Data'!H:H,Match($A375,'Daily Raw Data'!$B:$B,0)),"")</f>
        <v/>
      </c>
      <c r="G375" t="str">
        <f t="array" ref="G375">IFERROR(INDEX('Daily Raw Data'!I:I,Match($A375,'Daily Raw Data'!$B:$B,0)),"")</f>
        <v/>
      </c>
      <c r="H375" t="str">
        <f t="array" ref="H375">IFERROR(INDEX('Daily Raw Data'!N:N,Match($A375,'Daily Raw Data'!$B:$B,0)),"")</f>
        <v/>
      </c>
      <c r="I375" t="str">
        <f t="array" ref="I375">IFERROR(INDEX('Daily Raw Data'!O:O,Match($A375,'Daily Raw Data'!$B:$B,0)),"")</f>
        <v/>
      </c>
      <c r="J375" t="str">
        <f t="array" ref="J375">IFERROR(INDEX('Daily Raw Data'!S:S,Match($A375,'Daily Raw Data'!$B:$B,0)),"")</f>
        <v/>
      </c>
      <c r="K375" t="str">
        <f t="array" ref="K375">IFERROR(INDEX('Daily Raw Data'!T:T,Match($A375,'Daily Raw Data'!$B:$B,0)),"")</f>
        <v/>
      </c>
      <c r="L375" t="str">
        <f t="array" ref="L375">IFERROR(INDEX('Daily Raw Data'!U:U,Match($A375,'Daily Raw Data'!$B:$B,0)),"")</f>
        <v/>
      </c>
      <c r="M375" t="str">
        <f t="array" ref="M375">IFERROR(INDEX('Daily Raw Data'!V:V,Match($A375,'Daily Raw Data'!$B:$B,0)),"")</f>
        <v/>
      </c>
      <c r="N375" t="str">
        <f t="array" ref="N375">IFERROR(INDEX('Daily Raw Data'!W:W,Match($A375,'Daily Raw Data'!$B:$B,0)),"")</f>
        <v/>
      </c>
      <c r="O375" t="str">
        <f t="array" ref="O375">IFERROR(INDEX('Daily Raw Data'!Y:Y,Match($A375,'Daily Raw Data'!$B:$B,0)),"")</f>
        <v/>
      </c>
      <c r="P375" t="str">
        <f t="shared" si="1"/>
        <v/>
      </c>
      <c r="Q375" s="14" t="str">
        <f t="shared" si="2"/>
        <v/>
      </c>
      <c r="R375" s="15" t="str">
        <f>IFERROR(__xludf.DUMMYFUNCTION("IF($A375="""","""", IFERROR(PERCENTRANK.INC(FILTER(P:P,$E:$E&lt;&gt;""""),P375)*100,""""))"),"")</f>
        <v/>
      </c>
      <c r="S375" s="15" t="str">
        <f>IFERROR(__xludf.DUMMYFUNCTION("IF($A375="""","""",IFERROR(PERCENTRANK.INC(FILTER(Q:Q,$E:$E&lt;&gt;""""),Q375)*100,""""))"),"")</f>
        <v/>
      </c>
    </row>
    <row r="376">
      <c r="B376" t="str">
        <f t="array" ref="B376">IFERROR(INDEX('Player Raw Data'!C:C,Match($A376,'Player Raw Data'!$B:$B,0)),"")</f>
        <v/>
      </c>
      <c r="C376" t="str">
        <f t="array" ref="C376">IFERROR(INDEX('Player Raw Data'!D:D,Match($A376,'Player Raw Data'!$B:$B,0)),"")</f>
        <v/>
      </c>
      <c r="D376" t="str">
        <f t="array" ref="D376">IFERROR(IF(A376=A375, INDEX('Player Raw Data'!E:E,Match($A376,'Player Raw Data'!$B:$B,0)+2),INDEX('Player Raw Data'!E:E,Match($A376,'Player Raw Data'!$B:$B,0))),"")</f>
        <v/>
      </c>
      <c r="E376" s="27" t="str">
        <f>IFERROR(__xludf.DUMMYFUNCTION("IFERROR(ARRAY_CONSTRAIN(SPLIT(INDEX('Daily Raw Data'!G:G,Match($A376,'Daily Raw Data'!$B:$B,0)),"":""),1,1),"""")"),"")</f>
        <v/>
      </c>
      <c r="F376" t="str">
        <f t="array" ref="F376">IFERROR(INDEX('Daily Raw Data'!H:H,Match($A376,'Daily Raw Data'!$B:$B,0)),"")</f>
        <v/>
      </c>
      <c r="G376" t="str">
        <f t="array" ref="G376">IFERROR(INDEX('Daily Raw Data'!I:I,Match($A376,'Daily Raw Data'!$B:$B,0)),"")</f>
        <v/>
      </c>
      <c r="H376" t="str">
        <f t="array" ref="H376">IFERROR(INDEX('Daily Raw Data'!N:N,Match($A376,'Daily Raw Data'!$B:$B,0)),"")</f>
        <v/>
      </c>
      <c r="I376" t="str">
        <f t="array" ref="I376">IFERROR(INDEX('Daily Raw Data'!O:O,Match($A376,'Daily Raw Data'!$B:$B,0)),"")</f>
        <v/>
      </c>
      <c r="J376" t="str">
        <f t="array" ref="J376">IFERROR(INDEX('Daily Raw Data'!S:S,Match($A376,'Daily Raw Data'!$B:$B,0)),"")</f>
        <v/>
      </c>
      <c r="K376" t="str">
        <f t="array" ref="K376">IFERROR(INDEX('Daily Raw Data'!T:T,Match($A376,'Daily Raw Data'!$B:$B,0)),"")</f>
        <v/>
      </c>
      <c r="L376" t="str">
        <f t="array" ref="L376">IFERROR(INDEX('Daily Raw Data'!U:U,Match($A376,'Daily Raw Data'!$B:$B,0)),"")</f>
        <v/>
      </c>
      <c r="M376" t="str">
        <f t="array" ref="M376">IFERROR(INDEX('Daily Raw Data'!V:V,Match($A376,'Daily Raw Data'!$B:$B,0)),"")</f>
        <v/>
      </c>
      <c r="N376" t="str">
        <f t="array" ref="N376">IFERROR(INDEX('Daily Raw Data'!W:W,Match($A376,'Daily Raw Data'!$B:$B,0)),"")</f>
        <v/>
      </c>
      <c r="O376" t="str">
        <f t="array" ref="O376">IFERROR(INDEX('Daily Raw Data'!Y:Y,Match($A376,'Daily Raw Data'!$B:$B,0)),"")</f>
        <v/>
      </c>
      <c r="P376" t="str">
        <f t="shared" si="1"/>
        <v/>
      </c>
      <c r="Q376" s="14" t="str">
        <f t="shared" si="2"/>
        <v/>
      </c>
      <c r="R376" s="15" t="str">
        <f>IFERROR(__xludf.DUMMYFUNCTION("IF($A376="""","""", IFERROR(PERCENTRANK.INC(FILTER(P:P,$E:$E&lt;&gt;""""),P376)*100,""""))"),"")</f>
        <v/>
      </c>
      <c r="S376" s="15" t="str">
        <f>IFERROR(__xludf.DUMMYFUNCTION("IF($A376="""","""",IFERROR(PERCENTRANK.INC(FILTER(Q:Q,$E:$E&lt;&gt;""""),Q376)*100,""""))"),"")</f>
        <v/>
      </c>
    </row>
    <row r="377">
      <c r="B377" t="str">
        <f t="array" ref="B377">IFERROR(INDEX('Player Raw Data'!C:C,Match($A377,'Player Raw Data'!$B:$B,0)),"")</f>
        <v/>
      </c>
      <c r="C377" t="str">
        <f t="array" ref="C377">IFERROR(INDEX('Player Raw Data'!D:D,Match($A377,'Player Raw Data'!$B:$B,0)),"")</f>
        <v/>
      </c>
      <c r="D377" t="str">
        <f t="array" ref="D377">IFERROR(IF(A377=A376, INDEX('Player Raw Data'!E:E,Match($A377,'Player Raw Data'!$B:$B,0)+2),INDEX('Player Raw Data'!E:E,Match($A377,'Player Raw Data'!$B:$B,0))),"")</f>
        <v/>
      </c>
      <c r="E377" s="27" t="str">
        <f>IFERROR(__xludf.DUMMYFUNCTION("IFERROR(ARRAY_CONSTRAIN(SPLIT(INDEX('Daily Raw Data'!G:G,Match($A377,'Daily Raw Data'!$B:$B,0)),"":""),1,1),"""")"),"")</f>
        <v/>
      </c>
      <c r="F377" t="str">
        <f t="array" ref="F377">IFERROR(INDEX('Daily Raw Data'!H:H,Match($A377,'Daily Raw Data'!$B:$B,0)),"")</f>
        <v/>
      </c>
      <c r="G377" t="str">
        <f t="array" ref="G377">IFERROR(INDEX('Daily Raw Data'!I:I,Match($A377,'Daily Raw Data'!$B:$B,0)),"")</f>
        <v/>
      </c>
      <c r="H377" t="str">
        <f t="array" ref="H377">IFERROR(INDEX('Daily Raw Data'!N:N,Match($A377,'Daily Raw Data'!$B:$B,0)),"")</f>
        <v/>
      </c>
      <c r="I377" t="str">
        <f t="array" ref="I377">IFERROR(INDEX('Daily Raw Data'!O:O,Match($A377,'Daily Raw Data'!$B:$B,0)),"")</f>
        <v/>
      </c>
      <c r="J377" t="str">
        <f t="array" ref="J377">IFERROR(INDEX('Daily Raw Data'!S:S,Match($A377,'Daily Raw Data'!$B:$B,0)),"")</f>
        <v/>
      </c>
      <c r="K377" t="str">
        <f t="array" ref="K377">IFERROR(INDEX('Daily Raw Data'!T:T,Match($A377,'Daily Raw Data'!$B:$B,0)),"")</f>
        <v/>
      </c>
      <c r="L377" t="str">
        <f t="array" ref="L377">IFERROR(INDEX('Daily Raw Data'!U:U,Match($A377,'Daily Raw Data'!$B:$B,0)),"")</f>
        <v/>
      </c>
      <c r="M377" t="str">
        <f t="array" ref="M377">IFERROR(INDEX('Daily Raw Data'!V:V,Match($A377,'Daily Raw Data'!$B:$B,0)),"")</f>
        <v/>
      </c>
      <c r="N377" t="str">
        <f t="array" ref="N377">IFERROR(INDEX('Daily Raw Data'!W:W,Match($A377,'Daily Raw Data'!$B:$B,0)),"")</f>
        <v/>
      </c>
      <c r="O377" t="str">
        <f t="array" ref="O377">IFERROR(INDEX('Daily Raw Data'!Y:Y,Match($A377,'Daily Raw Data'!$B:$B,0)),"")</f>
        <v/>
      </c>
      <c r="P377" t="str">
        <f t="shared" si="1"/>
        <v/>
      </c>
      <c r="Q377" s="14" t="str">
        <f t="shared" si="2"/>
        <v/>
      </c>
      <c r="R377" s="15" t="str">
        <f>IFERROR(__xludf.DUMMYFUNCTION("IF($A377="""","""", IFERROR(PERCENTRANK.INC(FILTER(P:P,$E:$E&lt;&gt;""""),P377)*100,""""))"),"")</f>
        <v/>
      </c>
      <c r="S377" s="15" t="str">
        <f>IFERROR(__xludf.DUMMYFUNCTION("IF($A377="""","""",IFERROR(PERCENTRANK.INC(FILTER(Q:Q,$E:$E&lt;&gt;""""),Q377)*100,""""))"),"")</f>
        <v/>
      </c>
    </row>
    <row r="378">
      <c r="B378" t="str">
        <f t="array" ref="B378">IFERROR(INDEX('Player Raw Data'!C:C,Match($A378,'Player Raw Data'!$B:$B,0)),"")</f>
        <v/>
      </c>
      <c r="C378" t="str">
        <f t="array" ref="C378">IFERROR(INDEX('Player Raw Data'!D:D,Match($A378,'Player Raw Data'!$B:$B,0)),"")</f>
        <v/>
      </c>
      <c r="D378" t="str">
        <f t="array" ref="D378">IFERROR(IF(A378=A377, INDEX('Player Raw Data'!E:E,Match($A378,'Player Raw Data'!$B:$B,0)+2),INDEX('Player Raw Data'!E:E,Match($A378,'Player Raw Data'!$B:$B,0))),"")</f>
        <v/>
      </c>
      <c r="E378" s="27" t="str">
        <f>IFERROR(__xludf.DUMMYFUNCTION("IFERROR(ARRAY_CONSTRAIN(SPLIT(INDEX('Daily Raw Data'!G:G,Match($A378,'Daily Raw Data'!$B:$B,0)),"":""),1,1),"""")"),"")</f>
        <v/>
      </c>
      <c r="F378" t="str">
        <f t="array" ref="F378">IFERROR(INDEX('Daily Raw Data'!H:H,Match($A378,'Daily Raw Data'!$B:$B,0)),"")</f>
        <v/>
      </c>
      <c r="G378" t="str">
        <f t="array" ref="G378">IFERROR(INDEX('Daily Raw Data'!I:I,Match($A378,'Daily Raw Data'!$B:$B,0)),"")</f>
        <v/>
      </c>
      <c r="H378" t="str">
        <f t="array" ref="H378">IFERROR(INDEX('Daily Raw Data'!N:N,Match($A378,'Daily Raw Data'!$B:$B,0)),"")</f>
        <v/>
      </c>
      <c r="I378" t="str">
        <f t="array" ref="I378">IFERROR(INDEX('Daily Raw Data'!O:O,Match($A378,'Daily Raw Data'!$B:$B,0)),"")</f>
        <v/>
      </c>
      <c r="J378" t="str">
        <f t="array" ref="J378">IFERROR(INDEX('Daily Raw Data'!S:S,Match($A378,'Daily Raw Data'!$B:$B,0)),"")</f>
        <v/>
      </c>
      <c r="K378" t="str">
        <f t="array" ref="K378">IFERROR(INDEX('Daily Raw Data'!T:T,Match($A378,'Daily Raw Data'!$B:$B,0)),"")</f>
        <v/>
      </c>
      <c r="L378" t="str">
        <f t="array" ref="L378">IFERROR(INDEX('Daily Raw Data'!U:U,Match($A378,'Daily Raw Data'!$B:$B,0)),"")</f>
        <v/>
      </c>
      <c r="M378" t="str">
        <f t="array" ref="M378">IFERROR(INDEX('Daily Raw Data'!V:V,Match($A378,'Daily Raw Data'!$B:$B,0)),"")</f>
        <v/>
      </c>
      <c r="N378" t="str">
        <f t="array" ref="N378">IFERROR(INDEX('Daily Raw Data'!W:W,Match($A378,'Daily Raw Data'!$B:$B,0)),"")</f>
        <v/>
      </c>
      <c r="O378" t="str">
        <f t="array" ref="O378">IFERROR(INDEX('Daily Raw Data'!Y:Y,Match($A378,'Daily Raw Data'!$B:$B,0)),"")</f>
        <v/>
      </c>
      <c r="P378" t="str">
        <f t="shared" si="1"/>
        <v/>
      </c>
      <c r="Q378" s="14" t="str">
        <f t="shared" si="2"/>
        <v/>
      </c>
      <c r="R378" s="15" t="str">
        <f>IFERROR(__xludf.DUMMYFUNCTION("IF($A378="""","""", IFERROR(PERCENTRANK.INC(FILTER(P:P,$E:$E&lt;&gt;""""),P378)*100,""""))"),"")</f>
        <v/>
      </c>
      <c r="S378" s="15" t="str">
        <f>IFERROR(__xludf.DUMMYFUNCTION("IF($A378="""","""",IFERROR(PERCENTRANK.INC(FILTER(Q:Q,$E:$E&lt;&gt;""""),Q378)*100,""""))"),"")</f>
        <v/>
      </c>
    </row>
    <row r="379">
      <c r="B379" t="str">
        <f t="array" ref="B379">IFERROR(INDEX('Player Raw Data'!C:C,Match($A379,'Player Raw Data'!$B:$B,0)),"")</f>
        <v/>
      </c>
      <c r="C379" t="str">
        <f t="array" ref="C379">IFERROR(INDEX('Player Raw Data'!D:D,Match($A379,'Player Raw Data'!$B:$B,0)),"")</f>
        <v/>
      </c>
      <c r="D379" t="str">
        <f t="array" ref="D379">IFERROR(IF(A379=A378, INDEX('Player Raw Data'!E:E,Match($A379,'Player Raw Data'!$B:$B,0)+2),INDEX('Player Raw Data'!E:E,Match($A379,'Player Raw Data'!$B:$B,0))),"")</f>
        <v/>
      </c>
      <c r="E379" s="27" t="str">
        <f>IFERROR(__xludf.DUMMYFUNCTION("IFERROR(ARRAY_CONSTRAIN(SPLIT(INDEX('Daily Raw Data'!G:G,Match($A379,'Daily Raw Data'!$B:$B,0)),"":""),1,1),"""")"),"")</f>
        <v/>
      </c>
      <c r="F379" t="str">
        <f t="array" ref="F379">IFERROR(INDEX('Daily Raw Data'!H:H,Match($A379,'Daily Raw Data'!$B:$B,0)),"")</f>
        <v/>
      </c>
      <c r="G379" t="str">
        <f t="array" ref="G379">IFERROR(INDEX('Daily Raw Data'!I:I,Match($A379,'Daily Raw Data'!$B:$B,0)),"")</f>
        <v/>
      </c>
      <c r="H379" t="str">
        <f t="array" ref="H379">IFERROR(INDEX('Daily Raw Data'!N:N,Match($A379,'Daily Raw Data'!$B:$B,0)),"")</f>
        <v/>
      </c>
      <c r="I379" t="str">
        <f t="array" ref="I379">IFERROR(INDEX('Daily Raw Data'!O:O,Match($A379,'Daily Raw Data'!$B:$B,0)),"")</f>
        <v/>
      </c>
      <c r="J379" t="str">
        <f t="array" ref="J379">IFERROR(INDEX('Daily Raw Data'!S:S,Match($A379,'Daily Raw Data'!$B:$B,0)),"")</f>
        <v/>
      </c>
      <c r="K379" t="str">
        <f t="array" ref="K379">IFERROR(INDEX('Daily Raw Data'!T:T,Match($A379,'Daily Raw Data'!$B:$B,0)),"")</f>
        <v/>
      </c>
      <c r="L379" t="str">
        <f t="array" ref="L379">IFERROR(INDEX('Daily Raw Data'!U:U,Match($A379,'Daily Raw Data'!$B:$B,0)),"")</f>
        <v/>
      </c>
      <c r="M379" t="str">
        <f t="array" ref="M379">IFERROR(INDEX('Daily Raw Data'!V:V,Match($A379,'Daily Raw Data'!$B:$B,0)),"")</f>
        <v/>
      </c>
      <c r="N379" t="str">
        <f t="array" ref="N379">IFERROR(INDEX('Daily Raw Data'!W:W,Match($A379,'Daily Raw Data'!$B:$B,0)),"")</f>
        <v/>
      </c>
      <c r="O379" t="str">
        <f t="array" ref="O379">IFERROR(INDEX('Daily Raw Data'!Y:Y,Match($A379,'Daily Raw Data'!$B:$B,0)),"")</f>
        <v/>
      </c>
      <c r="P379" t="str">
        <f t="shared" si="1"/>
        <v/>
      </c>
      <c r="Q379" s="14" t="str">
        <f t="shared" si="2"/>
        <v/>
      </c>
      <c r="R379" s="15" t="str">
        <f>IFERROR(__xludf.DUMMYFUNCTION("IF($A379="""","""", IFERROR(PERCENTRANK.INC(FILTER(P:P,$E:$E&lt;&gt;""""),P379)*100,""""))"),"")</f>
        <v/>
      </c>
      <c r="S379" s="15" t="str">
        <f>IFERROR(__xludf.DUMMYFUNCTION("IF($A379="""","""",IFERROR(PERCENTRANK.INC(FILTER(Q:Q,$E:$E&lt;&gt;""""),Q379)*100,""""))"),"")</f>
        <v/>
      </c>
    </row>
    <row r="380">
      <c r="B380" t="str">
        <f t="array" ref="B380">IFERROR(INDEX('Player Raw Data'!C:C,Match($A380,'Player Raw Data'!$B:$B,0)),"")</f>
        <v/>
      </c>
      <c r="C380" t="str">
        <f t="array" ref="C380">IFERROR(INDEX('Player Raw Data'!D:D,Match($A380,'Player Raw Data'!$B:$B,0)),"")</f>
        <v/>
      </c>
      <c r="D380" t="str">
        <f t="array" ref="D380">IFERROR(IF(A380=A379, INDEX('Player Raw Data'!E:E,Match($A380,'Player Raw Data'!$B:$B,0)+2),INDEX('Player Raw Data'!E:E,Match($A380,'Player Raw Data'!$B:$B,0))),"")</f>
        <v/>
      </c>
      <c r="E380" s="27" t="str">
        <f>IFERROR(__xludf.DUMMYFUNCTION("IFERROR(ARRAY_CONSTRAIN(SPLIT(INDEX('Daily Raw Data'!G:G,Match($A380,'Daily Raw Data'!$B:$B,0)),"":""),1,1),"""")"),"")</f>
        <v/>
      </c>
      <c r="F380" t="str">
        <f t="array" ref="F380">IFERROR(INDEX('Daily Raw Data'!H:H,Match($A380,'Daily Raw Data'!$B:$B,0)),"")</f>
        <v/>
      </c>
      <c r="G380" t="str">
        <f t="array" ref="G380">IFERROR(INDEX('Daily Raw Data'!I:I,Match($A380,'Daily Raw Data'!$B:$B,0)),"")</f>
        <v/>
      </c>
      <c r="H380" t="str">
        <f t="array" ref="H380">IFERROR(INDEX('Daily Raw Data'!N:N,Match($A380,'Daily Raw Data'!$B:$B,0)),"")</f>
        <v/>
      </c>
      <c r="I380" t="str">
        <f t="array" ref="I380">IFERROR(INDEX('Daily Raw Data'!O:O,Match($A380,'Daily Raw Data'!$B:$B,0)),"")</f>
        <v/>
      </c>
      <c r="J380" t="str">
        <f t="array" ref="J380">IFERROR(INDEX('Daily Raw Data'!S:S,Match($A380,'Daily Raw Data'!$B:$B,0)),"")</f>
        <v/>
      </c>
      <c r="K380" t="str">
        <f t="array" ref="K380">IFERROR(INDEX('Daily Raw Data'!T:T,Match($A380,'Daily Raw Data'!$B:$B,0)),"")</f>
        <v/>
      </c>
      <c r="L380" t="str">
        <f t="array" ref="L380">IFERROR(INDEX('Daily Raw Data'!U:U,Match($A380,'Daily Raw Data'!$B:$B,0)),"")</f>
        <v/>
      </c>
      <c r="M380" t="str">
        <f t="array" ref="M380">IFERROR(INDEX('Daily Raw Data'!V:V,Match($A380,'Daily Raw Data'!$B:$B,0)),"")</f>
        <v/>
      </c>
      <c r="N380" t="str">
        <f t="array" ref="N380">IFERROR(INDEX('Daily Raw Data'!W:W,Match($A380,'Daily Raw Data'!$B:$B,0)),"")</f>
        <v/>
      </c>
      <c r="O380" t="str">
        <f t="array" ref="O380">IFERROR(INDEX('Daily Raw Data'!Y:Y,Match($A380,'Daily Raw Data'!$B:$B,0)),"")</f>
        <v/>
      </c>
      <c r="P380" t="str">
        <f t="shared" si="1"/>
        <v/>
      </c>
      <c r="Q380" s="14" t="str">
        <f t="shared" si="2"/>
        <v/>
      </c>
      <c r="R380" s="15" t="str">
        <f>IFERROR(__xludf.DUMMYFUNCTION("IF($A380="""","""", IFERROR(PERCENTRANK.INC(FILTER(P:P,$E:$E&lt;&gt;""""),P380)*100,""""))"),"")</f>
        <v/>
      </c>
      <c r="S380" s="15" t="str">
        <f>IFERROR(__xludf.DUMMYFUNCTION("IF($A380="""","""",IFERROR(PERCENTRANK.INC(FILTER(Q:Q,$E:$E&lt;&gt;""""),Q380)*100,""""))"),"")</f>
        <v/>
      </c>
    </row>
    <row r="381">
      <c r="B381" t="str">
        <f t="array" ref="B381">IFERROR(INDEX('Player Raw Data'!C:C,Match($A381,'Player Raw Data'!$B:$B,0)),"")</f>
        <v/>
      </c>
      <c r="C381" t="str">
        <f t="array" ref="C381">IFERROR(INDEX('Player Raw Data'!D:D,Match($A381,'Player Raw Data'!$B:$B,0)),"")</f>
        <v/>
      </c>
      <c r="D381" t="str">
        <f t="array" ref="D381">IFERROR(IF(A381=A380, INDEX('Player Raw Data'!E:E,Match($A381,'Player Raw Data'!$B:$B,0)+2),INDEX('Player Raw Data'!E:E,Match($A381,'Player Raw Data'!$B:$B,0))),"")</f>
        <v/>
      </c>
      <c r="E381" s="27" t="str">
        <f>IFERROR(__xludf.DUMMYFUNCTION("IFERROR(ARRAY_CONSTRAIN(SPLIT(INDEX('Daily Raw Data'!G:G,Match($A381,'Daily Raw Data'!$B:$B,0)),"":""),1,1),"""")"),"")</f>
        <v/>
      </c>
      <c r="F381" t="str">
        <f t="array" ref="F381">IFERROR(INDEX('Daily Raw Data'!H:H,Match($A381,'Daily Raw Data'!$B:$B,0)),"")</f>
        <v/>
      </c>
      <c r="G381" t="str">
        <f t="array" ref="G381">IFERROR(INDEX('Daily Raw Data'!I:I,Match($A381,'Daily Raw Data'!$B:$B,0)),"")</f>
        <v/>
      </c>
      <c r="H381" t="str">
        <f t="array" ref="H381">IFERROR(INDEX('Daily Raw Data'!N:N,Match($A381,'Daily Raw Data'!$B:$B,0)),"")</f>
        <v/>
      </c>
      <c r="I381" t="str">
        <f t="array" ref="I381">IFERROR(INDEX('Daily Raw Data'!O:O,Match($A381,'Daily Raw Data'!$B:$B,0)),"")</f>
        <v/>
      </c>
      <c r="J381" t="str">
        <f t="array" ref="J381">IFERROR(INDEX('Daily Raw Data'!S:S,Match($A381,'Daily Raw Data'!$B:$B,0)),"")</f>
        <v/>
      </c>
      <c r="K381" t="str">
        <f t="array" ref="K381">IFERROR(INDEX('Daily Raw Data'!T:T,Match($A381,'Daily Raw Data'!$B:$B,0)),"")</f>
        <v/>
      </c>
      <c r="L381" t="str">
        <f t="array" ref="L381">IFERROR(INDEX('Daily Raw Data'!U:U,Match($A381,'Daily Raw Data'!$B:$B,0)),"")</f>
        <v/>
      </c>
      <c r="M381" t="str">
        <f t="array" ref="M381">IFERROR(INDEX('Daily Raw Data'!V:V,Match($A381,'Daily Raw Data'!$B:$B,0)),"")</f>
        <v/>
      </c>
      <c r="N381" t="str">
        <f t="array" ref="N381">IFERROR(INDEX('Daily Raw Data'!W:W,Match($A381,'Daily Raw Data'!$B:$B,0)),"")</f>
        <v/>
      </c>
      <c r="O381" t="str">
        <f t="array" ref="O381">IFERROR(INDEX('Daily Raw Data'!Y:Y,Match($A381,'Daily Raw Data'!$B:$B,0)),"")</f>
        <v/>
      </c>
      <c r="P381" t="str">
        <f t="shared" si="1"/>
        <v/>
      </c>
      <c r="Q381" s="14" t="str">
        <f t="shared" si="2"/>
        <v/>
      </c>
      <c r="R381" s="15" t="str">
        <f>IFERROR(__xludf.DUMMYFUNCTION("IF($A381="""","""", IFERROR(PERCENTRANK.INC(FILTER(P:P,$E:$E&lt;&gt;""""),P381)*100,""""))"),"")</f>
        <v/>
      </c>
      <c r="S381" s="15" t="str">
        <f>IFERROR(__xludf.DUMMYFUNCTION("IF($A381="""","""",IFERROR(PERCENTRANK.INC(FILTER(Q:Q,$E:$E&lt;&gt;""""),Q381)*100,""""))"),"")</f>
        <v/>
      </c>
    </row>
    <row r="382">
      <c r="B382" t="str">
        <f t="array" ref="B382">IFERROR(INDEX('Player Raw Data'!C:C,Match($A382,'Player Raw Data'!$B:$B,0)),"")</f>
        <v/>
      </c>
      <c r="C382" t="str">
        <f t="array" ref="C382">IFERROR(INDEX('Player Raw Data'!D:D,Match($A382,'Player Raw Data'!$B:$B,0)),"")</f>
        <v/>
      </c>
      <c r="D382" t="str">
        <f t="array" ref="D382">IFERROR(IF(A382=A381, INDEX('Player Raw Data'!E:E,Match($A382,'Player Raw Data'!$B:$B,0)+2),INDEX('Player Raw Data'!E:E,Match($A382,'Player Raw Data'!$B:$B,0))),"")</f>
        <v/>
      </c>
      <c r="E382" s="27" t="str">
        <f>IFERROR(__xludf.DUMMYFUNCTION("IFERROR(ARRAY_CONSTRAIN(SPLIT(INDEX('Daily Raw Data'!G:G,Match($A382,'Daily Raw Data'!$B:$B,0)),"":""),1,1),"""")"),"")</f>
        <v/>
      </c>
      <c r="F382" t="str">
        <f t="array" ref="F382">IFERROR(INDEX('Daily Raw Data'!H:H,Match($A382,'Daily Raw Data'!$B:$B,0)),"")</f>
        <v/>
      </c>
      <c r="G382" t="str">
        <f t="array" ref="G382">IFERROR(INDEX('Daily Raw Data'!I:I,Match($A382,'Daily Raw Data'!$B:$B,0)),"")</f>
        <v/>
      </c>
      <c r="H382" t="str">
        <f t="array" ref="H382">IFERROR(INDEX('Daily Raw Data'!N:N,Match($A382,'Daily Raw Data'!$B:$B,0)),"")</f>
        <v/>
      </c>
      <c r="I382" t="str">
        <f t="array" ref="I382">IFERROR(INDEX('Daily Raw Data'!O:O,Match($A382,'Daily Raw Data'!$B:$B,0)),"")</f>
        <v/>
      </c>
      <c r="J382" t="str">
        <f t="array" ref="J382">IFERROR(INDEX('Daily Raw Data'!S:S,Match($A382,'Daily Raw Data'!$B:$B,0)),"")</f>
        <v/>
      </c>
      <c r="K382" t="str">
        <f t="array" ref="K382">IFERROR(INDEX('Daily Raw Data'!T:T,Match($A382,'Daily Raw Data'!$B:$B,0)),"")</f>
        <v/>
      </c>
      <c r="L382" t="str">
        <f t="array" ref="L382">IFERROR(INDEX('Daily Raw Data'!U:U,Match($A382,'Daily Raw Data'!$B:$B,0)),"")</f>
        <v/>
      </c>
      <c r="M382" t="str">
        <f t="array" ref="M382">IFERROR(INDEX('Daily Raw Data'!V:V,Match($A382,'Daily Raw Data'!$B:$B,0)),"")</f>
        <v/>
      </c>
      <c r="N382" t="str">
        <f t="array" ref="N382">IFERROR(INDEX('Daily Raw Data'!W:W,Match($A382,'Daily Raw Data'!$B:$B,0)),"")</f>
        <v/>
      </c>
      <c r="O382" t="str">
        <f t="array" ref="O382">IFERROR(INDEX('Daily Raw Data'!Y:Y,Match($A382,'Daily Raw Data'!$B:$B,0)),"")</f>
        <v/>
      </c>
      <c r="P382" t="str">
        <f t="shared" si="1"/>
        <v/>
      </c>
      <c r="Q382" s="14" t="str">
        <f t="shared" si="2"/>
        <v/>
      </c>
      <c r="R382" s="15" t="str">
        <f>IFERROR(__xludf.DUMMYFUNCTION("IF($A382="""","""", IFERROR(PERCENTRANK.INC(FILTER(P:P,$E:$E&lt;&gt;""""),P382)*100,""""))"),"")</f>
        <v/>
      </c>
      <c r="S382" s="15" t="str">
        <f>IFERROR(__xludf.DUMMYFUNCTION("IF($A382="""","""",IFERROR(PERCENTRANK.INC(FILTER(Q:Q,$E:$E&lt;&gt;""""),Q382)*100,""""))"),"")</f>
        <v/>
      </c>
    </row>
    <row r="383">
      <c r="B383" t="str">
        <f t="array" ref="B383">IFERROR(INDEX('Player Raw Data'!C:C,Match($A383,'Player Raw Data'!$B:$B,0)),"")</f>
        <v/>
      </c>
      <c r="C383" t="str">
        <f t="array" ref="C383">IFERROR(INDEX('Player Raw Data'!D:D,Match($A383,'Player Raw Data'!$B:$B,0)),"")</f>
        <v/>
      </c>
      <c r="D383" t="str">
        <f t="array" ref="D383">IFERROR(IF(A383=A382, INDEX('Player Raw Data'!E:E,Match($A383,'Player Raw Data'!$B:$B,0)+2),INDEX('Player Raw Data'!E:E,Match($A383,'Player Raw Data'!$B:$B,0))),"")</f>
        <v/>
      </c>
      <c r="E383" s="27" t="str">
        <f>IFERROR(__xludf.DUMMYFUNCTION("IFERROR(ARRAY_CONSTRAIN(SPLIT(INDEX('Daily Raw Data'!G:G,Match($A383,'Daily Raw Data'!$B:$B,0)),"":""),1,1),"""")"),"")</f>
        <v/>
      </c>
      <c r="F383" t="str">
        <f t="array" ref="F383">IFERROR(INDEX('Daily Raw Data'!H:H,Match($A383,'Daily Raw Data'!$B:$B,0)),"")</f>
        <v/>
      </c>
      <c r="G383" t="str">
        <f t="array" ref="G383">IFERROR(INDEX('Daily Raw Data'!I:I,Match($A383,'Daily Raw Data'!$B:$B,0)),"")</f>
        <v/>
      </c>
      <c r="H383" t="str">
        <f t="array" ref="H383">IFERROR(INDEX('Daily Raw Data'!N:N,Match($A383,'Daily Raw Data'!$B:$B,0)),"")</f>
        <v/>
      </c>
      <c r="I383" t="str">
        <f t="array" ref="I383">IFERROR(INDEX('Daily Raw Data'!O:O,Match($A383,'Daily Raw Data'!$B:$B,0)),"")</f>
        <v/>
      </c>
      <c r="J383" t="str">
        <f t="array" ref="J383">IFERROR(INDEX('Daily Raw Data'!S:S,Match($A383,'Daily Raw Data'!$B:$B,0)),"")</f>
        <v/>
      </c>
      <c r="K383" t="str">
        <f t="array" ref="K383">IFERROR(INDEX('Daily Raw Data'!T:T,Match($A383,'Daily Raw Data'!$B:$B,0)),"")</f>
        <v/>
      </c>
      <c r="L383" t="str">
        <f t="array" ref="L383">IFERROR(INDEX('Daily Raw Data'!U:U,Match($A383,'Daily Raw Data'!$B:$B,0)),"")</f>
        <v/>
      </c>
      <c r="M383" t="str">
        <f t="array" ref="M383">IFERROR(INDEX('Daily Raw Data'!V:V,Match($A383,'Daily Raw Data'!$B:$B,0)),"")</f>
        <v/>
      </c>
      <c r="N383" t="str">
        <f t="array" ref="N383">IFERROR(INDEX('Daily Raw Data'!W:W,Match($A383,'Daily Raw Data'!$B:$B,0)),"")</f>
        <v/>
      </c>
      <c r="O383" t="str">
        <f t="array" ref="O383">IFERROR(INDEX('Daily Raw Data'!Y:Y,Match($A383,'Daily Raw Data'!$B:$B,0)),"")</f>
        <v/>
      </c>
      <c r="P383" t="str">
        <f t="shared" si="1"/>
        <v/>
      </c>
      <c r="Q383" s="14" t="str">
        <f t="shared" si="2"/>
        <v/>
      </c>
      <c r="R383" s="15" t="str">
        <f>IFERROR(__xludf.DUMMYFUNCTION("IF($A383="""","""", IFERROR(PERCENTRANK.INC(FILTER(P:P,$E:$E&lt;&gt;""""),P383)*100,""""))"),"")</f>
        <v/>
      </c>
      <c r="S383" s="15" t="str">
        <f>IFERROR(__xludf.DUMMYFUNCTION("IF($A383="""","""",IFERROR(PERCENTRANK.INC(FILTER(Q:Q,$E:$E&lt;&gt;""""),Q383)*100,""""))"),"")</f>
        <v/>
      </c>
    </row>
    <row r="384">
      <c r="B384" t="str">
        <f t="array" ref="B384">IFERROR(INDEX('Player Raw Data'!C:C,Match($A384,'Player Raw Data'!$B:$B,0)),"")</f>
        <v/>
      </c>
      <c r="C384" t="str">
        <f t="array" ref="C384">IFERROR(INDEX('Player Raw Data'!D:D,Match($A384,'Player Raw Data'!$B:$B,0)),"")</f>
        <v/>
      </c>
      <c r="D384" t="str">
        <f t="array" ref="D384">IFERROR(IF(A384=A383, INDEX('Player Raw Data'!E:E,Match($A384,'Player Raw Data'!$B:$B,0)+2),INDEX('Player Raw Data'!E:E,Match($A384,'Player Raw Data'!$B:$B,0))),"")</f>
        <v/>
      </c>
      <c r="E384" s="27" t="str">
        <f>IFERROR(__xludf.DUMMYFUNCTION("IFERROR(ARRAY_CONSTRAIN(SPLIT(INDEX('Daily Raw Data'!G:G,Match($A384,'Daily Raw Data'!$B:$B,0)),"":""),1,1),"""")"),"")</f>
        <v/>
      </c>
      <c r="F384" t="str">
        <f t="array" ref="F384">IFERROR(INDEX('Daily Raw Data'!H:H,Match($A384,'Daily Raw Data'!$B:$B,0)),"")</f>
        <v/>
      </c>
      <c r="G384" t="str">
        <f t="array" ref="G384">IFERROR(INDEX('Daily Raw Data'!I:I,Match($A384,'Daily Raw Data'!$B:$B,0)),"")</f>
        <v/>
      </c>
      <c r="H384" t="str">
        <f t="array" ref="H384">IFERROR(INDEX('Daily Raw Data'!N:N,Match($A384,'Daily Raw Data'!$B:$B,0)),"")</f>
        <v/>
      </c>
      <c r="I384" t="str">
        <f t="array" ref="I384">IFERROR(INDEX('Daily Raw Data'!O:O,Match($A384,'Daily Raw Data'!$B:$B,0)),"")</f>
        <v/>
      </c>
      <c r="J384" t="str">
        <f t="array" ref="J384">IFERROR(INDEX('Daily Raw Data'!S:S,Match($A384,'Daily Raw Data'!$B:$B,0)),"")</f>
        <v/>
      </c>
      <c r="K384" t="str">
        <f t="array" ref="K384">IFERROR(INDEX('Daily Raw Data'!T:T,Match($A384,'Daily Raw Data'!$B:$B,0)),"")</f>
        <v/>
      </c>
      <c r="L384" t="str">
        <f t="array" ref="L384">IFERROR(INDEX('Daily Raw Data'!U:U,Match($A384,'Daily Raw Data'!$B:$B,0)),"")</f>
        <v/>
      </c>
      <c r="M384" t="str">
        <f t="array" ref="M384">IFERROR(INDEX('Daily Raw Data'!V:V,Match($A384,'Daily Raw Data'!$B:$B,0)),"")</f>
        <v/>
      </c>
      <c r="N384" t="str">
        <f t="array" ref="N384">IFERROR(INDEX('Daily Raw Data'!W:W,Match($A384,'Daily Raw Data'!$B:$B,0)),"")</f>
        <v/>
      </c>
      <c r="O384" t="str">
        <f t="array" ref="O384">IFERROR(INDEX('Daily Raw Data'!Y:Y,Match($A384,'Daily Raw Data'!$B:$B,0)),"")</f>
        <v/>
      </c>
      <c r="P384" t="str">
        <f t="shared" si="1"/>
        <v/>
      </c>
      <c r="Q384" s="14" t="str">
        <f t="shared" si="2"/>
        <v/>
      </c>
      <c r="R384" s="15" t="str">
        <f>IFERROR(__xludf.DUMMYFUNCTION("IF($A384="""","""", IFERROR(PERCENTRANK.INC(FILTER(P:P,$E:$E&lt;&gt;""""),P384)*100,""""))"),"")</f>
        <v/>
      </c>
      <c r="S384" s="15" t="str">
        <f>IFERROR(__xludf.DUMMYFUNCTION("IF($A384="""","""",IFERROR(PERCENTRANK.INC(FILTER(Q:Q,$E:$E&lt;&gt;""""),Q384)*100,""""))"),"")</f>
        <v/>
      </c>
    </row>
    <row r="385">
      <c r="B385" t="str">
        <f t="array" ref="B385">IFERROR(INDEX('Player Raw Data'!C:C,Match($A385,'Player Raw Data'!$B:$B,0)),"")</f>
        <v/>
      </c>
      <c r="C385" t="str">
        <f t="array" ref="C385">IFERROR(INDEX('Player Raw Data'!D:D,Match($A385,'Player Raw Data'!$B:$B,0)),"")</f>
        <v/>
      </c>
      <c r="D385" t="str">
        <f t="array" ref="D385">IFERROR(IF(A385=A384, INDEX('Player Raw Data'!E:E,Match($A385,'Player Raw Data'!$B:$B,0)+2),INDEX('Player Raw Data'!E:E,Match($A385,'Player Raw Data'!$B:$B,0))),"")</f>
        <v/>
      </c>
      <c r="E385" s="27" t="str">
        <f>IFERROR(__xludf.DUMMYFUNCTION("IFERROR(ARRAY_CONSTRAIN(SPLIT(INDEX('Daily Raw Data'!G:G,Match($A385,'Daily Raw Data'!$B:$B,0)),"":""),1,1),"""")"),"")</f>
        <v/>
      </c>
      <c r="F385" t="str">
        <f t="array" ref="F385">IFERROR(INDEX('Daily Raw Data'!H:H,Match($A385,'Daily Raw Data'!$B:$B,0)),"")</f>
        <v/>
      </c>
      <c r="G385" t="str">
        <f t="array" ref="G385">IFERROR(INDEX('Daily Raw Data'!I:I,Match($A385,'Daily Raw Data'!$B:$B,0)),"")</f>
        <v/>
      </c>
      <c r="H385" t="str">
        <f t="array" ref="H385">IFERROR(INDEX('Daily Raw Data'!N:N,Match($A385,'Daily Raw Data'!$B:$B,0)),"")</f>
        <v/>
      </c>
      <c r="I385" t="str">
        <f t="array" ref="I385">IFERROR(INDEX('Daily Raw Data'!O:O,Match($A385,'Daily Raw Data'!$B:$B,0)),"")</f>
        <v/>
      </c>
      <c r="J385" t="str">
        <f t="array" ref="J385">IFERROR(INDEX('Daily Raw Data'!S:S,Match($A385,'Daily Raw Data'!$B:$B,0)),"")</f>
        <v/>
      </c>
      <c r="K385" t="str">
        <f t="array" ref="K385">IFERROR(INDEX('Daily Raw Data'!T:T,Match($A385,'Daily Raw Data'!$B:$B,0)),"")</f>
        <v/>
      </c>
      <c r="L385" t="str">
        <f t="array" ref="L385">IFERROR(INDEX('Daily Raw Data'!U:U,Match($A385,'Daily Raw Data'!$B:$B,0)),"")</f>
        <v/>
      </c>
      <c r="M385" t="str">
        <f t="array" ref="M385">IFERROR(INDEX('Daily Raw Data'!V:V,Match($A385,'Daily Raw Data'!$B:$B,0)),"")</f>
        <v/>
      </c>
      <c r="N385" t="str">
        <f t="array" ref="N385">IFERROR(INDEX('Daily Raw Data'!W:W,Match($A385,'Daily Raw Data'!$B:$B,0)),"")</f>
        <v/>
      </c>
      <c r="O385" t="str">
        <f t="array" ref="O385">IFERROR(INDEX('Daily Raw Data'!Y:Y,Match($A385,'Daily Raw Data'!$B:$B,0)),"")</f>
        <v/>
      </c>
      <c r="P385" t="str">
        <f t="shared" si="1"/>
        <v/>
      </c>
      <c r="Q385" s="14" t="str">
        <f t="shared" si="2"/>
        <v/>
      </c>
      <c r="R385" s="15" t="str">
        <f>IFERROR(__xludf.DUMMYFUNCTION("IF($A385="""","""", IFERROR(PERCENTRANK.INC(FILTER(P:P,$E:$E&lt;&gt;""""),P385)*100,""""))"),"")</f>
        <v/>
      </c>
      <c r="S385" s="15" t="str">
        <f>IFERROR(__xludf.DUMMYFUNCTION("IF($A385="""","""",IFERROR(PERCENTRANK.INC(FILTER(Q:Q,$E:$E&lt;&gt;""""),Q385)*100,""""))"),"")</f>
        <v/>
      </c>
    </row>
    <row r="386">
      <c r="B386" t="str">
        <f t="array" ref="B386">IFERROR(INDEX('Player Raw Data'!C:C,Match($A386,'Player Raw Data'!$B:$B,0)),"")</f>
        <v/>
      </c>
      <c r="C386" t="str">
        <f t="array" ref="C386">IFERROR(INDEX('Player Raw Data'!D:D,Match($A386,'Player Raw Data'!$B:$B,0)),"")</f>
        <v/>
      </c>
      <c r="D386" t="str">
        <f t="array" ref="D386">IFERROR(IF(A386=A385, INDEX('Player Raw Data'!E:E,Match($A386,'Player Raw Data'!$B:$B,0)+2),INDEX('Player Raw Data'!E:E,Match($A386,'Player Raw Data'!$B:$B,0))),"")</f>
        <v/>
      </c>
      <c r="E386" s="27" t="str">
        <f>IFERROR(__xludf.DUMMYFUNCTION("IFERROR(ARRAY_CONSTRAIN(SPLIT(INDEX('Daily Raw Data'!G:G,Match($A386,'Daily Raw Data'!$B:$B,0)),"":""),1,1),"""")"),"")</f>
        <v/>
      </c>
      <c r="F386" t="str">
        <f t="array" ref="F386">IFERROR(INDEX('Daily Raw Data'!H:H,Match($A386,'Daily Raw Data'!$B:$B,0)),"")</f>
        <v/>
      </c>
      <c r="G386" t="str">
        <f t="array" ref="G386">IFERROR(INDEX('Daily Raw Data'!I:I,Match($A386,'Daily Raw Data'!$B:$B,0)),"")</f>
        <v/>
      </c>
      <c r="H386" t="str">
        <f t="array" ref="H386">IFERROR(INDEX('Daily Raw Data'!N:N,Match($A386,'Daily Raw Data'!$B:$B,0)),"")</f>
        <v/>
      </c>
      <c r="I386" t="str">
        <f t="array" ref="I386">IFERROR(INDEX('Daily Raw Data'!O:O,Match($A386,'Daily Raw Data'!$B:$B,0)),"")</f>
        <v/>
      </c>
      <c r="J386" t="str">
        <f t="array" ref="J386">IFERROR(INDEX('Daily Raw Data'!S:S,Match($A386,'Daily Raw Data'!$B:$B,0)),"")</f>
        <v/>
      </c>
      <c r="K386" t="str">
        <f t="array" ref="K386">IFERROR(INDEX('Daily Raw Data'!T:T,Match($A386,'Daily Raw Data'!$B:$B,0)),"")</f>
        <v/>
      </c>
      <c r="L386" t="str">
        <f t="array" ref="L386">IFERROR(INDEX('Daily Raw Data'!U:U,Match($A386,'Daily Raw Data'!$B:$B,0)),"")</f>
        <v/>
      </c>
      <c r="M386" t="str">
        <f t="array" ref="M386">IFERROR(INDEX('Daily Raw Data'!V:V,Match($A386,'Daily Raw Data'!$B:$B,0)),"")</f>
        <v/>
      </c>
      <c r="N386" t="str">
        <f t="array" ref="N386">IFERROR(INDEX('Daily Raw Data'!W:W,Match($A386,'Daily Raw Data'!$B:$B,0)),"")</f>
        <v/>
      </c>
      <c r="O386" t="str">
        <f t="array" ref="O386">IFERROR(INDEX('Daily Raw Data'!Y:Y,Match($A386,'Daily Raw Data'!$B:$B,0)),"")</f>
        <v/>
      </c>
      <c r="P386" t="str">
        <f t="shared" si="1"/>
        <v/>
      </c>
      <c r="Q386" s="14" t="str">
        <f t="shared" si="2"/>
        <v/>
      </c>
      <c r="R386" s="15" t="str">
        <f>IFERROR(__xludf.DUMMYFUNCTION("IF($A386="""","""", IFERROR(PERCENTRANK.INC(FILTER(P:P,$E:$E&lt;&gt;""""),P386)*100,""""))"),"")</f>
        <v/>
      </c>
      <c r="S386" s="15" t="str">
        <f>IFERROR(__xludf.DUMMYFUNCTION("IF($A386="""","""",IFERROR(PERCENTRANK.INC(FILTER(Q:Q,$E:$E&lt;&gt;""""),Q386)*100,""""))"),"")</f>
        <v/>
      </c>
    </row>
    <row r="387">
      <c r="B387" t="str">
        <f t="array" ref="B387">IFERROR(INDEX('Player Raw Data'!C:C,Match($A387,'Player Raw Data'!$B:$B,0)),"")</f>
        <v/>
      </c>
      <c r="C387" t="str">
        <f t="array" ref="C387">IFERROR(INDEX('Player Raw Data'!D:D,Match($A387,'Player Raw Data'!$B:$B,0)),"")</f>
        <v/>
      </c>
      <c r="D387" t="str">
        <f t="array" ref="D387">IFERROR(IF(A387=A386, INDEX('Player Raw Data'!E:E,Match($A387,'Player Raw Data'!$B:$B,0)+2),INDEX('Player Raw Data'!E:E,Match($A387,'Player Raw Data'!$B:$B,0))),"")</f>
        <v/>
      </c>
      <c r="E387" s="27" t="str">
        <f>IFERROR(__xludf.DUMMYFUNCTION("IFERROR(ARRAY_CONSTRAIN(SPLIT(INDEX('Daily Raw Data'!G:G,Match($A387,'Daily Raw Data'!$B:$B,0)),"":""),1,1),"""")"),"")</f>
        <v/>
      </c>
      <c r="F387" t="str">
        <f t="array" ref="F387">IFERROR(INDEX('Daily Raw Data'!H:H,Match($A387,'Daily Raw Data'!$B:$B,0)),"")</f>
        <v/>
      </c>
      <c r="G387" t="str">
        <f t="array" ref="G387">IFERROR(INDEX('Daily Raw Data'!I:I,Match($A387,'Daily Raw Data'!$B:$B,0)),"")</f>
        <v/>
      </c>
      <c r="H387" t="str">
        <f t="array" ref="H387">IFERROR(INDEX('Daily Raw Data'!N:N,Match($A387,'Daily Raw Data'!$B:$B,0)),"")</f>
        <v/>
      </c>
      <c r="I387" t="str">
        <f t="array" ref="I387">IFERROR(INDEX('Daily Raw Data'!O:O,Match($A387,'Daily Raw Data'!$B:$B,0)),"")</f>
        <v/>
      </c>
      <c r="J387" t="str">
        <f t="array" ref="J387">IFERROR(INDEX('Daily Raw Data'!S:S,Match($A387,'Daily Raw Data'!$B:$B,0)),"")</f>
        <v/>
      </c>
      <c r="K387" t="str">
        <f t="array" ref="K387">IFERROR(INDEX('Daily Raw Data'!T:T,Match($A387,'Daily Raw Data'!$B:$B,0)),"")</f>
        <v/>
      </c>
      <c r="L387" t="str">
        <f t="array" ref="L387">IFERROR(INDEX('Daily Raw Data'!U:U,Match($A387,'Daily Raw Data'!$B:$B,0)),"")</f>
        <v/>
      </c>
      <c r="M387" t="str">
        <f t="array" ref="M387">IFERROR(INDEX('Daily Raw Data'!V:V,Match($A387,'Daily Raw Data'!$B:$B,0)),"")</f>
        <v/>
      </c>
      <c r="N387" t="str">
        <f t="array" ref="N387">IFERROR(INDEX('Daily Raw Data'!W:W,Match($A387,'Daily Raw Data'!$B:$B,0)),"")</f>
        <v/>
      </c>
      <c r="O387" t="str">
        <f t="array" ref="O387">IFERROR(INDEX('Daily Raw Data'!Y:Y,Match($A387,'Daily Raw Data'!$B:$B,0)),"")</f>
        <v/>
      </c>
      <c r="P387" t="str">
        <f t="shared" si="1"/>
        <v/>
      </c>
      <c r="Q387" s="14" t="str">
        <f t="shared" si="2"/>
        <v/>
      </c>
      <c r="R387" s="15" t="str">
        <f>IFERROR(__xludf.DUMMYFUNCTION("IF($A387="""","""", IFERROR(PERCENTRANK.INC(FILTER(P:P,$E:$E&lt;&gt;""""),P387)*100,""""))"),"")</f>
        <v/>
      </c>
      <c r="S387" s="15" t="str">
        <f>IFERROR(__xludf.DUMMYFUNCTION("IF($A387="""","""",IFERROR(PERCENTRANK.INC(FILTER(Q:Q,$E:$E&lt;&gt;""""),Q387)*100,""""))"),"")</f>
        <v/>
      </c>
    </row>
    <row r="388">
      <c r="B388" t="str">
        <f t="array" ref="B388">IFERROR(INDEX('Player Raw Data'!C:C,Match($A388,'Player Raw Data'!$B:$B,0)),"")</f>
        <v/>
      </c>
      <c r="C388" t="str">
        <f t="array" ref="C388">IFERROR(INDEX('Player Raw Data'!D:D,Match($A388,'Player Raw Data'!$B:$B,0)),"")</f>
        <v/>
      </c>
      <c r="D388" t="str">
        <f t="array" ref="D388">IFERROR(IF(A388=A387, INDEX('Player Raw Data'!E:E,Match($A388,'Player Raw Data'!$B:$B,0)+2),INDEX('Player Raw Data'!E:E,Match($A388,'Player Raw Data'!$B:$B,0))),"")</f>
        <v/>
      </c>
      <c r="E388" s="27" t="str">
        <f>IFERROR(__xludf.DUMMYFUNCTION("IFERROR(ARRAY_CONSTRAIN(SPLIT(INDEX('Daily Raw Data'!G:G,Match($A388,'Daily Raw Data'!$B:$B,0)),"":""),1,1),"""")"),"")</f>
        <v/>
      </c>
      <c r="F388" t="str">
        <f t="array" ref="F388">IFERROR(INDEX('Daily Raw Data'!H:H,Match($A388,'Daily Raw Data'!$B:$B,0)),"")</f>
        <v/>
      </c>
      <c r="G388" t="str">
        <f t="array" ref="G388">IFERROR(INDEX('Daily Raw Data'!I:I,Match($A388,'Daily Raw Data'!$B:$B,0)),"")</f>
        <v/>
      </c>
      <c r="H388" t="str">
        <f t="array" ref="H388">IFERROR(INDEX('Daily Raw Data'!N:N,Match($A388,'Daily Raw Data'!$B:$B,0)),"")</f>
        <v/>
      </c>
      <c r="I388" t="str">
        <f t="array" ref="I388">IFERROR(INDEX('Daily Raw Data'!O:O,Match($A388,'Daily Raw Data'!$B:$B,0)),"")</f>
        <v/>
      </c>
      <c r="J388" t="str">
        <f t="array" ref="J388">IFERROR(INDEX('Daily Raw Data'!S:S,Match($A388,'Daily Raw Data'!$B:$B,0)),"")</f>
        <v/>
      </c>
      <c r="K388" t="str">
        <f t="array" ref="K388">IFERROR(INDEX('Daily Raw Data'!T:T,Match($A388,'Daily Raw Data'!$B:$B,0)),"")</f>
        <v/>
      </c>
      <c r="L388" t="str">
        <f t="array" ref="L388">IFERROR(INDEX('Daily Raw Data'!U:U,Match($A388,'Daily Raw Data'!$B:$B,0)),"")</f>
        <v/>
      </c>
      <c r="M388" t="str">
        <f t="array" ref="M388">IFERROR(INDEX('Daily Raw Data'!V:V,Match($A388,'Daily Raw Data'!$B:$B,0)),"")</f>
        <v/>
      </c>
      <c r="N388" t="str">
        <f t="array" ref="N388">IFERROR(INDEX('Daily Raw Data'!W:W,Match($A388,'Daily Raw Data'!$B:$B,0)),"")</f>
        <v/>
      </c>
      <c r="O388" t="str">
        <f t="array" ref="O388">IFERROR(INDEX('Daily Raw Data'!Y:Y,Match($A388,'Daily Raw Data'!$B:$B,0)),"")</f>
        <v/>
      </c>
      <c r="P388" t="str">
        <f t="shared" si="1"/>
        <v/>
      </c>
      <c r="Q388" s="14" t="str">
        <f t="shared" si="2"/>
        <v/>
      </c>
      <c r="R388" s="15" t="str">
        <f>IFERROR(__xludf.DUMMYFUNCTION("IF($A388="""","""", IFERROR(PERCENTRANK.INC(FILTER(P:P,$E:$E&lt;&gt;""""),P388)*100,""""))"),"")</f>
        <v/>
      </c>
      <c r="S388" s="15" t="str">
        <f>IFERROR(__xludf.DUMMYFUNCTION("IF($A388="""","""",IFERROR(PERCENTRANK.INC(FILTER(Q:Q,$E:$E&lt;&gt;""""),Q388)*100,""""))"),"")</f>
        <v/>
      </c>
    </row>
    <row r="389">
      <c r="B389" t="str">
        <f t="array" ref="B389">IFERROR(INDEX('Player Raw Data'!C:C,Match($A389,'Player Raw Data'!$B:$B,0)),"")</f>
        <v/>
      </c>
      <c r="C389" t="str">
        <f t="array" ref="C389">IFERROR(INDEX('Player Raw Data'!D:D,Match($A389,'Player Raw Data'!$B:$B,0)),"")</f>
        <v/>
      </c>
      <c r="D389" t="str">
        <f t="array" ref="D389">IFERROR(IF(A389=A388, INDEX('Player Raw Data'!E:E,Match($A389,'Player Raw Data'!$B:$B,0)+2),INDEX('Player Raw Data'!E:E,Match($A389,'Player Raw Data'!$B:$B,0))),"")</f>
        <v/>
      </c>
      <c r="E389" s="27" t="str">
        <f>IFERROR(__xludf.DUMMYFUNCTION("IFERROR(ARRAY_CONSTRAIN(SPLIT(INDEX('Daily Raw Data'!G:G,Match($A389,'Daily Raw Data'!$B:$B,0)),"":""),1,1),"""")"),"")</f>
        <v/>
      </c>
      <c r="F389" t="str">
        <f t="array" ref="F389">IFERROR(INDEX('Daily Raw Data'!H:H,Match($A389,'Daily Raw Data'!$B:$B,0)),"")</f>
        <v/>
      </c>
      <c r="G389" t="str">
        <f t="array" ref="G389">IFERROR(INDEX('Daily Raw Data'!I:I,Match($A389,'Daily Raw Data'!$B:$B,0)),"")</f>
        <v/>
      </c>
      <c r="H389" t="str">
        <f t="array" ref="H389">IFERROR(INDEX('Daily Raw Data'!N:N,Match($A389,'Daily Raw Data'!$B:$B,0)),"")</f>
        <v/>
      </c>
      <c r="I389" t="str">
        <f t="array" ref="I389">IFERROR(INDEX('Daily Raw Data'!O:O,Match($A389,'Daily Raw Data'!$B:$B,0)),"")</f>
        <v/>
      </c>
      <c r="J389" t="str">
        <f t="array" ref="J389">IFERROR(INDEX('Daily Raw Data'!S:S,Match($A389,'Daily Raw Data'!$B:$B,0)),"")</f>
        <v/>
      </c>
      <c r="K389" t="str">
        <f t="array" ref="K389">IFERROR(INDEX('Daily Raw Data'!T:T,Match($A389,'Daily Raw Data'!$B:$B,0)),"")</f>
        <v/>
      </c>
      <c r="L389" t="str">
        <f t="array" ref="L389">IFERROR(INDEX('Daily Raw Data'!U:U,Match($A389,'Daily Raw Data'!$B:$B,0)),"")</f>
        <v/>
      </c>
      <c r="M389" t="str">
        <f t="array" ref="M389">IFERROR(INDEX('Daily Raw Data'!V:V,Match($A389,'Daily Raw Data'!$B:$B,0)),"")</f>
        <v/>
      </c>
      <c r="N389" t="str">
        <f t="array" ref="N389">IFERROR(INDEX('Daily Raw Data'!W:W,Match($A389,'Daily Raw Data'!$B:$B,0)),"")</f>
        <v/>
      </c>
      <c r="O389" t="str">
        <f t="array" ref="O389">IFERROR(INDEX('Daily Raw Data'!Y:Y,Match($A389,'Daily Raw Data'!$B:$B,0)),"")</f>
        <v/>
      </c>
      <c r="P389" t="str">
        <f t="shared" si="1"/>
        <v/>
      </c>
      <c r="Q389" s="14" t="str">
        <f t="shared" si="2"/>
        <v/>
      </c>
      <c r="R389" s="15" t="str">
        <f>IFERROR(__xludf.DUMMYFUNCTION("IF($A389="""","""", IFERROR(PERCENTRANK.INC(FILTER(P:P,$E:$E&lt;&gt;""""),P389)*100,""""))"),"")</f>
        <v/>
      </c>
      <c r="S389" s="15" t="str">
        <f>IFERROR(__xludf.DUMMYFUNCTION("IF($A389="""","""",IFERROR(PERCENTRANK.INC(FILTER(Q:Q,$E:$E&lt;&gt;""""),Q389)*100,""""))"),"")</f>
        <v/>
      </c>
    </row>
    <row r="390">
      <c r="B390" t="str">
        <f t="array" ref="B390">IFERROR(INDEX('Player Raw Data'!C:C,Match($A390,'Player Raw Data'!$B:$B,0)),"")</f>
        <v/>
      </c>
      <c r="C390" t="str">
        <f t="array" ref="C390">IFERROR(INDEX('Player Raw Data'!D:D,Match($A390,'Player Raw Data'!$B:$B,0)),"")</f>
        <v/>
      </c>
      <c r="D390" t="str">
        <f t="array" ref="D390">IFERROR(IF(A390=A389, INDEX('Player Raw Data'!E:E,Match($A390,'Player Raw Data'!$B:$B,0)+2),INDEX('Player Raw Data'!E:E,Match($A390,'Player Raw Data'!$B:$B,0))),"")</f>
        <v/>
      </c>
      <c r="E390" s="27" t="str">
        <f>IFERROR(__xludf.DUMMYFUNCTION("IFERROR(ARRAY_CONSTRAIN(SPLIT(INDEX('Daily Raw Data'!G:G,Match($A390,'Daily Raw Data'!$B:$B,0)),"":""),1,1),"""")"),"")</f>
        <v/>
      </c>
      <c r="F390" t="str">
        <f t="array" ref="F390">IFERROR(INDEX('Daily Raw Data'!H:H,Match($A390,'Daily Raw Data'!$B:$B,0)),"")</f>
        <v/>
      </c>
      <c r="G390" t="str">
        <f t="array" ref="G390">IFERROR(INDEX('Daily Raw Data'!I:I,Match($A390,'Daily Raw Data'!$B:$B,0)),"")</f>
        <v/>
      </c>
      <c r="H390" t="str">
        <f t="array" ref="H390">IFERROR(INDEX('Daily Raw Data'!N:N,Match($A390,'Daily Raw Data'!$B:$B,0)),"")</f>
        <v/>
      </c>
      <c r="I390" t="str">
        <f t="array" ref="I390">IFERROR(INDEX('Daily Raw Data'!O:O,Match($A390,'Daily Raw Data'!$B:$B,0)),"")</f>
        <v/>
      </c>
      <c r="J390" t="str">
        <f t="array" ref="J390">IFERROR(INDEX('Daily Raw Data'!S:S,Match($A390,'Daily Raw Data'!$B:$B,0)),"")</f>
        <v/>
      </c>
      <c r="K390" t="str">
        <f t="array" ref="K390">IFERROR(INDEX('Daily Raw Data'!T:T,Match($A390,'Daily Raw Data'!$B:$B,0)),"")</f>
        <v/>
      </c>
      <c r="L390" t="str">
        <f t="array" ref="L390">IFERROR(INDEX('Daily Raw Data'!U:U,Match($A390,'Daily Raw Data'!$B:$B,0)),"")</f>
        <v/>
      </c>
      <c r="M390" t="str">
        <f t="array" ref="M390">IFERROR(INDEX('Daily Raw Data'!V:V,Match($A390,'Daily Raw Data'!$B:$B,0)),"")</f>
        <v/>
      </c>
      <c r="N390" t="str">
        <f t="array" ref="N390">IFERROR(INDEX('Daily Raw Data'!W:W,Match($A390,'Daily Raw Data'!$B:$B,0)),"")</f>
        <v/>
      </c>
      <c r="O390" t="str">
        <f t="array" ref="O390">IFERROR(INDEX('Daily Raw Data'!Y:Y,Match($A390,'Daily Raw Data'!$B:$B,0)),"")</f>
        <v/>
      </c>
      <c r="P390" t="str">
        <f t="shared" si="1"/>
        <v/>
      </c>
      <c r="Q390" s="14" t="str">
        <f t="shared" si="2"/>
        <v/>
      </c>
      <c r="R390" s="15" t="str">
        <f>IFERROR(__xludf.DUMMYFUNCTION("IF($A390="""","""", IFERROR(PERCENTRANK.INC(FILTER(P:P,$E:$E&lt;&gt;""""),P390)*100,""""))"),"")</f>
        <v/>
      </c>
      <c r="S390" s="15" t="str">
        <f>IFERROR(__xludf.DUMMYFUNCTION("IF($A390="""","""",IFERROR(PERCENTRANK.INC(FILTER(Q:Q,$E:$E&lt;&gt;""""),Q390)*100,""""))"),"")</f>
        <v/>
      </c>
    </row>
    <row r="391">
      <c r="B391" t="str">
        <f t="array" ref="B391">IFERROR(INDEX('Player Raw Data'!C:C,Match($A391,'Player Raw Data'!$B:$B,0)),"")</f>
        <v/>
      </c>
      <c r="C391" t="str">
        <f t="array" ref="C391">IFERROR(INDEX('Player Raw Data'!D:D,Match($A391,'Player Raw Data'!$B:$B,0)),"")</f>
        <v/>
      </c>
      <c r="D391" t="str">
        <f t="array" ref="D391">IFERROR(IF(A391=A390, INDEX('Player Raw Data'!E:E,Match($A391,'Player Raw Data'!$B:$B,0)+2),INDEX('Player Raw Data'!E:E,Match($A391,'Player Raw Data'!$B:$B,0))),"")</f>
        <v/>
      </c>
      <c r="E391" s="27" t="str">
        <f>IFERROR(__xludf.DUMMYFUNCTION("IFERROR(ARRAY_CONSTRAIN(SPLIT(INDEX('Daily Raw Data'!G:G,Match($A391,'Daily Raw Data'!$B:$B,0)),"":""),1,1),"""")"),"")</f>
        <v/>
      </c>
      <c r="F391" t="str">
        <f t="array" ref="F391">IFERROR(INDEX('Daily Raw Data'!H:H,Match($A391,'Daily Raw Data'!$B:$B,0)),"")</f>
        <v/>
      </c>
      <c r="G391" t="str">
        <f t="array" ref="G391">IFERROR(INDEX('Daily Raw Data'!I:I,Match($A391,'Daily Raw Data'!$B:$B,0)),"")</f>
        <v/>
      </c>
      <c r="H391" t="str">
        <f t="array" ref="H391">IFERROR(INDEX('Daily Raw Data'!N:N,Match($A391,'Daily Raw Data'!$B:$B,0)),"")</f>
        <v/>
      </c>
      <c r="I391" t="str">
        <f t="array" ref="I391">IFERROR(INDEX('Daily Raw Data'!O:O,Match($A391,'Daily Raw Data'!$B:$B,0)),"")</f>
        <v/>
      </c>
      <c r="J391" t="str">
        <f t="array" ref="J391">IFERROR(INDEX('Daily Raw Data'!S:S,Match($A391,'Daily Raw Data'!$B:$B,0)),"")</f>
        <v/>
      </c>
      <c r="K391" t="str">
        <f t="array" ref="K391">IFERROR(INDEX('Daily Raw Data'!T:T,Match($A391,'Daily Raw Data'!$B:$B,0)),"")</f>
        <v/>
      </c>
      <c r="L391" t="str">
        <f t="array" ref="L391">IFERROR(INDEX('Daily Raw Data'!U:U,Match($A391,'Daily Raw Data'!$B:$B,0)),"")</f>
        <v/>
      </c>
      <c r="M391" t="str">
        <f t="array" ref="M391">IFERROR(INDEX('Daily Raw Data'!V:V,Match($A391,'Daily Raw Data'!$B:$B,0)),"")</f>
        <v/>
      </c>
      <c r="N391" t="str">
        <f t="array" ref="N391">IFERROR(INDEX('Daily Raw Data'!W:W,Match($A391,'Daily Raw Data'!$B:$B,0)),"")</f>
        <v/>
      </c>
      <c r="O391" t="str">
        <f t="array" ref="O391">IFERROR(INDEX('Daily Raw Data'!Y:Y,Match($A391,'Daily Raw Data'!$B:$B,0)),"")</f>
        <v/>
      </c>
      <c r="P391" t="str">
        <f t="shared" si="1"/>
        <v/>
      </c>
      <c r="Q391" s="14" t="str">
        <f t="shared" si="2"/>
        <v/>
      </c>
      <c r="R391" s="15" t="str">
        <f>IFERROR(__xludf.DUMMYFUNCTION("IF($A391="""","""", IFERROR(PERCENTRANK.INC(FILTER(P:P,$E:$E&lt;&gt;""""),P391)*100,""""))"),"")</f>
        <v/>
      </c>
      <c r="S391" s="15" t="str">
        <f>IFERROR(__xludf.DUMMYFUNCTION("IF($A391="""","""",IFERROR(PERCENTRANK.INC(FILTER(Q:Q,$E:$E&lt;&gt;""""),Q391)*100,""""))"),"")</f>
        <v/>
      </c>
    </row>
    <row r="392">
      <c r="B392" t="str">
        <f t="array" ref="B392">IFERROR(INDEX('Player Raw Data'!C:C,Match($A392,'Player Raw Data'!$B:$B,0)),"")</f>
        <v/>
      </c>
      <c r="C392" t="str">
        <f t="array" ref="C392">IFERROR(INDEX('Player Raw Data'!D:D,Match($A392,'Player Raw Data'!$B:$B,0)),"")</f>
        <v/>
      </c>
      <c r="D392" t="str">
        <f t="array" ref="D392">IFERROR(IF(A392=A391, INDEX('Player Raw Data'!E:E,Match($A392,'Player Raw Data'!$B:$B,0)+2),INDEX('Player Raw Data'!E:E,Match($A392,'Player Raw Data'!$B:$B,0))),"")</f>
        <v/>
      </c>
      <c r="E392" s="27" t="str">
        <f>IFERROR(__xludf.DUMMYFUNCTION("IFERROR(ARRAY_CONSTRAIN(SPLIT(INDEX('Daily Raw Data'!G:G,Match($A392,'Daily Raw Data'!$B:$B,0)),"":""),1,1),"""")"),"")</f>
        <v/>
      </c>
      <c r="F392" t="str">
        <f t="array" ref="F392">IFERROR(INDEX('Daily Raw Data'!H:H,Match($A392,'Daily Raw Data'!$B:$B,0)),"")</f>
        <v/>
      </c>
      <c r="G392" t="str">
        <f t="array" ref="G392">IFERROR(INDEX('Daily Raw Data'!I:I,Match($A392,'Daily Raw Data'!$B:$B,0)),"")</f>
        <v/>
      </c>
      <c r="H392" t="str">
        <f t="array" ref="H392">IFERROR(INDEX('Daily Raw Data'!N:N,Match($A392,'Daily Raw Data'!$B:$B,0)),"")</f>
        <v/>
      </c>
      <c r="I392" t="str">
        <f t="array" ref="I392">IFERROR(INDEX('Daily Raw Data'!O:O,Match($A392,'Daily Raw Data'!$B:$B,0)),"")</f>
        <v/>
      </c>
      <c r="J392" t="str">
        <f t="array" ref="J392">IFERROR(INDEX('Daily Raw Data'!S:S,Match($A392,'Daily Raw Data'!$B:$B,0)),"")</f>
        <v/>
      </c>
      <c r="K392" t="str">
        <f t="array" ref="K392">IFERROR(INDEX('Daily Raw Data'!T:T,Match($A392,'Daily Raw Data'!$B:$B,0)),"")</f>
        <v/>
      </c>
      <c r="L392" t="str">
        <f t="array" ref="L392">IFERROR(INDEX('Daily Raw Data'!U:U,Match($A392,'Daily Raw Data'!$B:$B,0)),"")</f>
        <v/>
      </c>
      <c r="M392" t="str">
        <f t="array" ref="M392">IFERROR(INDEX('Daily Raw Data'!V:V,Match($A392,'Daily Raw Data'!$B:$B,0)),"")</f>
        <v/>
      </c>
      <c r="N392" t="str">
        <f t="array" ref="N392">IFERROR(INDEX('Daily Raw Data'!W:W,Match($A392,'Daily Raw Data'!$B:$B,0)),"")</f>
        <v/>
      </c>
      <c r="O392" t="str">
        <f t="array" ref="O392">IFERROR(INDEX('Daily Raw Data'!Y:Y,Match($A392,'Daily Raw Data'!$B:$B,0)),"")</f>
        <v/>
      </c>
      <c r="P392" t="str">
        <f t="shared" si="1"/>
        <v/>
      </c>
      <c r="Q392" s="14" t="str">
        <f t="shared" si="2"/>
        <v/>
      </c>
      <c r="R392" s="15" t="str">
        <f>IFERROR(__xludf.DUMMYFUNCTION("IF($A392="""","""", IFERROR(PERCENTRANK.INC(FILTER(P:P,$E:$E&lt;&gt;""""),P392)*100,""""))"),"")</f>
        <v/>
      </c>
      <c r="S392" s="15" t="str">
        <f>IFERROR(__xludf.DUMMYFUNCTION("IF($A392="""","""",IFERROR(PERCENTRANK.INC(FILTER(Q:Q,$E:$E&lt;&gt;""""),Q392)*100,""""))"),"")</f>
        <v/>
      </c>
    </row>
    <row r="393">
      <c r="B393" t="str">
        <f t="array" ref="B393">IFERROR(INDEX('Player Raw Data'!C:C,Match($A393,'Player Raw Data'!$B:$B,0)),"")</f>
        <v/>
      </c>
      <c r="C393" t="str">
        <f t="array" ref="C393">IFERROR(INDEX('Player Raw Data'!D:D,Match($A393,'Player Raw Data'!$B:$B,0)),"")</f>
        <v/>
      </c>
      <c r="D393" t="str">
        <f t="array" ref="D393">IFERROR(IF(A393=A392, INDEX('Player Raw Data'!E:E,Match($A393,'Player Raw Data'!$B:$B,0)+2),INDEX('Player Raw Data'!E:E,Match($A393,'Player Raw Data'!$B:$B,0))),"")</f>
        <v/>
      </c>
      <c r="E393" s="27" t="str">
        <f>IFERROR(__xludf.DUMMYFUNCTION("IFERROR(ARRAY_CONSTRAIN(SPLIT(INDEX('Daily Raw Data'!G:G,Match($A393,'Daily Raw Data'!$B:$B,0)),"":""),1,1),"""")"),"")</f>
        <v/>
      </c>
      <c r="F393" t="str">
        <f t="array" ref="F393">IFERROR(INDEX('Daily Raw Data'!H:H,Match($A393,'Daily Raw Data'!$B:$B,0)),"")</f>
        <v/>
      </c>
      <c r="G393" t="str">
        <f t="array" ref="G393">IFERROR(INDEX('Daily Raw Data'!I:I,Match($A393,'Daily Raw Data'!$B:$B,0)),"")</f>
        <v/>
      </c>
      <c r="H393" t="str">
        <f t="array" ref="H393">IFERROR(INDEX('Daily Raw Data'!N:N,Match($A393,'Daily Raw Data'!$B:$B,0)),"")</f>
        <v/>
      </c>
      <c r="I393" t="str">
        <f t="array" ref="I393">IFERROR(INDEX('Daily Raw Data'!O:O,Match($A393,'Daily Raw Data'!$B:$B,0)),"")</f>
        <v/>
      </c>
      <c r="J393" t="str">
        <f t="array" ref="J393">IFERROR(INDEX('Daily Raw Data'!S:S,Match($A393,'Daily Raw Data'!$B:$B,0)),"")</f>
        <v/>
      </c>
      <c r="K393" t="str">
        <f t="array" ref="K393">IFERROR(INDEX('Daily Raw Data'!T:T,Match($A393,'Daily Raw Data'!$B:$B,0)),"")</f>
        <v/>
      </c>
      <c r="L393" t="str">
        <f t="array" ref="L393">IFERROR(INDEX('Daily Raw Data'!U:U,Match($A393,'Daily Raw Data'!$B:$B,0)),"")</f>
        <v/>
      </c>
      <c r="M393" t="str">
        <f t="array" ref="M393">IFERROR(INDEX('Daily Raw Data'!V:V,Match($A393,'Daily Raw Data'!$B:$B,0)),"")</f>
        <v/>
      </c>
      <c r="N393" t="str">
        <f t="array" ref="N393">IFERROR(INDEX('Daily Raw Data'!W:W,Match($A393,'Daily Raw Data'!$B:$B,0)),"")</f>
        <v/>
      </c>
      <c r="O393" t="str">
        <f t="array" ref="O393">IFERROR(INDEX('Daily Raw Data'!Y:Y,Match($A393,'Daily Raw Data'!$B:$B,0)),"")</f>
        <v/>
      </c>
      <c r="P393" t="str">
        <f t="shared" si="1"/>
        <v/>
      </c>
      <c r="Q393" s="14" t="str">
        <f t="shared" si="2"/>
        <v/>
      </c>
      <c r="R393" s="15" t="str">
        <f>IFERROR(__xludf.DUMMYFUNCTION("IF($A393="""","""", IFERROR(PERCENTRANK.INC(FILTER(P:P,$E:$E&lt;&gt;""""),P393)*100,""""))"),"")</f>
        <v/>
      </c>
      <c r="S393" s="15" t="str">
        <f>IFERROR(__xludf.DUMMYFUNCTION("IF($A393="""","""",IFERROR(PERCENTRANK.INC(FILTER(Q:Q,$E:$E&lt;&gt;""""),Q393)*100,""""))"),"")</f>
        <v/>
      </c>
    </row>
    <row r="394">
      <c r="B394" t="str">
        <f t="array" ref="B394">IFERROR(INDEX('Player Raw Data'!C:C,Match($A394,'Player Raw Data'!$B:$B,0)),"")</f>
        <v/>
      </c>
      <c r="C394" t="str">
        <f t="array" ref="C394">IFERROR(INDEX('Player Raw Data'!D:D,Match($A394,'Player Raw Data'!$B:$B,0)),"")</f>
        <v/>
      </c>
      <c r="D394" t="str">
        <f t="array" ref="D394">IFERROR(IF(A394=A393, INDEX('Player Raw Data'!E:E,Match($A394,'Player Raw Data'!$B:$B,0)+2),INDEX('Player Raw Data'!E:E,Match($A394,'Player Raw Data'!$B:$B,0))),"")</f>
        <v/>
      </c>
      <c r="E394" s="27" t="str">
        <f>IFERROR(__xludf.DUMMYFUNCTION("IFERROR(ARRAY_CONSTRAIN(SPLIT(INDEX('Daily Raw Data'!G:G,Match($A394,'Daily Raw Data'!$B:$B,0)),"":""),1,1),"""")"),"")</f>
        <v/>
      </c>
      <c r="F394" t="str">
        <f t="array" ref="F394">IFERROR(INDEX('Daily Raw Data'!H:H,Match($A394,'Daily Raw Data'!$B:$B,0)),"")</f>
        <v/>
      </c>
      <c r="G394" t="str">
        <f t="array" ref="G394">IFERROR(INDEX('Daily Raw Data'!I:I,Match($A394,'Daily Raw Data'!$B:$B,0)),"")</f>
        <v/>
      </c>
      <c r="H394" t="str">
        <f t="array" ref="H394">IFERROR(INDEX('Daily Raw Data'!N:N,Match($A394,'Daily Raw Data'!$B:$B,0)),"")</f>
        <v/>
      </c>
      <c r="I394" t="str">
        <f t="array" ref="I394">IFERROR(INDEX('Daily Raw Data'!O:O,Match($A394,'Daily Raw Data'!$B:$B,0)),"")</f>
        <v/>
      </c>
      <c r="J394" t="str">
        <f t="array" ref="J394">IFERROR(INDEX('Daily Raw Data'!S:S,Match($A394,'Daily Raw Data'!$B:$B,0)),"")</f>
        <v/>
      </c>
      <c r="K394" t="str">
        <f t="array" ref="K394">IFERROR(INDEX('Daily Raw Data'!T:T,Match($A394,'Daily Raw Data'!$B:$B,0)),"")</f>
        <v/>
      </c>
      <c r="L394" t="str">
        <f t="array" ref="L394">IFERROR(INDEX('Daily Raw Data'!U:U,Match($A394,'Daily Raw Data'!$B:$B,0)),"")</f>
        <v/>
      </c>
      <c r="M394" t="str">
        <f t="array" ref="M394">IFERROR(INDEX('Daily Raw Data'!V:V,Match($A394,'Daily Raw Data'!$B:$B,0)),"")</f>
        <v/>
      </c>
      <c r="N394" t="str">
        <f t="array" ref="N394">IFERROR(INDEX('Daily Raw Data'!W:W,Match($A394,'Daily Raw Data'!$B:$B,0)),"")</f>
        <v/>
      </c>
      <c r="O394" t="str">
        <f t="array" ref="O394">IFERROR(INDEX('Daily Raw Data'!Y:Y,Match($A394,'Daily Raw Data'!$B:$B,0)),"")</f>
        <v/>
      </c>
      <c r="P394" t="str">
        <f t="shared" si="1"/>
        <v/>
      </c>
      <c r="Q394" s="14" t="str">
        <f t="shared" si="2"/>
        <v/>
      </c>
      <c r="R394" s="15" t="str">
        <f>IFERROR(__xludf.DUMMYFUNCTION("IF($A394="""","""", IFERROR(PERCENTRANK.INC(FILTER(P:P,$E:$E&lt;&gt;""""),P394)*100,""""))"),"")</f>
        <v/>
      </c>
      <c r="S394" s="15" t="str">
        <f>IFERROR(__xludf.DUMMYFUNCTION("IF($A394="""","""",IFERROR(PERCENTRANK.INC(FILTER(Q:Q,$E:$E&lt;&gt;""""),Q394)*100,""""))"),"")</f>
        <v/>
      </c>
    </row>
    <row r="395">
      <c r="B395" t="str">
        <f t="array" ref="B395">IFERROR(INDEX('Player Raw Data'!C:C,Match($A395,'Player Raw Data'!$B:$B,0)),"")</f>
        <v/>
      </c>
      <c r="C395" t="str">
        <f t="array" ref="C395">IFERROR(INDEX('Player Raw Data'!D:D,Match($A395,'Player Raw Data'!$B:$B,0)),"")</f>
        <v/>
      </c>
      <c r="D395" t="str">
        <f t="array" ref="D395">IFERROR(IF(A395=A394, INDEX('Player Raw Data'!E:E,Match($A395,'Player Raw Data'!$B:$B,0)+2),INDEX('Player Raw Data'!E:E,Match($A395,'Player Raw Data'!$B:$B,0))),"")</f>
        <v/>
      </c>
      <c r="E395" s="27" t="str">
        <f>IFERROR(__xludf.DUMMYFUNCTION("IFERROR(ARRAY_CONSTRAIN(SPLIT(INDEX('Daily Raw Data'!G:G,Match($A395,'Daily Raw Data'!$B:$B,0)),"":""),1,1),"""")"),"")</f>
        <v/>
      </c>
      <c r="F395" t="str">
        <f t="array" ref="F395">IFERROR(INDEX('Daily Raw Data'!H:H,Match($A395,'Daily Raw Data'!$B:$B,0)),"")</f>
        <v/>
      </c>
      <c r="G395" t="str">
        <f t="array" ref="G395">IFERROR(INDEX('Daily Raw Data'!I:I,Match($A395,'Daily Raw Data'!$B:$B,0)),"")</f>
        <v/>
      </c>
      <c r="H395" t="str">
        <f t="array" ref="H395">IFERROR(INDEX('Daily Raw Data'!N:N,Match($A395,'Daily Raw Data'!$B:$B,0)),"")</f>
        <v/>
      </c>
      <c r="I395" t="str">
        <f t="array" ref="I395">IFERROR(INDEX('Daily Raw Data'!O:O,Match($A395,'Daily Raw Data'!$B:$B,0)),"")</f>
        <v/>
      </c>
      <c r="J395" t="str">
        <f t="array" ref="J395">IFERROR(INDEX('Daily Raw Data'!S:S,Match($A395,'Daily Raw Data'!$B:$B,0)),"")</f>
        <v/>
      </c>
      <c r="K395" t="str">
        <f t="array" ref="K395">IFERROR(INDEX('Daily Raw Data'!T:T,Match($A395,'Daily Raw Data'!$B:$B,0)),"")</f>
        <v/>
      </c>
      <c r="L395" t="str">
        <f t="array" ref="L395">IFERROR(INDEX('Daily Raw Data'!U:U,Match($A395,'Daily Raw Data'!$B:$B,0)),"")</f>
        <v/>
      </c>
      <c r="M395" t="str">
        <f t="array" ref="M395">IFERROR(INDEX('Daily Raw Data'!V:V,Match($A395,'Daily Raw Data'!$B:$B,0)),"")</f>
        <v/>
      </c>
      <c r="N395" t="str">
        <f t="array" ref="N395">IFERROR(INDEX('Daily Raw Data'!W:W,Match($A395,'Daily Raw Data'!$B:$B,0)),"")</f>
        <v/>
      </c>
      <c r="O395" t="str">
        <f t="array" ref="O395">IFERROR(INDEX('Daily Raw Data'!Y:Y,Match($A395,'Daily Raw Data'!$B:$B,0)),"")</f>
        <v/>
      </c>
      <c r="P395" t="str">
        <f t="shared" si="1"/>
        <v/>
      </c>
      <c r="Q395" s="14" t="str">
        <f t="shared" si="2"/>
        <v/>
      </c>
      <c r="R395" s="15" t="str">
        <f>IFERROR(__xludf.DUMMYFUNCTION("IF($A395="""","""", IFERROR(PERCENTRANK.INC(FILTER(P:P,$E:$E&lt;&gt;""""),P395)*100,""""))"),"")</f>
        <v/>
      </c>
      <c r="S395" s="15" t="str">
        <f>IFERROR(__xludf.DUMMYFUNCTION("IF($A395="""","""",IFERROR(PERCENTRANK.INC(FILTER(Q:Q,$E:$E&lt;&gt;""""),Q395)*100,""""))"),"")</f>
        <v/>
      </c>
    </row>
    <row r="396">
      <c r="B396" t="str">
        <f t="array" ref="B396">IFERROR(INDEX('Player Raw Data'!C:C,Match($A396,'Player Raw Data'!$B:$B,0)),"")</f>
        <v/>
      </c>
      <c r="C396" t="str">
        <f t="array" ref="C396">IFERROR(INDEX('Player Raw Data'!D:D,Match($A396,'Player Raw Data'!$B:$B,0)),"")</f>
        <v/>
      </c>
      <c r="D396" t="str">
        <f t="array" ref="D396">IFERROR(IF(A396=A395, INDEX('Player Raw Data'!E:E,Match($A396,'Player Raw Data'!$B:$B,0)+2),INDEX('Player Raw Data'!E:E,Match($A396,'Player Raw Data'!$B:$B,0))),"")</f>
        <v/>
      </c>
      <c r="E396" s="27" t="str">
        <f>IFERROR(__xludf.DUMMYFUNCTION("IFERROR(ARRAY_CONSTRAIN(SPLIT(INDEX('Daily Raw Data'!G:G,Match($A396,'Daily Raw Data'!$B:$B,0)),"":""),1,1),"""")"),"")</f>
        <v/>
      </c>
      <c r="F396" t="str">
        <f t="array" ref="F396">IFERROR(INDEX('Daily Raw Data'!H:H,Match($A396,'Daily Raw Data'!$B:$B,0)),"")</f>
        <v/>
      </c>
      <c r="G396" t="str">
        <f t="array" ref="G396">IFERROR(INDEX('Daily Raw Data'!I:I,Match($A396,'Daily Raw Data'!$B:$B,0)),"")</f>
        <v/>
      </c>
      <c r="H396" t="str">
        <f t="array" ref="H396">IFERROR(INDEX('Daily Raw Data'!N:N,Match($A396,'Daily Raw Data'!$B:$B,0)),"")</f>
        <v/>
      </c>
      <c r="I396" t="str">
        <f t="array" ref="I396">IFERROR(INDEX('Daily Raw Data'!O:O,Match($A396,'Daily Raw Data'!$B:$B,0)),"")</f>
        <v/>
      </c>
      <c r="J396" t="str">
        <f t="array" ref="J396">IFERROR(INDEX('Daily Raw Data'!S:S,Match($A396,'Daily Raw Data'!$B:$B,0)),"")</f>
        <v/>
      </c>
      <c r="K396" t="str">
        <f t="array" ref="K396">IFERROR(INDEX('Daily Raw Data'!T:T,Match($A396,'Daily Raw Data'!$B:$B,0)),"")</f>
        <v/>
      </c>
      <c r="L396" t="str">
        <f t="array" ref="L396">IFERROR(INDEX('Daily Raw Data'!U:U,Match($A396,'Daily Raw Data'!$B:$B,0)),"")</f>
        <v/>
      </c>
      <c r="M396" t="str">
        <f t="array" ref="M396">IFERROR(INDEX('Daily Raw Data'!V:V,Match($A396,'Daily Raw Data'!$B:$B,0)),"")</f>
        <v/>
      </c>
      <c r="N396" t="str">
        <f t="array" ref="N396">IFERROR(INDEX('Daily Raw Data'!W:W,Match($A396,'Daily Raw Data'!$B:$B,0)),"")</f>
        <v/>
      </c>
      <c r="O396" t="str">
        <f t="array" ref="O396">IFERROR(INDEX('Daily Raw Data'!Y:Y,Match($A396,'Daily Raw Data'!$B:$B,0)),"")</f>
        <v/>
      </c>
      <c r="P396" t="str">
        <f t="shared" si="1"/>
        <v/>
      </c>
      <c r="Q396" s="14" t="str">
        <f t="shared" si="2"/>
        <v/>
      </c>
      <c r="R396" s="15" t="str">
        <f>IFERROR(__xludf.DUMMYFUNCTION("IF($A396="""","""", IFERROR(PERCENTRANK.INC(FILTER(P:P,$E:$E&lt;&gt;""""),P396)*100,""""))"),"")</f>
        <v/>
      </c>
      <c r="S396" s="15" t="str">
        <f>IFERROR(__xludf.DUMMYFUNCTION("IF($A396="""","""",IFERROR(PERCENTRANK.INC(FILTER(Q:Q,$E:$E&lt;&gt;""""),Q396)*100,""""))"),"")</f>
        <v/>
      </c>
    </row>
    <row r="397">
      <c r="B397" t="str">
        <f t="array" ref="B397">IFERROR(INDEX('Player Raw Data'!C:C,Match($A397,'Player Raw Data'!$B:$B,0)),"")</f>
        <v/>
      </c>
      <c r="C397" t="str">
        <f t="array" ref="C397">IFERROR(INDEX('Player Raw Data'!D:D,Match($A397,'Player Raw Data'!$B:$B,0)),"")</f>
        <v/>
      </c>
      <c r="D397" t="str">
        <f t="array" ref="D397">IFERROR(IF(A397=A396, INDEX('Player Raw Data'!E:E,Match($A397,'Player Raw Data'!$B:$B,0)+2),INDEX('Player Raw Data'!E:E,Match($A397,'Player Raw Data'!$B:$B,0))),"")</f>
        <v/>
      </c>
      <c r="E397" s="27" t="str">
        <f>IFERROR(__xludf.DUMMYFUNCTION("IFERROR(ARRAY_CONSTRAIN(SPLIT(INDEX('Daily Raw Data'!G:G,Match($A397,'Daily Raw Data'!$B:$B,0)),"":""),1,1),"""")"),"")</f>
        <v/>
      </c>
      <c r="F397" t="str">
        <f t="array" ref="F397">IFERROR(INDEX('Daily Raw Data'!H:H,Match($A397,'Daily Raw Data'!$B:$B,0)),"")</f>
        <v/>
      </c>
      <c r="G397" t="str">
        <f t="array" ref="G397">IFERROR(INDEX('Daily Raw Data'!I:I,Match($A397,'Daily Raw Data'!$B:$B,0)),"")</f>
        <v/>
      </c>
      <c r="H397" t="str">
        <f t="array" ref="H397">IFERROR(INDEX('Daily Raw Data'!N:N,Match($A397,'Daily Raw Data'!$B:$B,0)),"")</f>
        <v/>
      </c>
      <c r="I397" t="str">
        <f t="array" ref="I397">IFERROR(INDEX('Daily Raw Data'!O:O,Match($A397,'Daily Raw Data'!$B:$B,0)),"")</f>
        <v/>
      </c>
      <c r="J397" t="str">
        <f t="array" ref="J397">IFERROR(INDEX('Daily Raw Data'!S:S,Match($A397,'Daily Raw Data'!$B:$B,0)),"")</f>
        <v/>
      </c>
      <c r="K397" t="str">
        <f t="array" ref="K397">IFERROR(INDEX('Daily Raw Data'!T:T,Match($A397,'Daily Raw Data'!$B:$B,0)),"")</f>
        <v/>
      </c>
      <c r="L397" t="str">
        <f t="array" ref="L397">IFERROR(INDEX('Daily Raw Data'!U:U,Match($A397,'Daily Raw Data'!$B:$B,0)),"")</f>
        <v/>
      </c>
      <c r="M397" t="str">
        <f t="array" ref="M397">IFERROR(INDEX('Daily Raw Data'!V:V,Match($A397,'Daily Raw Data'!$B:$B,0)),"")</f>
        <v/>
      </c>
      <c r="N397" t="str">
        <f t="array" ref="N397">IFERROR(INDEX('Daily Raw Data'!W:W,Match($A397,'Daily Raw Data'!$B:$B,0)),"")</f>
        <v/>
      </c>
      <c r="O397" t="str">
        <f t="array" ref="O397">IFERROR(INDEX('Daily Raw Data'!Y:Y,Match($A397,'Daily Raw Data'!$B:$B,0)),"")</f>
        <v/>
      </c>
      <c r="P397" t="str">
        <f t="shared" si="1"/>
        <v/>
      </c>
      <c r="Q397" s="14" t="str">
        <f t="shared" si="2"/>
        <v/>
      </c>
      <c r="R397" s="15" t="str">
        <f>IFERROR(__xludf.DUMMYFUNCTION("IF($A397="""","""", IFERROR(PERCENTRANK.INC(FILTER(P:P,$E:$E&lt;&gt;""""),P397)*100,""""))"),"")</f>
        <v/>
      </c>
      <c r="S397" s="15" t="str">
        <f>IFERROR(__xludf.DUMMYFUNCTION("IF($A397="""","""",IFERROR(PERCENTRANK.INC(FILTER(Q:Q,$E:$E&lt;&gt;""""),Q397)*100,""""))"),"")</f>
        <v/>
      </c>
    </row>
    <row r="398">
      <c r="B398" t="str">
        <f t="array" ref="B398">IFERROR(INDEX('Player Raw Data'!C:C,Match($A398,'Player Raw Data'!$B:$B,0)),"")</f>
        <v/>
      </c>
      <c r="C398" t="str">
        <f t="array" ref="C398">IFERROR(INDEX('Player Raw Data'!D:D,Match($A398,'Player Raw Data'!$B:$B,0)),"")</f>
        <v/>
      </c>
      <c r="D398" t="str">
        <f t="array" ref="D398">IFERROR(IF(A398=A397, INDEX('Player Raw Data'!E:E,Match($A398,'Player Raw Data'!$B:$B,0)+2),INDEX('Player Raw Data'!E:E,Match($A398,'Player Raw Data'!$B:$B,0))),"")</f>
        <v/>
      </c>
      <c r="E398" s="27" t="str">
        <f>IFERROR(__xludf.DUMMYFUNCTION("IFERROR(ARRAY_CONSTRAIN(SPLIT(INDEX('Daily Raw Data'!G:G,Match($A398,'Daily Raw Data'!$B:$B,0)),"":""),1,1),"""")"),"")</f>
        <v/>
      </c>
      <c r="F398" t="str">
        <f t="array" ref="F398">IFERROR(INDEX('Daily Raw Data'!H:H,Match($A398,'Daily Raw Data'!$B:$B,0)),"")</f>
        <v/>
      </c>
      <c r="G398" t="str">
        <f t="array" ref="G398">IFERROR(INDEX('Daily Raw Data'!I:I,Match($A398,'Daily Raw Data'!$B:$B,0)),"")</f>
        <v/>
      </c>
      <c r="H398" t="str">
        <f t="array" ref="H398">IFERROR(INDEX('Daily Raw Data'!N:N,Match($A398,'Daily Raw Data'!$B:$B,0)),"")</f>
        <v/>
      </c>
      <c r="I398" t="str">
        <f t="array" ref="I398">IFERROR(INDEX('Daily Raw Data'!O:O,Match($A398,'Daily Raw Data'!$B:$B,0)),"")</f>
        <v/>
      </c>
      <c r="J398" t="str">
        <f t="array" ref="J398">IFERROR(INDEX('Daily Raw Data'!S:S,Match($A398,'Daily Raw Data'!$B:$B,0)),"")</f>
        <v/>
      </c>
      <c r="K398" t="str">
        <f t="array" ref="K398">IFERROR(INDEX('Daily Raw Data'!T:T,Match($A398,'Daily Raw Data'!$B:$B,0)),"")</f>
        <v/>
      </c>
      <c r="L398" t="str">
        <f t="array" ref="L398">IFERROR(INDEX('Daily Raw Data'!U:U,Match($A398,'Daily Raw Data'!$B:$B,0)),"")</f>
        <v/>
      </c>
      <c r="M398" t="str">
        <f t="array" ref="M398">IFERROR(INDEX('Daily Raw Data'!V:V,Match($A398,'Daily Raw Data'!$B:$B,0)),"")</f>
        <v/>
      </c>
      <c r="N398" t="str">
        <f t="array" ref="N398">IFERROR(INDEX('Daily Raw Data'!W:W,Match($A398,'Daily Raw Data'!$B:$B,0)),"")</f>
        <v/>
      </c>
      <c r="O398" t="str">
        <f t="array" ref="O398">IFERROR(INDEX('Daily Raw Data'!Y:Y,Match($A398,'Daily Raw Data'!$B:$B,0)),"")</f>
        <v/>
      </c>
      <c r="P398" t="str">
        <f t="shared" si="1"/>
        <v/>
      </c>
      <c r="Q398" s="14" t="str">
        <f t="shared" si="2"/>
        <v/>
      </c>
      <c r="R398" s="15" t="str">
        <f>IFERROR(__xludf.DUMMYFUNCTION("IF($A398="""","""", IFERROR(PERCENTRANK.INC(FILTER(P:P,$E:$E&lt;&gt;""""),P398)*100,""""))"),"")</f>
        <v/>
      </c>
      <c r="S398" s="15" t="str">
        <f>IFERROR(__xludf.DUMMYFUNCTION("IF($A398="""","""",IFERROR(PERCENTRANK.INC(FILTER(Q:Q,$E:$E&lt;&gt;""""),Q398)*100,""""))"),"")</f>
        <v/>
      </c>
    </row>
    <row r="399">
      <c r="B399" t="str">
        <f t="array" ref="B399">IFERROR(INDEX('Player Raw Data'!C:C,Match($A399,'Player Raw Data'!$B:$B,0)),"")</f>
        <v/>
      </c>
      <c r="C399" t="str">
        <f t="array" ref="C399">IFERROR(INDEX('Player Raw Data'!D:D,Match($A399,'Player Raw Data'!$B:$B,0)),"")</f>
        <v/>
      </c>
      <c r="D399" t="str">
        <f t="array" ref="D399">IFERROR(IF(A399=A398, INDEX('Player Raw Data'!E:E,Match($A399,'Player Raw Data'!$B:$B,0)+2),INDEX('Player Raw Data'!E:E,Match($A399,'Player Raw Data'!$B:$B,0))),"")</f>
        <v/>
      </c>
      <c r="E399" s="27" t="str">
        <f>IFERROR(__xludf.DUMMYFUNCTION("IFERROR(ARRAY_CONSTRAIN(SPLIT(INDEX('Daily Raw Data'!G:G,Match($A399,'Daily Raw Data'!$B:$B,0)),"":""),1,1),"""")"),"")</f>
        <v/>
      </c>
      <c r="F399" t="str">
        <f t="array" ref="F399">IFERROR(INDEX('Daily Raw Data'!H:H,Match($A399,'Daily Raw Data'!$B:$B,0)),"")</f>
        <v/>
      </c>
      <c r="G399" t="str">
        <f t="array" ref="G399">IFERROR(INDEX('Daily Raw Data'!I:I,Match($A399,'Daily Raw Data'!$B:$B,0)),"")</f>
        <v/>
      </c>
      <c r="H399" t="str">
        <f t="array" ref="H399">IFERROR(INDEX('Daily Raw Data'!N:N,Match($A399,'Daily Raw Data'!$B:$B,0)),"")</f>
        <v/>
      </c>
      <c r="I399" t="str">
        <f t="array" ref="I399">IFERROR(INDEX('Daily Raw Data'!O:O,Match($A399,'Daily Raw Data'!$B:$B,0)),"")</f>
        <v/>
      </c>
      <c r="J399" t="str">
        <f t="array" ref="J399">IFERROR(INDEX('Daily Raw Data'!S:S,Match($A399,'Daily Raw Data'!$B:$B,0)),"")</f>
        <v/>
      </c>
      <c r="K399" t="str">
        <f t="array" ref="K399">IFERROR(INDEX('Daily Raw Data'!T:T,Match($A399,'Daily Raw Data'!$B:$B,0)),"")</f>
        <v/>
      </c>
      <c r="L399" t="str">
        <f t="array" ref="L399">IFERROR(INDEX('Daily Raw Data'!U:U,Match($A399,'Daily Raw Data'!$B:$B,0)),"")</f>
        <v/>
      </c>
      <c r="M399" t="str">
        <f t="array" ref="M399">IFERROR(INDEX('Daily Raw Data'!V:V,Match($A399,'Daily Raw Data'!$B:$B,0)),"")</f>
        <v/>
      </c>
      <c r="N399" t="str">
        <f t="array" ref="N399">IFERROR(INDEX('Daily Raw Data'!W:W,Match($A399,'Daily Raw Data'!$B:$B,0)),"")</f>
        <v/>
      </c>
      <c r="O399" t="str">
        <f t="array" ref="O399">IFERROR(INDEX('Daily Raw Data'!Y:Y,Match($A399,'Daily Raw Data'!$B:$B,0)),"")</f>
        <v/>
      </c>
      <c r="P399" t="str">
        <f t="shared" si="1"/>
        <v/>
      </c>
      <c r="Q399" s="14" t="str">
        <f t="shared" si="2"/>
        <v/>
      </c>
      <c r="R399" s="15" t="str">
        <f>IFERROR(__xludf.DUMMYFUNCTION("IF($A399="""","""", IFERROR(PERCENTRANK.INC(FILTER(P:P,$E:$E&lt;&gt;""""),P399)*100,""""))"),"")</f>
        <v/>
      </c>
      <c r="S399" s="15" t="str">
        <f>IFERROR(__xludf.DUMMYFUNCTION("IF($A399="""","""",IFERROR(PERCENTRANK.INC(FILTER(Q:Q,$E:$E&lt;&gt;""""),Q399)*100,""""))"),"")</f>
        <v/>
      </c>
    </row>
    <row r="400">
      <c r="B400" t="str">
        <f t="array" ref="B400">IFERROR(INDEX('Player Raw Data'!C:C,Match($A400,'Player Raw Data'!$B:$B,0)),"")</f>
        <v/>
      </c>
      <c r="C400" t="str">
        <f t="array" ref="C400">IFERROR(INDEX('Player Raw Data'!D:D,Match($A400,'Player Raw Data'!$B:$B,0)),"")</f>
        <v/>
      </c>
      <c r="D400" t="str">
        <f t="array" ref="D400">IFERROR(IF(A400=A399, INDEX('Player Raw Data'!E:E,Match($A400,'Player Raw Data'!$B:$B,0)+2),INDEX('Player Raw Data'!E:E,Match($A400,'Player Raw Data'!$B:$B,0))),"")</f>
        <v/>
      </c>
      <c r="E400" s="27" t="str">
        <f>IFERROR(__xludf.DUMMYFUNCTION("IFERROR(ARRAY_CONSTRAIN(SPLIT(INDEX('Daily Raw Data'!G:G,Match($A400,'Daily Raw Data'!$B:$B,0)),"":""),1,1),"""")"),"")</f>
        <v/>
      </c>
      <c r="F400" t="str">
        <f t="array" ref="F400">IFERROR(INDEX('Daily Raw Data'!H:H,Match($A400,'Daily Raw Data'!$B:$B,0)),"")</f>
        <v/>
      </c>
      <c r="G400" t="str">
        <f t="array" ref="G400">IFERROR(INDEX('Daily Raw Data'!I:I,Match($A400,'Daily Raw Data'!$B:$B,0)),"")</f>
        <v/>
      </c>
      <c r="H400" t="str">
        <f t="array" ref="H400">IFERROR(INDEX('Daily Raw Data'!N:N,Match($A400,'Daily Raw Data'!$B:$B,0)),"")</f>
        <v/>
      </c>
      <c r="I400" t="str">
        <f t="array" ref="I400">IFERROR(INDEX('Daily Raw Data'!O:O,Match($A400,'Daily Raw Data'!$B:$B,0)),"")</f>
        <v/>
      </c>
      <c r="J400" t="str">
        <f t="array" ref="J400">IFERROR(INDEX('Daily Raw Data'!S:S,Match($A400,'Daily Raw Data'!$B:$B,0)),"")</f>
        <v/>
      </c>
      <c r="K400" t="str">
        <f t="array" ref="K400">IFERROR(INDEX('Daily Raw Data'!T:T,Match($A400,'Daily Raw Data'!$B:$B,0)),"")</f>
        <v/>
      </c>
      <c r="L400" t="str">
        <f t="array" ref="L400">IFERROR(INDEX('Daily Raw Data'!U:U,Match($A400,'Daily Raw Data'!$B:$B,0)),"")</f>
        <v/>
      </c>
      <c r="M400" t="str">
        <f t="array" ref="M400">IFERROR(INDEX('Daily Raw Data'!V:V,Match($A400,'Daily Raw Data'!$B:$B,0)),"")</f>
        <v/>
      </c>
      <c r="N400" t="str">
        <f t="array" ref="N400">IFERROR(INDEX('Daily Raw Data'!W:W,Match($A400,'Daily Raw Data'!$B:$B,0)),"")</f>
        <v/>
      </c>
      <c r="O400" t="str">
        <f t="array" ref="O400">IFERROR(INDEX('Daily Raw Data'!Y:Y,Match($A400,'Daily Raw Data'!$B:$B,0)),"")</f>
        <v/>
      </c>
      <c r="P400" t="str">
        <f t="shared" si="1"/>
        <v/>
      </c>
      <c r="Q400" s="14" t="str">
        <f t="shared" si="2"/>
        <v/>
      </c>
      <c r="R400" s="15" t="str">
        <f>IFERROR(__xludf.DUMMYFUNCTION("IF($A400="""","""", IFERROR(PERCENTRANK.INC(FILTER(P:P,$E:$E&lt;&gt;""""),P400)*100,""""))"),"")</f>
        <v/>
      </c>
      <c r="S400" s="15" t="str">
        <f>IFERROR(__xludf.DUMMYFUNCTION("IF($A400="""","""",IFERROR(PERCENTRANK.INC(FILTER(Q:Q,$E:$E&lt;&gt;""""),Q400)*100,""""))"),"")</f>
        <v/>
      </c>
    </row>
    <row r="401">
      <c r="B401" t="str">
        <f t="array" ref="B401">IFERROR(INDEX('Player Raw Data'!C:C,Match($A401,'Player Raw Data'!$B:$B,0)),"")</f>
        <v/>
      </c>
      <c r="C401" t="str">
        <f t="array" ref="C401">IFERROR(INDEX('Player Raw Data'!D:D,Match($A401,'Player Raw Data'!$B:$B,0)),"")</f>
        <v/>
      </c>
      <c r="D401" t="str">
        <f t="array" ref="D401">IFERROR(IF(A401=A400, INDEX('Player Raw Data'!E:E,Match($A401,'Player Raw Data'!$B:$B,0)+2),INDEX('Player Raw Data'!E:E,Match($A401,'Player Raw Data'!$B:$B,0))),"")</f>
        <v/>
      </c>
      <c r="E401" s="27" t="str">
        <f>IFERROR(__xludf.DUMMYFUNCTION("IFERROR(ARRAY_CONSTRAIN(SPLIT(INDEX('Daily Raw Data'!G:G,Match($A401,'Daily Raw Data'!$B:$B,0)),"":""),1,1),"""")"),"")</f>
        <v/>
      </c>
      <c r="F401" t="str">
        <f t="array" ref="F401">IFERROR(INDEX('Daily Raw Data'!H:H,Match($A401,'Daily Raw Data'!$B:$B,0)),"")</f>
        <v/>
      </c>
      <c r="G401" t="str">
        <f t="array" ref="G401">IFERROR(INDEX('Daily Raw Data'!I:I,Match($A401,'Daily Raw Data'!$B:$B,0)),"")</f>
        <v/>
      </c>
      <c r="H401" t="str">
        <f t="array" ref="H401">IFERROR(INDEX('Daily Raw Data'!N:N,Match($A401,'Daily Raw Data'!$B:$B,0)),"")</f>
        <v/>
      </c>
      <c r="I401" t="str">
        <f t="array" ref="I401">IFERROR(INDEX('Daily Raw Data'!O:O,Match($A401,'Daily Raw Data'!$B:$B,0)),"")</f>
        <v/>
      </c>
      <c r="J401" t="str">
        <f t="array" ref="J401">IFERROR(INDEX('Daily Raw Data'!S:S,Match($A401,'Daily Raw Data'!$B:$B,0)),"")</f>
        <v/>
      </c>
      <c r="K401" t="str">
        <f t="array" ref="K401">IFERROR(INDEX('Daily Raw Data'!T:T,Match($A401,'Daily Raw Data'!$B:$B,0)),"")</f>
        <v/>
      </c>
      <c r="L401" t="str">
        <f t="array" ref="L401">IFERROR(INDEX('Daily Raw Data'!U:U,Match($A401,'Daily Raw Data'!$B:$B,0)),"")</f>
        <v/>
      </c>
      <c r="M401" t="str">
        <f t="array" ref="M401">IFERROR(INDEX('Daily Raw Data'!V:V,Match($A401,'Daily Raw Data'!$B:$B,0)),"")</f>
        <v/>
      </c>
      <c r="N401" t="str">
        <f t="array" ref="N401">IFERROR(INDEX('Daily Raw Data'!W:W,Match($A401,'Daily Raw Data'!$B:$B,0)),"")</f>
        <v/>
      </c>
      <c r="O401" t="str">
        <f t="array" ref="O401">IFERROR(INDEX('Daily Raw Data'!Y:Y,Match($A401,'Daily Raw Data'!$B:$B,0)),"")</f>
        <v/>
      </c>
      <c r="P401" t="str">
        <f t="shared" si="1"/>
        <v/>
      </c>
      <c r="Q401" s="14" t="str">
        <f t="shared" si="2"/>
        <v/>
      </c>
      <c r="R401" s="15" t="str">
        <f>IFERROR(__xludf.DUMMYFUNCTION("IF($A401="""","""", IFERROR(PERCENTRANK.INC(FILTER(P:P,$E:$E&lt;&gt;""""),P401)*100,""""))"),"")</f>
        <v/>
      </c>
      <c r="S401" s="15" t="str">
        <f>IFERROR(__xludf.DUMMYFUNCTION("IF($A401="""","""",IFERROR(PERCENTRANK.INC(FILTER(Q:Q,$E:$E&lt;&gt;""""),Q401)*100,""""))"),"")</f>
        <v/>
      </c>
    </row>
    <row r="402">
      <c r="B402" t="str">
        <f t="array" ref="B402">IFERROR(INDEX('Player Raw Data'!C:C,Match($A402,'Player Raw Data'!$B:$B,0)),"")</f>
        <v/>
      </c>
      <c r="C402" t="str">
        <f t="array" ref="C402">IFERROR(INDEX('Player Raw Data'!D:D,Match($A402,'Player Raw Data'!$B:$B,0)),"")</f>
        <v/>
      </c>
      <c r="D402" t="str">
        <f t="array" ref="D402">IFERROR(IF(A402=A401, INDEX('Player Raw Data'!E:E,Match($A402,'Player Raw Data'!$B:$B,0)+2),INDEX('Player Raw Data'!E:E,Match($A402,'Player Raw Data'!$B:$B,0))),"")</f>
        <v/>
      </c>
      <c r="E402" s="27" t="str">
        <f>IFERROR(__xludf.DUMMYFUNCTION("IFERROR(ARRAY_CONSTRAIN(SPLIT(INDEX('Daily Raw Data'!G:G,Match($A402,'Daily Raw Data'!$B:$B,0)),"":""),1,1),"""")"),"")</f>
        <v/>
      </c>
      <c r="F402" t="str">
        <f t="array" ref="F402">IFERROR(INDEX('Daily Raw Data'!H:H,Match($A402,'Daily Raw Data'!$B:$B,0)),"")</f>
        <v/>
      </c>
      <c r="G402" t="str">
        <f t="array" ref="G402">IFERROR(INDEX('Daily Raw Data'!I:I,Match($A402,'Daily Raw Data'!$B:$B,0)),"")</f>
        <v/>
      </c>
      <c r="H402" t="str">
        <f t="array" ref="H402">IFERROR(INDEX('Daily Raw Data'!N:N,Match($A402,'Daily Raw Data'!$B:$B,0)),"")</f>
        <v/>
      </c>
      <c r="I402" t="str">
        <f t="array" ref="I402">IFERROR(INDEX('Daily Raw Data'!O:O,Match($A402,'Daily Raw Data'!$B:$B,0)),"")</f>
        <v/>
      </c>
      <c r="J402" t="str">
        <f t="array" ref="J402">IFERROR(INDEX('Daily Raw Data'!S:S,Match($A402,'Daily Raw Data'!$B:$B,0)),"")</f>
        <v/>
      </c>
      <c r="K402" t="str">
        <f t="array" ref="K402">IFERROR(INDEX('Daily Raw Data'!T:T,Match($A402,'Daily Raw Data'!$B:$B,0)),"")</f>
        <v/>
      </c>
      <c r="L402" t="str">
        <f t="array" ref="L402">IFERROR(INDEX('Daily Raw Data'!U:U,Match($A402,'Daily Raw Data'!$B:$B,0)),"")</f>
        <v/>
      </c>
      <c r="M402" t="str">
        <f t="array" ref="M402">IFERROR(INDEX('Daily Raw Data'!V:V,Match($A402,'Daily Raw Data'!$B:$B,0)),"")</f>
        <v/>
      </c>
      <c r="N402" t="str">
        <f t="array" ref="N402">IFERROR(INDEX('Daily Raw Data'!W:W,Match($A402,'Daily Raw Data'!$B:$B,0)),"")</f>
        <v/>
      </c>
      <c r="O402" t="str">
        <f t="array" ref="O402">IFERROR(INDEX('Daily Raw Data'!Y:Y,Match($A402,'Daily Raw Data'!$B:$B,0)),"")</f>
        <v/>
      </c>
      <c r="P402" t="str">
        <f t="shared" si="1"/>
        <v/>
      </c>
      <c r="Q402" s="14" t="str">
        <f t="shared" si="2"/>
        <v/>
      </c>
      <c r="R402" s="15" t="str">
        <f>IFERROR(__xludf.DUMMYFUNCTION("IF($A402="""","""", IFERROR(PERCENTRANK.INC(FILTER(P:P,$E:$E&lt;&gt;""""),P402)*100,""""))"),"")</f>
        <v/>
      </c>
      <c r="S402" s="15" t="str">
        <f>IFERROR(__xludf.DUMMYFUNCTION("IF($A402="""","""",IFERROR(PERCENTRANK.INC(FILTER(Q:Q,$E:$E&lt;&gt;""""),Q402)*100,""""))"),"")</f>
        <v/>
      </c>
    </row>
    <row r="403">
      <c r="B403" t="str">
        <f t="array" ref="B403">IFERROR(INDEX('Player Raw Data'!C:C,Match($A403,'Player Raw Data'!$B:$B,0)),"")</f>
        <v/>
      </c>
      <c r="C403" t="str">
        <f t="array" ref="C403">IFERROR(INDEX('Player Raw Data'!D:D,Match($A403,'Player Raw Data'!$B:$B,0)),"")</f>
        <v/>
      </c>
      <c r="D403" t="str">
        <f t="array" ref="D403">IFERROR(IF(A403=A402, INDEX('Player Raw Data'!E:E,Match($A403,'Player Raw Data'!$B:$B,0)+2),INDEX('Player Raw Data'!E:E,Match($A403,'Player Raw Data'!$B:$B,0))),"")</f>
        <v/>
      </c>
      <c r="E403" s="27" t="str">
        <f>IFERROR(__xludf.DUMMYFUNCTION("IFERROR(ARRAY_CONSTRAIN(SPLIT(INDEX('Daily Raw Data'!G:G,Match($A403,'Daily Raw Data'!$B:$B,0)),"":""),1,1),"""")"),"")</f>
        <v/>
      </c>
      <c r="F403" t="str">
        <f t="array" ref="F403">IFERROR(INDEX('Daily Raw Data'!H:H,Match($A403,'Daily Raw Data'!$B:$B,0)),"")</f>
        <v/>
      </c>
      <c r="G403" t="str">
        <f t="array" ref="G403">IFERROR(INDEX('Daily Raw Data'!I:I,Match($A403,'Daily Raw Data'!$B:$B,0)),"")</f>
        <v/>
      </c>
      <c r="H403" t="str">
        <f t="array" ref="H403">IFERROR(INDEX('Daily Raw Data'!N:N,Match($A403,'Daily Raw Data'!$B:$B,0)),"")</f>
        <v/>
      </c>
      <c r="I403" t="str">
        <f t="array" ref="I403">IFERROR(INDEX('Daily Raw Data'!O:O,Match($A403,'Daily Raw Data'!$B:$B,0)),"")</f>
        <v/>
      </c>
      <c r="J403" t="str">
        <f t="array" ref="J403">IFERROR(INDEX('Daily Raw Data'!S:S,Match($A403,'Daily Raw Data'!$B:$B,0)),"")</f>
        <v/>
      </c>
      <c r="K403" t="str">
        <f t="array" ref="K403">IFERROR(INDEX('Daily Raw Data'!T:T,Match($A403,'Daily Raw Data'!$B:$B,0)),"")</f>
        <v/>
      </c>
      <c r="L403" t="str">
        <f t="array" ref="L403">IFERROR(INDEX('Daily Raw Data'!U:U,Match($A403,'Daily Raw Data'!$B:$B,0)),"")</f>
        <v/>
      </c>
      <c r="M403" t="str">
        <f t="array" ref="M403">IFERROR(INDEX('Daily Raw Data'!V:V,Match($A403,'Daily Raw Data'!$B:$B,0)),"")</f>
        <v/>
      </c>
      <c r="N403" t="str">
        <f t="array" ref="N403">IFERROR(INDEX('Daily Raw Data'!W:W,Match($A403,'Daily Raw Data'!$B:$B,0)),"")</f>
        <v/>
      </c>
      <c r="O403" t="str">
        <f t="array" ref="O403">IFERROR(INDEX('Daily Raw Data'!Y:Y,Match($A403,'Daily Raw Data'!$B:$B,0)),"")</f>
        <v/>
      </c>
      <c r="P403" t="str">
        <f t="shared" si="1"/>
        <v/>
      </c>
      <c r="Q403" s="14" t="str">
        <f t="shared" si="2"/>
        <v/>
      </c>
      <c r="R403" s="15" t="str">
        <f>IFERROR(__xludf.DUMMYFUNCTION("IF($A403="""","""", IFERROR(PERCENTRANK.INC(FILTER(P:P,$E:$E&lt;&gt;""""),P403)*100,""""))"),"")</f>
        <v/>
      </c>
      <c r="S403" s="15" t="str">
        <f>IFERROR(__xludf.DUMMYFUNCTION("IF($A403="""","""",IFERROR(PERCENTRANK.INC(FILTER(Q:Q,$E:$E&lt;&gt;""""),Q403)*100,""""))"),"")</f>
        <v/>
      </c>
    </row>
    <row r="404">
      <c r="B404" t="str">
        <f t="array" ref="B404">IFERROR(INDEX('Player Raw Data'!C:C,Match($A404,'Player Raw Data'!$B:$B,0)),"")</f>
        <v/>
      </c>
      <c r="C404" t="str">
        <f t="array" ref="C404">IFERROR(INDEX('Player Raw Data'!D:D,Match($A404,'Player Raw Data'!$B:$B,0)),"")</f>
        <v/>
      </c>
      <c r="D404" t="str">
        <f t="array" ref="D404">IFERROR(IF(A404=A403, INDEX('Player Raw Data'!E:E,Match($A404,'Player Raw Data'!$B:$B,0)+2),INDEX('Player Raw Data'!E:E,Match($A404,'Player Raw Data'!$B:$B,0))),"")</f>
        <v/>
      </c>
      <c r="E404" s="27" t="str">
        <f>IFERROR(__xludf.DUMMYFUNCTION("IFERROR(ARRAY_CONSTRAIN(SPLIT(INDEX('Daily Raw Data'!G:G,Match($A404,'Daily Raw Data'!$B:$B,0)),"":""),1,1),"""")"),"")</f>
        <v/>
      </c>
      <c r="F404" t="str">
        <f t="array" ref="F404">IFERROR(INDEX('Daily Raw Data'!H:H,Match($A404,'Daily Raw Data'!$B:$B,0)),"")</f>
        <v/>
      </c>
      <c r="G404" t="str">
        <f t="array" ref="G404">IFERROR(INDEX('Daily Raw Data'!I:I,Match($A404,'Daily Raw Data'!$B:$B,0)),"")</f>
        <v/>
      </c>
      <c r="H404" t="str">
        <f t="array" ref="H404">IFERROR(INDEX('Daily Raw Data'!N:N,Match($A404,'Daily Raw Data'!$B:$B,0)),"")</f>
        <v/>
      </c>
      <c r="I404" t="str">
        <f t="array" ref="I404">IFERROR(INDEX('Daily Raw Data'!O:O,Match($A404,'Daily Raw Data'!$B:$B,0)),"")</f>
        <v/>
      </c>
      <c r="J404" t="str">
        <f t="array" ref="J404">IFERROR(INDEX('Daily Raw Data'!S:S,Match($A404,'Daily Raw Data'!$B:$B,0)),"")</f>
        <v/>
      </c>
      <c r="K404" t="str">
        <f t="array" ref="K404">IFERROR(INDEX('Daily Raw Data'!T:T,Match($A404,'Daily Raw Data'!$B:$B,0)),"")</f>
        <v/>
      </c>
      <c r="L404" t="str">
        <f t="array" ref="L404">IFERROR(INDEX('Daily Raw Data'!U:U,Match($A404,'Daily Raw Data'!$B:$B,0)),"")</f>
        <v/>
      </c>
      <c r="M404" t="str">
        <f t="array" ref="M404">IFERROR(INDEX('Daily Raw Data'!V:V,Match($A404,'Daily Raw Data'!$B:$B,0)),"")</f>
        <v/>
      </c>
      <c r="N404" t="str">
        <f t="array" ref="N404">IFERROR(INDEX('Daily Raw Data'!W:W,Match($A404,'Daily Raw Data'!$B:$B,0)),"")</f>
        <v/>
      </c>
      <c r="O404" t="str">
        <f t="array" ref="O404">IFERROR(INDEX('Daily Raw Data'!Y:Y,Match($A404,'Daily Raw Data'!$B:$B,0)),"")</f>
        <v/>
      </c>
      <c r="P404" t="str">
        <f t="shared" si="1"/>
        <v/>
      </c>
      <c r="Q404" s="14" t="str">
        <f t="shared" si="2"/>
        <v/>
      </c>
      <c r="R404" s="15" t="str">
        <f>IFERROR(__xludf.DUMMYFUNCTION("IF($A404="""","""", IFERROR(PERCENTRANK.INC(FILTER(P:P,$E:$E&lt;&gt;""""),P404)*100,""""))"),"")</f>
        <v/>
      </c>
      <c r="S404" s="15" t="str">
        <f>IFERROR(__xludf.DUMMYFUNCTION("IF($A404="""","""",IFERROR(PERCENTRANK.INC(FILTER(Q:Q,$E:$E&lt;&gt;""""),Q404)*100,""""))"),"")</f>
        <v/>
      </c>
    </row>
    <row r="405">
      <c r="B405" t="str">
        <f t="array" ref="B405">IFERROR(INDEX('Player Raw Data'!C:C,Match($A405,'Player Raw Data'!$B:$B,0)),"")</f>
        <v/>
      </c>
      <c r="C405" t="str">
        <f t="array" ref="C405">IFERROR(INDEX('Player Raw Data'!D:D,Match($A405,'Player Raw Data'!$B:$B,0)),"")</f>
        <v/>
      </c>
      <c r="D405" t="str">
        <f t="array" ref="D405">IFERROR(IF(A405=A404, INDEX('Player Raw Data'!E:E,Match($A405,'Player Raw Data'!$B:$B,0)+2),INDEX('Player Raw Data'!E:E,Match($A405,'Player Raw Data'!$B:$B,0))),"")</f>
        <v/>
      </c>
      <c r="E405" s="27" t="str">
        <f>IFERROR(__xludf.DUMMYFUNCTION("IFERROR(ARRAY_CONSTRAIN(SPLIT(INDEX('Daily Raw Data'!G:G,Match($A405,'Daily Raw Data'!$B:$B,0)),"":""),1,1),"""")"),"")</f>
        <v/>
      </c>
      <c r="F405" t="str">
        <f t="array" ref="F405">IFERROR(INDEX('Daily Raw Data'!H:H,Match($A405,'Daily Raw Data'!$B:$B,0)),"")</f>
        <v/>
      </c>
      <c r="G405" t="str">
        <f t="array" ref="G405">IFERROR(INDEX('Daily Raw Data'!I:I,Match($A405,'Daily Raw Data'!$B:$B,0)),"")</f>
        <v/>
      </c>
      <c r="H405" t="str">
        <f t="array" ref="H405">IFERROR(INDEX('Daily Raw Data'!N:N,Match($A405,'Daily Raw Data'!$B:$B,0)),"")</f>
        <v/>
      </c>
      <c r="I405" t="str">
        <f t="array" ref="I405">IFERROR(INDEX('Daily Raw Data'!O:O,Match($A405,'Daily Raw Data'!$B:$B,0)),"")</f>
        <v/>
      </c>
      <c r="J405" t="str">
        <f t="array" ref="J405">IFERROR(INDEX('Daily Raw Data'!S:S,Match($A405,'Daily Raw Data'!$B:$B,0)),"")</f>
        <v/>
      </c>
      <c r="K405" t="str">
        <f t="array" ref="K405">IFERROR(INDEX('Daily Raw Data'!T:T,Match($A405,'Daily Raw Data'!$B:$B,0)),"")</f>
        <v/>
      </c>
      <c r="L405" t="str">
        <f t="array" ref="L405">IFERROR(INDEX('Daily Raw Data'!U:U,Match($A405,'Daily Raw Data'!$B:$B,0)),"")</f>
        <v/>
      </c>
      <c r="M405" t="str">
        <f t="array" ref="M405">IFERROR(INDEX('Daily Raw Data'!V:V,Match($A405,'Daily Raw Data'!$B:$B,0)),"")</f>
        <v/>
      </c>
      <c r="N405" t="str">
        <f t="array" ref="N405">IFERROR(INDEX('Daily Raw Data'!W:W,Match($A405,'Daily Raw Data'!$B:$B,0)),"")</f>
        <v/>
      </c>
      <c r="O405" t="str">
        <f t="array" ref="O405">IFERROR(INDEX('Daily Raw Data'!Y:Y,Match($A405,'Daily Raw Data'!$B:$B,0)),"")</f>
        <v/>
      </c>
      <c r="P405" t="str">
        <f t="shared" si="1"/>
        <v/>
      </c>
      <c r="Q405" s="14" t="str">
        <f t="shared" si="2"/>
        <v/>
      </c>
      <c r="R405" s="15" t="str">
        <f>IFERROR(__xludf.DUMMYFUNCTION("IF($A405="""","""", IFERROR(PERCENTRANK.INC(FILTER(P:P,$E:$E&lt;&gt;""""),P405)*100,""""))"),"")</f>
        <v/>
      </c>
      <c r="S405" s="15" t="str">
        <f>IFERROR(__xludf.DUMMYFUNCTION("IF($A405="""","""",IFERROR(PERCENTRANK.INC(FILTER(Q:Q,$E:$E&lt;&gt;""""),Q405)*100,""""))"),"")</f>
        <v/>
      </c>
    </row>
    <row r="406">
      <c r="B406" t="str">
        <f t="array" ref="B406">IFERROR(INDEX('Player Raw Data'!C:C,Match($A406,'Player Raw Data'!$B:$B,0)),"")</f>
        <v/>
      </c>
      <c r="C406" t="str">
        <f t="array" ref="C406">IFERROR(INDEX('Player Raw Data'!D:D,Match($A406,'Player Raw Data'!$B:$B,0)),"")</f>
        <v/>
      </c>
      <c r="D406" t="str">
        <f t="array" ref="D406">IFERROR(IF(A406=A405, INDEX('Player Raw Data'!E:E,Match($A406,'Player Raw Data'!$B:$B,0)+2),INDEX('Player Raw Data'!E:E,Match($A406,'Player Raw Data'!$B:$B,0))),"")</f>
        <v/>
      </c>
      <c r="E406" s="27" t="str">
        <f>IFERROR(__xludf.DUMMYFUNCTION("IFERROR(ARRAY_CONSTRAIN(SPLIT(INDEX('Daily Raw Data'!G:G,Match($A406,'Daily Raw Data'!$B:$B,0)),"":""),1,1),"""")"),"")</f>
        <v/>
      </c>
      <c r="F406" t="str">
        <f t="array" ref="F406">IFERROR(INDEX('Daily Raw Data'!H:H,Match($A406,'Daily Raw Data'!$B:$B,0)),"")</f>
        <v/>
      </c>
      <c r="G406" t="str">
        <f t="array" ref="G406">IFERROR(INDEX('Daily Raw Data'!I:I,Match($A406,'Daily Raw Data'!$B:$B,0)),"")</f>
        <v/>
      </c>
      <c r="H406" t="str">
        <f t="array" ref="H406">IFERROR(INDEX('Daily Raw Data'!N:N,Match($A406,'Daily Raw Data'!$B:$B,0)),"")</f>
        <v/>
      </c>
      <c r="I406" t="str">
        <f t="array" ref="I406">IFERROR(INDEX('Daily Raw Data'!O:O,Match($A406,'Daily Raw Data'!$B:$B,0)),"")</f>
        <v/>
      </c>
      <c r="J406" t="str">
        <f t="array" ref="J406">IFERROR(INDEX('Daily Raw Data'!S:S,Match($A406,'Daily Raw Data'!$B:$B,0)),"")</f>
        <v/>
      </c>
      <c r="K406" t="str">
        <f t="array" ref="K406">IFERROR(INDEX('Daily Raw Data'!T:T,Match($A406,'Daily Raw Data'!$B:$B,0)),"")</f>
        <v/>
      </c>
      <c r="L406" t="str">
        <f t="array" ref="L406">IFERROR(INDEX('Daily Raw Data'!U:U,Match($A406,'Daily Raw Data'!$B:$B,0)),"")</f>
        <v/>
      </c>
      <c r="M406" t="str">
        <f t="array" ref="M406">IFERROR(INDEX('Daily Raw Data'!V:V,Match($A406,'Daily Raw Data'!$B:$B,0)),"")</f>
        <v/>
      </c>
      <c r="N406" t="str">
        <f t="array" ref="N406">IFERROR(INDEX('Daily Raw Data'!W:W,Match($A406,'Daily Raw Data'!$B:$B,0)),"")</f>
        <v/>
      </c>
      <c r="O406" t="str">
        <f t="array" ref="O406">IFERROR(INDEX('Daily Raw Data'!Y:Y,Match($A406,'Daily Raw Data'!$B:$B,0)),"")</f>
        <v/>
      </c>
      <c r="P406" t="str">
        <f t="shared" si="1"/>
        <v/>
      </c>
      <c r="Q406" s="14" t="str">
        <f t="shared" si="2"/>
        <v/>
      </c>
      <c r="R406" s="15" t="str">
        <f>IFERROR(__xludf.DUMMYFUNCTION("IF($A406="""","""", IFERROR(PERCENTRANK.INC(FILTER(P:P,$E:$E&lt;&gt;""""),P406)*100,""""))"),"")</f>
        <v/>
      </c>
      <c r="S406" s="15" t="str">
        <f>IFERROR(__xludf.DUMMYFUNCTION("IF($A406="""","""",IFERROR(PERCENTRANK.INC(FILTER(Q:Q,$E:$E&lt;&gt;""""),Q406)*100,""""))"),"")</f>
        <v/>
      </c>
    </row>
    <row r="407">
      <c r="B407" t="str">
        <f t="array" ref="B407">IFERROR(INDEX('Player Raw Data'!C:C,Match($A407,'Player Raw Data'!$B:$B,0)),"")</f>
        <v/>
      </c>
      <c r="C407" t="str">
        <f t="array" ref="C407">IFERROR(INDEX('Player Raw Data'!D:D,Match($A407,'Player Raw Data'!$B:$B,0)),"")</f>
        <v/>
      </c>
      <c r="D407" t="str">
        <f t="array" ref="D407">IFERROR(IF(A407=A406, INDEX('Player Raw Data'!E:E,Match($A407,'Player Raw Data'!$B:$B,0)+2),INDEX('Player Raw Data'!E:E,Match($A407,'Player Raw Data'!$B:$B,0))),"")</f>
        <v/>
      </c>
      <c r="E407" s="27" t="str">
        <f>IFERROR(__xludf.DUMMYFUNCTION("IFERROR(ARRAY_CONSTRAIN(SPLIT(INDEX('Daily Raw Data'!G:G,Match($A407,'Daily Raw Data'!$B:$B,0)),"":""),1,1),"""")"),"")</f>
        <v/>
      </c>
      <c r="F407" t="str">
        <f t="array" ref="F407">IFERROR(INDEX('Daily Raw Data'!H:H,Match($A407,'Daily Raw Data'!$B:$B,0)),"")</f>
        <v/>
      </c>
      <c r="G407" t="str">
        <f t="array" ref="G407">IFERROR(INDEX('Daily Raw Data'!I:I,Match($A407,'Daily Raw Data'!$B:$B,0)),"")</f>
        <v/>
      </c>
      <c r="H407" t="str">
        <f t="array" ref="H407">IFERROR(INDEX('Daily Raw Data'!N:N,Match($A407,'Daily Raw Data'!$B:$B,0)),"")</f>
        <v/>
      </c>
      <c r="I407" t="str">
        <f t="array" ref="I407">IFERROR(INDEX('Daily Raw Data'!O:O,Match($A407,'Daily Raw Data'!$B:$B,0)),"")</f>
        <v/>
      </c>
      <c r="J407" t="str">
        <f t="array" ref="J407">IFERROR(INDEX('Daily Raw Data'!S:S,Match($A407,'Daily Raw Data'!$B:$B,0)),"")</f>
        <v/>
      </c>
      <c r="K407" t="str">
        <f t="array" ref="K407">IFERROR(INDEX('Daily Raw Data'!T:T,Match($A407,'Daily Raw Data'!$B:$B,0)),"")</f>
        <v/>
      </c>
      <c r="L407" t="str">
        <f t="array" ref="L407">IFERROR(INDEX('Daily Raw Data'!U:U,Match($A407,'Daily Raw Data'!$B:$B,0)),"")</f>
        <v/>
      </c>
      <c r="M407" t="str">
        <f t="array" ref="M407">IFERROR(INDEX('Daily Raw Data'!V:V,Match($A407,'Daily Raw Data'!$B:$B,0)),"")</f>
        <v/>
      </c>
      <c r="N407" t="str">
        <f t="array" ref="N407">IFERROR(INDEX('Daily Raw Data'!W:W,Match($A407,'Daily Raw Data'!$B:$B,0)),"")</f>
        <v/>
      </c>
      <c r="O407" t="str">
        <f t="array" ref="O407">IFERROR(INDEX('Daily Raw Data'!Y:Y,Match($A407,'Daily Raw Data'!$B:$B,0)),"")</f>
        <v/>
      </c>
      <c r="P407" t="str">
        <f t="shared" si="1"/>
        <v/>
      </c>
      <c r="Q407" s="14" t="str">
        <f t="shared" si="2"/>
        <v/>
      </c>
      <c r="R407" s="15" t="str">
        <f>IFERROR(__xludf.DUMMYFUNCTION("IF($A407="""","""", IFERROR(PERCENTRANK.INC(FILTER(P:P,$E:$E&lt;&gt;""""),P407)*100,""""))"),"")</f>
        <v/>
      </c>
      <c r="S407" s="15" t="str">
        <f>IFERROR(__xludf.DUMMYFUNCTION("IF($A407="""","""",IFERROR(PERCENTRANK.INC(FILTER(Q:Q,$E:$E&lt;&gt;""""),Q407)*100,""""))"),"")</f>
        <v/>
      </c>
    </row>
    <row r="408">
      <c r="B408" t="str">
        <f t="array" ref="B408">IFERROR(INDEX('Player Raw Data'!C:C,Match($A408,'Player Raw Data'!$B:$B,0)),"")</f>
        <v/>
      </c>
      <c r="C408" t="str">
        <f t="array" ref="C408">IFERROR(INDEX('Player Raw Data'!D:D,Match($A408,'Player Raw Data'!$B:$B,0)),"")</f>
        <v/>
      </c>
      <c r="D408" t="str">
        <f t="array" ref="D408">IFERROR(IF(A408=A407, INDEX('Player Raw Data'!E:E,Match($A408,'Player Raw Data'!$B:$B,0)+2),INDEX('Player Raw Data'!E:E,Match($A408,'Player Raw Data'!$B:$B,0))),"")</f>
        <v/>
      </c>
      <c r="E408" s="27" t="str">
        <f>IFERROR(__xludf.DUMMYFUNCTION("IFERROR(ARRAY_CONSTRAIN(SPLIT(INDEX('Daily Raw Data'!G:G,Match($A408,'Daily Raw Data'!$B:$B,0)),"":""),1,1),"""")"),"")</f>
        <v/>
      </c>
      <c r="F408" t="str">
        <f t="array" ref="F408">IFERROR(INDEX('Daily Raw Data'!H:H,Match($A408,'Daily Raw Data'!$B:$B,0)),"")</f>
        <v/>
      </c>
      <c r="G408" t="str">
        <f t="array" ref="G408">IFERROR(INDEX('Daily Raw Data'!I:I,Match($A408,'Daily Raw Data'!$B:$B,0)),"")</f>
        <v/>
      </c>
      <c r="H408" t="str">
        <f t="array" ref="H408">IFERROR(INDEX('Daily Raw Data'!N:N,Match($A408,'Daily Raw Data'!$B:$B,0)),"")</f>
        <v/>
      </c>
      <c r="I408" t="str">
        <f t="array" ref="I408">IFERROR(INDEX('Daily Raw Data'!O:O,Match($A408,'Daily Raw Data'!$B:$B,0)),"")</f>
        <v/>
      </c>
      <c r="J408" t="str">
        <f t="array" ref="J408">IFERROR(INDEX('Daily Raw Data'!S:S,Match($A408,'Daily Raw Data'!$B:$B,0)),"")</f>
        <v/>
      </c>
      <c r="K408" t="str">
        <f t="array" ref="K408">IFERROR(INDEX('Daily Raw Data'!T:T,Match($A408,'Daily Raw Data'!$B:$B,0)),"")</f>
        <v/>
      </c>
      <c r="L408" t="str">
        <f t="array" ref="L408">IFERROR(INDEX('Daily Raw Data'!U:U,Match($A408,'Daily Raw Data'!$B:$B,0)),"")</f>
        <v/>
      </c>
      <c r="M408" t="str">
        <f t="array" ref="M408">IFERROR(INDEX('Daily Raw Data'!V:V,Match($A408,'Daily Raw Data'!$B:$B,0)),"")</f>
        <v/>
      </c>
      <c r="N408" t="str">
        <f t="array" ref="N408">IFERROR(INDEX('Daily Raw Data'!W:W,Match($A408,'Daily Raw Data'!$B:$B,0)),"")</f>
        <v/>
      </c>
      <c r="O408" t="str">
        <f t="array" ref="O408">IFERROR(INDEX('Daily Raw Data'!Y:Y,Match($A408,'Daily Raw Data'!$B:$B,0)),"")</f>
        <v/>
      </c>
      <c r="P408" t="str">
        <f t="shared" si="1"/>
        <v/>
      </c>
      <c r="Q408" s="14" t="str">
        <f t="shared" si="2"/>
        <v/>
      </c>
      <c r="R408" s="15" t="str">
        <f>IFERROR(__xludf.DUMMYFUNCTION("IF($A408="""","""", IFERROR(PERCENTRANK.INC(FILTER(P:P,$E:$E&lt;&gt;""""),P408)*100,""""))"),"")</f>
        <v/>
      </c>
      <c r="S408" s="15" t="str">
        <f>IFERROR(__xludf.DUMMYFUNCTION("IF($A408="""","""",IFERROR(PERCENTRANK.INC(FILTER(Q:Q,$E:$E&lt;&gt;""""),Q408)*100,""""))"),"")</f>
        <v/>
      </c>
    </row>
    <row r="409">
      <c r="B409" t="str">
        <f t="array" ref="B409">IFERROR(INDEX('Player Raw Data'!C:C,Match($A409,'Player Raw Data'!$B:$B,0)),"")</f>
        <v/>
      </c>
      <c r="C409" t="str">
        <f t="array" ref="C409">IFERROR(INDEX('Player Raw Data'!D:D,Match($A409,'Player Raw Data'!$B:$B,0)),"")</f>
        <v/>
      </c>
      <c r="D409" t="str">
        <f t="array" ref="D409">IFERROR(IF(A409=A408, INDEX('Player Raw Data'!E:E,Match($A409,'Player Raw Data'!$B:$B,0)+2),INDEX('Player Raw Data'!E:E,Match($A409,'Player Raw Data'!$B:$B,0))),"")</f>
        <v/>
      </c>
      <c r="E409" s="27" t="str">
        <f>IFERROR(__xludf.DUMMYFUNCTION("IFERROR(ARRAY_CONSTRAIN(SPLIT(INDEX('Daily Raw Data'!G:G,Match($A409,'Daily Raw Data'!$B:$B,0)),"":""),1,1),"""")"),"")</f>
        <v/>
      </c>
      <c r="F409" t="str">
        <f t="array" ref="F409">IFERROR(INDEX('Daily Raw Data'!H:H,Match($A409,'Daily Raw Data'!$B:$B,0)),"")</f>
        <v/>
      </c>
      <c r="G409" t="str">
        <f t="array" ref="G409">IFERROR(INDEX('Daily Raw Data'!I:I,Match($A409,'Daily Raw Data'!$B:$B,0)),"")</f>
        <v/>
      </c>
      <c r="H409" t="str">
        <f t="array" ref="H409">IFERROR(INDEX('Daily Raw Data'!N:N,Match($A409,'Daily Raw Data'!$B:$B,0)),"")</f>
        <v/>
      </c>
      <c r="I409" t="str">
        <f t="array" ref="I409">IFERROR(INDEX('Daily Raw Data'!O:O,Match($A409,'Daily Raw Data'!$B:$B,0)),"")</f>
        <v/>
      </c>
      <c r="J409" t="str">
        <f t="array" ref="J409">IFERROR(INDEX('Daily Raw Data'!S:S,Match($A409,'Daily Raw Data'!$B:$B,0)),"")</f>
        <v/>
      </c>
      <c r="K409" t="str">
        <f t="array" ref="K409">IFERROR(INDEX('Daily Raw Data'!T:T,Match($A409,'Daily Raw Data'!$B:$B,0)),"")</f>
        <v/>
      </c>
      <c r="L409" t="str">
        <f t="array" ref="L409">IFERROR(INDEX('Daily Raw Data'!U:U,Match($A409,'Daily Raw Data'!$B:$B,0)),"")</f>
        <v/>
      </c>
      <c r="M409" t="str">
        <f t="array" ref="M409">IFERROR(INDEX('Daily Raw Data'!V:V,Match($A409,'Daily Raw Data'!$B:$B,0)),"")</f>
        <v/>
      </c>
      <c r="N409" t="str">
        <f t="array" ref="N409">IFERROR(INDEX('Daily Raw Data'!W:W,Match($A409,'Daily Raw Data'!$B:$B,0)),"")</f>
        <v/>
      </c>
      <c r="O409" t="str">
        <f t="array" ref="O409">IFERROR(INDEX('Daily Raw Data'!Y:Y,Match($A409,'Daily Raw Data'!$B:$B,0)),"")</f>
        <v/>
      </c>
      <c r="P409" t="str">
        <f t="shared" si="1"/>
        <v/>
      </c>
      <c r="Q409" s="14" t="str">
        <f t="shared" si="2"/>
        <v/>
      </c>
      <c r="R409" s="15" t="str">
        <f>IFERROR(__xludf.DUMMYFUNCTION("IF($A409="""","""", IFERROR(PERCENTRANK.INC(FILTER(P:P,$E:$E&lt;&gt;""""),P409)*100,""""))"),"")</f>
        <v/>
      </c>
      <c r="S409" s="15" t="str">
        <f>IFERROR(__xludf.DUMMYFUNCTION("IF($A409="""","""",IFERROR(PERCENTRANK.INC(FILTER(Q:Q,$E:$E&lt;&gt;""""),Q409)*100,""""))"),"")</f>
        <v/>
      </c>
    </row>
    <row r="410">
      <c r="B410" t="str">
        <f t="array" ref="B410">IFERROR(INDEX('Player Raw Data'!C:C,Match($A410,'Player Raw Data'!$B:$B,0)),"")</f>
        <v/>
      </c>
      <c r="C410" t="str">
        <f t="array" ref="C410">IFERROR(INDEX('Player Raw Data'!D:D,Match($A410,'Player Raw Data'!$B:$B,0)),"")</f>
        <v/>
      </c>
      <c r="D410" t="str">
        <f t="array" ref="D410">IFERROR(IF(A410=A409, INDEX('Player Raw Data'!E:E,Match($A410,'Player Raw Data'!$B:$B,0)+2),INDEX('Player Raw Data'!E:E,Match($A410,'Player Raw Data'!$B:$B,0))),"")</f>
        <v/>
      </c>
      <c r="E410" s="27" t="str">
        <f>IFERROR(__xludf.DUMMYFUNCTION("IFERROR(ARRAY_CONSTRAIN(SPLIT(INDEX('Daily Raw Data'!G:G,Match($A410,'Daily Raw Data'!$B:$B,0)),"":""),1,1),"""")"),"")</f>
        <v/>
      </c>
      <c r="F410" t="str">
        <f t="array" ref="F410">IFERROR(INDEX('Daily Raw Data'!H:H,Match($A410,'Daily Raw Data'!$B:$B,0)),"")</f>
        <v/>
      </c>
      <c r="G410" t="str">
        <f t="array" ref="G410">IFERROR(INDEX('Daily Raw Data'!I:I,Match($A410,'Daily Raw Data'!$B:$B,0)),"")</f>
        <v/>
      </c>
      <c r="H410" t="str">
        <f t="array" ref="H410">IFERROR(INDEX('Daily Raw Data'!N:N,Match($A410,'Daily Raw Data'!$B:$B,0)),"")</f>
        <v/>
      </c>
      <c r="I410" t="str">
        <f t="array" ref="I410">IFERROR(INDEX('Daily Raw Data'!O:O,Match($A410,'Daily Raw Data'!$B:$B,0)),"")</f>
        <v/>
      </c>
      <c r="J410" t="str">
        <f t="array" ref="J410">IFERROR(INDEX('Daily Raw Data'!S:S,Match($A410,'Daily Raw Data'!$B:$B,0)),"")</f>
        <v/>
      </c>
      <c r="K410" t="str">
        <f t="array" ref="K410">IFERROR(INDEX('Daily Raw Data'!T:T,Match($A410,'Daily Raw Data'!$B:$B,0)),"")</f>
        <v/>
      </c>
      <c r="L410" t="str">
        <f t="array" ref="L410">IFERROR(INDEX('Daily Raw Data'!U:U,Match($A410,'Daily Raw Data'!$B:$B,0)),"")</f>
        <v/>
      </c>
      <c r="M410" t="str">
        <f t="array" ref="M410">IFERROR(INDEX('Daily Raw Data'!V:V,Match($A410,'Daily Raw Data'!$B:$B,0)),"")</f>
        <v/>
      </c>
      <c r="N410" t="str">
        <f t="array" ref="N410">IFERROR(INDEX('Daily Raw Data'!W:W,Match($A410,'Daily Raw Data'!$B:$B,0)),"")</f>
        <v/>
      </c>
      <c r="O410" t="str">
        <f t="array" ref="O410">IFERROR(INDEX('Daily Raw Data'!Y:Y,Match($A410,'Daily Raw Data'!$B:$B,0)),"")</f>
        <v/>
      </c>
      <c r="P410" t="str">
        <f t="shared" si="1"/>
        <v/>
      </c>
      <c r="Q410" s="14" t="str">
        <f t="shared" si="2"/>
        <v/>
      </c>
      <c r="R410" s="15" t="str">
        <f>IFERROR(__xludf.DUMMYFUNCTION("IF($A410="""","""", IFERROR(PERCENTRANK.INC(FILTER(P:P,$E:$E&lt;&gt;""""),P410)*100,""""))"),"")</f>
        <v/>
      </c>
      <c r="S410" s="15" t="str">
        <f>IFERROR(__xludf.DUMMYFUNCTION("IF($A410="""","""",IFERROR(PERCENTRANK.INC(FILTER(Q:Q,$E:$E&lt;&gt;""""),Q410)*100,""""))"),"")</f>
        <v/>
      </c>
    </row>
    <row r="411">
      <c r="B411" t="str">
        <f t="array" ref="B411">IFERROR(INDEX('Player Raw Data'!C:C,Match($A411,'Player Raw Data'!$B:$B,0)),"")</f>
        <v/>
      </c>
      <c r="C411" t="str">
        <f t="array" ref="C411">IFERROR(INDEX('Player Raw Data'!D:D,Match($A411,'Player Raw Data'!$B:$B,0)),"")</f>
        <v/>
      </c>
      <c r="D411" t="str">
        <f t="array" ref="D411">IFERROR(IF(A411=A410, INDEX('Player Raw Data'!E:E,Match($A411,'Player Raw Data'!$B:$B,0)+2),INDEX('Player Raw Data'!E:E,Match($A411,'Player Raw Data'!$B:$B,0))),"")</f>
        <v/>
      </c>
      <c r="E411" s="27" t="str">
        <f>IFERROR(__xludf.DUMMYFUNCTION("IFERROR(ARRAY_CONSTRAIN(SPLIT(INDEX('Daily Raw Data'!G:G,Match($A411,'Daily Raw Data'!$B:$B,0)),"":""),1,1),"""")"),"")</f>
        <v/>
      </c>
      <c r="F411" t="str">
        <f t="array" ref="F411">IFERROR(INDEX('Daily Raw Data'!H:H,Match($A411,'Daily Raw Data'!$B:$B,0)),"")</f>
        <v/>
      </c>
      <c r="G411" t="str">
        <f t="array" ref="G411">IFERROR(INDEX('Daily Raw Data'!I:I,Match($A411,'Daily Raw Data'!$B:$B,0)),"")</f>
        <v/>
      </c>
      <c r="H411" t="str">
        <f t="array" ref="H411">IFERROR(INDEX('Daily Raw Data'!N:N,Match($A411,'Daily Raw Data'!$B:$B,0)),"")</f>
        <v/>
      </c>
      <c r="I411" t="str">
        <f t="array" ref="I411">IFERROR(INDEX('Daily Raw Data'!O:O,Match($A411,'Daily Raw Data'!$B:$B,0)),"")</f>
        <v/>
      </c>
      <c r="J411" t="str">
        <f t="array" ref="J411">IFERROR(INDEX('Daily Raw Data'!S:S,Match($A411,'Daily Raw Data'!$B:$B,0)),"")</f>
        <v/>
      </c>
      <c r="K411" t="str">
        <f t="array" ref="K411">IFERROR(INDEX('Daily Raw Data'!T:T,Match($A411,'Daily Raw Data'!$B:$B,0)),"")</f>
        <v/>
      </c>
      <c r="L411" t="str">
        <f t="array" ref="L411">IFERROR(INDEX('Daily Raw Data'!U:U,Match($A411,'Daily Raw Data'!$B:$B,0)),"")</f>
        <v/>
      </c>
      <c r="M411" t="str">
        <f t="array" ref="M411">IFERROR(INDEX('Daily Raw Data'!V:V,Match($A411,'Daily Raw Data'!$B:$B,0)),"")</f>
        <v/>
      </c>
      <c r="N411" t="str">
        <f t="array" ref="N411">IFERROR(INDEX('Daily Raw Data'!W:W,Match($A411,'Daily Raw Data'!$B:$B,0)),"")</f>
        <v/>
      </c>
      <c r="O411" t="str">
        <f t="array" ref="O411">IFERROR(INDEX('Daily Raw Data'!Y:Y,Match($A411,'Daily Raw Data'!$B:$B,0)),"")</f>
        <v/>
      </c>
      <c r="P411" t="str">
        <f t="shared" si="1"/>
        <v/>
      </c>
      <c r="Q411" s="14" t="str">
        <f t="shared" si="2"/>
        <v/>
      </c>
      <c r="R411" s="15" t="str">
        <f>IFERROR(__xludf.DUMMYFUNCTION("IF($A411="""","""", IFERROR(PERCENTRANK.INC(FILTER(P:P,$E:$E&lt;&gt;""""),P411)*100,""""))"),"")</f>
        <v/>
      </c>
      <c r="S411" s="15" t="str">
        <f>IFERROR(__xludf.DUMMYFUNCTION("IF($A411="""","""",IFERROR(PERCENTRANK.INC(FILTER(Q:Q,$E:$E&lt;&gt;""""),Q411)*100,""""))"),"")</f>
        <v/>
      </c>
    </row>
    <row r="412">
      <c r="B412" t="str">
        <f t="array" ref="B412">IFERROR(INDEX('Player Raw Data'!C:C,Match($A412,'Player Raw Data'!$B:$B,0)),"")</f>
        <v/>
      </c>
      <c r="C412" t="str">
        <f t="array" ref="C412">IFERROR(INDEX('Player Raw Data'!D:D,Match($A412,'Player Raw Data'!$B:$B,0)),"")</f>
        <v/>
      </c>
      <c r="D412" t="str">
        <f t="array" ref="D412">IFERROR(IF(A412=A411, INDEX('Player Raw Data'!E:E,Match($A412,'Player Raw Data'!$B:$B,0)+2),INDEX('Player Raw Data'!E:E,Match($A412,'Player Raw Data'!$B:$B,0))),"")</f>
        <v/>
      </c>
      <c r="E412" s="27" t="str">
        <f>IFERROR(__xludf.DUMMYFUNCTION("IFERROR(ARRAY_CONSTRAIN(SPLIT(INDEX('Daily Raw Data'!G:G,Match($A412,'Daily Raw Data'!$B:$B,0)),"":""),1,1),"""")"),"")</f>
        <v/>
      </c>
      <c r="F412" t="str">
        <f t="array" ref="F412">IFERROR(INDEX('Daily Raw Data'!H:H,Match($A412,'Daily Raw Data'!$B:$B,0)),"")</f>
        <v/>
      </c>
      <c r="G412" t="str">
        <f t="array" ref="G412">IFERROR(INDEX('Daily Raw Data'!I:I,Match($A412,'Daily Raw Data'!$B:$B,0)),"")</f>
        <v/>
      </c>
      <c r="H412" t="str">
        <f t="array" ref="H412">IFERROR(INDEX('Daily Raw Data'!N:N,Match($A412,'Daily Raw Data'!$B:$B,0)),"")</f>
        <v/>
      </c>
      <c r="I412" t="str">
        <f t="array" ref="I412">IFERROR(INDEX('Daily Raw Data'!O:O,Match($A412,'Daily Raw Data'!$B:$B,0)),"")</f>
        <v/>
      </c>
      <c r="J412" t="str">
        <f t="array" ref="J412">IFERROR(INDEX('Daily Raw Data'!S:S,Match($A412,'Daily Raw Data'!$B:$B,0)),"")</f>
        <v/>
      </c>
      <c r="K412" t="str">
        <f t="array" ref="K412">IFERROR(INDEX('Daily Raw Data'!T:T,Match($A412,'Daily Raw Data'!$B:$B,0)),"")</f>
        <v/>
      </c>
      <c r="L412" t="str">
        <f t="array" ref="L412">IFERROR(INDEX('Daily Raw Data'!U:U,Match($A412,'Daily Raw Data'!$B:$B,0)),"")</f>
        <v/>
      </c>
      <c r="M412" t="str">
        <f t="array" ref="M412">IFERROR(INDEX('Daily Raw Data'!V:V,Match($A412,'Daily Raw Data'!$B:$B,0)),"")</f>
        <v/>
      </c>
      <c r="N412" t="str">
        <f t="array" ref="N412">IFERROR(INDEX('Daily Raw Data'!W:W,Match($A412,'Daily Raw Data'!$B:$B,0)),"")</f>
        <v/>
      </c>
      <c r="O412" t="str">
        <f t="array" ref="O412">IFERROR(INDEX('Daily Raw Data'!Y:Y,Match($A412,'Daily Raw Data'!$B:$B,0)),"")</f>
        <v/>
      </c>
      <c r="P412" t="str">
        <f t="shared" si="1"/>
        <v/>
      </c>
      <c r="Q412" s="14" t="str">
        <f t="shared" si="2"/>
        <v/>
      </c>
      <c r="R412" s="15" t="str">
        <f>IFERROR(__xludf.DUMMYFUNCTION("IF($A412="""","""", IFERROR(PERCENTRANK.INC(FILTER(P:P,$E:$E&lt;&gt;""""),P412)*100,""""))"),"")</f>
        <v/>
      </c>
      <c r="S412" s="15" t="str">
        <f>IFERROR(__xludf.DUMMYFUNCTION("IF($A412="""","""",IFERROR(PERCENTRANK.INC(FILTER(Q:Q,$E:$E&lt;&gt;""""),Q412)*100,""""))"),"")</f>
        <v/>
      </c>
    </row>
    <row r="413">
      <c r="B413" t="str">
        <f t="array" ref="B413">IFERROR(INDEX('Player Raw Data'!C:C,Match($A413,'Player Raw Data'!$B:$B,0)),"")</f>
        <v/>
      </c>
      <c r="C413" t="str">
        <f t="array" ref="C413">IFERROR(INDEX('Player Raw Data'!D:D,Match($A413,'Player Raw Data'!$B:$B,0)),"")</f>
        <v/>
      </c>
      <c r="D413" t="str">
        <f t="array" ref="D413">IFERROR(IF(A413=A412, INDEX('Player Raw Data'!E:E,Match($A413,'Player Raw Data'!$B:$B,0)+2),INDEX('Player Raw Data'!E:E,Match($A413,'Player Raw Data'!$B:$B,0))),"")</f>
        <v/>
      </c>
      <c r="E413" s="27" t="str">
        <f>IFERROR(__xludf.DUMMYFUNCTION("IFERROR(ARRAY_CONSTRAIN(SPLIT(INDEX('Daily Raw Data'!G:G,Match($A413,'Daily Raw Data'!$B:$B,0)),"":""),1,1),"""")"),"")</f>
        <v/>
      </c>
      <c r="F413" t="str">
        <f t="array" ref="F413">IFERROR(INDEX('Daily Raw Data'!H:H,Match($A413,'Daily Raw Data'!$B:$B,0)),"")</f>
        <v/>
      </c>
      <c r="G413" t="str">
        <f t="array" ref="G413">IFERROR(INDEX('Daily Raw Data'!I:I,Match($A413,'Daily Raw Data'!$B:$B,0)),"")</f>
        <v/>
      </c>
      <c r="H413" t="str">
        <f t="array" ref="H413">IFERROR(INDEX('Daily Raw Data'!N:N,Match($A413,'Daily Raw Data'!$B:$B,0)),"")</f>
        <v/>
      </c>
      <c r="I413" t="str">
        <f t="array" ref="I413">IFERROR(INDEX('Daily Raw Data'!O:O,Match($A413,'Daily Raw Data'!$B:$B,0)),"")</f>
        <v/>
      </c>
      <c r="J413" t="str">
        <f t="array" ref="J413">IFERROR(INDEX('Daily Raw Data'!S:S,Match($A413,'Daily Raw Data'!$B:$B,0)),"")</f>
        <v/>
      </c>
      <c r="K413" t="str">
        <f t="array" ref="K413">IFERROR(INDEX('Daily Raw Data'!T:T,Match($A413,'Daily Raw Data'!$B:$B,0)),"")</f>
        <v/>
      </c>
      <c r="L413" t="str">
        <f t="array" ref="L413">IFERROR(INDEX('Daily Raw Data'!U:U,Match($A413,'Daily Raw Data'!$B:$B,0)),"")</f>
        <v/>
      </c>
      <c r="M413" t="str">
        <f t="array" ref="M413">IFERROR(INDEX('Daily Raw Data'!V:V,Match($A413,'Daily Raw Data'!$B:$B,0)),"")</f>
        <v/>
      </c>
      <c r="N413" t="str">
        <f t="array" ref="N413">IFERROR(INDEX('Daily Raw Data'!W:W,Match($A413,'Daily Raw Data'!$B:$B,0)),"")</f>
        <v/>
      </c>
      <c r="O413" t="str">
        <f t="array" ref="O413">IFERROR(INDEX('Daily Raw Data'!Y:Y,Match($A413,'Daily Raw Data'!$B:$B,0)),"")</f>
        <v/>
      </c>
      <c r="P413" t="str">
        <f t="shared" si="1"/>
        <v/>
      </c>
      <c r="Q413" s="14" t="str">
        <f t="shared" si="2"/>
        <v/>
      </c>
      <c r="R413" s="15" t="str">
        <f>IFERROR(__xludf.DUMMYFUNCTION("IF($A413="""","""", IFERROR(PERCENTRANK.INC(FILTER(P:P,$E:$E&lt;&gt;""""),P413)*100,""""))"),"")</f>
        <v/>
      </c>
      <c r="S413" s="15" t="str">
        <f>IFERROR(__xludf.DUMMYFUNCTION("IF($A413="""","""",IFERROR(PERCENTRANK.INC(FILTER(Q:Q,$E:$E&lt;&gt;""""),Q413)*100,""""))"),"")</f>
        <v/>
      </c>
    </row>
    <row r="414">
      <c r="B414" t="str">
        <f t="array" ref="B414">IFERROR(INDEX('Player Raw Data'!C:C,Match($A414,'Player Raw Data'!$B:$B,0)),"")</f>
        <v/>
      </c>
      <c r="C414" t="str">
        <f t="array" ref="C414">IFERROR(INDEX('Player Raw Data'!D:D,Match($A414,'Player Raw Data'!$B:$B,0)),"")</f>
        <v/>
      </c>
      <c r="D414" t="str">
        <f t="array" ref="D414">IFERROR(IF(A414=A413, INDEX('Player Raw Data'!E:E,Match($A414,'Player Raw Data'!$B:$B,0)+2),INDEX('Player Raw Data'!E:E,Match($A414,'Player Raw Data'!$B:$B,0))),"")</f>
        <v/>
      </c>
      <c r="E414" s="27" t="str">
        <f>IFERROR(__xludf.DUMMYFUNCTION("IFERROR(ARRAY_CONSTRAIN(SPLIT(INDEX('Daily Raw Data'!G:G,Match($A414,'Daily Raw Data'!$B:$B,0)),"":""),1,1),"""")"),"")</f>
        <v/>
      </c>
      <c r="F414" t="str">
        <f t="array" ref="F414">IFERROR(INDEX('Daily Raw Data'!H:H,Match($A414,'Daily Raw Data'!$B:$B,0)),"")</f>
        <v/>
      </c>
      <c r="G414" t="str">
        <f t="array" ref="G414">IFERROR(INDEX('Daily Raw Data'!I:I,Match($A414,'Daily Raw Data'!$B:$B,0)),"")</f>
        <v/>
      </c>
      <c r="H414" t="str">
        <f t="array" ref="H414">IFERROR(INDEX('Daily Raw Data'!N:N,Match($A414,'Daily Raw Data'!$B:$B,0)),"")</f>
        <v/>
      </c>
      <c r="I414" t="str">
        <f t="array" ref="I414">IFERROR(INDEX('Daily Raw Data'!O:O,Match($A414,'Daily Raw Data'!$B:$B,0)),"")</f>
        <v/>
      </c>
      <c r="J414" t="str">
        <f t="array" ref="J414">IFERROR(INDEX('Daily Raw Data'!S:S,Match($A414,'Daily Raw Data'!$B:$B,0)),"")</f>
        <v/>
      </c>
      <c r="K414" t="str">
        <f t="array" ref="K414">IFERROR(INDEX('Daily Raw Data'!T:T,Match($A414,'Daily Raw Data'!$B:$B,0)),"")</f>
        <v/>
      </c>
      <c r="L414" t="str">
        <f t="array" ref="L414">IFERROR(INDEX('Daily Raw Data'!U:U,Match($A414,'Daily Raw Data'!$B:$B,0)),"")</f>
        <v/>
      </c>
      <c r="M414" t="str">
        <f t="array" ref="M414">IFERROR(INDEX('Daily Raw Data'!V:V,Match($A414,'Daily Raw Data'!$B:$B,0)),"")</f>
        <v/>
      </c>
      <c r="N414" t="str">
        <f t="array" ref="N414">IFERROR(INDEX('Daily Raw Data'!W:W,Match($A414,'Daily Raw Data'!$B:$B,0)),"")</f>
        <v/>
      </c>
      <c r="O414" t="str">
        <f t="array" ref="O414">IFERROR(INDEX('Daily Raw Data'!Y:Y,Match($A414,'Daily Raw Data'!$B:$B,0)),"")</f>
        <v/>
      </c>
      <c r="P414" t="str">
        <f t="shared" si="1"/>
        <v/>
      </c>
      <c r="Q414" s="14" t="str">
        <f t="shared" si="2"/>
        <v/>
      </c>
      <c r="R414" s="15" t="str">
        <f>IFERROR(__xludf.DUMMYFUNCTION("IF($A414="""","""", IFERROR(PERCENTRANK.INC(FILTER(P:P,$E:$E&lt;&gt;""""),P414)*100,""""))"),"")</f>
        <v/>
      </c>
      <c r="S414" s="15" t="str">
        <f>IFERROR(__xludf.DUMMYFUNCTION("IF($A414="""","""",IFERROR(PERCENTRANK.INC(FILTER(Q:Q,$E:$E&lt;&gt;""""),Q414)*100,""""))"),"")</f>
        <v/>
      </c>
    </row>
    <row r="415">
      <c r="B415" t="str">
        <f t="array" ref="B415">IFERROR(INDEX('Player Raw Data'!C:C,Match($A415,'Player Raw Data'!$B:$B,0)),"")</f>
        <v/>
      </c>
      <c r="C415" t="str">
        <f t="array" ref="C415">IFERROR(INDEX('Player Raw Data'!D:D,Match($A415,'Player Raw Data'!$B:$B,0)),"")</f>
        <v/>
      </c>
      <c r="D415" t="str">
        <f t="array" ref="D415">IFERROR(IF(A415=A414, INDEX('Player Raw Data'!E:E,Match($A415,'Player Raw Data'!$B:$B,0)+2),INDEX('Player Raw Data'!E:E,Match($A415,'Player Raw Data'!$B:$B,0))),"")</f>
        <v/>
      </c>
      <c r="E415" s="27" t="str">
        <f>IFERROR(__xludf.DUMMYFUNCTION("IFERROR(ARRAY_CONSTRAIN(SPLIT(INDEX('Daily Raw Data'!G:G,Match($A415,'Daily Raw Data'!$B:$B,0)),"":""),1,1),"""")"),"")</f>
        <v/>
      </c>
      <c r="F415" t="str">
        <f t="array" ref="F415">IFERROR(INDEX('Daily Raw Data'!H:H,Match($A415,'Daily Raw Data'!$B:$B,0)),"")</f>
        <v/>
      </c>
      <c r="G415" t="str">
        <f t="array" ref="G415">IFERROR(INDEX('Daily Raw Data'!I:I,Match($A415,'Daily Raw Data'!$B:$B,0)),"")</f>
        <v/>
      </c>
      <c r="H415" t="str">
        <f t="array" ref="H415">IFERROR(INDEX('Daily Raw Data'!N:N,Match($A415,'Daily Raw Data'!$B:$B,0)),"")</f>
        <v/>
      </c>
      <c r="I415" t="str">
        <f t="array" ref="I415">IFERROR(INDEX('Daily Raw Data'!O:O,Match($A415,'Daily Raw Data'!$B:$B,0)),"")</f>
        <v/>
      </c>
      <c r="J415" t="str">
        <f t="array" ref="J415">IFERROR(INDEX('Daily Raw Data'!S:S,Match($A415,'Daily Raw Data'!$B:$B,0)),"")</f>
        <v/>
      </c>
      <c r="K415" t="str">
        <f t="array" ref="K415">IFERROR(INDEX('Daily Raw Data'!T:T,Match($A415,'Daily Raw Data'!$B:$B,0)),"")</f>
        <v/>
      </c>
      <c r="L415" t="str">
        <f t="array" ref="L415">IFERROR(INDEX('Daily Raw Data'!U:U,Match($A415,'Daily Raw Data'!$B:$B,0)),"")</f>
        <v/>
      </c>
      <c r="M415" t="str">
        <f t="array" ref="M415">IFERROR(INDEX('Daily Raw Data'!V:V,Match($A415,'Daily Raw Data'!$B:$B,0)),"")</f>
        <v/>
      </c>
      <c r="N415" t="str">
        <f t="array" ref="N415">IFERROR(INDEX('Daily Raw Data'!W:W,Match($A415,'Daily Raw Data'!$B:$B,0)),"")</f>
        <v/>
      </c>
      <c r="O415" t="str">
        <f t="array" ref="O415">IFERROR(INDEX('Daily Raw Data'!Y:Y,Match($A415,'Daily Raw Data'!$B:$B,0)),"")</f>
        <v/>
      </c>
      <c r="P415" t="str">
        <f t="shared" si="1"/>
        <v/>
      </c>
      <c r="Q415" s="14" t="str">
        <f t="shared" si="2"/>
        <v/>
      </c>
      <c r="R415" s="15" t="str">
        <f>IFERROR(__xludf.DUMMYFUNCTION("IF($A415="""","""", IFERROR(PERCENTRANK.INC(FILTER(P:P,$E:$E&lt;&gt;""""),P415)*100,""""))"),"")</f>
        <v/>
      </c>
      <c r="S415" s="15" t="str">
        <f>IFERROR(__xludf.DUMMYFUNCTION("IF($A415="""","""",IFERROR(PERCENTRANK.INC(FILTER(Q:Q,$E:$E&lt;&gt;""""),Q415)*100,""""))"),"")</f>
        <v/>
      </c>
    </row>
    <row r="416">
      <c r="B416" t="str">
        <f t="array" ref="B416">IFERROR(INDEX('Player Raw Data'!C:C,Match($A416,'Player Raw Data'!$B:$B,0)),"")</f>
        <v/>
      </c>
      <c r="C416" t="str">
        <f t="array" ref="C416">IFERROR(INDEX('Player Raw Data'!D:D,Match($A416,'Player Raw Data'!$B:$B,0)),"")</f>
        <v/>
      </c>
      <c r="D416" t="str">
        <f t="array" ref="D416">IFERROR(IF(A416=A415, INDEX('Player Raw Data'!E:E,Match($A416,'Player Raw Data'!$B:$B,0)+2),INDEX('Player Raw Data'!E:E,Match($A416,'Player Raw Data'!$B:$B,0))),"")</f>
        <v/>
      </c>
      <c r="E416" s="27" t="str">
        <f>IFERROR(__xludf.DUMMYFUNCTION("IFERROR(ARRAY_CONSTRAIN(SPLIT(INDEX('Daily Raw Data'!G:G,Match($A416,'Daily Raw Data'!$B:$B,0)),"":""),1,1),"""")"),"")</f>
        <v/>
      </c>
      <c r="F416" t="str">
        <f t="array" ref="F416">IFERROR(INDEX('Daily Raw Data'!H:H,Match($A416,'Daily Raw Data'!$B:$B,0)),"")</f>
        <v/>
      </c>
      <c r="G416" t="str">
        <f t="array" ref="G416">IFERROR(INDEX('Daily Raw Data'!I:I,Match($A416,'Daily Raw Data'!$B:$B,0)),"")</f>
        <v/>
      </c>
      <c r="H416" t="str">
        <f t="array" ref="H416">IFERROR(INDEX('Daily Raw Data'!N:N,Match($A416,'Daily Raw Data'!$B:$B,0)),"")</f>
        <v/>
      </c>
      <c r="I416" t="str">
        <f t="array" ref="I416">IFERROR(INDEX('Daily Raw Data'!O:O,Match($A416,'Daily Raw Data'!$B:$B,0)),"")</f>
        <v/>
      </c>
      <c r="J416" t="str">
        <f t="array" ref="J416">IFERROR(INDEX('Daily Raw Data'!S:S,Match($A416,'Daily Raw Data'!$B:$B,0)),"")</f>
        <v/>
      </c>
      <c r="K416" t="str">
        <f t="array" ref="K416">IFERROR(INDEX('Daily Raw Data'!T:T,Match($A416,'Daily Raw Data'!$B:$B,0)),"")</f>
        <v/>
      </c>
      <c r="L416" t="str">
        <f t="array" ref="L416">IFERROR(INDEX('Daily Raw Data'!U:U,Match($A416,'Daily Raw Data'!$B:$B,0)),"")</f>
        <v/>
      </c>
      <c r="M416" t="str">
        <f t="array" ref="M416">IFERROR(INDEX('Daily Raw Data'!V:V,Match($A416,'Daily Raw Data'!$B:$B,0)),"")</f>
        <v/>
      </c>
      <c r="N416" t="str">
        <f t="array" ref="N416">IFERROR(INDEX('Daily Raw Data'!W:W,Match($A416,'Daily Raw Data'!$B:$B,0)),"")</f>
        <v/>
      </c>
      <c r="O416" t="str">
        <f t="array" ref="O416">IFERROR(INDEX('Daily Raw Data'!Y:Y,Match($A416,'Daily Raw Data'!$B:$B,0)),"")</f>
        <v/>
      </c>
      <c r="P416" t="str">
        <f t="shared" si="1"/>
        <v/>
      </c>
      <c r="Q416" s="14" t="str">
        <f t="shared" si="2"/>
        <v/>
      </c>
      <c r="R416" s="15" t="str">
        <f>IFERROR(__xludf.DUMMYFUNCTION("IF($A416="""","""", IFERROR(PERCENTRANK.INC(FILTER(P:P,$E:$E&lt;&gt;""""),P416)*100,""""))"),"")</f>
        <v/>
      </c>
      <c r="S416" s="15" t="str">
        <f>IFERROR(__xludf.DUMMYFUNCTION("IF($A416="""","""",IFERROR(PERCENTRANK.INC(FILTER(Q:Q,$E:$E&lt;&gt;""""),Q416)*100,""""))"),"")</f>
        <v/>
      </c>
    </row>
    <row r="417">
      <c r="B417" t="str">
        <f t="array" ref="B417">IFERROR(INDEX('Player Raw Data'!C:C,Match($A417,'Player Raw Data'!$B:$B,0)),"")</f>
        <v/>
      </c>
      <c r="C417" t="str">
        <f t="array" ref="C417">IFERROR(INDEX('Player Raw Data'!D:D,Match($A417,'Player Raw Data'!$B:$B,0)),"")</f>
        <v/>
      </c>
      <c r="D417" t="str">
        <f t="array" ref="D417">IFERROR(IF(A417=A416, INDEX('Player Raw Data'!E:E,Match($A417,'Player Raw Data'!$B:$B,0)+2),INDEX('Player Raw Data'!E:E,Match($A417,'Player Raw Data'!$B:$B,0))),"")</f>
        <v/>
      </c>
      <c r="E417" s="27" t="str">
        <f>IFERROR(__xludf.DUMMYFUNCTION("IFERROR(ARRAY_CONSTRAIN(SPLIT(INDEX('Daily Raw Data'!G:G,Match($A417,'Daily Raw Data'!$B:$B,0)),"":""),1,1),"""")"),"")</f>
        <v/>
      </c>
      <c r="F417" t="str">
        <f t="array" ref="F417">IFERROR(INDEX('Daily Raw Data'!H:H,Match($A417,'Daily Raw Data'!$B:$B,0)),"")</f>
        <v/>
      </c>
      <c r="G417" t="str">
        <f t="array" ref="G417">IFERROR(INDEX('Daily Raw Data'!I:I,Match($A417,'Daily Raw Data'!$B:$B,0)),"")</f>
        <v/>
      </c>
      <c r="H417" t="str">
        <f t="array" ref="H417">IFERROR(INDEX('Daily Raw Data'!N:N,Match($A417,'Daily Raw Data'!$B:$B,0)),"")</f>
        <v/>
      </c>
      <c r="I417" t="str">
        <f t="array" ref="I417">IFERROR(INDEX('Daily Raw Data'!O:O,Match($A417,'Daily Raw Data'!$B:$B,0)),"")</f>
        <v/>
      </c>
      <c r="J417" t="str">
        <f t="array" ref="J417">IFERROR(INDEX('Daily Raw Data'!S:S,Match($A417,'Daily Raw Data'!$B:$B,0)),"")</f>
        <v/>
      </c>
      <c r="K417" t="str">
        <f t="array" ref="K417">IFERROR(INDEX('Daily Raw Data'!T:T,Match($A417,'Daily Raw Data'!$B:$B,0)),"")</f>
        <v/>
      </c>
      <c r="L417" t="str">
        <f t="array" ref="L417">IFERROR(INDEX('Daily Raw Data'!U:U,Match($A417,'Daily Raw Data'!$B:$B,0)),"")</f>
        <v/>
      </c>
      <c r="M417" t="str">
        <f t="array" ref="M417">IFERROR(INDEX('Daily Raw Data'!V:V,Match($A417,'Daily Raw Data'!$B:$B,0)),"")</f>
        <v/>
      </c>
      <c r="N417" t="str">
        <f t="array" ref="N417">IFERROR(INDEX('Daily Raw Data'!W:W,Match($A417,'Daily Raw Data'!$B:$B,0)),"")</f>
        <v/>
      </c>
      <c r="O417" t="str">
        <f t="array" ref="O417">IFERROR(INDEX('Daily Raw Data'!Y:Y,Match($A417,'Daily Raw Data'!$B:$B,0)),"")</f>
        <v/>
      </c>
      <c r="P417" t="str">
        <f t="shared" si="1"/>
        <v/>
      </c>
      <c r="Q417" s="14" t="str">
        <f t="shared" si="2"/>
        <v/>
      </c>
      <c r="R417" s="15" t="str">
        <f>IFERROR(__xludf.DUMMYFUNCTION("IF($A417="""","""", IFERROR(PERCENTRANK.INC(FILTER(P:P,$E:$E&lt;&gt;""""),P417)*100,""""))"),"")</f>
        <v/>
      </c>
      <c r="S417" s="15" t="str">
        <f>IFERROR(__xludf.DUMMYFUNCTION("IF($A417="""","""",IFERROR(PERCENTRANK.INC(FILTER(Q:Q,$E:$E&lt;&gt;""""),Q417)*100,""""))"),"")</f>
        <v/>
      </c>
    </row>
    <row r="418">
      <c r="B418" t="str">
        <f t="array" ref="B418">IFERROR(INDEX('Player Raw Data'!C:C,Match($A418,'Player Raw Data'!$B:$B,0)),"")</f>
        <v/>
      </c>
      <c r="C418" t="str">
        <f t="array" ref="C418">IFERROR(INDEX('Player Raw Data'!D:D,Match($A418,'Player Raw Data'!$B:$B,0)),"")</f>
        <v/>
      </c>
      <c r="D418" t="str">
        <f t="array" ref="D418">IFERROR(IF(A418=A417, INDEX('Player Raw Data'!E:E,Match($A418,'Player Raw Data'!$B:$B,0)+2),INDEX('Player Raw Data'!E:E,Match($A418,'Player Raw Data'!$B:$B,0))),"")</f>
        <v/>
      </c>
      <c r="E418" s="27" t="str">
        <f>IFERROR(__xludf.DUMMYFUNCTION("IFERROR(ARRAY_CONSTRAIN(SPLIT(INDEX('Daily Raw Data'!G:G,Match($A418,'Daily Raw Data'!$B:$B,0)),"":""),1,1),"""")"),"")</f>
        <v/>
      </c>
      <c r="F418" t="str">
        <f t="array" ref="F418">IFERROR(INDEX('Daily Raw Data'!H:H,Match($A418,'Daily Raw Data'!$B:$B,0)),"")</f>
        <v/>
      </c>
      <c r="G418" t="str">
        <f t="array" ref="G418">IFERROR(INDEX('Daily Raw Data'!I:I,Match($A418,'Daily Raw Data'!$B:$B,0)),"")</f>
        <v/>
      </c>
      <c r="H418" t="str">
        <f t="array" ref="H418">IFERROR(INDEX('Daily Raw Data'!N:N,Match($A418,'Daily Raw Data'!$B:$B,0)),"")</f>
        <v/>
      </c>
      <c r="I418" t="str">
        <f t="array" ref="I418">IFERROR(INDEX('Daily Raw Data'!O:O,Match($A418,'Daily Raw Data'!$B:$B,0)),"")</f>
        <v/>
      </c>
      <c r="J418" t="str">
        <f t="array" ref="J418">IFERROR(INDEX('Daily Raw Data'!S:S,Match($A418,'Daily Raw Data'!$B:$B,0)),"")</f>
        <v/>
      </c>
      <c r="K418" t="str">
        <f t="array" ref="K418">IFERROR(INDEX('Daily Raw Data'!T:T,Match($A418,'Daily Raw Data'!$B:$B,0)),"")</f>
        <v/>
      </c>
      <c r="L418" t="str">
        <f t="array" ref="L418">IFERROR(INDEX('Daily Raw Data'!U:U,Match($A418,'Daily Raw Data'!$B:$B,0)),"")</f>
        <v/>
      </c>
      <c r="M418" t="str">
        <f t="array" ref="M418">IFERROR(INDEX('Daily Raw Data'!V:V,Match($A418,'Daily Raw Data'!$B:$B,0)),"")</f>
        <v/>
      </c>
      <c r="N418" t="str">
        <f t="array" ref="N418">IFERROR(INDEX('Daily Raw Data'!W:W,Match($A418,'Daily Raw Data'!$B:$B,0)),"")</f>
        <v/>
      </c>
      <c r="O418" t="str">
        <f t="array" ref="O418">IFERROR(INDEX('Daily Raw Data'!Y:Y,Match($A418,'Daily Raw Data'!$B:$B,0)),"")</f>
        <v/>
      </c>
      <c r="P418" t="str">
        <f t="shared" si="1"/>
        <v/>
      </c>
      <c r="Q418" s="14" t="str">
        <f t="shared" si="2"/>
        <v/>
      </c>
      <c r="R418" s="15" t="str">
        <f>IFERROR(__xludf.DUMMYFUNCTION("IF($A418="""","""", IFERROR(PERCENTRANK.INC(FILTER(P:P,$E:$E&lt;&gt;""""),P418)*100,""""))"),"")</f>
        <v/>
      </c>
      <c r="S418" s="15" t="str">
        <f>IFERROR(__xludf.DUMMYFUNCTION("IF($A418="""","""",IFERROR(PERCENTRANK.INC(FILTER(Q:Q,$E:$E&lt;&gt;""""),Q418)*100,""""))"),"")</f>
        <v/>
      </c>
    </row>
    <row r="419">
      <c r="B419" t="str">
        <f t="array" ref="B419">IFERROR(INDEX('Player Raw Data'!C:C,Match($A419,'Player Raw Data'!$B:$B,0)),"")</f>
        <v/>
      </c>
      <c r="C419" t="str">
        <f t="array" ref="C419">IFERROR(INDEX('Player Raw Data'!D:D,Match($A419,'Player Raw Data'!$B:$B,0)),"")</f>
        <v/>
      </c>
      <c r="D419" t="str">
        <f t="array" ref="D419">IFERROR(IF(A419=A418, INDEX('Player Raw Data'!E:E,Match($A419,'Player Raw Data'!$B:$B,0)+2),INDEX('Player Raw Data'!E:E,Match($A419,'Player Raw Data'!$B:$B,0))),"")</f>
        <v/>
      </c>
      <c r="E419" s="27" t="str">
        <f>IFERROR(__xludf.DUMMYFUNCTION("IFERROR(ARRAY_CONSTRAIN(SPLIT(INDEX('Daily Raw Data'!G:G,Match($A419,'Daily Raw Data'!$B:$B,0)),"":""),1,1),"""")"),"")</f>
        <v/>
      </c>
      <c r="F419" t="str">
        <f t="array" ref="F419">IFERROR(INDEX('Daily Raw Data'!H:H,Match($A419,'Daily Raw Data'!$B:$B,0)),"")</f>
        <v/>
      </c>
      <c r="G419" t="str">
        <f t="array" ref="G419">IFERROR(INDEX('Daily Raw Data'!I:I,Match($A419,'Daily Raw Data'!$B:$B,0)),"")</f>
        <v/>
      </c>
      <c r="H419" t="str">
        <f t="array" ref="H419">IFERROR(INDEX('Daily Raw Data'!N:N,Match($A419,'Daily Raw Data'!$B:$B,0)),"")</f>
        <v/>
      </c>
      <c r="I419" t="str">
        <f t="array" ref="I419">IFERROR(INDEX('Daily Raw Data'!O:O,Match($A419,'Daily Raw Data'!$B:$B,0)),"")</f>
        <v/>
      </c>
      <c r="J419" t="str">
        <f t="array" ref="J419">IFERROR(INDEX('Daily Raw Data'!S:S,Match($A419,'Daily Raw Data'!$B:$B,0)),"")</f>
        <v/>
      </c>
      <c r="K419" t="str">
        <f t="array" ref="K419">IFERROR(INDEX('Daily Raw Data'!T:T,Match($A419,'Daily Raw Data'!$B:$B,0)),"")</f>
        <v/>
      </c>
      <c r="L419" t="str">
        <f t="array" ref="L419">IFERROR(INDEX('Daily Raw Data'!U:U,Match($A419,'Daily Raw Data'!$B:$B,0)),"")</f>
        <v/>
      </c>
      <c r="M419" t="str">
        <f t="array" ref="M419">IFERROR(INDEX('Daily Raw Data'!V:V,Match($A419,'Daily Raw Data'!$B:$B,0)),"")</f>
        <v/>
      </c>
      <c r="N419" t="str">
        <f t="array" ref="N419">IFERROR(INDEX('Daily Raw Data'!W:W,Match($A419,'Daily Raw Data'!$B:$B,0)),"")</f>
        <v/>
      </c>
      <c r="O419" t="str">
        <f t="array" ref="O419">IFERROR(INDEX('Daily Raw Data'!Y:Y,Match($A419,'Daily Raw Data'!$B:$B,0)),"")</f>
        <v/>
      </c>
      <c r="P419" t="str">
        <f t="shared" si="1"/>
        <v/>
      </c>
      <c r="Q419" s="14" t="str">
        <f t="shared" si="2"/>
        <v/>
      </c>
      <c r="R419" s="15" t="str">
        <f>IFERROR(__xludf.DUMMYFUNCTION("IF($A419="""","""", IFERROR(PERCENTRANK.INC(FILTER(P:P,$E:$E&lt;&gt;""""),P419)*100,""""))"),"")</f>
        <v/>
      </c>
      <c r="S419" s="15" t="str">
        <f>IFERROR(__xludf.DUMMYFUNCTION("IF($A419="""","""",IFERROR(PERCENTRANK.INC(FILTER(Q:Q,$E:$E&lt;&gt;""""),Q419)*100,""""))"),"")</f>
        <v/>
      </c>
    </row>
    <row r="420">
      <c r="B420" t="str">
        <f t="array" ref="B420">IFERROR(INDEX('Player Raw Data'!C:C,Match($A420,'Player Raw Data'!$B:$B,0)),"")</f>
        <v/>
      </c>
      <c r="C420" t="str">
        <f t="array" ref="C420">IFERROR(INDEX('Player Raw Data'!D:D,Match($A420,'Player Raw Data'!$B:$B,0)),"")</f>
        <v/>
      </c>
      <c r="D420" t="str">
        <f t="array" ref="D420">IFERROR(IF(A420=A419, INDEX('Player Raw Data'!E:E,Match($A420,'Player Raw Data'!$B:$B,0)+2),INDEX('Player Raw Data'!E:E,Match($A420,'Player Raw Data'!$B:$B,0))),"")</f>
        <v/>
      </c>
      <c r="E420" s="27" t="str">
        <f>IFERROR(__xludf.DUMMYFUNCTION("IFERROR(ARRAY_CONSTRAIN(SPLIT(INDEX('Daily Raw Data'!G:G,Match($A420,'Daily Raw Data'!$B:$B,0)),"":""),1,1),"""")"),"")</f>
        <v/>
      </c>
      <c r="F420" t="str">
        <f t="array" ref="F420">IFERROR(INDEX('Daily Raw Data'!H:H,Match($A420,'Daily Raw Data'!$B:$B,0)),"")</f>
        <v/>
      </c>
      <c r="G420" t="str">
        <f t="array" ref="G420">IFERROR(INDEX('Daily Raw Data'!I:I,Match($A420,'Daily Raw Data'!$B:$B,0)),"")</f>
        <v/>
      </c>
      <c r="H420" t="str">
        <f t="array" ref="H420">IFERROR(INDEX('Daily Raw Data'!N:N,Match($A420,'Daily Raw Data'!$B:$B,0)),"")</f>
        <v/>
      </c>
      <c r="I420" t="str">
        <f t="array" ref="I420">IFERROR(INDEX('Daily Raw Data'!O:O,Match($A420,'Daily Raw Data'!$B:$B,0)),"")</f>
        <v/>
      </c>
      <c r="J420" t="str">
        <f t="array" ref="J420">IFERROR(INDEX('Daily Raw Data'!S:S,Match($A420,'Daily Raw Data'!$B:$B,0)),"")</f>
        <v/>
      </c>
      <c r="K420" t="str">
        <f t="array" ref="K420">IFERROR(INDEX('Daily Raw Data'!T:T,Match($A420,'Daily Raw Data'!$B:$B,0)),"")</f>
        <v/>
      </c>
      <c r="L420" t="str">
        <f t="array" ref="L420">IFERROR(INDEX('Daily Raw Data'!U:U,Match($A420,'Daily Raw Data'!$B:$B,0)),"")</f>
        <v/>
      </c>
      <c r="M420" t="str">
        <f t="array" ref="M420">IFERROR(INDEX('Daily Raw Data'!V:V,Match($A420,'Daily Raw Data'!$B:$B,0)),"")</f>
        <v/>
      </c>
      <c r="N420" t="str">
        <f t="array" ref="N420">IFERROR(INDEX('Daily Raw Data'!W:W,Match($A420,'Daily Raw Data'!$B:$B,0)),"")</f>
        <v/>
      </c>
      <c r="O420" t="str">
        <f t="array" ref="O420">IFERROR(INDEX('Daily Raw Data'!Y:Y,Match($A420,'Daily Raw Data'!$B:$B,0)),"")</f>
        <v/>
      </c>
      <c r="P420" t="str">
        <f t="shared" si="1"/>
        <v/>
      </c>
      <c r="Q420" s="14" t="str">
        <f t="shared" si="2"/>
        <v/>
      </c>
      <c r="R420" s="15" t="str">
        <f>IFERROR(__xludf.DUMMYFUNCTION("IF($A420="""","""", IFERROR(PERCENTRANK.INC(FILTER(P:P,$E:$E&lt;&gt;""""),P420)*100,""""))"),"")</f>
        <v/>
      </c>
      <c r="S420" s="15" t="str">
        <f>IFERROR(__xludf.DUMMYFUNCTION("IF($A420="""","""",IFERROR(PERCENTRANK.INC(FILTER(Q:Q,$E:$E&lt;&gt;""""),Q420)*100,""""))"),"")</f>
        <v/>
      </c>
    </row>
    <row r="421">
      <c r="B421" t="str">
        <f t="array" ref="B421">IFERROR(INDEX('Player Raw Data'!C:C,Match($A421,'Player Raw Data'!$B:$B,0)),"")</f>
        <v/>
      </c>
      <c r="C421" t="str">
        <f t="array" ref="C421">IFERROR(INDEX('Player Raw Data'!D:D,Match($A421,'Player Raw Data'!$B:$B,0)),"")</f>
        <v/>
      </c>
      <c r="D421" t="str">
        <f t="array" ref="D421">IFERROR(IF(A421=A420, INDEX('Player Raw Data'!E:E,Match($A421,'Player Raw Data'!$B:$B,0)+2),INDEX('Player Raw Data'!E:E,Match($A421,'Player Raw Data'!$B:$B,0))),"")</f>
        <v/>
      </c>
      <c r="E421" s="27" t="str">
        <f>IFERROR(__xludf.DUMMYFUNCTION("IFERROR(ARRAY_CONSTRAIN(SPLIT(INDEX('Daily Raw Data'!G:G,Match($A421,'Daily Raw Data'!$B:$B,0)),"":""),1,1),"""")"),"")</f>
        <v/>
      </c>
      <c r="F421" t="str">
        <f t="array" ref="F421">IFERROR(INDEX('Daily Raw Data'!H:H,Match($A421,'Daily Raw Data'!$B:$B,0)),"")</f>
        <v/>
      </c>
      <c r="G421" t="str">
        <f t="array" ref="G421">IFERROR(INDEX('Daily Raw Data'!I:I,Match($A421,'Daily Raw Data'!$B:$B,0)),"")</f>
        <v/>
      </c>
      <c r="H421" t="str">
        <f t="array" ref="H421">IFERROR(INDEX('Daily Raw Data'!N:N,Match($A421,'Daily Raw Data'!$B:$B,0)),"")</f>
        <v/>
      </c>
      <c r="I421" t="str">
        <f t="array" ref="I421">IFERROR(INDEX('Daily Raw Data'!O:O,Match($A421,'Daily Raw Data'!$B:$B,0)),"")</f>
        <v/>
      </c>
      <c r="J421" t="str">
        <f t="array" ref="J421">IFERROR(INDEX('Daily Raw Data'!S:S,Match($A421,'Daily Raw Data'!$B:$B,0)),"")</f>
        <v/>
      </c>
      <c r="K421" t="str">
        <f t="array" ref="K421">IFERROR(INDEX('Daily Raw Data'!T:T,Match($A421,'Daily Raw Data'!$B:$B,0)),"")</f>
        <v/>
      </c>
      <c r="L421" t="str">
        <f t="array" ref="L421">IFERROR(INDEX('Daily Raw Data'!U:U,Match($A421,'Daily Raw Data'!$B:$B,0)),"")</f>
        <v/>
      </c>
      <c r="M421" t="str">
        <f t="array" ref="M421">IFERROR(INDEX('Daily Raw Data'!V:V,Match($A421,'Daily Raw Data'!$B:$B,0)),"")</f>
        <v/>
      </c>
      <c r="N421" t="str">
        <f t="array" ref="N421">IFERROR(INDEX('Daily Raw Data'!W:W,Match($A421,'Daily Raw Data'!$B:$B,0)),"")</f>
        <v/>
      </c>
      <c r="O421" t="str">
        <f t="array" ref="O421">IFERROR(INDEX('Daily Raw Data'!Y:Y,Match($A421,'Daily Raw Data'!$B:$B,0)),"")</f>
        <v/>
      </c>
      <c r="P421" t="str">
        <f t="shared" si="1"/>
        <v/>
      </c>
      <c r="Q421" s="14" t="str">
        <f t="shared" si="2"/>
        <v/>
      </c>
      <c r="R421" s="15" t="str">
        <f>IFERROR(__xludf.DUMMYFUNCTION("IF($A421="""","""", IFERROR(PERCENTRANK.INC(FILTER(P:P,$E:$E&lt;&gt;""""),P421)*100,""""))"),"")</f>
        <v/>
      </c>
      <c r="S421" s="15" t="str">
        <f>IFERROR(__xludf.DUMMYFUNCTION("IF($A421="""","""",IFERROR(PERCENTRANK.INC(FILTER(Q:Q,$E:$E&lt;&gt;""""),Q421)*100,""""))"),"")</f>
        <v/>
      </c>
    </row>
    <row r="422">
      <c r="B422" t="str">
        <f t="array" ref="B422">IFERROR(INDEX('Player Raw Data'!C:C,Match($A422,'Player Raw Data'!$B:$B,0)),"")</f>
        <v/>
      </c>
      <c r="C422" t="str">
        <f t="array" ref="C422">IFERROR(INDEX('Player Raw Data'!D:D,Match($A422,'Player Raw Data'!$B:$B,0)),"")</f>
        <v/>
      </c>
      <c r="D422" t="str">
        <f t="array" ref="D422">IFERROR(IF(A422=A421, INDEX('Player Raw Data'!E:E,Match($A422,'Player Raw Data'!$B:$B,0)+2),INDEX('Player Raw Data'!E:E,Match($A422,'Player Raw Data'!$B:$B,0))),"")</f>
        <v/>
      </c>
      <c r="E422" s="27" t="str">
        <f>IFERROR(__xludf.DUMMYFUNCTION("IFERROR(ARRAY_CONSTRAIN(SPLIT(INDEX('Daily Raw Data'!G:G,Match($A422,'Daily Raw Data'!$B:$B,0)),"":""),1,1),"""")"),"")</f>
        <v/>
      </c>
      <c r="F422" t="str">
        <f t="array" ref="F422">IFERROR(INDEX('Daily Raw Data'!H:H,Match($A422,'Daily Raw Data'!$B:$B,0)),"")</f>
        <v/>
      </c>
      <c r="G422" t="str">
        <f t="array" ref="G422">IFERROR(INDEX('Daily Raw Data'!I:I,Match($A422,'Daily Raw Data'!$B:$B,0)),"")</f>
        <v/>
      </c>
      <c r="H422" t="str">
        <f t="array" ref="H422">IFERROR(INDEX('Daily Raw Data'!N:N,Match($A422,'Daily Raw Data'!$B:$B,0)),"")</f>
        <v/>
      </c>
      <c r="I422" t="str">
        <f t="array" ref="I422">IFERROR(INDEX('Daily Raw Data'!O:O,Match($A422,'Daily Raw Data'!$B:$B,0)),"")</f>
        <v/>
      </c>
      <c r="J422" t="str">
        <f t="array" ref="J422">IFERROR(INDEX('Daily Raw Data'!S:S,Match($A422,'Daily Raw Data'!$B:$B,0)),"")</f>
        <v/>
      </c>
      <c r="K422" t="str">
        <f t="array" ref="K422">IFERROR(INDEX('Daily Raw Data'!T:T,Match($A422,'Daily Raw Data'!$B:$B,0)),"")</f>
        <v/>
      </c>
      <c r="L422" t="str">
        <f t="array" ref="L422">IFERROR(INDEX('Daily Raw Data'!U:U,Match($A422,'Daily Raw Data'!$B:$B,0)),"")</f>
        <v/>
      </c>
      <c r="M422" t="str">
        <f t="array" ref="M422">IFERROR(INDEX('Daily Raw Data'!V:V,Match($A422,'Daily Raw Data'!$B:$B,0)),"")</f>
        <v/>
      </c>
      <c r="N422" t="str">
        <f t="array" ref="N422">IFERROR(INDEX('Daily Raw Data'!W:W,Match($A422,'Daily Raw Data'!$B:$B,0)),"")</f>
        <v/>
      </c>
      <c r="O422" t="str">
        <f t="array" ref="O422">IFERROR(INDEX('Daily Raw Data'!Y:Y,Match($A422,'Daily Raw Data'!$B:$B,0)),"")</f>
        <v/>
      </c>
      <c r="P422" t="str">
        <f t="shared" si="1"/>
        <v/>
      </c>
      <c r="Q422" s="14" t="str">
        <f t="shared" si="2"/>
        <v/>
      </c>
      <c r="R422" s="15" t="str">
        <f>IFERROR(__xludf.DUMMYFUNCTION("IF($A422="""","""", IFERROR(PERCENTRANK.INC(FILTER(P:P,$E:$E&lt;&gt;""""),P422)*100,""""))"),"")</f>
        <v/>
      </c>
      <c r="S422" s="15" t="str">
        <f>IFERROR(__xludf.DUMMYFUNCTION("IF($A422="""","""",IFERROR(PERCENTRANK.INC(FILTER(Q:Q,$E:$E&lt;&gt;""""),Q422)*100,""""))"),"")</f>
        <v/>
      </c>
    </row>
    <row r="423">
      <c r="B423" t="str">
        <f t="array" ref="B423">IFERROR(INDEX('Player Raw Data'!C:C,Match($A423,'Player Raw Data'!$B:$B,0)),"")</f>
        <v/>
      </c>
      <c r="C423" t="str">
        <f t="array" ref="C423">IFERROR(INDEX('Player Raw Data'!D:D,Match($A423,'Player Raw Data'!$B:$B,0)),"")</f>
        <v/>
      </c>
      <c r="D423" t="str">
        <f t="array" ref="D423">IFERROR(IF(A423=A422, INDEX('Player Raw Data'!E:E,Match($A423,'Player Raw Data'!$B:$B,0)+2),INDEX('Player Raw Data'!E:E,Match($A423,'Player Raw Data'!$B:$B,0))),"")</f>
        <v/>
      </c>
      <c r="E423" s="27" t="str">
        <f>IFERROR(__xludf.DUMMYFUNCTION("IFERROR(ARRAY_CONSTRAIN(SPLIT(INDEX('Daily Raw Data'!G:G,Match($A423,'Daily Raw Data'!$B:$B,0)),"":""),1,1),"""")"),"")</f>
        <v/>
      </c>
      <c r="F423" t="str">
        <f t="array" ref="F423">IFERROR(INDEX('Daily Raw Data'!H:H,Match($A423,'Daily Raw Data'!$B:$B,0)),"")</f>
        <v/>
      </c>
      <c r="G423" t="str">
        <f t="array" ref="G423">IFERROR(INDEX('Daily Raw Data'!I:I,Match($A423,'Daily Raw Data'!$B:$B,0)),"")</f>
        <v/>
      </c>
      <c r="H423" t="str">
        <f t="array" ref="H423">IFERROR(INDEX('Daily Raw Data'!N:N,Match($A423,'Daily Raw Data'!$B:$B,0)),"")</f>
        <v/>
      </c>
      <c r="I423" t="str">
        <f t="array" ref="I423">IFERROR(INDEX('Daily Raw Data'!O:O,Match($A423,'Daily Raw Data'!$B:$B,0)),"")</f>
        <v/>
      </c>
      <c r="J423" t="str">
        <f t="array" ref="J423">IFERROR(INDEX('Daily Raw Data'!S:S,Match($A423,'Daily Raw Data'!$B:$B,0)),"")</f>
        <v/>
      </c>
      <c r="K423" t="str">
        <f t="array" ref="K423">IFERROR(INDEX('Daily Raw Data'!T:T,Match($A423,'Daily Raw Data'!$B:$B,0)),"")</f>
        <v/>
      </c>
      <c r="L423" t="str">
        <f t="array" ref="L423">IFERROR(INDEX('Daily Raw Data'!U:U,Match($A423,'Daily Raw Data'!$B:$B,0)),"")</f>
        <v/>
      </c>
      <c r="M423" t="str">
        <f t="array" ref="M423">IFERROR(INDEX('Daily Raw Data'!V:V,Match($A423,'Daily Raw Data'!$B:$B,0)),"")</f>
        <v/>
      </c>
      <c r="N423" t="str">
        <f t="array" ref="N423">IFERROR(INDEX('Daily Raw Data'!W:W,Match($A423,'Daily Raw Data'!$B:$B,0)),"")</f>
        <v/>
      </c>
      <c r="O423" t="str">
        <f t="array" ref="O423">IFERROR(INDEX('Daily Raw Data'!Y:Y,Match($A423,'Daily Raw Data'!$B:$B,0)),"")</f>
        <v/>
      </c>
      <c r="P423" t="str">
        <f t="shared" si="1"/>
        <v/>
      </c>
      <c r="Q423" s="14" t="str">
        <f t="shared" si="2"/>
        <v/>
      </c>
      <c r="R423" s="15" t="str">
        <f>IFERROR(__xludf.DUMMYFUNCTION("IF($A423="""","""", IFERROR(PERCENTRANK.INC(FILTER(P:P,$E:$E&lt;&gt;""""),P423)*100,""""))"),"")</f>
        <v/>
      </c>
      <c r="S423" s="15" t="str">
        <f>IFERROR(__xludf.DUMMYFUNCTION("IF($A423="""","""",IFERROR(PERCENTRANK.INC(FILTER(Q:Q,$E:$E&lt;&gt;""""),Q423)*100,""""))"),"")</f>
        <v/>
      </c>
    </row>
    <row r="424">
      <c r="B424" t="str">
        <f t="array" ref="B424">IFERROR(INDEX('Player Raw Data'!C:C,Match($A424,'Player Raw Data'!$B:$B,0)),"")</f>
        <v/>
      </c>
      <c r="C424" t="str">
        <f t="array" ref="C424">IFERROR(INDEX('Player Raw Data'!D:D,Match($A424,'Player Raw Data'!$B:$B,0)),"")</f>
        <v/>
      </c>
      <c r="D424" t="str">
        <f t="array" ref="D424">IFERROR(IF(A424=A423, INDEX('Player Raw Data'!E:E,Match($A424,'Player Raw Data'!$B:$B,0)+2),INDEX('Player Raw Data'!E:E,Match($A424,'Player Raw Data'!$B:$B,0))),"")</f>
        <v/>
      </c>
      <c r="E424" s="27" t="str">
        <f>IFERROR(__xludf.DUMMYFUNCTION("IFERROR(ARRAY_CONSTRAIN(SPLIT(INDEX('Daily Raw Data'!G:G,Match($A424,'Daily Raw Data'!$B:$B,0)),"":""),1,1),"""")"),"")</f>
        <v/>
      </c>
      <c r="F424" t="str">
        <f t="array" ref="F424">IFERROR(INDEX('Daily Raw Data'!H:H,Match($A424,'Daily Raw Data'!$B:$B,0)),"")</f>
        <v/>
      </c>
      <c r="G424" t="str">
        <f t="array" ref="G424">IFERROR(INDEX('Daily Raw Data'!I:I,Match($A424,'Daily Raw Data'!$B:$B,0)),"")</f>
        <v/>
      </c>
      <c r="H424" t="str">
        <f t="array" ref="H424">IFERROR(INDEX('Daily Raw Data'!N:N,Match($A424,'Daily Raw Data'!$B:$B,0)),"")</f>
        <v/>
      </c>
      <c r="I424" t="str">
        <f t="array" ref="I424">IFERROR(INDEX('Daily Raw Data'!O:O,Match($A424,'Daily Raw Data'!$B:$B,0)),"")</f>
        <v/>
      </c>
      <c r="J424" t="str">
        <f t="array" ref="J424">IFERROR(INDEX('Daily Raw Data'!S:S,Match($A424,'Daily Raw Data'!$B:$B,0)),"")</f>
        <v/>
      </c>
      <c r="K424" t="str">
        <f t="array" ref="K424">IFERROR(INDEX('Daily Raw Data'!T:T,Match($A424,'Daily Raw Data'!$B:$B,0)),"")</f>
        <v/>
      </c>
      <c r="L424" t="str">
        <f t="array" ref="L424">IFERROR(INDEX('Daily Raw Data'!U:U,Match($A424,'Daily Raw Data'!$B:$B,0)),"")</f>
        <v/>
      </c>
      <c r="M424" t="str">
        <f t="array" ref="M424">IFERROR(INDEX('Daily Raw Data'!V:V,Match($A424,'Daily Raw Data'!$B:$B,0)),"")</f>
        <v/>
      </c>
      <c r="N424" t="str">
        <f t="array" ref="N424">IFERROR(INDEX('Daily Raw Data'!W:W,Match($A424,'Daily Raw Data'!$B:$B,0)),"")</f>
        <v/>
      </c>
      <c r="O424" t="str">
        <f t="array" ref="O424">IFERROR(INDEX('Daily Raw Data'!Y:Y,Match($A424,'Daily Raw Data'!$B:$B,0)),"")</f>
        <v/>
      </c>
      <c r="P424" t="str">
        <f t="shared" si="1"/>
        <v/>
      </c>
      <c r="Q424" s="14" t="str">
        <f t="shared" si="2"/>
        <v/>
      </c>
      <c r="R424" s="15" t="str">
        <f>IFERROR(__xludf.DUMMYFUNCTION("IF($A424="""","""", IFERROR(PERCENTRANK.INC(FILTER(P:P,$E:$E&lt;&gt;""""),P424)*100,""""))"),"")</f>
        <v/>
      </c>
      <c r="S424" s="15" t="str">
        <f>IFERROR(__xludf.DUMMYFUNCTION("IF($A424="""","""",IFERROR(PERCENTRANK.INC(FILTER(Q:Q,$E:$E&lt;&gt;""""),Q424)*100,""""))"),"")</f>
        <v/>
      </c>
    </row>
    <row r="425">
      <c r="B425" t="str">
        <f t="array" ref="B425">IFERROR(INDEX('Player Raw Data'!C:C,Match($A425,'Player Raw Data'!$B:$B,0)),"")</f>
        <v/>
      </c>
      <c r="C425" t="str">
        <f t="array" ref="C425">IFERROR(INDEX('Player Raw Data'!D:D,Match($A425,'Player Raw Data'!$B:$B,0)),"")</f>
        <v/>
      </c>
      <c r="D425" t="str">
        <f t="array" ref="D425">IFERROR(IF(A425=A424, INDEX('Player Raw Data'!E:E,Match($A425,'Player Raw Data'!$B:$B,0)+2),INDEX('Player Raw Data'!E:E,Match($A425,'Player Raw Data'!$B:$B,0))),"")</f>
        <v/>
      </c>
      <c r="E425" s="27" t="str">
        <f>IFERROR(__xludf.DUMMYFUNCTION("IFERROR(ARRAY_CONSTRAIN(SPLIT(INDEX('Daily Raw Data'!G:G,Match($A425,'Daily Raw Data'!$B:$B,0)),"":""),1,1),"""")"),"")</f>
        <v/>
      </c>
      <c r="F425" t="str">
        <f t="array" ref="F425">IFERROR(INDEX('Daily Raw Data'!H:H,Match($A425,'Daily Raw Data'!$B:$B,0)),"")</f>
        <v/>
      </c>
      <c r="G425" t="str">
        <f t="array" ref="G425">IFERROR(INDEX('Daily Raw Data'!I:I,Match($A425,'Daily Raw Data'!$B:$B,0)),"")</f>
        <v/>
      </c>
      <c r="H425" t="str">
        <f t="array" ref="H425">IFERROR(INDEX('Daily Raw Data'!N:N,Match($A425,'Daily Raw Data'!$B:$B,0)),"")</f>
        <v/>
      </c>
      <c r="I425" t="str">
        <f t="array" ref="I425">IFERROR(INDEX('Daily Raw Data'!O:O,Match($A425,'Daily Raw Data'!$B:$B,0)),"")</f>
        <v/>
      </c>
      <c r="J425" t="str">
        <f t="array" ref="J425">IFERROR(INDEX('Daily Raw Data'!S:S,Match($A425,'Daily Raw Data'!$B:$B,0)),"")</f>
        <v/>
      </c>
      <c r="K425" t="str">
        <f t="array" ref="K425">IFERROR(INDEX('Daily Raw Data'!T:T,Match($A425,'Daily Raw Data'!$B:$B,0)),"")</f>
        <v/>
      </c>
      <c r="L425" t="str">
        <f t="array" ref="L425">IFERROR(INDEX('Daily Raw Data'!U:U,Match($A425,'Daily Raw Data'!$B:$B,0)),"")</f>
        <v/>
      </c>
      <c r="M425" t="str">
        <f t="array" ref="M425">IFERROR(INDEX('Daily Raw Data'!V:V,Match($A425,'Daily Raw Data'!$B:$B,0)),"")</f>
        <v/>
      </c>
      <c r="N425" t="str">
        <f t="array" ref="N425">IFERROR(INDEX('Daily Raw Data'!W:W,Match($A425,'Daily Raw Data'!$B:$B,0)),"")</f>
        <v/>
      </c>
      <c r="O425" t="str">
        <f t="array" ref="O425">IFERROR(INDEX('Daily Raw Data'!Y:Y,Match($A425,'Daily Raw Data'!$B:$B,0)),"")</f>
        <v/>
      </c>
      <c r="P425" t="str">
        <f t="shared" si="1"/>
        <v/>
      </c>
      <c r="Q425" s="14" t="str">
        <f t="shared" si="2"/>
        <v/>
      </c>
      <c r="R425" s="15" t="str">
        <f>IFERROR(__xludf.DUMMYFUNCTION("IF($A425="""","""", IFERROR(PERCENTRANK.INC(FILTER(P:P,$E:$E&lt;&gt;""""),P425)*100,""""))"),"")</f>
        <v/>
      </c>
      <c r="S425" s="15" t="str">
        <f>IFERROR(__xludf.DUMMYFUNCTION("IF($A425="""","""",IFERROR(PERCENTRANK.INC(FILTER(Q:Q,$E:$E&lt;&gt;""""),Q425)*100,""""))"),"")</f>
        <v/>
      </c>
    </row>
    <row r="426">
      <c r="B426" t="str">
        <f t="array" ref="B426">IFERROR(INDEX('Player Raw Data'!C:C,Match($A426,'Player Raw Data'!$B:$B,0)),"")</f>
        <v/>
      </c>
      <c r="C426" t="str">
        <f t="array" ref="C426">IFERROR(INDEX('Player Raw Data'!D:D,Match($A426,'Player Raw Data'!$B:$B,0)),"")</f>
        <v/>
      </c>
      <c r="D426" t="str">
        <f t="array" ref="D426">IFERROR(IF(A426=A425, INDEX('Player Raw Data'!E:E,Match($A426,'Player Raw Data'!$B:$B,0)+2),INDEX('Player Raw Data'!E:E,Match($A426,'Player Raw Data'!$B:$B,0))),"")</f>
        <v/>
      </c>
      <c r="E426" s="27" t="str">
        <f>IFERROR(__xludf.DUMMYFUNCTION("IFERROR(ARRAY_CONSTRAIN(SPLIT(INDEX('Daily Raw Data'!G:G,Match($A426,'Daily Raw Data'!$B:$B,0)),"":""),1,1),"""")"),"")</f>
        <v/>
      </c>
      <c r="F426" t="str">
        <f t="array" ref="F426">IFERROR(INDEX('Daily Raw Data'!H:H,Match($A426,'Daily Raw Data'!$B:$B,0)),"")</f>
        <v/>
      </c>
      <c r="G426" t="str">
        <f t="array" ref="G426">IFERROR(INDEX('Daily Raw Data'!I:I,Match($A426,'Daily Raw Data'!$B:$B,0)),"")</f>
        <v/>
      </c>
      <c r="H426" t="str">
        <f t="array" ref="H426">IFERROR(INDEX('Daily Raw Data'!N:N,Match($A426,'Daily Raw Data'!$B:$B,0)),"")</f>
        <v/>
      </c>
      <c r="I426" t="str">
        <f t="array" ref="I426">IFERROR(INDEX('Daily Raw Data'!O:O,Match($A426,'Daily Raw Data'!$B:$B,0)),"")</f>
        <v/>
      </c>
      <c r="J426" t="str">
        <f t="array" ref="J426">IFERROR(INDEX('Daily Raw Data'!S:S,Match($A426,'Daily Raw Data'!$B:$B,0)),"")</f>
        <v/>
      </c>
      <c r="K426" t="str">
        <f t="array" ref="K426">IFERROR(INDEX('Daily Raw Data'!T:T,Match($A426,'Daily Raw Data'!$B:$B,0)),"")</f>
        <v/>
      </c>
      <c r="L426" t="str">
        <f t="array" ref="L426">IFERROR(INDEX('Daily Raw Data'!U:U,Match($A426,'Daily Raw Data'!$B:$B,0)),"")</f>
        <v/>
      </c>
      <c r="M426" t="str">
        <f t="array" ref="M426">IFERROR(INDEX('Daily Raw Data'!V:V,Match($A426,'Daily Raw Data'!$B:$B,0)),"")</f>
        <v/>
      </c>
      <c r="N426" t="str">
        <f t="array" ref="N426">IFERROR(INDEX('Daily Raw Data'!W:W,Match($A426,'Daily Raw Data'!$B:$B,0)),"")</f>
        <v/>
      </c>
      <c r="O426" t="str">
        <f t="array" ref="O426">IFERROR(INDEX('Daily Raw Data'!Y:Y,Match($A426,'Daily Raw Data'!$B:$B,0)),"")</f>
        <v/>
      </c>
      <c r="P426" t="str">
        <f t="shared" si="1"/>
        <v/>
      </c>
      <c r="Q426" s="14" t="str">
        <f t="shared" si="2"/>
        <v/>
      </c>
      <c r="R426" s="15" t="str">
        <f>IFERROR(__xludf.DUMMYFUNCTION("IF($A426="""","""", IFERROR(PERCENTRANK.INC(FILTER(P:P,$E:$E&lt;&gt;""""),P426)*100,""""))"),"")</f>
        <v/>
      </c>
      <c r="S426" s="15" t="str">
        <f>IFERROR(__xludf.DUMMYFUNCTION("IF($A426="""","""",IFERROR(PERCENTRANK.INC(FILTER(Q:Q,$E:$E&lt;&gt;""""),Q426)*100,""""))"),"")</f>
        <v/>
      </c>
    </row>
    <row r="427">
      <c r="B427" t="str">
        <f t="array" ref="B427">IFERROR(INDEX('Player Raw Data'!C:C,Match($A427,'Player Raw Data'!$B:$B,0)),"")</f>
        <v/>
      </c>
      <c r="C427" t="str">
        <f t="array" ref="C427">IFERROR(INDEX('Player Raw Data'!D:D,Match($A427,'Player Raw Data'!$B:$B,0)),"")</f>
        <v/>
      </c>
      <c r="D427" t="str">
        <f t="array" ref="D427">IFERROR(IF(A427=A426, INDEX('Player Raw Data'!E:E,Match($A427,'Player Raw Data'!$B:$B,0)+2),INDEX('Player Raw Data'!E:E,Match($A427,'Player Raw Data'!$B:$B,0))),"")</f>
        <v/>
      </c>
      <c r="E427" s="27" t="str">
        <f>IFERROR(__xludf.DUMMYFUNCTION("IFERROR(ARRAY_CONSTRAIN(SPLIT(INDEX('Daily Raw Data'!G:G,Match($A427,'Daily Raw Data'!$B:$B,0)),"":""),1,1),"""")"),"")</f>
        <v/>
      </c>
      <c r="F427" t="str">
        <f t="array" ref="F427">IFERROR(INDEX('Daily Raw Data'!H:H,Match($A427,'Daily Raw Data'!$B:$B,0)),"")</f>
        <v/>
      </c>
      <c r="G427" t="str">
        <f t="array" ref="G427">IFERROR(INDEX('Daily Raw Data'!I:I,Match($A427,'Daily Raw Data'!$B:$B,0)),"")</f>
        <v/>
      </c>
      <c r="H427" t="str">
        <f t="array" ref="H427">IFERROR(INDEX('Daily Raw Data'!N:N,Match($A427,'Daily Raw Data'!$B:$B,0)),"")</f>
        <v/>
      </c>
      <c r="I427" t="str">
        <f t="array" ref="I427">IFERROR(INDEX('Daily Raw Data'!O:O,Match($A427,'Daily Raw Data'!$B:$B,0)),"")</f>
        <v/>
      </c>
      <c r="J427" t="str">
        <f t="array" ref="J427">IFERROR(INDEX('Daily Raw Data'!S:S,Match($A427,'Daily Raw Data'!$B:$B,0)),"")</f>
        <v/>
      </c>
      <c r="K427" t="str">
        <f t="array" ref="K427">IFERROR(INDEX('Daily Raw Data'!T:T,Match($A427,'Daily Raw Data'!$B:$B,0)),"")</f>
        <v/>
      </c>
      <c r="L427" t="str">
        <f t="array" ref="L427">IFERROR(INDEX('Daily Raw Data'!U:U,Match($A427,'Daily Raw Data'!$B:$B,0)),"")</f>
        <v/>
      </c>
      <c r="M427" t="str">
        <f t="array" ref="M427">IFERROR(INDEX('Daily Raw Data'!V:V,Match($A427,'Daily Raw Data'!$B:$B,0)),"")</f>
        <v/>
      </c>
      <c r="N427" t="str">
        <f t="array" ref="N427">IFERROR(INDEX('Daily Raw Data'!W:W,Match($A427,'Daily Raw Data'!$B:$B,0)),"")</f>
        <v/>
      </c>
      <c r="O427" t="str">
        <f t="array" ref="O427">IFERROR(INDEX('Daily Raw Data'!Y:Y,Match($A427,'Daily Raw Data'!$B:$B,0)),"")</f>
        <v/>
      </c>
      <c r="P427" t="str">
        <f t="shared" si="1"/>
        <v/>
      </c>
      <c r="Q427" s="14" t="str">
        <f t="shared" si="2"/>
        <v/>
      </c>
      <c r="R427" s="15" t="str">
        <f>IFERROR(__xludf.DUMMYFUNCTION("IF($A427="""","""", IFERROR(PERCENTRANK.INC(FILTER(P:P,$E:$E&lt;&gt;""""),P427)*100,""""))"),"")</f>
        <v/>
      </c>
      <c r="S427" s="15" t="str">
        <f>IFERROR(__xludf.DUMMYFUNCTION("IF($A427="""","""",IFERROR(PERCENTRANK.INC(FILTER(Q:Q,$E:$E&lt;&gt;""""),Q427)*100,""""))"),"")</f>
        <v/>
      </c>
    </row>
    <row r="428">
      <c r="B428" t="str">
        <f t="array" ref="B428">IFERROR(INDEX('Player Raw Data'!C:C,Match($A428,'Player Raw Data'!$B:$B,0)),"")</f>
        <v/>
      </c>
      <c r="C428" t="str">
        <f t="array" ref="C428">IFERROR(INDEX('Player Raw Data'!D:D,Match($A428,'Player Raw Data'!$B:$B,0)),"")</f>
        <v/>
      </c>
      <c r="D428" t="str">
        <f t="array" ref="D428">IFERROR(IF(A428=A427, INDEX('Player Raw Data'!E:E,Match($A428,'Player Raw Data'!$B:$B,0)+2),INDEX('Player Raw Data'!E:E,Match($A428,'Player Raw Data'!$B:$B,0))),"")</f>
        <v/>
      </c>
      <c r="E428" s="27" t="str">
        <f>IFERROR(__xludf.DUMMYFUNCTION("IFERROR(ARRAY_CONSTRAIN(SPLIT(INDEX('Daily Raw Data'!G:G,Match($A428,'Daily Raw Data'!$B:$B,0)),"":""),1,1),"""")"),"")</f>
        <v/>
      </c>
      <c r="F428" t="str">
        <f t="array" ref="F428">IFERROR(INDEX('Daily Raw Data'!H:H,Match($A428,'Daily Raw Data'!$B:$B,0)),"")</f>
        <v/>
      </c>
      <c r="G428" t="str">
        <f t="array" ref="G428">IFERROR(INDEX('Daily Raw Data'!I:I,Match($A428,'Daily Raw Data'!$B:$B,0)),"")</f>
        <v/>
      </c>
      <c r="H428" t="str">
        <f t="array" ref="H428">IFERROR(INDEX('Daily Raw Data'!N:N,Match($A428,'Daily Raw Data'!$B:$B,0)),"")</f>
        <v/>
      </c>
      <c r="I428" t="str">
        <f t="array" ref="I428">IFERROR(INDEX('Daily Raw Data'!O:O,Match($A428,'Daily Raw Data'!$B:$B,0)),"")</f>
        <v/>
      </c>
      <c r="J428" t="str">
        <f t="array" ref="J428">IFERROR(INDEX('Daily Raw Data'!S:S,Match($A428,'Daily Raw Data'!$B:$B,0)),"")</f>
        <v/>
      </c>
      <c r="K428" t="str">
        <f t="array" ref="K428">IFERROR(INDEX('Daily Raw Data'!T:T,Match($A428,'Daily Raw Data'!$B:$B,0)),"")</f>
        <v/>
      </c>
      <c r="L428" t="str">
        <f t="array" ref="L428">IFERROR(INDEX('Daily Raw Data'!U:U,Match($A428,'Daily Raw Data'!$B:$B,0)),"")</f>
        <v/>
      </c>
      <c r="M428" t="str">
        <f t="array" ref="M428">IFERROR(INDEX('Daily Raw Data'!V:V,Match($A428,'Daily Raw Data'!$B:$B,0)),"")</f>
        <v/>
      </c>
      <c r="N428" t="str">
        <f t="array" ref="N428">IFERROR(INDEX('Daily Raw Data'!W:W,Match($A428,'Daily Raw Data'!$B:$B,0)),"")</f>
        <v/>
      </c>
      <c r="O428" t="str">
        <f t="array" ref="O428">IFERROR(INDEX('Daily Raw Data'!Y:Y,Match($A428,'Daily Raw Data'!$B:$B,0)),"")</f>
        <v/>
      </c>
      <c r="P428" t="str">
        <f t="shared" si="1"/>
        <v/>
      </c>
      <c r="Q428" s="14" t="str">
        <f t="shared" si="2"/>
        <v/>
      </c>
      <c r="R428" s="15" t="str">
        <f>IFERROR(__xludf.DUMMYFUNCTION("IF($A428="""","""", IFERROR(PERCENTRANK.INC(FILTER(P:P,$E:$E&lt;&gt;""""),P428)*100,""""))"),"")</f>
        <v/>
      </c>
      <c r="S428" s="15" t="str">
        <f>IFERROR(__xludf.DUMMYFUNCTION("IF($A428="""","""",IFERROR(PERCENTRANK.INC(FILTER(Q:Q,$E:$E&lt;&gt;""""),Q428)*100,""""))"),"")</f>
        <v/>
      </c>
    </row>
    <row r="429">
      <c r="B429" t="str">
        <f t="array" ref="B429">IFERROR(INDEX('Player Raw Data'!C:C,Match($A429,'Player Raw Data'!$B:$B,0)),"")</f>
        <v/>
      </c>
      <c r="C429" t="str">
        <f t="array" ref="C429">IFERROR(INDEX('Player Raw Data'!D:D,Match($A429,'Player Raw Data'!$B:$B,0)),"")</f>
        <v/>
      </c>
      <c r="D429" t="str">
        <f t="array" ref="D429">IFERROR(IF(A429=A428, INDEX('Player Raw Data'!E:E,Match($A429,'Player Raw Data'!$B:$B,0)+2),INDEX('Player Raw Data'!E:E,Match($A429,'Player Raw Data'!$B:$B,0))),"")</f>
        <v/>
      </c>
      <c r="E429" s="27" t="str">
        <f>IFERROR(__xludf.DUMMYFUNCTION("IFERROR(ARRAY_CONSTRAIN(SPLIT(INDEX('Daily Raw Data'!G:G,Match($A429,'Daily Raw Data'!$B:$B,0)),"":""),1,1),"""")"),"")</f>
        <v/>
      </c>
      <c r="F429" t="str">
        <f t="array" ref="F429">IFERROR(INDEX('Daily Raw Data'!H:H,Match($A429,'Daily Raw Data'!$B:$B,0)),"")</f>
        <v/>
      </c>
      <c r="G429" t="str">
        <f t="array" ref="G429">IFERROR(INDEX('Daily Raw Data'!I:I,Match($A429,'Daily Raw Data'!$B:$B,0)),"")</f>
        <v/>
      </c>
      <c r="H429" t="str">
        <f t="array" ref="H429">IFERROR(INDEX('Daily Raw Data'!N:N,Match($A429,'Daily Raw Data'!$B:$B,0)),"")</f>
        <v/>
      </c>
      <c r="I429" t="str">
        <f t="array" ref="I429">IFERROR(INDEX('Daily Raw Data'!O:O,Match($A429,'Daily Raw Data'!$B:$B,0)),"")</f>
        <v/>
      </c>
      <c r="J429" t="str">
        <f t="array" ref="J429">IFERROR(INDEX('Daily Raw Data'!S:S,Match($A429,'Daily Raw Data'!$B:$B,0)),"")</f>
        <v/>
      </c>
      <c r="K429" t="str">
        <f t="array" ref="K429">IFERROR(INDEX('Daily Raw Data'!T:T,Match($A429,'Daily Raw Data'!$B:$B,0)),"")</f>
        <v/>
      </c>
      <c r="L429" t="str">
        <f t="array" ref="L429">IFERROR(INDEX('Daily Raw Data'!U:U,Match($A429,'Daily Raw Data'!$B:$B,0)),"")</f>
        <v/>
      </c>
      <c r="M429" t="str">
        <f t="array" ref="M429">IFERROR(INDEX('Daily Raw Data'!V:V,Match($A429,'Daily Raw Data'!$B:$B,0)),"")</f>
        <v/>
      </c>
      <c r="N429" t="str">
        <f t="array" ref="N429">IFERROR(INDEX('Daily Raw Data'!W:W,Match($A429,'Daily Raw Data'!$B:$B,0)),"")</f>
        <v/>
      </c>
      <c r="O429" t="str">
        <f t="array" ref="O429">IFERROR(INDEX('Daily Raw Data'!Y:Y,Match($A429,'Daily Raw Data'!$B:$B,0)),"")</f>
        <v/>
      </c>
      <c r="P429" t="str">
        <f t="shared" si="1"/>
        <v/>
      </c>
      <c r="Q429" s="14" t="str">
        <f t="shared" si="2"/>
        <v/>
      </c>
      <c r="R429" s="15" t="str">
        <f>IFERROR(__xludf.DUMMYFUNCTION("IF($A429="""","""", IFERROR(PERCENTRANK.INC(FILTER(P:P,$E:$E&lt;&gt;""""),P429)*100,""""))"),"")</f>
        <v/>
      </c>
      <c r="S429" s="15" t="str">
        <f>IFERROR(__xludf.DUMMYFUNCTION("IF($A429="""","""",IFERROR(PERCENTRANK.INC(FILTER(Q:Q,$E:$E&lt;&gt;""""),Q429)*100,""""))"),"")</f>
        <v/>
      </c>
    </row>
    <row r="430">
      <c r="B430" t="str">
        <f t="array" ref="B430">IFERROR(INDEX('Player Raw Data'!C:C,Match($A430,'Player Raw Data'!$B:$B,0)),"")</f>
        <v/>
      </c>
      <c r="C430" t="str">
        <f t="array" ref="C430">IFERROR(INDEX('Player Raw Data'!D:D,Match($A430,'Player Raw Data'!$B:$B,0)),"")</f>
        <v/>
      </c>
      <c r="D430" t="str">
        <f t="array" ref="D430">IFERROR(IF(A430=A429, INDEX('Player Raw Data'!E:E,Match($A430,'Player Raw Data'!$B:$B,0)+2),INDEX('Player Raw Data'!E:E,Match($A430,'Player Raw Data'!$B:$B,0))),"")</f>
        <v/>
      </c>
      <c r="E430" s="27" t="str">
        <f>IFERROR(__xludf.DUMMYFUNCTION("IFERROR(ARRAY_CONSTRAIN(SPLIT(INDEX('Daily Raw Data'!G:G,Match($A430,'Daily Raw Data'!$B:$B,0)),"":""),1,1),"""")"),"")</f>
        <v/>
      </c>
      <c r="F430" t="str">
        <f t="array" ref="F430">IFERROR(INDEX('Daily Raw Data'!H:H,Match($A430,'Daily Raw Data'!$B:$B,0)),"")</f>
        <v/>
      </c>
      <c r="G430" t="str">
        <f t="array" ref="G430">IFERROR(INDEX('Daily Raw Data'!I:I,Match($A430,'Daily Raw Data'!$B:$B,0)),"")</f>
        <v/>
      </c>
      <c r="H430" t="str">
        <f t="array" ref="H430">IFERROR(INDEX('Daily Raw Data'!N:N,Match($A430,'Daily Raw Data'!$B:$B,0)),"")</f>
        <v/>
      </c>
      <c r="I430" t="str">
        <f t="array" ref="I430">IFERROR(INDEX('Daily Raw Data'!O:O,Match($A430,'Daily Raw Data'!$B:$B,0)),"")</f>
        <v/>
      </c>
      <c r="J430" t="str">
        <f t="array" ref="J430">IFERROR(INDEX('Daily Raw Data'!S:S,Match($A430,'Daily Raw Data'!$B:$B,0)),"")</f>
        <v/>
      </c>
      <c r="K430" t="str">
        <f t="array" ref="K430">IFERROR(INDEX('Daily Raw Data'!T:T,Match($A430,'Daily Raw Data'!$B:$B,0)),"")</f>
        <v/>
      </c>
      <c r="L430" t="str">
        <f t="array" ref="L430">IFERROR(INDEX('Daily Raw Data'!U:U,Match($A430,'Daily Raw Data'!$B:$B,0)),"")</f>
        <v/>
      </c>
      <c r="M430" t="str">
        <f t="array" ref="M430">IFERROR(INDEX('Daily Raw Data'!V:V,Match($A430,'Daily Raw Data'!$B:$B,0)),"")</f>
        <v/>
      </c>
      <c r="N430" t="str">
        <f t="array" ref="N430">IFERROR(INDEX('Daily Raw Data'!W:W,Match($A430,'Daily Raw Data'!$B:$B,0)),"")</f>
        <v/>
      </c>
      <c r="O430" t="str">
        <f t="array" ref="O430">IFERROR(INDEX('Daily Raw Data'!Y:Y,Match($A430,'Daily Raw Data'!$B:$B,0)),"")</f>
        <v/>
      </c>
      <c r="P430" t="str">
        <f t="shared" si="1"/>
        <v/>
      </c>
      <c r="Q430" s="14" t="str">
        <f t="shared" si="2"/>
        <v/>
      </c>
      <c r="R430" s="15" t="str">
        <f>IFERROR(__xludf.DUMMYFUNCTION("IF($A430="""","""", IFERROR(PERCENTRANK.INC(FILTER(P:P,$E:$E&lt;&gt;""""),P430)*100,""""))"),"")</f>
        <v/>
      </c>
      <c r="S430" s="15" t="str">
        <f>IFERROR(__xludf.DUMMYFUNCTION("IF($A430="""","""",IFERROR(PERCENTRANK.INC(FILTER(Q:Q,$E:$E&lt;&gt;""""),Q430)*100,""""))"),"")</f>
        <v/>
      </c>
    </row>
    <row r="431">
      <c r="B431" t="str">
        <f t="array" ref="B431">IFERROR(INDEX('Player Raw Data'!C:C,Match($A431,'Player Raw Data'!$B:$B,0)),"")</f>
        <v/>
      </c>
      <c r="C431" t="str">
        <f t="array" ref="C431">IFERROR(INDEX('Player Raw Data'!D:D,Match($A431,'Player Raw Data'!$B:$B,0)),"")</f>
        <v/>
      </c>
      <c r="D431" t="str">
        <f t="array" ref="D431">IFERROR(IF(A431=A430, INDEX('Player Raw Data'!E:E,Match($A431,'Player Raw Data'!$B:$B,0)+2),INDEX('Player Raw Data'!E:E,Match($A431,'Player Raw Data'!$B:$B,0))),"")</f>
        <v/>
      </c>
      <c r="E431" s="27" t="str">
        <f>IFERROR(__xludf.DUMMYFUNCTION("IFERROR(ARRAY_CONSTRAIN(SPLIT(INDEX('Daily Raw Data'!G:G,Match($A431,'Daily Raw Data'!$B:$B,0)),"":""),1,1),"""")"),"")</f>
        <v/>
      </c>
      <c r="F431" t="str">
        <f t="array" ref="F431">IFERROR(INDEX('Daily Raw Data'!H:H,Match($A431,'Daily Raw Data'!$B:$B,0)),"")</f>
        <v/>
      </c>
      <c r="G431" t="str">
        <f t="array" ref="G431">IFERROR(INDEX('Daily Raw Data'!I:I,Match($A431,'Daily Raw Data'!$B:$B,0)),"")</f>
        <v/>
      </c>
      <c r="H431" t="str">
        <f t="array" ref="H431">IFERROR(INDEX('Daily Raw Data'!N:N,Match($A431,'Daily Raw Data'!$B:$B,0)),"")</f>
        <v/>
      </c>
      <c r="I431" t="str">
        <f t="array" ref="I431">IFERROR(INDEX('Daily Raw Data'!O:O,Match($A431,'Daily Raw Data'!$B:$B,0)),"")</f>
        <v/>
      </c>
      <c r="J431" t="str">
        <f t="array" ref="J431">IFERROR(INDEX('Daily Raw Data'!S:S,Match($A431,'Daily Raw Data'!$B:$B,0)),"")</f>
        <v/>
      </c>
      <c r="K431" t="str">
        <f t="array" ref="K431">IFERROR(INDEX('Daily Raw Data'!T:T,Match($A431,'Daily Raw Data'!$B:$B,0)),"")</f>
        <v/>
      </c>
      <c r="L431" t="str">
        <f t="array" ref="L431">IFERROR(INDEX('Daily Raw Data'!U:U,Match($A431,'Daily Raw Data'!$B:$B,0)),"")</f>
        <v/>
      </c>
      <c r="M431" t="str">
        <f t="array" ref="M431">IFERROR(INDEX('Daily Raw Data'!V:V,Match($A431,'Daily Raw Data'!$B:$B,0)),"")</f>
        <v/>
      </c>
      <c r="N431" t="str">
        <f t="array" ref="N431">IFERROR(INDEX('Daily Raw Data'!W:W,Match($A431,'Daily Raw Data'!$B:$B,0)),"")</f>
        <v/>
      </c>
      <c r="O431" t="str">
        <f t="array" ref="O431">IFERROR(INDEX('Daily Raw Data'!Y:Y,Match($A431,'Daily Raw Data'!$B:$B,0)),"")</f>
        <v/>
      </c>
      <c r="P431" t="str">
        <f t="shared" si="1"/>
        <v/>
      </c>
      <c r="Q431" s="14" t="str">
        <f t="shared" si="2"/>
        <v/>
      </c>
      <c r="R431" s="15" t="str">
        <f>IFERROR(__xludf.DUMMYFUNCTION("IF($A431="""","""", IFERROR(PERCENTRANK.INC(FILTER(P:P,$E:$E&lt;&gt;""""),P431)*100,""""))"),"")</f>
        <v/>
      </c>
      <c r="S431" s="15" t="str">
        <f>IFERROR(__xludf.DUMMYFUNCTION("IF($A431="""","""",IFERROR(PERCENTRANK.INC(FILTER(Q:Q,$E:$E&lt;&gt;""""),Q431)*100,""""))"),"")</f>
        <v/>
      </c>
    </row>
    <row r="432">
      <c r="B432" t="str">
        <f t="array" ref="B432">IFERROR(INDEX('Player Raw Data'!C:C,Match($A432,'Player Raw Data'!$B:$B,0)),"")</f>
        <v/>
      </c>
      <c r="C432" t="str">
        <f t="array" ref="C432">IFERROR(INDEX('Player Raw Data'!D:D,Match($A432,'Player Raw Data'!$B:$B,0)),"")</f>
        <v/>
      </c>
      <c r="D432" t="str">
        <f t="array" ref="D432">IFERROR(IF(A432=A431, INDEX('Player Raw Data'!E:E,Match($A432,'Player Raw Data'!$B:$B,0)+2),INDEX('Player Raw Data'!E:E,Match($A432,'Player Raw Data'!$B:$B,0))),"")</f>
        <v/>
      </c>
      <c r="E432" s="27" t="str">
        <f>IFERROR(__xludf.DUMMYFUNCTION("IFERROR(ARRAY_CONSTRAIN(SPLIT(INDEX('Daily Raw Data'!G:G,Match($A432,'Daily Raw Data'!$B:$B,0)),"":""),1,1),"""")"),"")</f>
        <v/>
      </c>
      <c r="F432" t="str">
        <f t="array" ref="F432">IFERROR(INDEX('Daily Raw Data'!H:H,Match($A432,'Daily Raw Data'!$B:$B,0)),"")</f>
        <v/>
      </c>
      <c r="G432" t="str">
        <f t="array" ref="G432">IFERROR(INDEX('Daily Raw Data'!I:I,Match($A432,'Daily Raw Data'!$B:$B,0)),"")</f>
        <v/>
      </c>
      <c r="H432" t="str">
        <f t="array" ref="H432">IFERROR(INDEX('Daily Raw Data'!N:N,Match($A432,'Daily Raw Data'!$B:$B,0)),"")</f>
        <v/>
      </c>
      <c r="I432" t="str">
        <f t="array" ref="I432">IFERROR(INDEX('Daily Raw Data'!O:O,Match($A432,'Daily Raw Data'!$B:$B,0)),"")</f>
        <v/>
      </c>
      <c r="J432" t="str">
        <f t="array" ref="J432">IFERROR(INDEX('Daily Raw Data'!S:S,Match($A432,'Daily Raw Data'!$B:$B,0)),"")</f>
        <v/>
      </c>
      <c r="K432" t="str">
        <f t="array" ref="K432">IFERROR(INDEX('Daily Raw Data'!T:T,Match($A432,'Daily Raw Data'!$B:$B,0)),"")</f>
        <v/>
      </c>
      <c r="L432" t="str">
        <f t="array" ref="L432">IFERROR(INDEX('Daily Raw Data'!U:U,Match($A432,'Daily Raw Data'!$B:$B,0)),"")</f>
        <v/>
      </c>
      <c r="M432" t="str">
        <f t="array" ref="M432">IFERROR(INDEX('Daily Raw Data'!V:V,Match($A432,'Daily Raw Data'!$B:$B,0)),"")</f>
        <v/>
      </c>
      <c r="N432" t="str">
        <f t="array" ref="N432">IFERROR(INDEX('Daily Raw Data'!W:W,Match($A432,'Daily Raw Data'!$B:$B,0)),"")</f>
        <v/>
      </c>
      <c r="O432" t="str">
        <f t="array" ref="O432">IFERROR(INDEX('Daily Raw Data'!Y:Y,Match($A432,'Daily Raw Data'!$B:$B,0)),"")</f>
        <v/>
      </c>
      <c r="P432" t="str">
        <f t="shared" si="1"/>
        <v/>
      </c>
      <c r="Q432" s="14" t="str">
        <f t="shared" si="2"/>
        <v/>
      </c>
      <c r="R432" s="15" t="str">
        <f>IFERROR(__xludf.DUMMYFUNCTION("IF($A432="""","""", IFERROR(PERCENTRANK.INC(FILTER(P:P,$E:$E&lt;&gt;""""),P432)*100,""""))"),"")</f>
        <v/>
      </c>
      <c r="S432" s="15" t="str">
        <f>IFERROR(__xludf.DUMMYFUNCTION("IF($A432="""","""",IFERROR(PERCENTRANK.INC(FILTER(Q:Q,$E:$E&lt;&gt;""""),Q432)*100,""""))"),"")</f>
        <v/>
      </c>
    </row>
    <row r="433">
      <c r="B433" t="str">
        <f t="array" ref="B433">IFERROR(INDEX('Player Raw Data'!C:C,Match($A433,'Player Raw Data'!$B:$B,0)),"")</f>
        <v/>
      </c>
      <c r="C433" t="str">
        <f t="array" ref="C433">IFERROR(INDEX('Player Raw Data'!D:D,Match($A433,'Player Raw Data'!$B:$B,0)),"")</f>
        <v/>
      </c>
      <c r="D433" t="str">
        <f t="array" ref="D433">IFERROR(IF(A433=A432, INDEX('Player Raw Data'!E:E,Match($A433,'Player Raw Data'!$B:$B,0)+2),INDEX('Player Raw Data'!E:E,Match($A433,'Player Raw Data'!$B:$B,0))),"")</f>
        <v/>
      </c>
      <c r="E433" s="27" t="str">
        <f>IFERROR(__xludf.DUMMYFUNCTION("IFERROR(ARRAY_CONSTRAIN(SPLIT(INDEX('Daily Raw Data'!G:G,Match($A433,'Daily Raw Data'!$B:$B,0)),"":""),1,1),"""")"),"")</f>
        <v/>
      </c>
      <c r="F433" t="str">
        <f t="array" ref="F433">IFERROR(INDEX('Daily Raw Data'!H:H,Match($A433,'Daily Raw Data'!$B:$B,0)),"")</f>
        <v/>
      </c>
      <c r="G433" t="str">
        <f t="array" ref="G433">IFERROR(INDEX('Daily Raw Data'!I:I,Match($A433,'Daily Raw Data'!$B:$B,0)),"")</f>
        <v/>
      </c>
      <c r="H433" t="str">
        <f t="array" ref="H433">IFERROR(INDEX('Daily Raw Data'!N:N,Match($A433,'Daily Raw Data'!$B:$B,0)),"")</f>
        <v/>
      </c>
      <c r="I433" t="str">
        <f t="array" ref="I433">IFERROR(INDEX('Daily Raw Data'!O:O,Match($A433,'Daily Raw Data'!$B:$B,0)),"")</f>
        <v/>
      </c>
      <c r="J433" t="str">
        <f t="array" ref="J433">IFERROR(INDEX('Daily Raw Data'!S:S,Match($A433,'Daily Raw Data'!$B:$B,0)),"")</f>
        <v/>
      </c>
      <c r="K433" t="str">
        <f t="array" ref="K433">IFERROR(INDEX('Daily Raw Data'!T:T,Match($A433,'Daily Raw Data'!$B:$B,0)),"")</f>
        <v/>
      </c>
      <c r="L433" t="str">
        <f t="array" ref="L433">IFERROR(INDEX('Daily Raw Data'!U:U,Match($A433,'Daily Raw Data'!$B:$B,0)),"")</f>
        <v/>
      </c>
      <c r="M433" t="str">
        <f t="array" ref="M433">IFERROR(INDEX('Daily Raw Data'!V:V,Match($A433,'Daily Raw Data'!$B:$B,0)),"")</f>
        <v/>
      </c>
      <c r="N433" t="str">
        <f t="array" ref="N433">IFERROR(INDEX('Daily Raw Data'!W:W,Match($A433,'Daily Raw Data'!$B:$B,0)),"")</f>
        <v/>
      </c>
      <c r="O433" t="str">
        <f t="array" ref="O433">IFERROR(INDEX('Daily Raw Data'!Y:Y,Match($A433,'Daily Raw Data'!$B:$B,0)),"")</f>
        <v/>
      </c>
      <c r="P433" t="str">
        <f t="shared" si="1"/>
        <v/>
      </c>
      <c r="Q433" s="14" t="str">
        <f t="shared" si="2"/>
        <v/>
      </c>
      <c r="R433" s="15" t="str">
        <f>IFERROR(__xludf.DUMMYFUNCTION("IF($A433="""","""", IFERROR(PERCENTRANK.INC(FILTER(P:P,$E:$E&lt;&gt;""""),P433)*100,""""))"),"")</f>
        <v/>
      </c>
      <c r="S433" s="15" t="str">
        <f>IFERROR(__xludf.DUMMYFUNCTION("IF($A433="""","""",IFERROR(PERCENTRANK.INC(FILTER(Q:Q,$E:$E&lt;&gt;""""),Q433)*100,""""))"),"")</f>
        <v/>
      </c>
    </row>
    <row r="434">
      <c r="B434" t="str">
        <f t="array" ref="B434">IFERROR(INDEX('Player Raw Data'!C:C,Match($A434,'Player Raw Data'!$B:$B,0)),"")</f>
        <v/>
      </c>
      <c r="C434" t="str">
        <f t="array" ref="C434">IFERROR(INDEX('Player Raw Data'!D:D,Match($A434,'Player Raw Data'!$B:$B,0)),"")</f>
        <v/>
      </c>
      <c r="D434" t="str">
        <f t="array" ref="D434">IFERROR(IF(A434=A433, INDEX('Player Raw Data'!E:E,Match($A434,'Player Raw Data'!$B:$B,0)+2),INDEX('Player Raw Data'!E:E,Match($A434,'Player Raw Data'!$B:$B,0))),"")</f>
        <v/>
      </c>
      <c r="E434" s="27" t="str">
        <f>IFERROR(__xludf.DUMMYFUNCTION("IFERROR(ARRAY_CONSTRAIN(SPLIT(INDEX('Daily Raw Data'!G:G,Match($A434,'Daily Raw Data'!$B:$B,0)),"":""),1,1),"""")"),"")</f>
        <v/>
      </c>
      <c r="F434" t="str">
        <f t="array" ref="F434">IFERROR(INDEX('Daily Raw Data'!H:H,Match($A434,'Daily Raw Data'!$B:$B,0)),"")</f>
        <v/>
      </c>
      <c r="G434" t="str">
        <f t="array" ref="G434">IFERROR(INDEX('Daily Raw Data'!I:I,Match($A434,'Daily Raw Data'!$B:$B,0)),"")</f>
        <v/>
      </c>
      <c r="H434" t="str">
        <f t="array" ref="H434">IFERROR(INDEX('Daily Raw Data'!N:N,Match($A434,'Daily Raw Data'!$B:$B,0)),"")</f>
        <v/>
      </c>
      <c r="I434" t="str">
        <f t="array" ref="I434">IFERROR(INDEX('Daily Raw Data'!O:O,Match($A434,'Daily Raw Data'!$B:$B,0)),"")</f>
        <v/>
      </c>
      <c r="J434" t="str">
        <f t="array" ref="J434">IFERROR(INDEX('Daily Raw Data'!S:S,Match($A434,'Daily Raw Data'!$B:$B,0)),"")</f>
        <v/>
      </c>
      <c r="K434" t="str">
        <f t="array" ref="K434">IFERROR(INDEX('Daily Raw Data'!T:T,Match($A434,'Daily Raw Data'!$B:$B,0)),"")</f>
        <v/>
      </c>
      <c r="L434" t="str">
        <f t="array" ref="L434">IFERROR(INDEX('Daily Raw Data'!U:U,Match($A434,'Daily Raw Data'!$B:$B,0)),"")</f>
        <v/>
      </c>
      <c r="M434" t="str">
        <f t="array" ref="M434">IFERROR(INDEX('Daily Raw Data'!V:V,Match($A434,'Daily Raw Data'!$B:$B,0)),"")</f>
        <v/>
      </c>
      <c r="N434" t="str">
        <f t="array" ref="N434">IFERROR(INDEX('Daily Raw Data'!W:W,Match($A434,'Daily Raw Data'!$B:$B,0)),"")</f>
        <v/>
      </c>
      <c r="O434" t="str">
        <f t="array" ref="O434">IFERROR(INDEX('Daily Raw Data'!Y:Y,Match($A434,'Daily Raw Data'!$B:$B,0)),"")</f>
        <v/>
      </c>
      <c r="P434" t="str">
        <f t="shared" si="1"/>
        <v/>
      </c>
      <c r="Q434" s="14" t="str">
        <f t="shared" si="2"/>
        <v/>
      </c>
      <c r="R434" s="15" t="str">
        <f>IFERROR(__xludf.DUMMYFUNCTION("IF($A434="""","""", IFERROR(PERCENTRANK.INC(FILTER(P:P,$E:$E&lt;&gt;""""),P434)*100,""""))"),"")</f>
        <v/>
      </c>
      <c r="S434" s="15" t="str">
        <f>IFERROR(__xludf.DUMMYFUNCTION("IF($A434="""","""",IFERROR(PERCENTRANK.INC(FILTER(Q:Q,$E:$E&lt;&gt;""""),Q434)*100,""""))"),"")</f>
        <v/>
      </c>
    </row>
    <row r="435">
      <c r="B435" t="str">
        <f t="array" ref="B435">IFERROR(INDEX('Player Raw Data'!C:C,Match($A435,'Player Raw Data'!$B:$B,0)),"")</f>
        <v/>
      </c>
      <c r="C435" t="str">
        <f t="array" ref="C435">IFERROR(INDEX('Player Raw Data'!D:D,Match($A435,'Player Raw Data'!$B:$B,0)),"")</f>
        <v/>
      </c>
      <c r="D435" t="str">
        <f t="array" ref="D435">IFERROR(IF(A435=A434, INDEX('Player Raw Data'!E:E,Match($A435,'Player Raw Data'!$B:$B,0)+2),INDEX('Player Raw Data'!E:E,Match($A435,'Player Raw Data'!$B:$B,0))),"")</f>
        <v/>
      </c>
      <c r="E435" s="27" t="str">
        <f>IFERROR(__xludf.DUMMYFUNCTION("IFERROR(ARRAY_CONSTRAIN(SPLIT(INDEX('Daily Raw Data'!G:G,Match($A435,'Daily Raw Data'!$B:$B,0)),"":""),1,1),"""")"),"")</f>
        <v/>
      </c>
      <c r="F435" t="str">
        <f t="array" ref="F435">IFERROR(INDEX('Daily Raw Data'!H:H,Match($A435,'Daily Raw Data'!$B:$B,0)),"")</f>
        <v/>
      </c>
      <c r="G435" t="str">
        <f t="array" ref="G435">IFERROR(INDEX('Daily Raw Data'!I:I,Match($A435,'Daily Raw Data'!$B:$B,0)),"")</f>
        <v/>
      </c>
      <c r="H435" t="str">
        <f t="array" ref="H435">IFERROR(INDEX('Daily Raw Data'!N:N,Match($A435,'Daily Raw Data'!$B:$B,0)),"")</f>
        <v/>
      </c>
      <c r="I435" t="str">
        <f t="array" ref="I435">IFERROR(INDEX('Daily Raw Data'!O:O,Match($A435,'Daily Raw Data'!$B:$B,0)),"")</f>
        <v/>
      </c>
      <c r="J435" t="str">
        <f t="array" ref="J435">IFERROR(INDEX('Daily Raw Data'!S:S,Match($A435,'Daily Raw Data'!$B:$B,0)),"")</f>
        <v/>
      </c>
      <c r="K435" t="str">
        <f t="array" ref="K435">IFERROR(INDEX('Daily Raw Data'!T:T,Match($A435,'Daily Raw Data'!$B:$B,0)),"")</f>
        <v/>
      </c>
      <c r="L435" t="str">
        <f t="array" ref="L435">IFERROR(INDEX('Daily Raw Data'!U:U,Match($A435,'Daily Raw Data'!$B:$B,0)),"")</f>
        <v/>
      </c>
      <c r="M435" t="str">
        <f t="array" ref="M435">IFERROR(INDEX('Daily Raw Data'!V:V,Match($A435,'Daily Raw Data'!$B:$B,0)),"")</f>
        <v/>
      </c>
      <c r="N435" t="str">
        <f t="array" ref="N435">IFERROR(INDEX('Daily Raw Data'!W:W,Match($A435,'Daily Raw Data'!$B:$B,0)),"")</f>
        <v/>
      </c>
      <c r="O435" t="str">
        <f t="array" ref="O435">IFERROR(INDEX('Daily Raw Data'!Y:Y,Match($A435,'Daily Raw Data'!$B:$B,0)),"")</f>
        <v/>
      </c>
      <c r="P435" t="str">
        <f t="shared" si="1"/>
        <v/>
      </c>
      <c r="Q435" s="14" t="str">
        <f t="shared" si="2"/>
        <v/>
      </c>
      <c r="R435" s="15" t="str">
        <f>IFERROR(__xludf.DUMMYFUNCTION("IF($A435="""","""", IFERROR(PERCENTRANK.INC(FILTER(P:P,$E:$E&lt;&gt;""""),P435)*100,""""))"),"")</f>
        <v/>
      </c>
      <c r="S435" s="15" t="str">
        <f>IFERROR(__xludf.DUMMYFUNCTION("IF($A435="""","""",IFERROR(PERCENTRANK.INC(FILTER(Q:Q,$E:$E&lt;&gt;""""),Q435)*100,""""))"),"")</f>
        <v/>
      </c>
    </row>
    <row r="436">
      <c r="B436" t="str">
        <f t="array" ref="B436">IFERROR(INDEX('Player Raw Data'!C:C,Match($A436,'Player Raw Data'!$B:$B,0)),"")</f>
        <v/>
      </c>
      <c r="C436" t="str">
        <f t="array" ref="C436">IFERROR(INDEX('Player Raw Data'!D:D,Match($A436,'Player Raw Data'!$B:$B,0)),"")</f>
        <v/>
      </c>
      <c r="D436" t="str">
        <f t="array" ref="D436">IFERROR(IF(A436=A435, INDEX('Player Raw Data'!E:E,Match($A436,'Player Raw Data'!$B:$B,0)+2),INDEX('Player Raw Data'!E:E,Match($A436,'Player Raw Data'!$B:$B,0))),"")</f>
        <v/>
      </c>
      <c r="E436" s="27" t="str">
        <f>IFERROR(__xludf.DUMMYFUNCTION("IFERROR(ARRAY_CONSTRAIN(SPLIT(INDEX('Daily Raw Data'!G:G,Match($A436,'Daily Raw Data'!$B:$B,0)),"":""),1,1),"""")"),"")</f>
        <v/>
      </c>
      <c r="F436" t="str">
        <f t="array" ref="F436">IFERROR(INDEX('Daily Raw Data'!H:H,Match($A436,'Daily Raw Data'!$B:$B,0)),"")</f>
        <v/>
      </c>
      <c r="G436" t="str">
        <f t="array" ref="G436">IFERROR(INDEX('Daily Raw Data'!I:I,Match($A436,'Daily Raw Data'!$B:$B,0)),"")</f>
        <v/>
      </c>
      <c r="H436" t="str">
        <f t="array" ref="H436">IFERROR(INDEX('Daily Raw Data'!N:N,Match($A436,'Daily Raw Data'!$B:$B,0)),"")</f>
        <v/>
      </c>
      <c r="I436" t="str">
        <f t="array" ref="I436">IFERROR(INDEX('Daily Raw Data'!O:O,Match($A436,'Daily Raw Data'!$B:$B,0)),"")</f>
        <v/>
      </c>
      <c r="J436" t="str">
        <f t="array" ref="J436">IFERROR(INDEX('Daily Raw Data'!S:S,Match($A436,'Daily Raw Data'!$B:$B,0)),"")</f>
        <v/>
      </c>
      <c r="K436" t="str">
        <f t="array" ref="K436">IFERROR(INDEX('Daily Raw Data'!T:T,Match($A436,'Daily Raw Data'!$B:$B,0)),"")</f>
        <v/>
      </c>
      <c r="L436" t="str">
        <f t="array" ref="L436">IFERROR(INDEX('Daily Raw Data'!U:U,Match($A436,'Daily Raw Data'!$B:$B,0)),"")</f>
        <v/>
      </c>
      <c r="M436" t="str">
        <f t="array" ref="M436">IFERROR(INDEX('Daily Raw Data'!V:V,Match($A436,'Daily Raw Data'!$B:$B,0)),"")</f>
        <v/>
      </c>
      <c r="N436" t="str">
        <f t="array" ref="N436">IFERROR(INDEX('Daily Raw Data'!W:W,Match($A436,'Daily Raw Data'!$B:$B,0)),"")</f>
        <v/>
      </c>
      <c r="O436" t="str">
        <f t="array" ref="O436">IFERROR(INDEX('Daily Raw Data'!Y:Y,Match($A436,'Daily Raw Data'!$B:$B,0)),"")</f>
        <v/>
      </c>
      <c r="P436" t="str">
        <f t="shared" si="1"/>
        <v/>
      </c>
      <c r="Q436" s="14" t="str">
        <f t="shared" si="2"/>
        <v/>
      </c>
      <c r="R436" s="15" t="str">
        <f>IFERROR(__xludf.DUMMYFUNCTION("IF($A436="""","""", IFERROR(PERCENTRANK.INC(FILTER(P:P,$E:$E&lt;&gt;""""),P436)*100,""""))"),"")</f>
        <v/>
      </c>
      <c r="S436" s="15" t="str">
        <f>IFERROR(__xludf.DUMMYFUNCTION("IF($A436="""","""",IFERROR(PERCENTRANK.INC(FILTER(Q:Q,$E:$E&lt;&gt;""""),Q436)*100,""""))"),"")</f>
        <v/>
      </c>
    </row>
    <row r="437">
      <c r="B437" t="str">
        <f t="array" ref="B437">IFERROR(INDEX('Player Raw Data'!C:C,Match($A437,'Player Raw Data'!$B:$B,0)),"")</f>
        <v/>
      </c>
      <c r="C437" t="str">
        <f t="array" ref="C437">IFERROR(INDEX('Player Raw Data'!D:D,Match($A437,'Player Raw Data'!$B:$B,0)),"")</f>
        <v/>
      </c>
      <c r="D437" t="str">
        <f t="array" ref="D437">IFERROR(IF(A437=A436, INDEX('Player Raw Data'!E:E,Match($A437,'Player Raw Data'!$B:$B,0)+2),INDEX('Player Raw Data'!E:E,Match($A437,'Player Raw Data'!$B:$B,0))),"")</f>
        <v/>
      </c>
      <c r="E437" s="27" t="str">
        <f>IFERROR(__xludf.DUMMYFUNCTION("IFERROR(ARRAY_CONSTRAIN(SPLIT(INDEX('Daily Raw Data'!G:G,Match($A437,'Daily Raw Data'!$B:$B,0)),"":""),1,1),"""")"),"")</f>
        <v/>
      </c>
      <c r="F437" t="str">
        <f t="array" ref="F437">IFERROR(INDEX('Daily Raw Data'!H:H,Match($A437,'Daily Raw Data'!$B:$B,0)),"")</f>
        <v/>
      </c>
      <c r="G437" t="str">
        <f t="array" ref="G437">IFERROR(INDEX('Daily Raw Data'!I:I,Match($A437,'Daily Raw Data'!$B:$B,0)),"")</f>
        <v/>
      </c>
      <c r="H437" t="str">
        <f t="array" ref="H437">IFERROR(INDEX('Daily Raw Data'!N:N,Match($A437,'Daily Raw Data'!$B:$B,0)),"")</f>
        <v/>
      </c>
      <c r="I437" t="str">
        <f t="array" ref="I437">IFERROR(INDEX('Daily Raw Data'!O:O,Match($A437,'Daily Raw Data'!$B:$B,0)),"")</f>
        <v/>
      </c>
      <c r="J437" t="str">
        <f t="array" ref="J437">IFERROR(INDEX('Daily Raw Data'!S:S,Match($A437,'Daily Raw Data'!$B:$B,0)),"")</f>
        <v/>
      </c>
      <c r="K437" t="str">
        <f t="array" ref="K437">IFERROR(INDEX('Daily Raw Data'!T:T,Match($A437,'Daily Raw Data'!$B:$B,0)),"")</f>
        <v/>
      </c>
      <c r="L437" t="str">
        <f t="array" ref="L437">IFERROR(INDEX('Daily Raw Data'!U:U,Match($A437,'Daily Raw Data'!$B:$B,0)),"")</f>
        <v/>
      </c>
      <c r="M437" t="str">
        <f t="array" ref="M437">IFERROR(INDEX('Daily Raw Data'!V:V,Match($A437,'Daily Raw Data'!$B:$B,0)),"")</f>
        <v/>
      </c>
      <c r="N437" t="str">
        <f t="array" ref="N437">IFERROR(INDEX('Daily Raw Data'!W:W,Match($A437,'Daily Raw Data'!$B:$B,0)),"")</f>
        <v/>
      </c>
      <c r="O437" t="str">
        <f t="array" ref="O437">IFERROR(INDEX('Daily Raw Data'!Y:Y,Match($A437,'Daily Raw Data'!$B:$B,0)),"")</f>
        <v/>
      </c>
      <c r="P437" t="str">
        <f t="shared" si="1"/>
        <v/>
      </c>
      <c r="Q437" s="14" t="str">
        <f t="shared" si="2"/>
        <v/>
      </c>
      <c r="R437" s="15" t="str">
        <f>IFERROR(__xludf.DUMMYFUNCTION("IF($A437="""","""", IFERROR(PERCENTRANK.INC(FILTER(P:P,$E:$E&lt;&gt;""""),P437)*100,""""))"),"")</f>
        <v/>
      </c>
      <c r="S437" s="15" t="str">
        <f>IFERROR(__xludf.DUMMYFUNCTION("IF($A437="""","""",IFERROR(PERCENTRANK.INC(FILTER(Q:Q,$E:$E&lt;&gt;""""),Q437)*100,""""))"),"")</f>
        <v/>
      </c>
    </row>
    <row r="438">
      <c r="B438" t="str">
        <f t="array" ref="B438">IFERROR(INDEX('Player Raw Data'!C:C,Match($A438,'Player Raw Data'!$B:$B,0)),"")</f>
        <v/>
      </c>
      <c r="C438" t="str">
        <f t="array" ref="C438">IFERROR(INDEX('Player Raw Data'!D:D,Match($A438,'Player Raw Data'!$B:$B,0)),"")</f>
        <v/>
      </c>
      <c r="D438" t="str">
        <f t="array" ref="D438">IFERROR(IF(A438=A437, INDEX('Player Raw Data'!E:E,Match($A438,'Player Raw Data'!$B:$B,0)+2),INDEX('Player Raw Data'!E:E,Match($A438,'Player Raw Data'!$B:$B,0))),"")</f>
        <v/>
      </c>
      <c r="E438" s="27" t="str">
        <f>IFERROR(__xludf.DUMMYFUNCTION("IFERROR(ARRAY_CONSTRAIN(SPLIT(INDEX('Daily Raw Data'!G:G,Match($A438,'Daily Raw Data'!$B:$B,0)),"":""),1,1),"""")"),"")</f>
        <v/>
      </c>
      <c r="F438" t="str">
        <f t="array" ref="F438">IFERROR(INDEX('Daily Raw Data'!H:H,Match($A438,'Daily Raw Data'!$B:$B,0)),"")</f>
        <v/>
      </c>
      <c r="G438" t="str">
        <f t="array" ref="G438">IFERROR(INDEX('Daily Raw Data'!I:I,Match($A438,'Daily Raw Data'!$B:$B,0)),"")</f>
        <v/>
      </c>
      <c r="H438" t="str">
        <f t="array" ref="H438">IFERROR(INDEX('Daily Raw Data'!N:N,Match($A438,'Daily Raw Data'!$B:$B,0)),"")</f>
        <v/>
      </c>
      <c r="I438" t="str">
        <f t="array" ref="I438">IFERROR(INDEX('Daily Raw Data'!O:O,Match($A438,'Daily Raw Data'!$B:$B,0)),"")</f>
        <v/>
      </c>
      <c r="J438" t="str">
        <f t="array" ref="J438">IFERROR(INDEX('Daily Raw Data'!S:S,Match($A438,'Daily Raw Data'!$B:$B,0)),"")</f>
        <v/>
      </c>
      <c r="K438" t="str">
        <f t="array" ref="K438">IFERROR(INDEX('Daily Raw Data'!T:T,Match($A438,'Daily Raw Data'!$B:$B,0)),"")</f>
        <v/>
      </c>
      <c r="L438" t="str">
        <f t="array" ref="L438">IFERROR(INDEX('Daily Raw Data'!U:U,Match($A438,'Daily Raw Data'!$B:$B,0)),"")</f>
        <v/>
      </c>
      <c r="M438" t="str">
        <f t="array" ref="M438">IFERROR(INDEX('Daily Raw Data'!V:V,Match($A438,'Daily Raw Data'!$B:$B,0)),"")</f>
        <v/>
      </c>
      <c r="N438" t="str">
        <f t="array" ref="N438">IFERROR(INDEX('Daily Raw Data'!W:W,Match($A438,'Daily Raw Data'!$B:$B,0)),"")</f>
        <v/>
      </c>
      <c r="O438" t="str">
        <f t="array" ref="O438">IFERROR(INDEX('Daily Raw Data'!Y:Y,Match($A438,'Daily Raw Data'!$B:$B,0)),"")</f>
        <v/>
      </c>
      <c r="P438" t="str">
        <f t="shared" si="1"/>
        <v/>
      </c>
      <c r="Q438" s="14" t="str">
        <f t="shared" si="2"/>
        <v/>
      </c>
      <c r="R438" s="15" t="str">
        <f>IFERROR(__xludf.DUMMYFUNCTION("IF($A438="""","""", IFERROR(PERCENTRANK.INC(FILTER(P:P,$E:$E&lt;&gt;""""),P438)*100,""""))"),"")</f>
        <v/>
      </c>
      <c r="S438" s="15" t="str">
        <f>IFERROR(__xludf.DUMMYFUNCTION("IF($A438="""","""",IFERROR(PERCENTRANK.INC(FILTER(Q:Q,$E:$E&lt;&gt;""""),Q438)*100,""""))"),"")</f>
        <v/>
      </c>
    </row>
    <row r="439">
      <c r="B439" t="str">
        <f t="array" ref="B439">IFERROR(INDEX('Player Raw Data'!C:C,Match($A439,'Player Raw Data'!$B:$B,0)),"")</f>
        <v/>
      </c>
      <c r="C439" t="str">
        <f t="array" ref="C439">IFERROR(INDEX('Player Raw Data'!D:D,Match($A439,'Player Raw Data'!$B:$B,0)),"")</f>
        <v/>
      </c>
      <c r="D439" t="str">
        <f t="array" ref="D439">IFERROR(IF(A439=A438, INDEX('Player Raw Data'!E:E,Match($A439,'Player Raw Data'!$B:$B,0)+2),INDEX('Player Raw Data'!E:E,Match($A439,'Player Raw Data'!$B:$B,0))),"")</f>
        <v/>
      </c>
      <c r="E439" s="27" t="str">
        <f>IFERROR(__xludf.DUMMYFUNCTION("IFERROR(ARRAY_CONSTRAIN(SPLIT(INDEX('Daily Raw Data'!G:G,Match($A439,'Daily Raw Data'!$B:$B,0)),"":""),1,1),"""")"),"")</f>
        <v/>
      </c>
      <c r="F439" t="str">
        <f t="array" ref="F439">IFERROR(INDEX('Daily Raw Data'!H:H,Match($A439,'Daily Raw Data'!$B:$B,0)),"")</f>
        <v/>
      </c>
      <c r="G439" t="str">
        <f t="array" ref="G439">IFERROR(INDEX('Daily Raw Data'!I:I,Match($A439,'Daily Raw Data'!$B:$B,0)),"")</f>
        <v/>
      </c>
      <c r="H439" t="str">
        <f t="array" ref="H439">IFERROR(INDEX('Daily Raw Data'!N:N,Match($A439,'Daily Raw Data'!$B:$B,0)),"")</f>
        <v/>
      </c>
      <c r="I439" t="str">
        <f t="array" ref="I439">IFERROR(INDEX('Daily Raw Data'!O:O,Match($A439,'Daily Raw Data'!$B:$B,0)),"")</f>
        <v/>
      </c>
      <c r="J439" t="str">
        <f t="array" ref="J439">IFERROR(INDEX('Daily Raw Data'!S:S,Match($A439,'Daily Raw Data'!$B:$B,0)),"")</f>
        <v/>
      </c>
      <c r="K439" t="str">
        <f t="array" ref="K439">IFERROR(INDEX('Daily Raw Data'!T:T,Match($A439,'Daily Raw Data'!$B:$B,0)),"")</f>
        <v/>
      </c>
      <c r="L439" t="str">
        <f t="array" ref="L439">IFERROR(INDEX('Daily Raw Data'!U:U,Match($A439,'Daily Raw Data'!$B:$B,0)),"")</f>
        <v/>
      </c>
      <c r="M439" t="str">
        <f t="array" ref="M439">IFERROR(INDEX('Daily Raw Data'!V:V,Match($A439,'Daily Raw Data'!$B:$B,0)),"")</f>
        <v/>
      </c>
      <c r="N439" t="str">
        <f t="array" ref="N439">IFERROR(INDEX('Daily Raw Data'!W:W,Match($A439,'Daily Raw Data'!$B:$B,0)),"")</f>
        <v/>
      </c>
      <c r="O439" t="str">
        <f t="array" ref="O439">IFERROR(INDEX('Daily Raw Data'!Y:Y,Match($A439,'Daily Raw Data'!$B:$B,0)),"")</f>
        <v/>
      </c>
      <c r="P439" t="str">
        <f t="shared" si="1"/>
        <v/>
      </c>
      <c r="Q439" s="14" t="str">
        <f t="shared" si="2"/>
        <v/>
      </c>
      <c r="R439" s="15" t="str">
        <f>IFERROR(__xludf.DUMMYFUNCTION("IF($A439="""","""", IFERROR(PERCENTRANK.INC(FILTER(P:P,$E:$E&lt;&gt;""""),P439)*100,""""))"),"")</f>
        <v/>
      </c>
      <c r="S439" s="15" t="str">
        <f>IFERROR(__xludf.DUMMYFUNCTION("IF($A439="""","""",IFERROR(PERCENTRANK.INC(FILTER(Q:Q,$E:$E&lt;&gt;""""),Q439)*100,""""))"),"")</f>
        <v/>
      </c>
    </row>
    <row r="440">
      <c r="B440" t="str">
        <f t="array" ref="B440">IFERROR(INDEX('Player Raw Data'!C:C,Match($A440,'Player Raw Data'!$B:$B,0)),"")</f>
        <v/>
      </c>
      <c r="C440" t="str">
        <f t="array" ref="C440">IFERROR(INDEX('Player Raw Data'!D:D,Match($A440,'Player Raw Data'!$B:$B,0)),"")</f>
        <v/>
      </c>
      <c r="D440" t="str">
        <f t="array" ref="D440">IFERROR(IF(A440=A439, INDEX('Player Raw Data'!E:E,Match($A440,'Player Raw Data'!$B:$B,0)+2),INDEX('Player Raw Data'!E:E,Match($A440,'Player Raw Data'!$B:$B,0))),"")</f>
        <v/>
      </c>
      <c r="E440" s="27" t="str">
        <f>IFERROR(__xludf.DUMMYFUNCTION("IFERROR(ARRAY_CONSTRAIN(SPLIT(INDEX('Daily Raw Data'!G:G,Match($A440,'Daily Raw Data'!$B:$B,0)),"":""),1,1),"""")"),"")</f>
        <v/>
      </c>
      <c r="F440" t="str">
        <f t="array" ref="F440">IFERROR(INDEX('Daily Raw Data'!H:H,Match($A440,'Daily Raw Data'!$B:$B,0)),"")</f>
        <v/>
      </c>
      <c r="G440" t="str">
        <f t="array" ref="G440">IFERROR(INDEX('Daily Raw Data'!I:I,Match($A440,'Daily Raw Data'!$B:$B,0)),"")</f>
        <v/>
      </c>
      <c r="H440" t="str">
        <f t="array" ref="H440">IFERROR(INDEX('Daily Raw Data'!N:N,Match($A440,'Daily Raw Data'!$B:$B,0)),"")</f>
        <v/>
      </c>
      <c r="I440" t="str">
        <f t="array" ref="I440">IFERROR(INDEX('Daily Raw Data'!O:O,Match($A440,'Daily Raw Data'!$B:$B,0)),"")</f>
        <v/>
      </c>
      <c r="J440" t="str">
        <f t="array" ref="J440">IFERROR(INDEX('Daily Raw Data'!S:S,Match($A440,'Daily Raw Data'!$B:$B,0)),"")</f>
        <v/>
      </c>
      <c r="K440" t="str">
        <f t="array" ref="K440">IFERROR(INDEX('Daily Raw Data'!T:T,Match($A440,'Daily Raw Data'!$B:$B,0)),"")</f>
        <v/>
      </c>
      <c r="L440" t="str">
        <f t="array" ref="L440">IFERROR(INDEX('Daily Raw Data'!U:U,Match($A440,'Daily Raw Data'!$B:$B,0)),"")</f>
        <v/>
      </c>
      <c r="M440" t="str">
        <f t="array" ref="M440">IFERROR(INDEX('Daily Raw Data'!V:V,Match($A440,'Daily Raw Data'!$B:$B,0)),"")</f>
        <v/>
      </c>
      <c r="N440" t="str">
        <f t="array" ref="N440">IFERROR(INDEX('Daily Raw Data'!W:W,Match($A440,'Daily Raw Data'!$B:$B,0)),"")</f>
        <v/>
      </c>
      <c r="O440" t="str">
        <f t="array" ref="O440">IFERROR(INDEX('Daily Raw Data'!Y:Y,Match($A440,'Daily Raw Data'!$B:$B,0)),"")</f>
        <v/>
      </c>
      <c r="P440" t="str">
        <f t="shared" si="1"/>
        <v/>
      </c>
      <c r="Q440" s="14" t="str">
        <f t="shared" si="2"/>
        <v/>
      </c>
      <c r="R440" s="15" t="str">
        <f>IFERROR(__xludf.DUMMYFUNCTION("IF($A440="""","""", IFERROR(PERCENTRANK.INC(FILTER(P:P,$E:$E&lt;&gt;""""),P440)*100,""""))"),"")</f>
        <v/>
      </c>
      <c r="S440" s="15" t="str">
        <f>IFERROR(__xludf.DUMMYFUNCTION("IF($A440="""","""",IFERROR(PERCENTRANK.INC(FILTER(Q:Q,$E:$E&lt;&gt;""""),Q440)*100,""""))"),"")</f>
        <v/>
      </c>
    </row>
    <row r="441">
      <c r="B441" t="str">
        <f t="array" ref="B441">IFERROR(INDEX('Player Raw Data'!C:C,Match($A441,'Player Raw Data'!$B:$B,0)),"")</f>
        <v/>
      </c>
      <c r="C441" t="str">
        <f t="array" ref="C441">IFERROR(INDEX('Player Raw Data'!D:D,Match($A441,'Player Raw Data'!$B:$B,0)),"")</f>
        <v/>
      </c>
      <c r="D441" t="str">
        <f t="array" ref="D441">IFERROR(IF(A441=A440, INDEX('Player Raw Data'!E:E,Match($A441,'Player Raw Data'!$B:$B,0)+2),INDEX('Player Raw Data'!E:E,Match($A441,'Player Raw Data'!$B:$B,0))),"")</f>
        <v/>
      </c>
      <c r="E441" s="27" t="str">
        <f>IFERROR(__xludf.DUMMYFUNCTION("IFERROR(ARRAY_CONSTRAIN(SPLIT(INDEX('Daily Raw Data'!G:G,Match($A441,'Daily Raw Data'!$B:$B,0)),"":""),1,1),"""")"),"")</f>
        <v/>
      </c>
      <c r="F441" t="str">
        <f t="array" ref="F441">IFERROR(INDEX('Daily Raw Data'!H:H,Match($A441,'Daily Raw Data'!$B:$B,0)),"")</f>
        <v/>
      </c>
      <c r="G441" t="str">
        <f t="array" ref="G441">IFERROR(INDEX('Daily Raw Data'!I:I,Match($A441,'Daily Raw Data'!$B:$B,0)),"")</f>
        <v/>
      </c>
      <c r="H441" t="str">
        <f t="array" ref="H441">IFERROR(INDEX('Daily Raw Data'!N:N,Match($A441,'Daily Raw Data'!$B:$B,0)),"")</f>
        <v/>
      </c>
      <c r="I441" t="str">
        <f t="array" ref="I441">IFERROR(INDEX('Daily Raw Data'!O:O,Match($A441,'Daily Raw Data'!$B:$B,0)),"")</f>
        <v/>
      </c>
      <c r="J441" t="str">
        <f t="array" ref="J441">IFERROR(INDEX('Daily Raw Data'!S:S,Match($A441,'Daily Raw Data'!$B:$B,0)),"")</f>
        <v/>
      </c>
      <c r="K441" t="str">
        <f t="array" ref="K441">IFERROR(INDEX('Daily Raw Data'!T:T,Match($A441,'Daily Raw Data'!$B:$B,0)),"")</f>
        <v/>
      </c>
      <c r="L441" t="str">
        <f t="array" ref="L441">IFERROR(INDEX('Daily Raw Data'!U:U,Match($A441,'Daily Raw Data'!$B:$B,0)),"")</f>
        <v/>
      </c>
      <c r="M441" t="str">
        <f t="array" ref="M441">IFERROR(INDEX('Daily Raw Data'!V:V,Match($A441,'Daily Raw Data'!$B:$B,0)),"")</f>
        <v/>
      </c>
      <c r="N441" t="str">
        <f t="array" ref="N441">IFERROR(INDEX('Daily Raw Data'!W:W,Match($A441,'Daily Raw Data'!$B:$B,0)),"")</f>
        <v/>
      </c>
      <c r="O441" t="str">
        <f t="array" ref="O441">IFERROR(INDEX('Daily Raw Data'!Y:Y,Match($A441,'Daily Raw Data'!$B:$B,0)),"")</f>
        <v/>
      </c>
      <c r="P441" t="str">
        <f t="shared" si="1"/>
        <v/>
      </c>
      <c r="Q441" s="14" t="str">
        <f t="shared" si="2"/>
        <v/>
      </c>
      <c r="R441" s="15" t="str">
        <f>IFERROR(__xludf.DUMMYFUNCTION("IF($A441="""","""", IFERROR(PERCENTRANK.INC(FILTER(P:P,$E:$E&lt;&gt;""""),P441)*100,""""))"),"")</f>
        <v/>
      </c>
      <c r="S441" s="15" t="str">
        <f>IFERROR(__xludf.DUMMYFUNCTION("IF($A441="""","""",IFERROR(PERCENTRANK.INC(FILTER(Q:Q,$E:$E&lt;&gt;""""),Q441)*100,""""))"),"")</f>
        <v/>
      </c>
    </row>
    <row r="442">
      <c r="B442" t="str">
        <f t="array" ref="B442">IFERROR(INDEX('Player Raw Data'!C:C,Match($A442,'Player Raw Data'!$B:$B,0)),"")</f>
        <v/>
      </c>
      <c r="C442" t="str">
        <f t="array" ref="C442">IFERROR(INDEX('Player Raw Data'!D:D,Match($A442,'Player Raw Data'!$B:$B,0)),"")</f>
        <v/>
      </c>
      <c r="D442" t="str">
        <f t="array" ref="D442">IFERROR(IF(A442=A441, INDEX('Player Raw Data'!E:E,Match($A442,'Player Raw Data'!$B:$B,0)+2),INDEX('Player Raw Data'!E:E,Match($A442,'Player Raw Data'!$B:$B,0))),"")</f>
        <v/>
      </c>
      <c r="E442" s="27" t="str">
        <f>IFERROR(__xludf.DUMMYFUNCTION("IFERROR(ARRAY_CONSTRAIN(SPLIT(INDEX('Daily Raw Data'!G:G,Match($A442,'Daily Raw Data'!$B:$B,0)),"":""),1,1),"""")"),"")</f>
        <v/>
      </c>
      <c r="F442" t="str">
        <f t="array" ref="F442">IFERROR(INDEX('Daily Raw Data'!H:H,Match($A442,'Daily Raw Data'!$B:$B,0)),"")</f>
        <v/>
      </c>
      <c r="G442" t="str">
        <f t="array" ref="G442">IFERROR(INDEX('Daily Raw Data'!I:I,Match($A442,'Daily Raw Data'!$B:$B,0)),"")</f>
        <v/>
      </c>
      <c r="H442" t="str">
        <f t="array" ref="H442">IFERROR(INDEX('Daily Raw Data'!N:N,Match($A442,'Daily Raw Data'!$B:$B,0)),"")</f>
        <v/>
      </c>
      <c r="I442" t="str">
        <f t="array" ref="I442">IFERROR(INDEX('Daily Raw Data'!O:O,Match($A442,'Daily Raw Data'!$B:$B,0)),"")</f>
        <v/>
      </c>
      <c r="J442" t="str">
        <f t="array" ref="J442">IFERROR(INDEX('Daily Raw Data'!S:S,Match($A442,'Daily Raw Data'!$B:$B,0)),"")</f>
        <v/>
      </c>
      <c r="K442" t="str">
        <f t="array" ref="K442">IFERROR(INDEX('Daily Raw Data'!T:T,Match($A442,'Daily Raw Data'!$B:$B,0)),"")</f>
        <v/>
      </c>
      <c r="L442" t="str">
        <f t="array" ref="L442">IFERROR(INDEX('Daily Raw Data'!U:U,Match($A442,'Daily Raw Data'!$B:$B,0)),"")</f>
        <v/>
      </c>
      <c r="M442" t="str">
        <f t="array" ref="M442">IFERROR(INDEX('Daily Raw Data'!V:V,Match($A442,'Daily Raw Data'!$B:$B,0)),"")</f>
        <v/>
      </c>
      <c r="N442" t="str">
        <f t="array" ref="N442">IFERROR(INDEX('Daily Raw Data'!W:W,Match($A442,'Daily Raw Data'!$B:$B,0)),"")</f>
        <v/>
      </c>
      <c r="O442" t="str">
        <f t="array" ref="O442">IFERROR(INDEX('Daily Raw Data'!Y:Y,Match($A442,'Daily Raw Data'!$B:$B,0)),"")</f>
        <v/>
      </c>
      <c r="P442" t="str">
        <f t="shared" si="1"/>
        <v/>
      </c>
      <c r="Q442" s="14" t="str">
        <f t="shared" si="2"/>
        <v/>
      </c>
      <c r="R442" s="15" t="str">
        <f>IFERROR(__xludf.DUMMYFUNCTION("IF($A442="""","""", IFERROR(PERCENTRANK.INC(FILTER(P:P,$E:$E&lt;&gt;""""),P442)*100,""""))"),"")</f>
        <v/>
      </c>
      <c r="S442" s="15" t="str">
        <f>IFERROR(__xludf.DUMMYFUNCTION("IF($A442="""","""",IFERROR(PERCENTRANK.INC(FILTER(Q:Q,$E:$E&lt;&gt;""""),Q442)*100,""""))"),"")</f>
        <v/>
      </c>
    </row>
    <row r="443">
      <c r="B443" t="str">
        <f t="array" ref="B443">IFERROR(INDEX('Player Raw Data'!C:C,Match($A443,'Player Raw Data'!$B:$B,0)),"")</f>
        <v/>
      </c>
      <c r="C443" t="str">
        <f t="array" ref="C443">IFERROR(INDEX('Player Raw Data'!D:D,Match($A443,'Player Raw Data'!$B:$B,0)),"")</f>
        <v/>
      </c>
      <c r="D443" t="str">
        <f t="array" ref="D443">IFERROR(IF(A443=A442, INDEX('Player Raw Data'!E:E,Match($A443,'Player Raw Data'!$B:$B,0)+2),INDEX('Player Raw Data'!E:E,Match($A443,'Player Raw Data'!$B:$B,0))),"")</f>
        <v/>
      </c>
      <c r="E443" s="27" t="str">
        <f>IFERROR(__xludf.DUMMYFUNCTION("IFERROR(ARRAY_CONSTRAIN(SPLIT(INDEX('Daily Raw Data'!G:G,Match($A443,'Daily Raw Data'!$B:$B,0)),"":""),1,1),"""")"),"")</f>
        <v/>
      </c>
      <c r="F443" t="str">
        <f t="array" ref="F443">IFERROR(INDEX('Daily Raw Data'!H:H,Match($A443,'Daily Raw Data'!$B:$B,0)),"")</f>
        <v/>
      </c>
      <c r="G443" t="str">
        <f t="array" ref="G443">IFERROR(INDEX('Daily Raw Data'!I:I,Match($A443,'Daily Raw Data'!$B:$B,0)),"")</f>
        <v/>
      </c>
      <c r="H443" t="str">
        <f t="array" ref="H443">IFERROR(INDEX('Daily Raw Data'!N:N,Match($A443,'Daily Raw Data'!$B:$B,0)),"")</f>
        <v/>
      </c>
      <c r="I443" t="str">
        <f t="array" ref="I443">IFERROR(INDEX('Daily Raw Data'!O:O,Match($A443,'Daily Raw Data'!$B:$B,0)),"")</f>
        <v/>
      </c>
      <c r="J443" t="str">
        <f t="array" ref="J443">IFERROR(INDEX('Daily Raw Data'!S:S,Match($A443,'Daily Raw Data'!$B:$B,0)),"")</f>
        <v/>
      </c>
      <c r="K443" t="str">
        <f t="array" ref="K443">IFERROR(INDEX('Daily Raw Data'!T:T,Match($A443,'Daily Raw Data'!$B:$B,0)),"")</f>
        <v/>
      </c>
      <c r="L443" t="str">
        <f t="array" ref="L443">IFERROR(INDEX('Daily Raw Data'!U:U,Match($A443,'Daily Raw Data'!$B:$B,0)),"")</f>
        <v/>
      </c>
      <c r="M443" t="str">
        <f t="array" ref="M443">IFERROR(INDEX('Daily Raw Data'!V:V,Match($A443,'Daily Raw Data'!$B:$B,0)),"")</f>
        <v/>
      </c>
      <c r="N443" t="str">
        <f t="array" ref="N443">IFERROR(INDEX('Daily Raw Data'!W:W,Match($A443,'Daily Raw Data'!$B:$B,0)),"")</f>
        <v/>
      </c>
      <c r="O443" t="str">
        <f t="array" ref="O443">IFERROR(INDEX('Daily Raw Data'!Y:Y,Match($A443,'Daily Raw Data'!$B:$B,0)),"")</f>
        <v/>
      </c>
      <c r="P443" t="str">
        <f t="shared" si="1"/>
        <v/>
      </c>
      <c r="Q443" s="14" t="str">
        <f t="shared" si="2"/>
        <v/>
      </c>
      <c r="R443" s="15" t="str">
        <f>IFERROR(__xludf.DUMMYFUNCTION("IF($A443="""","""", IFERROR(PERCENTRANK.INC(FILTER(P:P,$E:$E&lt;&gt;""""),P443)*100,""""))"),"")</f>
        <v/>
      </c>
      <c r="S443" s="15" t="str">
        <f>IFERROR(__xludf.DUMMYFUNCTION("IF($A443="""","""",IFERROR(PERCENTRANK.INC(FILTER(Q:Q,$E:$E&lt;&gt;""""),Q443)*100,""""))"),"")</f>
        <v/>
      </c>
    </row>
    <row r="444">
      <c r="B444" t="str">
        <f t="array" ref="B444">IFERROR(INDEX('Player Raw Data'!C:C,Match($A444,'Player Raw Data'!$B:$B,0)),"")</f>
        <v/>
      </c>
      <c r="C444" t="str">
        <f t="array" ref="C444">IFERROR(INDEX('Player Raw Data'!D:D,Match($A444,'Player Raw Data'!$B:$B,0)),"")</f>
        <v/>
      </c>
      <c r="D444" t="str">
        <f t="array" ref="D444">IFERROR(IF(A444=A443, INDEX('Player Raw Data'!E:E,Match($A444,'Player Raw Data'!$B:$B,0)+2),INDEX('Player Raw Data'!E:E,Match($A444,'Player Raw Data'!$B:$B,0))),"")</f>
        <v/>
      </c>
      <c r="E444" s="27" t="str">
        <f>IFERROR(__xludf.DUMMYFUNCTION("IFERROR(ARRAY_CONSTRAIN(SPLIT(INDEX('Daily Raw Data'!G:G,Match($A444,'Daily Raw Data'!$B:$B,0)),"":""),1,1),"""")"),"")</f>
        <v/>
      </c>
      <c r="F444" t="str">
        <f t="array" ref="F444">IFERROR(INDEX('Daily Raw Data'!H:H,Match($A444,'Daily Raw Data'!$B:$B,0)),"")</f>
        <v/>
      </c>
      <c r="G444" t="str">
        <f t="array" ref="G444">IFERROR(INDEX('Daily Raw Data'!I:I,Match($A444,'Daily Raw Data'!$B:$B,0)),"")</f>
        <v/>
      </c>
      <c r="H444" t="str">
        <f t="array" ref="H444">IFERROR(INDEX('Daily Raw Data'!N:N,Match($A444,'Daily Raw Data'!$B:$B,0)),"")</f>
        <v/>
      </c>
      <c r="I444" t="str">
        <f t="array" ref="I444">IFERROR(INDEX('Daily Raw Data'!O:O,Match($A444,'Daily Raw Data'!$B:$B,0)),"")</f>
        <v/>
      </c>
      <c r="J444" t="str">
        <f t="array" ref="J444">IFERROR(INDEX('Daily Raw Data'!S:S,Match($A444,'Daily Raw Data'!$B:$B,0)),"")</f>
        <v/>
      </c>
      <c r="K444" t="str">
        <f t="array" ref="K444">IFERROR(INDEX('Daily Raw Data'!T:T,Match($A444,'Daily Raw Data'!$B:$B,0)),"")</f>
        <v/>
      </c>
      <c r="L444" t="str">
        <f t="array" ref="L444">IFERROR(INDEX('Daily Raw Data'!U:U,Match($A444,'Daily Raw Data'!$B:$B,0)),"")</f>
        <v/>
      </c>
      <c r="M444" t="str">
        <f t="array" ref="M444">IFERROR(INDEX('Daily Raw Data'!V:V,Match($A444,'Daily Raw Data'!$B:$B,0)),"")</f>
        <v/>
      </c>
      <c r="N444" t="str">
        <f t="array" ref="N444">IFERROR(INDEX('Daily Raw Data'!W:W,Match($A444,'Daily Raw Data'!$B:$B,0)),"")</f>
        <v/>
      </c>
      <c r="O444" t="str">
        <f t="array" ref="O444">IFERROR(INDEX('Daily Raw Data'!Y:Y,Match($A444,'Daily Raw Data'!$B:$B,0)),"")</f>
        <v/>
      </c>
      <c r="P444" t="str">
        <f t="shared" si="1"/>
        <v/>
      </c>
      <c r="Q444" s="14" t="str">
        <f t="shared" si="2"/>
        <v/>
      </c>
      <c r="R444" s="15" t="str">
        <f>IFERROR(__xludf.DUMMYFUNCTION("IF($A444="""","""", IFERROR(PERCENTRANK.INC(FILTER(P:P,$E:$E&lt;&gt;""""),P444)*100,""""))"),"")</f>
        <v/>
      </c>
      <c r="S444" s="15" t="str">
        <f>IFERROR(__xludf.DUMMYFUNCTION("IF($A444="""","""",IFERROR(PERCENTRANK.INC(FILTER(Q:Q,$E:$E&lt;&gt;""""),Q444)*100,""""))"),"")</f>
        <v/>
      </c>
    </row>
    <row r="445">
      <c r="B445" t="str">
        <f t="array" ref="B445">IFERROR(INDEX('Player Raw Data'!C:C,Match($A445,'Player Raw Data'!$B:$B,0)),"")</f>
        <v/>
      </c>
      <c r="C445" t="str">
        <f t="array" ref="C445">IFERROR(INDEX('Player Raw Data'!D:D,Match($A445,'Player Raw Data'!$B:$B,0)),"")</f>
        <v/>
      </c>
      <c r="D445" t="str">
        <f t="array" ref="D445">IFERROR(IF(A445=A444, INDEX('Player Raw Data'!E:E,Match($A445,'Player Raw Data'!$B:$B,0)+2),INDEX('Player Raw Data'!E:E,Match($A445,'Player Raw Data'!$B:$B,0))),"")</f>
        <v/>
      </c>
      <c r="E445" s="27" t="str">
        <f>IFERROR(__xludf.DUMMYFUNCTION("IFERROR(ARRAY_CONSTRAIN(SPLIT(INDEX('Daily Raw Data'!G:G,Match($A445,'Daily Raw Data'!$B:$B,0)),"":""),1,1),"""")"),"")</f>
        <v/>
      </c>
      <c r="F445" t="str">
        <f t="array" ref="F445">IFERROR(INDEX('Daily Raw Data'!H:H,Match($A445,'Daily Raw Data'!$B:$B,0)),"")</f>
        <v/>
      </c>
      <c r="G445" t="str">
        <f t="array" ref="G445">IFERROR(INDEX('Daily Raw Data'!I:I,Match($A445,'Daily Raw Data'!$B:$B,0)),"")</f>
        <v/>
      </c>
      <c r="H445" t="str">
        <f t="array" ref="H445">IFERROR(INDEX('Daily Raw Data'!N:N,Match($A445,'Daily Raw Data'!$B:$B,0)),"")</f>
        <v/>
      </c>
      <c r="I445" t="str">
        <f t="array" ref="I445">IFERROR(INDEX('Daily Raw Data'!O:O,Match($A445,'Daily Raw Data'!$B:$B,0)),"")</f>
        <v/>
      </c>
      <c r="J445" t="str">
        <f t="array" ref="J445">IFERROR(INDEX('Daily Raw Data'!S:S,Match($A445,'Daily Raw Data'!$B:$B,0)),"")</f>
        <v/>
      </c>
      <c r="K445" t="str">
        <f t="array" ref="K445">IFERROR(INDEX('Daily Raw Data'!T:T,Match($A445,'Daily Raw Data'!$B:$B,0)),"")</f>
        <v/>
      </c>
      <c r="L445" t="str">
        <f t="array" ref="L445">IFERROR(INDEX('Daily Raw Data'!U:U,Match($A445,'Daily Raw Data'!$B:$B,0)),"")</f>
        <v/>
      </c>
      <c r="M445" t="str">
        <f t="array" ref="M445">IFERROR(INDEX('Daily Raw Data'!V:V,Match($A445,'Daily Raw Data'!$B:$B,0)),"")</f>
        <v/>
      </c>
      <c r="N445" t="str">
        <f t="array" ref="N445">IFERROR(INDEX('Daily Raw Data'!W:W,Match($A445,'Daily Raw Data'!$B:$B,0)),"")</f>
        <v/>
      </c>
      <c r="O445" t="str">
        <f t="array" ref="O445">IFERROR(INDEX('Daily Raw Data'!Y:Y,Match($A445,'Daily Raw Data'!$B:$B,0)),"")</f>
        <v/>
      </c>
      <c r="P445" t="str">
        <f t="shared" si="1"/>
        <v/>
      </c>
      <c r="Q445" s="14" t="str">
        <f t="shared" si="2"/>
        <v/>
      </c>
      <c r="R445" s="15" t="str">
        <f>IFERROR(__xludf.DUMMYFUNCTION("IF($A445="""","""", IFERROR(PERCENTRANK.INC(FILTER(P:P,$E:$E&lt;&gt;""""),P445)*100,""""))"),"")</f>
        <v/>
      </c>
      <c r="S445" s="15" t="str">
        <f>IFERROR(__xludf.DUMMYFUNCTION("IF($A445="""","""",IFERROR(PERCENTRANK.INC(FILTER(Q:Q,$E:$E&lt;&gt;""""),Q445)*100,""""))"),"")</f>
        <v/>
      </c>
    </row>
    <row r="446">
      <c r="B446" t="str">
        <f t="array" ref="B446">IFERROR(INDEX('Player Raw Data'!C:C,Match($A446,'Player Raw Data'!$B:$B,0)),"")</f>
        <v/>
      </c>
      <c r="C446" t="str">
        <f t="array" ref="C446">IFERROR(INDEX('Player Raw Data'!D:D,Match($A446,'Player Raw Data'!$B:$B,0)),"")</f>
        <v/>
      </c>
      <c r="D446" t="str">
        <f t="array" ref="D446">IFERROR(IF(A446=A445, INDEX('Player Raw Data'!E:E,Match($A446,'Player Raw Data'!$B:$B,0)+2),INDEX('Player Raw Data'!E:E,Match($A446,'Player Raw Data'!$B:$B,0))),"")</f>
        <v/>
      </c>
      <c r="E446" s="27" t="str">
        <f>IFERROR(__xludf.DUMMYFUNCTION("IFERROR(ARRAY_CONSTRAIN(SPLIT(INDEX('Daily Raw Data'!G:G,Match($A446,'Daily Raw Data'!$B:$B,0)),"":""),1,1),"""")"),"")</f>
        <v/>
      </c>
      <c r="F446" t="str">
        <f t="array" ref="F446">IFERROR(INDEX('Daily Raw Data'!H:H,Match($A446,'Daily Raw Data'!$B:$B,0)),"")</f>
        <v/>
      </c>
      <c r="G446" t="str">
        <f t="array" ref="G446">IFERROR(INDEX('Daily Raw Data'!I:I,Match($A446,'Daily Raw Data'!$B:$B,0)),"")</f>
        <v/>
      </c>
      <c r="H446" t="str">
        <f t="array" ref="H446">IFERROR(INDEX('Daily Raw Data'!N:N,Match($A446,'Daily Raw Data'!$B:$B,0)),"")</f>
        <v/>
      </c>
      <c r="I446" t="str">
        <f t="array" ref="I446">IFERROR(INDEX('Daily Raw Data'!O:O,Match($A446,'Daily Raw Data'!$B:$B,0)),"")</f>
        <v/>
      </c>
      <c r="J446" t="str">
        <f t="array" ref="J446">IFERROR(INDEX('Daily Raw Data'!S:S,Match($A446,'Daily Raw Data'!$B:$B,0)),"")</f>
        <v/>
      </c>
      <c r="K446" t="str">
        <f t="array" ref="K446">IFERROR(INDEX('Daily Raw Data'!T:T,Match($A446,'Daily Raw Data'!$B:$B,0)),"")</f>
        <v/>
      </c>
      <c r="L446" t="str">
        <f t="array" ref="L446">IFERROR(INDEX('Daily Raw Data'!U:U,Match($A446,'Daily Raw Data'!$B:$B,0)),"")</f>
        <v/>
      </c>
      <c r="M446" t="str">
        <f t="array" ref="M446">IFERROR(INDEX('Daily Raw Data'!V:V,Match($A446,'Daily Raw Data'!$B:$B,0)),"")</f>
        <v/>
      </c>
      <c r="N446" t="str">
        <f t="array" ref="N446">IFERROR(INDEX('Daily Raw Data'!W:W,Match($A446,'Daily Raw Data'!$B:$B,0)),"")</f>
        <v/>
      </c>
      <c r="O446" t="str">
        <f t="array" ref="O446">IFERROR(INDEX('Daily Raw Data'!Y:Y,Match($A446,'Daily Raw Data'!$B:$B,0)),"")</f>
        <v/>
      </c>
      <c r="P446" t="str">
        <f t="shared" si="1"/>
        <v/>
      </c>
      <c r="Q446" s="14" t="str">
        <f t="shared" si="2"/>
        <v/>
      </c>
      <c r="R446" s="15" t="str">
        <f>IFERROR(__xludf.DUMMYFUNCTION("IF($A446="""","""", IFERROR(PERCENTRANK.INC(FILTER(P:P,$E:$E&lt;&gt;""""),P446)*100,""""))"),"")</f>
        <v/>
      </c>
      <c r="S446" s="15" t="str">
        <f>IFERROR(__xludf.DUMMYFUNCTION("IF($A446="""","""",IFERROR(PERCENTRANK.INC(FILTER(Q:Q,$E:$E&lt;&gt;""""),Q446)*100,""""))"),"")</f>
        <v/>
      </c>
    </row>
    <row r="447">
      <c r="B447" t="str">
        <f t="array" ref="B447">IFERROR(INDEX('Player Raw Data'!C:C,Match($A447,'Player Raw Data'!$B:$B,0)),"")</f>
        <v/>
      </c>
      <c r="C447" t="str">
        <f t="array" ref="C447">IFERROR(INDEX('Player Raw Data'!D:D,Match($A447,'Player Raw Data'!$B:$B,0)),"")</f>
        <v/>
      </c>
      <c r="D447" t="str">
        <f t="array" ref="D447">IFERROR(IF(A447=A446, INDEX('Player Raw Data'!E:E,Match($A447,'Player Raw Data'!$B:$B,0)+2),INDEX('Player Raw Data'!E:E,Match($A447,'Player Raw Data'!$B:$B,0))),"")</f>
        <v/>
      </c>
      <c r="E447" s="27" t="str">
        <f>IFERROR(__xludf.DUMMYFUNCTION("IFERROR(ARRAY_CONSTRAIN(SPLIT(INDEX('Daily Raw Data'!G:G,Match($A447,'Daily Raw Data'!$B:$B,0)),"":""),1,1),"""")"),"")</f>
        <v/>
      </c>
      <c r="F447" t="str">
        <f t="array" ref="F447">IFERROR(INDEX('Daily Raw Data'!H:H,Match($A447,'Daily Raw Data'!$B:$B,0)),"")</f>
        <v/>
      </c>
      <c r="G447" t="str">
        <f t="array" ref="G447">IFERROR(INDEX('Daily Raw Data'!I:I,Match($A447,'Daily Raw Data'!$B:$B,0)),"")</f>
        <v/>
      </c>
      <c r="H447" t="str">
        <f t="array" ref="H447">IFERROR(INDEX('Daily Raw Data'!N:N,Match($A447,'Daily Raw Data'!$B:$B,0)),"")</f>
        <v/>
      </c>
      <c r="I447" t="str">
        <f t="array" ref="I447">IFERROR(INDEX('Daily Raw Data'!O:O,Match($A447,'Daily Raw Data'!$B:$B,0)),"")</f>
        <v/>
      </c>
      <c r="J447" t="str">
        <f t="array" ref="J447">IFERROR(INDEX('Daily Raw Data'!S:S,Match($A447,'Daily Raw Data'!$B:$B,0)),"")</f>
        <v/>
      </c>
      <c r="K447" t="str">
        <f t="array" ref="K447">IFERROR(INDEX('Daily Raw Data'!T:T,Match($A447,'Daily Raw Data'!$B:$B,0)),"")</f>
        <v/>
      </c>
      <c r="L447" t="str">
        <f t="array" ref="L447">IFERROR(INDEX('Daily Raw Data'!U:U,Match($A447,'Daily Raw Data'!$B:$B,0)),"")</f>
        <v/>
      </c>
      <c r="M447" t="str">
        <f t="array" ref="M447">IFERROR(INDEX('Daily Raw Data'!V:V,Match($A447,'Daily Raw Data'!$B:$B,0)),"")</f>
        <v/>
      </c>
      <c r="N447" t="str">
        <f t="array" ref="N447">IFERROR(INDEX('Daily Raw Data'!W:W,Match($A447,'Daily Raw Data'!$B:$B,0)),"")</f>
        <v/>
      </c>
      <c r="O447" t="str">
        <f t="array" ref="O447">IFERROR(INDEX('Daily Raw Data'!Y:Y,Match($A447,'Daily Raw Data'!$B:$B,0)),"")</f>
        <v/>
      </c>
      <c r="P447" t="str">
        <f t="shared" si="1"/>
        <v/>
      </c>
      <c r="Q447" s="14" t="str">
        <f t="shared" si="2"/>
        <v/>
      </c>
      <c r="R447" s="15" t="str">
        <f>IFERROR(__xludf.DUMMYFUNCTION("IF($A447="""","""", IFERROR(PERCENTRANK.INC(FILTER(P:P,$E:$E&lt;&gt;""""),P447)*100,""""))"),"")</f>
        <v/>
      </c>
      <c r="S447" s="15" t="str">
        <f>IFERROR(__xludf.DUMMYFUNCTION("IF($A447="""","""",IFERROR(PERCENTRANK.INC(FILTER(Q:Q,$E:$E&lt;&gt;""""),Q447)*100,""""))"),"")</f>
        <v/>
      </c>
    </row>
    <row r="448">
      <c r="B448" t="str">
        <f t="array" ref="B448">IFERROR(INDEX('Player Raw Data'!C:C,Match($A448,'Player Raw Data'!$B:$B,0)),"")</f>
        <v/>
      </c>
      <c r="C448" t="str">
        <f t="array" ref="C448">IFERROR(INDEX('Player Raw Data'!D:D,Match($A448,'Player Raw Data'!$B:$B,0)),"")</f>
        <v/>
      </c>
      <c r="D448" t="str">
        <f t="array" ref="D448">IFERROR(IF(A448=A447, INDEX('Player Raw Data'!E:E,Match($A448,'Player Raw Data'!$B:$B,0)+2),INDEX('Player Raw Data'!E:E,Match($A448,'Player Raw Data'!$B:$B,0))),"")</f>
        <v/>
      </c>
      <c r="E448" s="27" t="str">
        <f>IFERROR(__xludf.DUMMYFUNCTION("IFERROR(ARRAY_CONSTRAIN(SPLIT(INDEX('Daily Raw Data'!G:G,Match($A448,'Daily Raw Data'!$B:$B,0)),"":""),1,1),"""")"),"")</f>
        <v/>
      </c>
      <c r="F448" t="str">
        <f t="array" ref="F448">IFERROR(INDEX('Daily Raw Data'!H:H,Match($A448,'Daily Raw Data'!$B:$B,0)),"")</f>
        <v/>
      </c>
      <c r="G448" t="str">
        <f t="array" ref="G448">IFERROR(INDEX('Daily Raw Data'!I:I,Match($A448,'Daily Raw Data'!$B:$B,0)),"")</f>
        <v/>
      </c>
      <c r="H448" t="str">
        <f t="array" ref="H448">IFERROR(INDEX('Daily Raw Data'!N:N,Match($A448,'Daily Raw Data'!$B:$B,0)),"")</f>
        <v/>
      </c>
      <c r="I448" t="str">
        <f t="array" ref="I448">IFERROR(INDEX('Daily Raw Data'!O:O,Match($A448,'Daily Raw Data'!$B:$B,0)),"")</f>
        <v/>
      </c>
      <c r="J448" t="str">
        <f t="array" ref="J448">IFERROR(INDEX('Daily Raw Data'!S:S,Match($A448,'Daily Raw Data'!$B:$B,0)),"")</f>
        <v/>
      </c>
      <c r="K448" t="str">
        <f t="array" ref="K448">IFERROR(INDEX('Daily Raw Data'!T:T,Match($A448,'Daily Raw Data'!$B:$B,0)),"")</f>
        <v/>
      </c>
      <c r="L448" t="str">
        <f t="array" ref="L448">IFERROR(INDEX('Daily Raw Data'!U:U,Match($A448,'Daily Raw Data'!$B:$B,0)),"")</f>
        <v/>
      </c>
      <c r="M448" t="str">
        <f t="array" ref="M448">IFERROR(INDEX('Daily Raw Data'!V:V,Match($A448,'Daily Raw Data'!$B:$B,0)),"")</f>
        <v/>
      </c>
      <c r="N448" t="str">
        <f t="array" ref="N448">IFERROR(INDEX('Daily Raw Data'!W:W,Match($A448,'Daily Raw Data'!$B:$B,0)),"")</f>
        <v/>
      </c>
      <c r="O448" t="str">
        <f t="array" ref="O448">IFERROR(INDEX('Daily Raw Data'!Y:Y,Match($A448,'Daily Raw Data'!$B:$B,0)),"")</f>
        <v/>
      </c>
      <c r="P448" t="str">
        <f t="shared" si="1"/>
        <v/>
      </c>
      <c r="Q448" s="14" t="str">
        <f t="shared" si="2"/>
        <v/>
      </c>
      <c r="R448" s="15" t="str">
        <f>IFERROR(__xludf.DUMMYFUNCTION("IF($A448="""","""", IFERROR(PERCENTRANK.INC(FILTER(P:P,$E:$E&lt;&gt;""""),P448)*100,""""))"),"")</f>
        <v/>
      </c>
      <c r="S448" s="15" t="str">
        <f>IFERROR(__xludf.DUMMYFUNCTION("IF($A448="""","""",IFERROR(PERCENTRANK.INC(FILTER(Q:Q,$E:$E&lt;&gt;""""),Q448)*100,""""))"),"")</f>
        <v/>
      </c>
    </row>
    <row r="449">
      <c r="B449" t="str">
        <f t="array" ref="B449">IFERROR(INDEX('Player Raw Data'!C:C,Match($A449,'Player Raw Data'!$B:$B,0)),"")</f>
        <v/>
      </c>
      <c r="C449" t="str">
        <f t="array" ref="C449">IFERROR(INDEX('Player Raw Data'!D:D,Match($A449,'Player Raw Data'!$B:$B,0)),"")</f>
        <v/>
      </c>
      <c r="D449" t="str">
        <f t="array" ref="D449">IFERROR(IF(A449=A448, INDEX('Player Raw Data'!E:E,Match($A449,'Player Raw Data'!$B:$B,0)+2),INDEX('Player Raw Data'!E:E,Match($A449,'Player Raw Data'!$B:$B,0))),"")</f>
        <v/>
      </c>
      <c r="E449" s="27" t="str">
        <f>IFERROR(__xludf.DUMMYFUNCTION("IFERROR(ARRAY_CONSTRAIN(SPLIT(INDEX('Daily Raw Data'!G:G,Match($A449,'Daily Raw Data'!$B:$B,0)),"":""),1,1),"""")"),"")</f>
        <v/>
      </c>
      <c r="F449" t="str">
        <f t="array" ref="F449">IFERROR(INDEX('Daily Raw Data'!H:H,Match($A449,'Daily Raw Data'!$B:$B,0)),"")</f>
        <v/>
      </c>
      <c r="G449" t="str">
        <f t="array" ref="G449">IFERROR(INDEX('Daily Raw Data'!I:I,Match($A449,'Daily Raw Data'!$B:$B,0)),"")</f>
        <v/>
      </c>
      <c r="H449" t="str">
        <f t="array" ref="H449">IFERROR(INDEX('Daily Raw Data'!N:N,Match($A449,'Daily Raw Data'!$B:$B,0)),"")</f>
        <v/>
      </c>
      <c r="I449" t="str">
        <f t="array" ref="I449">IFERROR(INDEX('Daily Raw Data'!O:O,Match($A449,'Daily Raw Data'!$B:$B,0)),"")</f>
        <v/>
      </c>
      <c r="J449" t="str">
        <f t="array" ref="J449">IFERROR(INDEX('Daily Raw Data'!S:S,Match($A449,'Daily Raw Data'!$B:$B,0)),"")</f>
        <v/>
      </c>
      <c r="K449" t="str">
        <f t="array" ref="K449">IFERROR(INDEX('Daily Raw Data'!T:T,Match($A449,'Daily Raw Data'!$B:$B,0)),"")</f>
        <v/>
      </c>
      <c r="L449" t="str">
        <f t="array" ref="L449">IFERROR(INDEX('Daily Raw Data'!U:U,Match($A449,'Daily Raw Data'!$B:$B,0)),"")</f>
        <v/>
      </c>
      <c r="M449" t="str">
        <f t="array" ref="M449">IFERROR(INDEX('Daily Raw Data'!V:V,Match($A449,'Daily Raw Data'!$B:$B,0)),"")</f>
        <v/>
      </c>
      <c r="N449" t="str">
        <f t="array" ref="N449">IFERROR(INDEX('Daily Raw Data'!W:W,Match($A449,'Daily Raw Data'!$B:$B,0)),"")</f>
        <v/>
      </c>
      <c r="O449" t="str">
        <f t="array" ref="O449">IFERROR(INDEX('Daily Raw Data'!Y:Y,Match($A449,'Daily Raw Data'!$B:$B,0)),"")</f>
        <v/>
      </c>
      <c r="P449" t="str">
        <f t="shared" si="1"/>
        <v/>
      </c>
      <c r="Q449" s="14" t="str">
        <f t="shared" si="2"/>
        <v/>
      </c>
      <c r="R449" s="15" t="str">
        <f>IFERROR(__xludf.DUMMYFUNCTION("IF($A449="""","""", IFERROR(PERCENTRANK.INC(FILTER(P:P,$E:$E&lt;&gt;""""),P449)*100,""""))"),"")</f>
        <v/>
      </c>
      <c r="S449" s="15" t="str">
        <f>IFERROR(__xludf.DUMMYFUNCTION("IF($A449="""","""",IFERROR(PERCENTRANK.INC(FILTER(Q:Q,$E:$E&lt;&gt;""""),Q449)*100,""""))"),"")</f>
        <v/>
      </c>
    </row>
    <row r="450">
      <c r="B450" t="str">
        <f t="array" ref="B450">IFERROR(INDEX('Player Raw Data'!C:C,Match($A450,'Player Raw Data'!$B:$B,0)),"")</f>
        <v/>
      </c>
      <c r="C450" t="str">
        <f t="array" ref="C450">IFERROR(INDEX('Player Raw Data'!D:D,Match($A450,'Player Raw Data'!$B:$B,0)),"")</f>
        <v/>
      </c>
      <c r="D450" t="str">
        <f t="array" ref="D450">IFERROR(IF(A450=A449, INDEX('Player Raw Data'!E:E,Match($A450,'Player Raw Data'!$B:$B,0)+2),INDEX('Player Raw Data'!E:E,Match($A450,'Player Raw Data'!$B:$B,0))),"")</f>
        <v/>
      </c>
      <c r="E450" s="27" t="str">
        <f>IFERROR(__xludf.DUMMYFUNCTION("IFERROR(ARRAY_CONSTRAIN(SPLIT(INDEX('Daily Raw Data'!G:G,Match($A450,'Daily Raw Data'!$B:$B,0)),"":""),1,1),"""")"),"")</f>
        <v/>
      </c>
      <c r="F450" t="str">
        <f t="array" ref="F450">IFERROR(INDEX('Daily Raw Data'!H:H,Match($A450,'Daily Raw Data'!$B:$B,0)),"")</f>
        <v/>
      </c>
      <c r="G450" t="str">
        <f t="array" ref="G450">IFERROR(INDEX('Daily Raw Data'!I:I,Match($A450,'Daily Raw Data'!$B:$B,0)),"")</f>
        <v/>
      </c>
      <c r="H450" t="str">
        <f t="array" ref="H450">IFERROR(INDEX('Daily Raw Data'!N:N,Match($A450,'Daily Raw Data'!$B:$B,0)),"")</f>
        <v/>
      </c>
      <c r="I450" t="str">
        <f t="array" ref="I450">IFERROR(INDEX('Daily Raw Data'!O:O,Match($A450,'Daily Raw Data'!$B:$B,0)),"")</f>
        <v/>
      </c>
      <c r="J450" t="str">
        <f t="array" ref="J450">IFERROR(INDEX('Daily Raw Data'!S:S,Match($A450,'Daily Raw Data'!$B:$B,0)),"")</f>
        <v/>
      </c>
      <c r="K450" t="str">
        <f t="array" ref="K450">IFERROR(INDEX('Daily Raw Data'!T:T,Match($A450,'Daily Raw Data'!$B:$B,0)),"")</f>
        <v/>
      </c>
      <c r="L450" t="str">
        <f t="array" ref="L450">IFERROR(INDEX('Daily Raw Data'!U:U,Match($A450,'Daily Raw Data'!$B:$B,0)),"")</f>
        <v/>
      </c>
      <c r="M450" t="str">
        <f t="array" ref="M450">IFERROR(INDEX('Daily Raw Data'!V:V,Match($A450,'Daily Raw Data'!$B:$B,0)),"")</f>
        <v/>
      </c>
      <c r="N450" t="str">
        <f t="array" ref="N450">IFERROR(INDEX('Daily Raw Data'!W:W,Match($A450,'Daily Raw Data'!$B:$B,0)),"")</f>
        <v/>
      </c>
      <c r="O450" t="str">
        <f t="array" ref="O450">IFERROR(INDEX('Daily Raw Data'!Y:Y,Match($A450,'Daily Raw Data'!$B:$B,0)),"")</f>
        <v/>
      </c>
      <c r="P450" t="str">
        <f t="shared" si="1"/>
        <v/>
      </c>
      <c r="Q450" s="14" t="str">
        <f t="shared" si="2"/>
        <v/>
      </c>
      <c r="R450" s="15" t="str">
        <f>IFERROR(__xludf.DUMMYFUNCTION("IF($A450="""","""", IFERROR(PERCENTRANK.INC(FILTER(P:P,$E:$E&lt;&gt;""""),P450)*100,""""))"),"")</f>
        <v/>
      </c>
      <c r="S450" s="15" t="str">
        <f>IFERROR(__xludf.DUMMYFUNCTION("IF($A450="""","""",IFERROR(PERCENTRANK.INC(FILTER(Q:Q,$E:$E&lt;&gt;""""),Q450)*100,""""))"),"")</f>
        <v/>
      </c>
    </row>
    <row r="451">
      <c r="B451" t="str">
        <f t="array" ref="B451">IFERROR(INDEX('Player Raw Data'!C:C,Match($A451,'Player Raw Data'!$B:$B,0)),"")</f>
        <v/>
      </c>
      <c r="C451" t="str">
        <f t="array" ref="C451">IFERROR(INDEX('Player Raw Data'!D:D,Match($A451,'Player Raw Data'!$B:$B,0)),"")</f>
        <v/>
      </c>
      <c r="D451" t="str">
        <f t="array" ref="D451">IFERROR(IF(A451=A450, INDEX('Player Raw Data'!E:E,Match($A451,'Player Raw Data'!$B:$B,0)+2),INDEX('Player Raw Data'!E:E,Match($A451,'Player Raw Data'!$B:$B,0))),"")</f>
        <v/>
      </c>
      <c r="E451" s="27" t="str">
        <f>IFERROR(__xludf.DUMMYFUNCTION("IFERROR(ARRAY_CONSTRAIN(SPLIT(INDEX('Daily Raw Data'!G:G,Match($A451,'Daily Raw Data'!$B:$B,0)),"":""),1,1),"""")"),"")</f>
        <v/>
      </c>
      <c r="F451" t="str">
        <f t="array" ref="F451">IFERROR(INDEX('Daily Raw Data'!H:H,Match($A451,'Daily Raw Data'!$B:$B,0)),"")</f>
        <v/>
      </c>
      <c r="G451" t="str">
        <f t="array" ref="G451">IFERROR(INDEX('Daily Raw Data'!I:I,Match($A451,'Daily Raw Data'!$B:$B,0)),"")</f>
        <v/>
      </c>
      <c r="H451" t="str">
        <f t="array" ref="H451">IFERROR(INDEX('Daily Raw Data'!N:N,Match($A451,'Daily Raw Data'!$B:$B,0)),"")</f>
        <v/>
      </c>
      <c r="I451" t="str">
        <f t="array" ref="I451">IFERROR(INDEX('Daily Raw Data'!O:O,Match($A451,'Daily Raw Data'!$B:$B,0)),"")</f>
        <v/>
      </c>
      <c r="J451" t="str">
        <f t="array" ref="J451">IFERROR(INDEX('Daily Raw Data'!S:S,Match($A451,'Daily Raw Data'!$B:$B,0)),"")</f>
        <v/>
      </c>
      <c r="K451" t="str">
        <f t="array" ref="K451">IFERROR(INDEX('Daily Raw Data'!T:T,Match($A451,'Daily Raw Data'!$B:$B,0)),"")</f>
        <v/>
      </c>
      <c r="L451" t="str">
        <f t="array" ref="L451">IFERROR(INDEX('Daily Raw Data'!U:U,Match($A451,'Daily Raw Data'!$B:$B,0)),"")</f>
        <v/>
      </c>
      <c r="M451" t="str">
        <f t="array" ref="M451">IFERROR(INDEX('Daily Raw Data'!V:V,Match($A451,'Daily Raw Data'!$B:$B,0)),"")</f>
        <v/>
      </c>
      <c r="N451" t="str">
        <f t="array" ref="N451">IFERROR(INDEX('Daily Raw Data'!W:W,Match($A451,'Daily Raw Data'!$B:$B,0)),"")</f>
        <v/>
      </c>
      <c r="O451" t="str">
        <f t="array" ref="O451">IFERROR(INDEX('Daily Raw Data'!Y:Y,Match($A451,'Daily Raw Data'!$B:$B,0)),"")</f>
        <v/>
      </c>
      <c r="P451" t="str">
        <f t="shared" si="1"/>
        <v/>
      </c>
      <c r="Q451" s="14" t="str">
        <f t="shared" si="2"/>
        <v/>
      </c>
      <c r="R451" s="15" t="str">
        <f>IFERROR(__xludf.DUMMYFUNCTION("IF($A451="""","""", IFERROR(PERCENTRANK.INC(FILTER(P:P,$E:$E&lt;&gt;""""),P451)*100,""""))"),"")</f>
        <v/>
      </c>
      <c r="S451" s="15" t="str">
        <f>IFERROR(__xludf.DUMMYFUNCTION("IF($A451="""","""",IFERROR(PERCENTRANK.INC(FILTER(Q:Q,$E:$E&lt;&gt;""""),Q451)*100,""""))"),"")</f>
        <v/>
      </c>
    </row>
    <row r="452">
      <c r="B452" t="str">
        <f t="array" ref="B452">IFERROR(INDEX('Player Raw Data'!C:C,Match($A452,'Player Raw Data'!$B:$B,0)),"")</f>
        <v/>
      </c>
      <c r="C452" t="str">
        <f t="array" ref="C452">IFERROR(INDEX('Player Raw Data'!D:D,Match($A452,'Player Raw Data'!$B:$B,0)),"")</f>
        <v/>
      </c>
      <c r="D452" t="str">
        <f t="array" ref="D452">IFERROR(IF(A452=A451, INDEX('Player Raw Data'!E:E,Match($A452,'Player Raw Data'!$B:$B,0)+2),INDEX('Player Raw Data'!E:E,Match($A452,'Player Raw Data'!$B:$B,0))),"")</f>
        <v/>
      </c>
      <c r="E452" s="27" t="str">
        <f>IFERROR(__xludf.DUMMYFUNCTION("IFERROR(ARRAY_CONSTRAIN(SPLIT(INDEX('Daily Raw Data'!G:G,Match($A452,'Daily Raw Data'!$B:$B,0)),"":""),1,1),"""")"),"")</f>
        <v/>
      </c>
      <c r="F452" t="str">
        <f t="array" ref="F452">IFERROR(INDEX('Daily Raw Data'!H:H,Match($A452,'Daily Raw Data'!$B:$B,0)),"")</f>
        <v/>
      </c>
      <c r="G452" t="str">
        <f t="array" ref="G452">IFERROR(INDEX('Daily Raw Data'!I:I,Match($A452,'Daily Raw Data'!$B:$B,0)),"")</f>
        <v/>
      </c>
      <c r="H452" t="str">
        <f t="array" ref="H452">IFERROR(INDEX('Daily Raw Data'!N:N,Match($A452,'Daily Raw Data'!$B:$B,0)),"")</f>
        <v/>
      </c>
      <c r="I452" t="str">
        <f t="array" ref="I452">IFERROR(INDEX('Daily Raw Data'!O:O,Match($A452,'Daily Raw Data'!$B:$B,0)),"")</f>
        <v/>
      </c>
      <c r="J452" t="str">
        <f t="array" ref="J452">IFERROR(INDEX('Daily Raw Data'!S:S,Match($A452,'Daily Raw Data'!$B:$B,0)),"")</f>
        <v/>
      </c>
      <c r="K452" t="str">
        <f t="array" ref="K452">IFERROR(INDEX('Daily Raw Data'!T:T,Match($A452,'Daily Raw Data'!$B:$B,0)),"")</f>
        <v/>
      </c>
      <c r="L452" t="str">
        <f t="array" ref="L452">IFERROR(INDEX('Daily Raw Data'!U:U,Match($A452,'Daily Raw Data'!$B:$B,0)),"")</f>
        <v/>
      </c>
      <c r="M452" t="str">
        <f t="array" ref="M452">IFERROR(INDEX('Daily Raw Data'!V:V,Match($A452,'Daily Raw Data'!$B:$B,0)),"")</f>
        <v/>
      </c>
      <c r="N452" t="str">
        <f t="array" ref="N452">IFERROR(INDEX('Daily Raw Data'!W:W,Match($A452,'Daily Raw Data'!$B:$B,0)),"")</f>
        <v/>
      </c>
      <c r="O452" t="str">
        <f t="array" ref="O452">IFERROR(INDEX('Daily Raw Data'!Y:Y,Match($A452,'Daily Raw Data'!$B:$B,0)),"")</f>
        <v/>
      </c>
      <c r="P452" t="str">
        <f t="shared" si="1"/>
        <v/>
      </c>
      <c r="Q452" s="14" t="str">
        <f t="shared" si="2"/>
        <v/>
      </c>
      <c r="R452" s="15" t="str">
        <f>IFERROR(__xludf.DUMMYFUNCTION("IF($A452="""","""", IFERROR(PERCENTRANK.INC(FILTER(P:P,$E:$E&lt;&gt;""""),P452)*100,""""))"),"")</f>
        <v/>
      </c>
      <c r="S452" s="15" t="str">
        <f>IFERROR(__xludf.DUMMYFUNCTION("IF($A452="""","""",IFERROR(PERCENTRANK.INC(FILTER(Q:Q,$E:$E&lt;&gt;""""),Q452)*100,""""))"),"")</f>
        <v/>
      </c>
    </row>
    <row r="453">
      <c r="B453" t="str">
        <f t="array" ref="B453">IFERROR(INDEX('Player Raw Data'!C:C,Match($A453,'Player Raw Data'!$B:$B,0)),"")</f>
        <v/>
      </c>
      <c r="C453" t="str">
        <f t="array" ref="C453">IFERROR(INDEX('Player Raw Data'!D:D,Match($A453,'Player Raw Data'!$B:$B,0)),"")</f>
        <v/>
      </c>
      <c r="D453" t="str">
        <f t="array" ref="D453">IFERROR(IF(A453=A452, INDEX('Player Raw Data'!E:E,Match($A453,'Player Raw Data'!$B:$B,0)+2),INDEX('Player Raw Data'!E:E,Match($A453,'Player Raw Data'!$B:$B,0))),"")</f>
        <v/>
      </c>
      <c r="E453" s="27" t="str">
        <f>IFERROR(__xludf.DUMMYFUNCTION("IFERROR(ARRAY_CONSTRAIN(SPLIT(INDEX('Daily Raw Data'!G:G,Match($A453,'Daily Raw Data'!$B:$B,0)),"":""),1,1),"""")"),"")</f>
        <v/>
      </c>
      <c r="F453" t="str">
        <f t="array" ref="F453">IFERROR(INDEX('Daily Raw Data'!H:H,Match($A453,'Daily Raw Data'!$B:$B,0)),"")</f>
        <v/>
      </c>
      <c r="G453" t="str">
        <f t="array" ref="G453">IFERROR(INDEX('Daily Raw Data'!I:I,Match($A453,'Daily Raw Data'!$B:$B,0)),"")</f>
        <v/>
      </c>
      <c r="H453" t="str">
        <f t="array" ref="H453">IFERROR(INDEX('Daily Raw Data'!N:N,Match($A453,'Daily Raw Data'!$B:$B,0)),"")</f>
        <v/>
      </c>
      <c r="I453" t="str">
        <f t="array" ref="I453">IFERROR(INDEX('Daily Raw Data'!O:O,Match($A453,'Daily Raw Data'!$B:$B,0)),"")</f>
        <v/>
      </c>
      <c r="J453" t="str">
        <f t="array" ref="J453">IFERROR(INDEX('Daily Raw Data'!S:S,Match($A453,'Daily Raw Data'!$B:$B,0)),"")</f>
        <v/>
      </c>
      <c r="K453" t="str">
        <f t="array" ref="K453">IFERROR(INDEX('Daily Raw Data'!T:T,Match($A453,'Daily Raw Data'!$B:$B,0)),"")</f>
        <v/>
      </c>
      <c r="L453" t="str">
        <f t="array" ref="L453">IFERROR(INDEX('Daily Raw Data'!U:U,Match($A453,'Daily Raw Data'!$B:$B,0)),"")</f>
        <v/>
      </c>
      <c r="M453" t="str">
        <f t="array" ref="M453">IFERROR(INDEX('Daily Raw Data'!V:V,Match($A453,'Daily Raw Data'!$B:$B,0)),"")</f>
        <v/>
      </c>
      <c r="N453" t="str">
        <f t="array" ref="N453">IFERROR(INDEX('Daily Raw Data'!W:W,Match($A453,'Daily Raw Data'!$B:$B,0)),"")</f>
        <v/>
      </c>
      <c r="O453" t="str">
        <f t="array" ref="O453">IFERROR(INDEX('Daily Raw Data'!Y:Y,Match($A453,'Daily Raw Data'!$B:$B,0)),"")</f>
        <v/>
      </c>
      <c r="P453" t="str">
        <f t="shared" si="1"/>
        <v/>
      </c>
      <c r="Q453" s="14" t="str">
        <f t="shared" si="2"/>
        <v/>
      </c>
      <c r="R453" s="15" t="str">
        <f>IFERROR(__xludf.DUMMYFUNCTION("IF($A453="""","""", IFERROR(PERCENTRANK.INC(FILTER(P:P,$E:$E&lt;&gt;""""),P453)*100,""""))"),"")</f>
        <v/>
      </c>
      <c r="S453" s="15" t="str">
        <f>IFERROR(__xludf.DUMMYFUNCTION("IF($A453="""","""",IFERROR(PERCENTRANK.INC(FILTER(Q:Q,$E:$E&lt;&gt;""""),Q453)*100,""""))"),"")</f>
        <v/>
      </c>
    </row>
    <row r="454">
      <c r="B454" t="str">
        <f t="array" ref="B454">IFERROR(INDEX('Player Raw Data'!C:C,Match($A454,'Player Raw Data'!$B:$B,0)),"")</f>
        <v/>
      </c>
      <c r="C454" t="str">
        <f t="array" ref="C454">IFERROR(INDEX('Player Raw Data'!D:D,Match($A454,'Player Raw Data'!$B:$B,0)),"")</f>
        <v/>
      </c>
      <c r="D454" t="str">
        <f t="array" ref="D454">IFERROR(IF(A454=A453, INDEX('Player Raw Data'!E:E,Match($A454,'Player Raw Data'!$B:$B,0)+2),INDEX('Player Raw Data'!E:E,Match($A454,'Player Raw Data'!$B:$B,0))),"")</f>
        <v/>
      </c>
      <c r="E454" s="27" t="str">
        <f>IFERROR(__xludf.DUMMYFUNCTION("IFERROR(ARRAY_CONSTRAIN(SPLIT(INDEX('Daily Raw Data'!G:G,Match($A454,'Daily Raw Data'!$B:$B,0)),"":""),1,1),"""")"),"")</f>
        <v/>
      </c>
      <c r="F454" t="str">
        <f t="array" ref="F454">IFERROR(INDEX('Daily Raw Data'!H:H,Match($A454,'Daily Raw Data'!$B:$B,0)),"")</f>
        <v/>
      </c>
      <c r="G454" t="str">
        <f t="array" ref="G454">IFERROR(INDEX('Daily Raw Data'!I:I,Match($A454,'Daily Raw Data'!$B:$B,0)),"")</f>
        <v/>
      </c>
      <c r="H454" t="str">
        <f t="array" ref="H454">IFERROR(INDEX('Daily Raw Data'!N:N,Match($A454,'Daily Raw Data'!$B:$B,0)),"")</f>
        <v/>
      </c>
      <c r="I454" t="str">
        <f t="array" ref="I454">IFERROR(INDEX('Daily Raw Data'!O:O,Match($A454,'Daily Raw Data'!$B:$B,0)),"")</f>
        <v/>
      </c>
      <c r="J454" t="str">
        <f t="array" ref="J454">IFERROR(INDEX('Daily Raw Data'!S:S,Match($A454,'Daily Raw Data'!$B:$B,0)),"")</f>
        <v/>
      </c>
      <c r="K454" t="str">
        <f t="array" ref="K454">IFERROR(INDEX('Daily Raw Data'!T:T,Match($A454,'Daily Raw Data'!$B:$B,0)),"")</f>
        <v/>
      </c>
      <c r="L454" t="str">
        <f t="array" ref="L454">IFERROR(INDEX('Daily Raw Data'!U:U,Match($A454,'Daily Raw Data'!$B:$B,0)),"")</f>
        <v/>
      </c>
      <c r="M454" t="str">
        <f t="array" ref="M454">IFERROR(INDEX('Daily Raw Data'!V:V,Match($A454,'Daily Raw Data'!$B:$B,0)),"")</f>
        <v/>
      </c>
      <c r="N454" t="str">
        <f t="array" ref="N454">IFERROR(INDEX('Daily Raw Data'!W:W,Match($A454,'Daily Raw Data'!$B:$B,0)),"")</f>
        <v/>
      </c>
      <c r="O454" t="str">
        <f t="array" ref="O454">IFERROR(INDEX('Daily Raw Data'!Y:Y,Match($A454,'Daily Raw Data'!$B:$B,0)),"")</f>
        <v/>
      </c>
      <c r="P454" t="str">
        <f t="shared" si="1"/>
        <v/>
      </c>
      <c r="Q454" s="14" t="str">
        <f t="shared" si="2"/>
        <v/>
      </c>
      <c r="R454" s="15" t="str">
        <f>IFERROR(__xludf.DUMMYFUNCTION("IF($A454="""","""", IFERROR(PERCENTRANK.INC(FILTER(P:P,$E:$E&lt;&gt;""""),P454)*100,""""))"),"")</f>
        <v/>
      </c>
      <c r="S454" s="15" t="str">
        <f>IFERROR(__xludf.DUMMYFUNCTION("IF($A454="""","""",IFERROR(PERCENTRANK.INC(FILTER(Q:Q,$E:$E&lt;&gt;""""),Q454)*100,""""))"),"")</f>
        <v/>
      </c>
    </row>
    <row r="455">
      <c r="B455" t="str">
        <f t="array" ref="B455">IFERROR(INDEX('Player Raw Data'!C:C,Match($A455,'Player Raw Data'!$B:$B,0)),"")</f>
        <v/>
      </c>
      <c r="C455" t="str">
        <f t="array" ref="C455">IFERROR(INDEX('Player Raw Data'!D:D,Match($A455,'Player Raw Data'!$B:$B,0)),"")</f>
        <v/>
      </c>
      <c r="D455" t="str">
        <f t="array" ref="D455">IFERROR(IF(A455=A454, INDEX('Player Raw Data'!E:E,Match($A455,'Player Raw Data'!$B:$B,0)+2),INDEX('Player Raw Data'!E:E,Match($A455,'Player Raw Data'!$B:$B,0))),"")</f>
        <v/>
      </c>
      <c r="E455" s="27" t="str">
        <f>IFERROR(__xludf.DUMMYFUNCTION("IFERROR(ARRAY_CONSTRAIN(SPLIT(INDEX('Daily Raw Data'!G:G,Match($A455,'Daily Raw Data'!$B:$B,0)),"":""),1,1),"""")"),"")</f>
        <v/>
      </c>
      <c r="F455" t="str">
        <f t="array" ref="F455">IFERROR(INDEX('Daily Raw Data'!H:H,Match($A455,'Daily Raw Data'!$B:$B,0)),"")</f>
        <v/>
      </c>
      <c r="G455" t="str">
        <f t="array" ref="G455">IFERROR(INDEX('Daily Raw Data'!I:I,Match($A455,'Daily Raw Data'!$B:$B,0)),"")</f>
        <v/>
      </c>
      <c r="H455" t="str">
        <f t="array" ref="H455">IFERROR(INDEX('Daily Raw Data'!N:N,Match($A455,'Daily Raw Data'!$B:$B,0)),"")</f>
        <v/>
      </c>
      <c r="I455" t="str">
        <f t="array" ref="I455">IFERROR(INDEX('Daily Raw Data'!O:O,Match($A455,'Daily Raw Data'!$B:$B,0)),"")</f>
        <v/>
      </c>
      <c r="J455" t="str">
        <f t="array" ref="J455">IFERROR(INDEX('Daily Raw Data'!S:S,Match($A455,'Daily Raw Data'!$B:$B,0)),"")</f>
        <v/>
      </c>
      <c r="K455" t="str">
        <f t="array" ref="K455">IFERROR(INDEX('Daily Raw Data'!T:T,Match($A455,'Daily Raw Data'!$B:$B,0)),"")</f>
        <v/>
      </c>
      <c r="L455" t="str">
        <f t="array" ref="L455">IFERROR(INDEX('Daily Raw Data'!U:U,Match($A455,'Daily Raw Data'!$B:$B,0)),"")</f>
        <v/>
      </c>
      <c r="M455" t="str">
        <f t="array" ref="M455">IFERROR(INDEX('Daily Raw Data'!V:V,Match($A455,'Daily Raw Data'!$B:$B,0)),"")</f>
        <v/>
      </c>
      <c r="N455" t="str">
        <f t="array" ref="N455">IFERROR(INDEX('Daily Raw Data'!W:W,Match($A455,'Daily Raw Data'!$B:$B,0)),"")</f>
        <v/>
      </c>
      <c r="O455" t="str">
        <f t="array" ref="O455">IFERROR(INDEX('Daily Raw Data'!Y:Y,Match($A455,'Daily Raw Data'!$B:$B,0)),"")</f>
        <v/>
      </c>
      <c r="P455" t="str">
        <f t="shared" si="1"/>
        <v/>
      </c>
      <c r="Q455" s="14" t="str">
        <f t="shared" si="2"/>
        <v/>
      </c>
      <c r="R455" s="15" t="str">
        <f>IFERROR(__xludf.DUMMYFUNCTION("IF($A455="""","""", IFERROR(PERCENTRANK.INC(FILTER(P:P,$E:$E&lt;&gt;""""),P455)*100,""""))"),"")</f>
        <v/>
      </c>
      <c r="S455" s="15" t="str">
        <f>IFERROR(__xludf.DUMMYFUNCTION("IF($A455="""","""",IFERROR(PERCENTRANK.INC(FILTER(Q:Q,$E:$E&lt;&gt;""""),Q455)*100,""""))"),"")</f>
        <v/>
      </c>
    </row>
    <row r="456">
      <c r="B456" t="str">
        <f t="array" ref="B456">IFERROR(INDEX('Player Raw Data'!C:C,Match($A456,'Player Raw Data'!$B:$B,0)),"")</f>
        <v/>
      </c>
      <c r="C456" t="str">
        <f t="array" ref="C456">IFERROR(INDEX('Player Raw Data'!D:D,Match($A456,'Player Raw Data'!$B:$B,0)),"")</f>
        <v/>
      </c>
      <c r="D456" t="str">
        <f t="array" ref="D456">IFERROR(IF(A456=A455, INDEX('Player Raw Data'!E:E,Match($A456,'Player Raw Data'!$B:$B,0)+2),INDEX('Player Raw Data'!E:E,Match($A456,'Player Raw Data'!$B:$B,0))),"")</f>
        <v/>
      </c>
      <c r="E456" s="27" t="str">
        <f>IFERROR(__xludf.DUMMYFUNCTION("IFERROR(ARRAY_CONSTRAIN(SPLIT(INDEX('Daily Raw Data'!G:G,Match($A456,'Daily Raw Data'!$B:$B,0)),"":""),1,1),"""")"),"")</f>
        <v/>
      </c>
      <c r="F456" t="str">
        <f t="array" ref="F456">IFERROR(INDEX('Daily Raw Data'!H:H,Match($A456,'Daily Raw Data'!$B:$B,0)),"")</f>
        <v/>
      </c>
      <c r="G456" t="str">
        <f t="array" ref="G456">IFERROR(INDEX('Daily Raw Data'!I:I,Match($A456,'Daily Raw Data'!$B:$B,0)),"")</f>
        <v/>
      </c>
      <c r="H456" t="str">
        <f t="array" ref="H456">IFERROR(INDEX('Daily Raw Data'!N:N,Match($A456,'Daily Raw Data'!$B:$B,0)),"")</f>
        <v/>
      </c>
      <c r="I456" t="str">
        <f t="array" ref="I456">IFERROR(INDEX('Daily Raw Data'!O:O,Match($A456,'Daily Raw Data'!$B:$B,0)),"")</f>
        <v/>
      </c>
      <c r="J456" t="str">
        <f t="array" ref="J456">IFERROR(INDEX('Daily Raw Data'!S:S,Match($A456,'Daily Raw Data'!$B:$B,0)),"")</f>
        <v/>
      </c>
      <c r="K456" t="str">
        <f t="array" ref="K456">IFERROR(INDEX('Daily Raw Data'!T:T,Match($A456,'Daily Raw Data'!$B:$B,0)),"")</f>
        <v/>
      </c>
      <c r="L456" t="str">
        <f t="array" ref="L456">IFERROR(INDEX('Daily Raw Data'!U:U,Match($A456,'Daily Raw Data'!$B:$B,0)),"")</f>
        <v/>
      </c>
      <c r="M456" t="str">
        <f t="array" ref="M456">IFERROR(INDEX('Daily Raw Data'!V:V,Match($A456,'Daily Raw Data'!$B:$B,0)),"")</f>
        <v/>
      </c>
      <c r="N456" t="str">
        <f t="array" ref="N456">IFERROR(INDEX('Daily Raw Data'!W:W,Match($A456,'Daily Raw Data'!$B:$B,0)),"")</f>
        <v/>
      </c>
      <c r="O456" t="str">
        <f t="array" ref="O456">IFERROR(INDEX('Daily Raw Data'!Y:Y,Match($A456,'Daily Raw Data'!$B:$B,0)),"")</f>
        <v/>
      </c>
      <c r="P456" t="str">
        <f t="shared" si="1"/>
        <v/>
      </c>
      <c r="Q456" s="14" t="str">
        <f t="shared" si="2"/>
        <v/>
      </c>
      <c r="R456" s="15" t="str">
        <f>IFERROR(__xludf.DUMMYFUNCTION("IF($A456="""","""", IFERROR(PERCENTRANK.INC(FILTER(P:P,$E:$E&lt;&gt;""""),P456)*100,""""))"),"")</f>
        <v/>
      </c>
      <c r="S456" s="15" t="str">
        <f>IFERROR(__xludf.DUMMYFUNCTION("IF($A456="""","""",IFERROR(PERCENTRANK.INC(FILTER(Q:Q,$E:$E&lt;&gt;""""),Q456)*100,""""))"),"")</f>
        <v/>
      </c>
    </row>
    <row r="457">
      <c r="B457" t="str">
        <f t="array" ref="B457">IFERROR(INDEX('Player Raw Data'!C:C,Match($A457,'Player Raw Data'!$B:$B,0)),"")</f>
        <v/>
      </c>
      <c r="C457" t="str">
        <f t="array" ref="C457">IFERROR(INDEX('Player Raw Data'!D:D,Match($A457,'Player Raw Data'!$B:$B,0)),"")</f>
        <v/>
      </c>
      <c r="D457" t="str">
        <f t="array" ref="D457">IFERROR(IF(A457=A456, INDEX('Player Raw Data'!E:E,Match($A457,'Player Raw Data'!$B:$B,0)+2),INDEX('Player Raw Data'!E:E,Match($A457,'Player Raw Data'!$B:$B,0))),"")</f>
        <v/>
      </c>
      <c r="E457" s="27" t="str">
        <f>IFERROR(__xludf.DUMMYFUNCTION("IFERROR(ARRAY_CONSTRAIN(SPLIT(INDEX('Daily Raw Data'!G:G,Match($A457,'Daily Raw Data'!$B:$B,0)),"":""),1,1),"""")"),"")</f>
        <v/>
      </c>
      <c r="F457" t="str">
        <f t="array" ref="F457">IFERROR(INDEX('Daily Raw Data'!H:H,Match($A457,'Daily Raw Data'!$B:$B,0)),"")</f>
        <v/>
      </c>
      <c r="G457" t="str">
        <f t="array" ref="G457">IFERROR(INDEX('Daily Raw Data'!I:I,Match($A457,'Daily Raw Data'!$B:$B,0)),"")</f>
        <v/>
      </c>
      <c r="H457" t="str">
        <f t="array" ref="H457">IFERROR(INDEX('Daily Raw Data'!N:N,Match($A457,'Daily Raw Data'!$B:$B,0)),"")</f>
        <v/>
      </c>
      <c r="I457" t="str">
        <f t="array" ref="I457">IFERROR(INDEX('Daily Raw Data'!O:O,Match($A457,'Daily Raw Data'!$B:$B,0)),"")</f>
        <v/>
      </c>
      <c r="J457" t="str">
        <f t="array" ref="J457">IFERROR(INDEX('Daily Raw Data'!S:S,Match($A457,'Daily Raw Data'!$B:$B,0)),"")</f>
        <v/>
      </c>
      <c r="K457" t="str">
        <f t="array" ref="K457">IFERROR(INDEX('Daily Raw Data'!T:T,Match($A457,'Daily Raw Data'!$B:$B,0)),"")</f>
        <v/>
      </c>
      <c r="L457" t="str">
        <f t="array" ref="L457">IFERROR(INDEX('Daily Raw Data'!U:U,Match($A457,'Daily Raw Data'!$B:$B,0)),"")</f>
        <v/>
      </c>
      <c r="M457" t="str">
        <f t="array" ref="M457">IFERROR(INDEX('Daily Raw Data'!V:V,Match($A457,'Daily Raw Data'!$B:$B,0)),"")</f>
        <v/>
      </c>
      <c r="N457" t="str">
        <f t="array" ref="N457">IFERROR(INDEX('Daily Raw Data'!W:W,Match($A457,'Daily Raw Data'!$B:$B,0)),"")</f>
        <v/>
      </c>
      <c r="O457" t="str">
        <f t="array" ref="O457">IFERROR(INDEX('Daily Raw Data'!Y:Y,Match($A457,'Daily Raw Data'!$B:$B,0)),"")</f>
        <v/>
      </c>
      <c r="P457" t="str">
        <f t="shared" si="1"/>
        <v/>
      </c>
      <c r="Q457" s="14" t="str">
        <f t="shared" si="2"/>
        <v/>
      </c>
      <c r="R457" s="15" t="str">
        <f>IFERROR(__xludf.DUMMYFUNCTION("IF($A457="""","""", IFERROR(PERCENTRANK.INC(FILTER(P:P,$E:$E&lt;&gt;""""),P457)*100,""""))"),"")</f>
        <v/>
      </c>
      <c r="S457" s="15" t="str">
        <f>IFERROR(__xludf.DUMMYFUNCTION("IF($A457="""","""",IFERROR(PERCENTRANK.INC(FILTER(Q:Q,$E:$E&lt;&gt;""""),Q457)*100,""""))"),"")</f>
        <v/>
      </c>
    </row>
    <row r="458">
      <c r="B458" t="str">
        <f t="array" ref="B458">IFERROR(INDEX('Player Raw Data'!C:C,Match($A458,'Player Raw Data'!$B:$B,0)),"")</f>
        <v/>
      </c>
      <c r="C458" t="str">
        <f t="array" ref="C458">IFERROR(INDEX('Player Raw Data'!D:D,Match($A458,'Player Raw Data'!$B:$B,0)),"")</f>
        <v/>
      </c>
      <c r="D458" t="str">
        <f t="array" ref="D458">IFERROR(IF(A458=A457, INDEX('Player Raw Data'!E:E,Match($A458,'Player Raw Data'!$B:$B,0)+2),INDEX('Player Raw Data'!E:E,Match($A458,'Player Raw Data'!$B:$B,0))),"")</f>
        <v/>
      </c>
      <c r="E458" s="27" t="str">
        <f>IFERROR(__xludf.DUMMYFUNCTION("IFERROR(ARRAY_CONSTRAIN(SPLIT(INDEX('Daily Raw Data'!G:G,Match($A458,'Daily Raw Data'!$B:$B,0)),"":""),1,1),"""")"),"")</f>
        <v/>
      </c>
      <c r="F458" t="str">
        <f t="array" ref="F458">IFERROR(INDEX('Daily Raw Data'!H:H,Match($A458,'Daily Raw Data'!$B:$B,0)),"")</f>
        <v/>
      </c>
      <c r="G458" t="str">
        <f t="array" ref="G458">IFERROR(INDEX('Daily Raw Data'!I:I,Match($A458,'Daily Raw Data'!$B:$B,0)),"")</f>
        <v/>
      </c>
      <c r="H458" t="str">
        <f t="array" ref="H458">IFERROR(INDEX('Daily Raw Data'!N:N,Match($A458,'Daily Raw Data'!$B:$B,0)),"")</f>
        <v/>
      </c>
      <c r="I458" t="str">
        <f t="array" ref="I458">IFERROR(INDEX('Daily Raw Data'!O:O,Match($A458,'Daily Raw Data'!$B:$B,0)),"")</f>
        <v/>
      </c>
      <c r="J458" t="str">
        <f t="array" ref="J458">IFERROR(INDEX('Daily Raw Data'!S:S,Match($A458,'Daily Raw Data'!$B:$B,0)),"")</f>
        <v/>
      </c>
      <c r="K458" t="str">
        <f t="array" ref="K458">IFERROR(INDEX('Daily Raw Data'!T:T,Match($A458,'Daily Raw Data'!$B:$B,0)),"")</f>
        <v/>
      </c>
      <c r="L458" t="str">
        <f t="array" ref="L458">IFERROR(INDEX('Daily Raw Data'!U:U,Match($A458,'Daily Raw Data'!$B:$B,0)),"")</f>
        <v/>
      </c>
      <c r="M458" t="str">
        <f t="array" ref="M458">IFERROR(INDEX('Daily Raw Data'!V:V,Match($A458,'Daily Raw Data'!$B:$B,0)),"")</f>
        <v/>
      </c>
      <c r="N458" t="str">
        <f t="array" ref="N458">IFERROR(INDEX('Daily Raw Data'!W:W,Match($A458,'Daily Raw Data'!$B:$B,0)),"")</f>
        <v/>
      </c>
      <c r="O458" t="str">
        <f t="array" ref="O458">IFERROR(INDEX('Daily Raw Data'!Y:Y,Match($A458,'Daily Raw Data'!$B:$B,0)),"")</f>
        <v/>
      </c>
      <c r="P458" t="str">
        <f t="shared" si="1"/>
        <v/>
      </c>
      <c r="Q458" s="14" t="str">
        <f t="shared" si="2"/>
        <v/>
      </c>
      <c r="R458" s="15" t="str">
        <f>IFERROR(__xludf.DUMMYFUNCTION("IF($A458="""","""", IFERROR(PERCENTRANK.INC(FILTER(P:P,$E:$E&lt;&gt;""""),P458)*100,""""))"),"")</f>
        <v/>
      </c>
      <c r="S458" s="15" t="str">
        <f>IFERROR(__xludf.DUMMYFUNCTION("IF($A458="""","""",IFERROR(PERCENTRANK.INC(FILTER(Q:Q,$E:$E&lt;&gt;""""),Q458)*100,""""))"),"")</f>
        <v/>
      </c>
    </row>
    <row r="459">
      <c r="B459" t="str">
        <f t="array" ref="B459">IFERROR(INDEX('Player Raw Data'!C:C,Match($A459,'Player Raw Data'!$B:$B,0)),"")</f>
        <v/>
      </c>
      <c r="C459" t="str">
        <f t="array" ref="C459">IFERROR(INDEX('Player Raw Data'!D:D,Match($A459,'Player Raw Data'!$B:$B,0)),"")</f>
        <v/>
      </c>
      <c r="D459" t="str">
        <f t="array" ref="D459">IFERROR(IF(A459=A458, INDEX('Player Raw Data'!E:E,Match($A459,'Player Raw Data'!$B:$B,0)+2),INDEX('Player Raw Data'!E:E,Match($A459,'Player Raw Data'!$B:$B,0))),"")</f>
        <v/>
      </c>
      <c r="E459" s="27" t="str">
        <f>IFERROR(__xludf.DUMMYFUNCTION("IFERROR(ARRAY_CONSTRAIN(SPLIT(INDEX('Daily Raw Data'!G:G,Match($A459,'Daily Raw Data'!$B:$B,0)),"":""),1,1),"""")"),"")</f>
        <v/>
      </c>
      <c r="F459" t="str">
        <f t="array" ref="F459">IFERROR(INDEX('Daily Raw Data'!H:H,Match($A459,'Daily Raw Data'!$B:$B,0)),"")</f>
        <v/>
      </c>
      <c r="G459" t="str">
        <f t="array" ref="G459">IFERROR(INDEX('Daily Raw Data'!I:I,Match($A459,'Daily Raw Data'!$B:$B,0)),"")</f>
        <v/>
      </c>
      <c r="H459" t="str">
        <f t="array" ref="H459">IFERROR(INDEX('Daily Raw Data'!N:N,Match($A459,'Daily Raw Data'!$B:$B,0)),"")</f>
        <v/>
      </c>
      <c r="I459" t="str">
        <f t="array" ref="I459">IFERROR(INDEX('Daily Raw Data'!O:O,Match($A459,'Daily Raw Data'!$B:$B,0)),"")</f>
        <v/>
      </c>
      <c r="J459" t="str">
        <f t="array" ref="J459">IFERROR(INDEX('Daily Raw Data'!S:S,Match($A459,'Daily Raw Data'!$B:$B,0)),"")</f>
        <v/>
      </c>
      <c r="K459" t="str">
        <f t="array" ref="K459">IFERROR(INDEX('Daily Raw Data'!T:T,Match($A459,'Daily Raw Data'!$B:$B,0)),"")</f>
        <v/>
      </c>
      <c r="L459" t="str">
        <f t="array" ref="L459">IFERROR(INDEX('Daily Raw Data'!U:U,Match($A459,'Daily Raw Data'!$B:$B,0)),"")</f>
        <v/>
      </c>
      <c r="M459" t="str">
        <f t="array" ref="M459">IFERROR(INDEX('Daily Raw Data'!V:V,Match($A459,'Daily Raw Data'!$B:$B,0)),"")</f>
        <v/>
      </c>
      <c r="N459" t="str">
        <f t="array" ref="N459">IFERROR(INDEX('Daily Raw Data'!W:W,Match($A459,'Daily Raw Data'!$B:$B,0)),"")</f>
        <v/>
      </c>
      <c r="O459" t="str">
        <f t="array" ref="O459">IFERROR(INDEX('Daily Raw Data'!Y:Y,Match($A459,'Daily Raw Data'!$B:$B,0)),"")</f>
        <v/>
      </c>
      <c r="P459" t="str">
        <f t="shared" si="1"/>
        <v/>
      </c>
      <c r="Q459" s="14" t="str">
        <f t="shared" si="2"/>
        <v/>
      </c>
      <c r="R459" s="15" t="str">
        <f>IFERROR(__xludf.DUMMYFUNCTION("IF($A459="""","""", IFERROR(PERCENTRANK.INC(FILTER(P:P,$E:$E&lt;&gt;""""),P459)*100,""""))"),"")</f>
        <v/>
      </c>
      <c r="S459" s="15" t="str">
        <f>IFERROR(__xludf.DUMMYFUNCTION("IF($A459="""","""",IFERROR(PERCENTRANK.INC(FILTER(Q:Q,$E:$E&lt;&gt;""""),Q459)*100,""""))"),"")</f>
        <v/>
      </c>
    </row>
    <row r="460">
      <c r="B460" t="str">
        <f t="array" ref="B460">IFERROR(INDEX('Player Raw Data'!C:C,Match($A460,'Player Raw Data'!$B:$B,0)),"")</f>
        <v/>
      </c>
      <c r="C460" t="str">
        <f t="array" ref="C460">IFERROR(INDEX('Player Raw Data'!D:D,Match($A460,'Player Raw Data'!$B:$B,0)),"")</f>
        <v/>
      </c>
      <c r="D460" t="str">
        <f t="array" ref="D460">IFERROR(IF(A460=A459, INDEX('Player Raw Data'!E:E,Match($A460,'Player Raw Data'!$B:$B,0)+2),INDEX('Player Raw Data'!E:E,Match($A460,'Player Raw Data'!$B:$B,0))),"")</f>
        <v/>
      </c>
      <c r="E460" s="27" t="str">
        <f>IFERROR(__xludf.DUMMYFUNCTION("IFERROR(ARRAY_CONSTRAIN(SPLIT(INDEX('Daily Raw Data'!G:G,Match($A460,'Daily Raw Data'!$B:$B,0)),"":""),1,1),"""")"),"")</f>
        <v/>
      </c>
      <c r="F460" t="str">
        <f t="array" ref="F460">IFERROR(INDEX('Daily Raw Data'!H:H,Match($A460,'Daily Raw Data'!$B:$B,0)),"")</f>
        <v/>
      </c>
      <c r="G460" t="str">
        <f t="array" ref="G460">IFERROR(INDEX('Daily Raw Data'!I:I,Match($A460,'Daily Raw Data'!$B:$B,0)),"")</f>
        <v/>
      </c>
      <c r="H460" t="str">
        <f t="array" ref="H460">IFERROR(INDEX('Daily Raw Data'!N:N,Match($A460,'Daily Raw Data'!$B:$B,0)),"")</f>
        <v/>
      </c>
      <c r="I460" t="str">
        <f t="array" ref="I460">IFERROR(INDEX('Daily Raw Data'!O:O,Match($A460,'Daily Raw Data'!$B:$B,0)),"")</f>
        <v/>
      </c>
      <c r="J460" t="str">
        <f t="array" ref="J460">IFERROR(INDEX('Daily Raw Data'!S:S,Match($A460,'Daily Raw Data'!$B:$B,0)),"")</f>
        <v/>
      </c>
      <c r="K460" t="str">
        <f t="array" ref="K460">IFERROR(INDEX('Daily Raw Data'!T:T,Match($A460,'Daily Raw Data'!$B:$B,0)),"")</f>
        <v/>
      </c>
      <c r="L460" t="str">
        <f t="array" ref="L460">IFERROR(INDEX('Daily Raw Data'!U:U,Match($A460,'Daily Raw Data'!$B:$B,0)),"")</f>
        <v/>
      </c>
      <c r="M460" t="str">
        <f t="array" ref="M460">IFERROR(INDEX('Daily Raw Data'!V:V,Match($A460,'Daily Raw Data'!$B:$B,0)),"")</f>
        <v/>
      </c>
      <c r="N460" t="str">
        <f t="array" ref="N460">IFERROR(INDEX('Daily Raw Data'!W:W,Match($A460,'Daily Raw Data'!$B:$B,0)),"")</f>
        <v/>
      </c>
      <c r="O460" t="str">
        <f t="array" ref="O460">IFERROR(INDEX('Daily Raw Data'!Y:Y,Match($A460,'Daily Raw Data'!$B:$B,0)),"")</f>
        <v/>
      </c>
      <c r="P460" t="str">
        <f t="shared" si="1"/>
        <v/>
      </c>
      <c r="Q460" s="14" t="str">
        <f t="shared" si="2"/>
        <v/>
      </c>
      <c r="R460" s="15" t="str">
        <f>IFERROR(__xludf.DUMMYFUNCTION("IF($A460="""","""", IFERROR(PERCENTRANK.INC(FILTER(P:P,$E:$E&lt;&gt;""""),P460)*100,""""))"),"")</f>
        <v/>
      </c>
      <c r="S460" s="15" t="str">
        <f>IFERROR(__xludf.DUMMYFUNCTION("IF($A460="""","""",IFERROR(PERCENTRANK.INC(FILTER(Q:Q,$E:$E&lt;&gt;""""),Q460)*100,""""))"),"")</f>
        <v/>
      </c>
    </row>
    <row r="461">
      <c r="B461" t="str">
        <f t="array" ref="B461">IFERROR(INDEX('Player Raw Data'!C:C,Match($A461,'Player Raw Data'!$B:$B,0)),"")</f>
        <v/>
      </c>
      <c r="C461" t="str">
        <f t="array" ref="C461">IFERROR(INDEX('Player Raw Data'!D:D,Match($A461,'Player Raw Data'!$B:$B,0)),"")</f>
        <v/>
      </c>
      <c r="D461" t="str">
        <f t="array" ref="D461">IFERROR(IF(A461=A460, INDEX('Player Raw Data'!E:E,Match($A461,'Player Raw Data'!$B:$B,0)+2),INDEX('Player Raw Data'!E:E,Match($A461,'Player Raw Data'!$B:$B,0))),"")</f>
        <v/>
      </c>
      <c r="E461" s="27" t="str">
        <f>IFERROR(__xludf.DUMMYFUNCTION("IFERROR(ARRAY_CONSTRAIN(SPLIT(INDEX('Daily Raw Data'!G:G,Match($A461,'Daily Raw Data'!$B:$B,0)),"":""),1,1),"""")"),"")</f>
        <v/>
      </c>
      <c r="F461" t="str">
        <f t="array" ref="F461">IFERROR(INDEX('Daily Raw Data'!H:H,Match($A461,'Daily Raw Data'!$B:$B,0)),"")</f>
        <v/>
      </c>
      <c r="G461" t="str">
        <f t="array" ref="G461">IFERROR(INDEX('Daily Raw Data'!I:I,Match($A461,'Daily Raw Data'!$B:$B,0)),"")</f>
        <v/>
      </c>
      <c r="H461" t="str">
        <f t="array" ref="H461">IFERROR(INDEX('Daily Raw Data'!N:N,Match($A461,'Daily Raw Data'!$B:$B,0)),"")</f>
        <v/>
      </c>
      <c r="I461" t="str">
        <f t="array" ref="I461">IFERROR(INDEX('Daily Raw Data'!O:O,Match($A461,'Daily Raw Data'!$B:$B,0)),"")</f>
        <v/>
      </c>
      <c r="J461" t="str">
        <f t="array" ref="J461">IFERROR(INDEX('Daily Raw Data'!S:S,Match($A461,'Daily Raw Data'!$B:$B,0)),"")</f>
        <v/>
      </c>
      <c r="K461" t="str">
        <f t="array" ref="K461">IFERROR(INDEX('Daily Raw Data'!T:T,Match($A461,'Daily Raw Data'!$B:$B,0)),"")</f>
        <v/>
      </c>
      <c r="L461" t="str">
        <f t="array" ref="L461">IFERROR(INDEX('Daily Raw Data'!U:U,Match($A461,'Daily Raw Data'!$B:$B,0)),"")</f>
        <v/>
      </c>
      <c r="M461" t="str">
        <f t="array" ref="M461">IFERROR(INDEX('Daily Raw Data'!V:V,Match($A461,'Daily Raw Data'!$B:$B,0)),"")</f>
        <v/>
      </c>
      <c r="N461" t="str">
        <f t="array" ref="N461">IFERROR(INDEX('Daily Raw Data'!W:W,Match($A461,'Daily Raw Data'!$B:$B,0)),"")</f>
        <v/>
      </c>
      <c r="O461" t="str">
        <f t="array" ref="O461">IFERROR(INDEX('Daily Raw Data'!Y:Y,Match($A461,'Daily Raw Data'!$B:$B,0)),"")</f>
        <v/>
      </c>
      <c r="P461" t="str">
        <f t="shared" si="1"/>
        <v/>
      </c>
      <c r="Q461" s="14" t="str">
        <f t="shared" si="2"/>
        <v/>
      </c>
      <c r="R461" s="15" t="str">
        <f>IFERROR(__xludf.DUMMYFUNCTION("IF($A461="""","""", IFERROR(PERCENTRANK.INC(FILTER(P:P,$E:$E&lt;&gt;""""),P461)*100,""""))"),"")</f>
        <v/>
      </c>
      <c r="S461" s="15" t="str">
        <f>IFERROR(__xludf.DUMMYFUNCTION("IF($A461="""","""",IFERROR(PERCENTRANK.INC(FILTER(Q:Q,$E:$E&lt;&gt;""""),Q461)*100,""""))"),"")</f>
        <v/>
      </c>
    </row>
    <row r="462">
      <c r="B462" t="str">
        <f t="array" ref="B462">IFERROR(INDEX('Player Raw Data'!C:C,Match($A462,'Player Raw Data'!$B:$B,0)),"")</f>
        <v/>
      </c>
      <c r="C462" t="str">
        <f t="array" ref="C462">IFERROR(INDEX('Player Raw Data'!D:D,Match($A462,'Player Raw Data'!$B:$B,0)),"")</f>
        <v/>
      </c>
      <c r="D462" t="str">
        <f t="array" ref="D462">IFERROR(IF(A462=A461, INDEX('Player Raw Data'!E:E,Match($A462,'Player Raw Data'!$B:$B,0)+2),INDEX('Player Raw Data'!E:E,Match($A462,'Player Raw Data'!$B:$B,0))),"")</f>
        <v/>
      </c>
      <c r="E462" s="27" t="str">
        <f>IFERROR(__xludf.DUMMYFUNCTION("IFERROR(ARRAY_CONSTRAIN(SPLIT(INDEX('Daily Raw Data'!G:G,Match($A462,'Daily Raw Data'!$B:$B,0)),"":""),1,1),"""")"),"")</f>
        <v/>
      </c>
      <c r="F462" t="str">
        <f t="array" ref="F462">IFERROR(INDEX('Daily Raw Data'!H:H,Match($A462,'Daily Raw Data'!$B:$B,0)),"")</f>
        <v/>
      </c>
      <c r="G462" t="str">
        <f t="array" ref="G462">IFERROR(INDEX('Daily Raw Data'!I:I,Match($A462,'Daily Raw Data'!$B:$B,0)),"")</f>
        <v/>
      </c>
      <c r="H462" t="str">
        <f t="array" ref="H462">IFERROR(INDEX('Daily Raw Data'!N:N,Match($A462,'Daily Raw Data'!$B:$B,0)),"")</f>
        <v/>
      </c>
      <c r="I462" t="str">
        <f t="array" ref="I462">IFERROR(INDEX('Daily Raw Data'!O:O,Match($A462,'Daily Raw Data'!$B:$B,0)),"")</f>
        <v/>
      </c>
      <c r="J462" t="str">
        <f t="array" ref="J462">IFERROR(INDEX('Daily Raw Data'!S:S,Match($A462,'Daily Raw Data'!$B:$B,0)),"")</f>
        <v/>
      </c>
      <c r="K462" t="str">
        <f t="array" ref="K462">IFERROR(INDEX('Daily Raw Data'!T:T,Match($A462,'Daily Raw Data'!$B:$B,0)),"")</f>
        <v/>
      </c>
      <c r="L462" t="str">
        <f t="array" ref="L462">IFERROR(INDEX('Daily Raw Data'!U:U,Match($A462,'Daily Raw Data'!$B:$B,0)),"")</f>
        <v/>
      </c>
      <c r="M462" t="str">
        <f t="array" ref="M462">IFERROR(INDEX('Daily Raw Data'!V:V,Match($A462,'Daily Raw Data'!$B:$B,0)),"")</f>
        <v/>
      </c>
      <c r="N462" t="str">
        <f t="array" ref="N462">IFERROR(INDEX('Daily Raw Data'!W:W,Match($A462,'Daily Raw Data'!$B:$B,0)),"")</f>
        <v/>
      </c>
      <c r="O462" t="str">
        <f t="array" ref="O462">IFERROR(INDEX('Daily Raw Data'!Y:Y,Match($A462,'Daily Raw Data'!$B:$B,0)),"")</f>
        <v/>
      </c>
      <c r="P462" t="str">
        <f t="shared" si="1"/>
        <v/>
      </c>
      <c r="Q462" s="14" t="str">
        <f t="shared" si="2"/>
        <v/>
      </c>
      <c r="R462" s="15" t="str">
        <f>IFERROR(__xludf.DUMMYFUNCTION("IF($A462="""","""", IFERROR(PERCENTRANK.INC(FILTER(P:P,$E:$E&lt;&gt;""""),P462)*100,""""))"),"")</f>
        <v/>
      </c>
      <c r="S462" s="15" t="str">
        <f>IFERROR(__xludf.DUMMYFUNCTION("IF($A462="""","""",IFERROR(PERCENTRANK.INC(FILTER(Q:Q,$E:$E&lt;&gt;""""),Q462)*100,""""))"),"")</f>
        <v/>
      </c>
    </row>
    <row r="463">
      <c r="B463" t="str">
        <f t="array" ref="B463">IFERROR(INDEX('Player Raw Data'!C:C,Match($A463,'Player Raw Data'!$B:$B,0)),"")</f>
        <v/>
      </c>
      <c r="C463" t="str">
        <f t="array" ref="C463">IFERROR(INDEX('Player Raw Data'!D:D,Match($A463,'Player Raw Data'!$B:$B,0)),"")</f>
        <v/>
      </c>
      <c r="D463" t="str">
        <f t="array" ref="D463">IFERROR(IF(A463=A462, INDEX('Player Raw Data'!E:E,Match($A463,'Player Raw Data'!$B:$B,0)+2),INDEX('Player Raw Data'!E:E,Match($A463,'Player Raw Data'!$B:$B,0))),"")</f>
        <v/>
      </c>
      <c r="E463" s="27" t="str">
        <f>IFERROR(__xludf.DUMMYFUNCTION("IFERROR(ARRAY_CONSTRAIN(SPLIT(INDEX('Daily Raw Data'!G:G,Match($A463,'Daily Raw Data'!$B:$B,0)),"":""),1,1),"""")"),"")</f>
        <v/>
      </c>
      <c r="F463" t="str">
        <f t="array" ref="F463">IFERROR(INDEX('Daily Raw Data'!H:H,Match($A463,'Daily Raw Data'!$B:$B,0)),"")</f>
        <v/>
      </c>
      <c r="G463" t="str">
        <f t="array" ref="G463">IFERROR(INDEX('Daily Raw Data'!I:I,Match($A463,'Daily Raw Data'!$B:$B,0)),"")</f>
        <v/>
      </c>
      <c r="H463" t="str">
        <f t="array" ref="H463">IFERROR(INDEX('Daily Raw Data'!N:N,Match($A463,'Daily Raw Data'!$B:$B,0)),"")</f>
        <v/>
      </c>
      <c r="I463" t="str">
        <f t="array" ref="I463">IFERROR(INDEX('Daily Raw Data'!O:O,Match($A463,'Daily Raw Data'!$B:$B,0)),"")</f>
        <v/>
      </c>
      <c r="J463" t="str">
        <f t="array" ref="J463">IFERROR(INDEX('Daily Raw Data'!S:S,Match($A463,'Daily Raw Data'!$B:$B,0)),"")</f>
        <v/>
      </c>
      <c r="K463" t="str">
        <f t="array" ref="K463">IFERROR(INDEX('Daily Raw Data'!T:T,Match($A463,'Daily Raw Data'!$B:$B,0)),"")</f>
        <v/>
      </c>
      <c r="L463" t="str">
        <f t="array" ref="L463">IFERROR(INDEX('Daily Raw Data'!U:U,Match($A463,'Daily Raw Data'!$B:$B,0)),"")</f>
        <v/>
      </c>
      <c r="M463" t="str">
        <f t="array" ref="M463">IFERROR(INDEX('Daily Raw Data'!V:V,Match($A463,'Daily Raw Data'!$B:$B,0)),"")</f>
        <v/>
      </c>
      <c r="N463" t="str">
        <f t="array" ref="N463">IFERROR(INDEX('Daily Raw Data'!W:W,Match($A463,'Daily Raw Data'!$B:$B,0)),"")</f>
        <v/>
      </c>
      <c r="O463" t="str">
        <f t="array" ref="O463">IFERROR(INDEX('Daily Raw Data'!Y:Y,Match($A463,'Daily Raw Data'!$B:$B,0)),"")</f>
        <v/>
      </c>
      <c r="P463" t="str">
        <f t="shared" si="1"/>
        <v/>
      </c>
      <c r="Q463" s="14" t="str">
        <f t="shared" si="2"/>
        <v/>
      </c>
      <c r="R463" s="15" t="str">
        <f>IFERROR(__xludf.DUMMYFUNCTION("IF($A463="""","""", IFERROR(PERCENTRANK.INC(FILTER(P:P,$E:$E&lt;&gt;""""),P463)*100,""""))"),"")</f>
        <v/>
      </c>
      <c r="S463" s="15" t="str">
        <f>IFERROR(__xludf.DUMMYFUNCTION("IF($A463="""","""",IFERROR(PERCENTRANK.INC(FILTER(Q:Q,$E:$E&lt;&gt;""""),Q463)*100,""""))"),"")</f>
        <v/>
      </c>
    </row>
    <row r="464">
      <c r="B464" t="str">
        <f t="array" ref="B464">IFERROR(INDEX('Player Raw Data'!C:C,Match($A464,'Player Raw Data'!$B:$B,0)),"")</f>
        <v/>
      </c>
      <c r="C464" t="str">
        <f t="array" ref="C464">IFERROR(INDEX('Player Raw Data'!D:D,Match($A464,'Player Raw Data'!$B:$B,0)),"")</f>
        <v/>
      </c>
      <c r="D464" t="str">
        <f t="array" ref="D464">IFERROR(IF(A464=A463, INDEX('Player Raw Data'!E:E,Match($A464,'Player Raw Data'!$B:$B,0)+2),INDEX('Player Raw Data'!E:E,Match($A464,'Player Raw Data'!$B:$B,0))),"")</f>
        <v/>
      </c>
      <c r="E464" s="27" t="str">
        <f>IFERROR(__xludf.DUMMYFUNCTION("IFERROR(ARRAY_CONSTRAIN(SPLIT(INDEX('Daily Raw Data'!G:G,Match($A464,'Daily Raw Data'!$B:$B,0)),"":""),1,1),"""")"),"")</f>
        <v/>
      </c>
      <c r="F464" t="str">
        <f t="array" ref="F464">IFERROR(INDEX('Daily Raw Data'!H:H,Match($A464,'Daily Raw Data'!$B:$B,0)),"")</f>
        <v/>
      </c>
      <c r="G464" t="str">
        <f t="array" ref="G464">IFERROR(INDEX('Daily Raw Data'!I:I,Match($A464,'Daily Raw Data'!$B:$B,0)),"")</f>
        <v/>
      </c>
      <c r="H464" t="str">
        <f t="array" ref="H464">IFERROR(INDEX('Daily Raw Data'!N:N,Match($A464,'Daily Raw Data'!$B:$B,0)),"")</f>
        <v/>
      </c>
      <c r="I464" t="str">
        <f t="array" ref="I464">IFERROR(INDEX('Daily Raw Data'!O:O,Match($A464,'Daily Raw Data'!$B:$B,0)),"")</f>
        <v/>
      </c>
      <c r="J464" t="str">
        <f t="array" ref="J464">IFERROR(INDEX('Daily Raw Data'!S:S,Match($A464,'Daily Raw Data'!$B:$B,0)),"")</f>
        <v/>
      </c>
      <c r="K464" t="str">
        <f t="array" ref="K464">IFERROR(INDEX('Daily Raw Data'!T:T,Match($A464,'Daily Raw Data'!$B:$B,0)),"")</f>
        <v/>
      </c>
      <c r="L464" t="str">
        <f t="array" ref="L464">IFERROR(INDEX('Daily Raw Data'!U:U,Match($A464,'Daily Raw Data'!$B:$B,0)),"")</f>
        <v/>
      </c>
      <c r="M464" t="str">
        <f t="array" ref="M464">IFERROR(INDEX('Daily Raw Data'!V:V,Match($A464,'Daily Raw Data'!$B:$B,0)),"")</f>
        <v/>
      </c>
      <c r="N464" t="str">
        <f t="array" ref="N464">IFERROR(INDEX('Daily Raw Data'!W:W,Match($A464,'Daily Raw Data'!$B:$B,0)),"")</f>
        <v/>
      </c>
      <c r="O464" t="str">
        <f t="array" ref="O464">IFERROR(INDEX('Daily Raw Data'!Y:Y,Match($A464,'Daily Raw Data'!$B:$B,0)),"")</f>
        <v/>
      </c>
      <c r="P464" t="str">
        <f t="shared" si="1"/>
        <v/>
      </c>
      <c r="Q464" s="14" t="str">
        <f t="shared" si="2"/>
        <v/>
      </c>
      <c r="R464" s="15" t="str">
        <f>IFERROR(__xludf.DUMMYFUNCTION("IF($A464="""","""", IFERROR(PERCENTRANK.INC(FILTER(P:P,$E:$E&lt;&gt;""""),P464)*100,""""))"),"")</f>
        <v/>
      </c>
      <c r="S464" s="15" t="str">
        <f>IFERROR(__xludf.DUMMYFUNCTION("IF($A464="""","""",IFERROR(PERCENTRANK.INC(FILTER(Q:Q,$E:$E&lt;&gt;""""),Q464)*100,""""))"),"")</f>
        <v/>
      </c>
    </row>
    <row r="465">
      <c r="B465" t="str">
        <f t="array" ref="B465">IFERROR(INDEX('Player Raw Data'!C:C,Match($A465,'Player Raw Data'!$B:$B,0)),"")</f>
        <v/>
      </c>
      <c r="C465" t="str">
        <f t="array" ref="C465">IFERROR(INDEX('Player Raw Data'!D:D,Match($A465,'Player Raw Data'!$B:$B,0)),"")</f>
        <v/>
      </c>
      <c r="D465" t="str">
        <f t="array" ref="D465">IFERROR(IF(A465=A464, INDEX('Player Raw Data'!E:E,Match($A465,'Player Raw Data'!$B:$B,0)+2),INDEX('Player Raw Data'!E:E,Match($A465,'Player Raw Data'!$B:$B,0))),"")</f>
        <v/>
      </c>
      <c r="E465" s="27" t="str">
        <f>IFERROR(__xludf.DUMMYFUNCTION("IFERROR(ARRAY_CONSTRAIN(SPLIT(INDEX('Daily Raw Data'!G:G,Match($A465,'Daily Raw Data'!$B:$B,0)),"":""),1,1),"""")"),"")</f>
        <v/>
      </c>
      <c r="F465" t="str">
        <f t="array" ref="F465">IFERROR(INDEX('Daily Raw Data'!H:H,Match($A465,'Daily Raw Data'!$B:$B,0)),"")</f>
        <v/>
      </c>
      <c r="G465" t="str">
        <f t="array" ref="G465">IFERROR(INDEX('Daily Raw Data'!I:I,Match($A465,'Daily Raw Data'!$B:$B,0)),"")</f>
        <v/>
      </c>
      <c r="H465" t="str">
        <f t="array" ref="H465">IFERROR(INDEX('Daily Raw Data'!N:N,Match($A465,'Daily Raw Data'!$B:$B,0)),"")</f>
        <v/>
      </c>
      <c r="I465" t="str">
        <f t="array" ref="I465">IFERROR(INDEX('Daily Raw Data'!O:O,Match($A465,'Daily Raw Data'!$B:$B,0)),"")</f>
        <v/>
      </c>
      <c r="J465" t="str">
        <f t="array" ref="J465">IFERROR(INDEX('Daily Raw Data'!S:S,Match($A465,'Daily Raw Data'!$B:$B,0)),"")</f>
        <v/>
      </c>
      <c r="K465" t="str">
        <f t="array" ref="K465">IFERROR(INDEX('Daily Raw Data'!T:T,Match($A465,'Daily Raw Data'!$B:$B,0)),"")</f>
        <v/>
      </c>
      <c r="L465" t="str">
        <f t="array" ref="L465">IFERROR(INDEX('Daily Raw Data'!U:U,Match($A465,'Daily Raw Data'!$B:$B,0)),"")</f>
        <v/>
      </c>
      <c r="M465" t="str">
        <f t="array" ref="M465">IFERROR(INDEX('Daily Raw Data'!V:V,Match($A465,'Daily Raw Data'!$B:$B,0)),"")</f>
        <v/>
      </c>
      <c r="N465" t="str">
        <f t="array" ref="N465">IFERROR(INDEX('Daily Raw Data'!W:W,Match($A465,'Daily Raw Data'!$B:$B,0)),"")</f>
        <v/>
      </c>
      <c r="O465" t="str">
        <f t="array" ref="O465">IFERROR(INDEX('Daily Raw Data'!Y:Y,Match($A465,'Daily Raw Data'!$B:$B,0)),"")</f>
        <v/>
      </c>
      <c r="P465" t="str">
        <f t="shared" si="1"/>
        <v/>
      </c>
      <c r="Q465" s="14" t="str">
        <f t="shared" si="2"/>
        <v/>
      </c>
      <c r="R465" s="15" t="str">
        <f>IFERROR(__xludf.DUMMYFUNCTION("IF($A465="""","""", IFERROR(PERCENTRANK.INC(FILTER(P:P,$E:$E&lt;&gt;""""),P465)*100,""""))"),"")</f>
        <v/>
      </c>
      <c r="S465" s="15" t="str">
        <f>IFERROR(__xludf.DUMMYFUNCTION("IF($A465="""","""",IFERROR(PERCENTRANK.INC(FILTER(Q:Q,$E:$E&lt;&gt;""""),Q465)*100,""""))"),"")</f>
        <v/>
      </c>
    </row>
    <row r="466">
      <c r="B466" t="str">
        <f t="array" ref="B466">IFERROR(INDEX('Player Raw Data'!C:C,Match($A466,'Player Raw Data'!$B:$B,0)),"")</f>
        <v/>
      </c>
      <c r="C466" t="str">
        <f t="array" ref="C466">IFERROR(INDEX('Player Raw Data'!D:D,Match($A466,'Player Raw Data'!$B:$B,0)),"")</f>
        <v/>
      </c>
      <c r="D466" t="str">
        <f t="array" ref="D466">IFERROR(IF(A466=A465, INDEX('Player Raw Data'!E:E,Match($A466,'Player Raw Data'!$B:$B,0)+2),INDEX('Player Raw Data'!E:E,Match($A466,'Player Raw Data'!$B:$B,0))),"")</f>
        <v/>
      </c>
      <c r="E466" s="27" t="str">
        <f>IFERROR(__xludf.DUMMYFUNCTION("IFERROR(ARRAY_CONSTRAIN(SPLIT(INDEX('Daily Raw Data'!G:G,Match($A466,'Daily Raw Data'!$B:$B,0)),"":""),1,1),"""")"),"")</f>
        <v/>
      </c>
      <c r="F466" t="str">
        <f t="array" ref="F466">IFERROR(INDEX('Daily Raw Data'!H:H,Match($A466,'Daily Raw Data'!$B:$B,0)),"")</f>
        <v/>
      </c>
      <c r="G466" t="str">
        <f t="array" ref="G466">IFERROR(INDEX('Daily Raw Data'!I:I,Match($A466,'Daily Raw Data'!$B:$B,0)),"")</f>
        <v/>
      </c>
      <c r="H466" t="str">
        <f t="array" ref="H466">IFERROR(INDEX('Daily Raw Data'!N:N,Match($A466,'Daily Raw Data'!$B:$B,0)),"")</f>
        <v/>
      </c>
      <c r="I466" t="str">
        <f t="array" ref="I466">IFERROR(INDEX('Daily Raw Data'!O:O,Match($A466,'Daily Raw Data'!$B:$B,0)),"")</f>
        <v/>
      </c>
      <c r="J466" t="str">
        <f t="array" ref="J466">IFERROR(INDEX('Daily Raw Data'!S:S,Match($A466,'Daily Raw Data'!$B:$B,0)),"")</f>
        <v/>
      </c>
      <c r="K466" t="str">
        <f t="array" ref="K466">IFERROR(INDEX('Daily Raw Data'!T:T,Match($A466,'Daily Raw Data'!$B:$B,0)),"")</f>
        <v/>
      </c>
      <c r="L466" t="str">
        <f t="array" ref="L466">IFERROR(INDEX('Daily Raw Data'!U:U,Match($A466,'Daily Raw Data'!$B:$B,0)),"")</f>
        <v/>
      </c>
      <c r="M466" t="str">
        <f t="array" ref="M466">IFERROR(INDEX('Daily Raw Data'!V:V,Match($A466,'Daily Raw Data'!$B:$B,0)),"")</f>
        <v/>
      </c>
      <c r="N466" t="str">
        <f t="array" ref="N466">IFERROR(INDEX('Daily Raw Data'!W:W,Match($A466,'Daily Raw Data'!$B:$B,0)),"")</f>
        <v/>
      </c>
      <c r="O466" t="str">
        <f t="array" ref="O466">IFERROR(INDEX('Daily Raw Data'!Y:Y,Match($A466,'Daily Raw Data'!$B:$B,0)),"")</f>
        <v/>
      </c>
      <c r="P466" t="str">
        <f t="shared" si="1"/>
        <v/>
      </c>
      <c r="Q466" s="14" t="str">
        <f t="shared" si="2"/>
        <v/>
      </c>
      <c r="R466" s="15" t="str">
        <f>IFERROR(__xludf.DUMMYFUNCTION("IF($A466="""","""", IFERROR(PERCENTRANK.INC(FILTER(P:P,$E:$E&lt;&gt;""""),P466)*100,""""))"),"")</f>
        <v/>
      </c>
      <c r="S466" s="15" t="str">
        <f>IFERROR(__xludf.DUMMYFUNCTION("IF($A466="""","""",IFERROR(PERCENTRANK.INC(FILTER(Q:Q,$E:$E&lt;&gt;""""),Q466)*100,""""))"),"")</f>
        <v/>
      </c>
    </row>
    <row r="467">
      <c r="B467" t="str">
        <f t="array" ref="B467">IFERROR(INDEX('Player Raw Data'!C:C,Match($A467,'Player Raw Data'!$B:$B,0)),"")</f>
        <v/>
      </c>
      <c r="C467" t="str">
        <f t="array" ref="C467">IFERROR(INDEX('Player Raw Data'!D:D,Match($A467,'Player Raw Data'!$B:$B,0)),"")</f>
        <v/>
      </c>
      <c r="D467" t="str">
        <f t="array" ref="D467">IFERROR(IF(A467=A466, INDEX('Player Raw Data'!E:E,Match($A467,'Player Raw Data'!$B:$B,0)+2),INDEX('Player Raw Data'!E:E,Match($A467,'Player Raw Data'!$B:$B,0))),"")</f>
        <v/>
      </c>
      <c r="E467" s="27" t="str">
        <f>IFERROR(__xludf.DUMMYFUNCTION("IFERROR(ARRAY_CONSTRAIN(SPLIT(INDEX('Daily Raw Data'!G:G,Match($A467,'Daily Raw Data'!$B:$B,0)),"":""),1,1),"""")"),"")</f>
        <v/>
      </c>
      <c r="F467" t="str">
        <f t="array" ref="F467">IFERROR(INDEX('Daily Raw Data'!H:H,Match($A467,'Daily Raw Data'!$B:$B,0)),"")</f>
        <v/>
      </c>
      <c r="G467" t="str">
        <f t="array" ref="G467">IFERROR(INDEX('Daily Raw Data'!I:I,Match($A467,'Daily Raw Data'!$B:$B,0)),"")</f>
        <v/>
      </c>
      <c r="H467" t="str">
        <f t="array" ref="H467">IFERROR(INDEX('Daily Raw Data'!N:N,Match($A467,'Daily Raw Data'!$B:$B,0)),"")</f>
        <v/>
      </c>
      <c r="I467" t="str">
        <f t="array" ref="I467">IFERROR(INDEX('Daily Raw Data'!O:O,Match($A467,'Daily Raw Data'!$B:$B,0)),"")</f>
        <v/>
      </c>
      <c r="J467" t="str">
        <f t="array" ref="J467">IFERROR(INDEX('Daily Raw Data'!S:S,Match($A467,'Daily Raw Data'!$B:$B,0)),"")</f>
        <v/>
      </c>
      <c r="K467" t="str">
        <f t="array" ref="K467">IFERROR(INDEX('Daily Raw Data'!T:T,Match($A467,'Daily Raw Data'!$B:$B,0)),"")</f>
        <v/>
      </c>
      <c r="L467" t="str">
        <f t="array" ref="L467">IFERROR(INDEX('Daily Raw Data'!U:U,Match($A467,'Daily Raw Data'!$B:$B,0)),"")</f>
        <v/>
      </c>
      <c r="M467" t="str">
        <f t="array" ref="M467">IFERROR(INDEX('Daily Raw Data'!V:V,Match($A467,'Daily Raw Data'!$B:$B,0)),"")</f>
        <v/>
      </c>
      <c r="N467" t="str">
        <f t="array" ref="N467">IFERROR(INDEX('Daily Raw Data'!W:W,Match($A467,'Daily Raw Data'!$B:$B,0)),"")</f>
        <v/>
      </c>
      <c r="O467" t="str">
        <f t="array" ref="O467">IFERROR(INDEX('Daily Raw Data'!Y:Y,Match($A467,'Daily Raw Data'!$B:$B,0)),"")</f>
        <v/>
      </c>
      <c r="P467" t="str">
        <f t="shared" si="1"/>
        <v/>
      </c>
      <c r="Q467" s="14" t="str">
        <f t="shared" si="2"/>
        <v/>
      </c>
      <c r="R467" s="15" t="str">
        <f>IFERROR(__xludf.DUMMYFUNCTION("IF($A467="""","""", IFERROR(PERCENTRANK.INC(FILTER(P:P,$E:$E&lt;&gt;""""),P467)*100,""""))"),"")</f>
        <v/>
      </c>
      <c r="S467" s="15" t="str">
        <f>IFERROR(__xludf.DUMMYFUNCTION("IF($A467="""","""",IFERROR(PERCENTRANK.INC(FILTER(Q:Q,$E:$E&lt;&gt;""""),Q467)*100,""""))"),"")</f>
        <v/>
      </c>
    </row>
    <row r="468">
      <c r="B468" t="str">
        <f t="array" ref="B468">IFERROR(INDEX('Player Raw Data'!C:C,Match($A468,'Player Raw Data'!$B:$B,0)),"")</f>
        <v/>
      </c>
      <c r="C468" t="str">
        <f t="array" ref="C468">IFERROR(INDEX('Player Raw Data'!D:D,Match($A468,'Player Raw Data'!$B:$B,0)),"")</f>
        <v/>
      </c>
      <c r="D468" t="str">
        <f t="array" ref="D468">IFERROR(IF(A468=A467, INDEX('Player Raw Data'!E:E,Match($A468,'Player Raw Data'!$B:$B,0)+2),INDEX('Player Raw Data'!E:E,Match($A468,'Player Raw Data'!$B:$B,0))),"")</f>
        <v/>
      </c>
      <c r="E468" s="27" t="str">
        <f>IFERROR(__xludf.DUMMYFUNCTION("IFERROR(ARRAY_CONSTRAIN(SPLIT(INDEX('Daily Raw Data'!G:G,Match($A468,'Daily Raw Data'!$B:$B,0)),"":""),1,1),"""")"),"")</f>
        <v/>
      </c>
      <c r="F468" t="str">
        <f t="array" ref="F468">IFERROR(INDEX('Daily Raw Data'!H:H,Match($A468,'Daily Raw Data'!$B:$B,0)),"")</f>
        <v/>
      </c>
      <c r="G468" t="str">
        <f t="array" ref="G468">IFERROR(INDEX('Daily Raw Data'!I:I,Match($A468,'Daily Raw Data'!$B:$B,0)),"")</f>
        <v/>
      </c>
      <c r="H468" t="str">
        <f t="array" ref="H468">IFERROR(INDEX('Daily Raw Data'!N:N,Match($A468,'Daily Raw Data'!$B:$B,0)),"")</f>
        <v/>
      </c>
      <c r="I468" t="str">
        <f t="array" ref="I468">IFERROR(INDEX('Daily Raw Data'!O:O,Match($A468,'Daily Raw Data'!$B:$B,0)),"")</f>
        <v/>
      </c>
      <c r="J468" t="str">
        <f t="array" ref="J468">IFERROR(INDEX('Daily Raw Data'!S:S,Match($A468,'Daily Raw Data'!$B:$B,0)),"")</f>
        <v/>
      </c>
      <c r="K468" t="str">
        <f t="array" ref="K468">IFERROR(INDEX('Daily Raw Data'!T:T,Match($A468,'Daily Raw Data'!$B:$B,0)),"")</f>
        <v/>
      </c>
      <c r="L468" t="str">
        <f t="array" ref="L468">IFERROR(INDEX('Daily Raw Data'!U:U,Match($A468,'Daily Raw Data'!$B:$B,0)),"")</f>
        <v/>
      </c>
      <c r="M468" t="str">
        <f t="array" ref="M468">IFERROR(INDEX('Daily Raw Data'!V:V,Match($A468,'Daily Raw Data'!$B:$B,0)),"")</f>
        <v/>
      </c>
      <c r="N468" t="str">
        <f t="array" ref="N468">IFERROR(INDEX('Daily Raw Data'!W:W,Match($A468,'Daily Raw Data'!$B:$B,0)),"")</f>
        <v/>
      </c>
      <c r="O468" t="str">
        <f t="array" ref="O468">IFERROR(INDEX('Daily Raw Data'!Y:Y,Match($A468,'Daily Raw Data'!$B:$B,0)),"")</f>
        <v/>
      </c>
      <c r="P468" t="str">
        <f t="shared" si="1"/>
        <v/>
      </c>
      <c r="Q468" s="14" t="str">
        <f t="shared" si="2"/>
        <v/>
      </c>
      <c r="R468" s="15" t="str">
        <f>IFERROR(__xludf.DUMMYFUNCTION("IF($A468="""","""", IFERROR(PERCENTRANK.INC(FILTER(P:P,$E:$E&lt;&gt;""""),P468)*100,""""))"),"")</f>
        <v/>
      </c>
      <c r="S468" s="15" t="str">
        <f>IFERROR(__xludf.DUMMYFUNCTION("IF($A468="""","""",IFERROR(PERCENTRANK.INC(FILTER(Q:Q,$E:$E&lt;&gt;""""),Q468)*100,""""))"),"")</f>
        <v/>
      </c>
    </row>
    <row r="469">
      <c r="B469" t="str">
        <f t="array" ref="B469">IFERROR(INDEX('Player Raw Data'!C:C,Match($A469,'Player Raw Data'!$B:$B,0)),"")</f>
        <v/>
      </c>
      <c r="C469" t="str">
        <f t="array" ref="C469">IFERROR(INDEX('Player Raw Data'!D:D,Match($A469,'Player Raw Data'!$B:$B,0)),"")</f>
        <v/>
      </c>
      <c r="D469" t="str">
        <f t="array" ref="D469">IFERROR(IF(A469=A468, INDEX('Player Raw Data'!E:E,Match($A469,'Player Raw Data'!$B:$B,0)+2),INDEX('Player Raw Data'!E:E,Match($A469,'Player Raw Data'!$B:$B,0))),"")</f>
        <v/>
      </c>
      <c r="E469" s="27" t="str">
        <f>IFERROR(__xludf.DUMMYFUNCTION("IFERROR(ARRAY_CONSTRAIN(SPLIT(INDEX('Daily Raw Data'!G:G,Match($A469,'Daily Raw Data'!$B:$B,0)),"":""),1,1),"""")"),"")</f>
        <v/>
      </c>
      <c r="F469" t="str">
        <f t="array" ref="F469">IFERROR(INDEX('Daily Raw Data'!H:H,Match($A469,'Daily Raw Data'!$B:$B,0)),"")</f>
        <v/>
      </c>
      <c r="G469" t="str">
        <f t="array" ref="G469">IFERROR(INDEX('Daily Raw Data'!I:I,Match($A469,'Daily Raw Data'!$B:$B,0)),"")</f>
        <v/>
      </c>
      <c r="H469" t="str">
        <f t="array" ref="H469">IFERROR(INDEX('Daily Raw Data'!N:N,Match($A469,'Daily Raw Data'!$B:$B,0)),"")</f>
        <v/>
      </c>
      <c r="I469" t="str">
        <f t="array" ref="I469">IFERROR(INDEX('Daily Raw Data'!O:O,Match($A469,'Daily Raw Data'!$B:$B,0)),"")</f>
        <v/>
      </c>
      <c r="J469" t="str">
        <f t="array" ref="J469">IFERROR(INDEX('Daily Raw Data'!S:S,Match($A469,'Daily Raw Data'!$B:$B,0)),"")</f>
        <v/>
      </c>
      <c r="K469" t="str">
        <f t="array" ref="K469">IFERROR(INDEX('Daily Raw Data'!T:T,Match($A469,'Daily Raw Data'!$B:$B,0)),"")</f>
        <v/>
      </c>
      <c r="L469" t="str">
        <f t="array" ref="L469">IFERROR(INDEX('Daily Raw Data'!U:U,Match($A469,'Daily Raw Data'!$B:$B,0)),"")</f>
        <v/>
      </c>
      <c r="M469" t="str">
        <f t="array" ref="M469">IFERROR(INDEX('Daily Raw Data'!V:V,Match($A469,'Daily Raw Data'!$B:$B,0)),"")</f>
        <v/>
      </c>
      <c r="N469" t="str">
        <f t="array" ref="N469">IFERROR(INDEX('Daily Raw Data'!W:W,Match($A469,'Daily Raw Data'!$B:$B,0)),"")</f>
        <v/>
      </c>
      <c r="O469" t="str">
        <f t="array" ref="O469">IFERROR(INDEX('Daily Raw Data'!Y:Y,Match($A469,'Daily Raw Data'!$B:$B,0)),"")</f>
        <v/>
      </c>
      <c r="P469" t="str">
        <f t="shared" si="1"/>
        <v/>
      </c>
      <c r="Q469" s="14" t="str">
        <f t="shared" si="2"/>
        <v/>
      </c>
      <c r="R469" s="15" t="str">
        <f>IFERROR(__xludf.DUMMYFUNCTION("IF($A469="""","""", IFERROR(PERCENTRANK.INC(FILTER(P:P,$E:$E&lt;&gt;""""),P469)*100,""""))"),"")</f>
        <v/>
      </c>
      <c r="S469" s="15" t="str">
        <f>IFERROR(__xludf.DUMMYFUNCTION("IF($A469="""","""",IFERROR(PERCENTRANK.INC(FILTER(Q:Q,$E:$E&lt;&gt;""""),Q469)*100,""""))"),"")</f>
        <v/>
      </c>
    </row>
    <row r="470">
      <c r="B470" t="str">
        <f t="array" ref="B470">IFERROR(INDEX('Player Raw Data'!C:C,Match($A470,'Player Raw Data'!$B:$B,0)),"")</f>
        <v/>
      </c>
      <c r="C470" t="str">
        <f t="array" ref="C470">IFERROR(INDEX('Player Raw Data'!D:D,Match($A470,'Player Raw Data'!$B:$B,0)),"")</f>
        <v/>
      </c>
      <c r="D470" t="str">
        <f t="array" ref="D470">IFERROR(IF(A470=A469, INDEX('Player Raw Data'!E:E,Match($A470,'Player Raw Data'!$B:$B,0)+2),INDEX('Player Raw Data'!E:E,Match($A470,'Player Raw Data'!$B:$B,0))),"")</f>
        <v/>
      </c>
      <c r="E470" s="27" t="str">
        <f>IFERROR(__xludf.DUMMYFUNCTION("IFERROR(ARRAY_CONSTRAIN(SPLIT(INDEX('Daily Raw Data'!G:G,Match($A470,'Daily Raw Data'!$B:$B,0)),"":""),1,1),"""")"),"")</f>
        <v/>
      </c>
      <c r="F470" t="str">
        <f t="array" ref="F470">IFERROR(INDEX('Daily Raw Data'!H:H,Match($A470,'Daily Raw Data'!$B:$B,0)),"")</f>
        <v/>
      </c>
      <c r="G470" t="str">
        <f t="array" ref="G470">IFERROR(INDEX('Daily Raw Data'!I:I,Match($A470,'Daily Raw Data'!$B:$B,0)),"")</f>
        <v/>
      </c>
      <c r="H470" t="str">
        <f t="array" ref="H470">IFERROR(INDEX('Daily Raw Data'!N:N,Match($A470,'Daily Raw Data'!$B:$B,0)),"")</f>
        <v/>
      </c>
      <c r="I470" t="str">
        <f t="array" ref="I470">IFERROR(INDEX('Daily Raw Data'!O:O,Match($A470,'Daily Raw Data'!$B:$B,0)),"")</f>
        <v/>
      </c>
      <c r="J470" t="str">
        <f t="array" ref="J470">IFERROR(INDEX('Daily Raw Data'!S:S,Match($A470,'Daily Raw Data'!$B:$B,0)),"")</f>
        <v/>
      </c>
      <c r="K470" t="str">
        <f t="array" ref="K470">IFERROR(INDEX('Daily Raw Data'!T:T,Match($A470,'Daily Raw Data'!$B:$B,0)),"")</f>
        <v/>
      </c>
      <c r="L470" t="str">
        <f t="array" ref="L470">IFERROR(INDEX('Daily Raw Data'!U:U,Match($A470,'Daily Raw Data'!$B:$B,0)),"")</f>
        <v/>
      </c>
      <c r="M470" t="str">
        <f t="array" ref="M470">IFERROR(INDEX('Daily Raw Data'!V:V,Match($A470,'Daily Raw Data'!$B:$B,0)),"")</f>
        <v/>
      </c>
      <c r="N470" t="str">
        <f t="array" ref="N470">IFERROR(INDEX('Daily Raw Data'!W:W,Match($A470,'Daily Raw Data'!$B:$B,0)),"")</f>
        <v/>
      </c>
      <c r="O470" t="str">
        <f t="array" ref="O470">IFERROR(INDEX('Daily Raw Data'!Y:Y,Match($A470,'Daily Raw Data'!$B:$B,0)),"")</f>
        <v/>
      </c>
      <c r="P470" t="str">
        <f t="shared" si="1"/>
        <v/>
      </c>
      <c r="Q470" s="14" t="str">
        <f t="shared" si="2"/>
        <v/>
      </c>
      <c r="R470" s="15" t="str">
        <f>IFERROR(__xludf.DUMMYFUNCTION("IF($A470="""","""", IFERROR(PERCENTRANK.INC(FILTER(P:P,$E:$E&lt;&gt;""""),P470)*100,""""))"),"")</f>
        <v/>
      </c>
      <c r="S470" s="15" t="str">
        <f>IFERROR(__xludf.DUMMYFUNCTION("IF($A470="""","""",IFERROR(PERCENTRANK.INC(FILTER(Q:Q,$E:$E&lt;&gt;""""),Q470)*100,""""))"),"")</f>
        <v/>
      </c>
    </row>
    <row r="471">
      <c r="B471" t="str">
        <f t="array" ref="B471">IFERROR(INDEX('Player Raw Data'!C:C,Match($A471,'Player Raw Data'!$B:$B,0)),"")</f>
        <v/>
      </c>
      <c r="C471" t="str">
        <f t="array" ref="C471">IFERROR(INDEX('Player Raw Data'!D:D,Match($A471,'Player Raw Data'!$B:$B,0)),"")</f>
        <v/>
      </c>
      <c r="D471" t="str">
        <f t="array" ref="D471">IFERROR(IF(A471=A470, INDEX('Player Raw Data'!E:E,Match($A471,'Player Raw Data'!$B:$B,0)+2),INDEX('Player Raw Data'!E:E,Match($A471,'Player Raw Data'!$B:$B,0))),"")</f>
        <v/>
      </c>
      <c r="E471" s="27" t="str">
        <f>IFERROR(__xludf.DUMMYFUNCTION("IFERROR(ARRAY_CONSTRAIN(SPLIT(INDEX('Daily Raw Data'!G:G,Match($A471,'Daily Raw Data'!$B:$B,0)),"":""),1,1),"""")"),"")</f>
        <v/>
      </c>
      <c r="F471" t="str">
        <f t="array" ref="F471">IFERROR(INDEX('Daily Raw Data'!H:H,Match($A471,'Daily Raw Data'!$B:$B,0)),"")</f>
        <v/>
      </c>
      <c r="G471" t="str">
        <f t="array" ref="G471">IFERROR(INDEX('Daily Raw Data'!I:I,Match($A471,'Daily Raw Data'!$B:$B,0)),"")</f>
        <v/>
      </c>
      <c r="H471" t="str">
        <f t="array" ref="H471">IFERROR(INDEX('Daily Raw Data'!N:N,Match($A471,'Daily Raw Data'!$B:$B,0)),"")</f>
        <v/>
      </c>
      <c r="I471" t="str">
        <f t="array" ref="I471">IFERROR(INDEX('Daily Raw Data'!O:O,Match($A471,'Daily Raw Data'!$B:$B,0)),"")</f>
        <v/>
      </c>
      <c r="J471" t="str">
        <f t="array" ref="J471">IFERROR(INDEX('Daily Raw Data'!S:S,Match($A471,'Daily Raw Data'!$B:$B,0)),"")</f>
        <v/>
      </c>
      <c r="K471" t="str">
        <f t="array" ref="K471">IFERROR(INDEX('Daily Raw Data'!T:T,Match($A471,'Daily Raw Data'!$B:$B,0)),"")</f>
        <v/>
      </c>
      <c r="L471" t="str">
        <f t="array" ref="L471">IFERROR(INDEX('Daily Raw Data'!U:U,Match($A471,'Daily Raw Data'!$B:$B,0)),"")</f>
        <v/>
      </c>
      <c r="M471" t="str">
        <f t="array" ref="M471">IFERROR(INDEX('Daily Raw Data'!V:V,Match($A471,'Daily Raw Data'!$B:$B,0)),"")</f>
        <v/>
      </c>
      <c r="N471" t="str">
        <f t="array" ref="N471">IFERROR(INDEX('Daily Raw Data'!W:W,Match($A471,'Daily Raw Data'!$B:$B,0)),"")</f>
        <v/>
      </c>
      <c r="O471" t="str">
        <f t="array" ref="O471">IFERROR(INDEX('Daily Raw Data'!Y:Y,Match($A471,'Daily Raw Data'!$B:$B,0)),"")</f>
        <v/>
      </c>
      <c r="P471" t="str">
        <f t="shared" si="1"/>
        <v/>
      </c>
      <c r="Q471" s="14" t="str">
        <f t="shared" si="2"/>
        <v/>
      </c>
      <c r="R471" s="15" t="str">
        <f>IFERROR(__xludf.DUMMYFUNCTION("IF($A471="""","""", IFERROR(PERCENTRANK.INC(FILTER(P:P,$E:$E&lt;&gt;""""),P471)*100,""""))"),"")</f>
        <v/>
      </c>
      <c r="S471" s="15" t="str">
        <f>IFERROR(__xludf.DUMMYFUNCTION("IF($A471="""","""",IFERROR(PERCENTRANK.INC(FILTER(Q:Q,$E:$E&lt;&gt;""""),Q471)*100,""""))"),"")</f>
        <v/>
      </c>
    </row>
    <row r="472">
      <c r="B472" t="str">
        <f t="array" ref="B472">IFERROR(INDEX('Player Raw Data'!C:C,Match($A472,'Player Raw Data'!$B:$B,0)),"")</f>
        <v/>
      </c>
      <c r="C472" t="str">
        <f t="array" ref="C472">IFERROR(INDEX('Player Raw Data'!D:D,Match($A472,'Player Raw Data'!$B:$B,0)),"")</f>
        <v/>
      </c>
      <c r="D472" t="str">
        <f t="array" ref="D472">IFERROR(IF(A472=A471, INDEX('Player Raw Data'!E:E,Match($A472,'Player Raw Data'!$B:$B,0)+2),INDEX('Player Raw Data'!E:E,Match($A472,'Player Raw Data'!$B:$B,0))),"")</f>
        <v/>
      </c>
      <c r="E472" s="27" t="str">
        <f>IFERROR(__xludf.DUMMYFUNCTION("IFERROR(ARRAY_CONSTRAIN(SPLIT(INDEX('Daily Raw Data'!G:G,Match($A472,'Daily Raw Data'!$B:$B,0)),"":""),1,1),"""")"),"")</f>
        <v/>
      </c>
      <c r="F472" t="str">
        <f t="array" ref="F472">IFERROR(INDEX('Daily Raw Data'!H:H,Match($A472,'Daily Raw Data'!$B:$B,0)),"")</f>
        <v/>
      </c>
      <c r="G472" t="str">
        <f t="array" ref="G472">IFERROR(INDEX('Daily Raw Data'!I:I,Match($A472,'Daily Raw Data'!$B:$B,0)),"")</f>
        <v/>
      </c>
      <c r="H472" t="str">
        <f t="array" ref="H472">IFERROR(INDEX('Daily Raw Data'!N:N,Match($A472,'Daily Raw Data'!$B:$B,0)),"")</f>
        <v/>
      </c>
      <c r="I472" t="str">
        <f t="array" ref="I472">IFERROR(INDEX('Daily Raw Data'!O:O,Match($A472,'Daily Raw Data'!$B:$B,0)),"")</f>
        <v/>
      </c>
      <c r="J472" t="str">
        <f t="array" ref="J472">IFERROR(INDEX('Daily Raw Data'!S:S,Match($A472,'Daily Raw Data'!$B:$B,0)),"")</f>
        <v/>
      </c>
      <c r="K472" t="str">
        <f t="array" ref="K472">IFERROR(INDEX('Daily Raw Data'!T:T,Match($A472,'Daily Raw Data'!$B:$B,0)),"")</f>
        <v/>
      </c>
      <c r="L472" t="str">
        <f t="array" ref="L472">IFERROR(INDEX('Daily Raw Data'!U:U,Match($A472,'Daily Raw Data'!$B:$B,0)),"")</f>
        <v/>
      </c>
      <c r="M472" t="str">
        <f t="array" ref="M472">IFERROR(INDEX('Daily Raw Data'!V:V,Match($A472,'Daily Raw Data'!$B:$B,0)),"")</f>
        <v/>
      </c>
      <c r="N472" t="str">
        <f t="array" ref="N472">IFERROR(INDEX('Daily Raw Data'!W:W,Match($A472,'Daily Raw Data'!$B:$B,0)),"")</f>
        <v/>
      </c>
      <c r="O472" t="str">
        <f t="array" ref="O472">IFERROR(INDEX('Daily Raw Data'!Y:Y,Match($A472,'Daily Raw Data'!$B:$B,0)),"")</f>
        <v/>
      </c>
      <c r="P472" t="str">
        <f t="shared" si="1"/>
        <v/>
      </c>
      <c r="Q472" s="14" t="str">
        <f t="shared" si="2"/>
        <v/>
      </c>
      <c r="R472" s="15" t="str">
        <f>IFERROR(__xludf.DUMMYFUNCTION("IF($A472="""","""", IFERROR(PERCENTRANK.INC(FILTER(P:P,$E:$E&lt;&gt;""""),P472)*100,""""))"),"")</f>
        <v/>
      </c>
      <c r="S472" s="15" t="str">
        <f>IFERROR(__xludf.DUMMYFUNCTION("IF($A472="""","""",IFERROR(PERCENTRANK.INC(FILTER(Q:Q,$E:$E&lt;&gt;""""),Q472)*100,""""))"),"")</f>
        <v/>
      </c>
    </row>
    <row r="473">
      <c r="B473" t="str">
        <f t="array" ref="B473">IFERROR(INDEX('Player Raw Data'!C:C,Match($A473,'Player Raw Data'!$B:$B,0)),"")</f>
        <v/>
      </c>
      <c r="C473" t="str">
        <f t="array" ref="C473">IFERROR(INDEX('Player Raw Data'!D:D,Match($A473,'Player Raw Data'!$B:$B,0)),"")</f>
        <v/>
      </c>
      <c r="D473" t="str">
        <f t="array" ref="D473">IFERROR(IF(A473=A472, INDEX('Player Raw Data'!E:E,Match($A473,'Player Raw Data'!$B:$B,0)+2),INDEX('Player Raw Data'!E:E,Match($A473,'Player Raw Data'!$B:$B,0))),"")</f>
        <v/>
      </c>
      <c r="E473" s="27" t="str">
        <f>IFERROR(__xludf.DUMMYFUNCTION("IFERROR(ARRAY_CONSTRAIN(SPLIT(INDEX('Daily Raw Data'!G:G,Match($A473,'Daily Raw Data'!$B:$B,0)),"":""),1,1),"""")"),"")</f>
        <v/>
      </c>
      <c r="F473" t="str">
        <f t="array" ref="F473">IFERROR(INDEX('Daily Raw Data'!H:H,Match($A473,'Daily Raw Data'!$B:$B,0)),"")</f>
        <v/>
      </c>
      <c r="G473" t="str">
        <f t="array" ref="G473">IFERROR(INDEX('Daily Raw Data'!I:I,Match($A473,'Daily Raw Data'!$B:$B,0)),"")</f>
        <v/>
      </c>
      <c r="H473" t="str">
        <f t="array" ref="H473">IFERROR(INDEX('Daily Raw Data'!N:N,Match($A473,'Daily Raw Data'!$B:$B,0)),"")</f>
        <v/>
      </c>
      <c r="I473" t="str">
        <f t="array" ref="I473">IFERROR(INDEX('Daily Raw Data'!O:O,Match($A473,'Daily Raw Data'!$B:$B,0)),"")</f>
        <v/>
      </c>
      <c r="J473" t="str">
        <f t="array" ref="J473">IFERROR(INDEX('Daily Raw Data'!S:S,Match($A473,'Daily Raw Data'!$B:$B,0)),"")</f>
        <v/>
      </c>
      <c r="K473" t="str">
        <f t="array" ref="K473">IFERROR(INDEX('Daily Raw Data'!T:T,Match($A473,'Daily Raw Data'!$B:$B,0)),"")</f>
        <v/>
      </c>
      <c r="L473" t="str">
        <f t="array" ref="L473">IFERROR(INDEX('Daily Raw Data'!U:U,Match($A473,'Daily Raw Data'!$B:$B,0)),"")</f>
        <v/>
      </c>
      <c r="M473" t="str">
        <f t="array" ref="M473">IFERROR(INDEX('Daily Raw Data'!V:V,Match($A473,'Daily Raw Data'!$B:$B,0)),"")</f>
        <v/>
      </c>
      <c r="N473" t="str">
        <f t="array" ref="N473">IFERROR(INDEX('Daily Raw Data'!W:W,Match($A473,'Daily Raw Data'!$B:$B,0)),"")</f>
        <v/>
      </c>
      <c r="O473" t="str">
        <f t="array" ref="O473">IFERROR(INDEX('Daily Raw Data'!Y:Y,Match($A473,'Daily Raw Data'!$B:$B,0)),"")</f>
        <v/>
      </c>
      <c r="P473" t="str">
        <f t="shared" si="1"/>
        <v/>
      </c>
      <c r="Q473" s="14" t="str">
        <f t="shared" si="2"/>
        <v/>
      </c>
      <c r="R473" s="15" t="str">
        <f>IFERROR(__xludf.DUMMYFUNCTION("IF($A473="""","""", IFERROR(PERCENTRANK.INC(FILTER(P:P,$E:$E&lt;&gt;""""),P473)*100,""""))"),"")</f>
        <v/>
      </c>
      <c r="S473" s="15" t="str">
        <f>IFERROR(__xludf.DUMMYFUNCTION("IF($A473="""","""",IFERROR(PERCENTRANK.INC(FILTER(Q:Q,$E:$E&lt;&gt;""""),Q473)*100,""""))"),"")</f>
        <v/>
      </c>
    </row>
    <row r="474">
      <c r="B474" t="str">
        <f t="array" ref="B474">IFERROR(INDEX('Player Raw Data'!C:C,Match($A474,'Player Raw Data'!$B:$B,0)),"")</f>
        <v/>
      </c>
      <c r="C474" t="str">
        <f t="array" ref="C474">IFERROR(INDEX('Player Raw Data'!D:D,Match($A474,'Player Raw Data'!$B:$B,0)),"")</f>
        <v/>
      </c>
      <c r="D474" t="str">
        <f t="array" ref="D474">IFERROR(IF(A474=A473, INDEX('Player Raw Data'!E:E,Match($A474,'Player Raw Data'!$B:$B,0)+2),INDEX('Player Raw Data'!E:E,Match($A474,'Player Raw Data'!$B:$B,0))),"")</f>
        <v/>
      </c>
      <c r="E474" s="27" t="str">
        <f>IFERROR(__xludf.DUMMYFUNCTION("IFERROR(ARRAY_CONSTRAIN(SPLIT(INDEX('Daily Raw Data'!G:G,Match($A474,'Daily Raw Data'!$B:$B,0)),"":""),1,1),"""")"),"")</f>
        <v/>
      </c>
      <c r="F474" t="str">
        <f t="array" ref="F474">IFERROR(INDEX('Daily Raw Data'!H:H,Match($A474,'Daily Raw Data'!$B:$B,0)),"")</f>
        <v/>
      </c>
      <c r="G474" t="str">
        <f t="array" ref="G474">IFERROR(INDEX('Daily Raw Data'!I:I,Match($A474,'Daily Raw Data'!$B:$B,0)),"")</f>
        <v/>
      </c>
      <c r="H474" t="str">
        <f t="array" ref="H474">IFERROR(INDEX('Daily Raw Data'!N:N,Match($A474,'Daily Raw Data'!$B:$B,0)),"")</f>
        <v/>
      </c>
      <c r="I474" t="str">
        <f t="array" ref="I474">IFERROR(INDEX('Daily Raw Data'!O:O,Match($A474,'Daily Raw Data'!$B:$B,0)),"")</f>
        <v/>
      </c>
      <c r="J474" t="str">
        <f t="array" ref="J474">IFERROR(INDEX('Daily Raw Data'!S:S,Match($A474,'Daily Raw Data'!$B:$B,0)),"")</f>
        <v/>
      </c>
      <c r="K474" t="str">
        <f t="array" ref="K474">IFERROR(INDEX('Daily Raw Data'!T:T,Match($A474,'Daily Raw Data'!$B:$B,0)),"")</f>
        <v/>
      </c>
      <c r="L474" t="str">
        <f t="array" ref="L474">IFERROR(INDEX('Daily Raw Data'!U:U,Match($A474,'Daily Raw Data'!$B:$B,0)),"")</f>
        <v/>
      </c>
      <c r="M474" t="str">
        <f t="array" ref="M474">IFERROR(INDEX('Daily Raw Data'!V:V,Match($A474,'Daily Raw Data'!$B:$B,0)),"")</f>
        <v/>
      </c>
      <c r="N474" t="str">
        <f t="array" ref="N474">IFERROR(INDEX('Daily Raw Data'!W:W,Match($A474,'Daily Raw Data'!$B:$B,0)),"")</f>
        <v/>
      </c>
      <c r="O474" t="str">
        <f t="array" ref="O474">IFERROR(INDEX('Daily Raw Data'!Y:Y,Match($A474,'Daily Raw Data'!$B:$B,0)),"")</f>
        <v/>
      </c>
      <c r="P474" t="str">
        <f t="shared" si="1"/>
        <v/>
      </c>
      <c r="Q474" s="14" t="str">
        <f t="shared" si="2"/>
        <v/>
      </c>
      <c r="R474" s="15" t="str">
        <f>IFERROR(__xludf.DUMMYFUNCTION("IF($A474="""","""", IFERROR(PERCENTRANK.INC(FILTER(P:P,$E:$E&lt;&gt;""""),P474)*100,""""))"),"")</f>
        <v/>
      </c>
      <c r="S474" s="15" t="str">
        <f>IFERROR(__xludf.DUMMYFUNCTION("IF($A474="""","""",IFERROR(PERCENTRANK.INC(FILTER(Q:Q,$E:$E&lt;&gt;""""),Q474)*100,""""))"),"")</f>
        <v/>
      </c>
    </row>
    <row r="475">
      <c r="B475" t="str">
        <f t="array" ref="B475">IFERROR(INDEX('Player Raw Data'!C:C,Match($A475,'Player Raw Data'!$B:$B,0)),"")</f>
        <v/>
      </c>
      <c r="C475" t="str">
        <f t="array" ref="C475">IFERROR(INDEX('Player Raw Data'!D:D,Match($A475,'Player Raw Data'!$B:$B,0)),"")</f>
        <v/>
      </c>
      <c r="D475" t="str">
        <f t="array" ref="D475">IFERROR(IF(A475=A474, INDEX('Player Raw Data'!E:E,Match($A475,'Player Raw Data'!$B:$B,0)+2),INDEX('Player Raw Data'!E:E,Match($A475,'Player Raw Data'!$B:$B,0))),"")</f>
        <v/>
      </c>
      <c r="E475" s="27" t="str">
        <f>IFERROR(__xludf.DUMMYFUNCTION("IFERROR(ARRAY_CONSTRAIN(SPLIT(INDEX('Daily Raw Data'!G:G,Match($A475,'Daily Raw Data'!$B:$B,0)),"":""),1,1),"""")"),"")</f>
        <v/>
      </c>
      <c r="F475" t="str">
        <f t="array" ref="F475">IFERROR(INDEX('Daily Raw Data'!H:H,Match($A475,'Daily Raw Data'!$B:$B,0)),"")</f>
        <v/>
      </c>
      <c r="G475" t="str">
        <f t="array" ref="G475">IFERROR(INDEX('Daily Raw Data'!I:I,Match($A475,'Daily Raw Data'!$B:$B,0)),"")</f>
        <v/>
      </c>
      <c r="H475" t="str">
        <f t="array" ref="H475">IFERROR(INDEX('Daily Raw Data'!N:N,Match($A475,'Daily Raw Data'!$B:$B,0)),"")</f>
        <v/>
      </c>
      <c r="I475" t="str">
        <f t="array" ref="I475">IFERROR(INDEX('Daily Raw Data'!O:O,Match($A475,'Daily Raw Data'!$B:$B,0)),"")</f>
        <v/>
      </c>
      <c r="J475" t="str">
        <f t="array" ref="J475">IFERROR(INDEX('Daily Raw Data'!S:S,Match($A475,'Daily Raw Data'!$B:$B,0)),"")</f>
        <v/>
      </c>
      <c r="K475" t="str">
        <f t="array" ref="K475">IFERROR(INDEX('Daily Raw Data'!T:T,Match($A475,'Daily Raw Data'!$B:$B,0)),"")</f>
        <v/>
      </c>
      <c r="L475" t="str">
        <f t="array" ref="L475">IFERROR(INDEX('Daily Raw Data'!U:U,Match($A475,'Daily Raw Data'!$B:$B,0)),"")</f>
        <v/>
      </c>
      <c r="M475" t="str">
        <f t="array" ref="M475">IFERROR(INDEX('Daily Raw Data'!V:V,Match($A475,'Daily Raw Data'!$B:$B,0)),"")</f>
        <v/>
      </c>
      <c r="N475" t="str">
        <f t="array" ref="N475">IFERROR(INDEX('Daily Raw Data'!W:W,Match($A475,'Daily Raw Data'!$B:$B,0)),"")</f>
        <v/>
      </c>
      <c r="O475" t="str">
        <f t="array" ref="O475">IFERROR(INDEX('Daily Raw Data'!Y:Y,Match($A475,'Daily Raw Data'!$B:$B,0)),"")</f>
        <v/>
      </c>
      <c r="P475" t="str">
        <f t="shared" si="1"/>
        <v/>
      </c>
      <c r="Q475" s="14" t="str">
        <f t="shared" si="2"/>
        <v/>
      </c>
      <c r="R475" s="15" t="str">
        <f>IFERROR(__xludf.DUMMYFUNCTION("IF($A475="""","""", IFERROR(PERCENTRANK.INC(FILTER(P:P,$E:$E&lt;&gt;""""),P475)*100,""""))"),"")</f>
        <v/>
      </c>
      <c r="S475" s="15" t="str">
        <f>IFERROR(__xludf.DUMMYFUNCTION("IF($A475="""","""",IFERROR(PERCENTRANK.INC(FILTER(Q:Q,$E:$E&lt;&gt;""""),Q475)*100,""""))"),"")</f>
        <v/>
      </c>
    </row>
    <row r="476">
      <c r="B476" t="str">
        <f t="array" ref="B476">IFERROR(INDEX('Player Raw Data'!C:C,Match($A476,'Player Raw Data'!$B:$B,0)),"")</f>
        <v/>
      </c>
      <c r="C476" t="str">
        <f t="array" ref="C476">IFERROR(INDEX('Player Raw Data'!D:D,Match($A476,'Player Raw Data'!$B:$B,0)),"")</f>
        <v/>
      </c>
      <c r="D476" t="str">
        <f t="array" ref="D476">IFERROR(IF(A476=A475, INDEX('Player Raw Data'!E:E,Match($A476,'Player Raw Data'!$B:$B,0)+2),INDEX('Player Raw Data'!E:E,Match($A476,'Player Raw Data'!$B:$B,0))),"")</f>
        <v/>
      </c>
      <c r="E476" s="27" t="str">
        <f>IFERROR(__xludf.DUMMYFUNCTION("IFERROR(ARRAY_CONSTRAIN(SPLIT(INDEX('Daily Raw Data'!G:G,Match($A476,'Daily Raw Data'!$B:$B,0)),"":""),1,1),"""")"),"")</f>
        <v/>
      </c>
      <c r="F476" t="str">
        <f t="array" ref="F476">IFERROR(INDEX('Daily Raw Data'!H:H,Match($A476,'Daily Raw Data'!$B:$B,0)),"")</f>
        <v/>
      </c>
      <c r="G476" t="str">
        <f t="array" ref="G476">IFERROR(INDEX('Daily Raw Data'!I:I,Match($A476,'Daily Raw Data'!$B:$B,0)),"")</f>
        <v/>
      </c>
      <c r="H476" t="str">
        <f t="array" ref="H476">IFERROR(INDEX('Daily Raw Data'!N:N,Match($A476,'Daily Raw Data'!$B:$B,0)),"")</f>
        <v/>
      </c>
      <c r="I476" t="str">
        <f t="array" ref="I476">IFERROR(INDEX('Daily Raw Data'!O:O,Match($A476,'Daily Raw Data'!$B:$B,0)),"")</f>
        <v/>
      </c>
      <c r="J476" t="str">
        <f t="array" ref="J476">IFERROR(INDEX('Daily Raw Data'!S:S,Match($A476,'Daily Raw Data'!$B:$B,0)),"")</f>
        <v/>
      </c>
      <c r="K476" t="str">
        <f t="array" ref="K476">IFERROR(INDEX('Daily Raw Data'!T:T,Match($A476,'Daily Raw Data'!$B:$B,0)),"")</f>
        <v/>
      </c>
      <c r="L476" t="str">
        <f t="array" ref="L476">IFERROR(INDEX('Daily Raw Data'!U:U,Match($A476,'Daily Raw Data'!$B:$B,0)),"")</f>
        <v/>
      </c>
      <c r="M476" t="str">
        <f t="array" ref="M476">IFERROR(INDEX('Daily Raw Data'!V:V,Match($A476,'Daily Raw Data'!$B:$B,0)),"")</f>
        <v/>
      </c>
      <c r="N476" t="str">
        <f t="array" ref="N476">IFERROR(INDEX('Daily Raw Data'!W:W,Match($A476,'Daily Raw Data'!$B:$B,0)),"")</f>
        <v/>
      </c>
      <c r="O476" t="str">
        <f t="array" ref="O476">IFERROR(INDEX('Daily Raw Data'!Y:Y,Match($A476,'Daily Raw Data'!$B:$B,0)),"")</f>
        <v/>
      </c>
      <c r="P476" t="str">
        <f t="shared" si="1"/>
        <v/>
      </c>
      <c r="Q476" s="14" t="str">
        <f t="shared" si="2"/>
        <v/>
      </c>
      <c r="R476" s="15" t="str">
        <f>IFERROR(__xludf.DUMMYFUNCTION("IF($A476="""","""", IFERROR(PERCENTRANK.INC(FILTER(P:P,$E:$E&lt;&gt;""""),P476)*100,""""))"),"")</f>
        <v/>
      </c>
      <c r="S476" s="15" t="str">
        <f>IFERROR(__xludf.DUMMYFUNCTION("IF($A476="""","""",IFERROR(PERCENTRANK.INC(FILTER(Q:Q,$E:$E&lt;&gt;""""),Q476)*100,""""))"),"")</f>
        <v/>
      </c>
    </row>
    <row r="477">
      <c r="B477" t="str">
        <f t="array" ref="B477">IFERROR(INDEX('Player Raw Data'!C:C,Match($A477,'Player Raw Data'!$B:$B,0)),"")</f>
        <v/>
      </c>
      <c r="C477" t="str">
        <f t="array" ref="C477">IFERROR(INDEX('Player Raw Data'!D:D,Match($A477,'Player Raw Data'!$B:$B,0)),"")</f>
        <v/>
      </c>
      <c r="D477" t="str">
        <f t="array" ref="D477">IFERROR(IF(A477=A476, INDEX('Player Raw Data'!E:E,Match($A477,'Player Raw Data'!$B:$B,0)+2),INDEX('Player Raw Data'!E:E,Match($A477,'Player Raw Data'!$B:$B,0))),"")</f>
        <v/>
      </c>
      <c r="E477" s="27" t="str">
        <f>IFERROR(__xludf.DUMMYFUNCTION("IFERROR(ARRAY_CONSTRAIN(SPLIT(INDEX('Daily Raw Data'!G:G,Match($A477,'Daily Raw Data'!$B:$B,0)),"":""),1,1),"""")"),"")</f>
        <v/>
      </c>
      <c r="F477" t="str">
        <f t="array" ref="F477">IFERROR(INDEX('Daily Raw Data'!H:H,Match($A477,'Daily Raw Data'!$B:$B,0)),"")</f>
        <v/>
      </c>
      <c r="G477" t="str">
        <f t="array" ref="G477">IFERROR(INDEX('Daily Raw Data'!I:I,Match($A477,'Daily Raw Data'!$B:$B,0)),"")</f>
        <v/>
      </c>
      <c r="H477" t="str">
        <f t="array" ref="H477">IFERROR(INDEX('Daily Raw Data'!N:N,Match($A477,'Daily Raw Data'!$B:$B,0)),"")</f>
        <v/>
      </c>
      <c r="I477" t="str">
        <f t="array" ref="I477">IFERROR(INDEX('Daily Raw Data'!O:O,Match($A477,'Daily Raw Data'!$B:$B,0)),"")</f>
        <v/>
      </c>
      <c r="J477" t="str">
        <f t="array" ref="J477">IFERROR(INDEX('Daily Raw Data'!S:S,Match($A477,'Daily Raw Data'!$B:$B,0)),"")</f>
        <v/>
      </c>
      <c r="K477" t="str">
        <f t="array" ref="K477">IFERROR(INDEX('Daily Raw Data'!T:T,Match($A477,'Daily Raw Data'!$B:$B,0)),"")</f>
        <v/>
      </c>
      <c r="L477" t="str">
        <f t="array" ref="L477">IFERROR(INDEX('Daily Raw Data'!U:U,Match($A477,'Daily Raw Data'!$B:$B,0)),"")</f>
        <v/>
      </c>
      <c r="M477" t="str">
        <f t="array" ref="M477">IFERROR(INDEX('Daily Raw Data'!V:V,Match($A477,'Daily Raw Data'!$B:$B,0)),"")</f>
        <v/>
      </c>
      <c r="N477" t="str">
        <f t="array" ref="N477">IFERROR(INDEX('Daily Raw Data'!W:W,Match($A477,'Daily Raw Data'!$B:$B,0)),"")</f>
        <v/>
      </c>
      <c r="O477" t="str">
        <f t="array" ref="O477">IFERROR(INDEX('Daily Raw Data'!Y:Y,Match($A477,'Daily Raw Data'!$B:$B,0)),"")</f>
        <v/>
      </c>
      <c r="P477" t="str">
        <f t="shared" si="1"/>
        <v/>
      </c>
      <c r="Q477" s="14" t="str">
        <f t="shared" si="2"/>
        <v/>
      </c>
      <c r="R477" s="15" t="str">
        <f>IFERROR(__xludf.DUMMYFUNCTION("IF($A477="""","""", IFERROR(PERCENTRANK.INC(FILTER(P:P,$E:$E&lt;&gt;""""),P477)*100,""""))"),"")</f>
        <v/>
      </c>
      <c r="S477" s="15" t="str">
        <f>IFERROR(__xludf.DUMMYFUNCTION("IF($A477="""","""",IFERROR(PERCENTRANK.INC(FILTER(Q:Q,$E:$E&lt;&gt;""""),Q477)*100,""""))"),"")</f>
        <v/>
      </c>
    </row>
    <row r="478">
      <c r="B478" t="str">
        <f t="array" ref="B478">IFERROR(INDEX('Player Raw Data'!C:C,Match($A478,'Player Raw Data'!$B:$B,0)),"")</f>
        <v/>
      </c>
      <c r="C478" t="str">
        <f t="array" ref="C478">IFERROR(INDEX('Player Raw Data'!D:D,Match($A478,'Player Raw Data'!$B:$B,0)),"")</f>
        <v/>
      </c>
      <c r="D478" t="str">
        <f t="array" ref="D478">IFERROR(IF(A478=A477, INDEX('Player Raw Data'!E:E,Match($A478,'Player Raw Data'!$B:$B,0)+2),INDEX('Player Raw Data'!E:E,Match($A478,'Player Raw Data'!$B:$B,0))),"")</f>
        <v/>
      </c>
      <c r="E478" s="27" t="str">
        <f>IFERROR(__xludf.DUMMYFUNCTION("IFERROR(ARRAY_CONSTRAIN(SPLIT(INDEX('Daily Raw Data'!G:G,Match($A478,'Daily Raw Data'!$B:$B,0)),"":""),1,1),"""")"),"")</f>
        <v/>
      </c>
      <c r="F478" t="str">
        <f t="array" ref="F478">IFERROR(INDEX('Daily Raw Data'!H:H,Match($A478,'Daily Raw Data'!$B:$B,0)),"")</f>
        <v/>
      </c>
      <c r="G478" t="str">
        <f t="array" ref="G478">IFERROR(INDEX('Daily Raw Data'!I:I,Match($A478,'Daily Raw Data'!$B:$B,0)),"")</f>
        <v/>
      </c>
      <c r="H478" t="str">
        <f t="array" ref="H478">IFERROR(INDEX('Daily Raw Data'!N:N,Match($A478,'Daily Raw Data'!$B:$B,0)),"")</f>
        <v/>
      </c>
      <c r="I478" t="str">
        <f t="array" ref="I478">IFERROR(INDEX('Daily Raw Data'!O:O,Match($A478,'Daily Raw Data'!$B:$B,0)),"")</f>
        <v/>
      </c>
      <c r="J478" t="str">
        <f t="array" ref="J478">IFERROR(INDEX('Daily Raw Data'!S:S,Match($A478,'Daily Raw Data'!$B:$B,0)),"")</f>
        <v/>
      </c>
      <c r="K478" t="str">
        <f t="array" ref="K478">IFERROR(INDEX('Daily Raw Data'!T:T,Match($A478,'Daily Raw Data'!$B:$B,0)),"")</f>
        <v/>
      </c>
      <c r="L478" t="str">
        <f t="array" ref="L478">IFERROR(INDEX('Daily Raw Data'!U:U,Match($A478,'Daily Raw Data'!$B:$B,0)),"")</f>
        <v/>
      </c>
      <c r="M478" t="str">
        <f t="array" ref="M478">IFERROR(INDEX('Daily Raw Data'!V:V,Match($A478,'Daily Raw Data'!$B:$B,0)),"")</f>
        <v/>
      </c>
      <c r="N478" t="str">
        <f t="array" ref="N478">IFERROR(INDEX('Daily Raw Data'!W:W,Match($A478,'Daily Raw Data'!$B:$B,0)),"")</f>
        <v/>
      </c>
      <c r="O478" t="str">
        <f t="array" ref="O478">IFERROR(INDEX('Daily Raw Data'!Y:Y,Match($A478,'Daily Raw Data'!$B:$B,0)),"")</f>
        <v/>
      </c>
      <c r="P478" t="str">
        <f t="shared" si="1"/>
        <v/>
      </c>
      <c r="Q478" s="14" t="str">
        <f t="shared" si="2"/>
        <v/>
      </c>
      <c r="R478" s="15" t="str">
        <f>IFERROR(__xludf.DUMMYFUNCTION("IF($A478="""","""", IFERROR(PERCENTRANK.INC(FILTER(P:P,$E:$E&lt;&gt;""""),P478)*100,""""))"),"")</f>
        <v/>
      </c>
      <c r="S478" s="15" t="str">
        <f>IFERROR(__xludf.DUMMYFUNCTION("IF($A478="""","""",IFERROR(PERCENTRANK.INC(FILTER(Q:Q,$E:$E&lt;&gt;""""),Q478)*100,""""))"),"")</f>
        <v/>
      </c>
    </row>
    <row r="479">
      <c r="B479" t="str">
        <f t="array" ref="B479">IFERROR(INDEX('Player Raw Data'!C:C,Match($A479,'Player Raw Data'!$B:$B,0)),"")</f>
        <v/>
      </c>
      <c r="C479" t="str">
        <f t="array" ref="C479">IFERROR(INDEX('Player Raw Data'!D:D,Match($A479,'Player Raw Data'!$B:$B,0)),"")</f>
        <v/>
      </c>
      <c r="D479" t="str">
        <f t="array" ref="D479">IFERROR(IF(A479=A478, INDEX('Player Raw Data'!E:E,Match($A479,'Player Raw Data'!$B:$B,0)+2),INDEX('Player Raw Data'!E:E,Match($A479,'Player Raw Data'!$B:$B,0))),"")</f>
        <v/>
      </c>
      <c r="E479" s="27" t="str">
        <f>IFERROR(__xludf.DUMMYFUNCTION("IFERROR(ARRAY_CONSTRAIN(SPLIT(INDEX('Daily Raw Data'!G:G,Match($A479,'Daily Raw Data'!$B:$B,0)),"":""),1,1),"""")"),"")</f>
        <v/>
      </c>
      <c r="F479" t="str">
        <f t="array" ref="F479">IFERROR(INDEX('Daily Raw Data'!H:H,Match($A479,'Daily Raw Data'!$B:$B,0)),"")</f>
        <v/>
      </c>
      <c r="G479" t="str">
        <f t="array" ref="G479">IFERROR(INDEX('Daily Raw Data'!I:I,Match($A479,'Daily Raw Data'!$B:$B,0)),"")</f>
        <v/>
      </c>
      <c r="H479" t="str">
        <f t="array" ref="H479">IFERROR(INDEX('Daily Raw Data'!N:N,Match($A479,'Daily Raw Data'!$B:$B,0)),"")</f>
        <v/>
      </c>
      <c r="I479" t="str">
        <f t="array" ref="I479">IFERROR(INDEX('Daily Raw Data'!O:O,Match($A479,'Daily Raw Data'!$B:$B,0)),"")</f>
        <v/>
      </c>
      <c r="J479" t="str">
        <f t="array" ref="J479">IFERROR(INDEX('Daily Raw Data'!S:S,Match($A479,'Daily Raw Data'!$B:$B,0)),"")</f>
        <v/>
      </c>
      <c r="K479" t="str">
        <f t="array" ref="K479">IFERROR(INDEX('Daily Raw Data'!T:T,Match($A479,'Daily Raw Data'!$B:$B,0)),"")</f>
        <v/>
      </c>
      <c r="L479" t="str">
        <f t="array" ref="L479">IFERROR(INDEX('Daily Raw Data'!U:U,Match($A479,'Daily Raw Data'!$B:$B,0)),"")</f>
        <v/>
      </c>
      <c r="M479" t="str">
        <f t="array" ref="M479">IFERROR(INDEX('Daily Raw Data'!V:V,Match($A479,'Daily Raw Data'!$B:$B,0)),"")</f>
        <v/>
      </c>
      <c r="N479" t="str">
        <f t="array" ref="N479">IFERROR(INDEX('Daily Raw Data'!W:W,Match($A479,'Daily Raw Data'!$B:$B,0)),"")</f>
        <v/>
      </c>
      <c r="O479" t="str">
        <f t="array" ref="O479">IFERROR(INDEX('Daily Raw Data'!Y:Y,Match($A479,'Daily Raw Data'!$B:$B,0)),"")</f>
        <v/>
      </c>
      <c r="P479" t="str">
        <f t="shared" si="1"/>
        <v/>
      </c>
      <c r="Q479" s="14" t="str">
        <f t="shared" si="2"/>
        <v/>
      </c>
      <c r="R479" s="15" t="str">
        <f>IFERROR(__xludf.DUMMYFUNCTION("IF($A479="""","""", IFERROR(PERCENTRANK.INC(FILTER(P:P,$E:$E&lt;&gt;""""),P479)*100,""""))"),"")</f>
        <v/>
      </c>
      <c r="S479" s="15" t="str">
        <f>IFERROR(__xludf.DUMMYFUNCTION("IF($A479="""","""",IFERROR(PERCENTRANK.INC(FILTER(Q:Q,$E:$E&lt;&gt;""""),Q479)*100,""""))"),"")</f>
        <v/>
      </c>
    </row>
    <row r="480">
      <c r="B480" t="str">
        <f t="array" ref="B480">IFERROR(INDEX('Player Raw Data'!C:C,Match($A480,'Player Raw Data'!$B:$B,0)),"")</f>
        <v/>
      </c>
      <c r="C480" t="str">
        <f t="array" ref="C480">IFERROR(INDEX('Player Raw Data'!D:D,Match($A480,'Player Raw Data'!$B:$B,0)),"")</f>
        <v/>
      </c>
      <c r="D480" t="str">
        <f t="array" ref="D480">IFERROR(IF(A480=A479, INDEX('Player Raw Data'!E:E,Match($A480,'Player Raw Data'!$B:$B,0)+2),INDEX('Player Raw Data'!E:E,Match($A480,'Player Raw Data'!$B:$B,0))),"")</f>
        <v/>
      </c>
      <c r="E480" s="27" t="str">
        <f>IFERROR(__xludf.DUMMYFUNCTION("IFERROR(ARRAY_CONSTRAIN(SPLIT(INDEX('Daily Raw Data'!G:G,Match($A480,'Daily Raw Data'!$B:$B,0)),"":""),1,1),"""")"),"")</f>
        <v/>
      </c>
      <c r="F480" t="str">
        <f t="array" ref="F480">IFERROR(INDEX('Daily Raw Data'!H:H,Match($A480,'Daily Raw Data'!$B:$B,0)),"")</f>
        <v/>
      </c>
      <c r="G480" t="str">
        <f t="array" ref="G480">IFERROR(INDEX('Daily Raw Data'!I:I,Match($A480,'Daily Raw Data'!$B:$B,0)),"")</f>
        <v/>
      </c>
      <c r="H480" t="str">
        <f t="array" ref="H480">IFERROR(INDEX('Daily Raw Data'!N:N,Match($A480,'Daily Raw Data'!$B:$B,0)),"")</f>
        <v/>
      </c>
      <c r="I480" t="str">
        <f t="array" ref="I480">IFERROR(INDEX('Daily Raw Data'!O:O,Match($A480,'Daily Raw Data'!$B:$B,0)),"")</f>
        <v/>
      </c>
      <c r="J480" t="str">
        <f t="array" ref="J480">IFERROR(INDEX('Daily Raw Data'!S:S,Match($A480,'Daily Raw Data'!$B:$B,0)),"")</f>
        <v/>
      </c>
      <c r="K480" t="str">
        <f t="array" ref="K480">IFERROR(INDEX('Daily Raw Data'!T:T,Match($A480,'Daily Raw Data'!$B:$B,0)),"")</f>
        <v/>
      </c>
      <c r="L480" t="str">
        <f t="array" ref="L480">IFERROR(INDEX('Daily Raw Data'!U:U,Match($A480,'Daily Raw Data'!$B:$B,0)),"")</f>
        <v/>
      </c>
      <c r="M480" t="str">
        <f t="array" ref="M480">IFERROR(INDEX('Daily Raw Data'!V:V,Match($A480,'Daily Raw Data'!$B:$B,0)),"")</f>
        <v/>
      </c>
      <c r="N480" t="str">
        <f t="array" ref="N480">IFERROR(INDEX('Daily Raw Data'!W:W,Match($A480,'Daily Raw Data'!$B:$B,0)),"")</f>
        <v/>
      </c>
      <c r="O480" t="str">
        <f t="array" ref="O480">IFERROR(INDEX('Daily Raw Data'!Y:Y,Match($A480,'Daily Raw Data'!$B:$B,0)),"")</f>
        <v/>
      </c>
      <c r="P480" t="str">
        <f t="shared" si="1"/>
        <v/>
      </c>
      <c r="Q480" s="14" t="str">
        <f t="shared" si="2"/>
        <v/>
      </c>
      <c r="R480" s="15" t="str">
        <f>IFERROR(__xludf.DUMMYFUNCTION("IF($A480="""","""", IFERROR(PERCENTRANK.INC(FILTER(P:P,$E:$E&lt;&gt;""""),P480)*100,""""))"),"")</f>
        <v/>
      </c>
      <c r="S480" s="15" t="str">
        <f>IFERROR(__xludf.DUMMYFUNCTION("IF($A480="""","""",IFERROR(PERCENTRANK.INC(FILTER(Q:Q,$E:$E&lt;&gt;""""),Q480)*100,""""))"),"")</f>
        <v/>
      </c>
    </row>
    <row r="481">
      <c r="B481" t="str">
        <f t="array" ref="B481">IFERROR(INDEX('Player Raw Data'!C:C,Match($A481,'Player Raw Data'!$B:$B,0)),"")</f>
        <v/>
      </c>
      <c r="C481" t="str">
        <f t="array" ref="C481">IFERROR(INDEX('Player Raw Data'!D:D,Match($A481,'Player Raw Data'!$B:$B,0)),"")</f>
        <v/>
      </c>
      <c r="D481" t="str">
        <f t="array" ref="D481">IFERROR(IF(A481=A480, INDEX('Player Raw Data'!E:E,Match($A481,'Player Raw Data'!$B:$B,0)+2),INDEX('Player Raw Data'!E:E,Match($A481,'Player Raw Data'!$B:$B,0))),"")</f>
        <v/>
      </c>
      <c r="E481" s="27" t="str">
        <f>IFERROR(__xludf.DUMMYFUNCTION("IFERROR(ARRAY_CONSTRAIN(SPLIT(INDEX('Daily Raw Data'!G:G,Match($A481,'Daily Raw Data'!$B:$B,0)),"":""),1,1),"""")"),"")</f>
        <v/>
      </c>
      <c r="F481" t="str">
        <f t="array" ref="F481">IFERROR(INDEX('Daily Raw Data'!H:H,Match($A481,'Daily Raw Data'!$B:$B,0)),"")</f>
        <v/>
      </c>
      <c r="G481" t="str">
        <f t="array" ref="G481">IFERROR(INDEX('Daily Raw Data'!I:I,Match($A481,'Daily Raw Data'!$B:$B,0)),"")</f>
        <v/>
      </c>
      <c r="H481" t="str">
        <f t="array" ref="H481">IFERROR(INDEX('Daily Raw Data'!N:N,Match($A481,'Daily Raw Data'!$B:$B,0)),"")</f>
        <v/>
      </c>
      <c r="I481" t="str">
        <f t="array" ref="I481">IFERROR(INDEX('Daily Raw Data'!O:O,Match($A481,'Daily Raw Data'!$B:$B,0)),"")</f>
        <v/>
      </c>
      <c r="J481" t="str">
        <f t="array" ref="J481">IFERROR(INDEX('Daily Raw Data'!S:S,Match($A481,'Daily Raw Data'!$B:$B,0)),"")</f>
        <v/>
      </c>
      <c r="K481" t="str">
        <f t="array" ref="K481">IFERROR(INDEX('Daily Raw Data'!T:T,Match($A481,'Daily Raw Data'!$B:$B,0)),"")</f>
        <v/>
      </c>
      <c r="L481" t="str">
        <f t="array" ref="L481">IFERROR(INDEX('Daily Raw Data'!U:U,Match($A481,'Daily Raw Data'!$B:$B,0)),"")</f>
        <v/>
      </c>
      <c r="M481" t="str">
        <f t="array" ref="M481">IFERROR(INDEX('Daily Raw Data'!V:V,Match($A481,'Daily Raw Data'!$B:$B,0)),"")</f>
        <v/>
      </c>
      <c r="N481" t="str">
        <f t="array" ref="N481">IFERROR(INDEX('Daily Raw Data'!W:W,Match($A481,'Daily Raw Data'!$B:$B,0)),"")</f>
        <v/>
      </c>
      <c r="O481" t="str">
        <f t="array" ref="O481">IFERROR(INDEX('Daily Raw Data'!Y:Y,Match($A481,'Daily Raw Data'!$B:$B,0)),"")</f>
        <v/>
      </c>
      <c r="P481" t="str">
        <f t="shared" si="1"/>
        <v/>
      </c>
      <c r="Q481" s="14" t="str">
        <f t="shared" si="2"/>
        <v/>
      </c>
      <c r="R481" s="15" t="str">
        <f>IFERROR(__xludf.DUMMYFUNCTION("IF($A481="""","""", IFERROR(PERCENTRANK.INC(FILTER(P:P,$E:$E&lt;&gt;""""),P481)*100,""""))"),"")</f>
        <v/>
      </c>
      <c r="S481" s="15" t="str">
        <f>IFERROR(__xludf.DUMMYFUNCTION("IF($A481="""","""",IFERROR(PERCENTRANK.INC(FILTER(Q:Q,$E:$E&lt;&gt;""""),Q481)*100,""""))"),"")</f>
        <v/>
      </c>
    </row>
    <row r="482">
      <c r="B482" t="str">
        <f t="array" ref="B482">IFERROR(INDEX('Player Raw Data'!C:C,Match($A482,'Player Raw Data'!$B:$B,0)),"")</f>
        <v/>
      </c>
      <c r="C482" t="str">
        <f t="array" ref="C482">IFERROR(INDEX('Player Raw Data'!D:D,Match($A482,'Player Raw Data'!$B:$B,0)),"")</f>
        <v/>
      </c>
      <c r="D482" t="str">
        <f t="array" ref="D482">IFERROR(IF(A482=A481, INDEX('Player Raw Data'!E:E,Match($A482,'Player Raw Data'!$B:$B,0)+2),INDEX('Player Raw Data'!E:E,Match($A482,'Player Raw Data'!$B:$B,0))),"")</f>
        <v/>
      </c>
      <c r="E482" s="27" t="str">
        <f>IFERROR(__xludf.DUMMYFUNCTION("IFERROR(ARRAY_CONSTRAIN(SPLIT(INDEX('Daily Raw Data'!G:G,Match($A482,'Daily Raw Data'!$B:$B,0)),"":""),1,1),"""")"),"")</f>
        <v/>
      </c>
      <c r="F482" t="str">
        <f t="array" ref="F482">IFERROR(INDEX('Daily Raw Data'!H:H,Match($A482,'Daily Raw Data'!$B:$B,0)),"")</f>
        <v/>
      </c>
      <c r="G482" t="str">
        <f t="array" ref="G482">IFERROR(INDEX('Daily Raw Data'!I:I,Match($A482,'Daily Raw Data'!$B:$B,0)),"")</f>
        <v/>
      </c>
      <c r="H482" t="str">
        <f t="array" ref="H482">IFERROR(INDEX('Daily Raw Data'!N:N,Match($A482,'Daily Raw Data'!$B:$B,0)),"")</f>
        <v/>
      </c>
      <c r="I482" t="str">
        <f t="array" ref="I482">IFERROR(INDEX('Daily Raw Data'!O:O,Match($A482,'Daily Raw Data'!$B:$B,0)),"")</f>
        <v/>
      </c>
      <c r="J482" t="str">
        <f t="array" ref="J482">IFERROR(INDEX('Daily Raw Data'!S:S,Match($A482,'Daily Raw Data'!$B:$B,0)),"")</f>
        <v/>
      </c>
      <c r="K482" t="str">
        <f t="array" ref="K482">IFERROR(INDEX('Daily Raw Data'!T:T,Match($A482,'Daily Raw Data'!$B:$B,0)),"")</f>
        <v/>
      </c>
      <c r="L482" t="str">
        <f t="array" ref="L482">IFERROR(INDEX('Daily Raw Data'!U:U,Match($A482,'Daily Raw Data'!$B:$B,0)),"")</f>
        <v/>
      </c>
      <c r="M482" t="str">
        <f t="array" ref="M482">IFERROR(INDEX('Daily Raw Data'!V:V,Match($A482,'Daily Raw Data'!$B:$B,0)),"")</f>
        <v/>
      </c>
      <c r="N482" t="str">
        <f t="array" ref="N482">IFERROR(INDEX('Daily Raw Data'!W:W,Match($A482,'Daily Raw Data'!$B:$B,0)),"")</f>
        <v/>
      </c>
      <c r="O482" t="str">
        <f t="array" ref="O482">IFERROR(INDEX('Daily Raw Data'!Y:Y,Match($A482,'Daily Raw Data'!$B:$B,0)),"")</f>
        <v/>
      </c>
      <c r="P482" t="str">
        <f t="shared" si="1"/>
        <v/>
      </c>
      <c r="Q482" s="14" t="str">
        <f t="shared" si="2"/>
        <v/>
      </c>
      <c r="R482" s="15" t="str">
        <f>IFERROR(__xludf.DUMMYFUNCTION("IF($A482="""","""", IFERROR(PERCENTRANK.INC(FILTER(P:P,$E:$E&lt;&gt;""""),P482)*100,""""))"),"")</f>
        <v/>
      </c>
      <c r="S482" s="15" t="str">
        <f>IFERROR(__xludf.DUMMYFUNCTION("IF($A482="""","""",IFERROR(PERCENTRANK.INC(FILTER(Q:Q,$E:$E&lt;&gt;""""),Q482)*100,""""))"),"")</f>
        <v/>
      </c>
    </row>
    <row r="483">
      <c r="B483" t="str">
        <f t="array" ref="B483">IFERROR(INDEX('Player Raw Data'!C:C,Match($A483,'Player Raw Data'!$B:$B,0)),"")</f>
        <v/>
      </c>
      <c r="C483" t="str">
        <f t="array" ref="C483">IFERROR(INDEX('Player Raw Data'!D:D,Match($A483,'Player Raw Data'!$B:$B,0)),"")</f>
        <v/>
      </c>
      <c r="D483" t="str">
        <f t="array" ref="D483">IFERROR(IF(A483=A482, INDEX('Player Raw Data'!E:E,Match($A483,'Player Raw Data'!$B:$B,0)+2),INDEX('Player Raw Data'!E:E,Match($A483,'Player Raw Data'!$B:$B,0))),"")</f>
        <v/>
      </c>
      <c r="E483" s="27" t="str">
        <f>IFERROR(__xludf.DUMMYFUNCTION("IFERROR(ARRAY_CONSTRAIN(SPLIT(INDEX('Daily Raw Data'!G:G,Match($A483,'Daily Raw Data'!$B:$B,0)),"":""),1,1),"""")"),"")</f>
        <v/>
      </c>
      <c r="F483" t="str">
        <f t="array" ref="F483">IFERROR(INDEX('Daily Raw Data'!H:H,Match($A483,'Daily Raw Data'!$B:$B,0)),"")</f>
        <v/>
      </c>
      <c r="G483" t="str">
        <f t="array" ref="G483">IFERROR(INDEX('Daily Raw Data'!I:I,Match($A483,'Daily Raw Data'!$B:$B,0)),"")</f>
        <v/>
      </c>
      <c r="H483" t="str">
        <f t="array" ref="H483">IFERROR(INDEX('Daily Raw Data'!N:N,Match($A483,'Daily Raw Data'!$B:$B,0)),"")</f>
        <v/>
      </c>
      <c r="I483" t="str">
        <f t="array" ref="I483">IFERROR(INDEX('Daily Raw Data'!O:O,Match($A483,'Daily Raw Data'!$B:$B,0)),"")</f>
        <v/>
      </c>
      <c r="J483" t="str">
        <f t="array" ref="J483">IFERROR(INDEX('Daily Raw Data'!S:S,Match($A483,'Daily Raw Data'!$B:$B,0)),"")</f>
        <v/>
      </c>
      <c r="K483" t="str">
        <f t="array" ref="K483">IFERROR(INDEX('Daily Raw Data'!T:T,Match($A483,'Daily Raw Data'!$B:$B,0)),"")</f>
        <v/>
      </c>
      <c r="L483" t="str">
        <f t="array" ref="L483">IFERROR(INDEX('Daily Raw Data'!U:U,Match($A483,'Daily Raw Data'!$B:$B,0)),"")</f>
        <v/>
      </c>
      <c r="M483" t="str">
        <f t="array" ref="M483">IFERROR(INDEX('Daily Raw Data'!V:V,Match($A483,'Daily Raw Data'!$B:$B,0)),"")</f>
        <v/>
      </c>
      <c r="N483" t="str">
        <f t="array" ref="N483">IFERROR(INDEX('Daily Raw Data'!W:W,Match($A483,'Daily Raw Data'!$B:$B,0)),"")</f>
        <v/>
      </c>
      <c r="O483" t="str">
        <f t="array" ref="O483">IFERROR(INDEX('Daily Raw Data'!Y:Y,Match($A483,'Daily Raw Data'!$B:$B,0)),"")</f>
        <v/>
      </c>
      <c r="P483" t="str">
        <f t="shared" si="1"/>
        <v/>
      </c>
      <c r="Q483" s="14" t="str">
        <f t="shared" si="2"/>
        <v/>
      </c>
      <c r="R483" s="15" t="str">
        <f>IFERROR(__xludf.DUMMYFUNCTION("IF($A483="""","""", IFERROR(PERCENTRANK.INC(FILTER(P:P,$E:$E&lt;&gt;""""),P483)*100,""""))"),"")</f>
        <v/>
      </c>
      <c r="S483" s="15" t="str">
        <f>IFERROR(__xludf.DUMMYFUNCTION("IF($A483="""","""",IFERROR(PERCENTRANK.INC(FILTER(Q:Q,$E:$E&lt;&gt;""""),Q483)*100,""""))"),"")</f>
        <v/>
      </c>
    </row>
    <row r="484">
      <c r="B484" t="str">
        <f t="array" ref="B484">IFERROR(INDEX('Player Raw Data'!C:C,Match($A484,'Player Raw Data'!$B:$B,0)),"")</f>
        <v/>
      </c>
      <c r="C484" t="str">
        <f t="array" ref="C484">IFERROR(INDEX('Player Raw Data'!D:D,Match($A484,'Player Raw Data'!$B:$B,0)),"")</f>
        <v/>
      </c>
      <c r="D484" t="str">
        <f t="array" ref="D484">IFERROR(IF(A484=A483, INDEX('Player Raw Data'!E:E,Match($A484,'Player Raw Data'!$B:$B,0)+2),INDEX('Player Raw Data'!E:E,Match($A484,'Player Raw Data'!$B:$B,0))),"")</f>
        <v/>
      </c>
      <c r="E484" s="27" t="str">
        <f>IFERROR(__xludf.DUMMYFUNCTION("IFERROR(ARRAY_CONSTRAIN(SPLIT(INDEX('Daily Raw Data'!G:G,Match($A484,'Daily Raw Data'!$B:$B,0)),"":""),1,1),"""")"),"")</f>
        <v/>
      </c>
      <c r="F484" t="str">
        <f t="array" ref="F484">IFERROR(INDEX('Daily Raw Data'!H:H,Match($A484,'Daily Raw Data'!$B:$B,0)),"")</f>
        <v/>
      </c>
      <c r="G484" t="str">
        <f t="array" ref="G484">IFERROR(INDEX('Daily Raw Data'!I:I,Match($A484,'Daily Raw Data'!$B:$B,0)),"")</f>
        <v/>
      </c>
      <c r="H484" t="str">
        <f t="array" ref="H484">IFERROR(INDEX('Daily Raw Data'!N:N,Match($A484,'Daily Raw Data'!$B:$B,0)),"")</f>
        <v/>
      </c>
      <c r="I484" t="str">
        <f t="array" ref="I484">IFERROR(INDEX('Daily Raw Data'!O:O,Match($A484,'Daily Raw Data'!$B:$B,0)),"")</f>
        <v/>
      </c>
      <c r="J484" t="str">
        <f t="array" ref="J484">IFERROR(INDEX('Daily Raw Data'!S:S,Match($A484,'Daily Raw Data'!$B:$B,0)),"")</f>
        <v/>
      </c>
      <c r="K484" t="str">
        <f t="array" ref="K484">IFERROR(INDEX('Daily Raw Data'!T:T,Match($A484,'Daily Raw Data'!$B:$B,0)),"")</f>
        <v/>
      </c>
      <c r="L484" t="str">
        <f t="array" ref="L484">IFERROR(INDEX('Daily Raw Data'!U:U,Match($A484,'Daily Raw Data'!$B:$B,0)),"")</f>
        <v/>
      </c>
      <c r="M484" t="str">
        <f t="array" ref="M484">IFERROR(INDEX('Daily Raw Data'!V:V,Match($A484,'Daily Raw Data'!$B:$B,0)),"")</f>
        <v/>
      </c>
      <c r="N484" t="str">
        <f t="array" ref="N484">IFERROR(INDEX('Daily Raw Data'!W:W,Match($A484,'Daily Raw Data'!$B:$B,0)),"")</f>
        <v/>
      </c>
      <c r="O484" t="str">
        <f t="array" ref="O484">IFERROR(INDEX('Daily Raw Data'!Y:Y,Match($A484,'Daily Raw Data'!$B:$B,0)),"")</f>
        <v/>
      </c>
      <c r="P484" t="str">
        <f t="shared" si="1"/>
        <v/>
      </c>
      <c r="Q484" s="14" t="str">
        <f t="shared" si="2"/>
        <v/>
      </c>
      <c r="R484" s="15" t="str">
        <f>IFERROR(__xludf.DUMMYFUNCTION("IF($A484="""","""", IFERROR(PERCENTRANK.INC(FILTER(P:P,$E:$E&lt;&gt;""""),P484)*100,""""))"),"")</f>
        <v/>
      </c>
      <c r="S484" s="15" t="str">
        <f>IFERROR(__xludf.DUMMYFUNCTION("IF($A484="""","""",IFERROR(PERCENTRANK.INC(FILTER(Q:Q,$E:$E&lt;&gt;""""),Q484)*100,""""))"),"")</f>
        <v/>
      </c>
    </row>
    <row r="485">
      <c r="B485" t="str">
        <f t="array" ref="B485">IFERROR(INDEX('Player Raw Data'!C:C,Match($A485,'Player Raw Data'!$B:$B,0)),"")</f>
        <v/>
      </c>
      <c r="C485" t="str">
        <f t="array" ref="C485">IFERROR(INDEX('Player Raw Data'!D:D,Match($A485,'Player Raw Data'!$B:$B,0)),"")</f>
        <v/>
      </c>
      <c r="D485" t="str">
        <f t="array" ref="D485">IFERROR(IF(A485=A484, INDEX('Player Raw Data'!E:E,Match($A485,'Player Raw Data'!$B:$B,0)+2),INDEX('Player Raw Data'!E:E,Match($A485,'Player Raw Data'!$B:$B,0))),"")</f>
        <v/>
      </c>
      <c r="E485" s="27" t="str">
        <f>IFERROR(__xludf.DUMMYFUNCTION("IFERROR(ARRAY_CONSTRAIN(SPLIT(INDEX('Daily Raw Data'!G:G,Match($A485,'Daily Raw Data'!$B:$B,0)),"":""),1,1),"""")"),"")</f>
        <v/>
      </c>
      <c r="F485" t="str">
        <f t="array" ref="F485">IFERROR(INDEX('Daily Raw Data'!H:H,Match($A485,'Daily Raw Data'!$B:$B,0)),"")</f>
        <v/>
      </c>
      <c r="G485" t="str">
        <f t="array" ref="G485">IFERROR(INDEX('Daily Raw Data'!I:I,Match($A485,'Daily Raw Data'!$B:$B,0)),"")</f>
        <v/>
      </c>
      <c r="H485" t="str">
        <f t="array" ref="H485">IFERROR(INDEX('Daily Raw Data'!N:N,Match($A485,'Daily Raw Data'!$B:$B,0)),"")</f>
        <v/>
      </c>
      <c r="I485" t="str">
        <f t="array" ref="I485">IFERROR(INDEX('Daily Raw Data'!O:O,Match($A485,'Daily Raw Data'!$B:$B,0)),"")</f>
        <v/>
      </c>
      <c r="J485" t="str">
        <f t="array" ref="J485">IFERROR(INDEX('Daily Raw Data'!S:S,Match($A485,'Daily Raw Data'!$B:$B,0)),"")</f>
        <v/>
      </c>
      <c r="K485" t="str">
        <f t="array" ref="K485">IFERROR(INDEX('Daily Raw Data'!T:T,Match($A485,'Daily Raw Data'!$B:$B,0)),"")</f>
        <v/>
      </c>
      <c r="L485" t="str">
        <f t="array" ref="L485">IFERROR(INDEX('Daily Raw Data'!U:U,Match($A485,'Daily Raw Data'!$B:$B,0)),"")</f>
        <v/>
      </c>
      <c r="M485" t="str">
        <f t="array" ref="M485">IFERROR(INDEX('Daily Raw Data'!V:V,Match($A485,'Daily Raw Data'!$B:$B,0)),"")</f>
        <v/>
      </c>
      <c r="N485" t="str">
        <f t="array" ref="N485">IFERROR(INDEX('Daily Raw Data'!W:W,Match($A485,'Daily Raw Data'!$B:$B,0)),"")</f>
        <v/>
      </c>
      <c r="O485" t="str">
        <f t="array" ref="O485">IFERROR(INDEX('Daily Raw Data'!Y:Y,Match($A485,'Daily Raw Data'!$B:$B,0)),"")</f>
        <v/>
      </c>
      <c r="P485" t="str">
        <f t="shared" si="1"/>
        <v/>
      </c>
      <c r="Q485" s="14" t="str">
        <f t="shared" si="2"/>
        <v/>
      </c>
      <c r="R485" s="15" t="str">
        <f>IFERROR(__xludf.DUMMYFUNCTION("IF($A485="""","""", IFERROR(PERCENTRANK.INC(FILTER(P:P,$E:$E&lt;&gt;""""),P485)*100,""""))"),"")</f>
        <v/>
      </c>
      <c r="S485" s="15" t="str">
        <f>IFERROR(__xludf.DUMMYFUNCTION("IF($A485="""","""",IFERROR(PERCENTRANK.INC(FILTER(Q:Q,$E:$E&lt;&gt;""""),Q485)*100,""""))"),"")</f>
        <v/>
      </c>
    </row>
    <row r="486">
      <c r="B486" t="str">
        <f t="array" ref="B486">IFERROR(INDEX('Player Raw Data'!C:C,Match($A486,'Player Raw Data'!$B:$B,0)),"")</f>
        <v/>
      </c>
      <c r="C486" t="str">
        <f t="array" ref="C486">IFERROR(INDEX('Player Raw Data'!D:D,Match($A486,'Player Raw Data'!$B:$B,0)),"")</f>
        <v/>
      </c>
      <c r="D486" t="str">
        <f t="array" ref="D486">IFERROR(IF(A486=A485, INDEX('Player Raw Data'!E:E,Match($A486,'Player Raw Data'!$B:$B,0)+2),INDEX('Player Raw Data'!E:E,Match($A486,'Player Raw Data'!$B:$B,0))),"")</f>
        <v/>
      </c>
      <c r="E486" s="27" t="str">
        <f>IFERROR(__xludf.DUMMYFUNCTION("IFERROR(ARRAY_CONSTRAIN(SPLIT(INDEX('Daily Raw Data'!G:G,Match($A486,'Daily Raw Data'!$B:$B,0)),"":""),1,1),"""")"),"")</f>
        <v/>
      </c>
      <c r="F486" t="str">
        <f t="array" ref="F486">IFERROR(INDEX('Daily Raw Data'!H:H,Match($A486,'Daily Raw Data'!$B:$B,0)),"")</f>
        <v/>
      </c>
      <c r="G486" t="str">
        <f t="array" ref="G486">IFERROR(INDEX('Daily Raw Data'!I:I,Match($A486,'Daily Raw Data'!$B:$B,0)),"")</f>
        <v/>
      </c>
      <c r="H486" t="str">
        <f t="array" ref="H486">IFERROR(INDEX('Daily Raw Data'!N:N,Match($A486,'Daily Raw Data'!$B:$B,0)),"")</f>
        <v/>
      </c>
      <c r="I486" t="str">
        <f t="array" ref="I486">IFERROR(INDEX('Daily Raw Data'!O:O,Match($A486,'Daily Raw Data'!$B:$B,0)),"")</f>
        <v/>
      </c>
      <c r="J486" t="str">
        <f t="array" ref="J486">IFERROR(INDEX('Daily Raw Data'!S:S,Match($A486,'Daily Raw Data'!$B:$B,0)),"")</f>
        <v/>
      </c>
      <c r="K486" t="str">
        <f t="array" ref="K486">IFERROR(INDEX('Daily Raw Data'!T:T,Match($A486,'Daily Raw Data'!$B:$B,0)),"")</f>
        <v/>
      </c>
      <c r="L486" t="str">
        <f t="array" ref="L486">IFERROR(INDEX('Daily Raw Data'!U:U,Match($A486,'Daily Raw Data'!$B:$B,0)),"")</f>
        <v/>
      </c>
      <c r="M486" t="str">
        <f t="array" ref="M486">IFERROR(INDEX('Daily Raw Data'!V:V,Match($A486,'Daily Raw Data'!$B:$B,0)),"")</f>
        <v/>
      </c>
      <c r="N486" t="str">
        <f t="array" ref="N486">IFERROR(INDEX('Daily Raw Data'!W:W,Match($A486,'Daily Raw Data'!$B:$B,0)),"")</f>
        <v/>
      </c>
      <c r="O486" t="str">
        <f t="array" ref="O486">IFERROR(INDEX('Daily Raw Data'!Y:Y,Match($A486,'Daily Raw Data'!$B:$B,0)),"")</f>
        <v/>
      </c>
      <c r="P486" t="str">
        <f t="shared" si="1"/>
        <v/>
      </c>
      <c r="Q486" s="14" t="str">
        <f t="shared" si="2"/>
        <v/>
      </c>
      <c r="R486" s="15" t="str">
        <f>IFERROR(__xludf.DUMMYFUNCTION("IF($A486="""","""", IFERROR(PERCENTRANK.INC(FILTER(P:P,$E:$E&lt;&gt;""""),P486)*100,""""))"),"")</f>
        <v/>
      </c>
      <c r="S486" s="15" t="str">
        <f>IFERROR(__xludf.DUMMYFUNCTION("IF($A486="""","""",IFERROR(PERCENTRANK.INC(FILTER(Q:Q,$E:$E&lt;&gt;""""),Q486)*100,""""))"),"")</f>
        <v/>
      </c>
    </row>
    <row r="487">
      <c r="B487" t="str">
        <f t="array" ref="B487">IFERROR(INDEX('Player Raw Data'!C:C,Match($A487,'Player Raw Data'!$B:$B,0)),"")</f>
        <v/>
      </c>
      <c r="C487" t="str">
        <f t="array" ref="C487">IFERROR(INDEX('Player Raw Data'!D:D,Match($A487,'Player Raw Data'!$B:$B,0)),"")</f>
        <v/>
      </c>
      <c r="D487" t="str">
        <f t="array" ref="D487">IFERROR(IF(A487=A486, INDEX('Player Raw Data'!E:E,Match($A487,'Player Raw Data'!$B:$B,0)+2),INDEX('Player Raw Data'!E:E,Match($A487,'Player Raw Data'!$B:$B,0))),"")</f>
        <v/>
      </c>
      <c r="E487" s="27" t="str">
        <f>IFERROR(__xludf.DUMMYFUNCTION("IFERROR(ARRAY_CONSTRAIN(SPLIT(INDEX('Daily Raw Data'!G:G,Match($A487,'Daily Raw Data'!$B:$B,0)),"":""),1,1),"""")"),"")</f>
        <v/>
      </c>
      <c r="F487" t="str">
        <f t="array" ref="F487">IFERROR(INDEX('Daily Raw Data'!H:H,Match($A487,'Daily Raw Data'!$B:$B,0)),"")</f>
        <v/>
      </c>
      <c r="G487" t="str">
        <f t="array" ref="G487">IFERROR(INDEX('Daily Raw Data'!I:I,Match($A487,'Daily Raw Data'!$B:$B,0)),"")</f>
        <v/>
      </c>
      <c r="H487" t="str">
        <f t="array" ref="H487">IFERROR(INDEX('Daily Raw Data'!N:N,Match($A487,'Daily Raw Data'!$B:$B,0)),"")</f>
        <v/>
      </c>
      <c r="I487" t="str">
        <f t="array" ref="I487">IFERROR(INDEX('Daily Raw Data'!O:O,Match($A487,'Daily Raw Data'!$B:$B,0)),"")</f>
        <v/>
      </c>
      <c r="J487" t="str">
        <f t="array" ref="J487">IFERROR(INDEX('Daily Raw Data'!S:S,Match($A487,'Daily Raw Data'!$B:$B,0)),"")</f>
        <v/>
      </c>
      <c r="K487" t="str">
        <f t="array" ref="K487">IFERROR(INDEX('Daily Raw Data'!T:T,Match($A487,'Daily Raw Data'!$B:$B,0)),"")</f>
        <v/>
      </c>
      <c r="L487" t="str">
        <f t="array" ref="L487">IFERROR(INDEX('Daily Raw Data'!U:U,Match($A487,'Daily Raw Data'!$B:$B,0)),"")</f>
        <v/>
      </c>
      <c r="M487" t="str">
        <f t="array" ref="M487">IFERROR(INDEX('Daily Raw Data'!V:V,Match($A487,'Daily Raw Data'!$B:$B,0)),"")</f>
        <v/>
      </c>
      <c r="N487" t="str">
        <f t="array" ref="N487">IFERROR(INDEX('Daily Raw Data'!W:W,Match($A487,'Daily Raw Data'!$B:$B,0)),"")</f>
        <v/>
      </c>
      <c r="O487" t="str">
        <f t="array" ref="O487">IFERROR(INDEX('Daily Raw Data'!Y:Y,Match($A487,'Daily Raw Data'!$B:$B,0)),"")</f>
        <v/>
      </c>
      <c r="P487" t="str">
        <f t="shared" si="1"/>
        <v/>
      </c>
      <c r="Q487" s="14" t="str">
        <f t="shared" si="2"/>
        <v/>
      </c>
      <c r="R487" s="15" t="str">
        <f>IFERROR(__xludf.DUMMYFUNCTION("IF($A487="""","""", IFERROR(PERCENTRANK.INC(FILTER(P:P,$E:$E&lt;&gt;""""),P487)*100,""""))"),"")</f>
        <v/>
      </c>
      <c r="S487" s="15" t="str">
        <f>IFERROR(__xludf.DUMMYFUNCTION("IF($A487="""","""",IFERROR(PERCENTRANK.INC(FILTER(Q:Q,$E:$E&lt;&gt;""""),Q487)*100,""""))"),"")</f>
        <v/>
      </c>
    </row>
    <row r="488">
      <c r="B488" t="str">
        <f t="array" ref="B488">IFERROR(INDEX('Player Raw Data'!C:C,Match($A488,'Player Raw Data'!$B:$B,0)),"")</f>
        <v/>
      </c>
      <c r="C488" t="str">
        <f t="array" ref="C488">IFERROR(INDEX('Player Raw Data'!D:D,Match($A488,'Player Raw Data'!$B:$B,0)),"")</f>
        <v/>
      </c>
      <c r="D488" t="str">
        <f t="array" ref="D488">IFERROR(IF(A488=A487, INDEX('Player Raw Data'!E:E,Match($A488,'Player Raw Data'!$B:$B,0)+2),INDEX('Player Raw Data'!E:E,Match($A488,'Player Raw Data'!$B:$B,0))),"")</f>
        <v/>
      </c>
      <c r="E488" s="27" t="str">
        <f>IFERROR(__xludf.DUMMYFUNCTION("IFERROR(ARRAY_CONSTRAIN(SPLIT(INDEX('Daily Raw Data'!G:G,Match($A488,'Daily Raw Data'!$B:$B,0)),"":""),1,1),"""")"),"")</f>
        <v/>
      </c>
      <c r="F488" t="str">
        <f t="array" ref="F488">IFERROR(INDEX('Daily Raw Data'!H:H,Match($A488,'Daily Raw Data'!$B:$B,0)),"")</f>
        <v/>
      </c>
      <c r="G488" t="str">
        <f t="array" ref="G488">IFERROR(INDEX('Daily Raw Data'!I:I,Match($A488,'Daily Raw Data'!$B:$B,0)),"")</f>
        <v/>
      </c>
      <c r="H488" t="str">
        <f t="array" ref="H488">IFERROR(INDEX('Daily Raw Data'!N:N,Match($A488,'Daily Raw Data'!$B:$B,0)),"")</f>
        <v/>
      </c>
      <c r="I488" t="str">
        <f t="array" ref="I488">IFERROR(INDEX('Daily Raw Data'!O:O,Match($A488,'Daily Raw Data'!$B:$B,0)),"")</f>
        <v/>
      </c>
      <c r="J488" t="str">
        <f t="array" ref="J488">IFERROR(INDEX('Daily Raw Data'!S:S,Match($A488,'Daily Raw Data'!$B:$B,0)),"")</f>
        <v/>
      </c>
      <c r="K488" t="str">
        <f t="array" ref="K488">IFERROR(INDEX('Daily Raw Data'!T:T,Match($A488,'Daily Raw Data'!$B:$B,0)),"")</f>
        <v/>
      </c>
      <c r="L488" t="str">
        <f t="array" ref="L488">IFERROR(INDEX('Daily Raw Data'!U:U,Match($A488,'Daily Raw Data'!$B:$B,0)),"")</f>
        <v/>
      </c>
      <c r="M488" t="str">
        <f t="array" ref="M488">IFERROR(INDEX('Daily Raw Data'!V:V,Match($A488,'Daily Raw Data'!$B:$B,0)),"")</f>
        <v/>
      </c>
      <c r="N488" t="str">
        <f t="array" ref="N488">IFERROR(INDEX('Daily Raw Data'!W:W,Match($A488,'Daily Raw Data'!$B:$B,0)),"")</f>
        <v/>
      </c>
      <c r="O488" t="str">
        <f t="array" ref="O488">IFERROR(INDEX('Daily Raw Data'!Y:Y,Match($A488,'Daily Raw Data'!$B:$B,0)),"")</f>
        <v/>
      </c>
      <c r="P488" t="str">
        <f t="shared" si="1"/>
        <v/>
      </c>
      <c r="Q488" s="14" t="str">
        <f t="shared" si="2"/>
        <v/>
      </c>
      <c r="R488" s="15" t="str">
        <f>IFERROR(__xludf.DUMMYFUNCTION("IF($A488="""","""", IFERROR(PERCENTRANK.INC(FILTER(P:P,$E:$E&lt;&gt;""""),P488)*100,""""))"),"")</f>
        <v/>
      </c>
      <c r="S488" s="15" t="str">
        <f>IFERROR(__xludf.DUMMYFUNCTION("IF($A488="""","""",IFERROR(PERCENTRANK.INC(FILTER(Q:Q,$E:$E&lt;&gt;""""),Q488)*100,""""))"),"")</f>
        <v/>
      </c>
    </row>
    <row r="489">
      <c r="B489" t="str">
        <f t="array" ref="B489">IFERROR(INDEX('Player Raw Data'!C:C,Match($A489,'Player Raw Data'!$B:$B,0)),"")</f>
        <v/>
      </c>
      <c r="C489" t="str">
        <f t="array" ref="C489">IFERROR(INDEX('Player Raw Data'!D:D,Match($A489,'Player Raw Data'!$B:$B,0)),"")</f>
        <v/>
      </c>
      <c r="D489" t="str">
        <f t="array" ref="D489">IFERROR(IF(A489=A488, INDEX('Player Raw Data'!E:E,Match($A489,'Player Raw Data'!$B:$B,0)+2),INDEX('Player Raw Data'!E:E,Match($A489,'Player Raw Data'!$B:$B,0))),"")</f>
        <v/>
      </c>
      <c r="E489" s="27" t="str">
        <f>IFERROR(__xludf.DUMMYFUNCTION("IFERROR(ARRAY_CONSTRAIN(SPLIT(INDEX('Daily Raw Data'!G:G,Match($A489,'Daily Raw Data'!$B:$B,0)),"":""),1,1),"""")"),"")</f>
        <v/>
      </c>
      <c r="F489" t="str">
        <f t="array" ref="F489">IFERROR(INDEX('Daily Raw Data'!H:H,Match($A489,'Daily Raw Data'!$B:$B,0)),"")</f>
        <v/>
      </c>
      <c r="G489" t="str">
        <f t="array" ref="G489">IFERROR(INDEX('Daily Raw Data'!I:I,Match($A489,'Daily Raw Data'!$B:$B,0)),"")</f>
        <v/>
      </c>
      <c r="H489" t="str">
        <f t="array" ref="H489">IFERROR(INDEX('Daily Raw Data'!N:N,Match($A489,'Daily Raw Data'!$B:$B,0)),"")</f>
        <v/>
      </c>
      <c r="I489" t="str">
        <f t="array" ref="I489">IFERROR(INDEX('Daily Raw Data'!O:O,Match($A489,'Daily Raw Data'!$B:$B,0)),"")</f>
        <v/>
      </c>
      <c r="J489" t="str">
        <f t="array" ref="J489">IFERROR(INDEX('Daily Raw Data'!S:S,Match($A489,'Daily Raw Data'!$B:$B,0)),"")</f>
        <v/>
      </c>
      <c r="K489" t="str">
        <f t="array" ref="K489">IFERROR(INDEX('Daily Raw Data'!T:T,Match($A489,'Daily Raw Data'!$B:$B,0)),"")</f>
        <v/>
      </c>
      <c r="L489" t="str">
        <f t="array" ref="L489">IFERROR(INDEX('Daily Raw Data'!U:U,Match($A489,'Daily Raw Data'!$B:$B,0)),"")</f>
        <v/>
      </c>
      <c r="M489" t="str">
        <f t="array" ref="M489">IFERROR(INDEX('Daily Raw Data'!V:V,Match($A489,'Daily Raw Data'!$B:$B,0)),"")</f>
        <v/>
      </c>
      <c r="N489" t="str">
        <f t="array" ref="N489">IFERROR(INDEX('Daily Raw Data'!W:W,Match($A489,'Daily Raw Data'!$B:$B,0)),"")</f>
        <v/>
      </c>
      <c r="O489" t="str">
        <f t="array" ref="O489">IFERROR(INDEX('Daily Raw Data'!Y:Y,Match($A489,'Daily Raw Data'!$B:$B,0)),"")</f>
        <v/>
      </c>
      <c r="P489" t="str">
        <f t="shared" si="1"/>
        <v/>
      </c>
      <c r="Q489" s="14" t="str">
        <f t="shared" si="2"/>
        <v/>
      </c>
      <c r="R489" s="15" t="str">
        <f>IFERROR(__xludf.DUMMYFUNCTION("IF($A489="""","""", IFERROR(PERCENTRANK.INC(FILTER(P:P,$E:$E&lt;&gt;""""),P489)*100,""""))"),"")</f>
        <v/>
      </c>
      <c r="S489" s="15" t="str">
        <f>IFERROR(__xludf.DUMMYFUNCTION("IF($A489="""","""",IFERROR(PERCENTRANK.INC(FILTER(Q:Q,$E:$E&lt;&gt;""""),Q489)*100,""""))"),"")</f>
        <v/>
      </c>
    </row>
    <row r="490">
      <c r="B490" t="str">
        <f t="array" ref="B490">IFERROR(INDEX('Player Raw Data'!C:C,Match($A490,'Player Raw Data'!$B:$B,0)),"")</f>
        <v/>
      </c>
      <c r="C490" t="str">
        <f t="array" ref="C490">IFERROR(INDEX('Player Raw Data'!D:D,Match($A490,'Player Raw Data'!$B:$B,0)),"")</f>
        <v/>
      </c>
      <c r="D490" t="str">
        <f t="array" ref="D490">IFERROR(IF(A490=A489, INDEX('Player Raw Data'!E:E,Match($A490,'Player Raw Data'!$B:$B,0)+2),INDEX('Player Raw Data'!E:E,Match($A490,'Player Raw Data'!$B:$B,0))),"")</f>
        <v/>
      </c>
      <c r="E490" s="27" t="str">
        <f>IFERROR(__xludf.DUMMYFUNCTION("IFERROR(ARRAY_CONSTRAIN(SPLIT(INDEX('Daily Raw Data'!G:G,Match($A490,'Daily Raw Data'!$B:$B,0)),"":""),1,1),"""")"),"")</f>
        <v/>
      </c>
      <c r="F490" t="str">
        <f t="array" ref="F490">IFERROR(INDEX('Daily Raw Data'!H:H,Match($A490,'Daily Raw Data'!$B:$B,0)),"")</f>
        <v/>
      </c>
      <c r="G490" t="str">
        <f t="array" ref="G490">IFERROR(INDEX('Daily Raw Data'!I:I,Match($A490,'Daily Raw Data'!$B:$B,0)),"")</f>
        <v/>
      </c>
      <c r="H490" t="str">
        <f t="array" ref="H490">IFERROR(INDEX('Daily Raw Data'!N:N,Match($A490,'Daily Raw Data'!$B:$B,0)),"")</f>
        <v/>
      </c>
      <c r="I490" t="str">
        <f t="array" ref="I490">IFERROR(INDEX('Daily Raw Data'!O:O,Match($A490,'Daily Raw Data'!$B:$B,0)),"")</f>
        <v/>
      </c>
      <c r="J490" t="str">
        <f t="array" ref="J490">IFERROR(INDEX('Daily Raw Data'!S:S,Match($A490,'Daily Raw Data'!$B:$B,0)),"")</f>
        <v/>
      </c>
      <c r="K490" t="str">
        <f t="array" ref="K490">IFERROR(INDEX('Daily Raw Data'!T:T,Match($A490,'Daily Raw Data'!$B:$B,0)),"")</f>
        <v/>
      </c>
      <c r="L490" t="str">
        <f t="array" ref="L490">IFERROR(INDEX('Daily Raw Data'!U:U,Match($A490,'Daily Raw Data'!$B:$B,0)),"")</f>
        <v/>
      </c>
      <c r="M490" t="str">
        <f t="array" ref="M490">IFERROR(INDEX('Daily Raw Data'!V:V,Match($A490,'Daily Raw Data'!$B:$B,0)),"")</f>
        <v/>
      </c>
      <c r="N490" t="str">
        <f t="array" ref="N490">IFERROR(INDEX('Daily Raw Data'!W:W,Match($A490,'Daily Raw Data'!$B:$B,0)),"")</f>
        <v/>
      </c>
      <c r="O490" t="str">
        <f t="array" ref="O490">IFERROR(INDEX('Daily Raw Data'!Y:Y,Match($A490,'Daily Raw Data'!$B:$B,0)),"")</f>
        <v/>
      </c>
      <c r="P490" t="str">
        <f t="shared" si="1"/>
        <v/>
      </c>
      <c r="Q490" s="14" t="str">
        <f t="shared" si="2"/>
        <v/>
      </c>
      <c r="R490" s="15" t="str">
        <f>IFERROR(__xludf.DUMMYFUNCTION("IF($A490="""","""", IFERROR(PERCENTRANK.INC(FILTER(P:P,$E:$E&lt;&gt;""""),P490)*100,""""))"),"")</f>
        <v/>
      </c>
      <c r="S490" s="15" t="str">
        <f>IFERROR(__xludf.DUMMYFUNCTION("IF($A490="""","""",IFERROR(PERCENTRANK.INC(FILTER(Q:Q,$E:$E&lt;&gt;""""),Q490)*100,""""))"),"")</f>
        <v/>
      </c>
    </row>
    <row r="491">
      <c r="B491" t="str">
        <f t="array" ref="B491">IFERROR(INDEX('Player Raw Data'!C:C,Match($A491,'Player Raw Data'!$B:$B,0)),"")</f>
        <v/>
      </c>
      <c r="C491" t="str">
        <f t="array" ref="C491">IFERROR(INDEX('Player Raw Data'!D:D,Match($A491,'Player Raw Data'!$B:$B,0)),"")</f>
        <v/>
      </c>
      <c r="D491" t="str">
        <f t="array" ref="D491">IFERROR(IF(A491=A490, INDEX('Player Raw Data'!E:E,Match($A491,'Player Raw Data'!$B:$B,0)+2),INDEX('Player Raw Data'!E:E,Match($A491,'Player Raw Data'!$B:$B,0))),"")</f>
        <v/>
      </c>
      <c r="E491" s="27" t="str">
        <f>IFERROR(__xludf.DUMMYFUNCTION("IFERROR(ARRAY_CONSTRAIN(SPLIT(INDEX('Daily Raw Data'!G:G,Match($A491,'Daily Raw Data'!$B:$B,0)),"":""),1,1),"""")"),"")</f>
        <v/>
      </c>
      <c r="F491" t="str">
        <f t="array" ref="F491">IFERROR(INDEX('Daily Raw Data'!H:H,Match($A491,'Daily Raw Data'!$B:$B,0)),"")</f>
        <v/>
      </c>
      <c r="G491" t="str">
        <f t="array" ref="G491">IFERROR(INDEX('Daily Raw Data'!I:I,Match($A491,'Daily Raw Data'!$B:$B,0)),"")</f>
        <v/>
      </c>
      <c r="H491" t="str">
        <f t="array" ref="H491">IFERROR(INDEX('Daily Raw Data'!N:N,Match($A491,'Daily Raw Data'!$B:$B,0)),"")</f>
        <v/>
      </c>
      <c r="I491" t="str">
        <f t="array" ref="I491">IFERROR(INDEX('Daily Raw Data'!O:O,Match($A491,'Daily Raw Data'!$B:$B,0)),"")</f>
        <v/>
      </c>
      <c r="J491" t="str">
        <f t="array" ref="J491">IFERROR(INDEX('Daily Raw Data'!S:S,Match($A491,'Daily Raw Data'!$B:$B,0)),"")</f>
        <v/>
      </c>
      <c r="K491" t="str">
        <f t="array" ref="K491">IFERROR(INDEX('Daily Raw Data'!T:T,Match($A491,'Daily Raw Data'!$B:$B,0)),"")</f>
        <v/>
      </c>
      <c r="L491" t="str">
        <f t="array" ref="L491">IFERROR(INDEX('Daily Raw Data'!U:U,Match($A491,'Daily Raw Data'!$B:$B,0)),"")</f>
        <v/>
      </c>
      <c r="M491" t="str">
        <f t="array" ref="M491">IFERROR(INDEX('Daily Raw Data'!V:V,Match($A491,'Daily Raw Data'!$B:$B,0)),"")</f>
        <v/>
      </c>
      <c r="N491" t="str">
        <f t="array" ref="N491">IFERROR(INDEX('Daily Raw Data'!W:W,Match($A491,'Daily Raw Data'!$B:$B,0)),"")</f>
        <v/>
      </c>
      <c r="O491" t="str">
        <f t="array" ref="O491">IFERROR(INDEX('Daily Raw Data'!Y:Y,Match($A491,'Daily Raw Data'!$B:$B,0)),"")</f>
        <v/>
      </c>
      <c r="P491" t="str">
        <f t="shared" si="1"/>
        <v/>
      </c>
      <c r="Q491" s="14" t="str">
        <f t="shared" si="2"/>
        <v/>
      </c>
      <c r="R491" s="15" t="str">
        <f>IFERROR(__xludf.DUMMYFUNCTION("IF($A491="""","""", IFERROR(PERCENTRANK.INC(FILTER(P:P,$E:$E&lt;&gt;""""),P491)*100,""""))"),"")</f>
        <v/>
      </c>
      <c r="S491" s="15" t="str">
        <f>IFERROR(__xludf.DUMMYFUNCTION("IF($A491="""","""",IFERROR(PERCENTRANK.INC(FILTER(Q:Q,$E:$E&lt;&gt;""""),Q491)*100,""""))"),"")</f>
        <v/>
      </c>
    </row>
    <row r="492">
      <c r="B492" t="str">
        <f t="array" ref="B492">IFERROR(INDEX('Player Raw Data'!C:C,Match($A492,'Player Raw Data'!$B:$B,0)),"")</f>
        <v/>
      </c>
      <c r="C492" t="str">
        <f t="array" ref="C492">IFERROR(INDEX('Player Raw Data'!D:D,Match($A492,'Player Raw Data'!$B:$B,0)),"")</f>
        <v/>
      </c>
      <c r="D492" t="str">
        <f t="array" ref="D492">IFERROR(IF(A492=A491, INDEX('Player Raw Data'!E:E,Match($A492,'Player Raw Data'!$B:$B,0)+2),INDEX('Player Raw Data'!E:E,Match($A492,'Player Raw Data'!$B:$B,0))),"")</f>
        <v/>
      </c>
      <c r="E492" s="27" t="str">
        <f>IFERROR(__xludf.DUMMYFUNCTION("IFERROR(ARRAY_CONSTRAIN(SPLIT(INDEX('Daily Raw Data'!G:G,Match($A492,'Daily Raw Data'!$B:$B,0)),"":""),1,1),"""")"),"")</f>
        <v/>
      </c>
      <c r="F492" t="str">
        <f t="array" ref="F492">IFERROR(INDEX('Daily Raw Data'!H:H,Match($A492,'Daily Raw Data'!$B:$B,0)),"")</f>
        <v/>
      </c>
      <c r="G492" t="str">
        <f t="array" ref="G492">IFERROR(INDEX('Daily Raw Data'!I:I,Match($A492,'Daily Raw Data'!$B:$B,0)),"")</f>
        <v/>
      </c>
      <c r="H492" t="str">
        <f t="array" ref="H492">IFERROR(INDEX('Daily Raw Data'!N:N,Match($A492,'Daily Raw Data'!$B:$B,0)),"")</f>
        <v/>
      </c>
      <c r="I492" t="str">
        <f t="array" ref="I492">IFERROR(INDEX('Daily Raw Data'!O:O,Match($A492,'Daily Raw Data'!$B:$B,0)),"")</f>
        <v/>
      </c>
      <c r="J492" t="str">
        <f t="array" ref="J492">IFERROR(INDEX('Daily Raw Data'!S:S,Match($A492,'Daily Raw Data'!$B:$B,0)),"")</f>
        <v/>
      </c>
      <c r="K492" t="str">
        <f t="array" ref="K492">IFERROR(INDEX('Daily Raw Data'!T:T,Match($A492,'Daily Raw Data'!$B:$B,0)),"")</f>
        <v/>
      </c>
      <c r="L492" t="str">
        <f t="array" ref="L492">IFERROR(INDEX('Daily Raw Data'!U:U,Match($A492,'Daily Raw Data'!$B:$B,0)),"")</f>
        <v/>
      </c>
      <c r="M492" t="str">
        <f t="array" ref="M492">IFERROR(INDEX('Daily Raw Data'!V:V,Match($A492,'Daily Raw Data'!$B:$B,0)),"")</f>
        <v/>
      </c>
      <c r="N492" t="str">
        <f t="array" ref="N492">IFERROR(INDEX('Daily Raw Data'!W:W,Match($A492,'Daily Raw Data'!$B:$B,0)),"")</f>
        <v/>
      </c>
      <c r="O492" t="str">
        <f t="array" ref="O492">IFERROR(INDEX('Daily Raw Data'!Y:Y,Match($A492,'Daily Raw Data'!$B:$B,0)),"")</f>
        <v/>
      </c>
      <c r="P492" t="str">
        <f t="shared" si="1"/>
        <v/>
      </c>
      <c r="Q492" s="14" t="str">
        <f t="shared" si="2"/>
        <v/>
      </c>
      <c r="R492" s="15" t="str">
        <f>IFERROR(__xludf.DUMMYFUNCTION("IF($A492="""","""", IFERROR(PERCENTRANK.INC(FILTER(P:P,$E:$E&lt;&gt;""""),P492)*100,""""))"),"")</f>
        <v/>
      </c>
      <c r="S492" s="15" t="str">
        <f>IFERROR(__xludf.DUMMYFUNCTION("IF($A492="""","""",IFERROR(PERCENTRANK.INC(FILTER(Q:Q,$E:$E&lt;&gt;""""),Q492)*100,""""))"),"")</f>
        <v/>
      </c>
    </row>
    <row r="493">
      <c r="B493" t="str">
        <f t="array" ref="B493">IFERROR(INDEX('Player Raw Data'!C:C,Match($A493,'Player Raw Data'!$B:$B,0)),"")</f>
        <v/>
      </c>
      <c r="C493" t="str">
        <f t="array" ref="C493">IFERROR(INDEX('Player Raw Data'!D:D,Match($A493,'Player Raw Data'!$B:$B,0)),"")</f>
        <v/>
      </c>
      <c r="D493" t="str">
        <f t="array" ref="D493">IFERROR(IF(A493=A492, INDEX('Player Raw Data'!E:E,Match($A493,'Player Raw Data'!$B:$B,0)+2),INDEX('Player Raw Data'!E:E,Match($A493,'Player Raw Data'!$B:$B,0))),"")</f>
        <v/>
      </c>
      <c r="E493" s="27" t="str">
        <f>IFERROR(__xludf.DUMMYFUNCTION("IFERROR(ARRAY_CONSTRAIN(SPLIT(INDEX('Daily Raw Data'!G:G,Match($A493,'Daily Raw Data'!$B:$B,0)),"":""),1,1),"""")"),"")</f>
        <v/>
      </c>
      <c r="F493" t="str">
        <f t="array" ref="F493">IFERROR(INDEX('Daily Raw Data'!H:H,Match($A493,'Daily Raw Data'!$B:$B,0)),"")</f>
        <v/>
      </c>
      <c r="G493" t="str">
        <f t="array" ref="G493">IFERROR(INDEX('Daily Raw Data'!I:I,Match($A493,'Daily Raw Data'!$B:$B,0)),"")</f>
        <v/>
      </c>
      <c r="H493" t="str">
        <f t="array" ref="H493">IFERROR(INDEX('Daily Raw Data'!N:N,Match($A493,'Daily Raw Data'!$B:$B,0)),"")</f>
        <v/>
      </c>
      <c r="I493" t="str">
        <f t="array" ref="I493">IFERROR(INDEX('Daily Raw Data'!O:O,Match($A493,'Daily Raw Data'!$B:$B,0)),"")</f>
        <v/>
      </c>
      <c r="J493" t="str">
        <f t="array" ref="J493">IFERROR(INDEX('Daily Raw Data'!S:S,Match($A493,'Daily Raw Data'!$B:$B,0)),"")</f>
        <v/>
      </c>
      <c r="K493" t="str">
        <f t="array" ref="K493">IFERROR(INDEX('Daily Raw Data'!T:T,Match($A493,'Daily Raw Data'!$B:$B,0)),"")</f>
        <v/>
      </c>
      <c r="L493" t="str">
        <f t="array" ref="L493">IFERROR(INDEX('Daily Raw Data'!U:U,Match($A493,'Daily Raw Data'!$B:$B,0)),"")</f>
        <v/>
      </c>
      <c r="M493" t="str">
        <f t="array" ref="M493">IFERROR(INDEX('Daily Raw Data'!V:V,Match($A493,'Daily Raw Data'!$B:$B,0)),"")</f>
        <v/>
      </c>
      <c r="N493" t="str">
        <f t="array" ref="N493">IFERROR(INDEX('Daily Raw Data'!W:W,Match($A493,'Daily Raw Data'!$B:$B,0)),"")</f>
        <v/>
      </c>
      <c r="O493" t="str">
        <f t="array" ref="O493">IFERROR(INDEX('Daily Raw Data'!Y:Y,Match($A493,'Daily Raw Data'!$B:$B,0)),"")</f>
        <v/>
      </c>
      <c r="P493" t="str">
        <f t="shared" si="1"/>
        <v/>
      </c>
      <c r="Q493" s="14" t="str">
        <f t="shared" si="2"/>
        <v/>
      </c>
      <c r="R493" s="15" t="str">
        <f>IFERROR(__xludf.DUMMYFUNCTION("IF($A493="""","""", IFERROR(PERCENTRANK.INC(FILTER(P:P,$E:$E&lt;&gt;""""),P493)*100,""""))"),"")</f>
        <v/>
      </c>
      <c r="S493" s="15" t="str">
        <f>IFERROR(__xludf.DUMMYFUNCTION("IF($A493="""","""",IFERROR(PERCENTRANK.INC(FILTER(Q:Q,$E:$E&lt;&gt;""""),Q493)*100,""""))"),"")</f>
        <v/>
      </c>
    </row>
    <row r="494">
      <c r="B494" t="str">
        <f t="array" ref="B494">IFERROR(INDEX('Player Raw Data'!C:C,Match($A494,'Player Raw Data'!$B:$B,0)),"")</f>
        <v/>
      </c>
      <c r="C494" t="str">
        <f t="array" ref="C494">IFERROR(INDEX('Player Raw Data'!D:D,Match($A494,'Player Raw Data'!$B:$B,0)),"")</f>
        <v/>
      </c>
      <c r="D494" t="str">
        <f t="array" ref="D494">IFERROR(IF(A494=A493, INDEX('Player Raw Data'!E:E,Match($A494,'Player Raw Data'!$B:$B,0)+2),INDEX('Player Raw Data'!E:E,Match($A494,'Player Raw Data'!$B:$B,0))),"")</f>
        <v/>
      </c>
      <c r="E494" s="27" t="str">
        <f>IFERROR(__xludf.DUMMYFUNCTION("IFERROR(ARRAY_CONSTRAIN(SPLIT(INDEX('Daily Raw Data'!G:G,Match($A494,'Daily Raw Data'!$B:$B,0)),"":""),1,1),"""")"),"")</f>
        <v/>
      </c>
      <c r="F494" t="str">
        <f t="array" ref="F494">IFERROR(INDEX('Daily Raw Data'!H:H,Match($A494,'Daily Raw Data'!$B:$B,0)),"")</f>
        <v/>
      </c>
      <c r="G494" t="str">
        <f t="array" ref="G494">IFERROR(INDEX('Daily Raw Data'!I:I,Match($A494,'Daily Raw Data'!$B:$B,0)),"")</f>
        <v/>
      </c>
      <c r="H494" t="str">
        <f t="array" ref="H494">IFERROR(INDEX('Daily Raw Data'!N:N,Match($A494,'Daily Raw Data'!$B:$B,0)),"")</f>
        <v/>
      </c>
      <c r="I494" t="str">
        <f t="array" ref="I494">IFERROR(INDEX('Daily Raw Data'!O:O,Match($A494,'Daily Raw Data'!$B:$B,0)),"")</f>
        <v/>
      </c>
      <c r="J494" t="str">
        <f t="array" ref="J494">IFERROR(INDEX('Daily Raw Data'!S:S,Match($A494,'Daily Raw Data'!$B:$B,0)),"")</f>
        <v/>
      </c>
      <c r="K494" t="str">
        <f t="array" ref="K494">IFERROR(INDEX('Daily Raw Data'!T:T,Match($A494,'Daily Raw Data'!$B:$B,0)),"")</f>
        <v/>
      </c>
      <c r="L494" t="str">
        <f t="array" ref="L494">IFERROR(INDEX('Daily Raw Data'!U:U,Match($A494,'Daily Raw Data'!$B:$B,0)),"")</f>
        <v/>
      </c>
      <c r="M494" t="str">
        <f t="array" ref="M494">IFERROR(INDEX('Daily Raw Data'!V:V,Match($A494,'Daily Raw Data'!$B:$B,0)),"")</f>
        <v/>
      </c>
      <c r="N494" t="str">
        <f t="array" ref="N494">IFERROR(INDEX('Daily Raw Data'!W:W,Match($A494,'Daily Raw Data'!$B:$B,0)),"")</f>
        <v/>
      </c>
      <c r="O494" t="str">
        <f t="array" ref="O494">IFERROR(INDEX('Daily Raw Data'!Y:Y,Match($A494,'Daily Raw Data'!$B:$B,0)),"")</f>
        <v/>
      </c>
      <c r="P494" t="str">
        <f t="shared" si="1"/>
        <v/>
      </c>
      <c r="Q494" s="14" t="str">
        <f t="shared" si="2"/>
        <v/>
      </c>
      <c r="R494" s="15" t="str">
        <f>IFERROR(__xludf.DUMMYFUNCTION("IF($A494="""","""", IFERROR(PERCENTRANK.INC(FILTER(P:P,$E:$E&lt;&gt;""""),P494)*100,""""))"),"")</f>
        <v/>
      </c>
      <c r="S494" s="15" t="str">
        <f>IFERROR(__xludf.DUMMYFUNCTION("IF($A494="""","""",IFERROR(PERCENTRANK.INC(FILTER(Q:Q,$E:$E&lt;&gt;""""),Q494)*100,""""))"),"")</f>
        <v/>
      </c>
    </row>
    <row r="495">
      <c r="B495" t="str">
        <f t="array" ref="B495">IFERROR(INDEX('Player Raw Data'!C:C,Match($A495,'Player Raw Data'!$B:$B,0)),"")</f>
        <v/>
      </c>
      <c r="C495" t="str">
        <f t="array" ref="C495">IFERROR(INDEX('Player Raw Data'!D:D,Match($A495,'Player Raw Data'!$B:$B,0)),"")</f>
        <v/>
      </c>
      <c r="D495" t="str">
        <f t="array" ref="D495">IFERROR(IF(A495=A494, INDEX('Player Raw Data'!E:E,Match($A495,'Player Raw Data'!$B:$B,0)+2),INDEX('Player Raw Data'!E:E,Match($A495,'Player Raw Data'!$B:$B,0))),"")</f>
        <v/>
      </c>
      <c r="E495" s="27" t="str">
        <f>IFERROR(__xludf.DUMMYFUNCTION("IFERROR(ARRAY_CONSTRAIN(SPLIT(INDEX('Daily Raw Data'!G:G,Match($A495,'Daily Raw Data'!$B:$B,0)),"":""),1,1),"""")"),"")</f>
        <v/>
      </c>
      <c r="F495" t="str">
        <f t="array" ref="F495">IFERROR(INDEX('Daily Raw Data'!H:H,Match($A495,'Daily Raw Data'!$B:$B,0)),"")</f>
        <v/>
      </c>
      <c r="G495" t="str">
        <f t="array" ref="G495">IFERROR(INDEX('Daily Raw Data'!I:I,Match($A495,'Daily Raw Data'!$B:$B,0)),"")</f>
        <v/>
      </c>
      <c r="H495" t="str">
        <f t="array" ref="H495">IFERROR(INDEX('Daily Raw Data'!N:N,Match($A495,'Daily Raw Data'!$B:$B,0)),"")</f>
        <v/>
      </c>
      <c r="I495" t="str">
        <f t="array" ref="I495">IFERROR(INDEX('Daily Raw Data'!O:O,Match($A495,'Daily Raw Data'!$B:$B,0)),"")</f>
        <v/>
      </c>
      <c r="J495" t="str">
        <f t="array" ref="J495">IFERROR(INDEX('Daily Raw Data'!S:S,Match($A495,'Daily Raw Data'!$B:$B,0)),"")</f>
        <v/>
      </c>
      <c r="K495" t="str">
        <f t="array" ref="K495">IFERROR(INDEX('Daily Raw Data'!T:T,Match($A495,'Daily Raw Data'!$B:$B,0)),"")</f>
        <v/>
      </c>
      <c r="L495" t="str">
        <f t="array" ref="L495">IFERROR(INDEX('Daily Raw Data'!U:U,Match($A495,'Daily Raw Data'!$B:$B,0)),"")</f>
        <v/>
      </c>
      <c r="M495" t="str">
        <f t="array" ref="M495">IFERROR(INDEX('Daily Raw Data'!V:V,Match($A495,'Daily Raw Data'!$B:$B,0)),"")</f>
        <v/>
      </c>
      <c r="N495" t="str">
        <f t="array" ref="N495">IFERROR(INDEX('Daily Raw Data'!W:W,Match($A495,'Daily Raw Data'!$B:$B,0)),"")</f>
        <v/>
      </c>
      <c r="O495" t="str">
        <f t="array" ref="O495">IFERROR(INDEX('Daily Raw Data'!Y:Y,Match($A495,'Daily Raw Data'!$B:$B,0)),"")</f>
        <v/>
      </c>
      <c r="P495" t="str">
        <f t="shared" si="1"/>
        <v/>
      </c>
      <c r="Q495" s="14" t="str">
        <f t="shared" si="2"/>
        <v/>
      </c>
      <c r="R495" s="15" t="str">
        <f>IFERROR(__xludf.DUMMYFUNCTION("IF($A495="""","""", IFERROR(PERCENTRANK.INC(FILTER(P:P,$E:$E&lt;&gt;""""),P495)*100,""""))"),"")</f>
        <v/>
      </c>
      <c r="S495" s="15" t="str">
        <f>IFERROR(__xludf.DUMMYFUNCTION("IF($A495="""","""",IFERROR(PERCENTRANK.INC(FILTER(Q:Q,$E:$E&lt;&gt;""""),Q495)*100,""""))"),"")</f>
        <v/>
      </c>
    </row>
    <row r="496">
      <c r="B496" t="str">
        <f t="array" ref="B496">IFERROR(INDEX('Player Raw Data'!C:C,Match($A496,'Player Raw Data'!$B:$B,0)),"")</f>
        <v/>
      </c>
      <c r="C496" t="str">
        <f t="array" ref="C496">IFERROR(INDEX('Player Raw Data'!D:D,Match($A496,'Player Raw Data'!$B:$B,0)),"")</f>
        <v/>
      </c>
      <c r="D496" t="str">
        <f t="array" ref="D496">IFERROR(IF(A496=A495, INDEX('Player Raw Data'!E:E,Match($A496,'Player Raw Data'!$B:$B,0)+2),INDEX('Player Raw Data'!E:E,Match($A496,'Player Raw Data'!$B:$B,0))),"")</f>
        <v/>
      </c>
      <c r="E496" s="27" t="str">
        <f>IFERROR(__xludf.DUMMYFUNCTION("IFERROR(ARRAY_CONSTRAIN(SPLIT(INDEX('Daily Raw Data'!G:G,Match($A496,'Daily Raw Data'!$B:$B,0)),"":""),1,1),"""")"),"")</f>
        <v/>
      </c>
      <c r="F496" t="str">
        <f t="array" ref="F496">IFERROR(INDEX('Daily Raw Data'!H:H,Match($A496,'Daily Raw Data'!$B:$B,0)),"")</f>
        <v/>
      </c>
      <c r="G496" t="str">
        <f t="array" ref="G496">IFERROR(INDEX('Daily Raw Data'!I:I,Match($A496,'Daily Raw Data'!$B:$B,0)),"")</f>
        <v/>
      </c>
      <c r="H496" t="str">
        <f t="array" ref="H496">IFERROR(INDEX('Daily Raw Data'!N:N,Match($A496,'Daily Raw Data'!$B:$B,0)),"")</f>
        <v/>
      </c>
      <c r="I496" t="str">
        <f t="array" ref="I496">IFERROR(INDEX('Daily Raw Data'!O:O,Match($A496,'Daily Raw Data'!$B:$B,0)),"")</f>
        <v/>
      </c>
      <c r="J496" t="str">
        <f t="array" ref="J496">IFERROR(INDEX('Daily Raw Data'!S:S,Match($A496,'Daily Raw Data'!$B:$B,0)),"")</f>
        <v/>
      </c>
      <c r="K496" t="str">
        <f t="array" ref="K496">IFERROR(INDEX('Daily Raw Data'!T:T,Match($A496,'Daily Raw Data'!$B:$B,0)),"")</f>
        <v/>
      </c>
      <c r="L496" t="str">
        <f t="array" ref="L496">IFERROR(INDEX('Daily Raw Data'!U:U,Match($A496,'Daily Raw Data'!$B:$B,0)),"")</f>
        <v/>
      </c>
      <c r="M496" t="str">
        <f t="array" ref="M496">IFERROR(INDEX('Daily Raw Data'!V:V,Match($A496,'Daily Raw Data'!$B:$B,0)),"")</f>
        <v/>
      </c>
      <c r="N496" t="str">
        <f t="array" ref="N496">IFERROR(INDEX('Daily Raw Data'!W:W,Match($A496,'Daily Raw Data'!$B:$B,0)),"")</f>
        <v/>
      </c>
      <c r="O496" t="str">
        <f t="array" ref="O496">IFERROR(INDEX('Daily Raw Data'!Y:Y,Match($A496,'Daily Raw Data'!$B:$B,0)),"")</f>
        <v/>
      </c>
      <c r="P496" t="str">
        <f t="shared" si="1"/>
        <v/>
      </c>
      <c r="Q496" s="14" t="str">
        <f t="shared" si="2"/>
        <v/>
      </c>
      <c r="R496" s="15" t="str">
        <f>IFERROR(__xludf.DUMMYFUNCTION("IF($A496="""","""", IFERROR(PERCENTRANK.INC(FILTER(P:P,$E:$E&lt;&gt;""""),P496)*100,""""))"),"")</f>
        <v/>
      </c>
      <c r="S496" s="15" t="str">
        <f>IFERROR(__xludf.DUMMYFUNCTION("IF($A496="""","""",IFERROR(PERCENTRANK.INC(FILTER(Q:Q,$E:$E&lt;&gt;""""),Q496)*100,""""))"),"")</f>
        <v/>
      </c>
    </row>
    <row r="497">
      <c r="B497" t="str">
        <f t="array" ref="B497">IFERROR(INDEX('Player Raw Data'!C:C,Match($A497,'Player Raw Data'!$B:$B,0)),"")</f>
        <v/>
      </c>
      <c r="C497" t="str">
        <f t="array" ref="C497">IFERROR(INDEX('Player Raw Data'!D:D,Match($A497,'Player Raw Data'!$B:$B,0)),"")</f>
        <v/>
      </c>
      <c r="D497" t="str">
        <f t="array" ref="D497">IFERROR(IF(A497=A496, INDEX('Player Raw Data'!E:E,Match($A497,'Player Raw Data'!$B:$B,0)+2),INDEX('Player Raw Data'!E:E,Match($A497,'Player Raw Data'!$B:$B,0))),"")</f>
        <v/>
      </c>
      <c r="E497" s="27" t="str">
        <f>IFERROR(__xludf.DUMMYFUNCTION("IFERROR(ARRAY_CONSTRAIN(SPLIT(INDEX('Daily Raw Data'!G:G,Match($A497,'Daily Raw Data'!$B:$B,0)),"":""),1,1),"""")"),"")</f>
        <v/>
      </c>
      <c r="F497" t="str">
        <f t="array" ref="F497">IFERROR(INDEX('Daily Raw Data'!H:H,Match($A497,'Daily Raw Data'!$B:$B,0)),"")</f>
        <v/>
      </c>
      <c r="G497" t="str">
        <f t="array" ref="G497">IFERROR(INDEX('Daily Raw Data'!I:I,Match($A497,'Daily Raw Data'!$B:$B,0)),"")</f>
        <v/>
      </c>
      <c r="H497" t="str">
        <f t="array" ref="H497">IFERROR(INDEX('Daily Raw Data'!N:N,Match($A497,'Daily Raw Data'!$B:$B,0)),"")</f>
        <v/>
      </c>
      <c r="I497" t="str">
        <f t="array" ref="I497">IFERROR(INDEX('Daily Raw Data'!O:O,Match($A497,'Daily Raw Data'!$B:$B,0)),"")</f>
        <v/>
      </c>
      <c r="J497" t="str">
        <f t="array" ref="J497">IFERROR(INDEX('Daily Raw Data'!S:S,Match($A497,'Daily Raw Data'!$B:$B,0)),"")</f>
        <v/>
      </c>
      <c r="K497" t="str">
        <f t="array" ref="K497">IFERROR(INDEX('Daily Raw Data'!T:T,Match($A497,'Daily Raw Data'!$B:$B,0)),"")</f>
        <v/>
      </c>
      <c r="L497" t="str">
        <f t="array" ref="L497">IFERROR(INDEX('Daily Raw Data'!U:U,Match($A497,'Daily Raw Data'!$B:$B,0)),"")</f>
        <v/>
      </c>
      <c r="M497" t="str">
        <f t="array" ref="M497">IFERROR(INDEX('Daily Raw Data'!V:V,Match($A497,'Daily Raw Data'!$B:$B,0)),"")</f>
        <v/>
      </c>
      <c r="N497" t="str">
        <f t="array" ref="N497">IFERROR(INDEX('Daily Raw Data'!W:W,Match($A497,'Daily Raw Data'!$B:$B,0)),"")</f>
        <v/>
      </c>
      <c r="O497" t="str">
        <f t="array" ref="O497">IFERROR(INDEX('Daily Raw Data'!Y:Y,Match($A497,'Daily Raw Data'!$B:$B,0)),"")</f>
        <v/>
      </c>
      <c r="P497" t="str">
        <f t="shared" si="1"/>
        <v/>
      </c>
      <c r="Q497" s="14" t="str">
        <f t="shared" si="2"/>
        <v/>
      </c>
      <c r="R497" s="15" t="str">
        <f>IFERROR(__xludf.DUMMYFUNCTION("IF($A497="""","""", IFERROR(PERCENTRANK.INC(FILTER(P:P,$E:$E&lt;&gt;""""),P497)*100,""""))"),"")</f>
        <v/>
      </c>
      <c r="S497" s="15" t="str">
        <f>IFERROR(__xludf.DUMMYFUNCTION("IF($A497="""","""",IFERROR(PERCENTRANK.INC(FILTER(Q:Q,$E:$E&lt;&gt;""""),Q497)*100,""""))"),"")</f>
        <v/>
      </c>
    </row>
    <row r="498">
      <c r="B498" t="str">
        <f t="array" ref="B498">IFERROR(INDEX('Player Raw Data'!C:C,Match($A498,'Player Raw Data'!$B:$B,0)),"")</f>
        <v/>
      </c>
      <c r="C498" t="str">
        <f t="array" ref="C498">IFERROR(INDEX('Player Raw Data'!D:D,Match($A498,'Player Raw Data'!$B:$B,0)),"")</f>
        <v/>
      </c>
      <c r="D498" t="str">
        <f t="array" ref="D498">IFERROR(IF(A498=A497, INDEX('Player Raw Data'!E:E,Match($A498,'Player Raw Data'!$B:$B,0)+2),INDEX('Player Raw Data'!E:E,Match($A498,'Player Raw Data'!$B:$B,0))),"")</f>
        <v/>
      </c>
      <c r="E498" s="27" t="str">
        <f>IFERROR(__xludf.DUMMYFUNCTION("IFERROR(ARRAY_CONSTRAIN(SPLIT(INDEX('Daily Raw Data'!G:G,Match($A498,'Daily Raw Data'!$B:$B,0)),"":""),1,1),"""")"),"")</f>
        <v/>
      </c>
      <c r="F498" t="str">
        <f t="array" ref="F498">IFERROR(INDEX('Daily Raw Data'!H:H,Match($A498,'Daily Raw Data'!$B:$B,0)),"")</f>
        <v/>
      </c>
      <c r="G498" t="str">
        <f t="array" ref="G498">IFERROR(INDEX('Daily Raw Data'!I:I,Match($A498,'Daily Raw Data'!$B:$B,0)),"")</f>
        <v/>
      </c>
      <c r="H498" t="str">
        <f t="array" ref="H498">IFERROR(INDEX('Daily Raw Data'!N:N,Match($A498,'Daily Raw Data'!$B:$B,0)),"")</f>
        <v/>
      </c>
      <c r="I498" t="str">
        <f t="array" ref="I498">IFERROR(INDEX('Daily Raw Data'!O:O,Match($A498,'Daily Raw Data'!$B:$B,0)),"")</f>
        <v/>
      </c>
      <c r="J498" t="str">
        <f t="array" ref="J498">IFERROR(INDEX('Daily Raw Data'!S:S,Match($A498,'Daily Raw Data'!$B:$B,0)),"")</f>
        <v/>
      </c>
      <c r="K498" t="str">
        <f t="array" ref="K498">IFERROR(INDEX('Daily Raw Data'!T:T,Match($A498,'Daily Raw Data'!$B:$B,0)),"")</f>
        <v/>
      </c>
      <c r="L498" t="str">
        <f t="array" ref="L498">IFERROR(INDEX('Daily Raw Data'!U:U,Match($A498,'Daily Raw Data'!$B:$B,0)),"")</f>
        <v/>
      </c>
      <c r="M498" t="str">
        <f t="array" ref="M498">IFERROR(INDEX('Daily Raw Data'!V:V,Match($A498,'Daily Raw Data'!$B:$B,0)),"")</f>
        <v/>
      </c>
      <c r="N498" t="str">
        <f t="array" ref="N498">IFERROR(INDEX('Daily Raw Data'!W:W,Match($A498,'Daily Raw Data'!$B:$B,0)),"")</f>
        <v/>
      </c>
      <c r="O498" t="str">
        <f t="array" ref="O498">IFERROR(INDEX('Daily Raw Data'!Y:Y,Match($A498,'Daily Raw Data'!$B:$B,0)),"")</f>
        <v/>
      </c>
      <c r="P498" t="str">
        <f t="shared" si="1"/>
        <v/>
      </c>
      <c r="Q498" s="14" t="str">
        <f t="shared" si="2"/>
        <v/>
      </c>
      <c r="R498" s="15" t="str">
        <f>IFERROR(__xludf.DUMMYFUNCTION("IF($A498="""","""", IFERROR(PERCENTRANK.INC(FILTER(P:P,$E:$E&lt;&gt;""""),P498)*100,""""))"),"")</f>
        <v/>
      </c>
      <c r="S498" s="15" t="str">
        <f>IFERROR(__xludf.DUMMYFUNCTION("IF($A498="""","""",IFERROR(PERCENTRANK.INC(FILTER(Q:Q,$E:$E&lt;&gt;""""),Q498)*100,""""))"),"")</f>
        <v/>
      </c>
    </row>
    <row r="499">
      <c r="B499" t="str">
        <f t="array" ref="B499">IFERROR(INDEX('Player Raw Data'!C:C,Match($A499,'Player Raw Data'!$B:$B,0)),"")</f>
        <v/>
      </c>
      <c r="C499" t="str">
        <f t="array" ref="C499">IFERROR(INDEX('Player Raw Data'!D:D,Match($A499,'Player Raw Data'!$B:$B,0)),"")</f>
        <v/>
      </c>
      <c r="D499" t="str">
        <f t="array" ref="D499">IFERROR(IF(A499=A498, INDEX('Player Raw Data'!E:E,Match($A499,'Player Raw Data'!$B:$B,0)+2),INDEX('Player Raw Data'!E:E,Match($A499,'Player Raw Data'!$B:$B,0))),"")</f>
        <v/>
      </c>
      <c r="E499" s="27" t="str">
        <f>IFERROR(__xludf.DUMMYFUNCTION("IFERROR(ARRAY_CONSTRAIN(SPLIT(INDEX('Daily Raw Data'!G:G,Match($A499,'Daily Raw Data'!$B:$B,0)),"":""),1,1),"""")"),"")</f>
        <v/>
      </c>
      <c r="F499" t="str">
        <f t="array" ref="F499">IFERROR(INDEX('Daily Raw Data'!H:H,Match($A499,'Daily Raw Data'!$B:$B,0)),"")</f>
        <v/>
      </c>
      <c r="G499" t="str">
        <f t="array" ref="G499">IFERROR(INDEX('Daily Raw Data'!I:I,Match($A499,'Daily Raw Data'!$B:$B,0)),"")</f>
        <v/>
      </c>
      <c r="H499" t="str">
        <f t="array" ref="H499">IFERROR(INDEX('Daily Raw Data'!N:N,Match($A499,'Daily Raw Data'!$B:$B,0)),"")</f>
        <v/>
      </c>
      <c r="I499" t="str">
        <f t="array" ref="I499">IFERROR(INDEX('Daily Raw Data'!O:O,Match($A499,'Daily Raw Data'!$B:$B,0)),"")</f>
        <v/>
      </c>
      <c r="J499" t="str">
        <f t="array" ref="J499">IFERROR(INDEX('Daily Raw Data'!S:S,Match($A499,'Daily Raw Data'!$B:$B,0)),"")</f>
        <v/>
      </c>
      <c r="K499" t="str">
        <f t="array" ref="K499">IFERROR(INDEX('Daily Raw Data'!T:T,Match($A499,'Daily Raw Data'!$B:$B,0)),"")</f>
        <v/>
      </c>
      <c r="L499" t="str">
        <f t="array" ref="L499">IFERROR(INDEX('Daily Raw Data'!U:U,Match($A499,'Daily Raw Data'!$B:$B,0)),"")</f>
        <v/>
      </c>
      <c r="M499" t="str">
        <f t="array" ref="M499">IFERROR(INDEX('Daily Raw Data'!V:V,Match($A499,'Daily Raw Data'!$B:$B,0)),"")</f>
        <v/>
      </c>
      <c r="N499" t="str">
        <f t="array" ref="N499">IFERROR(INDEX('Daily Raw Data'!W:W,Match($A499,'Daily Raw Data'!$B:$B,0)),"")</f>
        <v/>
      </c>
      <c r="O499" t="str">
        <f t="array" ref="O499">IFERROR(INDEX('Daily Raw Data'!Y:Y,Match($A499,'Daily Raw Data'!$B:$B,0)),"")</f>
        <v/>
      </c>
      <c r="P499" t="str">
        <f t="shared" si="1"/>
        <v/>
      </c>
      <c r="Q499" s="14" t="str">
        <f t="shared" si="2"/>
        <v/>
      </c>
      <c r="R499" s="15" t="str">
        <f>IFERROR(__xludf.DUMMYFUNCTION("IF($A499="""","""", IFERROR(PERCENTRANK.INC(FILTER(P:P,$E:$E&lt;&gt;""""),P499)*100,""""))"),"")</f>
        <v/>
      </c>
      <c r="S499" s="15" t="str">
        <f>IFERROR(__xludf.DUMMYFUNCTION("IF($A499="""","""",IFERROR(PERCENTRANK.INC(FILTER(Q:Q,$E:$E&lt;&gt;""""),Q499)*100,""""))"),"")</f>
        <v/>
      </c>
    </row>
    <row r="500">
      <c r="B500" t="str">
        <f t="array" ref="B500">IFERROR(INDEX('Player Raw Data'!C:C,Match($A500,'Player Raw Data'!$B:$B,0)),"")</f>
        <v/>
      </c>
      <c r="C500" t="str">
        <f t="array" ref="C500">IFERROR(INDEX('Player Raw Data'!D:D,Match($A500,'Player Raw Data'!$B:$B,0)),"")</f>
        <v/>
      </c>
      <c r="D500" t="str">
        <f t="array" ref="D500">IFERROR(IF(A500=A499, INDEX('Player Raw Data'!E:E,Match($A500,'Player Raw Data'!$B:$B,0)+2),INDEX('Player Raw Data'!E:E,Match($A500,'Player Raw Data'!$B:$B,0))),"")</f>
        <v/>
      </c>
      <c r="E500" s="27" t="str">
        <f>IFERROR(__xludf.DUMMYFUNCTION("IFERROR(ARRAY_CONSTRAIN(SPLIT(INDEX('Daily Raw Data'!G:G,Match($A500,'Daily Raw Data'!$B:$B,0)),"":""),1,1),"""")"),"")</f>
        <v/>
      </c>
      <c r="F500" t="str">
        <f t="array" ref="F500">IFERROR(INDEX('Daily Raw Data'!H:H,Match($A500,'Daily Raw Data'!$B:$B,0)),"")</f>
        <v/>
      </c>
      <c r="G500" t="str">
        <f t="array" ref="G500">IFERROR(INDEX('Daily Raw Data'!I:I,Match($A500,'Daily Raw Data'!$B:$B,0)),"")</f>
        <v/>
      </c>
      <c r="H500" t="str">
        <f t="array" ref="H500">IFERROR(INDEX('Daily Raw Data'!N:N,Match($A500,'Daily Raw Data'!$B:$B,0)),"")</f>
        <v/>
      </c>
      <c r="I500" t="str">
        <f t="array" ref="I500">IFERROR(INDEX('Daily Raw Data'!O:O,Match($A500,'Daily Raw Data'!$B:$B,0)),"")</f>
        <v/>
      </c>
      <c r="J500" t="str">
        <f t="array" ref="J500">IFERROR(INDEX('Daily Raw Data'!S:S,Match($A500,'Daily Raw Data'!$B:$B,0)),"")</f>
        <v/>
      </c>
      <c r="K500" t="str">
        <f t="array" ref="K500">IFERROR(INDEX('Daily Raw Data'!T:T,Match($A500,'Daily Raw Data'!$B:$B,0)),"")</f>
        <v/>
      </c>
      <c r="L500" t="str">
        <f t="array" ref="L500">IFERROR(INDEX('Daily Raw Data'!U:U,Match($A500,'Daily Raw Data'!$B:$B,0)),"")</f>
        <v/>
      </c>
      <c r="M500" t="str">
        <f t="array" ref="M500">IFERROR(INDEX('Daily Raw Data'!V:V,Match($A500,'Daily Raw Data'!$B:$B,0)),"")</f>
        <v/>
      </c>
      <c r="N500" t="str">
        <f t="array" ref="N500">IFERROR(INDEX('Daily Raw Data'!W:W,Match($A500,'Daily Raw Data'!$B:$B,0)),"")</f>
        <v/>
      </c>
      <c r="O500" t="str">
        <f t="array" ref="O500">IFERROR(INDEX('Daily Raw Data'!Y:Y,Match($A500,'Daily Raw Data'!$B:$B,0)),"")</f>
        <v/>
      </c>
      <c r="P500" t="str">
        <f t="shared" si="1"/>
        <v/>
      </c>
      <c r="Q500" s="14" t="str">
        <f t="shared" si="2"/>
        <v/>
      </c>
      <c r="R500" s="15" t="str">
        <f>IFERROR(__xludf.DUMMYFUNCTION("IF($A500="""","""", IFERROR(PERCENTRANK.INC(FILTER(P:P,$E:$E&lt;&gt;""""),P500)*100,""""))"),"")</f>
        <v/>
      </c>
      <c r="S500" s="15" t="str">
        <f>IFERROR(__xludf.DUMMYFUNCTION("IF($A500="""","""",IFERROR(PERCENTRANK.INC(FILTER(Q:Q,$E:$E&lt;&gt;""""),Q500)*100,""""))"),"")</f>
        <v/>
      </c>
    </row>
    <row r="501">
      <c r="B501" t="str">
        <f t="array" ref="B501">IFERROR(INDEX('Player Raw Data'!C:C,Match($A501,'Player Raw Data'!$B:$B,0)),"")</f>
        <v/>
      </c>
      <c r="C501" t="str">
        <f t="array" ref="C501">IFERROR(INDEX('Player Raw Data'!D:D,Match($A501,'Player Raw Data'!$B:$B,0)),"")</f>
        <v/>
      </c>
      <c r="D501" t="str">
        <f t="array" ref="D501">IFERROR(IF(A501=A500, INDEX('Player Raw Data'!E:E,Match($A501,'Player Raw Data'!$B:$B,0)+2),INDEX('Player Raw Data'!E:E,Match($A501,'Player Raw Data'!$B:$B,0))),"")</f>
        <v/>
      </c>
      <c r="E501" s="27" t="str">
        <f>IFERROR(__xludf.DUMMYFUNCTION("IFERROR(ARRAY_CONSTRAIN(SPLIT(INDEX('Daily Raw Data'!G:G,Match($A501,'Daily Raw Data'!$B:$B,0)),"":""),1,1),"""")"),"")</f>
        <v/>
      </c>
      <c r="F501" t="str">
        <f t="array" ref="F501">IFERROR(INDEX('Daily Raw Data'!H:H,Match($A501,'Daily Raw Data'!$B:$B,0)),"")</f>
        <v/>
      </c>
      <c r="G501" t="str">
        <f t="array" ref="G501">IFERROR(INDEX('Daily Raw Data'!I:I,Match($A501,'Daily Raw Data'!$B:$B,0)),"")</f>
        <v/>
      </c>
      <c r="H501" t="str">
        <f t="array" ref="H501">IFERROR(INDEX('Daily Raw Data'!N:N,Match($A501,'Daily Raw Data'!$B:$B,0)),"")</f>
        <v/>
      </c>
      <c r="I501" t="str">
        <f t="array" ref="I501">IFERROR(INDEX('Daily Raw Data'!O:O,Match($A501,'Daily Raw Data'!$B:$B,0)),"")</f>
        <v/>
      </c>
      <c r="J501" t="str">
        <f t="array" ref="J501">IFERROR(INDEX('Daily Raw Data'!S:S,Match($A501,'Daily Raw Data'!$B:$B,0)),"")</f>
        <v/>
      </c>
      <c r="K501" t="str">
        <f t="array" ref="K501">IFERROR(INDEX('Daily Raw Data'!T:T,Match($A501,'Daily Raw Data'!$B:$B,0)),"")</f>
        <v/>
      </c>
      <c r="L501" t="str">
        <f t="array" ref="L501">IFERROR(INDEX('Daily Raw Data'!U:U,Match($A501,'Daily Raw Data'!$B:$B,0)),"")</f>
        <v/>
      </c>
      <c r="M501" t="str">
        <f t="array" ref="M501">IFERROR(INDEX('Daily Raw Data'!V:V,Match($A501,'Daily Raw Data'!$B:$B,0)),"")</f>
        <v/>
      </c>
      <c r="N501" t="str">
        <f t="array" ref="N501">IFERROR(INDEX('Daily Raw Data'!W:W,Match($A501,'Daily Raw Data'!$B:$B,0)),"")</f>
        <v/>
      </c>
      <c r="O501" t="str">
        <f t="array" ref="O501">IFERROR(INDEX('Daily Raw Data'!Y:Y,Match($A501,'Daily Raw Data'!$B:$B,0)),"")</f>
        <v/>
      </c>
      <c r="P501" t="str">
        <f t="shared" si="1"/>
        <v/>
      </c>
      <c r="Q501" s="14" t="str">
        <f t="shared" si="2"/>
        <v/>
      </c>
      <c r="R501" s="15" t="str">
        <f>IFERROR(__xludf.DUMMYFUNCTION("IF($A501="""","""", IFERROR(PERCENTRANK.INC(FILTER(P:P,$E:$E&lt;&gt;""""),P501)*100,""""))"),"")</f>
        <v/>
      </c>
      <c r="S501" s="15" t="str">
        <f>IFERROR(__xludf.DUMMYFUNCTION("IF($A501="""","""",IFERROR(PERCENTRANK.INC(FILTER(Q:Q,$E:$E&lt;&gt;""""),Q501)*100,""""))"),"")</f>
        <v/>
      </c>
    </row>
    <row r="502">
      <c r="B502" t="str">
        <f t="array" ref="B502">IFERROR(INDEX('Player Raw Data'!C:C,Match($A502,'Player Raw Data'!$B:$B,0)),"")</f>
        <v/>
      </c>
      <c r="C502" t="str">
        <f t="array" ref="C502">IFERROR(INDEX('Player Raw Data'!D:D,Match($A502,'Player Raw Data'!$B:$B,0)),"")</f>
        <v/>
      </c>
      <c r="D502" t="str">
        <f t="array" ref="D502">IFERROR(IF(A502=A501, INDEX('Player Raw Data'!E:E,Match($A502,'Player Raw Data'!$B:$B,0)+2),INDEX('Player Raw Data'!E:E,Match($A502,'Player Raw Data'!$B:$B,0))),"")</f>
        <v/>
      </c>
      <c r="E502" s="27" t="str">
        <f>IFERROR(__xludf.DUMMYFUNCTION("IFERROR(ARRAY_CONSTRAIN(SPLIT(INDEX('Daily Raw Data'!G:G,Match($A502,'Daily Raw Data'!$B:$B,0)),"":""),1,1),"""")"),"")</f>
        <v/>
      </c>
      <c r="F502" t="str">
        <f t="array" ref="F502">IFERROR(INDEX('Daily Raw Data'!H:H,Match($A502,'Daily Raw Data'!$B:$B,0)),"")</f>
        <v/>
      </c>
      <c r="G502" t="str">
        <f t="array" ref="G502">IFERROR(INDEX('Daily Raw Data'!I:I,Match($A502,'Daily Raw Data'!$B:$B,0)),"")</f>
        <v/>
      </c>
      <c r="H502" t="str">
        <f t="array" ref="H502">IFERROR(INDEX('Daily Raw Data'!N:N,Match($A502,'Daily Raw Data'!$B:$B,0)),"")</f>
        <v/>
      </c>
      <c r="I502" t="str">
        <f t="array" ref="I502">IFERROR(INDEX('Daily Raw Data'!O:O,Match($A502,'Daily Raw Data'!$B:$B,0)),"")</f>
        <v/>
      </c>
      <c r="J502" t="str">
        <f t="array" ref="J502">IFERROR(INDEX('Daily Raw Data'!S:S,Match($A502,'Daily Raw Data'!$B:$B,0)),"")</f>
        <v/>
      </c>
      <c r="K502" t="str">
        <f t="array" ref="K502">IFERROR(INDEX('Daily Raw Data'!T:T,Match($A502,'Daily Raw Data'!$B:$B,0)),"")</f>
        <v/>
      </c>
      <c r="L502" t="str">
        <f t="array" ref="L502">IFERROR(INDEX('Daily Raw Data'!U:U,Match($A502,'Daily Raw Data'!$B:$B,0)),"")</f>
        <v/>
      </c>
      <c r="M502" t="str">
        <f t="array" ref="M502">IFERROR(INDEX('Daily Raw Data'!V:V,Match($A502,'Daily Raw Data'!$B:$B,0)),"")</f>
        <v/>
      </c>
      <c r="N502" t="str">
        <f t="array" ref="N502">IFERROR(INDEX('Daily Raw Data'!W:W,Match($A502,'Daily Raw Data'!$B:$B,0)),"")</f>
        <v/>
      </c>
      <c r="O502" t="str">
        <f t="array" ref="O502">IFERROR(INDEX('Daily Raw Data'!Y:Y,Match($A502,'Daily Raw Data'!$B:$B,0)),"")</f>
        <v/>
      </c>
      <c r="P502" t="str">
        <f t="shared" si="1"/>
        <v/>
      </c>
      <c r="Q502" s="14" t="str">
        <f t="shared" si="2"/>
        <v/>
      </c>
      <c r="R502" s="15" t="str">
        <f>IFERROR(__xludf.DUMMYFUNCTION("IF($A502="""","""", IFERROR(PERCENTRANK.INC(FILTER(P:P,$E:$E&lt;&gt;""""),P502)*100,""""))"),"")</f>
        <v/>
      </c>
      <c r="S502" s="15" t="str">
        <f>IFERROR(__xludf.DUMMYFUNCTION("IF($A502="""","""",IFERROR(PERCENTRANK.INC(FILTER(Q:Q,$E:$E&lt;&gt;""""),Q502)*100,""""))"),"")</f>
        <v/>
      </c>
    </row>
    <row r="503">
      <c r="B503" t="str">
        <f t="array" ref="B503">IFERROR(INDEX('Player Raw Data'!C:C,Match($A503,'Player Raw Data'!$B:$B,0)),"")</f>
        <v/>
      </c>
      <c r="C503" t="str">
        <f t="array" ref="C503">IFERROR(INDEX('Player Raw Data'!D:D,Match($A503,'Player Raw Data'!$B:$B,0)),"")</f>
        <v/>
      </c>
      <c r="D503" t="str">
        <f t="array" ref="D503">IFERROR(IF(A503=A502, INDEX('Player Raw Data'!E:E,Match($A503,'Player Raw Data'!$B:$B,0)+2),INDEX('Player Raw Data'!E:E,Match($A503,'Player Raw Data'!$B:$B,0))),"")</f>
        <v/>
      </c>
      <c r="E503" s="27" t="str">
        <f>IFERROR(__xludf.DUMMYFUNCTION("IFERROR(ARRAY_CONSTRAIN(SPLIT(INDEX('Daily Raw Data'!G:G,Match($A503,'Daily Raw Data'!$B:$B,0)),"":""),1,1),"""")"),"")</f>
        <v/>
      </c>
      <c r="F503" t="str">
        <f t="array" ref="F503">IFERROR(INDEX('Daily Raw Data'!H:H,Match($A503,'Daily Raw Data'!$B:$B,0)),"")</f>
        <v/>
      </c>
      <c r="G503" t="str">
        <f t="array" ref="G503">IFERROR(INDEX('Daily Raw Data'!I:I,Match($A503,'Daily Raw Data'!$B:$B,0)),"")</f>
        <v/>
      </c>
      <c r="H503" t="str">
        <f t="array" ref="H503">IFERROR(INDEX('Daily Raw Data'!N:N,Match($A503,'Daily Raw Data'!$B:$B,0)),"")</f>
        <v/>
      </c>
      <c r="I503" t="str">
        <f t="array" ref="I503">IFERROR(INDEX('Daily Raw Data'!O:O,Match($A503,'Daily Raw Data'!$B:$B,0)),"")</f>
        <v/>
      </c>
      <c r="J503" t="str">
        <f t="array" ref="J503">IFERROR(INDEX('Daily Raw Data'!S:S,Match($A503,'Daily Raw Data'!$B:$B,0)),"")</f>
        <v/>
      </c>
      <c r="K503" t="str">
        <f t="array" ref="K503">IFERROR(INDEX('Daily Raw Data'!T:T,Match($A503,'Daily Raw Data'!$B:$B,0)),"")</f>
        <v/>
      </c>
      <c r="L503" t="str">
        <f t="array" ref="L503">IFERROR(INDEX('Daily Raw Data'!U:U,Match($A503,'Daily Raw Data'!$B:$B,0)),"")</f>
        <v/>
      </c>
      <c r="M503" t="str">
        <f t="array" ref="M503">IFERROR(INDEX('Daily Raw Data'!V:V,Match($A503,'Daily Raw Data'!$B:$B,0)),"")</f>
        <v/>
      </c>
      <c r="N503" t="str">
        <f t="array" ref="N503">IFERROR(INDEX('Daily Raw Data'!W:W,Match($A503,'Daily Raw Data'!$B:$B,0)),"")</f>
        <v/>
      </c>
      <c r="O503" t="str">
        <f t="array" ref="O503">IFERROR(INDEX('Daily Raw Data'!Y:Y,Match($A503,'Daily Raw Data'!$B:$B,0)),"")</f>
        <v/>
      </c>
      <c r="P503" t="str">
        <f t="shared" si="1"/>
        <v/>
      </c>
      <c r="Q503" s="14" t="str">
        <f t="shared" si="2"/>
        <v/>
      </c>
      <c r="R503" s="15" t="str">
        <f>IFERROR(__xludf.DUMMYFUNCTION("IF($A503="""","""", IFERROR(PERCENTRANK.INC(FILTER(P:P,$E:$E&lt;&gt;""""),P503)*100,""""))"),"")</f>
        <v/>
      </c>
      <c r="S503" s="15" t="str">
        <f>IFERROR(__xludf.DUMMYFUNCTION("IF($A503="""","""",IFERROR(PERCENTRANK.INC(FILTER(Q:Q,$E:$E&lt;&gt;""""),Q503)*100,""""))"),"")</f>
        <v/>
      </c>
    </row>
    <row r="504">
      <c r="B504" t="str">
        <f t="array" ref="B504">IFERROR(INDEX('Player Raw Data'!C:C,Match($A504,'Player Raw Data'!$B:$B,0)),"")</f>
        <v/>
      </c>
      <c r="C504" t="str">
        <f t="array" ref="C504">IFERROR(INDEX('Player Raw Data'!D:D,Match($A504,'Player Raw Data'!$B:$B,0)),"")</f>
        <v/>
      </c>
      <c r="D504" t="str">
        <f t="array" ref="D504">IFERROR(IF(A504=A503, INDEX('Player Raw Data'!E:E,Match($A504,'Player Raw Data'!$B:$B,0)+2),INDEX('Player Raw Data'!E:E,Match($A504,'Player Raw Data'!$B:$B,0))),"")</f>
        <v/>
      </c>
      <c r="E504" s="27" t="str">
        <f>IFERROR(__xludf.DUMMYFUNCTION("IFERROR(ARRAY_CONSTRAIN(SPLIT(INDEX('Daily Raw Data'!G:G,Match($A504,'Daily Raw Data'!$B:$B,0)),"":""),1,1),"""")"),"")</f>
        <v/>
      </c>
      <c r="F504" t="str">
        <f t="array" ref="F504">IFERROR(INDEX('Daily Raw Data'!H:H,Match($A504,'Daily Raw Data'!$B:$B,0)),"")</f>
        <v/>
      </c>
      <c r="G504" t="str">
        <f t="array" ref="G504">IFERROR(INDEX('Daily Raw Data'!I:I,Match($A504,'Daily Raw Data'!$B:$B,0)),"")</f>
        <v/>
      </c>
      <c r="H504" t="str">
        <f t="array" ref="H504">IFERROR(INDEX('Daily Raw Data'!N:N,Match($A504,'Daily Raw Data'!$B:$B,0)),"")</f>
        <v/>
      </c>
      <c r="I504" t="str">
        <f t="array" ref="I504">IFERROR(INDEX('Daily Raw Data'!O:O,Match($A504,'Daily Raw Data'!$B:$B,0)),"")</f>
        <v/>
      </c>
      <c r="J504" t="str">
        <f t="array" ref="J504">IFERROR(INDEX('Daily Raw Data'!S:S,Match($A504,'Daily Raw Data'!$B:$B,0)),"")</f>
        <v/>
      </c>
      <c r="K504" t="str">
        <f t="array" ref="K504">IFERROR(INDEX('Daily Raw Data'!T:T,Match($A504,'Daily Raw Data'!$B:$B,0)),"")</f>
        <v/>
      </c>
      <c r="L504" t="str">
        <f t="array" ref="L504">IFERROR(INDEX('Daily Raw Data'!U:U,Match($A504,'Daily Raw Data'!$B:$B,0)),"")</f>
        <v/>
      </c>
      <c r="M504" t="str">
        <f t="array" ref="M504">IFERROR(INDEX('Daily Raw Data'!V:V,Match($A504,'Daily Raw Data'!$B:$B,0)),"")</f>
        <v/>
      </c>
      <c r="N504" t="str">
        <f t="array" ref="N504">IFERROR(INDEX('Daily Raw Data'!W:W,Match($A504,'Daily Raw Data'!$B:$B,0)),"")</f>
        <v/>
      </c>
      <c r="O504" t="str">
        <f t="array" ref="O504">IFERROR(INDEX('Daily Raw Data'!Y:Y,Match($A504,'Daily Raw Data'!$B:$B,0)),"")</f>
        <v/>
      </c>
      <c r="P504" t="str">
        <f t="shared" si="1"/>
        <v/>
      </c>
      <c r="Q504" s="14" t="str">
        <f t="shared" si="2"/>
        <v/>
      </c>
      <c r="R504" s="15" t="str">
        <f>IFERROR(__xludf.DUMMYFUNCTION("IF($A504="""","""", IFERROR(PERCENTRANK.INC(FILTER(P:P,$E:$E&lt;&gt;""""),P504)*100,""""))"),"")</f>
        <v/>
      </c>
      <c r="S504" s="15" t="str">
        <f>IFERROR(__xludf.DUMMYFUNCTION("IF($A504="""","""",IFERROR(PERCENTRANK.INC(FILTER(Q:Q,$E:$E&lt;&gt;""""),Q504)*100,""""))"),"")</f>
        <v/>
      </c>
    </row>
    <row r="505">
      <c r="B505" t="str">
        <f t="array" ref="B505">IFERROR(INDEX('Player Raw Data'!C:C,Match($A505,'Player Raw Data'!$B:$B,0)),"")</f>
        <v/>
      </c>
      <c r="C505" t="str">
        <f t="array" ref="C505">IFERROR(INDEX('Player Raw Data'!D:D,Match($A505,'Player Raw Data'!$B:$B,0)),"")</f>
        <v/>
      </c>
      <c r="D505" t="str">
        <f t="array" ref="D505">IFERROR(IF(A505=A504, INDEX('Player Raw Data'!E:E,Match($A505,'Player Raw Data'!$B:$B,0)+2),INDEX('Player Raw Data'!E:E,Match($A505,'Player Raw Data'!$B:$B,0))),"")</f>
        <v/>
      </c>
      <c r="E505" s="27" t="str">
        <f>IFERROR(__xludf.DUMMYFUNCTION("IFERROR(ARRAY_CONSTRAIN(SPLIT(INDEX('Daily Raw Data'!G:G,Match($A505,'Daily Raw Data'!$B:$B,0)),"":""),1,1),"""")"),"")</f>
        <v/>
      </c>
      <c r="F505" t="str">
        <f t="array" ref="F505">IFERROR(INDEX('Daily Raw Data'!H:H,Match($A505,'Daily Raw Data'!$B:$B,0)),"")</f>
        <v/>
      </c>
      <c r="G505" t="str">
        <f t="array" ref="G505">IFERROR(INDEX('Daily Raw Data'!I:I,Match($A505,'Daily Raw Data'!$B:$B,0)),"")</f>
        <v/>
      </c>
      <c r="H505" t="str">
        <f t="array" ref="H505">IFERROR(INDEX('Daily Raw Data'!N:N,Match($A505,'Daily Raw Data'!$B:$B,0)),"")</f>
        <v/>
      </c>
      <c r="I505" t="str">
        <f t="array" ref="I505">IFERROR(INDEX('Daily Raw Data'!O:O,Match($A505,'Daily Raw Data'!$B:$B,0)),"")</f>
        <v/>
      </c>
      <c r="J505" t="str">
        <f t="array" ref="J505">IFERROR(INDEX('Daily Raw Data'!S:S,Match($A505,'Daily Raw Data'!$B:$B,0)),"")</f>
        <v/>
      </c>
      <c r="K505" t="str">
        <f t="array" ref="K505">IFERROR(INDEX('Daily Raw Data'!T:T,Match($A505,'Daily Raw Data'!$B:$B,0)),"")</f>
        <v/>
      </c>
      <c r="L505" t="str">
        <f t="array" ref="L505">IFERROR(INDEX('Daily Raw Data'!U:U,Match($A505,'Daily Raw Data'!$B:$B,0)),"")</f>
        <v/>
      </c>
      <c r="M505" t="str">
        <f t="array" ref="M505">IFERROR(INDEX('Daily Raw Data'!V:V,Match($A505,'Daily Raw Data'!$B:$B,0)),"")</f>
        <v/>
      </c>
      <c r="N505" t="str">
        <f t="array" ref="N505">IFERROR(INDEX('Daily Raw Data'!W:W,Match($A505,'Daily Raw Data'!$B:$B,0)),"")</f>
        <v/>
      </c>
      <c r="O505" t="str">
        <f t="array" ref="O505">IFERROR(INDEX('Daily Raw Data'!Y:Y,Match($A505,'Daily Raw Data'!$B:$B,0)),"")</f>
        <v/>
      </c>
      <c r="P505" t="str">
        <f t="shared" si="1"/>
        <v/>
      </c>
      <c r="Q505" s="14" t="str">
        <f t="shared" si="2"/>
        <v/>
      </c>
      <c r="R505" s="15" t="str">
        <f>IFERROR(__xludf.DUMMYFUNCTION("IF($A505="""","""", IFERROR(PERCENTRANK.INC(FILTER(P:P,$E:$E&lt;&gt;""""),P505)*100,""""))"),"")</f>
        <v/>
      </c>
      <c r="S505" s="15" t="str">
        <f>IFERROR(__xludf.DUMMYFUNCTION("IF($A505="""","""",IFERROR(PERCENTRANK.INC(FILTER(Q:Q,$E:$E&lt;&gt;""""),Q505)*100,""""))"),"")</f>
        <v/>
      </c>
    </row>
    <row r="506">
      <c r="B506" t="str">
        <f t="array" ref="B506">IFERROR(INDEX('Player Raw Data'!C:C,Match($A506,'Player Raw Data'!$B:$B,0)),"")</f>
        <v/>
      </c>
      <c r="C506" t="str">
        <f t="array" ref="C506">IFERROR(INDEX('Player Raw Data'!D:D,Match($A506,'Player Raw Data'!$B:$B,0)),"")</f>
        <v/>
      </c>
      <c r="D506" t="str">
        <f t="array" ref="D506">IFERROR(IF(A506=A505, INDEX('Player Raw Data'!E:E,Match($A506,'Player Raw Data'!$B:$B,0)+2),INDEX('Player Raw Data'!E:E,Match($A506,'Player Raw Data'!$B:$B,0))),"")</f>
        <v/>
      </c>
      <c r="E506" s="27" t="str">
        <f>IFERROR(__xludf.DUMMYFUNCTION("IFERROR(ARRAY_CONSTRAIN(SPLIT(INDEX('Daily Raw Data'!G:G,Match($A506,'Daily Raw Data'!$B:$B,0)),"":""),1,1),"""")"),"")</f>
        <v/>
      </c>
      <c r="F506" t="str">
        <f t="array" ref="F506">IFERROR(INDEX('Daily Raw Data'!H:H,Match($A506,'Daily Raw Data'!$B:$B,0)),"")</f>
        <v/>
      </c>
      <c r="G506" t="str">
        <f t="array" ref="G506">IFERROR(INDEX('Daily Raw Data'!I:I,Match($A506,'Daily Raw Data'!$B:$B,0)),"")</f>
        <v/>
      </c>
      <c r="H506" t="str">
        <f t="array" ref="H506">IFERROR(INDEX('Daily Raw Data'!N:N,Match($A506,'Daily Raw Data'!$B:$B,0)),"")</f>
        <v/>
      </c>
      <c r="I506" t="str">
        <f t="array" ref="I506">IFERROR(INDEX('Daily Raw Data'!O:O,Match($A506,'Daily Raw Data'!$B:$B,0)),"")</f>
        <v/>
      </c>
      <c r="J506" t="str">
        <f t="array" ref="J506">IFERROR(INDEX('Daily Raw Data'!S:S,Match($A506,'Daily Raw Data'!$B:$B,0)),"")</f>
        <v/>
      </c>
      <c r="K506" t="str">
        <f t="array" ref="K506">IFERROR(INDEX('Daily Raw Data'!T:T,Match($A506,'Daily Raw Data'!$B:$B,0)),"")</f>
        <v/>
      </c>
      <c r="L506" t="str">
        <f t="array" ref="L506">IFERROR(INDEX('Daily Raw Data'!U:U,Match($A506,'Daily Raw Data'!$B:$B,0)),"")</f>
        <v/>
      </c>
      <c r="M506" t="str">
        <f t="array" ref="M506">IFERROR(INDEX('Daily Raw Data'!V:V,Match($A506,'Daily Raw Data'!$B:$B,0)),"")</f>
        <v/>
      </c>
      <c r="N506" t="str">
        <f t="array" ref="N506">IFERROR(INDEX('Daily Raw Data'!W:W,Match($A506,'Daily Raw Data'!$B:$B,0)),"")</f>
        <v/>
      </c>
      <c r="O506" t="str">
        <f t="array" ref="O506">IFERROR(INDEX('Daily Raw Data'!Y:Y,Match($A506,'Daily Raw Data'!$B:$B,0)),"")</f>
        <v/>
      </c>
      <c r="P506" t="str">
        <f t="shared" si="1"/>
        <v/>
      </c>
      <c r="Q506" s="14" t="str">
        <f t="shared" si="2"/>
        <v/>
      </c>
      <c r="R506" s="15" t="str">
        <f>IFERROR(__xludf.DUMMYFUNCTION("IF($A506="""","""", IFERROR(PERCENTRANK.INC(FILTER(P:P,$E:$E&lt;&gt;""""),P506)*100,""""))"),"")</f>
        <v/>
      </c>
      <c r="S506" s="15" t="str">
        <f>IFERROR(__xludf.DUMMYFUNCTION("IF($A506="""","""",IFERROR(PERCENTRANK.INC(FILTER(Q:Q,$E:$E&lt;&gt;""""),Q506)*100,""""))"),"")</f>
        <v/>
      </c>
    </row>
    <row r="507">
      <c r="B507" t="str">
        <f t="array" ref="B507">IFERROR(INDEX('Player Raw Data'!C:C,Match($A507,'Player Raw Data'!$B:$B,0)),"")</f>
        <v/>
      </c>
      <c r="C507" t="str">
        <f t="array" ref="C507">IFERROR(INDEX('Player Raw Data'!D:D,Match($A507,'Player Raw Data'!$B:$B,0)),"")</f>
        <v/>
      </c>
      <c r="D507" t="str">
        <f t="array" ref="D507">IFERROR(IF(A507=A506, INDEX('Player Raw Data'!E:E,Match($A507,'Player Raw Data'!$B:$B,0)+2),INDEX('Player Raw Data'!E:E,Match($A507,'Player Raw Data'!$B:$B,0))),"")</f>
        <v/>
      </c>
      <c r="E507" s="27" t="str">
        <f>IFERROR(__xludf.DUMMYFUNCTION("IFERROR(ARRAY_CONSTRAIN(SPLIT(INDEX('Daily Raw Data'!G:G,Match($A507,'Daily Raw Data'!$B:$B,0)),"":""),1,1),"""")"),"")</f>
        <v/>
      </c>
      <c r="F507" t="str">
        <f t="array" ref="F507">IFERROR(INDEX('Daily Raw Data'!H:H,Match($A507,'Daily Raw Data'!$B:$B,0)),"")</f>
        <v/>
      </c>
      <c r="G507" t="str">
        <f t="array" ref="G507">IFERROR(INDEX('Daily Raw Data'!I:I,Match($A507,'Daily Raw Data'!$B:$B,0)),"")</f>
        <v/>
      </c>
      <c r="H507" t="str">
        <f t="array" ref="H507">IFERROR(INDEX('Daily Raw Data'!N:N,Match($A507,'Daily Raw Data'!$B:$B,0)),"")</f>
        <v/>
      </c>
      <c r="I507" t="str">
        <f t="array" ref="I507">IFERROR(INDEX('Daily Raw Data'!O:O,Match($A507,'Daily Raw Data'!$B:$B,0)),"")</f>
        <v/>
      </c>
      <c r="J507" t="str">
        <f t="array" ref="J507">IFERROR(INDEX('Daily Raw Data'!S:S,Match($A507,'Daily Raw Data'!$B:$B,0)),"")</f>
        <v/>
      </c>
      <c r="K507" t="str">
        <f t="array" ref="K507">IFERROR(INDEX('Daily Raw Data'!T:T,Match($A507,'Daily Raw Data'!$B:$B,0)),"")</f>
        <v/>
      </c>
      <c r="L507" t="str">
        <f t="array" ref="L507">IFERROR(INDEX('Daily Raw Data'!U:U,Match($A507,'Daily Raw Data'!$B:$B,0)),"")</f>
        <v/>
      </c>
      <c r="M507" t="str">
        <f t="array" ref="M507">IFERROR(INDEX('Daily Raw Data'!V:V,Match($A507,'Daily Raw Data'!$B:$B,0)),"")</f>
        <v/>
      </c>
      <c r="N507" t="str">
        <f t="array" ref="N507">IFERROR(INDEX('Daily Raw Data'!W:W,Match($A507,'Daily Raw Data'!$B:$B,0)),"")</f>
        <v/>
      </c>
      <c r="O507" t="str">
        <f t="array" ref="O507">IFERROR(INDEX('Daily Raw Data'!Y:Y,Match($A507,'Daily Raw Data'!$B:$B,0)),"")</f>
        <v/>
      </c>
      <c r="P507" t="str">
        <f t="shared" si="1"/>
        <v/>
      </c>
      <c r="Q507" s="14" t="str">
        <f t="shared" si="2"/>
        <v/>
      </c>
      <c r="R507" s="15" t="str">
        <f>IFERROR(__xludf.DUMMYFUNCTION("IF($A507="""","""", IFERROR(PERCENTRANK.INC(FILTER(P:P,$E:$E&lt;&gt;""""),P507)*100,""""))"),"")</f>
        <v/>
      </c>
      <c r="S507" s="15" t="str">
        <f>IFERROR(__xludf.DUMMYFUNCTION("IF($A507="""","""",IFERROR(PERCENTRANK.INC(FILTER(Q:Q,$E:$E&lt;&gt;""""),Q507)*100,""""))"),"")</f>
        <v/>
      </c>
    </row>
    <row r="508">
      <c r="B508" t="str">
        <f t="array" ref="B508">IFERROR(INDEX('Player Raw Data'!C:C,Match($A508,'Player Raw Data'!$B:$B,0)),"")</f>
        <v/>
      </c>
      <c r="C508" t="str">
        <f t="array" ref="C508">IFERROR(INDEX('Player Raw Data'!D:D,Match($A508,'Player Raw Data'!$B:$B,0)),"")</f>
        <v/>
      </c>
      <c r="D508" t="str">
        <f t="array" ref="D508">IFERROR(IF(A508=A507, INDEX('Player Raw Data'!E:E,Match($A508,'Player Raw Data'!$B:$B,0)+2),INDEX('Player Raw Data'!E:E,Match($A508,'Player Raw Data'!$B:$B,0))),"")</f>
        <v/>
      </c>
      <c r="E508" s="27" t="str">
        <f>IFERROR(__xludf.DUMMYFUNCTION("IFERROR(ARRAY_CONSTRAIN(SPLIT(INDEX('Daily Raw Data'!G:G,Match($A508,'Daily Raw Data'!$B:$B,0)),"":""),1,1),"""")"),"")</f>
        <v/>
      </c>
      <c r="F508" t="str">
        <f t="array" ref="F508">IFERROR(INDEX('Daily Raw Data'!H:H,Match($A508,'Daily Raw Data'!$B:$B,0)),"")</f>
        <v/>
      </c>
      <c r="G508" t="str">
        <f t="array" ref="G508">IFERROR(INDEX('Daily Raw Data'!I:I,Match($A508,'Daily Raw Data'!$B:$B,0)),"")</f>
        <v/>
      </c>
      <c r="H508" t="str">
        <f t="array" ref="H508">IFERROR(INDEX('Daily Raw Data'!N:N,Match($A508,'Daily Raw Data'!$B:$B,0)),"")</f>
        <v/>
      </c>
      <c r="I508" t="str">
        <f t="array" ref="I508">IFERROR(INDEX('Daily Raw Data'!O:O,Match($A508,'Daily Raw Data'!$B:$B,0)),"")</f>
        <v/>
      </c>
      <c r="J508" t="str">
        <f t="array" ref="J508">IFERROR(INDEX('Daily Raw Data'!S:S,Match($A508,'Daily Raw Data'!$B:$B,0)),"")</f>
        <v/>
      </c>
      <c r="K508" t="str">
        <f t="array" ref="K508">IFERROR(INDEX('Daily Raw Data'!T:T,Match($A508,'Daily Raw Data'!$B:$B,0)),"")</f>
        <v/>
      </c>
      <c r="L508" t="str">
        <f t="array" ref="L508">IFERROR(INDEX('Daily Raw Data'!U:U,Match($A508,'Daily Raw Data'!$B:$B,0)),"")</f>
        <v/>
      </c>
      <c r="M508" t="str">
        <f t="array" ref="M508">IFERROR(INDEX('Daily Raw Data'!V:V,Match($A508,'Daily Raw Data'!$B:$B,0)),"")</f>
        <v/>
      </c>
      <c r="N508" t="str">
        <f t="array" ref="N508">IFERROR(INDEX('Daily Raw Data'!W:W,Match($A508,'Daily Raw Data'!$B:$B,0)),"")</f>
        <v/>
      </c>
      <c r="O508" t="str">
        <f t="array" ref="O508">IFERROR(INDEX('Daily Raw Data'!Y:Y,Match($A508,'Daily Raw Data'!$B:$B,0)),"")</f>
        <v/>
      </c>
      <c r="P508" t="str">
        <f t="shared" si="1"/>
        <v/>
      </c>
      <c r="Q508" s="14" t="str">
        <f t="shared" si="2"/>
        <v/>
      </c>
      <c r="R508" s="15" t="str">
        <f>IFERROR(__xludf.DUMMYFUNCTION("IF($A508="""","""", IFERROR(PERCENTRANK.INC(FILTER(P:P,$E:$E&lt;&gt;""""),P508)*100,""""))"),"")</f>
        <v/>
      </c>
      <c r="S508" s="15" t="str">
        <f>IFERROR(__xludf.DUMMYFUNCTION("IF($A508="""","""",IFERROR(PERCENTRANK.INC(FILTER(Q:Q,$E:$E&lt;&gt;""""),Q508)*100,""""))"),"")</f>
        <v/>
      </c>
    </row>
    <row r="509">
      <c r="B509" t="str">
        <f t="array" ref="B509">IFERROR(INDEX('Player Raw Data'!C:C,Match($A509,'Player Raw Data'!$B:$B,0)),"")</f>
        <v/>
      </c>
      <c r="C509" t="str">
        <f t="array" ref="C509">IFERROR(INDEX('Player Raw Data'!D:D,Match($A509,'Player Raw Data'!$B:$B,0)),"")</f>
        <v/>
      </c>
      <c r="D509" t="str">
        <f t="array" ref="D509">IFERROR(IF(A509=A508, INDEX('Player Raw Data'!E:E,Match($A509,'Player Raw Data'!$B:$B,0)+2),INDEX('Player Raw Data'!E:E,Match($A509,'Player Raw Data'!$B:$B,0))),"")</f>
        <v/>
      </c>
      <c r="E509" s="27" t="str">
        <f>IFERROR(__xludf.DUMMYFUNCTION("IFERROR(ARRAY_CONSTRAIN(SPLIT(INDEX('Daily Raw Data'!G:G,Match($A509,'Daily Raw Data'!$B:$B,0)),"":""),1,1),"""")"),"")</f>
        <v/>
      </c>
      <c r="F509" t="str">
        <f t="array" ref="F509">IFERROR(INDEX('Daily Raw Data'!H:H,Match($A509,'Daily Raw Data'!$B:$B,0)),"")</f>
        <v/>
      </c>
      <c r="G509" t="str">
        <f t="array" ref="G509">IFERROR(INDEX('Daily Raw Data'!I:I,Match($A509,'Daily Raw Data'!$B:$B,0)),"")</f>
        <v/>
      </c>
      <c r="H509" t="str">
        <f t="array" ref="H509">IFERROR(INDEX('Daily Raw Data'!N:N,Match($A509,'Daily Raw Data'!$B:$B,0)),"")</f>
        <v/>
      </c>
      <c r="I509" t="str">
        <f t="array" ref="I509">IFERROR(INDEX('Daily Raw Data'!O:O,Match($A509,'Daily Raw Data'!$B:$B,0)),"")</f>
        <v/>
      </c>
      <c r="J509" t="str">
        <f t="array" ref="J509">IFERROR(INDEX('Daily Raw Data'!S:S,Match($A509,'Daily Raw Data'!$B:$B,0)),"")</f>
        <v/>
      </c>
      <c r="K509" t="str">
        <f t="array" ref="K509">IFERROR(INDEX('Daily Raw Data'!T:T,Match($A509,'Daily Raw Data'!$B:$B,0)),"")</f>
        <v/>
      </c>
      <c r="L509" t="str">
        <f t="array" ref="L509">IFERROR(INDEX('Daily Raw Data'!U:U,Match($A509,'Daily Raw Data'!$B:$B,0)),"")</f>
        <v/>
      </c>
      <c r="M509" t="str">
        <f t="array" ref="M509">IFERROR(INDEX('Daily Raw Data'!V:V,Match($A509,'Daily Raw Data'!$B:$B,0)),"")</f>
        <v/>
      </c>
      <c r="N509" t="str">
        <f t="array" ref="N509">IFERROR(INDEX('Daily Raw Data'!W:W,Match($A509,'Daily Raw Data'!$B:$B,0)),"")</f>
        <v/>
      </c>
      <c r="O509" t="str">
        <f t="array" ref="O509">IFERROR(INDEX('Daily Raw Data'!Y:Y,Match($A509,'Daily Raw Data'!$B:$B,0)),"")</f>
        <v/>
      </c>
      <c r="P509" t="str">
        <f t="shared" si="1"/>
        <v/>
      </c>
      <c r="Q509" s="14" t="str">
        <f t="shared" si="2"/>
        <v/>
      </c>
      <c r="R509" s="15" t="str">
        <f>IFERROR(__xludf.DUMMYFUNCTION("IF($A509="""","""", IFERROR(PERCENTRANK.INC(FILTER(P:P,$E:$E&lt;&gt;""""),P509)*100,""""))"),"")</f>
        <v/>
      </c>
      <c r="S509" s="15" t="str">
        <f>IFERROR(__xludf.DUMMYFUNCTION("IF($A509="""","""",IFERROR(PERCENTRANK.INC(FILTER(Q:Q,$E:$E&lt;&gt;""""),Q509)*100,""""))"),"")</f>
        <v/>
      </c>
    </row>
    <row r="510">
      <c r="B510" t="str">
        <f t="array" ref="B510">IFERROR(INDEX('Player Raw Data'!C:C,Match($A510,'Player Raw Data'!$B:$B,0)),"")</f>
        <v/>
      </c>
      <c r="C510" t="str">
        <f t="array" ref="C510">IFERROR(INDEX('Player Raw Data'!D:D,Match($A510,'Player Raw Data'!$B:$B,0)),"")</f>
        <v/>
      </c>
      <c r="D510" t="str">
        <f t="array" ref="D510">IFERROR(IF(A510=A509, INDEX('Player Raw Data'!E:E,Match($A510,'Player Raw Data'!$B:$B,0)+2),INDEX('Player Raw Data'!E:E,Match($A510,'Player Raw Data'!$B:$B,0))),"")</f>
        <v/>
      </c>
      <c r="E510" s="27" t="str">
        <f>IFERROR(__xludf.DUMMYFUNCTION("IFERROR(ARRAY_CONSTRAIN(SPLIT(INDEX('Daily Raw Data'!G:G,Match($A510,'Daily Raw Data'!$B:$B,0)),"":""),1,1),"""")"),"")</f>
        <v/>
      </c>
      <c r="F510" t="str">
        <f t="array" ref="F510">IFERROR(INDEX('Daily Raw Data'!H:H,Match($A510,'Daily Raw Data'!$B:$B,0)),"")</f>
        <v/>
      </c>
      <c r="G510" t="str">
        <f t="array" ref="G510">IFERROR(INDEX('Daily Raw Data'!I:I,Match($A510,'Daily Raw Data'!$B:$B,0)),"")</f>
        <v/>
      </c>
      <c r="H510" t="str">
        <f t="array" ref="H510">IFERROR(INDEX('Daily Raw Data'!N:N,Match($A510,'Daily Raw Data'!$B:$B,0)),"")</f>
        <v/>
      </c>
      <c r="I510" t="str">
        <f t="array" ref="I510">IFERROR(INDEX('Daily Raw Data'!O:O,Match($A510,'Daily Raw Data'!$B:$B,0)),"")</f>
        <v/>
      </c>
      <c r="J510" t="str">
        <f t="array" ref="J510">IFERROR(INDEX('Daily Raw Data'!S:S,Match($A510,'Daily Raw Data'!$B:$B,0)),"")</f>
        <v/>
      </c>
      <c r="K510" t="str">
        <f t="array" ref="K510">IFERROR(INDEX('Daily Raw Data'!T:T,Match($A510,'Daily Raw Data'!$B:$B,0)),"")</f>
        <v/>
      </c>
      <c r="L510" t="str">
        <f t="array" ref="L510">IFERROR(INDEX('Daily Raw Data'!U:U,Match($A510,'Daily Raw Data'!$B:$B,0)),"")</f>
        <v/>
      </c>
      <c r="M510" t="str">
        <f t="array" ref="M510">IFERROR(INDEX('Daily Raw Data'!V:V,Match($A510,'Daily Raw Data'!$B:$B,0)),"")</f>
        <v/>
      </c>
      <c r="N510" t="str">
        <f t="array" ref="N510">IFERROR(INDEX('Daily Raw Data'!W:W,Match($A510,'Daily Raw Data'!$B:$B,0)),"")</f>
        <v/>
      </c>
      <c r="O510" t="str">
        <f t="array" ref="O510">IFERROR(INDEX('Daily Raw Data'!Y:Y,Match($A510,'Daily Raw Data'!$B:$B,0)),"")</f>
        <v/>
      </c>
      <c r="P510" t="str">
        <f t="shared" si="1"/>
        <v/>
      </c>
      <c r="Q510" s="14" t="str">
        <f t="shared" si="2"/>
        <v/>
      </c>
      <c r="R510" s="15" t="str">
        <f>IFERROR(__xludf.DUMMYFUNCTION("IF($A510="""","""", IFERROR(PERCENTRANK.INC(FILTER(P:P,$E:$E&lt;&gt;""""),P510)*100,""""))"),"")</f>
        <v/>
      </c>
      <c r="S510" s="15" t="str">
        <f>IFERROR(__xludf.DUMMYFUNCTION("IF($A510="""","""",IFERROR(PERCENTRANK.INC(FILTER(Q:Q,$E:$E&lt;&gt;""""),Q510)*100,""""))"),"")</f>
        <v/>
      </c>
    </row>
    <row r="511">
      <c r="B511" t="str">
        <f t="array" ref="B511">IFERROR(INDEX('Player Raw Data'!C:C,Match($A511,'Player Raw Data'!$B:$B,0)),"")</f>
        <v/>
      </c>
      <c r="C511" t="str">
        <f t="array" ref="C511">IFERROR(INDEX('Player Raw Data'!D:D,Match($A511,'Player Raw Data'!$B:$B,0)),"")</f>
        <v/>
      </c>
      <c r="D511" t="str">
        <f t="array" ref="D511">IFERROR(IF(A511=A510, INDEX('Player Raw Data'!E:E,Match($A511,'Player Raw Data'!$B:$B,0)+2),INDEX('Player Raw Data'!E:E,Match($A511,'Player Raw Data'!$B:$B,0))),"")</f>
        <v/>
      </c>
      <c r="E511" s="27" t="str">
        <f>IFERROR(__xludf.DUMMYFUNCTION("IFERROR(ARRAY_CONSTRAIN(SPLIT(INDEX('Daily Raw Data'!G:G,Match($A511,'Daily Raw Data'!$B:$B,0)),"":""),1,1),"""")"),"")</f>
        <v/>
      </c>
      <c r="F511" t="str">
        <f t="array" ref="F511">IFERROR(INDEX('Daily Raw Data'!H:H,Match($A511,'Daily Raw Data'!$B:$B,0)),"")</f>
        <v/>
      </c>
      <c r="G511" t="str">
        <f t="array" ref="G511">IFERROR(INDEX('Daily Raw Data'!I:I,Match($A511,'Daily Raw Data'!$B:$B,0)),"")</f>
        <v/>
      </c>
      <c r="H511" t="str">
        <f t="array" ref="H511">IFERROR(INDEX('Daily Raw Data'!N:N,Match($A511,'Daily Raw Data'!$B:$B,0)),"")</f>
        <v/>
      </c>
      <c r="I511" t="str">
        <f t="array" ref="I511">IFERROR(INDEX('Daily Raw Data'!O:O,Match($A511,'Daily Raw Data'!$B:$B,0)),"")</f>
        <v/>
      </c>
      <c r="J511" t="str">
        <f t="array" ref="J511">IFERROR(INDEX('Daily Raw Data'!S:S,Match($A511,'Daily Raw Data'!$B:$B,0)),"")</f>
        <v/>
      </c>
      <c r="K511" t="str">
        <f t="array" ref="K511">IFERROR(INDEX('Daily Raw Data'!T:T,Match($A511,'Daily Raw Data'!$B:$B,0)),"")</f>
        <v/>
      </c>
      <c r="L511" t="str">
        <f t="array" ref="L511">IFERROR(INDEX('Daily Raw Data'!U:U,Match($A511,'Daily Raw Data'!$B:$B,0)),"")</f>
        <v/>
      </c>
      <c r="M511" t="str">
        <f t="array" ref="M511">IFERROR(INDEX('Daily Raw Data'!V:V,Match($A511,'Daily Raw Data'!$B:$B,0)),"")</f>
        <v/>
      </c>
      <c r="N511" t="str">
        <f t="array" ref="N511">IFERROR(INDEX('Daily Raw Data'!W:W,Match($A511,'Daily Raw Data'!$B:$B,0)),"")</f>
        <v/>
      </c>
      <c r="O511" t="str">
        <f t="array" ref="O511">IFERROR(INDEX('Daily Raw Data'!Y:Y,Match($A511,'Daily Raw Data'!$B:$B,0)),"")</f>
        <v/>
      </c>
      <c r="P511" t="str">
        <f t="shared" si="1"/>
        <v/>
      </c>
      <c r="Q511" s="14" t="str">
        <f t="shared" si="2"/>
        <v/>
      </c>
      <c r="R511" s="15" t="str">
        <f>IFERROR(__xludf.DUMMYFUNCTION("IF($A511="""","""", IFERROR(PERCENTRANK.INC(FILTER(P:P,$E:$E&lt;&gt;""""),P511)*100,""""))"),"")</f>
        <v/>
      </c>
      <c r="S511" s="15" t="str">
        <f>IFERROR(__xludf.DUMMYFUNCTION("IF($A511="""","""",IFERROR(PERCENTRANK.INC(FILTER(Q:Q,$E:$E&lt;&gt;""""),Q511)*100,""""))"),"")</f>
        <v/>
      </c>
    </row>
    <row r="512">
      <c r="B512" t="str">
        <f t="array" ref="B512">IFERROR(INDEX('Player Raw Data'!C:C,Match($A512,'Player Raw Data'!$B:$B,0)),"")</f>
        <v/>
      </c>
      <c r="C512" t="str">
        <f t="array" ref="C512">IFERROR(INDEX('Player Raw Data'!D:D,Match($A512,'Player Raw Data'!$B:$B,0)),"")</f>
        <v/>
      </c>
      <c r="D512" t="str">
        <f t="array" ref="D512">IFERROR(IF(A512=A511, INDEX('Player Raw Data'!E:E,Match($A512,'Player Raw Data'!$B:$B,0)+2),INDEX('Player Raw Data'!E:E,Match($A512,'Player Raw Data'!$B:$B,0))),"")</f>
        <v/>
      </c>
      <c r="E512" s="27" t="str">
        <f>IFERROR(__xludf.DUMMYFUNCTION("IFERROR(ARRAY_CONSTRAIN(SPLIT(INDEX('Daily Raw Data'!G:G,Match($A512,'Daily Raw Data'!$B:$B,0)),"":""),1,1),"""")"),"")</f>
        <v/>
      </c>
      <c r="F512" t="str">
        <f t="array" ref="F512">IFERROR(INDEX('Daily Raw Data'!H:H,Match($A512,'Daily Raw Data'!$B:$B,0)),"")</f>
        <v/>
      </c>
      <c r="G512" t="str">
        <f t="array" ref="G512">IFERROR(INDEX('Daily Raw Data'!I:I,Match($A512,'Daily Raw Data'!$B:$B,0)),"")</f>
        <v/>
      </c>
      <c r="H512" t="str">
        <f t="array" ref="H512">IFERROR(INDEX('Daily Raw Data'!N:N,Match($A512,'Daily Raw Data'!$B:$B,0)),"")</f>
        <v/>
      </c>
      <c r="I512" t="str">
        <f t="array" ref="I512">IFERROR(INDEX('Daily Raw Data'!O:O,Match($A512,'Daily Raw Data'!$B:$B,0)),"")</f>
        <v/>
      </c>
      <c r="J512" t="str">
        <f t="array" ref="J512">IFERROR(INDEX('Daily Raw Data'!S:S,Match($A512,'Daily Raw Data'!$B:$B,0)),"")</f>
        <v/>
      </c>
      <c r="K512" t="str">
        <f t="array" ref="K512">IFERROR(INDEX('Daily Raw Data'!T:T,Match($A512,'Daily Raw Data'!$B:$B,0)),"")</f>
        <v/>
      </c>
      <c r="L512" t="str">
        <f t="array" ref="L512">IFERROR(INDEX('Daily Raw Data'!U:U,Match($A512,'Daily Raw Data'!$B:$B,0)),"")</f>
        <v/>
      </c>
      <c r="M512" t="str">
        <f t="array" ref="M512">IFERROR(INDEX('Daily Raw Data'!V:V,Match($A512,'Daily Raw Data'!$B:$B,0)),"")</f>
        <v/>
      </c>
      <c r="N512" t="str">
        <f t="array" ref="N512">IFERROR(INDEX('Daily Raw Data'!W:W,Match($A512,'Daily Raw Data'!$B:$B,0)),"")</f>
        <v/>
      </c>
      <c r="O512" t="str">
        <f t="array" ref="O512">IFERROR(INDEX('Daily Raw Data'!Y:Y,Match($A512,'Daily Raw Data'!$B:$B,0)),"")</f>
        <v/>
      </c>
      <c r="P512" t="str">
        <f t="shared" si="1"/>
        <v/>
      </c>
      <c r="Q512" s="14" t="str">
        <f t="shared" si="2"/>
        <v/>
      </c>
      <c r="R512" s="15" t="str">
        <f>IFERROR(__xludf.DUMMYFUNCTION("IF($A512="""","""", IFERROR(PERCENTRANK.INC(FILTER(P:P,$E:$E&lt;&gt;""""),P512)*100,""""))"),"")</f>
        <v/>
      </c>
      <c r="S512" s="15" t="str">
        <f>IFERROR(__xludf.DUMMYFUNCTION("IF($A512="""","""",IFERROR(PERCENTRANK.INC(FILTER(Q:Q,$E:$E&lt;&gt;""""),Q512)*100,""""))"),"")</f>
        <v/>
      </c>
    </row>
    <row r="513">
      <c r="B513" t="str">
        <f t="array" ref="B513">IFERROR(INDEX('Player Raw Data'!C:C,Match($A513,'Player Raw Data'!$B:$B,0)),"")</f>
        <v/>
      </c>
      <c r="C513" t="str">
        <f t="array" ref="C513">IFERROR(INDEX('Player Raw Data'!D:D,Match($A513,'Player Raw Data'!$B:$B,0)),"")</f>
        <v/>
      </c>
      <c r="D513" t="str">
        <f t="array" ref="D513">IFERROR(IF(A513=A512, INDEX('Player Raw Data'!E:E,Match($A513,'Player Raw Data'!$B:$B,0)+2),INDEX('Player Raw Data'!E:E,Match($A513,'Player Raw Data'!$B:$B,0))),"")</f>
        <v/>
      </c>
      <c r="E513" s="27" t="str">
        <f>IFERROR(__xludf.DUMMYFUNCTION("IFERROR(ARRAY_CONSTRAIN(SPLIT(INDEX('Daily Raw Data'!G:G,Match($A513,'Daily Raw Data'!$B:$B,0)),"":""),1,1),"""")"),"")</f>
        <v/>
      </c>
      <c r="F513" t="str">
        <f t="array" ref="F513">IFERROR(INDEX('Daily Raw Data'!H:H,Match($A513,'Daily Raw Data'!$B:$B,0)),"")</f>
        <v/>
      </c>
      <c r="G513" t="str">
        <f t="array" ref="G513">IFERROR(INDEX('Daily Raw Data'!I:I,Match($A513,'Daily Raw Data'!$B:$B,0)),"")</f>
        <v/>
      </c>
      <c r="H513" t="str">
        <f t="array" ref="H513">IFERROR(INDEX('Daily Raw Data'!N:N,Match($A513,'Daily Raw Data'!$B:$B,0)),"")</f>
        <v/>
      </c>
      <c r="I513" t="str">
        <f t="array" ref="I513">IFERROR(INDEX('Daily Raw Data'!O:O,Match($A513,'Daily Raw Data'!$B:$B,0)),"")</f>
        <v/>
      </c>
      <c r="J513" t="str">
        <f t="array" ref="J513">IFERROR(INDEX('Daily Raw Data'!S:S,Match($A513,'Daily Raw Data'!$B:$B,0)),"")</f>
        <v/>
      </c>
      <c r="K513" t="str">
        <f t="array" ref="K513">IFERROR(INDEX('Daily Raw Data'!T:T,Match($A513,'Daily Raw Data'!$B:$B,0)),"")</f>
        <v/>
      </c>
      <c r="L513" t="str">
        <f t="array" ref="L513">IFERROR(INDEX('Daily Raw Data'!U:U,Match($A513,'Daily Raw Data'!$B:$B,0)),"")</f>
        <v/>
      </c>
      <c r="M513" t="str">
        <f t="array" ref="M513">IFERROR(INDEX('Daily Raw Data'!V:V,Match($A513,'Daily Raw Data'!$B:$B,0)),"")</f>
        <v/>
      </c>
      <c r="N513" t="str">
        <f t="array" ref="N513">IFERROR(INDEX('Daily Raw Data'!W:W,Match($A513,'Daily Raw Data'!$B:$B,0)),"")</f>
        <v/>
      </c>
      <c r="O513" t="str">
        <f t="array" ref="O513">IFERROR(INDEX('Daily Raw Data'!Y:Y,Match($A513,'Daily Raw Data'!$B:$B,0)),"")</f>
        <v/>
      </c>
      <c r="P513" t="str">
        <f t="shared" si="1"/>
        <v/>
      </c>
      <c r="Q513" s="14" t="str">
        <f t="shared" si="2"/>
        <v/>
      </c>
      <c r="R513" s="15" t="str">
        <f>IFERROR(__xludf.DUMMYFUNCTION("IF($A513="""","""", IFERROR(PERCENTRANK.INC(FILTER(P:P,$E:$E&lt;&gt;""""),P513)*100,""""))"),"")</f>
        <v/>
      </c>
      <c r="S513" s="15" t="str">
        <f>IFERROR(__xludf.DUMMYFUNCTION("IF($A513="""","""",IFERROR(PERCENTRANK.INC(FILTER(Q:Q,$E:$E&lt;&gt;""""),Q513)*100,""""))"),"")</f>
        <v/>
      </c>
    </row>
    <row r="514">
      <c r="B514" t="str">
        <f t="array" ref="B514">IFERROR(INDEX('Player Raw Data'!C:C,Match($A514,'Player Raw Data'!$B:$B,0)),"")</f>
        <v/>
      </c>
      <c r="C514" t="str">
        <f t="array" ref="C514">IFERROR(INDEX('Player Raw Data'!D:D,Match($A514,'Player Raw Data'!$B:$B,0)),"")</f>
        <v/>
      </c>
      <c r="D514" t="str">
        <f t="array" ref="D514">IFERROR(IF(A514=A513, INDEX('Player Raw Data'!E:E,Match($A514,'Player Raw Data'!$B:$B,0)+2),INDEX('Player Raw Data'!E:E,Match($A514,'Player Raw Data'!$B:$B,0))),"")</f>
        <v/>
      </c>
      <c r="E514" s="27" t="str">
        <f>IFERROR(__xludf.DUMMYFUNCTION("IFERROR(ARRAY_CONSTRAIN(SPLIT(INDEX('Daily Raw Data'!G:G,Match($A514,'Daily Raw Data'!$B:$B,0)),"":""),1,1),"""")"),"")</f>
        <v/>
      </c>
      <c r="F514" t="str">
        <f t="array" ref="F514">IFERROR(INDEX('Daily Raw Data'!H:H,Match($A514,'Daily Raw Data'!$B:$B,0)),"")</f>
        <v/>
      </c>
      <c r="G514" t="str">
        <f t="array" ref="G514">IFERROR(INDEX('Daily Raw Data'!I:I,Match($A514,'Daily Raw Data'!$B:$B,0)),"")</f>
        <v/>
      </c>
      <c r="H514" t="str">
        <f t="array" ref="H514">IFERROR(INDEX('Daily Raw Data'!N:N,Match($A514,'Daily Raw Data'!$B:$B,0)),"")</f>
        <v/>
      </c>
      <c r="I514" t="str">
        <f t="array" ref="I514">IFERROR(INDEX('Daily Raw Data'!O:O,Match($A514,'Daily Raw Data'!$B:$B,0)),"")</f>
        <v/>
      </c>
      <c r="J514" t="str">
        <f t="array" ref="J514">IFERROR(INDEX('Daily Raw Data'!S:S,Match($A514,'Daily Raw Data'!$B:$B,0)),"")</f>
        <v/>
      </c>
      <c r="K514" t="str">
        <f t="array" ref="K514">IFERROR(INDEX('Daily Raw Data'!T:T,Match($A514,'Daily Raw Data'!$B:$B,0)),"")</f>
        <v/>
      </c>
      <c r="L514" t="str">
        <f t="array" ref="L514">IFERROR(INDEX('Daily Raw Data'!U:U,Match($A514,'Daily Raw Data'!$B:$B,0)),"")</f>
        <v/>
      </c>
      <c r="M514" t="str">
        <f t="array" ref="M514">IFERROR(INDEX('Daily Raw Data'!V:V,Match($A514,'Daily Raw Data'!$B:$B,0)),"")</f>
        <v/>
      </c>
      <c r="N514" t="str">
        <f t="array" ref="N514">IFERROR(INDEX('Daily Raw Data'!W:W,Match($A514,'Daily Raw Data'!$B:$B,0)),"")</f>
        <v/>
      </c>
      <c r="O514" t="str">
        <f t="array" ref="O514">IFERROR(INDEX('Daily Raw Data'!Y:Y,Match($A514,'Daily Raw Data'!$B:$B,0)),"")</f>
        <v/>
      </c>
      <c r="P514" t="str">
        <f t="shared" si="1"/>
        <v/>
      </c>
      <c r="Q514" s="14" t="str">
        <f t="shared" si="2"/>
        <v/>
      </c>
      <c r="R514" s="15" t="str">
        <f>IFERROR(__xludf.DUMMYFUNCTION("IF($A514="""","""", IFERROR(PERCENTRANK.INC(FILTER(P:P,$E:$E&lt;&gt;""""),P514)*100,""""))"),"")</f>
        <v/>
      </c>
      <c r="S514" s="15" t="str">
        <f>IFERROR(__xludf.DUMMYFUNCTION("IF($A514="""","""",IFERROR(PERCENTRANK.INC(FILTER(Q:Q,$E:$E&lt;&gt;""""),Q514)*100,""""))"),"")</f>
        <v/>
      </c>
    </row>
    <row r="515">
      <c r="B515" t="str">
        <f t="array" ref="B515">IFERROR(INDEX('Player Raw Data'!C:C,Match($A515,'Player Raw Data'!$B:$B,0)),"")</f>
        <v/>
      </c>
      <c r="C515" t="str">
        <f t="array" ref="C515">IFERROR(INDEX('Player Raw Data'!D:D,Match($A515,'Player Raw Data'!$B:$B,0)),"")</f>
        <v/>
      </c>
      <c r="D515" t="str">
        <f t="array" ref="D515">IFERROR(IF(A515=A514, INDEX('Player Raw Data'!E:E,Match($A515,'Player Raw Data'!$B:$B,0)+2),INDEX('Player Raw Data'!E:E,Match($A515,'Player Raw Data'!$B:$B,0))),"")</f>
        <v/>
      </c>
      <c r="E515" s="27" t="str">
        <f>IFERROR(__xludf.DUMMYFUNCTION("IFERROR(ARRAY_CONSTRAIN(SPLIT(INDEX('Daily Raw Data'!G:G,Match($A515,'Daily Raw Data'!$B:$B,0)),"":""),1,1),"""")"),"")</f>
        <v/>
      </c>
      <c r="F515" t="str">
        <f t="array" ref="F515">IFERROR(INDEX('Daily Raw Data'!H:H,Match($A515,'Daily Raw Data'!$B:$B,0)),"")</f>
        <v/>
      </c>
      <c r="G515" t="str">
        <f t="array" ref="G515">IFERROR(INDEX('Daily Raw Data'!I:I,Match($A515,'Daily Raw Data'!$B:$B,0)),"")</f>
        <v/>
      </c>
      <c r="H515" t="str">
        <f t="array" ref="H515">IFERROR(INDEX('Daily Raw Data'!N:N,Match($A515,'Daily Raw Data'!$B:$B,0)),"")</f>
        <v/>
      </c>
      <c r="I515" t="str">
        <f t="array" ref="I515">IFERROR(INDEX('Daily Raw Data'!O:O,Match($A515,'Daily Raw Data'!$B:$B,0)),"")</f>
        <v/>
      </c>
      <c r="J515" t="str">
        <f t="array" ref="J515">IFERROR(INDEX('Daily Raw Data'!S:S,Match($A515,'Daily Raw Data'!$B:$B,0)),"")</f>
        <v/>
      </c>
      <c r="K515" t="str">
        <f t="array" ref="K515">IFERROR(INDEX('Daily Raw Data'!T:T,Match($A515,'Daily Raw Data'!$B:$B,0)),"")</f>
        <v/>
      </c>
      <c r="L515" t="str">
        <f t="array" ref="L515">IFERROR(INDEX('Daily Raw Data'!U:U,Match($A515,'Daily Raw Data'!$B:$B,0)),"")</f>
        <v/>
      </c>
      <c r="M515" t="str">
        <f t="array" ref="M515">IFERROR(INDEX('Daily Raw Data'!V:V,Match($A515,'Daily Raw Data'!$B:$B,0)),"")</f>
        <v/>
      </c>
      <c r="N515" t="str">
        <f t="array" ref="N515">IFERROR(INDEX('Daily Raw Data'!W:W,Match($A515,'Daily Raw Data'!$B:$B,0)),"")</f>
        <v/>
      </c>
      <c r="O515" t="str">
        <f t="array" ref="O515">IFERROR(INDEX('Daily Raw Data'!Y:Y,Match($A515,'Daily Raw Data'!$B:$B,0)),"")</f>
        <v/>
      </c>
      <c r="P515" t="str">
        <f t="shared" si="1"/>
        <v/>
      </c>
      <c r="Q515" s="14" t="str">
        <f t="shared" si="2"/>
        <v/>
      </c>
      <c r="R515" s="15" t="str">
        <f>IFERROR(__xludf.DUMMYFUNCTION("IF($A515="""","""", IFERROR(PERCENTRANK.INC(FILTER(P:P,$E:$E&lt;&gt;""""),P515)*100,""""))"),"")</f>
        <v/>
      </c>
      <c r="S515" s="15" t="str">
        <f>IFERROR(__xludf.DUMMYFUNCTION("IF($A515="""","""",IFERROR(PERCENTRANK.INC(FILTER(Q:Q,$E:$E&lt;&gt;""""),Q515)*100,""""))"),"")</f>
        <v/>
      </c>
    </row>
    <row r="516">
      <c r="B516" t="str">
        <f t="array" ref="B516">IFERROR(INDEX('Player Raw Data'!C:C,Match($A516,'Player Raw Data'!$B:$B,0)),"")</f>
        <v/>
      </c>
      <c r="C516" t="str">
        <f t="array" ref="C516">IFERROR(INDEX('Player Raw Data'!D:D,Match($A516,'Player Raw Data'!$B:$B,0)),"")</f>
        <v/>
      </c>
      <c r="D516" t="str">
        <f t="array" ref="D516">IFERROR(IF(A516=A515, INDEX('Player Raw Data'!E:E,Match($A516,'Player Raw Data'!$B:$B,0)+2),INDEX('Player Raw Data'!E:E,Match($A516,'Player Raw Data'!$B:$B,0))),"")</f>
        <v/>
      </c>
      <c r="E516" s="27" t="str">
        <f>IFERROR(__xludf.DUMMYFUNCTION("IFERROR(ARRAY_CONSTRAIN(SPLIT(INDEX('Daily Raw Data'!G:G,Match($A516,'Daily Raw Data'!$B:$B,0)),"":""),1,1),"""")"),"")</f>
        <v/>
      </c>
      <c r="F516" t="str">
        <f t="array" ref="F516">IFERROR(INDEX('Daily Raw Data'!H:H,Match($A516,'Daily Raw Data'!$B:$B,0)),"")</f>
        <v/>
      </c>
      <c r="G516" t="str">
        <f t="array" ref="G516">IFERROR(INDEX('Daily Raw Data'!I:I,Match($A516,'Daily Raw Data'!$B:$B,0)),"")</f>
        <v/>
      </c>
      <c r="H516" t="str">
        <f t="array" ref="H516">IFERROR(INDEX('Daily Raw Data'!N:N,Match($A516,'Daily Raw Data'!$B:$B,0)),"")</f>
        <v/>
      </c>
      <c r="I516" t="str">
        <f t="array" ref="I516">IFERROR(INDEX('Daily Raw Data'!O:O,Match($A516,'Daily Raw Data'!$B:$B,0)),"")</f>
        <v/>
      </c>
      <c r="J516" t="str">
        <f t="array" ref="J516">IFERROR(INDEX('Daily Raw Data'!S:S,Match($A516,'Daily Raw Data'!$B:$B,0)),"")</f>
        <v/>
      </c>
      <c r="K516" t="str">
        <f t="array" ref="K516">IFERROR(INDEX('Daily Raw Data'!T:T,Match($A516,'Daily Raw Data'!$B:$B,0)),"")</f>
        <v/>
      </c>
      <c r="L516" t="str">
        <f t="array" ref="L516">IFERROR(INDEX('Daily Raw Data'!U:U,Match($A516,'Daily Raw Data'!$B:$B,0)),"")</f>
        <v/>
      </c>
      <c r="M516" t="str">
        <f t="array" ref="M516">IFERROR(INDEX('Daily Raw Data'!V:V,Match($A516,'Daily Raw Data'!$B:$B,0)),"")</f>
        <v/>
      </c>
      <c r="N516" t="str">
        <f t="array" ref="N516">IFERROR(INDEX('Daily Raw Data'!W:W,Match($A516,'Daily Raw Data'!$B:$B,0)),"")</f>
        <v/>
      </c>
      <c r="O516" t="str">
        <f t="array" ref="O516">IFERROR(INDEX('Daily Raw Data'!Y:Y,Match($A516,'Daily Raw Data'!$B:$B,0)),"")</f>
        <v/>
      </c>
      <c r="P516" t="str">
        <f t="shared" si="1"/>
        <v/>
      </c>
      <c r="Q516" s="14" t="str">
        <f t="shared" si="2"/>
        <v/>
      </c>
      <c r="R516" s="15" t="str">
        <f>IFERROR(__xludf.DUMMYFUNCTION("IF($A516="""","""", IFERROR(PERCENTRANK.INC(FILTER(P:P,$E:$E&lt;&gt;""""),P516)*100,""""))"),"")</f>
        <v/>
      </c>
      <c r="S516" s="15" t="str">
        <f>IFERROR(__xludf.DUMMYFUNCTION("IF($A516="""","""",IFERROR(PERCENTRANK.INC(FILTER(Q:Q,$E:$E&lt;&gt;""""),Q516)*100,""""))"),"")</f>
        <v/>
      </c>
    </row>
    <row r="517">
      <c r="B517" t="str">
        <f t="array" ref="B517">IFERROR(INDEX('Player Raw Data'!C:C,Match($A517,'Player Raw Data'!$B:$B,0)),"")</f>
        <v/>
      </c>
      <c r="C517" t="str">
        <f t="array" ref="C517">IFERROR(INDEX('Player Raw Data'!D:D,Match($A517,'Player Raw Data'!$B:$B,0)),"")</f>
        <v/>
      </c>
      <c r="D517" t="str">
        <f t="array" ref="D517">IFERROR(IF(A517=A516, INDEX('Player Raw Data'!E:E,Match($A517,'Player Raw Data'!$B:$B,0)+2),INDEX('Player Raw Data'!E:E,Match($A517,'Player Raw Data'!$B:$B,0))),"")</f>
        <v/>
      </c>
      <c r="E517" s="27" t="str">
        <f>IFERROR(__xludf.DUMMYFUNCTION("IFERROR(ARRAY_CONSTRAIN(SPLIT(INDEX('Daily Raw Data'!G:G,Match($A517,'Daily Raw Data'!$B:$B,0)),"":""),1,1),"""")"),"")</f>
        <v/>
      </c>
      <c r="F517" t="str">
        <f t="array" ref="F517">IFERROR(INDEX('Daily Raw Data'!H:H,Match($A517,'Daily Raw Data'!$B:$B,0)),"")</f>
        <v/>
      </c>
      <c r="G517" t="str">
        <f t="array" ref="G517">IFERROR(INDEX('Daily Raw Data'!I:I,Match($A517,'Daily Raw Data'!$B:$B,0)),"")</f>
        <v/>
      </c>
      <c r="H517" t="str">
        <f t="array" ref="H517">IFERROR(INDEX('Daily Raw Data'!N:N,Match($A517,'Daily Raw Data'!$B:$B,0)),"")</f>
        <v/>
      </c>
      <c r="I517" t="str">
        <f t="array" ref="I517">IFERROR(INDEX('Daily Raw Data'!O:O,Match($A517,'Daily Raw Data'!$B:$B,0)),"")</f>
        <v/>
      </c>
      <c r="J517" t="str">
        <f t="array" ref="J517">IFERROR(INDEX('Daily Raw Data'!S:S,Match($A517,'Daily Raw Data'!$B:$B,0)),"")</f>
        <v/>
      </c>
      <c r="K517" t="str">
        <f t="array" ref="K517">IFERROR(INDEX('Daily Raw Data'!T:T,Match($A517,'Daily Raw Data'!$B:$B,0)),"")</f>
        <v/>
      </c>
      <c r="L517" t="str">
        <f t="array" ref="L517">IFERROR(INDEX('Daily Raw Data'!U:U,Match($A517,'Daily Raw Data'!$B:$B,0)),"")</f>
        <v/>
      </c>
      <c r="M517" t="str">
        <f t="array" ref="M517">IFERROR(INDEX('Daily Raw Data'!V:V,Match($A517,'Daily Raw Data'!$B:$B,0)),"")</f>
        <v/>
      </c>
      <c r="N517" t="str">
        <f t="array" ref="N517">IFERROR(INDEX('Daily Raw Data'!W:W,Match($A517,'Daily Raw Data'!$B:$B,0)),"")</f>
        <v/>
      </c>
      <c r="O517" t="str">
        <f t="array" ref="O517">IFERROR(INDEX('Daily Raw Data'!Y:Y,Match($A517,'Daily Raw Data'!$B:$B,0)),"")</f>
        <v/>
      </c>
      <c r="P517" t="str">
        <f t="shared" si="1"/>
        <v/>
      </c>
      <c r="Q517" s="14" t="str">
        <f t="shared" si="2"/>
        <v/>
      </c>
      <c r="R517" s="15" t="str">
        <f>IFERROR(__xludf.DUMMYFUNCTION("IF($A517="""","""", IFERROR(PERCENTRANK.INC(FILTER(P:P,$E:$E&lt;&gt;""""),P517)*100,""""))"),"")</f>
        <v/>
      </c>
      <c r="S517" s="15" t="str">
        <f>IFERROR(__xludf.DUMMYFUNCTION("IF($A517="""","""",IFERROR(PERCENTRANK.INC(FILTER(Q:Q,$E:$E&lt;&gt;""""),Q517)*100,""""))"),"")</f>
        <v/>
      </c>
    </row>
    <row r="518">
      <c r="B518" t="str">
        <f t="array" ref="B518">IFERROR(INDEX('Player Raw Data'!C:C,Match($A518,'Player Raw Data'!$B:$B,0)),"")</f>
        <v/>
      </c>
      <c r="C518" t="str">
        <f t="array" ref="C518">IFERROR(INDEX('Player Raw Data'!D:D,Match($A518,'Player Raw Data'!$B:$B,0)),"")</f>
        <v/>
      </c>
      <c r="D518" t="str">
        <f t="array" ref="D518">IFERROR(IF(A518=A517, INDEX('Player Raw Data'!E:E,Match($A518,'Player Raw Data'!$B:$B,0)+2),INDEX('Player Raw Data'!E:E,Match($A518,'Player Raw Data'!$B:$B,0))),"")</f>
        <v/>
      </c>
      <c r="E518" s="27" t="str">
        <f>IFERROR(__xludf.DUMMYFUNCTION("IFERROR(ARRAY_CONSTRAIN(SPLIT(INDEX('Daily Raw Data'!G:G,Match($A518,'Daily Raw Data'!$B:$B,0)),"":""),1,1),"""")"),"")</f>
        <v/>
      </c>
      <c r="F518" t="str">
        <f t="array" ref="F518">IFERROR(INDEX('Daily Raw Data'!H:H,Match($A518,'Daily Raw Data'!$B:$B,0)),"")</f>
        <v/>
      </c>
      <c r="G518" t="str">
        <f t="array" ref="G518">IFERROR(INDEX('Daily Raw Data'!I:I,Match($A518,'Daily Raw Data'!$B:$B,0)),"")</f>
        <v/>
      </c>
      <c r="H518" t="str">
        <f t="array" ref="H518">IFERROR(INDEX('Daily Raw Data'!N:N,Match($A518,'Daily Raw Data'!$B:$B,0)),"")</f>
        <v/>
      </c>
      <c r="I518" t="str">
        <f t="array" ref="I518">IFERROR(INDEX('Daily Raw Data'!O:O,Match($A518,'Daily Raw Data'!$B:$B,0)),"")</f>
        <v/>
      </c>
      <c r="J518" t="str">
        <f t="array" ref="J518">IFERROR(INDEX('Daily Raw Data'!S:S,Match($A518,'Daily Raw Data'!$B:$B,0)),"")</f>
        <v/>
      </c>
      <c r="K518" t="str">
        <f t="array" ref="K518">IFERROR(INDEX('Daily Raw Data'!T:T,Match($A518,'Daily Raw Data'!$B:$B,0)),"")</f>
        <v/>
      </c>
      <c r="L518" t="str">
        <f t="array" ref="L518">IFERROR(INDEX('Daily Raw Data'!U:U,Match($A518,'Daily Raw Data'!$B:$B,0)),"")</f>
        <v/>
      </c>
      <c r="M518" t="str">
        <f t="array" ref="M518">IFERROR(INDEX('Daily Raw Data'!V:V,Match($A518,'Daily Raw Data'!$B:$B,0)),"")</f>
        <v/>
      </c>
      <c r="N518" t="str">
        <f t="array" ref="N518">IFERROR(INDEX('Daily Raw Data'!W:W,Match($A518,'Daily Raw Data'!$B:$B,0)),"")</f>
        <v/>
      </c>
      <c r="O518" t="str">
        <f t="array" ref="O518">IFERROR(INDEX('Daily Raw Data'!Y:Y,Match($A518,'Daily Raw Data'!$B:$B,0)),"")</f>
        <v/>
      </c>
      <c r="P518" t="str">
        <f t="shared" si="1"/>
        <v/>
      </c>
      <c r="Q518" s="14" t="str">
        <f t="shared" si="2"/>
        <v/>
      </c>
      <c r="R518" s="15" t="str">
        <f>IFERROR(__xludf.DUMMYFUNCTION("IF($A518="""","""", IFERROR(PERCENTRANK.INC(FILTER(P:P,$E:$E&lt;&gt;""""),P518)*100,""""))"),"")</f>
        <v/>
      </c>
      <c r="S518" s="15" t="str">
        <f>IFERROR(__xludf.DUMMYFUNCTION("IF($A518="""","""",IFERROR(PERCENTRANK.INC(FILTER(Q:Q,$E:$E&lt;&gt;""""),Q518)*100,""""))"),"")</f>
        <v/>
      </c>
    </row>
    <row r="519">
      <c r="B519" t="str">
        <f t="array" ref="B519">IFERROR(INDEX('Player Raw Data'!C:C,Match($A519,'Player Raw Data'!$B:$B,0)),"")</f>
        <v/>
      </c>
      <c r="C519" t="str">
        <f t="array" ref="C519">IFERROR(INDEX('Player Raw Data'!D:D,Match($A519,'Player Raw Data'!$B:$B,0)),"")</f>
        <v/>
      </c>
      <c r="D519" t="str">
        <f t="array" ref="D519">IFERROR(IF(A519=A518, INDEX('Player Raw Data'!E:E,Match($A519,'Player Raw Data'!$B:$B,0)+2),INDEX('Player Raw Data'!E:E,Match($A519,'Player Raw Data'!$B:$B,0))),"")</f>
        <v/>
      </c>
      <c r="E519" s="27" t="str">
        <f>IFERROR(__xludf.DUMMYFUNCTION("IFERROR(ARRAY_CONSTRAIN(SPLIT(INDEX('Daily Raw Data'!G:G,Match($A519,'Daily Raw Data'!$B:$B,0)),"":""),1,1),"""")"),"")</f>
        <v/>
      </c>
      <c r="F519" t="str">
        <f t="array" ref="F519">IFERROR(INDEX('Daily Raw Data'!H:H,Match($A519,'Daily Raw Data'!$B:$B,0)),"")</f>
        <v/>
      </c>
      <c r="G519" t="str">
        <f t="array" ref="G519">IFERROR(INDEX('Daily Raw Data'!I:I,Match($A519,'Daily Raw Data'!$B:$B,0)),"")</f>
        <v/>
      </c>
      <c r="H519" t="str">
        <f t="array" ref="H519">IFERROR(INDEX('Daily Raw Data'!N:N,Match($A519,'Daily Raw Data'!$B:$B,0)),"")</f>
        <v/>
      </c>
      <c r="I519" t="str">
        <f t="array" ref="I519">IFERROR(INDEX('Daily Raw Data'!O:O,Match($A519,'Daily Raw Data'!$B:$B,0)),"")</f>
        <v/>
      </c>
      <c r="J519" t="str">
        <f t="array" ref="J519">IFERROR(INDEX('Daily Raw Data'!S:S,Match($A519,'Daily Raw Data'!$B:$B,0)),"")</f>
        <v/>
      </c>
      <c r="K519" t="str">
        <f t="array" ref="K519">IFERROR(INDEX('Daily Raw Data'!T:T,Match($A519,'Daily Raw Data'!$B:$B,0)),"")</f>
        <v/>
      </c>
      <c r="L519" t="str">
        <f t="array" ref="L519">IFERROR(INDEX('Daily Raw Data'!U:U,Match($A519,'Daily Raw Data'!$B:$B,0)),"")</f>
        <v/>
      </c>
      <c r="M519" t="str">
        <f t="array" ref="M519">IFERROR(INDEX('Daily Raw Data'!V:V,Match($A519,'Daily Raw Data'!$B:$B,0)),"")</f>
        <v/>
      </c>
      <c r="N519" t="str">
        <f t="array" ref="N519">IFERROR(INDEX('Daily Raw Data'!W:W,Match($A519,'Daily Raw Data'!$B:$B,0)),"")</f>
        <v/>
      </c>
      <c r="O519" t="str">
        <f t="array" ref="O519">IFERROR(INDEX('Daily Raw Data'!Y:Y,Match($A519,'Daily Raw Data'!$B:$B,0)),"")</f>
        <v/>
      </c>
      <c r="P519" t="str">
        <f t="shared" si="1"/>
        <v/>
      </c>
      <c r="Q519" s="14" t="str">
        <f t="shared" si="2"/>
        <v/>
      </c>
      <c r="R519" s="15" t="str">
        <f>IFERROR(__xludf.DUMMYFUNCTION("IF($A519="""","""", IFERROR(PERCENTRANK.INC(FILTER(P:P,$E:$E&lt;&gt;""""),P519)*100,""""))"),"")</f>
        <v/>
      </c>
      <c r="S519" s="15" t="str">
        <f>IFERROR(__xludf.DUMMYFUNCTION("IF($A519="""","""",IFERROR(PERCENTRANK.INC(FILTER(Q:Q,$E:$E&lt;&gt;""""),Q519)*100,""""))"),"")</f>
        <v/>
      </c>
    </row>
    <row r="520">
      <c r="B520" t="str">
        <f t="array" ref="B520">IFERROR(INDEX('Player Raw Data'!C:C,Match($A520,'Player Raw Data'!$B:$B,0)),"")</f>
        <v/>
      </c>
      <c r="C520" t="str">
        <f t="array" ref="C520">IFERROR(INDEX('Player Raw Data'!D:D,Match($A520,'Player Raw Data'!$B:$B,0)),"")</f>
        <v/>
      </c>
      <c r="D520" t="str">
        <f t="array" ref="D520">IFERROR(IF(A520=A519, INDEX('Player Raw Data'!E:E,Match($A520,'Player Raw Data'!$B:$B,0)+2),INDEX('Player Raw Data'!E:E,Match($A520,'Player Raw Data'!$B:$B,0))),"")</f>
        <v/>
      </c>
      <c r="E520" s="27" t="str">
        <f>IFERROR(__xludf.DUMMYFUNCTION("IFERROR(ARRAY_CONSTRAIN(SPLIT(INDEX('Daily Raw Data'!G:G,Match($A520,'Daily Raw Data'!$B:$B,0)),"":""),1,1),"""")"),"")</f>
        <v/>
      </c>
      <c r="F520" t="str">
        <f t="array" ref="F520">IFERROR(INDEX('Daily Raw Data'!H:H,Match($A520,'Daily Raw Data'!$B:$B,0)),"")</f>
        <v/>
      </c>
      <c r="G520" t="str">
        <f t="array" ref="G520">IFERROR(INDEX('Daily Raw Data'!I:I,Match($A520,'Daily Raw Data'!$B:$B,0)),"")</f>
        <v/>
      </c>
      <c r="H520" t="str">
        <f t="array" ref="H520">IFERROR(INDEX('Daily Raw Data'!N:N,Match($A520,'Daily Raw Data'!$B:$B,0)),"")</f>
        <v/>
      </c>
      <c r="I520" t="str">
        <f t="array" ref="I520">IFERROR(INDEX('Daily Raw Data'!O:O,Match($A520,'Daily Raw Data'!$B:$B,0)),"")</f>
        <v/>
      </c>
      <c r="J520" t="str">
        <f t="array" ref="J520">IFERROR(INDEX('Daily Raw Data'!S:S,Match($A520,'Daily Raw Data'!$B:$B,0)),"")</f>
        <v/>
      </c>
      <c r="K520" t="str">
        <f t="array" ref="K520">IFERROR(INDEX('Daily Raw Data'!T:T,Match($A520,'Daily Raw Data'!$B:$B,0)),"")</f>
        <v/>
      </c>
      <c r="L520" t="str">
        <f t="array" ref="L520">IFERROR(INDEX('Daily Raw Data'!U:U,Match($A520,'Daily Raw Data'!$B:$B,0)),"")</f>
        <v/>
      </c>
      <c r="M520" t="str">
        <f t="array" ref="M520">IFERROR(INDEX('Daily Raw Data'!V:V,Match($A520,'Daily Raw Data'!$B:$B,0)),"")</f>
        <v/>
      </c>
      <c r="N520" t="str">
        <f t="array" ref="N520">IFERROR(INDEX('Daily Raw Data'!W:W,Match($A520,'Daily Raw Data'!$B:$B,0)),"")</f>
        <v/>
      </c>
      <c r="O520" t="str">
        <f t="array" ref="O520">IFERROR(INDEX('Daily Raw Data'!Y:Y,Match($A520,'Daily Raw Data'!$B:$B,0)),"")</f>
        <v/>
      </c>
      <c r="P520" t="str">
        <f t="shared" si="1"/>
        <v/>
      </c>
      <c r="Q520" s="14" t="str">
        <f t="shared" si="2"/>
        <v/>
      </c>
      <c r="R520" s="15" t="str">
        <f>IFERROR(__xludf.DUMMYFUNCTION("IF($A520="""","""", IFERROR(PERCENTRANK.INC(FILTER(P:P,$E:$E&lt;&gt;""""),P520)*100,""""))"),"")</f>
        <v/>
      </c>
      <c r="S520" s="15" t="str">
        <f>IFERROR(__xludf.DUMMYFUNCTION("IF($A520="""","""",IFERROR(PERCENTRANK.INC(FILTER(Q:Q,$E:$E&lt;&gt;""""),Q520)*100,""""))"),"")</f>
        <v/>
      </c>
    </row>
    <row r="521">
      <c r="B521" t="str">
        <f t="array" ref="B521">IFERROR(INDEX('Player Raw Data'!C:C,Match($A521,'Player Raw Data'!$B:$B,0)),"")</f>
        <v/>
      </c>
      <c r="C521" t="str">
        <f t="array" ref="C521">IFERROR(INDEX('Player Raw Data'!D:D,Match($A521,'Player Raw Data'!$B:$B,0)),"")</f>
        <v/>
      </c>
      <c r="D521" t="str">
        <f t="array" ref="D521">IFERROR(IF(A521=A520, INDEX('Player Raw Data'!E:E,Match($A521,'Player Raw Data'!$B:$B,0)+2),INDEX('Player Raw Data'!E:E,Match($A521,'Player Raw Data'!$B:$B,0))),"")</f>
        <v/>
      </c>
      <c r="E521" s="27" t="str">
        <f>IFERROR(__xludf.DUMMYFUNCTION("IFERROR(ARRAY_CONSTRAIN(SPLIT(INDEX('Daily Raw Data'!G:G,Match($A521,'Daily Raw Data'!$B:$B,0)),"":""),1,1),"""")"),"")</f>
        <v/>
      </c>
      <c r="F521" t="str">
        <f t="array" ref="F521">IFERROR(INDEX('Daily Raw Data'!H:H,Match($A521,'Daily Raw Data'!$B:$B,0)),"")</f>
        <v/>
      </c>
      <c r="G521" t="str">
        <f t="array" ref="G521">IFERROR(INDEX('Daily Raw Data'!I:I,Match($A521,'Daily Raw Data'!$B:$B,0)),"")</f>
        <v/>
      </c>
      <c r="H521" t="str">
        <f t="array" ref="H521">IFERROR(INDEX('Daily Raw Data'!N:N,Match($A521,'Daily Raw Data'!$B:$B,0)),"")</f>
        <v/>
      </c>
      <c r="I521" t="str">
        <f t="array" ref="I521">IFERROR(INDEX('Daily Raw Data'!O:O,Match($A521,'Daily Raw Data'!$B:$B,0)),"")</f>
        <v/>
      </c>
      <c r="J521" t="str">
        <f t="array" ref="J521">IFERROR(INDEX('Daily Raw Data'!S:S,Match($A521,'Daily Raw Data'!$B:$B,0)),"")</f>
        <v/>
      </c>
      <c r="K521" t="str">
        <f t="array" ref="K521">IFERROR(INDEX('Daily Raw Data'!T:T,Match($A521,'Daily Raw Data'!$B:$B,0)),"")</f>
        <v/>
      </c>
      <c r="L521" t="str">
        <f t="array" ref="L521">IFERROR(INDEX('Daily Raw Data'!U:U,Match($A521,'Daily Raw Data'!$B:$B,0)),"")</f>
        <v/>
      </c>
      <c r="M521" t="str">
        <f t="array" ref="M521">IFERROR(INDEX('Daily Raw Data'!V:V,Match($A521,'Daily Raw Data'!$B:$B,0)),"")</f>
        <v/>
      </c>
      <c r="N521" t="str">
        <f t="array" ref="N521">IFERROR(INDEX('Daily Raw Data'!W:W,Match($A521,'Daily Raw Data'!$B:$B,0)),"")</f>
        <v/>
      </c>
      <c r="O521" t="str">
        <f t="array" ref="O521">IFERROR(INDEX('Daily Raw Data'!Y:Y,Match($A521,'Daily Raw Data'!$B:$B,0)),"")</f>
        <v/>
      </c>
      <c r="P521" t="str">
        <f t="shared" si="1"/>
        <v/>
      </c>
      <c r="Q521" s="14" t="str">
        <f t="shared" si="2"/>
        <v/>
      </c>
      <c r="R521" s="15" t="str">
        <f>IFERROR(__xludf.DUMMYFUNCTION("IF($A521="""","""", IFERROR(PERCENTRANK.INC(FILTER(P:P,$E:$E&lt;&gt;""""),P521)*100,""""))"),"")</f>
        <v/>
      </c>
      <c r="S521" s="15" t="str">
        <f>IFERROR(__xludf.DUMMYFUNCTION("IF($A521="""","""",IFERROR(PERCENTRANK.INC(FILTER(Q:Q,$E:$E&lt;&gt;""""),Q521)*100,""""))"),"")</f>
        <v/>
      </c>
    </row>
    <row r="522">
      <c r="B522" t="str">
        <f t="array" ref="B522">IFERROR(INDEX('Player Raw Data'!C:C,Match($A522,'Player Raw Data'!$B:$B,0)),"")</f>
        <v/>
      </c>
      <c r="C522" t="str">
        <f t="array" ref="C522">IFERROR(INDEX('Player Raw Data'!D:D,Match($A522,'Player Raw Data'!$B:$B,0)),"")</f>
        <v/>
      </c>
      <c r="D522" t="str">
        <f t="array" ref="D522">IFERROR(IF(A522=A521, INDEX('Player Raw Data'!E:E,Match($A522,'Player Raw Data'!$B:$B,0)+2),INDEX('Player Raw Data'!E:E,Match($A522,'Player Raw Data'!$B:$B,0))),"")</f>
        <v/>
      </c>
      <c r="E522" s="27" t="str">
        <f>IFERROR(__xludf.DUMMYFUNCTION("IFERROR(ARRAY_CONSTRAIN(SPLIT(INDEX('Daily Raw Data'!G:G,Match($A522,'Daily Raw Data'!$B:$B,0)),"":""),1,1),"""")"),"")</f>
        <v/>
      </c>
      <c r="F522" t="str">
        <f t="array" ref="F522">IFERROR(INDEX('Daily Raw Data'!H:H,Match($A522,'Daily Raw Data'!$B:$B,0)),"")</f>
        <v/>
      </c>
      <c r="G522" t="str">
        <f t="array" ref="G522">IFERROR(INDEX('Daily Raw Data'!I:I,Match($A522,'Daily Raw Data'!$B:$B,0)),"")</f>
        <v/>
      </c>
      <c r="H522" t="str">
        <f t="array" ref="H522">IFERROR(INDEX('Daily Raw Data'!N:N,Match($A522,'Daily Raw Data'!$B:$B,0)),"")</f>
        <v/>
      </c>
      <c r="I522" t="str">
        <f t="array" ref="I522">IFERROR(INDEX('Daily Raw Data'!O:O,Match($A522,'Daily Raw Data'!$B:$B,0)),"")</f>
        <v/>
      </c>
      <c r="J522" t="str">
        <f t="array" ref="J522">IFERROR(INDEX('Daily Raw Data'!S:S,Match($A522,'Daily Raw Data'!$B:$B,0)),"")</f>
        <v/>
      </c>
      <c r="K522" t="str">
        <f t="array" ref="K522">IFERROR(INDEX('Daily Raw Data'!T:T,Match($A522,'Daily Raw Data'!$B:$B,0)),"")</f>
        <v/>
      </c>
      <c r="L522" t="str">
        <f t="array" ref="L522">IFERROR(INDEX('Daily Raw Data'!U:U,Match($A522,'Daily Raw Data'!$B:$B,0)),"")</f>
        <v/>
      </c>
      <c r="M522" t="str">
        <f t="array" ref="M522">IFERROR(INDEX('Daily Raw Data'!V:V,Match($A522,'Daily Raw Data'!$B:$B,0)),"")</f>
        <v/>
      </c>
      <c r="N522" t="str">
        <f t="array" ref="N522">IFERROR(INDEX('Daily Raw Data'!W:W,Match($A522,'Daily Raw Data'!$B:$B,0)),"")</f>
        <v/>
      </c>
      <c r="O522" t="str">
        <f t="array" ref="O522">IFERROR(INDEX('Daily Raw Data'!Y:Y,Match($A522,'Daily Raw Data'!$B:$B,0)),"")</f>
        <v/>
      </c>
      <c r="P522" t="str">
        <f t="shared" si="1"/>
        <v/>
      </c>
      <c r="Q522" s="14" t="str">
        <f t="shared" si="2"/>
        <v/>
      </c>
      <c r="R522" s="15" t="str">
        <f>IFERROR(__xludf.DUMMYFUNCTION("IF($A522="""","""", IFERROR(PERCENTRANK.INC(FILTER(P:P,$E:$E&lt;&gt;""""),P522)*100,""""))"),"")</f>
        <v/>
      </c>
      <c r="S522" s="15" t="str">
        <f>IFERROR(__xludf.DUMMYFUNCTION("IF($A522="""","""",IFERROR(PERCENTRANK.INC(FILTER(Q:Q,$E:$E&lt;&gt;""""),Q522)*100,""""))"),"")</f>
        <v/>
      </c>
    </row>
    <row r="523">
      <c r="B523" t="str">
        <f t="array" ref="B523">IFERROR(INDEX('Player Raw Data'!C:C,Match($A523,'Player Raw Data'!$B:$B,0)),"")</f>
        <v/>
      </c>
      <c r="C523" t="str">
        <f t="array" ref="C523">IFERROR(INDEX('Player Raw Data'!D:D,Match($A523,'Player Raw Data'!$B:$B,0)),"")</f>
        <v/>
      </c>
      <c r="D523" t="str">
        <f t="array" ref="D523">IFERROR(IF(A523=A522, INDEX('Player Raw Data'!E:E,Match($A523,'Player Raw Data'!$B:$B,0)+2),INDEX('Player Raw Data'!E:E,Match($A523,'Player Raw Data'!$B:$B,0))),"")</f>
        <v/>
      </c>
      <c r="E523" s="27" t="str">
        <f>IFERROR(__xludf.DUMMYFUNCTION("IFERROR(ARRAY_CONSTRAIN(SPLIT(INDEX('Daily Raw Data'!G:G,Match($A523,'Daily Raw Data'!$B:$B,0)),"":""),1,1),"""")"),"")</f>
        <v/>
      </c>
      <c r="F523" t="str">
        <f t="array" ref="F523">IFERROR(INDEX('Daily Raw Data'!H:H,Match($A523,'Daily Raw Data'!$B:$B,0)),"")</f>
        <v/>
      </c>
      <c r="G523" t="str">
        <f t="array" ref="G523">IFERROR(INDEX('Daily Raw Data'!I:I,Match($A523,'Daily Raw Data'!$B:$B,0)),"")</f>
        <v/>
      </c>
      <c r="H523" t="str">
        <f t="array" ref="H523">IFERROR(INDEX('Daily Raw Data'!N:N,Match($A523,'Daily Raw Data'!$B:$B,0)),"")</f>
        <v/>
      </c>
      <c r="I523" t="str">
        <f t="array" ref="I523">IFERROR(INDEX('Daily Raw Data'!O:O,Match($A523,'Daily Raw Data'!$B:$B,0)),"")</f>
        <v/>
      </c>
      <c r="J523" t="str">
        <f t="array" ref="J523">IFERROR(INDEX('Daily Raw Data'!S:S,Match($A523,'Daily Raw Data'!$B:$B,0)),"")</f>
        <v/>
      </c>
      <c r="K523" t="str">
        <f t="array" ref="K523">IFERROR(INDEX('Daily Raw Data'!T:T,Match($A523,'Daily Raw Data'!$B:$B,0)),"")</f>
        <v/>
      </c>
      <c r="L523" t="str">
        <f t="array" ref="L523">IFERROR(INDEX('Daily Raw Data'!U:U,Match($A523,'Daily Raw Data'!$B:$B,0)),"")</f>
        <v/>
      </c>
      <c r="M523" t="str">
        <f t="array" ref="M523">IFERROR(INDEX('Daily Raw Data'!V:V,Match($A523,'Daily Raw Data'!$B:$B,0)),"")</f>
        <v/>
      </c>
      <c r="N523" t="str">
        <f t="array" ref="N523">IFERROR(INDEX('Daily Raw Data'!W:W,Match($A523,'Daily Raw Data'!$B:$B,0)),"")</f>
        <v/>
      </c>
      <c r="O523" t="str">
        <f t="array" ref="O523">IFERROR(INDEX('Daily Raw Data'!Y:Y,Match($A523,'Daily Raw Data'!$B:$B,0)),"")</f>
        <v/>
      </c>
      <c r="P523" t="str">
        <f t="shared" si="1"/>
        <v/>
      </c>
      <c r="Q523" s="14" t="str">
        <f t="shared" si="2"/>
        <v/>
      </c>
      <c r="R523" s="15" t="str">
        <f>IFERROR(__xludf.DUMMYFUNCTION("IF($A523="""","""", IFERROR(PERCENTRANK.INC(FILTER(P:P,$E:$E&lt;&gt;""""),P523)*100,""""))"),"")</f>
        <v/>
      </c>
      <c r="S523" s="15" t="str">
        <f>IFERROR(__xludf.DUMMYFUNCTION("IF($A523="""","""",IFERROR(PERCENTRANK.INC(FILTER(Q:Q,$E:$E&lt;&gt;""""),Q523)*100,""""))"),"")</f>
        <v/>
      </c>
    </row>
    <row r="524">
      <c r="B524" t="str">
        <f t="array" ref="B524">IFERROR(INDEX('Player Raw Data'!C:C,Match($A524,'Player Raw Data'!$B:$B,0)),"")</f>
        <v/>
      </c>
      <c r="C524" t="str">
        <f t="array" ref="C524">IFERROR(INDEX('Player Raw Data'!D:D,Match($A524,'Player Raw Data'!$B:$B,0)),"")</f>
        <v/>
      </c>
      <c r="D524" t="str">
        <f t="array" ref="D524">IFERROR(IF(A524=A523, INDEX('Player Raw Data'!E:E,Match($A524,'Player Raw Data'!$B:$B,0)+2),INDEX('Player Raw Data'!E:E,Match($A524,'Player Raw Data'!$B:$B,0))),"")</f>
        <v/>
      </c>
      <c r="E524" s="27" t="str">
        <f>IFERROR(__xludf.DUMMYFUNCTION("IFERROR(ARRAY_CONSTRAIN(SPLIT(INDEX('Daily Raw Data'!G:G,Match($A524,'Daily Raw Data'!$B:$B,0)),"":""),1,1),"""")"),"")</f>
        <v/>
      </c>
      <c r="F524" t="str">
        <f t="array" ref="F524">IFERROR(INDEX('Daily Raw Data'!H:H,Match($A524,'Daily Raw Data'!$B:$B,0)),"")</f>
        <v/>
      </c>
      <c r="G524" t="str">
        <f t="array" ref="G524">IFERROR(INDEX('Daily Raw Data'!I:I,Match($A524,'Daily Raw Data'!$B:$B,0)),"")</f>
        <v/>
      </c>
      <c r="H524" t="str">
        <f t="array" ref="H524">IFERROR(INDEX('Daily Raw Data'!N:N,Match($A524,'Daily Raw Data'!$B:$B,0)),"")</f>
        <v/>
      </c>
      <c r="I524" t="str">
        <f t="array" ref="I524">IFERROR(INDEX('Daily Raw Data'!O:O,Match($A524,'Daily Raw Data'!$B:$B,0)),"")</f>
        <v/>
      </c>
      <c r="J524" t="str">
        <f t="array" ref="J524">IFERROR(INDEX('Daily Raw Data'!S:S,Match($A524,'Daily Raw Data'!$B:$B,0)),"")</f>
        <v/>
      </c>
      <c r="K524" t="str">
        <f t="array" ref="K524">IFERROR(INDEX('Daily Raw Data'!T:T,Match($A524,'Daily Raw Data'!$B:$B,0)),"")</f>
        <v/>
      </c>
      <c r="L524" t="str">
        <f t="array" ref="L524">IFERROR(INDEX('Daily Raw Data'!U:U,Match($A524,'Daily Raw Data'!$B:$B,0)),"")</f>
        <v/>
      </c>
      <c r="M524" t="str">
        <f t="array" ref="M524">IFERROR(INDEX('Daily Raw Data'!V:V,Match($A524,'Daily Raw Data'!$B:$B,0)),"")</f>
        <v/>
      </c>
      <c r="N524" t="str">
        <f t="array" ref="N524">IFERROR(INDEX('Daily Raw Data'!W:W,Match($A524,'Daily Raw Data'!$B:$B,0)),"")</f>
        <v/>
      </c>
      <c r="O524" t="str">
        <f t="array" ref="O524">IFERROR(INDEX('Daily Raw Data'!Y:Y,Match($A524,'Daily Raw Data'!$B:$B,0)),"")</f>
        <v/>
      </c>
      <c r="P524" t="str">
        <f t="shared" si="1"/>
        <v/>
      </c>
      <c r="Q524" s="14" t="str">
        <f t="shared" si="2"/>
        <v/>
      </c>
      <c r="R524" s="15" t="str">
        <f>IFERROR(__xludf.DUMMYFUNCTION("IF($A524="""","""", IFERROR(PERCENTRANK.INC(FILTER(P:P,$E:$E&lt;&gt;""""),P524)*100,""""))"),"")</f>
        <v/>
      </c>
      <c r="S524" s="15" t="str">
        <f>IFERROR(__xludf.DUMMYFUNCTION("IF($A524="""","""",IFERROR(PERCENTRANK.INC(FILTER(Q:Q,$E:$E&lt;&gt;""""),Q524)*100,""""))"),"")</f>
        <v/>
      </c>
    </row>
    <row r="525">
      <c r="B525" t="str">
        <f t="array" ref="B525">IFERROR(INDEX('Player Raw Data'!C:C,Match($A525,'Player Raw Data'!$B:$B,0)),"")</f>
        <v/>
      </c>
      <c r="C525" t="str">
        <f t="array" ref="C525">IFERROR(INDEX('Player Raw Data'!D:D,Match($A525,'Player Raw Data'!$B:$B,0)),"")</f>
        <v/>
      </c>
      <c r="D525" t="str">
        <f t="array" ref="D525">IFERROR(IF(A525=A524, INDEX('Player Raw Data'!E:E,Match($A525,'Player Raw Data'!$B:$B,0)+2),INDEX('Player Raw Data'!E:E,Match($A525,'Player Raw Data'!$B:$B,0))),"")</f>
        <v/>
      </c>
      <c r="E525" s="27" t="str">
        <f>IFERROR(__xludf.DUMMYFUNCTION("IFERROR(ARRAY_CONSTRAIN(SPLIT(INDEX('Daily Raw Data'!G:G,Match($A525,'Daily Raw Data'!$B:$B,0)),"":""),1,1),"""")"),"")</f>
        <v/>
      </c>
      <c r="F525" t="str">
        <f t="array" ref="F525">IFERROR(INDEX('Daily Raw Data'!H:H,Match($A525,'Daily Raw Data'!$B:$B,0)),"")</f>
        <v/>
      </c>
      <c r="G525" t="str">
        <f t="array" ref="G525">IFERROR(INDEX('Daily Raw Data'!I:I,Match($A525,'Daily Raw Data'!$B:$B,0)),"")</f>
        <v/>
      </c>
      <c r="H525" t="str">
        <f t="array" ref="H525">IFERROR(INDEX('Daily Raw Data'!N:N,Match($A525,'Daily Raw Data'!$B:$B,0)),"")</f>
        <v/>
      </c>
      <c r="I525" t="str">
        <f t="array" ref="I525">IFERROR(INDEX('Daily Raw Data'!O:O,Match($A525,'Daily Raw Data'!$B:$B,0)),"")</f>
        <v/>
      </c>
      <c r="J525" t="str">
        <f t="array" ref="J525">IFERROR(INDEX('Daily Raw Data'!S:S,Match($A525,'Daily Raw Data'!$B:$B,0)),"")</f>
        <v/>
      </c>
      <c r="K525" t="str">
        <f t="array" ref="K525">IFERROR(INDEX('Daily Raw Data'!T:T,Match($A525,'Daily Raw Data'!$B:$B,0)),"")</f>
        <v/>
      </c>
      <c r="L525" t="str">
        <f t="array" ref="L525">IFERROR(INDEX('Daily Raw Data'!U:U,Match($A525,'Daily Raw Data'!$B:$B,0)),"")</f>
        <v/>
      </c>
      <c r="M525" t="str">
        <f t="array" ref="M525">IFERROR(INDEX('Daily Raw Data'!V:V,Match($A525,'Daily Raw Data'!$B:$B,0)),"")</f>
        <v/>
      </c>
      <c r="N525" t="str">
        <f t="array" ref="N525">IFERROR(INDEX('Daily Raw Data'!W:W,Match($A525,'Daily Raw Data'!$B:$B,0)),"")</f>
        <v/>
      </c>
      <c r="O525" t="str">
        <f t="array" ref="O525">IFERROR(INDEX('Daily Raw Data'!Y:Y,Match($A525,'Daily Raw Data'!$B:$B,0)),"")</f>
        <v/>
      </c>
      <c r="P525" t="str">
        <f t="shared" si="1"/>
        <v/>
      </c>
      <c r="Q525" s="14" t="str">
        <f t="shared" si="2"/>
        <v/>
      </c>
      <c r="R525" s="15" t="str">
        <f>IFERROR(__xludf.DUMMYFUNCTION("IF($A525="""","""", IFERROR(PERCENTRANK.INC(FILTER(P:P,$E:$E&lt;&gt;""""),P525)*100,""""))"),"")</f>
        <v/>
      </c>
      <c r="S525" s="15" t="str">
        <f>IFERROR(__xludf.DUMMYFUNCTION("IF($A525="""","""",IFERROR(PERCENTRANK.INC(FILTER(Q:Q,$E:$E&lt;&gt;""""),Q525)*100,""""))"),"")</f>
        <v/>
      </c>
    </row>
    <row r="526">
      <c r="B526" t="str">
        <f t="array" ref="B526">IFERROR(INDEX('Player Raw Data'!C:C,Match($A526,'Player Raw Data'!$B:$B,0)),"")</f>
        <v/>
      </c>
      <c r="C526" t="str">
        <f t="array" ref="C526">IFERROR(INDEX('Player Raw Data'!D:D,Match($A526,'Player Raw Data'!$B:$B,0)),"")</f>
        <v/>
      </c>
      <c r="D526" t="str">
        <f t="array" ref="D526">IFERROR(IF(A526=A525, INDEX('Player Raw Data'!E:E,Match($A526,'Player Raw Data'!$B:$B,0)+2),INDEX('Player Raw Data'!E:E,Match($A526,'Player Raw Data'!$B:$B,0))),"")</f>
        <v/>
      </c>
      <c r="E526" s="27" t="str">
        <f>IFERROR(__xludf.DUMMYFUNCTION("IFERROR(ARRAY_CONSTRAIN(SPLIT(INDEX('Daily Raw Data'!G:G,Match($A526,'Daily Raw Data'!$B:$B,0)),"":""),1,1),"""")"),"")</f>
        <v/>
      </c>
      <c r="F526" t="str">
        <f t="array" ref="F526">IFERROR(INDEX('Daily Raw Data'!H:H,Match($A526,'Daily Raw Data'!$B:$B,0)),"")</f>
        <v/>
      </c>
      <c r="G526" t="str">
        <f t="array" ref="G526">IFERROR(INDEX('Daily Raw Data'!I:I,Match($A526,'Daily Raw Data'!$B:$B,0)),"")</f>
        <v/>
      </c>
      <c r="H526" t="str">
        <f t="array" ref="H526">IFERROR(INDEX('Daily Raw Data'!N:N,Match($A526,'Daily Raw Data'!$B:$B,0)),"")</f>
        <v/>
      </c>
      <c r="I526" t="str">
        <f t="array" ref="I526">IFERROR(INDEX('Daily Raw Data'!O:O,Match($A526,'Daily Raw Data'!$B:$B,0)),"")</f>
        <v/>
      </c>
      <c r="J526" t="str">
        <f t="array" ref="J526">IFERROR(INDEX('Daily Raw Data'!S:S,Match($A526,'Daily Raw Data'!$B:$B,0)),"")</f>
        <v/>
      </c>
      <c r="K526" t="str">
        <f t="array" ref="K526">IFERROR(INDEX('Daily Raw Data'!T:T,Match($A526,'Daily Raw Data'!$B:$B,0)),"")</f>
        <v/>
      </c>
      <c r="L526" t="str">
        <f t="array" ref="L526">IFERROR(INDEX('Daily Raw Data'!U:U,Match($A526,'Daily Raw Data'!$B:$B,0)),"")</f>
        <v/>
      </c>
      <c r="M526" t="str">
        <f t="array" ref="M526">IFERROR(INDEX('Daily Raw Data'!V:V,Match($A526,'Daily Raw Data'!$B:$B,0)),"")</f>
        <v/>
      </c>
      <c r="N526" t="str">
        <f t="array" ref="N526">IFERROR(INDEX('Daily Raw Data'!W:W,Match($A526,'Daily Raw Data'!$B:$B,0)),"")</f>
        <v/>
      </c>
      <c r="O526" t="str">
        <f t="array" ref="O526">IFERROR(INDEX('Daily Raw Data'!Y:Y,Match($A526,'Daily Raw Data'!$B:$B,0)),"")</f>
        <v/>
      </c>
      <c r="P526" t="str">
        <f t="shared" si="1"/>
        <v/>
      </c>
      <c r="Q526" s="14" t="str">
        <f t="shared" si="2"/>
        <v/>
      </c>
      <c r="R526" s="15" t="str">
        <f>IFERROR(__xludf.DUMMYFUNCTION("IF($A526="""","""", IFERROR(PERCENTRANK.INC(FILTER(P:P,$E:$E&lt;&gt;""""),P526)*100,""""))"),"")</f>
        <v/>
      </c>
      <c r="S526" s="15" t="str">
        <f>IFERROR(__xludf.DUMMYFUNCTION("IF($A526="""","""",IFERROR(PERCENTRANK.INC(FILTER(Q:Q,$E:$E&lt;&gt;""""),Q526)*100,""""))"),"")</f>
        <v/>
      </c>
    </row>
    <row r="527">
      <c r="B527" t="str">
        <f t="array" ref="B527">IFERROR(INDEX('Player Raw Data'!C:C,Match($A527,'Player Raw Data'!$B:$B,0)),"")</f>
        <v/>
      </c>
      <c r="C527" t="str">
        <f t="array" ref="C527">IFERROR(INDEX('Player Raw Data'!D:D,Match($A527,'Player Raw Data'!$B:$B,0)),"")</f>
        <v/>
      </c>
      <c r="D527" t="str">
        <f t="array" ref="D527">IFERROR(IF(A527=A526, INDEX('Player Raw Data'!E:E,Match($A527,'Player Raw Data'!$B:$B,0)+2),INDEX('Player Raw Data'!E:E,Match($A527,'Player Raw Data'!$B:$B,0))),"")</f>
        <v/>
      </c>
      <c r="E527" s="27" t="str">
        <f>IFERROR(__xludf.DUMMYFUNCTION("IFERROR(ARRAY_CONSTRAIN(SPLIT(INDEX('Daily Raw Data'!G:G,Match($A527,'Daily Raw Data'!$B:$B,0)),"":""),1,1),"""")"),"")</f>
        <v/>
      </c>
      <c r="F527" t="str">
        <f t="array" ref="F527">IFERROR(INDEX('Daily Raw Data'!H:H,Match($A527,'Daily Raw Data'!$B:$B,0)),"")</f>
        <v/>
      </c>
      <c r="G527" t="str">
        <f t="array" ref="G527">IFERROR(INDEX('Daily Raw Data'!I:I,Match($A527,'Daily Raw Data'!$B:$B,0)),"")</f>
        <v/>
      </c>
      <c r="H527" t="str">
        <f t="array" ref="H527">IFERROR(INDEX('Daily Raw Data'!N:N,Match($A527,'Daily Raw Data'!$B:$B,0)),"")</f>
        <v/>
      </c>
      <c r="I527" t="str">
        <f t="array" ref="I527">IFERROR(INDEX('Daily Raw Data'!O:O,Match($A527,'Daily Raw Data'!$B:$B,0)),"")</f>
        <v/>
      </c>
      <c r="J527" t="str">
        <f t="array" ref="J527">IFERROR(INDEX('Daily Raw Data'!S:S,Match($A527,'Daily Raw Data'!$B:$B,0)),"")</f>
        <v/>
      </c>
      <c r="K527" t="str">
        <f t="array" ref="K527">IFERROR(INDEX('Daily Raw Data'!T:T,Match($A527,'Daily Raw Data'!$B:$B,0)),"")</f>
        <v/>
      </c>
      <c r="L527" t="str">
        <f t="array" ref="L527">IFERROR(INDEX('Daily Raw Data'!U:U,Match($A527,'Daily Raw Data'!$B:$B,0)),"")</f>
        <v/>
      </c>
      <c r="M527" t="str">
        <f t="array" ref="M527">IFERROR(INDEX('Daily Raw Data'!V:V,Match($A527,'Daily Raw Data'!$B:$B,0)),"")</f>
        <v/>
      </c>
      <c r="N527" t="str">
        <f t="array" ref="N527">IFERROR(INDEX('Daily Raw Data'!W:W,Match($A527,'Daily Raw Data'!$B:$B,0)),"")</f>
        <v/>
      </c>
      <c r="O527" t="str">
        <f t="array" ref="O527">IFERROR(INDEX('Daily Raw Data'!Y:Y,Match($A527,'Daily Raw Data'!$B:$B,0)),"")</f>
        <v/>
      </c>
      <c r="P527" t="str">
        <f t="shared" si="1"/>
        <v/>
      </c>
      <c r="Q527" s="14" t="str">
        <f t="shared" si="2"/>
        <v/>
      </c>
      <c r="R527" s="15" t="str">
        <f>IFERROR(__xludf.DUMMYFUNCTION("IF($A527="""","""", IFERROR(PERCENTRANK.INC(FILTER(P:P,$E:$E&lt;&gt;""""),P527)*100,""""))"),"")</f>
        <v/>
      </c>
      <c r="S527" s="15" t="str">
        <f>IFERROR(__xludf.DUMMYFUNCTION("IF($A527="""","""",IFERROR(PERCENTRANK.INC(FILTER(Q:Q,$E:$E&lt;&gt;""""),Q527)*100,""""))"),"")</f>
        <v/>
      </c>
    </row>
    <row r="528">
      <c r="B528" t="str">
        <f t="array" ref="B528">IFERROR(INDEX('Player Raw Data'!C:C,Match($A528,'Player Raw Data'!$B:$B,0)),"")</f>
        <v/>
      </c>
      <c r="C528" t="str">
        <f t="array" ref="C528">IFERROR(INDEX('Player Raw Data'!D:D,Match($A528,'Player Raw Data'!$B:$B,0)),"")</f>
        <v/>
      </c>
      <c r="D528" t="str">
        <f t="array" ref="D528">IFERROR(IF(A528=A527, INDEX('Player Raw Data'!E:E,Match($A528,'Player Raw Data'!$B:$B,0)+2),INDEX('Player Raw Data'!E:E,Match($A528,'Player Raw Data'!$B:$B,0))),"")</f>
        <v/>
      </c>
      <c r="E528" s="27" t="str">
        <f>IFERROR(__xludf.DUMMYFUNCTION("IFERROR(ARRAY_CONSTRAIN(SPLIT(INDEX('Daily Raw Data'!G:G,Match($A528,'Daily Raw Data'!$B:$B,0)),"":""),1,1),"""")"),"")</f>
        <v/>
      </c>
      <c r="F528" t="str">
        <f t="array" ref="F528">IFERROR(INDEX('Daily Raw Data'!H:H,Match($A528,'Daily Raw Data'!$B:$B,0)),"")</f>
        <v/>
      </c>
      <c r="G528" t="str">
        <f t="array" ref="G528">IFERROR(INDEX('Daily Raw Data'!I:I,Match($A528,'Daily Raw Data'!$B:$B,0)),"")</f>
        <v/>
      </c>
      <c r="H528" t="str">
        <f t="array" ref="H528">IFERROR(INDEX('Daily Raw Data'!N:N,Match($A528,'Daily Raw Data'!$B:$B,0)),"")</f>
        <v/>
      </c>
      <c r="I528" t="str">
        <f t="array" ref="I528">IFERROR(INDEX('Daily Raw Data'!O:O,Match($A528,'Daily Raw Data'!$B:$B,0)),"")</f>
        <v/>
      </c>
      <c r="J528" t="str">
        <f t="array" ref="J528">IFERROR(INDEX('Daily Raw Data'!S:S,Match($A528,'Daily Raw Data'!$B:$B,0)),"")</f>
        <v/>
      </c>
      <c r="K528" t="str">
        <f t="array" ref="K528">IFERROR(INDEX('Daily Raw Data'!T:T,Match($A528,'Daily Raw Data'!$B:$B,0)),"")</f>
        <v/>
      </c>
      <c r="L528" t="str">
        <f t="array" ref="L528">IFERROR(INDEX('Daily Raw Data'!U:U,Match($A528,'Daily Raw Data'!$B:$B,0)),"")</f>
        <v/>
      </c>
      <c r="M528" t="str">
        <f t="array" ref="M528">IFERROR(INDEX('Daily Raw Data'!V:V,Match($A528,'Daily Raw Data'!$B:$B,0)),"")</f>
        <v/>
      </c>
      <c r="N528" t="str">
        <f t="array" ref="N528">IFERROR(INDEX('Daily Raw Data'!W:W,Match($A528,'Daily Raw Data'!$B:$B,0)),"")</f>
        <v/>
      </c>
      <c r="O528" t="str">
        <f t="array" ref="O528">IFERROR(INDEX('Daily Raw Data'!Y:Y,Match($A528,'Daily Raw Data'!$B:$B,0)),"")</f>
        <v/>
      </c>
      <c r="P528" t="str">
        <f t="shared" si="1"/>
        <v/>
      </c>
      <c r="Q528" s="14" t="str">
        <f t="shared" si="2"/>
        <v/>
      </c>
      <c r="R528" s="15" t="str">
        <f>IFERROR(__xludf.DUMMYFUNCTION("IF($A528="""","""", IFERROR(PERCENTRANK.INC(FILTER(P:P,$E:$E&lt;&gt;""""),P528)*100,""""))"),"")</f>
        <v/>
      </c>
      <c r="S528" s="15" t="str">
        <f>IFERROR(__xludf.DUMMYFUNCTION("IF($A528="""","""",IFERROR(PERCENTRANK.INC(FILTER(Q:Q,$E:$E&lt;&gt;""""),Q528)*100,""""))"),"")</f>
        <v/>
      </c>
    </row>
    <row r="529">
      <c r="B529" t="str">
        <f t="array" ref="B529">IFERROR(INDEX('Player Raw Data'!C:C,Match($A529,'Player Raw Data'!$B:$B,0)),"")</f>
        <v/>
      </c>
      <c r="C529" t="str">
        <f t="array" ref="C529">IFERROR(INDEX('Player Raw Data'!D:D,Match($A529,'Player Raw Data'!$B:$B,0)),"")</f>
        <v/>
      </c>
      <c r="D529" t="str">
        <f t="array" ref="D529">IFERROR(IF(A529=A528, INDEX('Player Raw Data'!E:E,Match($A529,'Player Raw Data'!$B:$B,0)+2),INDEX('Player Raw Data'!E:E,Match($A529,'Player Raw Data'!$B:$B,0))),"")</f>
        <v/>
      </c>
      <c r="E529" s="27" t="str">
        <f>IFERROR(__xludf.DUMMYFUNCTION("IFERROR(ARRAY_CONSTRAIN(SPLIT(INDEX('Daily Raw Data'!G:G,Match($A529,'Daily Raw Data'!$B:$B,0)),"":""),1,1),"""")"),"")</f>
        <v/>
      </c>
      <c r="F529" t="str">
        <f t="array" ref="F529">IFERROR(INDEX('Daily Raw Data'!H:H,Match($A529,'Daily Raw Data'!$B:$B,0)),"")</f>
        <v/>
      </c>
      <c r="G529" t="str">
        <f t="array" ref="G529">IFERROR(INDEX('Daily Raw Data'!I:I,Match($A529,'Daily Raw Data'!$B:$B,0)),"")</f>
        <v/>
      </c>
      <c r="H529" t="str">
        <f t="array" ref="H529">IFERROR(INDEX('Daily Raw Data'!N:N,Match($A529,'Daily Raw Data'!$B:$B,0)),"")</f>
        <v/>
      </c>
      <c r="I529" t="str">
        <f t="array" ref="I529">IFERROR(INDEX('Daily Raw Data'!O:O,Match($A529,'Daily Raw Data'!$B:$B,0)),"")</f>
        <v/>
      </c>
      <c r="J529" t="str">
        <f t="array" ref="J529">IFERROR(INDEX('Daily Raw Data'!S:S,Match($A529,'Daily Raw Data'!$B:$B,0)),"")</f>
        <v/>
      </c>
      <c r="K529" t="str">
        <f t="array" ref="K529">IFERROR(INDEX('Daily Raw Data'!T:T,Match($A529,'Daily Raw Data'!$B:$B,0)),"")</f>
        <v/>
      </c>
      <c r="L529" t="str">
        <f t="array" ref="L529">IFERROR(INDEX('Daily Raw Data'!U:U,Match($A529,'Daily Raw Data'!$B:$B,0)),"")</f>
        <v/>
      </c>
      <c r="M529" t="str">
        <f t="array" ref="M529">IFERROR(INDEX('Daily Raw Data'!V:V,Match($A529,'Daily Raw Data'!$B:$B,0)),"")</f>
        <v/>
      </c>
      <c r="N529" t="str">
        <f t="array" ref="N529">IFERROR(INDEX('Daily Raw Data'!W:W,Match($A529,'Daily Raw Data'!$B:$B,0)),"")</f>
        <v/>
      </c>
      <c r="O529" t="str">
        <f t="array" ref="O529">IFERROR(INDEX('Daily Raw Data'!Y:Y,Match($A529,'Daily Raw Data'!$B:$B,0)),"")</f>
        <v/>
      </c>
      <c r="P529" t="str">
        <f t="shared" si="1"/>
        <v/>
      </c>
      <c r="Q529" s="14" t="str">
        <f t="shared" si="2"/>
        <v/>
      </c>
      <c r="R529" s="15" t="str">
        <f>IFERROR(__xludf.DUMMYFUNCTION("IF($A529="""","""", IFERROR(PERCENTRANK.INC(FILTER(P:P,$E:$E&lt;&gt;""""),P529)*100,""""))"),"")</f>
        <v/>
      </c>
      <c r="S529" s="15" t="str">
        <f>IFERROR(__xludf.DUMMYFUNCTION("IF($A529="""","""",IFERROR(PERCENTRANK.INC(FILTER(Q:Q,$E:$E&lt;&gt;""""),Q529)*100,""""))"),"")</f>
        <v/>
      </c>
    </row>
    <row r="530">
      <c r="B530" t="str">
        <f t="array" ref="B530">IFERROR(INDEX('Player Raw Data'!C:C,Match($A530,'Player Raw Data'!$B:$B,0)),"")</f>
        <v/>
      </c>
      <c r="C530" t="str">
        <f t="array" ref="C530">IFERROR(INDEX('Player Raw Data'!D:D,Match($A530,'Player Raw Data'!$B:$B,0)),"")</f>
        <v/>
      </c>
      <c r="D530" t="str">
        <f t="array" ref="D530">IFERROR(IF(A530=A529, INDEX('Player Raw Data'!E:E,Match($A530,'Player Raw Data'!$B:$B,0)+2),INDEX('Player Raw Data'!E:E,Match($A530,'Player Raw Data'!$B:$B,0))),"")</f>
        <v/>
      </c>
      <c r="E530" s="27" t="str">
        <f>IFERROR(__xludf.DUMMYFUNCTION("IFERROR(ARRAY_CONSTRAIN(SPLIT(INDEX('Daily Raw Data'!G:G,Match($A530,'Daily Raw Data'!$B:$B,0)),"":""),1,1),"""")"),"")</f>
        <v/>
      </c>
      <c r="F530" t="str">
        <f t="array" ref="F530">IFERROR(INDEX('Daily Raw Data'!H:H,Match($A530,'Daily Raw Data'!$B:$B,0)),"")</f>
        <v/>
      </c>
      <c r="G530" t="str">
        <f t="array" ref="G530">IFERROR(INDEX('Daily Raw Data'!I:I,Match($A530,'Daily Raw Data'!$B:$B,0)),"")</f>
        <v/>
      </c>
      <c r="H530" t="str">
        <f t="array" ref="H530">IFERROR(INDEX('Daily Raw Data'!N:N,Match($A530,'Daily Raw Data'!$B:$B,0)),"")</f>
        <v/>
      </c>
      <c r="I530" t="str">
        <f t="array" ref="I530">IFERROR(INDEX('Daily Raw Data'!O:O,Match($A530,'Daily Raw Data'!$B:$B,0)),"")</f>
        <v/>
      </c>
      <c r="J530" t="str">
        <f t="array" ref="J530">IFERROR(INDEX('Daily Raw Data'!S:S,Match($A530,'Daily Raw Data'!$B:$B,0)),"")</f>
        <v/>
      </c>
      <c r="K530" t="str">
        <f t="array" ref="K530">IFERROR(INDEX('Daily Raw Data'!T:T,Match($A530,'Daily Raw Data'!$B:$B,0)),"")</f>
        <v/>
      </c>
      <c r="L530" t="str">
        <f t="array" ref="L530">IFERROR(INDEX('Daily Raw Data'!U:U,Match($A530,'Daily Raw Data'!$B:$B,0)),"")</f>
        <v/>
      </c>
      <c r="M530" t="str">
        <f t="array" ref="M530">IFERROR(INDEX('Daily Raw Data'!V:V,Match($A530,'Daily Raw Data'!$B:$B,0)),"")</f>
        <v/>
      </c>
      <c r="N530" t="str">
        <f t="array" ref="N530">IFERROR(INDEX('Daily Raw Data'!W:W,Match($A530,'Daily Raw Data'!$B:$B,0)),"")</f>
        <v/>
      </c>
      <c r="O530" t="str">
        <f t="array" ref="O530">IFERROR(INDEX('Daily Raw Data'!Y:Y,Match($A530,'Daily Raw Data'!$B:$B,0)),"")</f>
        <v/>
      </c>
      <c r="P530" t="str">
        <f t="shared" si="1"/>
        <v/>
      </c>
      <c r="Q530" s="14" t="str">
        <f t="shared" si="2"/>
        <v/>
      </c>
      <c r="R530" s="15" t="str">
        <f>IFERROR(__xludf.DUMMYFUNCTION("IF($A530="""","""", IFERROR(PERCENTRANK.INC(FILTER(P:P,$E:$E&lt;&gt;""""),P530)*100,""""))"),"")</f>
        <v/>
      </c>
      <c r="S530" s="15" t="str">
        <f>IFERROR(__xludf.DUMMYFUNCTION("IF($A530="""","""",IFERROR(PERCENTRANK.INC(FILTER(Q:Q,$E:$E&lt;&gt;""""),Q530)*100,""""))"),"")</f>
        <v/>
      </c>
    </row>
    <row r="531">
      <c r="B531" t="str">
        <f t="array" ref="B531">IFERROR(INDEX('Player Raw Data'!C:C,Match($A531,'Player Raw Data'!$B:$B,0)),"")</f>
        <v/>
      </c>
      <c r="C531" t="str">
        <f t="array" ref="C531">IFERROR(INDEX('Player Raw Data'!D:D,Match($A531,'Player Raw Data'!$B:$B,0)),"")</f>
        <v/>
      </c>
      <c r="D531" t="str">
        <f t="array" ref="D531">IFERROR(IF(A531=A530, INDEX('Player Raw Data'!E:E,Match($A531,'Player Raw Data'!$B:$B,0)+2),INDEX('Player Raw Data'!E:E,Match($A531,'Player Raw Data'!$B:$B,0))),"")</f>
        <v/>
      </c>
      <c r="E531" s="27" t="str">
        <f>IFERROR(__xludf.DUMMYFUNCTION("IFERROR(ARRAY_CONSTRAIN(SPLIT(INDEX('Daily Raw Data'!G:G,Match($A531,'Daily Raw Data'!$B:$B,0)),"":""),1,1),"""")"),"")</f>
        <v/>
      </c>
      <c r="F531" t="str">
        <f t="array" ref="F531">IFERROR(INDEX('Daily Raw Data'!H:H,Match($A531,'Daily Raw Data'!$B:$B,0)),"")</f>
        <v/>
      </c>
      <c r="G531" t="str">
        <f t="array" ref="G531">IFERROR(INDEX('Daily Raw Data'!I:I,Match($A531,'Daily Raw Data'!$B:$B,0)),"")</f>
        <v/>
      </c>
      <c r="H531" t="str">
        <f t="array" ref="H531">IFERROR(INDEX('Daily Raw Data'!N:N,Match($A531,'Daily Raw Data'!$B:$B,0)),"")</f>
        <v/>
      </c>
      <c r="I531" t="str">
        <f t="array" ref="I531">IFERROR(INDEX('Daily Raw Data'!O:O,Match($A531,'Daily Raw Data'!$B:$B,0)),"")</f>
        <v/>
      </c>
      <c r="J531" t="str">
        <f t="array" ref="J531">IFERROR(INDEX('Daily Raw Data'!S:S,Match($A531,'Daily Raw Data'!$B:$B,0)),"")</f>
        <v/>
      </c>
      <c r="K531" t="str">
        <f t="array" ref="K531">IFERROR(INDEX('Daily Raw Data'!T:T,Match($A531,'Daily Raw Data'!$B:$B,0)),"")</f>
        <v/>
      </c>
      <c r="L531" t="str">
        <f t="array" ref="L531">IFERROR(INDEX('Daily Raw Data'!U:U,Match($A531,'Daily Raw Data'!$B:$B,0)),"")</f>
        <v/>
      </c>
      <c r="M531" t="str">
        <f t="array" ref="M531">IFERROR(INDEX('Daily Raw Data'!V:V,Match($A531,'Daily Raw Data'!$B:$B,0)),"")</f>
        <v/>
      </c>
      <c r="N531" t="str">
        <f t="array" ref="N531">IFERROR(INDEX('Daily Raw Data'!W:W,Match($A531,'Daily Raw Data'!$B:$B,0)),"")</f>
        <v/>
      </c>
      <c r="O531" t="str">
        <f t="array" ref="O531">IFERROR(INDEX('Daily Raw Data'!Y:Y,Match($A531,'Daily Raw Data'!$B:$B,0)),"")</f>
        <v/>
      </c>
      <c r="P531" t="str">
        <f t="shared" si="1"/>
        <v/>
      </c>
      <c r="Q531" s="14" t="str">
        <f t="shared" si="2"/>
        <v/>
      </c>
      <c r="R531" s="15" t="str">
        <f>IFERROR(__xludf.DUMMYFUNCTION("IF($A531="""","""", IFERROR(PERCENTRANK.INC(FILTER(P:P,$E:$E&lt;&gt;""""),P531)*100,""""))"),"")</f>
        <v/>
      </c>
      <c r="S531" s="15" t="str">
        <f>IFERROR(__xludf.DUMMYFUNCTION("IF($A531="""","""",IFERROR(PERCENTRANK.INC(FILTER(Q:Q,$E:$E&lt;&gt;""""),Q531)*100,""""))"),"")</f>
        <v/>
      </c>
    </row>
    <row r="532">
      <c r="B532" t="str">
        <f t="array" ref="B532">IFERROR(INDEX('Player Raw Data'!C:C,Match($A532,'Player Raw Data'!$B:$B,0)),"")</f>
        <v/>
      </c>
      <c r="C532" t="str">
        <f t="array" ref="C532">IFERROR(INDEX('Player Raw Data'!D:D,Match($A532,'Player Raw Data'!$B:$B,0)),"")</f>
        <v/>
      </c>
      <c r="D532" t="str">
        <f t="array" ref="D532">IFERROR(IF(A532=A531, INDEX('Player Raw Data'!E:E,Match($A532,'Player Raw Data'!$B:$B,0)+2),INDEX('Player Raw Data'!E:E,Match($A532,'Player Raw Data'!$B:$B,0))),"")</f>
        <v/>
      </c>
      <c r="E532" s="27" t="str">
        <f>IFERROR(__xludf.DUMMYFUNCTION("IFERROR(ARRAY_CONSTRAIN(SPLIT(INDEX('Daily Raw Data'!G:G,Match($A532,'Daily Raw Data'!$B:$B,0)),"":""),1,1),"""")"),"")</f>
        <v/>
      </c>
      <c r="F532" t="str">
        <f t="array" ref="F532">IFERROR(INDEX('Daily Raw Data'!H:H,Match($A532,'Daily Raw Data'!$B:$B,0)),"")</f>
        <v/>
      </c>
      <c r="G532" t="str">
        <f t="array" ref="G532">IFERROR(INDEX('Daily Raw Data'!I:I,Match($A532,'Daily Raw Data'!$B:$B,0)),"")</f>
        <v/>
      </c>
      <c r="H532" t="str">
        <f t="array" ref="H532">IFERROR(INDEX('Daily Raw Data'!N:N,Match($A532,'Daily Raw Data'!$B:$B,0)),"")</f>
        <v/>
      </c>
      <c r="I532" t="str">
        <f t="array" ref="I532">IFERROR(INDEX('Daily Raw Data'!O:O,Match($A532,'Daily Raw Data'!$B:$B,0)),"")</f>
        <v/>
      </c>
      <c r="J532" t="str">
        <f t="array" ref="J532">IFERROR(INDEX('Daily Raw Data'!S:S,Match($A532,'Daily Raw Data'!$B:$B,0)),"")</f>
        <v/>
      </c>
      <c r="K532" t="str">
        <f t="array" ref="K532">IFERROR(INDEX('Daily Raw Data'!T:T,Match($A532,'Daily Raw Data'!$B:$B,0)),"")</f>
        <v/>
      </c>
      <c r="L532" t="str">
        <f t="array" ref="L532">IFERROR(INDEX('Daily Raw Data'!U:U,Match($A532,'Daily Raw Data'!$B:$B,0)),"")</f>
        <v/>
      </c>
      <c r="M532" t="str">
        <f t="array" ref="M532">IFERROR(INDEX('Daily Raw Data'!V:V,Match($A532,'Daily Raw Data'!$B:$B,0)),"")</f>
        <v/>
      </c>
      <c r="N532" t="str">
        <f t="array" ref="N532">IFERROR(INDEX('Daily Raw Data'!W:W,Match($A532,'Daily Raw Data'!$B:$B,0)),"")</f>
        <v/>
      </c>
      <c r="O532" t="str">
        <f t="array" ref="O532">IFERROR(INDEX('Daily Raw Data'!Y:Y,Match($A532,'Daily Raw Data'!$B:$B,0)),"")</f>
        <v/>
      </c>
      <c r="P532" t="str">
        <f t="shared" si="1"/>
        <v/>
      </c>
      <c r="Q532" s="14" t="str">
        <f t="shared" si="2"/>
        <v/>
      </c>
      <c r="R532" s="15" t="str">
        <f>IFERROR(__xludf.DUMMYFUNCTION("IF($A532="""","""", IFERROR(PERCENTRANK.INC(FILTER(P:P,$E:$E&lt;&gt;""""),P532)*100,""""))"),"")</f>
        <v/>
      </c>
      <c r="S532" s="15" t="str">
        <f>IFERROR(__xludf.DUMMYFUNCTION("IF($A532="""","""",IFERROR(PERCENTRANK.INC(FILTER(Q:Q,$E:$E&lt;&gt;""""),Q532)*100,""""))"),"")</f>
        <v/>
      </c>
    </row>
    <row r="533">
      <c r="B533" t="str">
        <f t="array" ref="B533">IFERROR(INDEX('Player Raw Data'!C:C,Match($A533,'Player Raw Data'!$B:$B,0)),"")</f>
        <v/>
      </c>
      <c r="C533" t="str">
        <f t="array" ref="C533">IFERROR(INDEX('Player Raw Data'!D:D,Match($A533,'Player Raw Data'!$B:$B,0)),"")</f>
        <v/>
      </c>
      <c r="D533" t="str">
        <f t="array" ref="D533">IFERROR(IF(A533=A532, INDEX('Player Raw Data'!E:E,Match($A533,'Player Raw Data'!$B:$B,0)+2),INDEX('Player Raw Data'!E:E,Match($A533,'Player Raw Data'!$B:$B,0))),"")</f>
        <v/>
      </c>
      <c r="E533" s="27" t="str">
        <f>IFERROR(__xludf.DUMMYFUNCTION("IFERROR(ARRAY_CONSTRAIN(SPLIT(INDEX('Daily Raw Data'!G:G,Match($A533,'Daily Raw Data'!$B:$B,0)),"":""),1,1),"""")"),"")</f>
        <v/>
      </c>
      <c r="F533" t="str">
        <f t="array" ref="F533">IFERROR(INDEX('Daily Raw Data'!H:H,Match($A533,'Daily Raw Data'!$B:$B,0)),"")</f>
        <v/>
      </c>
      <c r="G533" t="str">
        <f t="array" ref="G533">IFERROR(INDEX('Daily Raw Data'!I:I,Match($A533,'Daily Raw Data'!$B:$B,0)),"")</f>
        <v/>
      </c>
      <c r="H533" t="str">
        <f t="array" ref="H533">IFERROR(INDEX('Daily Raw Data'!N:N,Match($A533,'Daily Raw Data'!$B:$B,0)),"")</f>
        <v/>
      </c>
      <c r="I533" t="str">
        <f t="array" ref="I533">IFERROR(INDEX('Daily Raw Data'!O:O,Match($A533,'Daily Raw Data'!$B:$B,0)),"")</f>
        <v/>
      </c>
      <c r="J533" t="str">
        <f t="array" ref="J533">IFERROR(INDEX('Daily Raw Data'!S:S,Match($A533,'Daily Raw Data'!$B:$B,0)),"")</f>
        <v/>
      </c>
      <c r="K533" t="str">
        <f t="array" ref="K533">IFERROR(INDEX('Daily Raw Data'!T:T,Match($A533,'Daily Raw Data'!$B:$B,0)),"")</f>
        <v/>
      </c>
      <c r="L533" t="str">
        <f t="array" ref="L533">IFERROR(INDEX('Daily Raw Data'!U:U,Match($A533,'Daily Raw Data'!$B:$B,0)),"")</f>
        <v/>
      </c>
      <c r="M533" t="str">
        <f t="array" ref="M533">IFERROR(INDEX('Daily Raw Data'!V:V,Match($A533,'Daily Raw Data'!$B:$B,0)),"")</f>
        <v/>
      </c>
      <c r="N533" t="str">
        <f t="array" ref="N533">IFERROR(INDEX('Daily Raw Data'!W:W,Match($A533,'Daily Raw Data'!$B:$B,0)),"")</f>
        <v/>
      </c>
      <c r="O533" t="str">
        <f t="array" ref="O533">IFERROR(INDEX('Daily Raw Data'!Y:Y,Match($A533,'Daily Raw Data'!$B:$B,0)),"")</f>
        <v/>
      </c>
      <c r="P533" t="str">
        <f t="shared" si="1"/>
        <v/>
      </c>
      <c r="Q533" s="14" t="str">
        <f t="shared" si="2"/>
        <v/>
      </c>
      <c r="R533" s="15" t="str">
        <f>IFERROR(__xludf.DUMMYFUNCTION("IF($A533="""","""", IFERROR(PERCENTRANK.INC(FILTER(P:P,$E:$E&lt;&gt;""""),P533)*100,""""))"),"")</f>
        <v/>
      </c>
      <c r="S533" s="15" t="str">
        <f>IFERROR(__xludf.DUMMYFUNCTION("IF($A533="""","""",IFERROR(PERCENTRANK.INC(FILTER(Q:Q,$E:$E&lt;&gt;""""),Q533)*100,""""))"),"")</f>
        <v/>
      </c>
    </row>
    <row r="534">
      <c r="B534" t="str">
        <f t="array" ref="B534">IFERROR(INDEX('Player Raw Data'!C:C,Match($A534,'Player Raw Data'!$B:$B,0)),"")</f>
        <v/>
      </c>
      <c r="C534" t="str">
        <f t="array" ref="C534">IFERROR(INDEX('Player Raw Data'!D:D,Match($A534,'Player Raw Data'!$B:$B,0)),"")</f>
        <v/>
      </c>
      <c r="D534" t="str">
        <f t="array" ref="D534">IFERROR(IF(A534=A533, INDEX('Player Raw Data'!E:E,Match($A534,'Player Raw Data'!$B:$B,0)+2),INDEX('Player Raw Data'!E:E,Match($A534,'Player Raw Data'!$B:$B,0))),"")</f>
        <v/>
      </c>
      <c r="E534" s="27" t="str">
        <f>IFERROR(__xludf.DUMMYFUNCTION("IFERROR(ARRAY_CONSTRAIN(SPLIT(INDEX('Daily Raw Data'!G:G,Match($A534,'Daily Raw Data'!$B:$B,0)),"":""),1,1),"""")"),"")</f>
        <v/>
      </c>
      <c r="F534" t="str">
        <f t="array" ref="F534">IFERROR(INDEX('Daily Raw Data'!H:H,Match($A534,'Daily Raw Data'!$B:$B,0)),"")</f>
        <v/>
      </c>
      <c r="G534" t="str">
        <f t="array" ref="G534">IFERROR(INDEX('Daily Raw Data'!I:I,Match($A534,'Daily Raw Data'!$B:$B,0)),"")</f>
        <v/>
      </c>
      <c r="H534" t="str">
        <f t="array" ref="H534">IFERROR(INDEX('Daily Raw Data'!N:N,Match($A534,'Daily Raw Data'!$B:$B,0)),"")</f>
        <v/>
      </c>
      <c r="I534" t="str">
        <f t="array" ref="I534">IFERROR(INDEX('Daily Raw Data'!O:O,Match($A534,'Daily Raw Data'!$B:$B,0)),"")</f>
        <v/>
      </c>
      <c r="J534" t="str">
        <f t="array" ref="J534">IFERROR(INDEX('Daily Raw Data'!S:S,Match($A534,'Daily Raw Data'!$B:$B,0)),"")</f>
        <v/>
      </c>
      <c r="K534" t="str">
        <f t="array" ref="K534">IFERROR(INDEX('Daily Raw Data'!T:T,Match($A534,'Daily Raw Data'!$B:$B,0)),"")</f>
        <v/>
      </c>
      <c r="L534" t="str">
        <f t="array" ref="L534">IFERROR(INDEX('Daily Raw Data'!U:U,Match($A534,'Daily Raw Data'!$B:$B,0)),"")</f>
        <v/>
      </c>
      <c r="M534" t="str">
        <f t="array" ref="M534">IFERROR(INDEX('Daily Raw Data'!V:V,Match($A534,'Daily Raw Data'!$B:$B,0)),"")</f>
        <v/>
      </c>
      <c r="N534" t="str">
        <f t="array" ref="N534">IFERROR(INDEX('Daily Raw Data'!W:W,Match($A534,'Daily Raw Data'!$B:$B,0)),"")</f>
        <v/>
      </c>
      <c r="O534" t="str">
        <f t="array" ref="O534">IFERROR(INDEX('Daily Raw Data'!Y:Y,Match($A534,'Daily Raw Data'!$B:$B,0)),"")</f>
        <v/>
      </c>
      <c r="P534" t="str">
        <f t="shared" si="1"/>
        <v/>
      </c>
      <c r="Q534" s="14" t="str">
        <f t="shared" si="2"/>
        <v/>
      </c>
      <c r="R534" s="15" t="str">
        <f>IFERROR(__xludf.DUMMYFUNCTION("IF($A534="""","""", IFERROR(PERCENTRANK.INC(FILTER(P:P,$E:$E&lt;&gt;""""),P534)*100,""""))"),"")</f>
        <v/>
      </c>
      <c r="S534" s="15" t="str">
        <f>IFERROR(__xludf.DUMMYFUNCTION("IF($A534="""","""",IFERROR(PERCENTRANK.INC(FILTER(Q:Q,$E:$E&lt;&gt;""""),Q534)*100,""""))"),"")</f>
        <v/>
      </c>
    </row>
    <row r="535">
      <c r="B535" t="str">
        <f t="array" ref="B535">IFERROR(INDEX('Player Raw Data'!C:C,Match($A535,'Player Raw Data'!$B:$B,0)),"")</f>
        <v/>
      </c>
      <c r="C535" t="str">
        <f t="array" ref="C535">IFERROR(INDEX('Player Raw Data'!D:D,Match($A535,'Player Raw Data'!$B:$B,0)),"")</f>
        <v/>
      </c>
      <c r="D535" t="str">
        <f t="array" ref="D535">IFERROR(IF(A535=A534, INDEX('Player Raw Data'!E:E,Match($A535,'Player Raw Data'!$B:$B,0)+2),INDEX('Player Raw Data'!E:E,Match($A535,'Player Raw Data'!$B:$B,0))),"")</f>
        <v/>
      </c>
      <c r="E535" s="27" t="str">
        <f>IFERROR(__xludf.DUMMYFUNCTION("IFERROR(ARRAY_CONSTRAIN(SPLIT(INDEX('Daily Raw Data'!G:G,Match($A535,'Daily Raw Data'!$B:$B,0)),"":""),1,1),"""")"),"")</f>
        <v/>
      </c>
      <c r="F535" t="str">
        <f t="array" ref="F535">IFERROR(INDEX('Daily Raw Data'!H:H,Match($A535,'Daily Raw Data'!$B:$B,0)),"")</f>
        <v/>
      </c>
      <c r="G535" t="str">
        <f t="array" ref="G535">IFERROR(INDEX('Daily Raw Data'!I:I,Match($A535,'Daily Raw Data'!$B:$B,0)),"")</f>
        <v/>
      </c>
      <c r="H535" t="str">
        <f t="array" ref="H535">IFERROR(INDEX('Daily Raw Data'!N:N,Match($A535,'Daily Raw Data'!$B:$B,0)),"")</f>
        <v/>
      </c>
      <c r="I535" t="str">
        <f t="array" ref="I535">IFERROR(INDEX('Daily Raw Data'!O:O,Match($A535,'Daily Raw Data'!$B:$B,0)),"")</f>
        <v/>
      </c>
      <c r="J535" t="str">
        <f t="array" ref="J535">IFERROR(INDEX('Daily Raw Data'!S:S,Match($A535,'Daily Raw Data'!$B:$B,0)),"")</f>
        <v/>
      </c>
      <c r="K535" t="str">
        <f t="array" ref="K535">IFERROR(INDEX('Daily Raw Data'!T:T,Match($A535,'Daily Raw Data'!$B:$B,0)),"")</f>
        <v/>
      </c>
      <c r="L535" t="str">
        <f t="array" ref="L535">IFERROR(INDEX('Daily Raw Data'!U:U,Match($A535,'Daily Raw Data'!$B:$B,0)),"")</f>
        <v/>
      </c>
      <c r="M535" t="str">
        <f t="array" ref="M535">IFERROR(INDEX('Daily Raw Data'!V:V,Match($A535,'Daily Raw Data'!$B:$B,0)),"")</f>
        <v/>
      </c>
      <c r="N535" t="str">
        <f t="array" ref="N535">IFERROR(INDEX('Daily Raw Data'!W:W,Match($A535,'Daily Raw Data'!$B:$B,0)),"")</f>
        <v/>
      </c>
      <c r="O535" t="str">
        <f t="array" ref="O535">IFERROR(INDEX('Daily Raw Data'!Y:Y,Match($A535,'Daily Raw Data'!$B:$B,0)),"")</f>
        <v/>
      </c>
      <c r="P535" t="str">
        <f t="shared" si="1"/>
        <v/>
      </c>
      <c r="Q535" s="14" t="str">
        <f t="shared" si="2"/>
        <v/>
      </c>
      <c r="R535" s="15" t="str">
        <f>IFERROR(__xludf.DUMMYFUNCTION("IF($A535="""","""", IFERROR(PERCENTRANK.INC(FILTER(P:P,$E:$E&lt;&gt;""""),P535)*100,""""))"),"")</f>
        <v/>
      </c>
      <c r="S535" s="15" t="str">
        <f>IFERROR(__xludf.DUMMYFUNCTION("IF($A535="""","""",IFERROR(PERCENTRANK.INC(FILTER(Q:Q,$E:$E&lt;&gt;""""),Q535)*100,""""))"),"")</f>
        <v/>
      </c>
    </row>
    <row r="536">
      <c r="B536" t="str">
        <f t="array" ref="B536">IFERROR(INDEX('Player Raw Data'!C:C,Match($A536,'Player Raw Data'!$B:$B,0)),"")</f>
        <v/>
      </c>
      <c r="C536" t="str">
        <f t="array" ref="C536">IFERROR(INDEX('Player Raw Data'!D:D,Match($A536,'Player Raw Data'!$B:$B,0)),"")</f>
        <v/>
      </c>
      <c r="D536" t="str">
        <f t="array" ref="D536">IFERROR(IF(A536=A535, INDEX('Player Raw Data'!E:E,Match($A536,'Player Raw Data'!$B:$B,0)+2),INDEX('Player Raw Data'!E:E,Match($A536,'Player Raw Data'!$B:$B,0))),"")</f>
        <v/>
      </c>
      <c r="E536" s="27" t="str">
        <f>IFERROR(__xludf.DUMMYFUNCTION("IFERROR(ARRAY_CONSTRAIN(SPLIT(INDEX('Daily Raw Data'!G:G,Match($A536,'Daily Raw Data'!$B:$B,0)),"":""),1,1),"""")"),"")</f>
        <v/>
      </c>
      <c r="F536" t="str">
        <f t="array" ref="F536">IFERROR(INDEX('Daily Raw Data'!H:H,Match($A536,'Daily Raw Data'!$B:$B,0)),"")</f>
        <v/>
      </c>
      <c r="G536" t="str">
        <f t="array" ref="G536">IFERROR(INDEX('Daily Raw Data'!I:I,Match($A536,'Daily Raw Data'!$B:$B,0)),"")</f>
        <v/>
      </c>
      <c r="H536" t="str">
        <f t="array" ref="H536">IFERROR(INDEX('Daily Raw Data'!N:N,Match($A536,'Daily Raw Data'!$B:$B,0)),"")</f>
        <v/>
      </c>
      <c r="I536" t="str">
        <f t="array" ref="I536">IFERROR(INDEX('Daily Raw Data'!O:O,Match($A536,'Daily Raw Data'!$B:$B,0)),"")</f>
        <v/>
      </c>
      <c r="J536" t="str">
        <f t="array" ref="J536">IFERROR(INDEX('Daily Raw Data'!S:S,Match($A536,'Daily Raw Data'!$B:$B,0)),"")</f>
        <v/>
      </c>
      <c r="K536" t="str">
        <f t="array" ref="K536">IFERROR(INDEX('Daily Raw Data'!T:T,Match($A536,'Daily Raw Data'!$B:$B,0)),"")</f>
        <v/>
      </c>
      <c r="L536" t="str">
        <f t="array" ref="L536">IFERROR(INDEX('Daily Raw Data'!U:U,Match($A536,'Daily Raw Data'!$B:$B,0)),"")</f>
        <v/>
      </c>
      <c r="M536" t="str">
        <f t="array" ref="M536">IFERROR(INDEX('Daily Raw Data'!V:V,Match($A536,'Daily Raw Data'!$B:$B,0)),"")</f>
        <v/>
      </c>
      <c r="N536" t="str">
        <f t="array" ref="N536">IFERROR(INDEX('Daily Raw Data'!W:W,Match($A536,'Daily Raw Data'!$B:$B,0)),"")</f>
        <v/>
      </c>
      <c r="O536" t="str">
        <f t="array" ref="O536">IFERROR(INDEX('Daily Raw Data'!Y:Y,Match($A536,'Daily Raw Data'!$B:$B,0)),"")</f>
        <v/>
      </c>
      <c r="P536" t="str">
        <f t="shared" si="1"/>
        <v/>
      </c>
      <c r="Q536" s="14" t="str">
        <f t="shared" si="2"/>
        <v/>
      </c>
      <c r="R536" s="15" t="str">
        <f>IFERROR(__xludf.DUMMYFUNCTION("IF($A536="""","""", IFERROR(PERCENTRANK.INC(FILTER(P:P,$E:$E&lt;&gt;""""),P536)*100,""""))"),"")</f>
        <v/>
      </c>
      <c r="S536" s="15" t="str">
        <f>IFERROR(__xludf.DUMMYFUNCTION("IF($A536="""","""",IFERROR(PERCENTRANK.INC(FILTER(Q:Q,$E:$E&lt;&gt;""""),Q536)*100,""""))"),"")</f>
        <v/>
      </c>
    </row>
    <row r="537">
      <c r="B537" t="str">
        <f t="array" ref="B537">IFERROR(INDEX('Player Raw Data'!C:C,Match($A537,'Player Raw Data'!$B:$B,0)),"")</f>
        <v/>
      </c>
      <c r="C537" t="str">
        <f t="array" ref="C537">IFERROR(INDEX('Player Raw Data'!D:D,Match($A537,'Player Raw Data'!$B:$B,0)),"")</f>
        <v/>
      </c>
      <c r="D537" t="str">
        <f t="array" ref="D537">IFERROR(IF(A537=A536, INDEX('Player Raw Data'!E:E,Match($A537,'Player Raw Data'!$B:$B,0)+2),INDEX('Player Raw Data'!E:E,Match($A537,'Player Raw Data'!$B:$B,0))),"")</f>
        <v/>
      </c>
      <c r="E537" s="27" t="str">
        <f>IFERROR(__xludf.DUMMYFUNCTION("IFERROR(ARRAY_CONSTRAIN(SPLIT(INDEX('Daily Raw Data'!G:G,Match($A537,'Daily Raw Data'!$B:$B,0)),"":""),1,1),"""")"),"")</f>
        <v/>
      </c>
      <c r="F537" t="str">
        <f t="array" ref="F537">IFERROR(INDEX('Daily Raw Data'!H:H,Match($A537,'Daily Raw Data'!$B:$B,0)),"")</f>
        <v/>
      </c>
      <c r="G537" t="str">
        <f t="array" ref="G537">IFERROR(INDEX('Daily Raw Data'!I:I,Match($A537,'Daily Raw Data'!$B:$B,0)),"")</f>
        <v/>
      </c>
      <c r="H537" t="str">
        <f t="array" ref="H537">IFERROR(INDEX('Daily Raw Data'!N:N,Match($A537,'Daily Raw Data'!$B:$B,0)),"")</f>
        <v/>
      </c>
      <c r="I537" t="str">
        <f t="array" ref="I537">IFERROR(INDEX('Daily Raw Data'!O:O,Match($A537,'Daily Raw Data'!$B:$B,0)),"")</f>
        <v/>
      </c>
      <c r="J537" t="str">
        <f t="array" ref="J537">IFERROR(INDEX('Daily Raw Data'!S:S,Match($A537,'Daily Raw Data'!$B:$B,0)),"")</f>
        <v/>
      </c>
      <c r="K537" t="str">
        <f t="array" ref="K537">IFERROR(INDEX('Daily Raw Data'!T:T,Match($A537,'Daily Raw Data'!$B:$B,0)),"")</f>
        <v/>
      </c>
      <c r="L537" t="str">
        <f t="array" ref="L537">IFERROR(INDEX('Daily Raw Data'!U:U,Match($A537,'Daily Raw Data'!$B:$B,0)),"")</f>
        <v/>
      </c>
      <c r="M537" t="str">
        <f t="array" ref="M537">IFERROR(INDEX('Daily Raw Data'!V:V,Match($A537,'Daily Raw Data'!$B:$B,0)),"")</f>
        <v/>
      </c>
      <c r="N537" t="str">
        <f t="array" ref="N537">IFERROR(INDEX('Daily Raw Data'!W:W,Match($A537,'Daily Raw Data'!$B:$B,0)),"")</f>
        <v/>
      </c>
      <c r="O537" t="str">
        <f t="array" ref="O537">IFERROR(INDEX('Daily Raw Data'!Y:Y,Match($A537,'Daily Raw Data'!$B:$B,0)),"")</f>
        <v/>
      </c>
      <c r="P537" t="str">
        <f t="shared" si="1"/>
        <v/>
      </c>
      <c r="Q537" s="14" t="str">
        <f t="shared" si="2"/>
        <v/>
      </c>
      <c r="R537" s="15" t="str">
        <f>IFERROR(__xludf.DUMMYFUNCTION("IF($A537="""","""", IFERROR(PERCENTRANK.INC(FILTER(P:P,$E:$E&lt;&gt;""""),P537)*100,""""))"),"")</f>
        <v/>
      </c>
      <c r="S537" s="15" t="str">
        <f>IFERROR(__xludf.DUMMYFUNCTION("IF($A537="""","""",IFERROR(PERCENTRANK.INC(FILTER(Q:Q,$E:$E&lt;&gt;""""),Q537)*100,""""))"),"")</f>
        <v/>
      </c>
    </row>
    <row r="538">
      <c r="B538" t="str">
        <f t="array" ref="B538">IFERROR(INDEX('Player Raw Data'!C:C,Match($A538,'Player Raw Data'!$B:$B,0)),"")</f>
        <v/>
      </c>
      <c r="C538" t="str">
        <f t="array" ref="C538">IFERROR(INDEX('Player Raw Data'!D:D,Match($A538,'Player Raw Data'!$B:$B,0)),"")</f>
        <v/>
      </c>
      <c r="D538" t="str">
        <f t="array" ref="D538">IFERROR(IF(A538=A537, INDEX('Player Raw Data'!E:E,Match($A538,'Player Raw Data'!$B:$B,0)+2),INDEX('Player Raw Data'!E:E,Match($A538,'Player Raw Data'!$B:$B,0))),"")</f>
        <v/>
      </c>
      <c r="E538" s="27" t="str">
        <f>IFERROR(__xludf.DUMMYFUNCTION("IFERROR(ARRAY_CONSTRAIN(SPLIT(INDEX('Daily Raw Data'!G:G,Match($A538,'Daily Raw Data'!$B:$B,0)),"":""),1,1),"""")"),"")</f>
        <v/>
      </c>
      <c r="F538" t="str">
        <f t="array" ref="F538">IFERROR(INDEX('Daily Raw Data'!H:H,Match($A538,'Daily Raw Data'!$B:$B,0)),"")</f>
        <v/>
      </c>
      <c r="G538" t="str">
        <f t="array" ref="G538">IFERROR(INDEX('Daily Raw Data'!I:I,Match($A538,'Daily Raw Data'!$B:$B,0)),"")</f>
        <v/>
      </c>
      <c r="H538" t="str">
        <f t="array" ref="H538">IFERROR(INDEX('Daily Raw Data'!N:N,Match($A538,'Daily Raw Data'!$B:$B,0)),"")</f>
        <v/>
      </c>
      <c r="I538" t="str">
        <f t="array" ref="I538">IFERROR(INDEX('Daily Raw Data'!O:O,Match($A538,'Daily Raw Data'!$B:$B,0)),"")</f>
        <v/>
      </c>
      <c r="J538" t="str">
        <f t="array" ref="J538">IFERROR(INDEX('Daily Raw Data'!S:S,Match($A538,'Daily Raw Data'!$B:$B,0)),"")</f>
        <v/>
      </c>
      <c r="K538" t="str">
        <f t="array" ref="K538">IFERROR(INDEX('Daily Raw Data'!T:T,Match($A538,'Daily Raw Data'!$B:$B,0)),"")</f>
        <v/>
      </c>
      <c r="L538" t="str">
        <f t="array" ref="L538">IFERROR(INDEX('Daily Raw Data'!U:U,Match($A538,'Daily Raw Data'!$B:$B,0)),"")</f>
        <v/>
      </c>
      <c r="M538" t="str">
        <f t="array" ref="M538">IFERROR(INDEX('Daily Raw Data'!V:V,Match($A538,'Daily Raw Data'!$B:$B,0)),"")</f>
        <v/>
      </c>
      <c r="N538" t="str">
        <f t="array" ref="N538">IFERROR(INDEX('Daily Raw Data'!W:W,Match($A538,'Daily Raw Data'!$B:$B,0)),"")</f>
        <v/>
      </c>
      <c r="O538" t="str">
        <f t="array" ref="O538">IFERROR(INDEX('Daily Raw Data'!Y:Y,Match($A538,'Daily Raw Data'!$B:$B,0)),"")</f>
        <v/>
      </c>
      <c r="P538" t="str">
        <f t="shared" si="1"/>
        <v/>
      </c>
      <c r="Q538" s="14" t="str">
        <f t="shared" si="2"/>
        <v/>
      </c>
      <c r="R538" s="15" t="str">
        <f>IFERROR(__xludf.DUMMYFUNCTION("IF($A538="""","""", IFERROR(PERCENTRANK.INC(FILTER(P:P,$E:$E&lt;&gt;""""),P538)*100,""""))"),"")</f>
        <v/>
      </c>
      <c r="S538" s="15" t="str">
        <f>IFERROR(__xludf.DUMMYFUNCTION("IF($A538="""","""",IFERROR(PERCENTRANK.INC(FILTER(Q:Q,$E:$E&lt;&gt;""""),Q538)*100,""""))"),"")</f>
        <v/>
      </c>
    </row>
    <row r="539">
      <c r="B539" t="str">
        <f t="array" ref="B539">IFERROR(INDEX('Player Raw Data'!C:C,Match($A539,'Player Raw Data'!$B:$B,0)),"")</f>
        <v/>
      </c>
      <c r="C539" t="str">
        <f t="array" ref="C539">IFERROR(INDEX('Player Raw Data'!D:D,Match($A539,'Player Raw Data'!$B:$B,0)),"")</f>
        <v/>
      </c>
      <c r="D539" t="str">
        <f t="array" ref="D539">IFERROR(IF(A539=A538, INDEX('Player Raw Data'!E:E,Match($A539,'Player Raw Data'!$B:$B,0)+2),INDEX('Player Raw Data'!E:E,Match($A539,'Player Raw Data'!$B:$B,0))),"")</f>
        <v/>
      </c>
      <c r="E539" s="27" t="str">
        <f>IFERROR(__xludf.DUMMYFUNCTION("IFERROR(ARRAY_CONSTRAIN(SPLIT(INDEX('Daily Raw Data'!G:G,Match($A539,'Daily Raw Data'!$B:$B,0)),"":""),1,1),"""")"),"")</f>
        <v/>
      </c>
      <c r="F539" t="str">
        <f t="array" ref="F539">IFERROR(INDEX('Daily Raw Data'!H:H,Match($A539,'Daily Raw Data'!$B:$B,0)),"")</f>
        <v/>
      </c>
      <c r="G539" t="str">
        <f t="array" ref="G539">IFERROR(INDEX('Daily Raw Data'!I:I,Match($A539,'Daily Raw Data'!$B:$B,0)),"")</f>
        <v/>
      </c>
      <c r="H539" t="str">
        <f t="array" ref="H539">IFERROR(INDEX('Daily Raw Data'!N:N,Match($A539,'Daily Raw Data'!$B:$B,0)),"")</f>
        <v/>
      </c>
      <c r="I539" t="str">
        <f t="array" ref="I539">IFERROR(INDEX('Daily Raw Data'!O:O,Match($A539,'Daily Raw Data'!$B:$B,0)),"")</f>
        <v/>
      </c>
      <c r="J539" t="str">
        <f t="array" ref="J539">IFERROR(INDEX('Daily Raw Data'!S:S,Match($A539,'Daily Raw Data'!$B:$B,0)),"")</f>
        <v/>
      </c>
      <c r="K539" t="str">
        <f t="array" ref="K539">IFERROR(INDEX('Daily Raw Data'!T:T,Match($A539,'Daily Raw Data'!$B:$B,0)),"")</f>
        <v/>
      </c>
      <c r="L539" t="str">
        <f t="array" ref="L539">IFERROR(INDEX('Daily Raw Data'!U:U,Match($A539,'Daily Raw Data'!$B:$B,0)),"")</f>
        <v/>
      </c>
      <c r="M539" t="str">
        <f t="array" ref="M539">IFERROR(INDEX('Daily Raw Data'!V:V,Match($A539,'Daily Raw Data'!$B:$B,0)),"")</f>
        <v/>
      </c>
      <c r="N539" t="str">
        <f t="array" ref="N539">IFERROR(INDEX('Daily Raw Data'!W:W,Match($A539,'Daily Raw Data'!$B:$B,0)),"")</f>
        <v/>
      </c>
      <c r="O539" t="str">
        <f t="array" ref="O539">IFERROR(INDEX('Daily Raw Data'!Y:Y,Match($A539,'Daily Raw Data'!$B:$B,0)),"")</f>
        <v/>
      </c>
      <c r="P539" t="str">
        <f t="shared" si="1"/>
        <v/>
      </c>
      <c r="Q539" s="14" t="str">
        <f t="shared" si="2"/>
        <v/>
      </c>
      <c r="R539" s="15" t="str">
        <f>IFERROR(__xludf.DUMMYFUNCTION("IF($A539="""","""", IFERROR(PERCENTRANK.INC(FILTER(P:P,$E:$E&lt;&gt;""""),P539)*100,""""))"),"")</f>
        <v/>
      </c>
      <c r="S539" s="15" t="str">
        <f>IFERROR(__xludf.DUMMYFUNCTION("IF($A539="""","""",IFERROR(PERCENTRANK.INC(FILTER(Q:Q,$E:$E&lt;&gt;""""),Q539)*100,""""))"),"")</f>
        <v/>
      </c>
    </row>
    <row r="540">
      <c r="B540" t="str">
        <f t="array" ref="B540">IFERROR(INDEX('Player Raw Data'!C:C,Match($A540,'Player Raw Data'!$B:$B,0)),"")</f>
        <v/>
      </c>
      <c r="C540" t="str">
        <f t="array" ref="C540">IFERROR(INDEX('Player Raw Data'!D:D,Match($A540,'Player Raw Data'!$B:$B,0)),"")</f>
        <v/>
      </c>
      <c r="D540" t="str">
        <f t="array" ref="D540">IFERROR(IF(A540=A539, INDEX('Player Raw Data'!E:E,Match($A540,'Player Raw Data'!$B:$B,0)+2),INDEX('Player Raw Data'!E:E,Match($A540,'Player Raw Data'!$B:$B,0))),"")</f>
        <v/>
      </c>
      <c r="E540" s="27" t="str">
        <f>IFERROR(__xludf.DUMMYFUNCTION("IFERROR(ARRAY_CONSTRAIN(SPLIT(INDEX('Daily Raw Data'!G:G,Match($A540,'Daily Raw Data'!$B:$B,0)),"":""),1,1),"""")"),"")</f>
        <v/>
      </c>
      <c r="F540" t="str">
        <f t="array" ref="F540">IFERROR(INDEX('Daily Raw Data'!H:H,Match($A540,'Daily Raw Data'!$B:$B,0)),"")</f>
        <v/>
      </c>
      <c r="G540" t="str">
        <f t="array" ref="G540">IFERROR(INDEX('Daily Raw Data'!I:I,Match($A540,'Daily Raw Data'!$B:$B,0)),"")</f>
        <v/>
      </c>
      <c r="H540" t="str">
        <f t="array" ref="H540">IFERROR(INDEX('Daily Raw Data'!N:N,Match($A540,'Daily Raw Data'!$B:$B,0)),"")</f>
        <v/>
      </c>
      <c r="I540" t="str">
        <f t="array" ref="I540">IFERROR(INDEX('Daily Raw Data'!O:O,Match($A540,'Daily Raw Data'!$B:$B,0)),"")</f>
        <v/>
      </c>
      <c r="J540" t="str">
        <f t="array" ref="J540">IFERROR(INDEX('Daily Raw Data'!S:S,Match($A540,'Daily Raw Data'!$B:$B,0)),"")</f>
        <v/>
      </c>
      <c r="K540" t="str">
        <f t="array" ref="K540">IFERROR(INDEX('Daily Raw Data'!T:T,Match($A540,'Daily Raw Data'!$B:$B,0)),"")</f>
        <v/>
      </c>
      <c r="L540" t="str">
        <f t="array" ref="L540">IFERROR(INDEX('Daily Raw Data'!U:U,Match($A540,'Daily Raw Data'!$B:$B,0)),"")</f>
        <v/>
      </c>
      <c r="M540" t="str">
        <f t="array" ref="M540">IFERROR(INDEX('Daily Raw Data'!V:V,Match($A540,'Daily Raw Data'!$B:$B,0)),"")</f>
        <v/>
      </c>
      <c r="N540" t="str">
        <f t="array" ref="N540">IFERROR(INDEX('Daily Raw Data'!W:W,Match($A540,'Daily Raw Data'!$B:$B,0)),"")</f>
        <v/>
      </c>
      <c r="O540" t="str">
        <f t="array" ref="O540">IFERROR(INDEX('Daily Raw Data'!Y:Y,Match($A540,'Daily Raw Data'!$B:$B,0)),"")</f>
        <v/>
      </c>
      <c r="P540" t="str">
        <f t="shared" si="1"/>
        <v/>
      </c>
      <c r="Q540" s="14" t="str">
        <f t="shared" si="2"/>
        <v/>
      </c>
      <c r="R540" s="15" t="str">
        <f>IFERROR(__xludf.DUMMYFUNCTION("IF($A540="""","""", IFERROR(PERCENTRANK.INC(FILTER(P:P,$E:$E&lt;&gt;""""),P540)*100,""""))"),"")</f>
        <v/>
      </c>
      <c r="S540" s="15" t="str">
        <f>IFERROR(__xludf.DUMMYFUNCTION("IF($A540="""","""",IFERROR(PERCENTRANK.INC(FILTER(Q:Q,$E:$E&lt;&gt;""""),Q540)*100,""""))"),"")</f>
        <v/>
      </c>
    </row>
    <row r="541">
      <c r="B541" t="str">
        <f t="array" ref="B541">IFERROR(INDEX('Player Raw Data'!C:C,Match($A541,'Player Raw Data'!$B:$B,0)),"")</f>
        <v/>
      </c>
      <c r="C541" t="str">
        <f t="array" ref="C541">IFERROR(INDEX('Player Raw Data'!D:D,Match($A541,'Player Raw Data'!$B:$B,0)),"")</f>
        <v/>
      </c>
      <c r="D541" t="str">
        <f t="array" ref="D541">IFERROR(IF(A541=A540, INDEX('Player Raw Data'!E:E,Match($A541,'Player Raw Data'!$B:$B,0)+2),INDEX('Player Raw Data'!E:E,Match($A541,'Player Raw Data'!$B:$B,0))),"")</f>
        <v/>
      </c>
      <c r="E541" s="27" t="str">
        <f>IFERROR(__xludf.DUMMYFUNCTION("IFERROR(ARRAY_CONSTRAIN(SPLIT(INDEX('Daily Raw Data'!G:G,Match($A541,'Daily Raw Data'!$B:$B,0)),"":""),1,1),"""")"),"")</f>
        <v/>
      </c>
      <c r="F541" t="str">
        <f t="array" ref="F541">IFERROR(INDEX('Daily Raw Data'!H:H,Match($A541,'Daily Raw Data'!$B:$B,0)),"")</f>
        <v/>
      </c>
      <c r="G541" t="str">
        <f t="array" ref="G541">IFERROR(INDEX('Daily Raw Data'!I:I,Match($A541,'Daily Raw Data'!$B:$B,0)),"")</f>
        <v/>
      </c>
      <c r="H541" t="str">
        <f t="array" ref="H541">IFERROR(INDEX('Daily Raw Data'!N:N,Match($A541,'Daily Raw Data'!$B:$B,0)),"")</f>
        <v/>
      </c>
      <c r="I541" t="str">
        <f t="array" ref="I541">IFERROR(INDEX('Daily Raw Data'!O:O,Match($A541,'Daily Raw Data'!$B:$B,0)),"")</f>
        <v/>
      </c>
      <c r="J541" t="str">
        <f t="array" ref="J541">IFERROR(INDEX('Daily Raw Data'!S:S,Match($A541,'Daily Raw Data'!$B:$B,0)),"")</f>
        <v/>
      </c>
      <c r="K541" t="str">
        <f t="array" ref="K541">IFERROR(INDEX('Daily Raw Data'!T:T,Match($A541,'Daily Raw Data'!$B:$B,0)),"")</f>
        <v/>
      </c>
      <c r="L541" t="str">
        <f t="array" ref="L541">IFERROR(INDEX('Daily Raw Data'!U:U,Match($A541,'Daily Raw Data'!$B:$B,0)),"")</f>
        <v/>
      </c>
      <c r="M541" t="str">
        <f t="array" ref="M541">IFERROR(INDEX('Daily Raw Data'!V:V,Match($A541,'Daily Raw Data'!$B:$B,0)),"")</f>
        <v/>
      </c>
      <c r="N541" t="str">
        <f t="array" ref="N541">IFERROR(INDEX('Daily Raw Data'!W:W,Match($A541,'Daily Raw Data'!$B:$B,0)),"")</f>
        <v/>
      </c>
      <c r="O541" t="str">
        <f t="array" ref="O541">IFERROR(INDEX('Daily Raw Data'!Y:Y,Match($A541,'Daily Raw Data'!$B:$B,0)),"")</f>
        <v/>
      </c>
      <c r="P541" t="str">
        <f t="shared" si="1"/>
        <v/>
      </c>
      <c r="Q541" s="14" t="str">
        <f t="shared" si="2"/>
        <v/>
      </c>
      <c r="R541" s="15" t="str">
        <f>IFERROR(__xludf.DUMMYFUNCTION("IF($A541="""","""", IFERROR(PERCENTRANK.INC(FILTER(P:P,$E:$E&lt;&gt;""""),P541)*100,""""))"),"")</f>
        <v/>
      </c>
      <c r="S541" s="15" t="str">
        <f>IFERROR(__xludf.DUMMYFUNCTION("IF($A541="""","""",IFERROR(PERCENTRANK.INC(FILTER(Q:Q,$E:$E&lt;&gt;""""),Q541)*100,""""))"),"")</f>
        <v/>
      </c>
    </row>
    <row r="542">
      <c r="B542" t="str">
        <f t="array" ref="B542">IFERROR(INDEX('Player Raw Data'!C:C,Match($A542,'Player Raw Data'!$B:$B,0)),"")</f>
        <v/>
      </c>
      <c r="C542" t="str">
        <f t="array" ref="C542">IFERROR(INDEX('Player Raw Data'!D:D,Match($A542,'Player Raw Data'!$B:$B,0)),"")</f>
        <v/>
      </c>
      <c r="D542" t="str">
        <f t="array" ref="D542">IFERROR(IF(A542=A541, INDEX('Player Raw Data'!E:E,Match($A542,'Player Raw Data'!$B:$B,0)+2),INDEX('Player Raw Data'!E:E,Match($A542,'Player Raw Data'!$B:$B,0))),"")</f>
        <v/>
      </c>
      <c r="E542" s="27" t="str">
        <f>IFERROR(__xludf.DUMMYFUNCTION("IFERROR(ARRAY_CONSTRAIN(SPLIT(INDEX('Daily Raw Data'!G:G,Match($A542,'Daily Raw Data'!$B:$B,0)),"":""),1,1),"""")"),"")</f>
        <v/>
      </c>
      <c r="F542" t="str">
        <f t="array" ref="F542">IFERROR(INDEX('Daily Raw Data'!H:H,Match($A542,'Daily Raw Data'!$B:$B,0)),"")</f>
        <v/>
      </c>
      <c r="G542" t="str">
        <f t="array" ref="G542">IFERROR(INDEX('Daily Raw Data'!I:I,Match($A542,'Daily Raw Data'!$B:$B,0)),"")</f>
        <v/>
      </c>
      <c r="H542" t="str">
        <f t="array" ref="H542">IFERROR(INDEX('Daily Raw Data'!N:N,Match($A542,'Daily Raw Data'!$B:$B,0)),"")</f>
        <v/>
      </c>
      <c r="I542" t="str">
        <f t="array" ref="I542">IFERROR(INDEX('Daily Raw Data'!O:O,Match($A542,'Daily Raw Data'!$B:$B,0)),"")</f>
        <v/>
      </c>
      <c r="J542" t="str">
        <f t="array" ref="J542">IFERROR(INDEX('Daily Raw Data'!S:S,Match($A542,'Daily Raw Data'!$B:$B,0)),"")</f>
        <v/>
      </c>
      <c r="K542" t="str">
        <f t="array" ref="K542">IFERROR(INDEX('Daily Raw Data'!T:T,Match($A542,'Daily Raw Data'!$B:$B,0)),"")</f>
        <v/>
      </c>
      <c r="L542" t="str">
        <f t="array" ref="L542">IFERROR(INDEX('Daily Raw Data'!U:U,Match($A542,'Daily Raw Data'!$B:$B,0)),"")</f>
        <v/>
      </c>
      <c r="M542" t="str">
        <f t="array" ref="M542">IFERROR(INDEX('Daily Raw Data'!V:V,Match($A542,'Daily Raw Data'!$B:$B,0)),"")</f>
        <v/>
      </c>
      <c r="N542" t="str">
        <f t="array" ref="N542">IFERROR(INDEX('Daily Raw Data'!W:W,Match($A542,'Daily Raw Data'!$B:$B,0)),"")</f>
        <v/>
      </c>
      <c r="O542" t="str">
        <f t="array" ref="O542">IFERROR(INDEX('Daily Raw Data'!Y:Y,Match($A542,'Daily Raw Data'!$B:$B,0)),"")</f>
        <v/>
      </c>
      <c r="P542" t="str">
        <f t="shared" si="1"/>
        <v/>
      </c>
      <c r="Q542" s="14" t="str">
        <f t="shared" si="2"/>
        <v/>
      </c>
      <c r="R542" s="15" t="str">
        <f>IFERROR(__xludf.DUMMYFUNCTION("IF($A542="""","""", IFERROR(PERCENTRANK.INC(FILTER(P:P,$E:$E&lt;&gt;""""),P542)*100,""""))"),"")</f>
        <v/>
      </c>
      <c r="S542" s="15" t="str">
        <f>IFERROR(__xludf.DUMMYFUNCTION("IF($A542="""","""",IFERROR(PERCENTRANK.INC(FILTER(Q:Q,$E:$E&lt;&gt;""""),Q542)*100,""""))"),"")</f>
        <v/>
      </c>
    </row>
    <row r="543">
      <c r="B543" t="str">
        <f t="array" ref="B543">IFERROR(INDEX('Player Raw Data'!C:C,Match($A543,'Player Raw Data'!$B:$B,0)),"")</f>
        <v/>
      </c>
      <c r="C543" t="str">
        <f t="array" ref="C543">IFERROR(INDEX('Player Raw Data'!D:D,Match($A543,'Player Raw Data'!$B:$B,0)),"")</f>
        <v/>
      </c>
      <c r="D543" t="str">
        <f t="array" ref="D543">IFERROR(IF(A543=A542, INDEX('Player Raw Data'!E:E,Match($A543,'Player Raw Data'!$B:$B,0)+2),INDEX('Player Raw Data'!E:E,Match($A543,'Player Raw Data'!$B:$B,0))),"")</f>
        <v/>
      </c>
      <c r="E543" s="27" t="str">
        <f>IFERROR(__xludf.DUMMYFUNCTION("IFERROR(ARRAY_CONSTRAIN(SPLIT(INDEX('Daily Raw Data'!G:G,Match($A543,'Daily Raw Data'!$B:$B,0)),"":""),1,1),"""")"),"")</f>
        <v/>
      </c>
      <c r="F543" t="str">
        <f t="array" ref="F543">IFERROR(INDEX('Daily Raw Data'!H:H,Match($A543,'Daily Raw Data'!$B:$B,0)),"")</f>
        <v/>
      </c>
      <c r="G543" t="str">
        <f t="array" ref="G543">IFERROR(INDEX('Daily Raw Data'!I:I,Match($A543,'Daily Raw Data'!$B:$B,0)),"")</f>
        <v/>
      </c>
      <c r="H543" t="str">
        <f t="array" ref="H543">IFERROR(INDEX('Daily Raw Data'!N:N,Match($A543,'Daily Raw Data'!$B:$B,0)),"")</f>
        <v/>
      </c>
      <c r="I543" t="str">
        <f t="array" ref="I543">IFERROR(INDEX('Daily Raw Data'!O:O,Match($A543,'Daily Raw Data'!$B:$B,0)),"")</f>
        <v/>
      </c>
      <c r="J543" t="str">
        <f t="array" ref="J543">IFERROR(INDEX('Daily Raw Data'!S:S,Match($A543,'Daily Raw Data'!$B:$B,0)),"")</f>
        <v/>
      </c>
      <c r="K543" t="str">
        <f t="array" ref="K543">IFERROR(INDEX('Daily Raw Data'!T:T,Match($A543,'Daily Raw Data'!$B:$B,0)),"")</f>
        <v/>
      </c>
      <c r="L543" t="str">
        <f t="array" ref="L543">IFERROR(INDEX('Daily Raw Data'!U:U,Match($A543,'Daily Raw Data'!$B:$B,0)),"")</f>
        <v/>
      </c>
      <c r="M543" t="str">
        <f t="array" ref="M543">IFERROR(INDEX('Daily Raw Data'!V:V,Match($A543,'Daily Raw Data'!$B:$B,0)),"")</f>
        <v/>
      </c>
      <c r="N543" t="str">
        <f t="array" ref="N543">IFERROR(INDEX('Daily Raw Data'!W:W,Match($A543,'Daily Raw Data'!$B:$B,0)),"")</f>
        <v/>
      </c>
      <c r="O543" t="str">
        <f t="array" ref="O543">IFERROR(INDEX('Daily Raw Data'!Y:Y,Match($A543,'Daily Raw Data'!$B:$B,0)),"")</f>
        <v/>
      </c>
      <c r="P543" t="str">
        <f t="shared" si="1"/>
        <v/>
      </c>
      <c r="Q543" s="14" t="str">
        <f t="shared" si="2"/>
        <v/>
      </c>
      <c r="R543" s="15" t="str">
        <f>IFERROR(__xludf.DUMMYFUNCTION("IF($A543="""","""", IFERROR(PERCENTRANK.INC(FILTER(P:P,$E:$E&lt;&gt;""""),P543)*100,""""))"),"")</f>
        <v/>
      </c>
      <c r="S543" s="15" t="str">
        <f>IFERROR(__xludf.DUMMYFUNCTION("IF($A543="""","""",IFERROR(PERCENTRANK.INC(FILTER(Q:Q,$E:$E&lt;&gt;""""),Q543)*100,""""))"),"")</f>
        <v/>
      </c>
    </row>
    <row r="544">
      <c r="B544" t="str">
        <f t="array" ref="B544">IFERROR(INDEX('Player Raw Data'!C:C,Match($A544,'Player Raw Data'!$B:$B,0)),"")</f>
        <v/>
      </c>
      <c r="C544" t="str">
        <f t="array" ref="C544">IFERROR(INDEX('Player Raw Data'!D:D,Match($A544,'Player Raw Data'!$B:$B,0)),"")</f>
        <v/>
      </c>
      <c r="D544" t="str">
        <f t="array" ref="D544">IFERROR(IF(A544=A543, INDEX('Player Raw Data'!E:E,Match($A544,'Player Raw Data'!$B:$B,0)+2),INDEX('Player Raw Data'!E:E,Match($A544,'Player Raw Data'!$B:$B,0))),"")</f>
        <v/>
      </c>
      <c r="E544" s="27" t="str">
        <f>IFERROR(__xludf.DUMMYFUNCTION("IFERROR(ARRAY_CONSTRAIN(SPLIT(INDEX('Daily Raw Data'!G:G,Match($A544,'Daily Raw Data'!$B:$B,0)),"":""),1,1),"""")"),"")</f>
        <v/>
      </c>
      <c r="F544" t="str">
        <f t="array" ref="F544">IFERROR(INDEX('Daily Raw Data'!H:H,Match($A544,'Daily Raw Data'!$B:$B,0)),"")</f>
        <v/>
      </c>
      <c r="G544" t="str">
        <f t="array" ref="G544">IFERROR(INDEX('Daily Raw Data'!I:I,Match($A544,'Daily Raw Data'!$B:$B,0)),"")</f>
        <v/>
      </c>
      <c r="H544" t="str">
        <f t="array" ref="H544">IFERROR(INDEX('Daily Raw Data'!N:N,Match($A544,'Daily Raw Data'!$B:$B,0)),"")</f>
        <v/>
      </c>
      <c r="I544" t="str">
        <f t="array" ref="I544">IFERROR(INDEX('Daily Raw Data'!O:O,Match($A544,'Daily Raw Data'!$B:$B,0)),"")</f>
        <v/>
      </c>
      <c r="J544" t="str">
        <f t="array" ref="J544">IFERROR(INDEX('Daily Raw Data'!S:S,Match($A544,'Daily Raw Data'!$B:$B,0)),"")</f>
        <v/>
      </c>
      <c r="K544" t="str">
        <f t="array" ref="K544">IFERROR(INDEX('Daily Raw Data'!T:T,Match($A544,'Daily Raw Data'!$B:$B,0)),"")</f>
        <v/>
      </c>
      <c r="L544" t="str">
        <f t="array" ref="L544">IFERROR(INDEX('Daily Raw Data'!U:U,Match($A544,'Daily Raw Data'!$B:$B,0)),"")</f>
        <v/>
      </c>
      <c r="M544" t="str">
        <f t="array" ref="M544">IFERROR(INDEX('Daily Raw Data'!V:V,Match($A544,'Daily Raw Data'!$B:$B,0)),"")</f>
        <v/>
      </c>
      <c r="N544" t="str">
        <f t="array" ref="N544">IFERROR(INDEX('Daily Raw Data'!W:W,Match($A544,'Daily Raw Data'!$B:$B,0)),"")</f>
        <v/>
      </c>
      <c r="O544" t="str">
        <f t="array" ref="O544">IFERROR(INDEX('Daily Raw Data'!Y:Y,Match($A544,'Daily Raw Data'!$B:$B,0)),"")</f>
        <v/>
      </c>
      <c r="P544" t="str">
        <f t="shared" si="1"/>
        <v/>
      </c>
      <c r="Q544" s="14" t="str">
        <f t="shared" si="2"/>
        <v/>
      </c>
      <c r="R544" s="15" t="str">
        <f>IFERROR(__xludf.DUMMYFUNCTION("IF($A544="""","""", IFERROR(PERCENTRANK.INC(FILTER(P:P,$E:$E&lt;&gt;""""),P544)*100,""""))"),"")</f>
        <v/>
      </c>
      <c r="S544" s="15" t="str">
        <f>IFERROR(__xludf.DUMMYFUNCTION("IF($A544="""","""",IFERROR(PERCENTRANK.INC(FILTER(Q:Q,$E:$E&lt;&gt;""""),Q544)*100,""""))"),"")</f>
        <v/>
      </c>
    </row>
    <row r="545">
      <c r="B545" t="str">
        <f t="array" ref="B545">IFERROR(INDEX('Player Raw Data'!C:C,Match($A545,'Player Raw Data'!$B:$B,0)),"")</f>
        <v/>
      </c>
      <c r="C545" t="str">
        <f t="array" ref="C545">IFERROR(INDEX('Player Raw Data'!D:D,Match($A545,'Player Raw Data'!$B:$B,0)),"")</f>
        <v/>
      </c>
      <c r="D545" t="str">
        <f t="array" ref="D545">IFERROR(IF(A545=A544, INDEX('Player Raw Data'!E:E,Match($A545,'Player Raw Data'!$B:$B,0)+2),INDEX('Player Raw Data'!E:E,Match($A545,'Player Raw Data'!$B:$B,0))),"")</f>
        <v/>
      </c>
      <c r="E545" s="27" t="str">
        <f>IFERROR(__xludf.DUMMYFUNCTION("IFERROR(ARRAY_CONSTRAIN(SPLIT(INDEX('Daily Raw Data'!G:G,Match($A545,'Daily Raw Data'!$B:$B,0)),"":""),1,1),"""")"),"")</f>
        <v/>
      </c>
      <c r="F545" t="str">
        <f t="array" ref="F545">IFERROR(INDEX('Daily Raw Data'!H:H,Match($A545,'Daily Raw Data'!$B:$B,0)),"")</f>
        <v/>
      </c>
      <c r="G545" t="str">
        <f t="array" ref="G545">IFERROR(INDEX('Daily Raw Data'!I:I,Match($A545,'Daily Raw Data'!$B:$B,0)),"")</f>
        <v/>
      </c>
      <c r="H545" t="str">
        <f t="array" ref="H545">IFERROR(INDEX('Daily Raw Data'!N:N,Match($A545,'Daily Raw Data'!$B:$B,0)),"")</f>
        <v/>
      </c>
      <c r="I545" t="str">
        <f t="array" ref="I545">IFERROR(INDEX('Daily Raw Data'!O:O,Match($A545,'Daily Raw Data'!$B:$B,0)),"")</f>
        <v/>
      </c>
      <c r="J545" t="str">
        <f t="array" ref="J545">IFERROR(INDEX('Daily Raw Data'!S:S,Match($A545,'Daily Raw Data'!$B:$B,0)),"")</f>
        <v/>
      </c>
      <c r="K545" t="str">
        <f t="array" ref="K545">IFERROR(INDEX('Daily Raw Data'!T:T,Match($A545,'Daily Raw Data'!$B:$B,0)),"")</f>
        <v/>
      </c>
      <c r="L545" t="str">
        <f t="array" ref="L545">IFERROR(INDEX('Daily Raw Data'!U:U,Match($A545,'Daily Raw Data'!$B:$B,0)),"")</f>
        <v/>
      </c>
      <c r="M545" t="str">
        <f t="array" ref="M545">IFERROR(INDEX('Daily Raw Data'!V:V,Match($A545,'Daily Raw Data'!$B:$B,0)),"")</f>
        <v/>
      </c>
      <c r="N545" t="str">
        <f t="array" ref="N545">IFERROR(INDEX('Daily Raw Data'!W:W,Match($A545,'Daily Raw Data'!$B:$B,0)),"")</f>
        <v/>
      </c>
      <c r="O545" t="str">
        <f t="array" ref="O545">IFERROR(INDEX('Daily Raw Data'!Y:Y,Match($A545,'Daily Raw Data'!$B:$B,0)),"")</f>
        <v/>
      </c>
      <c r="P545" t="str">
        <f t="shared" si="1"/>
        <v/>
      </c>
      <c r="Q545" s="14" t="str">
        <f t="shared" si="2"/>
        <v/>
      </c>
      <c r="R545" s="15" t="str">
        <f>IFERROR(__xludf.DUMMYFUNCTION("IF($A545="""","""", IFERROR(PERCENTRANK.INC(FILTER(P:P,$E:$E&lt;&gt;""""),P545)*100,""""))"),"")</f>
        <v/>
      </c>
      <c r="S545" s="15" t="str">
        <f>IFERROR(__xludf.DUMMYFUNCTION("IF($A545="""","""",IFERROR(PERCENTRANK.INC(FILTER(Q:Q,$E:$E&lt;&gt;""""),Q545)*100,""""))"),"")</f>
        <v/>
      </c>
    </row>
    <row r="546">
      <c r="B546" t="str">
        <f t="array" ref="B546">IFERROR(INDEX('Player Raw Data'!C:C,Match($A546,'Player Raw Data'!$B:$B,0)),"")</f>
        <v/>
      </c>
      <c r="C546" t="str">
        <f t="array" ref="C546">IFERROR(INDEX('Player Raw Data'!D:D,Match($A546,'Player Raw Data'!$B:$B,0)),"")</f>
        <v/>
      </c>
      <c r="D546" t="str">
        <f t="array" ref="D546">IFERROR(IF(A546=A545, INDEX('Player Raw Data'!E:E,Match($A546,'Player Raw Data'!$B:$B,0)+2),INDEX('Player Raw Data'!E:E,Match($A546,'Player Raw Data'!$B:$B,0))),"")</f>
        <v/>
      </c>
      <c r="E546" s="27" t="str">
        <f>IFERROR(__xludf.DUMMYFUNCTION("IFERROR(ARRAY_CONSTRAIN(SPLIT(INDEX('Daily Raw Data'!G:G,Match($A546,'Daily Raw Data'!$B:$B,0)),"":""),1,1),"""")"),"")</f>
        <v/>
      </c>
      <c r="F546" t="str">
        <f t="array" ref="F546">IFERROR(INDEX('Daily Raw Data'!H:H,Match($A546,'Daily Raw Data'!$B:$B,0)),"")</f>
        <v/>
      </c>
      <c r="G546" t="str">
        <f t="array" ref="G546">IFERROR(INDEX('Daily Raw Data'!I:I,Match($A546,'Daily Raw Data'!$B:$B,0)),"")</f>
        <v/>
      </c>
      <c r="H546" t="str">
        <f t="array" ref="H546">IFERROR(INDEX('Daily Raw Data'!N:N,Match($A546,'Daily Raw Data'!$B:$B,0)),"")</f>
        <v/>
      </c>
      <c r="I546" t="str">
        <f t="array" ref="I546">IFERROR(INDEX('Daily Raw Data'!O:O,Match($A546,'Daily Raw Data'!$B:$B,0)),"")</f>
        <v/>
      </c>
      <c r="J546" t="str">
        <f t="array" ref="J546">IFERROR(INDEX('Daily Raw Data'!S:S,Match($A546,'Daily Raw Data'!$B:$B,0)),"")</f>
        <v/>
      </c>
      <c r="K546" t="str">
        <f t="array" ref="K546">IFERROR(INDEX('Daily Raw Data'!T:T,Match($A546,'Daily Raw Data'!$B:$B,0)),"")</f>
        <v/>
      </c>
      <c r="L546" t="str">
        <f t="array" ref="L546">IFERROR(INDEX('Daily Raw Data'!U:U,Match($A546,'Daily Raw Data'!$B:$B,0)),"")</f>
        <v/>
      </c>
      <c r="M546" t="str">
        <f t="array" ref="M546">IFERROR(INDEX('Daily Raw Data'!V:V,Match($A546,'Daily Raw Data'!$B:$B,0)),"")</f>
        <v/>
      </c>
      <c r="N546" t="str">
        <f t="array" ref="N546">IFERROR(INDEX('Daily Raw Data'!W:W,Match($A546,'Daily Raw Data'!$B:$B,0)),"")</f>
        <v/>
      </c>
      <c r="O546" t="str">
        <f t="array" ref="O546">IFERROR(INDEX('Daily Raw Data'!Y:Y,Match($A546,'Daily Raw Data'!$B:$B,0)),"")</f>
        <v/>
      </c>
      <c r="P546" t="str">
        <f t="shared" si="1"/>
        <v/>
      </c>
      <c r="Q546" s="14" t="str">
        <f t="shared" si="2"/>
        <v/>
      </c>
      <c r="R546" s="15" t="str">
        <f>IFERROR(__xludf.DUMMYFUNCTION("IF($A546="""","""", IFERROR(PERCENTRANK.INC(FILTER(P:P,$E:$E&lt;&gt;""""),P546)*100,""""))"),"")</f>
        <v/>
      </c>
      <c r="S546" s="15" t="str">
        <f>IFERROR(__xludf.DUMMYFUNCTION("IF($A546="""","""",IFERROR(PERCENTRANK.INC(FILTER(Q:Q,$E:$E&lt;&gt;""""),Q546)*100,""""))"),"")</f>
        <v/>
      </c>
    </row>
    <row r="547">
      <c r="B547" t="str">
        <f t="array" ref="B547">IFERROR(INDEX('Player Raw Data'!C:C,Match($A547,'Player Raw Data'!$B:$B,0)),"")</f>
        <v/>
      </c>
      <c r="C547" t="str">
        <f t="array" ref="C547">IFERROR(INDEX('Player Raw Data'!D:D,Match($A547,'Player Raw Data'!$B:$B,0)),"")</f>
        <v/>
      </c>
      <c r="D547" t="str">
        <f t="array" ref="D547">IFERROR(IF(A547=A546, INDEX('Player Raw Data'!E:E,Match($A547,'Player Raw Data'!$B:$B,0)+2),INDEX('Player Raw Data'!E:E,Match($A547,'Player Raw Data'!$B:$B,0))),"")</f>
        <v/>
      </c>
      <c r="E547" s="27" t="str">
        <f>IFERROR(__xludf.DUMMYFUNCTION("IFERROR(ARRAY_CONSTRAIN(SPLIT(INDEX('Daily Raw Data'!G:G,Match($A547,'Daily Raw Data'!$B:$B,0)),"":""),1,1),"""")"),"")</f>
        <v/>
      </c>
      <c r="F547" t="str">
        <f t="array" ref="F547">IFERROR(INDEX('Daily Raw Data'!H:H,Match($A547,'Daily Raw Data'!$B:$B,0)),"")</f>
        <v/>
      </c>
      <c r="G547" t="str">
        <f t="array" ref="G547">IFERROR(INDEX('Daily Raw Data'!I:I,Match($A547,'Daily Raw Data'!$B:$B,0)),"")</f>
        <v/>
      </c>
      <c r="H547" t="str">
        <f t="array" ref="H547">IFERROR(INDEX('Daily Raw Data'!N:N,Match($A547,'Daily Raw Data'!$B:$B,0)),"")</f>
        <v/>
      </c>
      <c r="I547" t="str">
        <f t="array" ref="I547">IFERROR(INDEX('Daily Raw Data'!O:O,Match($A547,'Daily Raw Data'!$B:$B,0)),"")</f>
        <v/>
      </c>
      <c r="J547" t="str">
        <f t="array" ref="J547">IFERROR(INDEX('Daily Raw Data'!S:S,Match($A547,'Daily Raw Data'!$B:$B,0)),"")</f>
        <v/>
      </c>
      <c r="K547" t="str">
        <f t="array" ref="K547">IFERROR(INDEX('Daily Raw Data'!T:T,Match($A547,'Daily Raw Data'!$B:$B,0)),"")</f>
        <v/>
      </c>
      <c r="L547" t="str">
        <f t="array" ref="L547">IFERROR(INDEX('Daily Raw Data'!U:U,Match($A547,'Daily Raw Data'!$B:$B,0)),"")</f>
        <v/>
      </c>
      <c r="M547" t="str">
        <f t="array" ref="M547">IFERROR(INDEX('Daily Raw Data'!V:V,Match($A547,'Daily Raw Data'!$B:$B,0)),"")</f>
        <v/>
      </c>
      <c r="N547" t="str">
        <f t="array" ref="N547">IFERROR(INDEX('Daily Raw Data'!W:W,Match($A547,'Daily Raw Data'!$B:$B,0)),"")</f>
        <v/>
      </c>
      <c r="O547" t="str">
        <f t="array" ref="O547">IFERROR(INDEX('Daily Raw Data'!Y:Y,Match($A547,'Daily Raw Data'!$B:$B,0)),"")</f>
        <v/>
      </c>
      <c r="P547" t="str">
        <f t="shared" si="1"/>
        <v/>
      </c>
      <c r="Q547" s="14" t="str">
        <f t="shared" si="2"/>
        <v/>
      </c>
      <c r="R547" s="15" t="str">
        <f>IFERROR(__xludf.DUMMYFUNCTION("IF($A547="""","""", IFERROR(PERCENTRANK.INC(FILTER(P:P,$E:$E&lt;&gt;""""),P547)*100,""""))"),"")</f>
        <v/>
      </c>
      <c r="S547" s="15" t="str">
        <f>IFERROR(__xludf.DUMMYFUNCTION("IF($A547="""","""",IFERROR(PERCENTRANK.INC(FILTER(Q:Q,$E:$E&lt;&gt;""""),Q547)*100,""""))"),"")</f>
        <v/>
      </c>
    </row>
    <row r="548">
      <c r="B548" t="str">
        <f t="array" ref="B548">IFERROR(INDEX('Player Raw Data'!C:C,Match($A548,'Player Raw Data'!$B:$B,0)),"")</f>
        <v/>
      </c>
      <c r="C548" t="str">
        <f t="array" ref="C548">IFERROR(INDEX('Player Raw Data'!D:D,Match($A548,'Player Raw Data'!$B:$B,0)),"")</f>
        <v/>
      </c>
      <c r="D548" t="str">
        <f t="array" ref="D548">IFERROR(IF(A548=A547, INDEX('Player Raw Data'!E:E,Match($A548,'Player Raw Data'!$B:$B,0)+2),INDEX('Player Raw Data'!E:E,Match($A548,'Player Raw Data'!$B:$B,0))),"")</f>
        <v/>
      </c>
      <c r="E548" s="27" t="str">
        <f>IFERROR(__xludf.DUMMYFUNCTION("IFERROR(ARRAY_CONSTRAIN(SPLIT(INDEX('Daily Raw Data'!G:G,Match($A548,'Daily Raw Data'!$B:$B,0)),"":""),1,1),"""")"),"")</f>
        <v/>
      </c>
      <c r="F548" t="str">
        <f t="array" ref="F548">IFERROR(INDEX('Daily Raw Data'!H:H,Match($A548,'Daily Raw Data'!$B:$B,0)),"")</f>
        <v/>
      </c>
      <c r="G548" t="str">
        <f t="array" ref="G548">IFERROR(INDEX('Daily Raw Data'!I:I,Match($A548,'Daily Raw Data'!$B:$B,0)),"")</f>
        <v/>
      </c>
      <c r="H548" t="str">
        <f t="array" ref="H548">IFERROR(INDEX('Daily Raw Data'!N:N,Match($A548,'Daily Raw Data'!$B:$B,0)),"")</f>
        <v/>
      </c>
      <c r="I548" t="str">
        <f t="array" ref="I548">IFERROR(INDEX('Daily Raw Data'!O:O,Match($A548,'Daily Raw Data'!$B:$B,0)),"")</f>
        <v/>
      </c>
      <c r="J548" t="str">
        <f t="array" ref="J548">IFERROR(INDEX('Daily Raw Data'!S:S,Match($A548,'Daily Raw Data'!$B:$B,0)),"")</f>
        <v/>
      </c>
      <c r="K548" t="str">
        <f t="array" ref="K548">IFERROR(INDEX('Daily Raw Data'!T:T,Match($A548,'Daily Raw Data'!$B:$B,0)),"")</f>
        <v/>
      </c>
      <c r="L548" t="str">
        <f t="array" ref="L548">IFERROR(INDEX('Daily Raw Data'!U:U,Match($A548,'Daily Raw Data'!$B:$B,0)),"")</f>
        <v/>
      </c>
      <c r="M548" t="str">
        <f t="array" ref="M548">IFERROR(INDEX('Daily Raw Data'!V:V,Match($A548,'Daily Raw Data'!$B:$B,0)),"")</f>
        <v/>
      </c>
      <c r="N548" t="str">
        <f t="array" ref="N548">IFERROR(INDEX('Daily Raw Data'!W:W,Match($A548,'Daily Raw Data'!$B:$B,0)),"")</f>
        <v/>
      </c>
      <c r="O548" t="str">
        <f t="array" ref="O548">IFERROR(INDEX('Daily Raw Data'!Y:Y,Match($A548,'Daily Raw Data'!$B:$B,0)),"")</f>
        <v/>
      </c>
      <c r="P548" t="str">
        <f t="shared" si="1"/>
        <v/>
      </c>
      <c r="Q548" s="14" t="str">
        <f t="shared" si="2"/>
        <v/>
      </c>
      <c r="R548" s="15" t="str">
        <f>IFERROR(__xludf.DUMMYFUNCTION("IF($A548="""","""", IFERROR(PERCENTRANK.INC(FILTER(P:P,$E:$E&lt;&gt;""""),P548)*100,""""))"),"")</f>
        <v/>
      </c>
      <c r="S548" s="15" t="str">
        <f>IFERROR(__xludf.DUMMYFUNCTION("IF($A548="""","""",IFERROR(PERCENTRANK.INC(FILTER(Q:Q,$E:$E&lt;&gt;""""),Q548)*100,""""))"),"")</f>
        <v/>
      </c>
    </row>
    <row r="549">
      <c r="B549" t="str">
        <f t="array" ref="B549">IFERROR(INDEX('Player Raw Data'!C:C,Match($A549,'Player Raw Data'!$B:$B,0)),"")</f>
        <v/>
      </c>
      <c r="C549" t="str">
        <f t="array" ref="C549">IFERROR(INDEX('Player Raw Data'!D:D,Match($A549,'Player Raw Data'!$B:$B,0)),"")</f>
        <v/>
      </c>
      <c r="D549" t="str">
        <f t="array" ref="D549">IFERROR(IF(A549=A548, INDEX('Player Raw Data'!E:E,Match($A549,'Player Raw Data'!$B:$B,0)+2),INDEX('Player Raw Data'!E:E,Match($A549,'Player Raw Data'!$B:$B,0))),"")</f>
        <v/>
      </c>
      <c r="E549" s="27" t="str">
        <f>IFERROR(__xludf.DUMMYFUNCTION("IFERROR(ARRAY_CONSTRAIN(SPLIT(INDEX('Daily Raw Data'!G:G,Match($A549,'Daily Raw Data'!$B:$B,0)),"":""),1,1),"""")"),"")</f>
        <v/>
      </c>
      <c r="F549" t="str">
        <f t="array" ref="F549">IFERROR(INDEX('Daily Raw Data'!H:H,Match($A549,'Daily Raw Data'!$B:$B,0)),"")</f>
        <v/>
      </c>
      <c r="G549" t="str">
        <f t="array" ref="G549">IFERROR(INDEX('Daily Raw Data'!I:I,Match($A549,'Daily Raw Data'!$B:$B,0)),"")</f>
        <v/>
      </c>
      <c r="H549" t="str">
        <f t="array" ref="H549">IFERROR(INDEX('Daily Raw Data'!N:N,Match($A549,'Daily Raw Data'!$B:$B,0)),"")</f>
        <v/>
      </c>
      <c r="I549" t="str">
        <f t="array" ref="I549">IFERROR(INDEX('Daily Raw Data'!O:O,Match($A549,'Daily Raw Data'!$B:$B,0)),"")</f>
        <v/>
      </c>
      <c r="J549" t="str">
        <f t="array" ref="J549">IFERROR(INDEX('Daily Raw Data'!S:S,Match($A549,'Daily Raw Data'!$B:$B,0)),"")</f>
        <v/>
      </c>
      <c r="K549" t="str">
        <f t="array" ref="K549">IFERROR(INDEX('Daily Raw Data'!T:T,Match($A549,'Daily Raw Data'!$B:$B,0)),"")</f>
        <v/>
      </c>
      <c r="L549" t="str">
        <f t="array" ref="L549">IFERROR(INDEX('Daily Raw Data'!U:U,Match($A549,'Daily Raw Data'!$B:$B,0)),"")</f>
        <v/>
      </c>
      <c r="M549" t="str">
        <f t="array" ref="M549">IFERROR(INDEX('Daily Raw Data'!V:V,Match($A549,'Daily Raw Data'!$B:$B,0)),"")</f>
        <v/>
      </c>
      <c r="N549" t="str">
        <f t="array" ref="N549">IFERROR(INDEX('Daily Raw Data'!W:W,Match($A549,'Daily Raw Data'!$B:$B,0)),"")</f>
        <v/>
      </c>
      <c r="O549" t="str">
        <f t="array" ref="O549">IFERROR(INDEX('Daily Raw Data'!Y:Y,Match($A549,'Daily Raw Data'!$B:$B,0)),"")</f>
        <v/>
      </c>
      <c r="P549" t="str">
        <f t="shared" si="1"/>
        <v/>
      </c>
      <c r="Q549" s="14" t="str">
        <f t="shared" si="2"/>
        <v/>
      </c>
      <c r="R549" s="15" t="str">
        <f>IFERROR(__xludf.DUMMYFUNCTION("IF($A549="""","""", IFERROR(PERCENTRANK.INC(FILTER(P:P,$E:$E&lt;&gt;""""),P549)*100,""""))"),"")</f>
        <v/>
      </c>
      <c r="S549" s="15" t="str">
        <f>IFERROR(__xludf.DUMMYFUNCTION("IF($A549="""","""",IFERROR(PERCENTRANK.INC(FILTER(Q:Q,$E:$E&lt;&gt;""""),Q549)*100,""""))"),"")</f>
        <v/>
      </c>
    </row>
    <row r="550">
      <c r="B550" t="str">
        <f t="array" ref="B550">IFERROR(INDEX('Player Raw Data'!C:C,Match($A550,'Player Raw Data'!$B:$B,0)),"")</f>
        <v/>
      </c>
      <c r="C550" t="str">
        <f t="array" ref="C550">IFERROR(INDEX('Player Raw Data'!D:D,Match($A550,'Player Raw Data'!$B:$B,0)),"")</f>
        <v/>
      </c>
      <c r="D550" t="str">
        <f t="array" ref="D550">IFERROR(IF(A550=A549, INDEX('Player Raw Data'!E:E,Match($A550,'Player Raw Data'!$B:$B,0)+2),INDEX('Player Raw Data'!E:E,Match($A550,'Player Raw Data'!$B:$B,0))),"")</f>
        <v/>
      </c>
      <c r="E550" s="27" t="str">
        <f>IFERROR(__xludf.DUMMYFUNCTION("IFERROR(ARRAY_CONSTRAIN(SPLIT(INDEX('Daily Raw Data'!G:G,Match($A550,'Daily Raw Data'!$B:$B,0)),"":""),1,1),"""")"),"")</f>
        <v/>
      </c>
      <c r="F550" t="str">
        <f t="array" ref="F550">IFERROR(INDEX('Daily Raw Data'!H:H,Match($A550,'Daily Raw Data'!$B:$B,0)),"")</f>
        <v/>
      </c>
      <c r="G550" t="str">
        <f t="array" ref="G550">IFERROR(INDEX('Daily Raw Data'!I:I,Match($A550,'Daily Raw Data'!$B:$B,0)),"")</f>
        <v/>
      </c>
      <c r="H550" t="str">
        <f t="array" ref="H550">IFERROR(INDEX('Daily Raw Data'!N:N,Match($A550,'Daily Raw Data'!$B:$B,0)),"")</f>
        <v/>
      </c>
      <c r="I550" t="str">
        <f t="array" ref="I550">IFERROR(INDEX('Daily Raw Data'!O:O,Match($A550,'Daily Raw Data'!$B:$B,0)),"")</f>
        <v/>
      </c>
      <c r="J550" t="str">
        <f t="array" ref="J550">IFERROR(INDEX('Daily Raw Data'!S:S,Match($A550,'Daily Raw Data'!$B:$B,0)),"")</f>
        <v/>
      </c>
      <c r="K550" t="str">
        <f t="array" ref="K550">IFERROR(INDEX('Daily Raw Data'!T:T,Match($A550,'Daily Raw Data'!$B:$B,0)),"")</f>
        <v/>
      </c>
      <c r="L550" t="str">
        <f t="array" ref="L550">IFERROR(INDEX('Daily Raw Data'!U:U,Match($A550,'Daily Raw Data'!$B:$B,0)),"")</f>
        <v/>
      </c>
      <c r="M550" t="str">
        <f t="array" ref="M550">IFERROR(INDEX('Daily Raw Data'!V:V,Match($A550,'Daily Raw Data'!$B:$B,0)),"")</f>
        <v/>
      </c>
      <c r="N550" t="str">
        <f t="array" ref="N550">IFERROR(INDEX('Daily Raw Data'!W:W,Match($A550,'Daily Raw Data'!$B:$B,0)),"")</f>
        <v/>
      </c>
      <c r="O550" t="str">
        <f t="array" ref="O550">IFERROR(INDEX('Daily Raw Data'!Y:Y,Match($A550,'Daily Raw Data'!$B:$B,0)),"")</f>
        <v/>
      </c>
      <c r="P550" t="str">
        <f t="shared" si="1"/>
        <v/>
      </c>
      <c r="Q550" s="14" t="str">
        <f t="shared" si="2"/>
        <v/>
      </c>
      <c r="R550" s="15" t="str">
        <f>IFERROR(__xludf.DUMMYFUNCTION("IF($A550="""","""", IFERROR(PERCENTRANK.INC(FILTER(P:P,$E:$E&lt;&gt;""""),P550)*100,""""))"),"")</f>
        <v/>
      </c>
      <c r="S550" s="15" t="str">
        <f>IFERROR(__xludf.DUMMYFUNCTION("IF($A550="""","""",IFERROR(PERCENTRANK.INC(FILTER(Q:Q,$E:$E&lt;&gt;""""),Q550)*100,""""))"),"")</f>
        <v/>
      </c>
    </row>
    <row r="551">
      <c r="B551" t="str">
        <f t="array" ref="B551">IFERROR(INDEX('Player Raw Data'!C:C,Match($A551,'Player Raw Data'!$B:$B,0)),"")</f>
        <v/>
      </c>
      <c r="C551" t="str">
        <f t="array" ref="C551">IFERROR(INDEX('Player Raw Data'!D:D,Match($A551,'Player Raw Data'!$B:$B,0)),"")</f>
        <v/>
      </c>
      <c r="D551" t="str">
        <f t="array" ref="D551">IFERROR(IF(A551=A550, INDEX('Player Raw Data'!E:E,Match($A551,'Player Raw Data'!$B:$B,0)+2),INDEX('Player Raw Data'!E:E,Match($A551,'Player Raw Data'!$B:$B,0))),"")</f>
        <v/>
      </c>
      <c r="E551" s="27" t="str">
        <f>IFERROR(__xludf.DUMMYFUNCTION("IFERROR(ARRAY_CONSTRAIN(SPLIT(INDEX('Daily Raw Data'!G:G,Match($A551,'Daily Raw Data'!$B:$B,0)),"":""),1,1),"""")"),"")</f>
        <v/>
      </c>
      <c r="F551" t="str">
        <f t="array" ref="F551">IFERROR(INDEX('Daily Raw Data'!H:H,Match($A551,'Daily Raw Data'!$B:$B,0)),"")</f>
        <v/>
      </c>
      <c r="G551" t="str">
        <f t="array" ref="G551">IFERROR(INDEX('Daily Raw Data'!I:I,Match($A551,'Daily Raw Data'!$B:$B,0)),"")</f>
        <v/>
      </c>
      <c r="H551" t="str">
        <f t="array" ref="H551">IFERROR(INDEX('Daily Raw Data'!N:N,Match($A551,'Daily Raw Data'!$B:$B,0)),"")</f>
        <v/>
      </c>
      <c r="I551" t="str">
        <f t="array" ref="I551">IFERROR(INDEX('Daily Raw Data'!O:O,Match($A551,'Daily Raw Data'!$B:$B,0)),"")</f>
        <v/>
      </c>
      <c r="J551" t="str">
        <f t="array" ref="J551">IFERROR(INDEX('Daily Raw Data'!S:S,Match($A551,'Daily Raw Data'!$B:$B,0)),"")</f>
        <v/>
      </c>
      <c r="K551" t="str">
        <f t="array" ref="K551">IFERROR(INDEX('Daily Raw Data'!T:T,Match($A551,'Daily Raw Data'!$B:$B,0)),"")</f>
        <v/>
      </c>
      <c r="L551" t="str">
        <f t="array" ref="L551">IFERROR(INDEX('Daily Raw Data'!U:U,Match($A551,'Daily Raw Data'!$B:$B,0)),"")</f>
        <v/>
      </c>
      <c r="M551" t="str">
        <f t="array" ref="M551">IFERROR(INDEX('Daily Raw Data'!V:V,Match($A551,'Daily Raw Data'!$B:$B,0)),"")</f>
        <v/>
      </c>
      <c r="N551" t="str">
        <f t="array" ref="N551">IFERROR(INDEX('Daily Raw Data'!W:W,Match($A551,'Daily Raw Data'!$B:$B,0)),"")</f>
        <v/>
      </c>
      <c r="O551" t="str">
        <f t="array" ref="O551">IFERROR(INDEX('Daily Raw Data'!Y:Y,Match($A551,'Daily Raw Data'!$B:$B,0)),"")</f>
        <v/>
      </c>
      <c r="P551" t="str">
        <f t="shared" si="1"/>
        <v/>
      </c>
      <c r="Q551" s="14" t="str">
        <f t="shared" si="2"/>
        <v/>
      </c>
      <c r="R551" s="15" t="str">
        <f>IFERROR(__xludf.DUMMYFUNCTION("IF($A551="""","""", IFERROR(PERCENTRANK.INC(FILTER(P:P,$E:$E&lt;&gt;""""),P551)*100,""""))"),"")</f>
        <v/>
      </c>
      <c r="S551" s="15" t="str">
        <f>IFERROR(__xludf.DUMMYFUNCTION("IF($A551="""","""",IFERROR(PERCENTRANK.INC(FILTER(Q:Q,$E:$E&lt;&gt;""""),Q551)*100,""""))"),"")</f>
        <v/>
      </c>
    </row>
    <row r="552">
      <c r="B552" t="str">
        <f t="array" ref="B552">IFERROR(INDEX('Player Raw Data'!C:C,Match($A552,'Player Raw Data'!$B:$B,0)),"")</f>
        <v/>
      </c>
      <c r="C552" t="str">
        <f t="array" ref="C552">IFERROR(INDEX('Player Raw Data'!D:D,Match($A552,'Player Raw Data'!$B:$B,0)),"")</f>
        <v/>
      </c>
      <c r="D552" t="str">
        <f t="array" ref="D552">IFERROR(IF(A552=A551, INDEX('Player Raw Data'!E:E,Match($A552,'Player Raw Data'!$B:$B,0)+2),INDEX('Player Raw Data'!E:E,Match($A552,'Player Raw Data'!$B:$B,0))),"")</f>
        <v/>
      </c>
      <c r="E552" s="27" t="str">
        <f>IFERROR(__xludf.DUMMYFUNCTION("IFERROR(ARRAY_CONSTRAIN(SPLIT(INDEX('Daily Raw Data'!G:G,Match($A552,'Daily Raw Data'!$B:$B,0)),"":""),1,1),"""")"),"")</f>
        <v/>
      </c>
      <c r="F552" t="str">
        <f t="array" ref="F552">IFERROR(INDEX('Daily Raw Data'!H:H,Match($A552,'Daily Raw Data'!$B:$B,0)),"")</f>
        <v/>
      </c>
      <c r="G552" t="str">
        <f t="array" ref="G552">IFERROR(INDEX('Daily Raw Data'!I:I,Match($A552,'Daily Raw Data'!$B:$B,0)),"")</f>
        <v/>
      </c>
      <c r="H552" t="str">
        <f t="array" ref="H552">IFERROR(INDEX('Daily Raw Data'!N:N,Match($A552,'Daily Raw Data'!$B:$B,0)),"")</f>
        <v/>
      </c>
      <c r="I552" t="str">
        <f t="array" ref="I552">IFERROR(INDEX('Daily Raw Data'!O:O,Match($A552,'Daily Raw Data'!$B:$B,0)),"")</f>
        <v/>
      </c>
      <c r="J552" t="str">
        <f t="array" ref="J552">IFERROR(INDEX('Daily Raw Data'!S:S,Match($A552,'Daily Raw Data'!$B:$B,0)),"")</f>
        <v/>
      </c>
      <c r="K552" t="str">
        <f t="array" ref="K552">IFERROR(INDEX('Daily Raw Data'!T:T,Match($A552,'Daily Raw Data'!$B:$B,0)),"")</f>
        <v/>
      </c>
      <c r="L552" t="str">
        <f t="array" ref="L552">IFERROR(INDEX('Daily Raw Data'!U:U,Match($A552,'Daily Raw Data'!$B:$B,0)),"")</f>
        <v/>
      </c>
      <c r="M552" t="str">
        <f t="array" ref="M552">IFERROR(INDEX('Daily Raw Data'!V:V,Match($A552,'Daily Raw Data'!$B:$B,0)),"")</f>
        <v/>
      </c>
      <c r="N552" t="str">
        <f t="array" ref="N552">IFERROR(INDEX('Daily Raw Data'!W:W,Match($A552,'Daily Raw Data'!$B:$B,0)),"")</f>
        <v/>
      </c>
      <c r="O552" t="str">
        <f t="array" ref="O552">IFERROR(INDEX('Daily Raw Data'!Y:Y,Match($A552,'Daily Raw Data'!$B:$B,0)),"")</f>
        <v/>
      </c>
      <c r="P552" t="str">
        <f t="shared" si="1"/>
        <v/>
      </c>
      <c r="Q552" s="14" t="str">
        <f t="shared" si="2"/>
        <v/>
      </c>
      <c r="R552" s="15" t="str">
        <f>IFERROR(__xludf.DUMMYFUNCTION("IF($A552="""","""", IFERROR(PERCENTRANK.INC(FILTER(P:P,$E:$E&lt;&gt;""""),P552)*100,""""))"),"")</f>
        <v/>
      </c>
      <c r="S552" s="15" t="str">
        <f>IFERROR(__xludf.DUMMYFUNCTION("IF($A552="""","""",IFERROR(PERCENTRANK.INC(FILTER(Q:Q,$E:$E&lt;&gt;""""),Q552)*100,""""))"),"")</f>
        <v/>
      </c>
    </row>
    <row r="553">
      <c r="B553" t="str">
        <f t="array" ref="B553">IFERROR(INDEX('Player Raw Data'!C:C,Match($A553,'Player Raw Data'!$B:$B,0)),"")</f>
        <v/>
      </c>
      <c r="C553" t="str">
        <f t="array" ref="C553">IFERROR(INDEX('Player Raw Data'!D:D,Match($A553,'Player Raw Data'!$B:$B,0)),"")</f>
        <v/>
      </c>
      <c r="D553" t="str">
        <f t="array" ref="D553">IFERROR(IF(A553=A552, INDEX('Player Raw Data'!E:E,Match($A553,'Player Raw Data'!$B:$B,0)+2),INDEX('Player Raw Data'!E:E,Match($A553,'Player Raw Data'!$B:$B,0))),"")</f>
        <v/>
      </c>
      <c r="E553" s="27" t="str">
        <f>IFERROR(__xludf.DUMMYFUNCTION("IFERROR(ARRAY_CONSTRAIN(SPLIT(INDEX('Daily Raw Data'!G:G,Match($A553,'Daily Raw Data'!$B:$B,0)),"":""),1,1),"""")"),"")</f>
        <v/>
      </c>
      <c r="F553" t="str">
        <f t="array" ref="F553">IFERROR(INDEX('Daily Raw Data'!H:H,Match($A553,'Daily Raw Data'!$B:$B,0)),"")</f>
        <v/>
      </c>
      <c r="G553" t="str">
        <f t="array" ref="G553">IFERROR(INDEX('Daily Raw Data'!I:I,Match($A553,'Daily Raw Data'!$B:$B,0)),"")</f>
        <v/>
      </c>
      <c r="H553" t="str">
        <f t="array" ref="H553">IFERROR(INDEX('Daily Raw Data'!N:N,Match($A553,'Daily Raw Data'!$B:$B,0)),"")</f>
        <v/>
      </c>
      <c r="I553" t="str">
        <f t="array" ref="I553">IFERROR(INDEX('Daily Raw Data'!O:O,Match($A553,'Daily Raw Data'!$B:$B,0)),"")</f>
        <v/>
      </c>
      <c r="J553" t="str">
        <f t="array" ref="J553">IFERROR(INDEX('Daily Raw Data'!S:S,Match($A553,'Daily Raw Data'!$B:$B,0)),"")</f>
        <v/>
      </c>
      <c r="K553" t="str">
        <f t="array" ref="K553">IFERROR(INDEX('Daily Raw Data'!T:T,Match($A553,'Daily Raw Data'!$B:$B,0)),"")</f>
        <v/>
      </c>
      <c r="L553" t="str">
        <f t="array" ref="L553">IFERROR(INDEX('Daily Raw Data'!U:U,Match($A553,'Daily Raw Data'!$B:$B,0)),"")</f>
        <v/>
      </c>
      <c r="M553" t="str">
        <f t="array" ref="M553">IFERROR(INDEX('Daily Raw Data'!V:V,Match($A553,'Daily Raw Data'!$B:$B,0)),"")</f>
        <v/>
      </c>
      <c r="N553" t="str">
        <f t="array" ref="N553">IFERROR(INDEX('Daily Raw Data'!W:W,Match($A553,'Daily Raw Data'!$B:$B,0)),"")</f>
        <v/>
      </c>
      <c r="O553" t="str">
        <f t="array" ref="O553">IFERROR(INDEX('Daily Raw Data'!Y:Y,Match($A553,'Daily Raw Data'!$B:$B,0)),"")</f>
        <v/>
      </c>
      <c r="P553" t="str">
        <f t="shared" si="1"/>
        <v/>
      </c>
      <c r="Q553" s="14" t="str">
        <f t="shared" si="2"/>
        <v/>
      </c>
      <c r="R553" s="15" t="str">
        <f>IFERROR(__xludf.DUMMYFUNCTION("IF($A553="""","""", IFERROR(PERCENTRANK.INC(FILTER(P:P,$E:$E&lt;&gt;""""),P553)*100,""""))"),"")</f>
        <v/>
      </c>
      <c r="S553" s="15" t="str">
        <f>IFERROR(__xludf.DUMMYFUNCTION("IF($A553="""","""",IFERROR(PERCENTRANK.INC(FILTER(Q:Q,$E:$E&lt;&gt;""""),Q553)*100,""""))"),"")</f>
        <v/>
      </c>
    </row>
    <row r="554">
      <c r="B554" t="str">
        <f t="array" ref="B554">IFERROR(INDEX('Player Raw Data'!C:C,Match($A554,'Player Raw Data'!$B:$B,0)),"")</f>
        <v/>
      </c>
      <c r="C554" t="str">
        <f t="array" ref="C554">IFERROR(INDEX('Player Raw Data'!D:D,Match($A554,'Player Raw Data'!$B:$B,0)),"")</f>
        <v/>
      </c>
      <c r="D554" t="str">
        <f t="array" ref="D554">IFERROR(IF(A554=A553, INDEX('Player Raw Data'!E:E,Match($A554,'Player Raw Data'!$B:$B,0)+2),INDEX('Player Raw Data'!E:E,Match($A554,'Player Raw Data'!$B:$B,0))),"")</f>
        <v/>
      </c>
      <c r="E554" s="27" t="str">
        <f>IFERROR(__xludf.DUMMYFUNCTION("IFERROR(ARRAY_CONSTRAIN(SPLIT(INDEX('Daily Raw Data'!G:G,Match($A554,'Daily Raw Data'!$B:$B,0)),"":""),1,1),"""")"),"")</f>
        <v/>
      </c>
      <c r="F554" t="str">
        <f t="array" ref="F554">IFERROR(INDEX('Daily Raw Data'!H:H,Match($A554,'Daily Raw Data'!$B:$B,0)),"")</f>
        <v/>
      </c>
      <c r="G554" t="str">
        <f t="array" ref="G554">IFERROR(INDEX('Daily Raw Data'!I:I,Match($A554,'Daily Raw Data'!$B:$B,0)),"")</f>
        <v/>
      </c>
      <c r="H554" t="str">
        <f t="array" ref="H554">IFERROR(INDEX('Daily Raw Data'!N:N,Match($A554,'Daily Raw Data'!$B:$B,0)),"")</f>
        <v/>
      </c>
      <c r="I554" t="str">
        <f t="array" ref="I554">IFERROR(INDEX('Daily Raw Data'!O:O,Match($A554,'Daily Raw Data'!$B:$B,0)),"")</f>
        <v/>
      </c>
      <c r="J554" t="str">
        <f t="array" ref="J554">IFERROR(INDEX('Daily Raw Data'!S:S,Match($A554,'Daily Raw Data'!$B:$B,0)),"")</f>
        <v/>
      </c>
      <c r="K554" t="str">
        <f t="array" ref="K554">IFERROR(INDEX('Daily Raw Data'!T:T,Match($A554,'Daily Raw Data'!$B:$B,0)),"")</f>
        <v/>
      </c>
      <c r="L554" t="str">
        <f t="array" ref="L554">IFERROR(INDEX('Daily Raw Data'!U:U,Match($A554,'Daily Raw Data'!$B:$B,0)),"")</f>
        <v/>
      </c>
      <c r="M554" t="str">
        <f t="array" ref="M554">IFERROR(INDEX('Daily Raw Data'!V:V,Match($A554,'Daily Raw Data'!$B:$B,0)),"")</f>
        <v/>
      </c>
      <c r="N554" t="str">
        <f t="array" ref="N554">IFERROR(INDEX('Daily Raw Data'!W:W,Match($A554,'Daily Raw Data'!$B:$B,0)),"")</f>
        <v/>
      </c>
      <c r="O554" t="str">
        <f t="array" ref="O554">IFERROR(INDEX('Daily Raw Data'!Y:Y,Match($A554,'Daily Raw Data'!$B:$B,0)),"")</f>
        <v/>
      </c>
      <c r="P554" t="str">
        <f t="shared" si="1"/>
        <v/>
      </c>
      <c r="Q554" s="14" t="str">
        <f t="shared" si="2"/>
        <v/>
      </c>
      <c r="R554" s="15" t="str">
        <f>IFERROR(__xludf.DUMMYFUNCTION("IF($A554="""","""", IFERROR(PERCENTRANK.INC(FILTER(P:P,$E:$E&lt;&gt;""""),P554)*100,""""))"),"")</f>
        <v/>
      </c>
      <c r="S554" s="15" t="str">
        <f>IFERROR(__xludf.DUMMYFUNCTION("IF($A554="""","""",IFERROR(PERCENTRANK.INC(FILTER(Q:Q,$E:$E&lt;&gt;""""),Q554)*100,""""))"),"")</f>
        <v/>
      </c>
    </row>
    <row r="555">
      <c r="B555" t="str">
        <f t="array" ref="B555">IFERROR(INDEX('Player Raw Data'!C:C,Match($A555,'Player Raw Data'!$B:$B,0)),"")</f>
        <v/>
      </c>
      <c r="C555" t="str">
        <f t="array" ref="C555">IFERROR(INDEX('Player Raw Data'!D:D,Match($A555,'Player Raw Data'!$B:$B,0)),"")</f>
        <v/>
      </c>
      <c r="D555" t="str">
        <f t="array" ref="D555">IFERROR(IF(A555=A554, INDEX('Player Raw Data'!E:E,Match($A555,'Player Raw Data'!$B:$B,0)+2),INDEX('Player Raw Data'!E:E,Match($A555,'Player Raw Data'!$B:$B,0))),"")</f>
        <v/>
      </c>
      <c r="E555" s="27" t="str">
        <f>IFERROR(__xludf.DUMMYFUNCTION("IFERROR(ARRAY_CONSTRAIN(SPLIT(INDEX('Daily Raw Data'!G:G,Match($A555,'Daily Raw Data'!$B:$B,0)),"":""),1,1),"""")"),"")</f>
        <v/>
      </c>
      <c r="F555" t="str">
        <f t="array" ref="F555">IFERROR(INDEX('Daily Raw Data'!H:H,Match($A555,'Daily Raw Data'!$B:$B,0)),"")</f>
        <v/>
      </c>
      <c r="G555" t="str">
        <f t="array" ref="G555">IFERROR(INDEX('Daily Raw Data'!I:I,Match($A555,'Daily Raw Data'!$B:$B,0)),"")</f>
        <v/>
      </c>
      <c r="H555" t="str">
        <f t="array" ref="H555">IFERROR(INDEX('Daily Raw Data'!N:N,Match($A555,'Daily Raw Data'!$B:$B,0)),"")</f>
        <v/>
      </c>
      <c r="I555" t="str">
        <f t="array" ref="I555">IFERROR(INDEX('Daily Raw Data'!O:O,Match($A555,'Daily Raw Data'!$B:$B,0)),"")</f>
        <v/>
      </c>
      <c r="J555" t="str">
        <f t="array" ref="J555">IFERROR(INDEX('Daily Raw Data'!S:S,Match($A555,'Daily Raw Data'!$B:$B,0)),"")</f>
        <v/>
      </c>
      <c r="K555" t="str">
        <f t="array" ref="K555">IFERROR(INDEX('Daily Raw Data'!T:T,Match($A555,'Daily Raw Data'!$B:$B,0)),"")</f>
        <v/>
      </c>
      <c r="L555" t="str">
        <f t="array" ref="L555">IFERROR(INDEX('Daily Raw Data'!U:U,Match($A555,'Daily Raw Data'!$B:$B,0)),"")</f>
        <v/>
      </c>
      <c r="M555" t="str">
        <f t="array" ref="M555">IFERROR(INDEX('Daily Raw Data'!V:V,Match($A555,'Daily Raw Data'!$B:$B,0)),"")</f>
        <v/>
      </c>
      <c r="N555" t="str">
        <f t="array" ref="N555">IFERROR(INDEX('Daily Raw Data'!W:W,Match($A555,'Daily Raw Data'!$B:$B,0)),"")</f>
        <v/>
      </c>
      <c r="O555" t="str">
        <f t="array" ref="O555">IFERROR(INDEX('Daily Raw Data'!Y:Y,Match($A555,'Daily Raw Data'!$B:$B,0)),"")</f>
        <v/>
      </c>
      <c r="P555" t="str">
        <f t="shared" si="1"/>
        <v/>
      </c>
      <c r="Q555" s="14" t="str">
        <f t="shared" si="2"/>
        <v/>
      </c>
      <c r="R555" s="15" t="str">
        <f>IFERROR(__xludf.DUMMYFUNCTION("IF($A555="""","""", IFERROR(PERCENTRANK.INC(FILTER(P:P,$E:$E&lt;&gt;""""),P555)*100,""""))"),"")</f>
        <v/>
      </c>
      <c r="S555" s="15" t="str">
        <f>IFERROR(__xludf.DUMMYFUNCTION("IF($A555="""","""",IFERROR(PERCENTRANK.INC(FILTER(Q:Q,$E:$E&lt;&gt;""""),Q555)*100,""""))"),"")</f>
        <v/>
      </c>
    </row>
    <row r="556">
      <c r="B556" t="str">
        <f t="array" ref="B556">IFERROR(INDEX('Player Raw Data'!C:C,Match($A556,'Player Raw Data'!$B:$B,0)),"")</f>
        <v/>
      </c>
      <c r="C556" t="str">
        <f t="array" ref="C556">IFERROR(INDEX('Player Raw Data'!D:D,Match($A556,'Player Raw Data'!$B:$B,0)),"")</f>
        <v/>
      </c>
      <c r="D556" t="str">
        <f t="array" ref="D556">IFERROR(IF(A556=A555, INDEX('Player Raw Data'!E:E,Match($A556,'Player Raw Data'!$B:$B,0)+2),INDEX('Player Raw Data'!E:E,Match($A556,'Player Raw Data'!$B:$B,0))),"")</f>
        <v/>
      </c>
      <c r="E556" s="27" t="str">
        <f>IFERROR(__xludf.DUMMYFUNCTION("IFERROR(ARRAY_CONSTRAIN(SPLIT(INDEX('Daily Raw Data'!G:G,Match($A556,'Daily Raw Data'!$B:$B,0)),"":""),1,1),"""")"),"")</f>
        <v/>
      </c>
      <c r="F556" t="str">
        <f t="array" ref="F556">IFERROR(INDEX('Daily Raw Data'!H:H,Match($A556,'Daily Raw Data'!$B:$B,0)),"")</f>
        <v/>
      </c>
      <c r="G556" t="str">
        <f t="array" ref="G556">IFERROR(INDEX('Daily Raw Data'!I:I,Match($A556,'Daily Raw Data'!$B:$B,0)),"")</f>
        <v/>
      </c>
      <c r="H556" t="str">
        <f t="array" ref="H556">IFERROR(INDEX('Daily Raw Data'!N:N,Match($A556,'Daily Raw Data'!$B:$B,0)),"")</f>
        <v/>
      </c>
      <c r="I556" t="str">
        <f t="array" ref="I556">IFERROR(INDEX('Daily Raw Data'!O:O,Match($A556,'Daily Raw Data'!$B:$B,0)),"")</f>
        <v/>
      </c>
      <c r="J556" t="str">
        <f t="array" ref="J556">IFERROR(INDEX('Daily Raw Data'!S:S,Match($A556,'Daily Raw Data'!$B:$B,0)),"")</f>
        <v/>
      </c>
      <c r="K556" t="str">
        <f t="array" ref="K556">IFERROR(INDEX('Daily Raw Data'!T:T,Match($A556,'Daily Raw Data'!$B:$B,0)),"")</f>
        <v/>
      </c>
      <c r="L556" t="str">
        <f t="array" ref="L556">IFERROR(INDEX('Daily Raw Data'!U:U,Match($A556,'Daily Raw Data'!$B:$B,0)),"")</f>
        <v/>
      </c>
      <c r="M556" t="str">
        <f t="array" ref="M556">IFERROR(INDEX('Daily Raw Data'!V:V,Match($A556,'Daily Raw Data'!$B:$B,0)),"")</f>
        <v/>
      </c>
      <c r="N556" t="str">
        <f t="array" ref="N556">IFERROR(INDEX('Daily Raw Data'!W:W,Match($A556,'Daily Raw Data'!$B:$B,0)),"")</f>
        <v/>
      </c>
      <c r="O556" t="str">
        <f t="array" ref="O556">IFERROR(INDEX('Daily Raw Data'!Y:Y,Match($A556,'Daily Raw Data'!$B:$B,0)),"")</f>
        <v/>
      </c>
      <c r="P556" t="str">
        <f t="shared" si="1"/>
        <v/>
      </c>
      <c r="Q556" s="14" t="str">
        <f t="shared" si="2"/>
        <v/>
      </c>
      <c r="R556" s="15" t="str">
        <f>IFERROR(__xludf.DUMMYFUNCTION("IF($A556="""","""", IFERROR(PERCENTRANK.INC(FILTER(P:P,$E:$E&lt;&gt;""""),P556)*100,""""))"),"")</f>
        <v/>
      </c>
      <c r="S556" s="15" t="str">
        <f>IFERROR(__xludf.DUMMYFUNCTION("IF($A556="""","""",IFERROR(PERCENTRANK.INC(FILTER(Q:Q,$E:$E&lt;&gt;""""),Q556)*100,""""))"),"")</f>
        <v/>
      </c>
    </row>
    <row r="557">
      <c r="B557" t="str">
        <f t="array" ref="B557">IFERROR(INDEX('Player Raw Data'!C:C,Match($A557,'Player Raw Data'!$B:$B,0)),"")</f>
        <v/>
      </c>
      <c r="C557" t="str">
        <f t="array" ref="C557">IFERROR(INDEX('Player Raw Data'!D:D,Match($A557,'Player Raw Data'!$B:$B,0)),"")</f>
        <v/>
      </c>
      <c r="D557" t="str">
        <f t="array" ref="D557">IFERROR(IF(A557=A556, INDEX('Player Raw Data'!E:E,Match($A557,'Player Raw Data'!$B:$B,0)+2),INDEX('Player Raw Data'!E:E,Match($A557,'Player Raw Data'!$B:$B,0))),"")</f>
        <v/>
      </c>
      <c r="E557" s="27" t="str">
        <f>IFERROR(__xludf.DUMMYFUNCTION("IFERROR(ARRAY_CONSTRAIN(SPLIT(INDEX('Daily Raw Data'!G:G,Match($A557,'Daily Raw Data'!$B:$B,0)),"":""),1,1),"""")"),"")</f>
        <v/>
      </c>
      <c r="F557" t="str">
        <f t="array" ref="F557">IFERROR(INDEX('Daily Raw Data'!H:H,Match($A557,'Daily Raw Data'!$B:$B,0)),"")</f>
        <v/>
      </c>
      <c r="G557" t="str">
        <f t="array" ref="G557">IFERROR(INDEX('Daily Raw Data'!I:I,Match($A557,'Daily Raw Data'!$B:$B,0)),"")</f>
        <v/>
      </c>
      <c r="H557" t="str">
        <f t="array" ref="H557">IFERROR(INDEX('Daily Raw Data'!N:N,Match($A557,'Daily Raw Data'!$B:$B,0)),"")</f>
        <v/>
      </c>
      <c r="I557" t="str">
        <f t="array" ref="I557">IFERROR(INDEX('Daily Raw Data'!O:O,Match($A557,'Daily Raw Data'!$B:$B,0)),"")</f>
        <v/>
      </c>
      <c r="J557" t="str">
        <f t="array" ref="J557">IFERROR(INDEX('Daily Raw Data'!S:S,Match($A557,'Daily Raw Data'!$B:$B,0)),"")</f>
        <v/>
      </c>
      <c r="K557" t="str">
        <f t="array" ref="K557">IFERROR(INDEX('Daily Raw Data'!T:T,Match($A557,'Daily Raw Data'!$B:$B,0)),"")</f>
        <v/>
      </c>
      <c r="L557" t="str">
        <f t="array" ref="L557">IFERROR(INDEX('Daily Raw Data'!U:U,Match($A557,'Daily Raw Data'!$B:$B,0)),"")</f>
        <v/>
      </c>
      <c r="M557" t="str">
        <f t="array" ref="M557">IFERROR(INDEX('Daily Raw Data'!V:V,Match($A557,'Daily Raw Data'!$B:$B,0)),"")</f>
        <v/>
      </c>
      <c r="N557" t="str">
        <f t="array" ref="N557">IFERROR(INDEX('Daily Raw Data'!W:W,Match($A557,'Daily Raw Data'!$B:$B,0)),"")</f>
        <v/>
      </c>
      <c r="O557" t="str">
        <f t="array" ref="O557">IFERROR(INDEX('Daily Raw Data'!Y:Y,Match($A557,'Daily Raw Data'!$B:$B,0)),"")</f>
        <v/>
      </c>
      <c r="P557" t="str">
        <f t="shared" si="1"/>
        <v/>
      </c>
      <c r="Q557" s="14" t="str">
        <f t="shared" si="2"/>
        <v/>
      </c>
      <c r="R557" s="15" t="str">
        <f>IFERROR(__xludf.DUMMYFUNCTION("IF($A557="""","""", IFERROR(PERCENTRANK.INC(FILTER(P:P,$E:$E&lt;&gt;""""),P557)*100,""""))"),"")</f>
        <v/>
      </c>
      <c r="S557" s="15" t="str">
        <f>IFERROR(__xludf.DUMMYFUNCTION("IF($A557="""","""",IFERROR(PERCENTRANK.INC(FILTER(Q:Q,$E:$E&lt;&gt;""""),Q557)*100,""""))"),"")</f>
        <v/>
      </c>
    </row>
    <row r="558">
      <c r="B558" t="str">
        <f t="array" ref="B558">IFERROR(INDEX('Player Raw Data'!C:C,Match($A558,'Player Raw Data'!$B:$B,0)),"")</f>
        <v/>
      </c>
      <c r="C558" t="str">
        <f t="array" ref="C558">IFERROR(INDEX('Player Raw Data'!D:D,Match($A558,'Player Raw Data'!$B:$B,0)),"")</f>
        <v/>
      </c>
      <c r="D558" t="str">
        <f t="array" ref="D558">IFERROR(IF(A558=A557, INDEX('Player Raw Data'!E:E,Match($A558,'Player Raw Data'!$B:$B,0)+2),INDEX('Player Raw Data'!E:E,Match($A558,'Player Raw Data'!$B:$B,0))),"")</f>
        <v/>
      </c>
      <c r="E558" s="27" t="str">
        <f>IFERROR(__xludf.DUMMYFUNCTION("IFERROR(ARRAY_CONSTRAIN(SPLIT(INDEX('Daily Raw Data'!G:G,Match($A558,'Daily Raw Data'!$B:$B,0)),"":""),1,1),"""")"),"")</f>
        <v/>
      </c>
      <c r="F558" t="str">
        <f t="array" ref="F558">IFERROR(INDEX('Daily Raw Data'!H:H,Match($A558,'Daily Raw Data'!$B:$B,0)),"")</f>
        <v/>
      </c>
      <c r="G558" t="str">
        <f t="array" ref="G558">IFERROR(INDEX('Daily Raw Data'!I:I,Match($A558,'Daily Raw Data'!$B:$B,0)),"")</f>
        <v/>
      </c>
      <c r="H558" t="str">
        <f t="array" ref="H558">IFERROR(INDEX('Daily Raw Data'!N:N,Match($A558,'Daily Raw Data'!$B:$B,0)),"")</f>
        <v/>
      </c>
      <c r="I558" t="str">
        <f t="array" ref="I558">IFERROR(INDEX('Daily Raw Data'!O:O,Match($A558,'Daily Raw Data'!$B:$B,0)),"")</f>
        <v/>
      </c>
      <c r="J558" t="str">
        <f t="array" ref="J558">IFERROR(INDEX('Daily Raw Data'!S:S,Match($A558,'Daily Raw Data'!$B:$B,0)),"")</f>
        <v/>
      </c>
      <c r="K558" t="str">
        <f t="array" ref="K558">IFERROR(INDEX('Daily Raw Data'!T:T,Match($A558,'Daily Raw Data'!$B:$B,0)),"")</f>
        <v/>
      </c>
      <c r="L558" t="str">
        <f t="array" ref="L558">IFERROR(INDEX('Daily Raw Data'!U:U,Match($A558,'Daily Raw Data'!$B:$B,0)),"")</f>
        <v/>
      </c>
      <c r="M558" t="str">
        <f t="array" ref="M558">IFERROR(INDEX('Daily Raw Data'!V:V,Match($A558,'Daily Raw Data'!$B:$B,0)),"")</f>
        <v/>
      </c>
      <c r="N558" t="str">
        <f t="array" ref="N558">IFERROR(INDEX('Daily Raw Data'!W:W,Match($A558,'Daily Raw Data'!$B:$B,0)),"")</f>
        <v/>
      </c>
      <c r="O558" t="str">
        <f t="array" ref="O558">IFERROR(INDEX('Daily Raw Data'!Y:Y,Match($A558,'Daily Raw Data'!$B:$B,0)),"")</f>
        <v/>
      </c>
      <c r="P558" t="str">
        <f t="shared" si="1"/>
        <v/>
      </c>
      <c r="Q558" s="14" t="str">
        <f t="shared" si="2"/>
        <v/>
      </c>
      <c r="R558" s="15" t="str">
        <f>IFERROR(__xludf.DUMMYFUNCTION("IF($A558="""","""", IFERROR(PERCENTRANK.INC(FILTER(P:P,$E:$E&lt;&gt;""""),P558)*100,""""))"),"")</f>
        <v/>
      </c>
      <c r="S558" s="15" t="str">
        <f>IFERROR(__xludf.DUMMYFUNCTION("IF($A558="""","""",IFERROR(PERCENTRANK.INC(FILTER(Q:Q,$E:$E&lt;&gt;""""),Q558)*100,""""))"),"")</f>
        <v/>
      </c>
    </row>
    <row r="559">
      <c r="B559" t="str">
        <f t="array" ref="B559">IFERROR(INDEX('Player Raw Data'!C:C,Match($A559,'Player Raw Data'!$B:$B,0)),"")</f>
        <v/>
      </c>
      <c r="C559" t="str">
        <f t="array" ref="C559">IFERROR(INDEX('Player Raw Data'!D:D,Match($A559,'Player Raw Data'!$B:$B,0)),"")</f>
        <v/>
      </c>
      <c r="D559" t="str">
        <f t="array" ref="D559">IFERROR(IF(A559=A558, INDEX('Player Raw Data'!E:E,Match($A559,'Player Raw Data'!$B:$B,0)+2),INDEX('Player Raw Data'!E:E,Match($A559,'Player Raw Data'!$B:$B,0))),"")</f>
        <v/>
      </c>
      <c r="E559" s="27" t="str">
        <f>IFERROR(__xludf.DUMMYFUNCTION("IFERROR(ARRAY_CONSTRAIN(SPLIT(INDEX('Daily Raw Data'!G:G,Match($A559,'Daily Raw Data'!$B:$B,0)),"":""),1,1),"""")"),"")</f>
        <v/>
      </c>
      <c r="F559" t="str">
        <f t="array" ref="F559">IFERROR(INDEX('Daily Raw Data'!H:H,Match($A559,'Daily Raw Data'!$B:$B,0)),"")</f>
        <v/>
      </c>
      <c r="G559" t="str">
        <f t="array" ref="G559">IFERROR(INDEX('Daily Raw Data'!I:I,Match($A559,'Daily Raw Data'!$B:$B,0)),"")</f>
        <v/>
      </c>
      <c r="H559" t="str">
        <f t="array" ref="H559">IFERROR(INDEX('Daily Raw Data'!N:N,Match($A559,'Daily Raw Data'!$B:$B,0)),"")</f>
        <v/>
      </c>
      <c r="I559" t="str">
        <f t="array" ref="I559">IFERROR(INDEX('Daily Raw Data'!O:O,Match($A559,'Daily Raw Data'!$B:$B,0)),"")</f>
        <v/>
      </c>
      <c r="J559" t="str">
        <f t="array" ref="J559">IFERROR(INDEX('Daily Raw Data'!S:S,Match($A559,'Daily Raw Data'!$B:$B,0)),"")</f>
        <v/>
      </c>
      <c r="K559" t="str">
        <f t="array" ref="K559">IFERROR(INDEX('Daily Raw Data'!T:T,Match($A559,'Daily Raw Data'!$B:$B,0)),"")</f>
        <v/>
      </c>
      <c r="L559" t="str">
        <f t="array" ref="L559">IFERROR(INDEX('Daily Raw Data'!U:U,Match($A559,'Daily Raw Data'!$B:$B,0)),"")</f>
        <v/>
      </c>
      <c r="M559" t="str">
        <f t="array" ref="M559">IFERROR(INDEX('Daily Raw Data'!V:V,Match($A559,'Daily Raw Data'!$B:$B,0)),"")</f>
        <v/>
      </c>
      <c r="N559" t="str">
        <f t="array" ref="N559">IFERROR(INDEX('Daily Raw Data'!W:W,Match($A559,'Daily Raw Data'!$B:$B,0)),"")</f>
        <v/>
      </c>
      <c r="O559" t="str">
        <f t="array" ref="O559">IFERROR(INDEX('Daily Raw Data'!Y:Y,Match($A559,'Daily Raw Data'!$B:$B,0)),"")</f>
        <v/>
      </c>
      <c r="P559" t="str">
        <f t="shared" si="1"/>
        <v/>
      </c>
      <c r="Q559" s="14" t="str">
        <f t="shared" si="2"/>
        <v/>
      </c>
      <c r="R559" s="15" t="str">
        <f>IFERROR(__xludf.DUMMYFUNCTION("IF($A559="""","""", IFERROR(PERCENTRANK.INC(FILTER(P:P,$E:$E&lt;&gt;""""),P559)*100,""""))"),"")</f>
        <v/>
      </c>
      <c r="S559" s="15" t="str">
        <f>IFERROR(__xludf.DUMMYFUNCTION("IF($A559="""","""",IFERROR(PERCENTRANK.INC(FILTER(Q:Q,$E:$E&lt;&gt;""""),Q559)*100,""""))"),"")</f>
        <v/>
      </c>
    </row>
    <row r="560">
      <c r="B560" t="str">
        <f t="array" ref="B560">IFERROR(INDEX('Player Raw Data'!C:C,Match($A560,'Player Raw Data'!$B:$B,0)),"")</f>
        <v/>
      </c>
      <c r="C560" t="str">
        <f t="array" ref="C560">IFERROR(INDEX('Player Raw Data'!D:D,Match($A560,'Player Raw Data'!$B:$B,0)),"")</f>
        <v/>
      </c>
      <c r="D560" t="str">
        <f t="array" ref="D560">IFERROR(IF(A560=A559, INDEX('Player Raw Data'!E:E,Match($A560,'Player Raw Data'!$B:$B,0)+2),INDEX('Player Raw Data'!E:E,Match($A560,'Player Raw Data'!$B:$B,0))),"")</f>
        <v/>
      </c>
      <c r="E560" s="27" t="str">
        <f>IFERROR(__xludf.DUMMYFUNCTION("IFERROR(ARRAY_CONSTRAIN(SPLIT(INDEX('Daily Raw Data'!G:G,Match($A560,'Daily Raw Data'!$B:$B,0)),"":""),1,1),"""")"),"")</f>
        <v/>
      </c>
      <c r="F560" t="str">
        <f t="array" ref="F560">IFERROR(INDEX('Daily Raw Data'!H:H,Match($A560,'Daily Raw Data'!$B:$B,0)),"")</f>
        <v/>
      </c>
      <c r="G560" t="str">
        <f t="array" ref="G560">IFERROR(INDEX('Daily Raw Data'!I:I,Match($A560,'Daily Raw Data'!$B:$B,0)),"")</f>
        <v/>
      </c>
      <c r="H560" t="str">
        <f t="array" ref="H560">IFERROR(INDEX('Daily Raw Data'!N:N,Match($A560,'Daily Raw Data'!$B:$B,0)),"")</f>
        <v/>
      </c>
      <c r="I560" t="str">
        <f t="array" ref="I560">IFERROR(INDEX('Daily Raw Data'!O:O,Match($A560,'Daily Raw Data'!$B:$B,0)),"")</f>
        <v/>
      </c>
      <c r="J560" t="str">
        <f t="array" ref="J560">IFERROR(INDEX('Daily Raw Data'!S:S,Match($A560,'Daily Raw Data'!$B:$B,0)),"")</f>
        <v/>
      </c>
      <c r="K560" t="str">
        <f t="array" ref="K560">IFERROR(INDEX('Daily Raw Data'!T:T,Match($A560,'Daily Raw Data'!$B:$B,0)),"")</f>
        <v/>
      </c>
      <c r="L560" t="str">
        <f t="array" ref="L560">IFERROR(INDEX('Daily Raw Data'!U:U,Match($A560,'Daily Raw Data'!$B:$B,0)),"")</f>
        <v/>
      </c>
      <c r="M560" t="str">
        <f t="array" ref="M560">IFERROR(INDEX('Daily Raw Data'!V:V,Match($A560,'Daily Raw Data'!$B:$B,0)),"")</f>
        <v/>
      </c>
      <c r="N560" t="str">
        <f t="array" ref="N560">IFERROR(INDEX('Daily Raw Data'!W:W,Match($A560,'Daily Raw Data'!$B:$B,0)),"")</f>
        <v/>
      </c>
      <c r="O560" t="str">
        <f t="array" ref="O560">IFERROR(INDEX('Daily Raw Data'!Y:Y,Match($A560,'Daily Raw Data'!$B:$B,0)),"")</f>
        <v/>
      </c>
      <c r="P560" t="str">
        <f t="shared" si="1"/>
        <v/>
      </c>
      <c r="Q560" s="14" t="str">
        <f t="shared" si="2"/>
        <v/>
      </c>
      <c r="R560" s="15" t="str">
        <f>IFERROR(__xludf.DUMMYFUNCTION("IF($A560="""","""", IFERROR(PERCENTRANK.INC(FILTER(P:P,$E:$E&lt;&gt;""""),P560)*100,""""))"),"")</f>
        <v/>
      </c>
      <c r="S560" s="15" t="str">
        <f>IFERROR(__xludf.DUMMYFUNCTION("IF($A560="""","""",IFERROR(PERCENTRANK.INC(FILTER(Q:Q,$E:$E&lt;&gt;""""),Q560)*100,""""))"),"")</f>
        <v/>
      </c>
    </row>
    <row r="561">
      <c r="B561" t="str">
        <f t="array" ref="B561">IFERROR(INDEX('Player Raw Data'!C:C,Match($A561,'Player Raw Data'!$B:$B,0)),"")</f>
        <v/>
      </c>
      <c r="C561" t="str">
        <f t="array" ref="C561">IFERROR(INDEX('Player Raw Data'!D:D,Match($A561,'Player Raw Data'!$B:$B,0)),"")</f>
        <v/>
      </c>
      <c r="D561" t="str">
        <f t="array" ref="D561">IFERROR(IF(A561=A560, INDEX('Player Raw Data'!E:E,Match($A561,'Player Raw Data'!$B:$B,0)+2),INDEX('Player Raw Data'!E:E,Match($A561,'Player Raw Data'!$B:$B,0))),"")</f>
        <v/>
      </c>
      <c r="E561" s="27" t="str">
        <f>IFERROR(__xludf.DUMMYFUNCTION("IFERROR(ARRAY_CONSTRAIN(SPLIT(INDEX('Daily Raw Data'!G:G,Match($A561,'Daily Raw Data'!$B:$B,0)),"":""),1,1),"""")"),"")</f>
        <v/>
      </c>
      <c r="F561" t="str">
        <f t="array" ref="F561">IFERROR(INDEX('Daily Raw Data'!H:H,Match($A561,'Daily Raw Data'!$B:$B,0)),"")</f>
        <v/>
      </c>
      <c r="G561" t="str">
        <f t="array" ref="G561">IFERROR(INDEX('Daily Raw Data'!I:I,Match($A561,'Daily Raw Data'!$B:$B,0)),"")</f>
        <v/>
      </c>
      <c r="H561" t="str">
        <f t="array" ref="H561">IFERROR(INDEX('Daily Raw Data'!N:N,Match($A561,'Daily Raw Data'!$B:$B,0)),"")</f>
        <v/>
      </c>
      <c r="I561" t="str">
        <f t="array" ref="I561">IFERROR(INDEX('Daily Raw Data'!O:O,Match($A561,'Daily Raw Data'!$B:$B,0)),"")</f>
        <v/>
      </c>
      <c r="J561" t="str">
        <f t="array" ref="J561">IFERROR(INDEX('Daily Raw Data'!S:S,Match($A561,'Daily Raw Data'!$B:$B,0)),"")</f>
        <v/>
      </c>
      <c r="K561" t="str">
        <f t="array" ref="K561">IFERROR(INDEX('Daily Raw Data'!T:T,Match($A561,'Daily Raw Data'!$B:$B,0)),"")</f>
        <v/>
      </c>
      <c r="L561" t="str">
        <f t="array" ref="L561">IFERROR(INDEX('Daily Raw Data'!U:U,Match($A561,'Daily Raw Data'!$B:$B,0)),"")</f>
        <v/>
      </c>
      <c r="M561" t="str">
        <f t="array" ref="M561">IFERROR(INDEX('Daily Raw Data'!V:V,Match($A561,'Daily Raw Data'!$B:$B,0)),"")</f>
        <v/>
      </c>
      <c r="N561" t="str">
        <f t="array" ref="N561">IFERROR(INDEX('Daily Raw Data'!W:W,Match($A561,'Daily Raw Data'!$B:$B,0)),"")</f>
        <v/>
      </c>
      <c r="O561" t="str">
        <f t="array" ref="O561">IFERROR(INDEX('Daily Raw Data'!Y:Y,Match($A561,'Daily Raw Data'!$B:$B,0)),"")</f>
        <v/>
      </c>
      <c r="P561" t="str">
        <f t="shared" si="1"/>
        <v/>
      </c>
      <c r="Q561" s="14" t="str">
        <f t="shared" si="2"/>
        <v/>
      </c>
      <c r="R561" s="15" t="str">
        <f>IFERROR(__xludf.DUMMYFUNCTION("IF($A561="""","""", IFERROR(PERCENTRANK.INC(FILTER(P:P,$E:$E&lt;&gt;""""),P561)*100,""""))"),"")</f>
        <v/>
      </c>
      <c r="S561" s="15" t="str">
        <f>IFERROR(__xludf.DUMMYFUNCTION("IF($A561="""","""",IFERROR(PERCENTRANK.INC(FILTER(Q:Q,$E:$E&lt;&gt;""""),Q561)*100,""""))"),"")</f>
        <v/>
      </c>
    </row>
    <row r="562">
      <c r="B562" t="str">
        <f t="array" ref="B562">IFERROR(INDEX('Player Raw Data'!C:C,Match($A562,'Player Raw Data'!$B:$B,0)),"")</f>
        <v/>
      </c>
      <c r="C562" t="str">
        <f t="array" ref="C562">IFERROR(INDEX('Player Raw Data'!D:D,Match($A562,'Player Raw Data'!$B:$B,0)),"")</f>
        <v/>
      </c>
      <c r="D562" t="str">
        <f t="array" ref="D562">IFERROR(IF(A562=A561, INDEX('Player Raw Data'!E:E,Match($A562,'Player Raw Data'!$B:$B,0)+2),INDEX('Player Raw Data'!E:E,Match($A562,'Player Raw Data'!$B:$B,0))),"")</f>
        <v/>
      </c>
      <c r="E562" s="27" t="str">
        <f>IFERROR(__xludf.DUMMYFUNCTION("IFERROR(ARRAY_CONSTRAIN(SPLIT(INDEX('Daily Raw Data'!G:G,Match($A562,'Daily Raw Data'!$B:$B,0)),"":""),1,1),"""")"),"")</f>
        <v/>
      </c>
      <c r="F562" t="str">
        <f t="array" ref="F562">IFERROR(INDEX('Daily Raw Data'!H:H,Match($A562,'Daily Raw Data'!$B:$B,0)),"")</f>
        <v/>
      </c>
      <c r="G562" t="str">
        <f t="array" ref="G562">IFERROR(INDEX('Daily Raw Data'!I:I,Match($A562,'Daily Raw Data'!$B:$B,0)),"")</f>
        <v/>
      </c>
      <c r="H562" t="str">
        <f t="array" ref="H562">IFERROR(INDEX('Daily Raw Data'!N:N,Match($A562,'Daily Raw Data'!$B:$B,0)),"")</f>
        <v/>
      </c>
      <c r="I562" t="str">
        <f t="array" ref="I562">IFERROR(INDEX('Daily Raw Data'!O:O,Match($A562,'Daily Raw Data'!$B:$B,0)),"")</f>
        <v/>
      </c>
      <c r="J562" t="str">
        <f t="array" ref="J562">IFERROR(INDEX('Daily Raw Data'!S:S,Match($A562,'Daily Raw Data'!$B:$B,0)),"")</f>
        <v/>
      </c>
      <c r="K562" t="str">
        <f t="array" ref="K562">IFERROR(INDEX('Daily Raw Data'!T:T,Match($A562,'Daily Raw Data'!$B:$B,0)),"")</f>
        <v/>
      </c>
      <c r="L562" t="str">
        <f t="array" ref="L562">IFERROR(INDEX('Daily Raw Data'!U:U,Match($A562,'Daily Raw Data'!$B:$B,0)),"")</f>
        <v/>
      </c>
      <c r="M562" t="str">
        <f t="array" ref="M562">IFERROR(INDEX('Daily Raw Data'!V:V,Match($A562,'Daily Raw Data'!$B:$B,0)),"")</f>
        <v/>
      </c>
      <c r="N562" t="str">
        <f t="array" ref="N562">IFERROR(INDEX('Daily Raw Data'!W:W,Match($A562,'Daily Raw Data'!$B:$B,0)),"")</f>
        <v/>
      </c>
      <c r="O562" t="str">
        <f t="array" ref="O562">IFERROR(INDEX('Daily Raw Data'!Y:Y,Match($A562,'Daily Raw Data'!$B:$B,0)),"")</f>
        <v/>
      </c>
      <c r="P562" t="str">
        <f t="shared" si="1"/>
        <v/>
      </c>
      <c r="Q562" s="14" t="str">
        <f t="shared" si="2"/>
        <v/>
      </c>
      <c r="R562" s="15" t="str">
        <f>IFERROR(__xludf.DUMMYFUNCTION("IF($A562="""","""", IFERROR(PERCENTRANK.INC(FILTER(P:P,$E:$E&lt;&gt;""""),P562)*100,""""))"),"")</f>
        <v/>
      </c>
      <c r="S562" s="15" t="str">
        <f>IFERROR(__xludf.DUMMYFUNCTION("IF($A562="""","""",IFERROR(PERCENTRANK.INC(FILTER(Q:Q,$E:$E&lt;&gt;""""),Q562)*100,""""))"),"")</f>
        <v/>
      </c>
    </row>
    <row r="563">
      <c r="B563" t="str">
        <f t="array" ref="B563">IFERROR(INDEX('Player Raw Data'!C:C,Match($A563,'Player Raw Data'!$B:$B,0)),"")</f>
        <v/>
      </c>
      <c r="C563" t="str">
        <f t="array" ref="C563">IFERROR(INDEX('Player Raw Data'!D:D,Match($A563,'Player Raw Data'!$B:$B,0)),"")</f>
        <v/>
      </c>
      <c r="D563" t="str">
        <f t="array" ref="D563">IFERROR(IF(A563=A562, INDEX('Player Raw Data'!E:E,Match($A563,'Player Raw Data'!$B:$B,0)+2),INDEX('Player Raw Data'!E:E,Match($A563,'Player Raw Data'!$B:$B,0))),"")</f>
        <v/>
      </c>
      <c r="E563" s="27" t="str">
        <f>IFERROR(__xludf.DUMMYFUNCTION("IFERROR(ARRAY_CONSTRAIN(SPLIT(INDEX('Daily Raw Data'!G:G,Match($A563,'Daily Raw Data'!$B:$B,0)),"":""),1,1),"""")"),"")</f>
        <v/>
      </c>
      <c r="F563" t="str">
        <f t="array" ref="F563">IFERROR(INDEX('Daily Raw Data'!H:H,Match($A563,'Daily Raw Data'!$B:$B,0)),"")</f>
        <v/>
      </c>
      <c r="G563" t="str">
        <f t="array" ref="G563">IFERROR(INDEX('Daily Raw Data'!I:I,Match($A563,'Daily Raw Data'!$B:$B,0)),"")</f>
        <v/>
      </c>
      <c r="H563" t="str">
        <f t="array" ref="H563">IFERROR(INDEX('Daily Raw Data'!N:N,Match($A563,'Daily Raw Data'!$B:$B,0)),"")</f>
        <v/>
      </c>
      <c r="I563" t="str">
        <f t="array" ref="I563">IFERROR(INDEX('Daily Raw Data'!O:O,Match($A563,'Daily Raw Data'!$B:$B,0)),"")</f>
        <v/>
      </c>
      <c r="J563" t="str">
        <f t="array" ref="J563">IFERROR(INDEX('Daily Raw Data'!S:S,Match($A563,'Daily Raw Data'!$B:$B,0)),"")</f>
        <v/>
      </c>
      <c r="K563" t="str">
        <f t="array" ref="K563">IFERROR(INDEX('Daily Raw Data'!T:T,Match($A563,'Daily Raw Data'!$B:$B,0)),"")</f>
        <v/>
      </c>
      <c r="L563" t="str">
        <f t="array" ref="L563">IFERROR(INDEX('Daily Raw Data'!U:U,Match($A563,'Daily Raw Data'!$B:$B,0)),"")</f>
        <v/>
      </c>
      <c r="M563" t="str">
        <f t="array" ref="M563">IFERROR(INDEX('Daily Raw Data'!V:V,Match($A563,'Daily Raw Data'!$B:$B,0)),"")</f>
        <v/>
      </c>
      <c r="N563" t="str">
        <f t="array" ref="N563">IFERROR(INDEX('Daily Raw Data'!W:W,Match($A563,'Daily Raw Data'!$B:$B,0)),"")</f>
        <v/>
      </c>
      <c r="O563" t="str">
        <f t="array" ref="O563">IFERROR(INDEX('Daily Raw Data'!Y:Y,Match($A563,'Daily Raw Data'!$B:$B,0)),"")</f>
        <v/>
      </c>
      <c r="P563" t="str">
        <f t="shared" si="1"/>
        <v/>
      </c>
      <c r="Q563" s="14" t="str">
        <f t="shared" si="2"/>
        <v/>
      </c>
      <c r="R563" s="15" t="str">
        <f>IFERROR(__xludf.DUMMYFUNCTION("IF($A563="""","""", IFERROR(PERCENTRANK.INC(FILTER(P:P,$E:$E&lt;&gt;""""),P563)*100,""""))"),"")</f>
        <v/>
      </c>
      <c r="S563" s="15" t="str">
        <f>IFERROR(__xludf.DUMMYFUNCTION("IF($A563="""","""",IFERROR(PERCENTRANK.INC(FILTER(Q:Q,$E:$E&lt;&gt;""""),Q563)*100,""""))"),"")</f>
        <v/>
      </c>
    </row>
    <row r="564">
      <c r="B564" t="str">
        <f t="array" ref="B564">IFERROR(INDEX('Player Raw Data'!C:C,Match($A564,'Player Raw Data'!$B:$B,0)),"")</f>
        <v/>
      </c>
      <c r="C564" t="str">
        <f t="array" ref="C564">IFERROR(INDEX('Player Raw Data'!D:D,Match($A564,'Player Raw Data'!$B:$B,0)),"")</f>
        <v/>
      </c>
      <c r="D564" t="str">
        <f t="array" ref="D564">IFERROR(IF(A564=A563, INDEX('Player Raw Data'!E:E,Match($A564,'Player Raw Data'!$B:$B,0)+2),INDEX('Player Raw Data'!E:E,Match($A564,'Player Raw Data'!$B:$B,0))),"")</f>
        <v/>
      </c>
      <c r="E564" s="27" t="str">
        <f>IFERROR(__xludf.DUMMYFUNCTION("IFERROR(ARRAY_CONSTRAIN(SPLIT(INDEX('Daily Raw Data'!G:G,Match($A564,'Daily Raw Data'!$B:$B,0)),"":""),1,1),"""")"),"")</f>
        <v/>
      </c>
      <c r="F564" t="str">
        <f t="array" ref="F564">IFERROR(INDEX('Daily Raw Data'!H:H,Match($A564,'Daily Raw Data'!$B:$B,0)),"")</f>
        <v/>
      </c>
      <c r="G564" t="str">
        <f t="array" ref="G564">IFERROR(INDEX('Daily Raw Data'!I:I,Match($A564,'Daily Raw Data'!$B:$B,0)),"")</f>
        <v/>
      </c>
      <c r="H564" t="str">
        <f t="array" ref="H564">IFERROR(INDEX('Daily Raw Data'!N:N,Match($A564,'Daily Raw Data'!$B:$B,0)),"")</f>
        <v/>
      </c>
      <c r="I564" t="str">
        <f t="array" ref="I564">IFERROR(INDEX('Daily Raw Data'!O:O,Match($A564,'Daily Raw Data'!$B:$B,0)),"")</f>
        <v/>
      </c>
      <c r="J564" t="str">
        <f t="array" ref="J564">IFERROR(INDEX('Daily Raw Data'!S:S,Match($A564,'Daily Raw Data'!$B:$B,0)),"")</f>
        <v/>
      </c>
      <c r="K564" t="str">
        <f t="array" ref="K564">IFERROR(INDEX('Daily Raw Data'!T:T,Match($A564,'Daily Raw Data'!$B:$B,0)),"")</f>
        <v/>
      </c>
      <c r="L564" t="str">
        <f t="array" ref="L564">IFERROR(INDEX('Daily Raw Data'!U:U,Match($A564,'Daily Raw Data'!$B:$B,0)),"")</f>
        <v/>
      </c>
      <c r="M564" t="str">
        <f t="array" ref="M564">IFERROR(INDEX('Daily Raw Data'!V:V,Match($A564,'Daily Raw Data'!$B:$B,0)),"")</f>
        <v/>
      </c>
      <c r="N564" t="str">
        <f t="array" ref="N564">IFERROR(INDEX('Daily Raw Data'!W:W,Match($A564,'Daily Raw Data'!$B:$B,0)),"")</f>
        <v/>
      </c>
      <c r="O564" t="str">
        <f t="array" ref="O564">IFERROR(INDEX('Daily Raw Data'!Y:Y,Match($A564,'Daily Raw Data'!$B:$B,0)),"")</f>
        <v/>
      </c>
      <c r="P564" t="str">
        <f t="shared" si="1"/>
        <v/>
      </c>
      <c r="Q564" s="14" t="str">
        <f t="shared" si="2"/>
        <v/>
      </c>
      <c r="R564" s="15" t="str">
        <f>IFERROR(__xludf.DUMMYFUNCTION("IF($A564="""","""", IFERROR(PERCENTRANK.INC(FILTER(P:P,$E:$E&lt;&gt;""""),P564)*100,""""))"),"")</f>
        <v/>
      </c>
      <c r="S564" s="15" t="str">
        <f>IFERROR(__xludf.DUMMYFUNCTION("IF($A564="""","""",IFERROR(PERCENTRANK.INC(FILTER(Q:Q,$E:$E&lt;&gt;""""),Q564)*100,""""))"),"")</f>
        <v/>
      </c>
    </row>
    <row r="565">
      <c r="B565" t="str">
        <f t="array" ref="B565">IFERROR(INDEX('Player Raw Data'!C:C,Match($A565,'Player Raw Data'!$B:$B,0)),"")</f>
        <v/>
      </c>
      <c r="C565" t="str">
        <f t="array" ref="C565">IFERROR(INDEX('Player Raw Data'!D:D,Match($A565,'Player Raw Data'!$B:$B,0)),"")</f>
        <v/>
      </c>
      <c r="D565" t="str">
        <f t="array" ref="D565">IFERROR(IF(A565=A564, INDEX('Player Raw Data'!E:E,Match($A565,'Player Raw Data'!$B:$B,0)+2),INDEX('Player Raw Data'!E:E,Match($A565,'Player Raw Data'!$B:$B,0))),"")</f>
        <v/>
      </c>
      <c r="E565" s="27" t="str">
        <f>IFERROR(__xludf.DUMMYFUNCTION("IFERROR(ARRAY_CONSTRAIN(SPLIT(INDEX('Daily Raw Data'!G:G,Match($A565,'Daily Raw Data'!$B:$B,0)),"":""),1,1),"""")"),"")</f>
        <v/>
      </c>
      <c r="F565" t="str">
        <f t="array" ref="F565">IFERROR(INDEX('Daily Raw Data'!H:H,Match($A565,'Daily Raw Data'!$B:$B,0)),"")</f>
        <v/>
      </c>
      <c r="G565" t="str">
        <f t="array" ref="G565">IFERROR(INDEX('Daily Raw Data'!I:I,Match($A565,'Daily Raw Data'!$B:$B,0)),"")</f>
        <v/>
      </c>
      <c r="H565" t="str">
        <f t="array" ref="H565">IFERROR(INDEX('Daily Raw Data'!N:N,Match($A565,'Daily Raw Data'!$B:$B,0)),"")</f>
        <v/>
      </c>
      <c r="I565" t="str">
        <f t="array" ref="I565">IFERROR(INDEX('Daily Raw Data'!O:O,Match($A565,'Daily Raw Data'!$B:$B,0)),"")</f>
        <v/>
      </c>
      <c r="J565" t="str">
        <f t="array" ref="J565">IFERROR(INDEX('Daily Raw Data'!S:S,Match($A565,'Daily Raw Data'!$B:$B,0)),"")</f>
        <v/>
      </c>
      <c r="K565" t="str">
        <f t="array" ref="K565">IFERROR(INDEX('Daily Raw Data'!T:T,Match($A565,'Daily Raw Data'!$B:$B,0)),"")</f>
        <v/>
      </c>
      <c r="L565" t="str">
        <f t="array" ref="L565">IFERROR(INDEX('Daily Raw Data'!U:U,Match($A565,'Daily Raw Data'!$B:$B,0)),"")</f>
        <v/>
      </c>
      <c r="M565" t="str">
        <f t="array" ref="M565">IFERROR(INDEX('Daily Raw Data'!V:V,Match($A565,'Daily Raw Data'!$B:$B,0)),"")</f>
        <v/>
      </c>
      <c r="N565" t="str">
        <f t="array" ref="N565">IFERROR(INDEX('Daily Raw Data'!W:W,Match($A565,'Daily Raw Data'!$B:$B,0)),"")</f>
        <v/>
      </c>
      <c r="O565" t="str">
        <f t="array" ref="O565">IFERROR(INDEX('Daily Raw Data'!Y:Y,Match($A565,'Daily Raw Data'!$B:$B,0)),"")</f>
        <v/>
      </c>
      <c r="P565" t="str">
        <f t="shared" si="1"/>
        <v/>
      </c>
      <c r="Q565" s="14" t="str">
        <f t="shared" si="2"/>
        <v/>
      </c>
      <c r="R565" s="15" t="str">
        <f>IFERROR(__xludf.DUMMYFUNCTION("IF($A565="""","""", IFERROR(PERCENTRANK.INC(FILTER(P:P,$E:$E&lt;&gt;""""),P565)*100,""""))"),"")</f>
        <v/>
      </c>
      <c r="S565" s="15" t="str">
        <f>IFERROR(__xludf.DUMMYFUNCTION("IF($A565="""","""",IFERROR(PERCENTRANK.INC(FILTER(Q:Q,$E:$E&lt;&gt;""""),Q565)*100,""""))"),"")</f>
        <v/>
      </c>
    </row>
    <row r="566">
      <c r="B566" t="str">
        <f t="array" ref="B566">IFERROR(INDEX('Player Raw Data'!C:C,Match($A566,'Player Raw Data'!$B:$B,0)),"")</f>
        <v/>
      </c>
      <c r="C566" t="str">
        <f t="array" ref="C566">IFERROR(INDEX('Player Raw Data'!D:D,Match($A566,'Player Raw Data'!$B:$B,0)),"")</f>
        <v/>
      </c>
      <c r="D566" t="str">
        <f t="array" ref="D566">IFERROR(IF(A566=A565, INDEX('Player Raw Data'!E:E,Match($A566,'Player Raw Data'!$B:$B,0)+2),INDEX('Player Raw Data'!E:E,Match($A566,'Player Raw Data'!$B:$B,0))),"")</f>
        <v/>
      </c>
      <c r="E566" s="27" t="str">
        <f>IFERROR(__xludf.DUMMYFUNCTION("IFERROR(ARRAY_CONSTRAIN(SPLIT(INDEX('Daily Raw Data'!G:G,Match($A566,'Daily Raw Data'!$B:$B,0)),"":""),1,1),"""")"),"")</f>
        <v/>
      </c>
      <c r="F566" t="str">
        <f t="array" ref="F566">IFERROR(INDEX('Daily Raw Data'!H:H,Match($A566,'Daily Raw Data'!$B:$B,0)),"")</f>
        <v/>
      </c>
      <c r="G566" t="str">
        <f t="array" ref="G566">IFERROR(INDEX('Daily Raw Data'!I:I,Match($A566,'Daily Raw Data'!$B:$B,0)),"")</f>
        <v/>
      </c>
      <c r="H566" t="str">
        <f t="array" ref="H566">IFERROR(INDEX('Daily Raw Data'!N:N,Match($A566,'Daily Raw Data'!$B:$B,0)),"")</f>
        <v/>
      </c>
      <c r="I566" t="str">
        <f t="array" ref="I566">IFERROR(INDEX('Daily Raw Data'!O:O,Match($A566,'Daily Raw Data'!$B:$B,0)),"")</f>
        <v/>
      </c>
      <c r="J566" t="str">
        <f t="array" ref="J566">IFERROR(INDEX('Daily Raw Data'!S:S,Match($A566,'Daily Raw Data'!$B:$B,0)),"")</f>
        <v/>
      </c>
      <c r="K566" t="str">
        <f t="array" ref="K566">IFERROR(INDEX('Daily Raw Data'!T:T,Match($A566,'Daily Raw Data'!$B:$B,0)),"")</f>
        <v/>
      </c>
      <c r="L566" t="str">
        <f t="array" ref="L566">IFERROR(INDEX('Daily Raw Data'!U:U,Match($A566,'Daily Raw Data'!$B:$B,0)),"")</f>
        <v/>
      </c>
      <c r="M566" t="str">
        <f t="array" ref="M566">IFERROR(INDEX('Daily Raw Data'!V:V,Match($A566,'Daily Raw Data'!$B:$B,0)),"")</f>
        <v/>
      </c>
      <c r="N566" t="str">
        <f t="array" ref="N566">IFERROR(INDEX('Daily Raw Data'!W:W,Match($A566,'Daily Raw Data'!$B:$B,0)),"")</f>
        <v/>
      </c>
      <c r="O566" t="str">
        <f t="array" ref="O566">IFERROR(INDEX('Daily Raw Data'!Y:Y,Match($A566,'Daily Raw Data'!$B:$B,0)),"")</f>
        <v/>
      </c>
      <c r="P566" t="str">
        <f t="shared" si="1"/>
        <v/>
      </c>
      <c r="Q566" s="14" t="str">
        <f t="shared" si="2"/>
        <v/>
      </c>
      <c r="R566" s="15" t="str">
        <f>IFERROR(__xludf.DUMMYFUNCTION("IF($A566="""","""", IFERROR(PERCENTRANK.INC(FILTER(P:P,$E:$E&lt;&gt;""""),P566)*100,""""))"),"")</f>
        <v/>
      </c>
      <c r="S566" s="15" t="str">
        <f>IFERROR(__xludf.DUMMYFUNCTION("IF($A566="""","""",IFERROR(PERCENTRANK.INC(FILTER(Q:Q,$E:$E&lt;&gt;""""),Q566)*100,""""))"),"")</f>
        <v/>
      </c>
    </row>
    <row r="567">
      <c r="B567" t="str">
        <f t="array" ref="B567">IFERROR(INDEX('Player Raw Data'!C:C,Match($A567,'Player Raw Data'!$B:$B,0)),"")</f>
        <v/>
      </c>
      <c r="C567" t="str">
        <f t="array" ref="C567">IFERROR(INDEX('Player Raw Data'!D:D,Match($A567,'Player Raw Data'!$B:$B,0)),"")</f>
        <v/>
      </c>
      <c r="D567" t="str">
        <f t="array" ref="D567">IFERROR(IF(A567=A566, INDEX('Player Raw Data'!E:E,Match($A567,'Player Raw Data'!$B:$B,0)+2),INDEX('Player Raw Data'!E:E,Match($A567,'Player Raw Data'!$B:$B,0))),"")</f>
        <v/>
      </c>
      <c r="E567" s="27" t="str">
        <f>IFERROR(__xludf.DUMMYFUNCTION("IFERROR(ARRAY_CONSTRAIN(SPLIT(INDEX('Daily Raw Data'!G:G,Match($A567,'Daily Raw Data'!$B:$B,0)),"":""),1,1),"""")"),"")</f>
        <v/>
      </c>
      <c r="F567" t="str">
        <f t="array" ref="F567">IFERROR(INDEX('Daily Raw Data'!H:H,Match($A567,'Daily Raw Data'!$B:$B,0)),"")</f>
        <v/>
      </c>
      <c r="G567" t="str">
        <f t="array" ref="G567">IFERROR(INDEX('Daily Raw Data'!I:I,Match($A567,'Daily Raw Data'!$B:$B,0)),"")</f>
        <v/>
      </c>
      <c r="H567" t="str">
        <f t="array" ref="H567">IFERROR(INDEX('Daily Raw Data'!N:N,Match($A567,'Daily Raw Data'!$B:$B,0)),"")</f>
        <v/>
      </c>
      <c r="I567" t="str">
        <f t="array" ref="I567">IFERROR(INDEX('Daily Raw Data'!O:O,Match($A567,'Daily Raw Data'!$B:$B,0)),"")</f>
        <v/>
      </c>
      <c r="J567" t="str">
        <f t="array" ref="J567">IFERROR(INDEX('Daily Raw Data'!S:S,Match($A567,'Daily Raw Data'!$B:$B,0)),"")</f>
        <v/>
      </c>
      <c r="K567" t="str">
        <f t="array" ref="K567">IFERROR(INDEX('Daily Raw Data'!T:T,Match($A567,'Daily Raw Data'!$B:$B,0)),"")</f>
        <v/>
      </c>
      <c r="L567" t="str">
        <f t="array" ref="L567">IFERROR(INDEX('Daily Raw Data'!U:U,Match($A567,'Daily Raw Data'!$B:$B,0)),"")</f>
        <v/>
      </c>
      <c r="M567" t="str">
        <f t="array" ref="M567">IFERROR(INDEX('Daily Raw Data'!V:V,Match($A567,'Daily Raw Data'!$B:$B,0)),"")</f>
        <v/>
      </c>
      <c r="N567" t="str">
        <f t="array" ref="N567">IFERROR(INDEX('Daily Raw Data'!W:W,Match($A567,'Daily Raw Data'!$B:$B,0)),"")</f>
        <v/>
      </c>
      <c r="O567" t="str">
        <f t="array" ref="O567">IFERROR(INDEX('Daily Raw Data'!Y:Y,Match($A567,'Daily Raw Data'!$B:$B,0)),"")</f>
        <v/>
      </c>
      <c r="P567" t="str">
        <f t="shared" si="1"/>
        <v/>
      </c>
      <c r="Q567" s="14" t="str">
        <f t="shared" si="2"/>
        <v/>
      </c>
      <c r="R567" s="15" t="str">
        <f>IFERROR(__xludf.DUMMYFUNCTION("IF($A567="""","""", IFERROR(PERCENTRANK.INC(FILTER(P:P,$E:$E&lt;&gt;""""),P567)*100,""""))"),"")</f>
        <v/>
      </c>
      <c r="S567" s="15" t="str">
        <f>IFERROR(__xludf.DUMMYFUNCTION("IF($A567="""","""",IFERROR(PERCENTRANK.INC(FILTER(Q:Q,$E:$E&lt;&gt;""""),Q567)*100,""""))"),"")</f>
        <v/>
      </c>
    </row>
    <row r="568">
      <c r="B568" t="str">
        <f t="array" ref="B568">IFERROR(INDEX('Player Raw Data'!C:C,Match($A568,'Player Raw Data'!$B:$B,0)),"")</f>
        <v/>
      </c>
      <c r="C568" t="str">
        <f t="array" ref="C568">IFERROR(INDEX('Player Raw Data'!D:D,Match($A568,'Player Raw Data'!$B:$B,0)),"")</f>
        <v/>
      </c>
      <c r="D568" t="str">
        <f t="array" ref="D568">IFERROR(IF(A568=A567, INDEX('Player Raw Data'!E:E,Match($A568,'Player Raw Data'!$B:$B,0)+2),INDEX('Player Raw Data'!E:E,Match($A568,'Player Raw Data'!$B:$B,0))),"")</f>
        <v/>
      </c>
      <c r="E568" s="27" t="str">
        <f>IFERROR(__xludf.DUMMYFUNCTION("IFERROR(ARRAY_CONSTRAIN(SPLIT(INDEX('Daily Raw Data'!G:G,Match($A568,'Daily Raw Data'!$B:$B,0)),"":""),1,1),"""")"),"")</f>
        <v/>
      </c>
      <c r="F568" t="str">
        <f t="array" ref="F568">IFERROR(INDEX('Daily Raw Data'!H:H,Match($A568,'Daily Raw Data'!$B:$B,0)),"")</f>
        <v/>
      </c>
      <c r="G568" t="str">
        <f t="array" ref="G568">IFERROR(INDEX('Daily Raw Data'!I:I,Match($A568,'Daily Raw Data'!$B:$B,0)),"")</f>
        <v/>
      </c>
      <c r="H568" t="str">
        <f t="array" ref="H568">IFERROR(INDEX('Daily Raw Data'!N:N,Match($A568,'Daily Raw Data'!$B:$B,0)),"")</f>
        <v/>
      </c>
      <c r="I568" t="str">
        <f t="array" ref="I568">IFERROR(INDEX('Daily Raw Data'!O:O,Match($A568,'Daily Raw Data'!$B:$B,0)),"")</f>
        <v/>
      </c>
      <c r="J568" t="str">
        <f t="array" ref="J568">IFERROR(INDEX('Daily Raw Data'!S:S,Match($A568,'Daily Raw Data'!$B:$B,0)),"")</f>
        <v/>
      </c>
      <c r="K568" t="str">
        <f t="array" ref="K568">IFERROR(INDEX('Daily Raw Data'!T:T,Match($A568,'Daily Raw Data'!$B:$B,0)),"")</f>
        <v/>
      </c>
      <c r="L568" t="str">
        <f t="array" ref="L568">IFERROR(INDEX('Daily Raw Data'!U:U,Match($A568,'Daily Raw Data'!$B:$B,0)),"")</f>
        <v/>
      </c>
      <c r="M568" t="str">
        <f t="array" ref="M568">IFERROR(INDEX('Daily Raw Data'!V:V,Match($A568,'Daily Raw Data'!$B:$B,0)),"")</f>
        <v/>
      </c>
      <c r="N568" t="str">
        <f t="array" ref="N568">IFERROR(INDEX('Daily Raw Data'!W:W,Match($A568,'Daily Raw Data'!$B:$B,0)),"")</f>
        <v/>
      </c>
      <c r="O568" t="str">
        <f t="array" ref="O568">IFERROR(INDEX('Daily Raw Data'!Y:Y,Match($A568,'Daily Raw Data'!$B:$B,0)),"")</f>
        <v/>
      </c>
      <c r="P568" t="str">
        <f t="shared" si="1"/>
        <v/>
      </c>
      <c r="Q568" s="14" t="str">
        <f t="shared" si="2"/>
        <v/>
      </c>
      <c r="R568" s="15" t="str">
        <f>IFERROR(__xludf.DUMMYFUNCTION("IF($A568="""","""", IFERROR(PERCENTRANK.INC(FILTER(P:P,$E:$E&lt;&gt;""""),P568)*100,""""))"),"")</f>
        <v/>
      </c>
      <c r="S568" s="15" t="str">
        <f>IFERROR(__xludf.DUMMYFUNCTION("IF($A568="""","""",IFERROR(PERCENTRANK.INC(FILTER(Q:Q,$E:$E&lt;&gt;""""),Q568)*100,""""))"),"")</f>
        <v/>
      </c>
    </row>
    <row r="569">
      <c r="B569" t="str">
        <f t="array" ref="B569">IFERROR(INDEX('Player Raw Data'!C:C,Match($A569,'Player Raw Data'!$B:$B,0)),"")</f>
        <v/>
      </c>
      <c r="C569" t="str">
        <f t="array" ref="C569">IFERROR(INDEX('Player Raw Data'!D:D,Match($A569,'Player Raw Data'!$B:$B,0)),"")</f>
        <v/>
      </c>
      <c r="D569" t="str">
        <f t="array" ref="D569">IFERROR(IF(A569=A568, INDEX('Player Raw Data'!E:E,Match($A569,'Player Raw Data'!$B:$B,0)+2),INDEX('Player Raw Data'!E:E,Match($A569,'Player Raw Data'!$B:$B,0))),"")</f>
        <v/>
      </c>
      <c r="E569" s="27" t="str">
        <f>IFERROR(__xludf.DUMMYFUNCTION("IFERROR(ARRAY_CONSTRAIN(SPLIT(INDEX('Daily Raw Data'!G:G,Match($A569,'Daily Raw Data'!$B:$B,0)),"":""),1,1),"""")"),"")</f>
        <v/>
      </c>
      <c r="F569" t="str">
        <f t="array" ref="F569">IFERROR(INDEX('Daily Raw Data'!H:H,Match($A569,'Daily Raw Data'!$B:$B,0)),"")</f>
        <v/>
      </c>
      <c r="G569" t="str">
        <f t="array" ref="G569">IFERROR(INDEX('Daily Raw Data'!I:I,Match($A569,'Daily Raw Data'!$B:$B,0)),"")</f>
        <v/>
      </c>
      <c r="H569" t="str">
        <f t="array" ref="H569">IFERROR(INDEX('Daily Raw Data'!N:N,Match($A569,'Daily Raw Data'!$B:$B,0)),"")</f>
        <v/>
      </c>
      <c r="I569" t="str">
        <f t="array" ref="I569">IFERROR(INDEX('Daily Raw Data'!O:O,Match($A569,'Daily Raw Data'!$B:$B,0)),"")</f>
        <v/>
      </c>
      <c r="J569" t="str">
        <f t="array" ref="J569">IFERROR(INDEX('Daily Raw Data'!S:S,Match($A569,'Daily Raw Data'!$B:$B,0)),"")</f>
        <v/>
      </c>
      <c r="K569" t="str">
        <f t="array" ref="K569">IFERROR(INDEX('Daily Raw Data'!T:T,Match($A569,'Daily Raw Data'!$B:$B,0)),"")</f>
        <v/>
      </c>
      <c r="L569" t="str">
        <f t="array" ref="L569">IFERROR(INDEX('Daily Raw Data'!U:U,Match($A569,'Daily Raw Data'!$B:$B,0)),"")</f>
        <v/>
      </c>
      <c r="M569" t="str">
        <f t="array" ref="M569">IFERROR(INDEX('Daily Raw Data'!V:V,Match($A569,'Daily Raw Data'!$B:$B,0)),"")</f>
        <v/>
      </c>
      <c r="N569" t="str">
        <f t="array" ref="N569">IFERROR(INDEX('Daily Raw Data'!W:W,Match($A569,'Daily Raw Data'!$B:$B,0)),"")</f>
        <v/>
      </c>
      <c r="O569" t="str">
        <f t="array" ref="O569">IFERROR(INDEX('Daily Raw Data'!Y:Y,Match($A569,'Daily Raw Data'!$B:$B,0)),"")</f>
        <v/>
      </c>
      <c r="P569" t="str">
        <f t="shared" si="1"/>
        <v/>
      </c>
      <c r="Q569" s="14" t="str">
        <f t="shared" si="2"/>
        <v/>
      </c>
      <c r="R569" s="15" t="str">
        <f>IFERROR(__xludf.DUMMYFUNCTION("IF($A569="""","""", IFERROR(PERCENTRANK.INC(FILTER(P:P,$E:$E&lt;&gt;""""),P569)*100,""""))"),"")</f>
        <v/>
      </c>
      <c r="S569" s="15" t="str">
        <f>IFERROR(__xludf.DUMMYFUNCTION("IF($A569="""","""",IFERROR(PERCENTRANK.INC(FILTER(Q:Q,$E:$E&lt;&gt;""""),Q569)*100,""""))"),"")</f>
        <v/>
      </c>
    </row>
    <row r="570">
      <c r="B570" t="str">
        <f t="array" ref="B570">IFERROR(INDEX('Player Raw Data'!C:C,Match($A570,'Player Raw Data'!$B:$B,0)),"")</f>
        <v/>
      </c>
      <c r="C570" t="str">
        <f t="array" ref="C570">IFERROR(INDEX('Player Raw Data'!D:D,Match($A570,'Player Raw Data'!$B:$B,0)),"")</f>
        <v/>
      </c>
      <c r="D570" t="str">
        <f t="array" ref="D570">IFERROR(IF(A570=A569, INDEX('Player Raw Data'!E:E,Match($A570,'Player Raw Data'!$B:$B,0)+2),INDEX('Player Raw Data'!E:E,Match($A570,'Player Raw Data'!$B:$B,0))),"")</f>
        <v/>
      </c>
      <c r="E570" s="27" t="str">
        <f>IFERROR(__xludf.DUMMYFUNCTION("IFERROR(ARRAY_CONSTRAIN(SPLIT(INDEX('Daily Raw Data'!G:G,Match($A570,'Daily Raw Data'!$B:$B,0)),"":""),1,1),"""")"),"")</f>
        <v/>
      </c>
      <c r="F570" t="str">
        <f t="array" ref="F570">IFERROR(INDEX('Daily Raw Data'!H:H,Match($A570,'Daily Raw Data'!$B:$B,0)),"")</f>
        <v/>
      </c>
      <c r="G570" t="str">
        <f t="array" ref="G570">IFERROR(INDEX('Daily Raw Data'!I:I,Match($A570,'Daily Raw Data'!$B:$B,0)),"")</f>
        <v/>
      </c>
      <c r="H570" t="str">
        <f t="array" ref="H570">IFERROR(INDEX('Daily Raw Data'!N:N,Match($A570,'Daily Raw Data'!$B:$B,0)),"")</f>
        <v/>
      </c>
      <c r="I570" t="str">
        <f t="array" ref="I570">IFERROR(INDEX('Daily Raw Data'!O:O,Match($A570,'Daily Raw Data'!$B:$B,0)),"")</f>
        <v/>
      </c>
      <c r="J570" t="str">
        <f t="array" ref="J570">IFERROR(INDEX('Daily Raw Data'!S:S,Match($A570,'Daily Raw Data'!$B:$B,0)),"")</f>
        <v/>
      </c>
      <c r="K570" t="str">
        <f t="array" ref="K570">IFERROR(INDEX('Daily Raw Data'!T:T,Match($A570,'Daily Raw Data'!$B:$B,0)),"")</f>
        <v/>
      </c>
      <c r="L570" t="str">
        <f t="array" ref="L570">IFERROR(INDEX('Daily Raw Data'!U:U,Match($A570,'Daily Raw Data'!$B:$B,0)),"")</f>
        <v/>
      </c>
      <c r="M570" t="str">
        <f t="array" ref="M570">IFERROR(INDEX('Daily Raw Data'!V:V,Match($A570,'Daily Raw Data'!$B:$B,0)),"")</f>
        <v/>
      </c>
      <c r="N570" t="str">
        <f t="array" ref="N570">IFERROR(INDEX('Daily Raw Data'!W:W,Match($A570,'Daily Raw Data'!$B:$B,0)),"")</f>
        <v/>
      </c>
      <c r="O570" t="str">
        <f t="array" ref="O570">IFERROR(INDEX('Daily Raw Data'!Y:Y,Match($A570,'Daily Raw Data'!$B:$B,0)),"")</f>
        <v/>
      </c>
      <c r="P570" t="str">
        <f t="shared" si="1"/>
        <v/>
      </c>
      <c r="Q570" s="14" t="str">
        <f t="shared" si="2"/>
        <v/>
      </c>
      <c r="R570" s="15" t="str">
        <f>IFERROR(__xludf.DUMMYFUNCTION("IF($A570="""","""", IFERROR(PERCENTRANK.INC(FILTER(P:P,$E:$E&lt;&gt;""""),P570)*100,""""))"),"")</f>
        <v/>
      </c>
      <c r="S570" s="15" t="str">
        <f>IFERROR(__xludf.DUMMYFUNCTION("IF($A570="""","""",IFERROR(PERCENTRANK.INC(FILTER(Q:Q,$E:$E&lt;&gt;""""),Q570)*100,""""))"),"")</f>
        <v/>
      </c>
    </row>
    <row r="571">
      <c r="B571" t="str">
        <f t="array" ref="B571">IFERROR(INDEX('Player Raw Data'!C:C,Match($A571,'Player Raw Data'!$B:$B,0)),"")</f>
        <v/>
      </c>
      <c r="C571" t="str">
        <f t="array" ref="C571">IFERROR(INDEX('Player Raw Data'!D:D,Match($A571,'Player Raw Data'!$B:$B,0)),"")</f>
        <v/>
      </c>
      <c r="D571" t="str">
        <f t="array" ref="D571">IFERROR(IF(A571=A570, INDEX('Player Raw Data'!E:E,Match($A571,'Player Raw Data'!$B:$B,0)+2),INDEX('Player Raw Data'!E:E,Match($A571,'Player Raw Data'!$B:$B,0))),"")</f>
        <v/>
      </c>
      <c r="E571" s="27" t="str">
        <f>IFERROR(__xludf.DUMMYFUNCTION("IFERROR(ARRAY_CONSTRAIN(SPLIT(INDEX('Daily Raw Data'!G:G,Match($A571,'Daily Raw Data'!$B:$B,0)),"":""),1,1),"""")"),"")</f>
        <v/>
      </c>
      <c r="F571" t="str">
        <f t="array" ref="F571">IFERROR(INDEX('Daily Raw Data'!H:H,Match($A571,'Daily Raw Data'!$B:$B,0)),"")</f>
        <v/>
      </c>
      <c r="G571" t="str">
        <f t="array" ref="G571">IFERROR(INDEX('Daily Raw Data'!I:I,Match($A571,'Daily Raw Data'!$B:$B,0)),"")</f>
        <v/>
      </c>
      <c r="H571" t="str">
        <f t="array" ref="H571">IFERROR(INDEX('Daily Raw Data'!N:N,Match($A571,'Daily Raw Data'!$B:$B,0)),"")</f>
        <v/>
      </c>
      <c r="I571" t="str">
        <f t="array" ref="I571">IFERROR(INDEX('Daily Raw Data'!O:O,Match($A571,'Daily Raw Data'!$B:$B,0)),"")</f>
        <v/>
      </c>
      <c r="J571" t="str">
        <f t="array" ref="J571">IFERROR(INDEX('Daily Raw Data'!S:S,Match($A571,'Daily Raw Data'!$B:$B,0)),"")</f>
        <v/>
      </c>
      <c r="K571" t="str">
        <f t="array" ref="K571">IFERROR(INDEX('Daily Raw Data'!T:T,Match($A571,'Daily Raw Data'!$B:$B,0)),"")</f>
        <v/>
      </c>
      <c r="L571" t="str">
        <f t="array" ref="L571">IFERROR(INDEX('Daily Raw Data'!U:U,Match($A571,'Daily Raw Data'!$B:$B,0)),"")</f>
        <v/>
      </c>
      <c r="M571" t="str">
        <f t="array" ref="M571">IFERROR(INDEX('Daily Raw Data'!V:V,Match($A571,'Daily Raw Data'!$B:$B,0)),"")</f>
        <v/>
      </c>
      <c r="N571" t="str">
        <f t="array" ref="N571">IFERROR(INDEX('Daily Raw Data'!W:W,Match($A571,'Daily Raw Data'!$B:$B,0)),"")</f>
        <v/>
      </c>
      <c r="O571" t="str">
        <f t="array" ref="O571">IFERROR(INDEX('Daily Raw Data'!Y:Y,Match($A571,'Daily Raw Data'!$B:$B,0)),"")</f>
        <v/>
      </c>
      <c r="P571" t="str">
        <f t="shared" si="1"/>
        <v/>
      </c>
      <c r="Q571" s="14" t="str">
        <f t="shared" si="2"/>
        <v/>
      </c>
      <c r="R571" s="15" t="str">
        <f>IFERROR(__xludf.DUMMYFUNCTION("IF($A571="""","""", IFERROR(PERCENTRANK.INC(FILTER(P:P,$E:$E&lt;&gt;""""),P571)*100,""""))"),"")</f>
        <v/>
      </c>
      <c r="S571" s="15" t="str">
        <f>IFERROR(__xludf.DUMMYFUNCTION("IF($A571="""","""",IFERROR(PERCENTRANK.INC(FILTER(Q:Q,$E:$E&lt;&gt;""""),Q571)*100,""""))"),"")</f>
        <v/>
      </c>
    </row>
    <row r="572">
      <c r="B572" t="str">
        <f t="array" ref="B572">IFERROR(INDEX('Player Raw Data'!C:C,Match($A572,'Player Raw Data'!$B:$B,0)),"")</f>
        <v/>
      </c>
      <c r="C572" t="str">
        <f t="array" ref="C572">IFERROR(INDEX('Player Raw Data'!D:D,Match($A572,'Player Raw Data'!$B:$B,0)),"")</f>
        <v/>
      </c>
      <c r="D572" t="str">
        <f t="array" ref="D572">IFERROR(IF(A572=A571, INDEX('Player Raw Data'!E:E,Match($A572,'Player Raw Data'!$B:$B,0)+2),INDEX('Player Raw Data'!E:E,Match($A572,'Player Raw Data'!$B:$B,0))),"")</f>
        <v/>
      </c>
      <c r="E572" s="27" t="str">
        <f>IFERROR(__xludf.DUMMYFUNCTION("IFERROR(ARRAY_CONSTRAIN(SPLIT(INDEX('Daily Raw Data'!G:G,Match($A572,'Daily Raw Data'!$B:$B,0)),"":""),1,1),"""")"),"")</f>
        <v/>
      </c>
      <c r="F572" t="str">
        <f t="array" ref="F572">IFERROR(INDEX('Daily Raw Data'!H:H,Match($A572,'Daily Raw Data'!$B:$B,0)),"")</f>
        <v/>
      </c>
      <c r="G572" t="str">
        <f t="array" ref="G572">IFERROR(INDEX('Daily Raw Data'!I:I,Match($A572,'Daily Raw Data'!$B:$B,0)),"")</f>
        <v/>
      </c>
      <c r="H572" t="str">
        <f t="array" ref="H572">IFERROR(INDEX('Daily Raw Data'!N:N,Match($A572,'Daily Raw Data'!$B:$B,0)),"")</f>
        <v/>
      </c>
      <c r="I572" t="str">
        <f t="array" ref="I572">IFERROR(INDEX('Daily Raw Data'!O:O,Match($A572,'Daily Raw Data'!$B:$B,0)),"")</f>
        <v/>
      </c>
      <c r="J572" t="str">
        <f t="array" ref="J572">IFERROR(INDEX('Daily Raw Data'!S:S,Match($A572,'Daily Raw Data'!$B:$B,0)),"")</f>
        <v/>
      </c>
      <c r="K572" t="str">
        <f t="array" ref="K572">IFERROR(INDEX('Daily Raw Data'!T:T,Match($A572,'Daily Raw Data'!$B:$B,0)),"")</f>
        <v/>
      </c>
      <c r="L572" t="str">
        <f t="array" ref="L572">IFERROR(INDEX('Daily Raw Data'!U:U,Match($A572,'Daily Raw Data'!$B:$B,0)),"")</f>
        <v/>
      </c>
      <c r="M572" t="str">
        <f t="array" ref="M572">IFERROR(INDEX('Daily Raw Data'!V:V,Match($A572,'Daily Raw Data'!$B:$B,0)),"")</f>
        <v/>
      </c>
      <c r="N572" t="str">
        <f t="array" ref="N572">IFERROR(INDEX('Daily Raw Data'!W:W,Match($A572,'Daily Raw Data'!$B:$B,0)),"")</f>
        <v/>
      </c>
      <c r="O572" t="str">
        <f t="array" ref="O572">IFERROR(INDEX('Daily Raw Data'!Y:Y,Match($A572,'Daily Raw Data'!$B:$B,0)),"")</f>
        <v/>
      </c>
      <c r="P572" t="str">
        <f t="shared" si="1"/>
        <v/>
      </c>
      <c r="Q572" s="14" t="str">
        <f t="shared" si="2"/>
        <v/>
      </c>
      <c r="R572" s="15" t="str">
        <f>IFERROR(__xludf.DUMMYFUNCTION("IF($A572="""","""", IFERROR(PERCENTRANK.INC(FILTER(P:P,$E:$E&lt;&gt;""""),P572)*100,""""))"),"")</f>
        <v/>
      </c>
      <c r="S572" s="15" t="str">
        <f>IFERROR(__xludf.DUMMYFUNCTION("IF($A572="""","""",IFERROR(PERCENTRANK.INC(FILTER(Q:Q,$E:$E&lt;&gt;""""),Q572)*100,""""))"),"")</f>
        <v/>
      </c>
    </row>
    <row r="573">
      <c r="B573" t="str">
        <f t="array" ref="B573">IFERROR(INDEX('Player Raw Data'!C:C,Match($A573,'Player Raw Data'!$B:$B,0)),"")</f>
        <v/>
      </c>
      <c r="C573" t="str">
        <f t="array" ref="C573">IFERROR(INDEX('Player Raw Data'!D:D,Match($A573,'Player Raw Data'!$B:$B,0)),"")</f>
        <v/>
      </c>
      <c r="D573" t="str">
        <f t="array" ref="D573">IFERROR(IF(A573=A572, INDEX('Player Raw Data'!E:E,Match($A573,'Player Raw Data'!$B:$B,0)+2),INDEX('Player Raw Data'!E:E,Match($A573,'Player Raw Data'!$B:$B,0))),"")</f>
        <v/>
      </c>
      <c r="E573" s="27" t="str">
        <f>IFERROR(__xludf.DUMMYFUNCTION("IFERROR(ARRAY_CONSTRAIN(SPLIT(INDEX('Daily Raw Data'!G:G,Match($A573,'Daily Raw Data'!$B:$B,0)),"":""),1,1),"""")"),"")</f>
        <v/>
      </c>
      <c r="F573" t="str">
        <f t="array" ref="F573">IFERROR(INDEX('Daily Raw Data'!H:H,Match($A573,'Daily Raw Data'!$B:$B,0)),"")</f>
        <v/>
      </c>
      <c r="G573" t="str">
        <f t="array" ref="G573">IFERROR(INDEX('Daily Raw Data'!I:I,Match($A573,'Daily Raw Data'!$B:$B,0)),"")</f>
        <v/>
      </c>
      <c r="H573" t="str">
        <f t="array" ref="H573">IFERROR(INDEX('Daily Raw Data'!N:N,Match($A573,'Daily Raw Data'!$B:$B,0)),"")</f>
        <v/>
      </c>
      <c r="I573" t="str">
        <f t="array" ref="I573">IFERROR(INDEX('Daily Raw Data'!O:O,Match($A573,'Daily Raw Data'!$B:$B,0)),"")</f>
        <v/>
      </c>
      <c r="J573" t="str">
        <f t="array" ref="J573">IFERROR(INDEX('Daily Raw Data'!S:S,Match($A573,'Daily Raw Data'!$B:$B,0)),"")</f>
        <v/>
      </c>
      <c r="K573" t="str">
        <f t="array" ref="K573">IFERROR(INDEX('Daily Raw Data'!T:T,Match($A573,'Daily Raw Data'!$B:$B,0)),"")</f>
        <v/>
      </c>
      <c r="L573" t="str">
        <f t="array" ref="L573">IFERROR(INDEX('Daily Raw Data'!U:U,Match($A573,'Daily Raw Data'!$B:$B,0)),"")</f>
        <v/>
      </c>
      <c r="M573" t="str">
        <f t="array" ref="M573">IFERROR(INDEX('Daily Raw Data'!V:V,Match($A573,'Daily Raw Data'!$B:$B,0)),"")</f>
        <v/>
      </c>
      <c r="N573" t="str">
        <f t="array" ref="N573">IFERROR(INDEX('Daily Raw Data'!W:W,Match($A573,'Daily Raw Data'!$B:$B,0)),"")</f>
        <v/>
      </c>
      <c r="O573" t="str">
        <f t="array" ref="O573">IFERROR(INDEX('Daily Raw Data'!Y:Y,Match($A573,'Daily Raw Data'!$B:$B,0)),"")</f>
        <v/>
      </c>
      <c r="P573" t="str">
        <f t="shared" si="1"/>
        <v/>
      </c>
      <c r="Q573" s="14" t="str">
        <f t="shared" si="2"/>
        <v/>
      </c>
      <c r="R573" s="15" t="str">
        <f>IFERROR(__xludf.DUMMYFUNCTION("IF($A573="""","""", IFERROR(PERCENTRANK.INC(FILTER(P:P,$E:$E&lt;&gt;""""),P573)*100,""""))"),"")</f>
        <v/>
      </c>
      <c r="S573" s="15" t="str">
        <f>IFERROR(__xludf.DUMMYFUNCTION("IF($A573="""","""",IFERROR(PERCENTRANK.INC(FILTER(Q:Q,$E:$E&lt;&gt;""""),Q573)*100,""""))"),"")</f>
        <v/>
      </c>
    </row>
    <row r="574">
      <c r="B574" t="str">
        <f t="array" ref="B574">IFERROR(INDEX('Player Raw Data'!C:C,Match($A574,'Player Raw Data'!$B:$B,0)),"")</f>
        <v/>
      </c>
      <c r="C574" t="str">
        <f t="array" ref="C574">IFERROR(INDEX('Player Raw Data'!D:D,Match($A574,'Player Raw Data'!$B:$B,0)),"")</f>
        <v/>
      </c>
      <c r="D574" t="str">
        <f t="array" ref="D574">IFERROR(IF(A574=A573, INDEX('Player Raw Data'!E:E,Match($A574,'Player Raw Data'!$B:$B,0)+2),INDEX('Player Raw Data'!E:E,Match($A574,'Player Raw Data'!$B:$B,0))),"")</f>
        <v/>
      </c>
      <c r="E574" s="27" t="str">
        <f>IFERROR(__xludf.DUMMYFUNCTION("IFERROR(ARRAY_CONSTRAIN(SPLIT(INDEX('Daily Raw Data'!G:G,Match($A574,'Daily Raw Data'!$B:$B,0)),"":""),1,1),"""")"),"")</f>
        <v/>
      </c>
      <c r="F574" t="str">
        <f t="array" ref="F574">IFERROR(INDEX('Daily Raw Data'!H:H,Match($A574,'Daily Raw Data'!$B:$B,0)),"")</f>
        <v/>
      </c>
      <c r="G574" t="str">
        <f t="array" ref="G574">IFERROR(INDEX('Daily Raw Data'!I:I,Match($A574,'Daily Raw Data'!$B:$B,0)),"")</f>
        <v/>
      </c>
      <c r="H574" t="str">
        <f t="array" ref="H574">IFERROR(INDEX('Daily Raw Data'!N:N,Match($A574,'Daily Raw Data'!$B:$B,0)),"")</f>
        <v/>
      </c>
      <c r="I574" t="str">
        <f t="array" ref="I574">IFERROR(INDEX('Daily Raw Data'!O:O,Match($A574,'Daily Raw Data'!$B:$B,0)),"")</f>
        <v/>
      </c>
      <c r="J574" t="str">
        <f t="array" ref="J574">IFERROR(INDEX('Daily Raw Data'!S:S,Match($A574,'Daily Raw Data'!$B:$B,0)),"")</f>
        <v/>
      </c>
      <c r="K574" t="str">
        <f t="array" ref="K574">IFERROR(INDEX('Daily Raw Data'!T:T,Match($A574,'Daily Raw Data'!$B:$B,0)),"")</f>
        <v/>
      </c>
      <c r="L574" t="str">
        <f t="array" ref="L574">IFERROR(INDEX('Daily Raw Data'!U:U,Match($A574,'Daily Raw Data'!$B:$B,0)),"")</f>
        <v/>
      </c>
      <c r="M574" t="str">
        <f t="array" ref="M574">IFERROR(INDEX('Daily Raw Data'!V:V,Match($A574,'Daily Raw Data'!$B:$B,0)),"")</f>
        <v/>
      </c>
      <c r="N574" t="str">
        <f t="array" ref="N574">IFERROR(INDEX('Daily Raw Data'!W:W,Match($A574,'Daily Raw Data'!$B:$B,0)),"")</f>
        <v/>
      </c>
      <c r="O574" t="str">
        <f t="array" ref="O574">IFERROR(INDEX('Daily Raw Data'!Y:Y,Match($A574,'Daily Raw Data'!$B:$B,0)),"")</f>
        <v/>
      </c>
      <c r="P574" t="str">
        <f t="shared" si="1"/>
        <v/>
      </c>
      <c r="Q574" s="14" t="str">
        <f t="shared" si="2"/>
        <v/>
      </c>
      <c r="R574" s="15" t="str">
        <f>IFERROR(__xludf.DUMMYFUNCTION("IF($A574="""","""", IFERROR(PERCENTRANK.INC(FILTER(P:P,$E:$E&lt;&gt;""""),P574)*100,""""))"),"")</f>
        <v/>
      </c>
      <c r="S574" s="15" t="str">
        <f>IFERROR(__xludf.DUMMYFUNCTION("IF($A574="""","""",IFERROR(PERCENTRANK.INC(FILTER(Q:Q,$E:$E&lt;&gt;""""),Q574)*100,""""))"),"")</f>
        <v/>
      </c>
    </row>
    <row r="575">
      <c r="B575" t="str">
        <f t="array" ref="B575">IFERROR(INDEX('Player Raw Data'!C:C,Match($A575,'Player Raw Data'!$B:$B,0)),"")</f>
        <v/>
      </c>
      <c r="C575" t="str">
        <f t="array" ref="C575">IFERROR(INDEX('Player Raw Data'!D:D,Match($A575,'Player Raw Data'!$B:$B,0)),"")</f>
        <v/>
      </c>
      <c r="D575" t="str">
        <f t="array" ref="D575">IFERROR(IF(A575=A574, INDEX('Player Raw Data'!E:E,Match($A575,'Player Raw Data'!$B:$B,0)+2),INDEX('Player Raw Data'!E:E,Match($A575,'Player Raw Data'!$B:$B,0))),"")</f>
        <v/>
      </c>
      <c r="E575" s="27" t="str">
        <f>IFERROR(__xludf.DUMMYFUNCTION("IFERROR(ARRAY_CONSTRAIN(SPLIT(INDEX('Daily Raw Data'!G:G,Match($A575,'Daily Raw Data'!$B:$B,0)),"":""),1,1),"""")"),"")</f>
        <v/>
      </c>
      <c r="F575" t="str">
        <f t="array" ref="F575">IFERROR(INDEX('Daily Raw Data'!H:H,Match($A575,'Daily Raw Data'!$B:$B,0)),"")</f>
        <v/>
      </c>
      <c r="G575" t="str">
        <f t="array" ref="G575">IFERROR(INDEX('Daily Raw Data'!I:I,Match($A575,'Daily Raw Data'!$B:$B,0)),"")</f>
        <v/>
      </c>
      <c r="H575" t="str">
        <f t="array" ref="H575">IFERROR(INDEX('Daily Raw Data'!N:N,Match($A575,'Daily Raw Data'!$B:$B,0)),"")</f>
        <v/>
      </c>
      <c r="I575" t="str">
        <f t="array" ref="I575">IFERROR(INDEX('Daily Raw Data'!O:O,Match($A575,'Daily Raw Data'!$B:$B,0)),"")</f>
        <v/>
      </c>
      <c r="J575" t="str">
        <f t="array" ref="J575">IFERROR(INDEX('Daily Raw Data'!S:S,Match($A575,'Daily Raw Data'!$B:$B,0)),"")</f>
        <v/>
      </c>
      <c r="K575" t="str">
        <f t="array" ref="K575">IFERROR(INDEX('Daily Raw Data'!T:T,Match($A575,'Daily Raw Data'!$B:$B,0)),"")</f>
        <v/>
      </c>
      <c r="L575" t="str">
        <f t="array" ref="L575">IFERROR(INDEX('Daily Raw Data'!U:U,Match($A575,'Daily Raw Data'!$B:$B,0)),"")</f>
        <v/>
      </c>
      <c r="M575" t="str">
        <f t="array" ref="M575">IFERROR(INDEX('Daily Raw Data'!V:V,Match($A575,'Daily Raw Data'!$B:$B,0)),"")</f>
        <v/>
      </c>
      <c r="N575" t="str">
        <f t="array" ref="N575">IFERROR(INDEX('Daily Raw Data'!W:W,Match($A575,'Daily Raw Data'!$B:$B,0)),"")</f>
        <v/>
      </c>
      <c r="O575" t="str">
        <f t="array" ref="O575">IFERROR(INDEX('Daily Raw Data'!Y:Y,Match($A575,'Daily Raw Data'!$B:$B,0)),"")</f>
        <v/>
      </c>
      <c r="P575" t="str">
        <f t="shared" si="1"/>
        <v/>
      </c>
      <c r="Q575" s="14" t="str">
        <f t="shared" si="2"/>
        <v/>
      </c>
      <c r="R575" s="15" t="str">
        <f>IFERROR(__xludf.DUMMYFUNCTION("IF($A575="""","""", IFERROR(PERCENTRANK.INC(FILTER(P:P,$E:$E&lt;&gt;""""),P575)*100,""""))"),"")</f>
        <v/>
      </c>
      <c r="S575" s="15" t="str">
        <f>IFERROR(__xludf.DUMMYFUNCTION("IF($A575="""","""",IFERROR(PERCENTRANK.INC(FILTER(Q:Q,$E:$E&lt;&gt;""""),Q575)*100,""""))"),"")</f>
        <v/>
      </c>
    </row>
    <row r="576">
      <c r="B576" t="str">
        <f t="array" ref="B576">IFERROR(INDEX('Player Raw Data'!C:C,Match($A576,'Player Raw Data'!$B:$B,0)),"")</f>
        <v/>
      </c>
      <c r="C576" t="str">
        <f t="array" ref="C576">IFERROR(INDEX('Player Raw Data'!D:D,Match($A576,'Player Raw Data'!$B:$B,0)),"")</f>
        <v/>
      </c>
      <c r="D576" t="str">
        <f t="array" ref="D576">IFERROR(IF(A576=A575, INDEX('Player Raw Data'!E:E,Match($A576,'Player Raw Data'!$B:$B,0)+2),INDEX('Player Raw Data'!E:E,Match($A576,'Player Raw Data'!$B:$B,0))),"")</f>
        <v/>
      </c>
      <c r="E576" s="27" t="str">
        <f>IFERROR(__xludf.DUMMYFUNCTION("IFERROR(ARRAY_CONSTRAIN(SPLIT(INDEX('Daily Raw Data'!G:G,Match($A576,'Daily Raw Data'!$B:$B,0)),"":""),1,1),"""")"),"")</f>
        <v/>
      </c>
      <c r="F576" t="str">
        <f t="array" ref="F576">IFERROR(INDEX('Daily Raw Data'!H:H,Match($A576,'Daily Raw Data'!$B:$B,0)),"")</f>
        <v/>
      </c>
      <c r="G576" t="str">
        <f t="array" ref="G576">IFERROR(INDEX('Daily Raw Data'!I:I,Match($A576,'Daily Raw Data'!$B:$B,0)),"")</f>
        <v/>
      </c>
      <c r="H576" t="str">
        <f t="array" ref="H576">IFERROR(INDEX('Daily Raw Data'!N:N,Match($A576,'Daily Raw Data'!$B:$B,0)),"")</f>
        <v/>
      </c>
      <c r="I576" t="str">
        <f t="array" ref="I576">IFERROR(INDEX('Daily Raw Data'!O:O,Match($A576,'Daily Raw Data'!$B:$B,0)),"")</f>
        <v/>
      </c>
      <c r="J576" t="str">
        <f t="array" ref="J576">IFERROR(INDEX('Daily Raw Data'!S:S,Match($A576,'Daily Raw Data'!$B:$B,0)),"")</f>
        <v/>
      </c>
      <c r="K576" t="str">
        <f t="array" ref="K576">IFERROR(INDEX('Daily Raw Data'!T:T,Match($A576,'Daily Raw Data'!$B:$B,0)),"")</f>
        <v/>
      </c>
      <c r="L576" t="str">
        <f t="array" ref="L576">IFERROR(INDEX('Daily Raw Data'!U:U,Match($A576,'Daily Raw Data'!$B:$B,0)),"")</f>
        <v/>
      </c>
      <c r="M576" t="str">
        <f t="array" ref="M576">IFERROR(INDEX('Daily Raw Data'!V:V,Match($A576,'Daily Raw Data'!$B:$B,0)),"")</f>
        <v/>
      </c>
      <c r="N576" t="str">
        <f t="array" ref="N576">IFERROR(INDEX('Daily Raw Data'!W:W,Match($A576,'Daily Raw Data'!$B:$B,0)),"")</f>
        <v/>
      </c>
      <c r="O576" t="str">
        <f t="array" ref="O576">IFERROR(INDEX('Daily Raw Data'!Y:Y,Match($A576,'Daily Raw Data'!$B:$B,0)),"")</f>
        <v/>
      </c>
      <c r="P576" t="str">
        <f t="shared" si="1"/>
        <v/>
      </c>
      <c r="Q576" s="14" t="str">
        <f t="shared" si="2"/>
        <v/>
      </c>
      <c r="R576" s="15" t="str">
        <f>IFERROR(__xludf.DUMMYFUNCTION("IF($A576="""","""", IFERROR(PERCENTRANK.INC(FILTER(P:P,$E:$E&lt;&gt;""""),P576)*100,""""))"),"")</f>
        <v/>
      </c>
      <c r="S576" s="15" t="str">
        <f>IFERROR(__xludf.DUMMYFUNCTION("IF($A576="""","""",IFERROR(PERCENTRANK.INC(FILTER(Q:Q,$E:$E&lt;&gt;""""),Q576)*100,""""))"),"")</f>
        <v/>
      </c>
    </row>
    <row r="577">
      <c r="B577" t="str">
        <f t="array" ref="B577">IFERROR(INDEX('Player Raw Data'!C:C,Match($A577,'Player Raw Data'!$B:$B,0)),"")</f>
        <v/>
      </c>
      <c r="C577" t="str">
        <f t="array" ref="C577">IFERROR(INDEX('Player Raw Data'!D:D,Match($A577,'Player Raw Data'!$B:$B,0)),"")</f>
        <v/>
      </c>
      <c r="D577" t="str">
        <f t="array" ref="D577">IFERROR(IF(A577=A576, INDEX('Player Raw Data'!E:E,Match($A577,'Player Raw Data'!$B:$B,0)+2),INDEX('Player Raw Data'!E:E,Match($A577,'Player Raw Data'!$B:$B,0))),"")</f>
        <v/>
      </c>
      <c r="E577" s="27" t="str">
        <f>IFERROR(__xludf.DUMMYFUNCTION("IFERROR(ARRAY_CONSTRAIN(SPLIT(INDEX('Daily Raw Data'!G:G,Match($A577,'Daily Raw Data'!$B:$B,0)),"":""),1,1),"""")"),"")</f>
        <v/>
      </c>
      <c r="F577" t="str">
        <f t="array" ref="F577">IFERROR(INDEX('Daily Raw Data'!H:H,Match($A577,'Daily Raw Data'!$B:$B,0)),"")</f>
        <v/>
      </c>
      <c r="G577" t="str">
        <f t="array" ref="G577">IFERROR(INDEX('Daily Raw Data'!I:I,Match($A577,'Daily Raw Data'!$B:$B,0)),"")</f>
        <v/>
      </c>
      <c r="H577" t="str">
        <f t="array" ref="H577">IFERROR(INDEX('Daily Raw Data'!N:N,Match($A577,'Daily Raw Data'!$B:$B,0)),"")</f>
        <v/>
      </c>
      <c r="I577" t="str">
        <f t="array" ref="I577">IFERROR(INDEX('Daily Raw Data'!O:O,Match($A577,'Daily Raw Data'!$B:$B,0)),"")</f>
        <v/>
      </c>
      <c r="J577" t="str">
        <f t="array" ref="J577">IFERROR(INDEX('Daily Raw Data'!S:S,Match($A577,'Daily Raw Data'!$B:$B,0)),"")</f>
        <v/>
      </c>
      <c r="K577" t="str">
        <f t="array" ref="K577">IFERROR(INDEX('Daily Raw Data'!T:T,Match($A577,'Daily Raw Data'!$B:$B,0)),"")</f>
        <v/>
      </c>
      <c r="L577" t="str">
        <f t="array" ref="L577">IFERROR(INDEX('Daily Raw Data'!U:U,Match($A577,'Daily Raw Data'!$B:$B,0)),"")</f>
        <v/>
      </c>
      <c r="M577" t="str">
        <f t="array" ref="M577">IFERROR(INDEX('Daily Raw Data'!V:V,Match($A577,'Daily Raw Data'!$B:$B,0)),"")</f>
        <v/>
      </c>
      <c r="N577" t="str">
        <f t="array" ref="N577">IFERROR(INDEX('Daily Raw Data'!W:W,Match($A577,'Daily Raw Data'!$B:$B,0)),"")</f>
        <v/>
      </c>
      <c r="O577" t="str">
        <f t="array" ref="O577">IFERROR(INDEX('Daily Raw Data'!Y:Y,Match($A577,'Daily Raw Data'!$B:$B,0)),"")</f>
        <v/>
      </c>
      <c r="P577" t="str">
        <f t="shared" si="1"/>
        <v/>
      </c>
      <c r="Q577" s="14" t="str">
        <f t="shared" si="2"/>
        <v/>
      </c>
      <c r="R577" s="15" t="str">
        <f>IFERROR(__xludf.DUMMYFUNCTION("IF($A577="""","""", IFERROR(PERCENTRANK.INC(FILTER(P:P,$E:$E&lt;&gt;""""),P577)*100,""""))"),"")</f>
        <v/>
      </c>
      <c r="S577" s="15" t="str">
        <f>IFERROR(__xludf.DUMMYFUNCTION("IF($A577="""","""",IFERROR(PERCENTRANK.INC(FILTER(Q:Q,$E:$E&lt;&gt;""""),Q577)*100,""""))"),"")</f>
        <v/>
      </c>
    </row>
    <row r="578">
      <c r="B578" t="str">
        <f t="array" ref="B578">IFERROR(INDEX('Player Raw Data'!C:C,Match($A578,'Player Raw Data'!$B:$B,0)),"")</f>
        <v/>
      </c>
      <c r="C578" t="str">
        <f t="array" ref="C578">IFERROR(INDEX('Player Raw Data'!D:D,Match($A578,'Player Raw Data'!$B:$B,0)),"")</f>
        <v/>
      </c>
      <c r="D578" t="str">
        <f t="array" ref="D578">IFERROR(IF(A578=A577, INDEX('Player Raw Data'!E:E,Match($A578,'Player Raw Data'!$B:$B,0)+2),INDEX('Player Raw Data'!E:E,Match($A578,'Player Raw Data'!$B:$B,0))),"")</f>
        <v/>
      </c>
      <c r="E578" s="27" t="str">
        <f>IFERROR(__xludf.DUMMYFUNCTION("IFERROR(ARRAY_CONSTRAIN(SPLIT(INDEX('Daily Raw Data'!G:G,Match($A578,'Daily Raw Data'!$B:$B,0)),"":""),1,1),"""")"),"")</f>
        <v/>
      </c>
      <c r="F578" t="str">
        <f t="array" ref="F578">IFERROR(INDEX('Daily Raw Data'!H:H,Match($A578,'Daily Raw Data'!$B:$B,0)),"")</f>
        <v/>
      </c>
      <c r="G578" t="str">
        <f t="array" ref="G578">IFERROR(INDEX('Daily Raw Data'!I:I,Match($A578,'Daily Raw Data'!$B:$B,0)),"")</f>
        <v/>
      </c>
      <c r="H578" t="str">
        <f t="array" ref="H578">IFERROR(INDEX('Daily Raw Data'!N:N,Match($A578,'Daily Raw Data'!$B:$B,0)),"")</f>
        <v/>
      </c>
      <c r="I578" t="str">
        <f t="array" ref="I578">IFERROR(INDEX('Daily Raw Data'!O:O,Match($A578,'Daily Raw Data'!$B:$B,0)),"")</f>
        <v/>
      </c>
      <c r="J578" t="str">
        <f t="array" ref="J578">IFERROR(INDEX('Daily Raw Data'!S:S,Match($A578,'Daily Raw Data'!$B:$B,0)),"")</f>
        <v/>
      </c>
      <c r="K578" t="str">
        <f t="array" ref="K578">IFERROR(INDEX('Daily Raw Data'!T:T,Match($A578,'Daily Raw Data'!$B:$B,0)),"")</f>
        <v/>
      </c>
      <c r="L578" t="str">
        <f t="array" ref="L578">IFERROR(INDEX('Daily Raw Data'!U:U,Match($A578,'Daily Raw Data'!$B:$B,0)),"")</f>
        <v/>
      </c>
      <c r="M578" t="str">
        <f t="array" ref="M578">IFERROR(INDEX('Daily Raw Data'!V:V,Match($A578,'Daily Raw Data'!$B:$B,0)),"")</f>
        <v/>
      </c>
      <c r="N578" t="str">
        <f t="array" ref="N578">IFERROR(INDEX('Daily Raw Data'!W:W,Match($A578,'Daily Raw Data'!$B:$B,0)),"")</f>
        <v/>
      </c>
      <c r="O578" t="str">
        <f t="array" ref="O578">IFERROR(INDEX('Daily Raw Data'!Y:Y,Match($A578,'Daily Raw Data'!$B:$B,0)),"")</f>
        <v/>
      </c>
      <c r="P578" t="str">
        <f t="shared" si="1"/>
        <v/>
      </c>
      <c r="Q578" s="14" t="str">
        <f t="shared" si="2"/>
        <v/>
      </c>
      <c r="R578" s="15" t="str">
        <f>IFERROR(__xludf.DUMMYFUNCTION("IF($A578="""","""", IFERROR(PERCENTRANK.INC(FILTER(P:P,$E:$E&lt;&gt;""""),P578)*100,""""))"),"")</f>
        <v/>
      </c>
      <c r="S578" s="15" t="str">
        <f>IFERROR(__xludf.DUMMYFUNCTION("IF($A578="""","""",IFERROR(PERCENTRANK.INC(FILTER(Q:Q,$E:$E&lt;&gt;""""),Q578)*100,""""))"),"")</f>
        <v/>
      </c>
    </row>
    <row r="579">
      <c r="B579" t="str">
        <f t="array" ref="B579">IFERROR(INDEX('Player Raw Data'!C:C,Match($A579,'Player Raw Data'!$B:$B,0)),"")</f>
        <v/>
      </c>
      <c r="C579" t="str">
        <f t="array" ref="C579">IFERROR(INDEX('Player Raw Data'!D:D,Match($A579,'Player Raw Data'!$B:$B,0)),"")</f>
        <v/>
      </c>
      <c r="D579" t="str">
        <f t="array" ref="D579">IFERROR(IF(A579=A578, INDEX('Player Raw Data'!E:E,Match($A579,'Player Raw Data'!$B:$B,0)+2),INDEX('Player Raw Data'!E:E,Match($A579,'Player Raw Data'!$B:$B,0))),"")</f>
        <v/>
      </c>
      <c r="E579" s="27" t="str">
        <f>IFERROR(__xludf.DUMMYFUNCTION("IFERROR(ARRAY_CONSTRAIN(SPLIT(INDEX('Daily Raw Data'!G:G,Match($A579,'Daily Raw Data'!$B:$B,0)),"":""),1,1),"""")"),"")</f>
        <v/>
      </c>
      <c r="F579" t="str">
        <f t="array" ref="F579">IFERROR(INDEX('Daily Raw Data'!H:H,Match($A579,'Daily Raw Data'!$B:$B,0)),"")</f>
        <v/>
      </c>
      <c r="G579" t="str">
        <f t="array" ref="G579">IFERROR(INDEX('Daily Raw Data'!I:I,Match($A579,'Daily Raw Data'!$B:$B,0)),"")</f>
        <v/>
      </c>
      <c r="H579" t="str">
        <f t="array" ref="H579">IFERROR(INDEX('Daily Raw Data'!N:N,Match($A579,'Daily Raw Data'!$B:$B,0)),"")</f>
        <v/>
      </c>
      <c r="I579" t="str">
        <f t="array" ref="I579">IFERROR(INDEX('Daily Raw Data'!O:O,Match($A579,'Daily Raw Data'!$B:$B,0)),"")</f>
        <v/>
      </c>
      <c r="J579" t="str">
        <f t="array" ref="J579">IFERROR(INDEX('Daily Raw Data'!S:S,Match($A579,'Daily Raw Data'!$B:$B,0)),"")</f>
        <v/>
      </c>
      <c r="K579" t="str">
        <f t="array" ref="K579">IFERROR(INDEX('Daily Raw Data'!T:T,Match($A579,'Daily Raw Data'!$B:$B,0)),"")</f>
        <v/>
      </c>
      <c r="L579" t="str">
        <f t="array" ref="L579">IFERROR(INDEX('Daily Raw Data'!U:U,Match($A579,'Daily Raw Data'!$B:$B,0)),"")</f>
        <v/>
      </c>
      <c r="M579" t="str">
        <f t="array" ref="M579">IFERROR(INDEX('Daily Raw Data'!V:V,Match($A579,'Daily Raw Data'!$B:$B,0)),"")</f>
        <v/>
      </c>
      <c r="N579" t="str">
        <f t="array" ref="N579">IFERROR(INDEX('Daily Raw Data'!W:W,Match($A579,'Daily Raw Data'!$B:$B,0)),"")</f>
        <v/>
      </c>
      <c r="O579" t="str">
        <f t="array" ref="O579">IFERROR(INDEX('Daily Raw Data'!Y:Y,Match($A579,'Daily Raw Data'!$B:$B,0)),"")</f>
        <v/>
      </c>
      <c r="P579" t="str">
        <f t="shared" si="1"/>
        <v/>
      </c>
      <c r="Q579" s="14" t="str">
        <f t="shared" si="2"/>
        <v/>
      </c>
      <c r="R579" s="15" t="str">
        <f>IFERROR(__xludf.DUMMYFUNCTION("IF($A579="""","""", IFERROR(PERCENTRANK.INC(FILTER(P:P,$E:$E&lt;&gt;""""),P579)*100,""""))"),"")</f>
        <v/>
      </c>
      <c r="S579" s="15" t="str">
        <f>IFERROR(__xludf.DUMMYFUNCTION("IF($A579="""","""",IFERROR(PERCENTRANK.INC(FILTER(Q:Q,$E:$E&lt;&gt;""""),Q579)*100,""""))"),"")</f>
        <v/>
      </c>
    </row>
    <row r="580">
      <c r="B580" t="str">
        <f t="array" ref="B580">IFERROR(INDEX('Player Raw Data'!C:C,Match($A580,'Player Raw Data'!$B:$B,0)),"")</f>
        <v/>
      </c>
      <c r="C580" t="str">
        <f t="array" ref="C580">IFERROR(INDEX('Player Raw Data'!D:D,Match($A580,'Player Raw Data'!$B:$B,0)),"")</f>
        <v/>
      </c>
      <c r="D580" t="str">
        <f t="array" ref="D580">IFERROR(IF(A580=A579, INDEX('Player Raw Data'!E:E,Match($A580,'Player Raw Data'!$B:$B,0)+2),INDEX('Player Raw Data'!E:E,Match($A580,'Player Raw Data'!$B:$B,0))),"")</f>
        <v/>
      </c>
      <c r="E580" s="27" t="str">
        <f>IFERROR(__xludf.DUMMYFUNCTION("IFERROR(ARRAY_CONSTRAIN(SPLIT(INDEX('Daily Raw Data'!G:G,Match($A580,'Daily Raw Data'!$B:$B,0)),"":""),1,1),"""")"),"")</f>
        <v/>
      </c>
      <c r="F580" t="str">
        <f t="array" ref="F580">IFERROR(INDEX('Daily Raw Data'!H:H,Match($A580,'Daily Raw Data'!$B:$B,0)),"")</f>
        <v/>
      </c>
      <c r="G580" t="str">
        <f t="array" ref="G580">IFERROR(INDEX('Daily Raw Data'!I:I,Match($A580,'Daily Raw Data'!$B:$B,0)),"")</f>
        <v/>
      </c>
      <c r="H580" t="str">
        <f t="array" ref="H580">IFERROR(INDEX('Daily Raw Data'!N:N,Match($A580,'Daily Raw Data'!$B:$B,0)),"")</f>
        <v/>
      </c>
      <c r="I580" t="str">
        <f t="array" ref="I580">IFERROR(INDEX('Daily Raw Data'!O:O,Match($A580,'Daily Raw Data'!$B:$B,0)),"")</f>
        <v/>
      </c>
      <c r="J580" t="str">
        <f t="array" ref="J580">IFERROR(INDEX('Daily Raw Data'!S:S,Match($A580,'Daily Raw Data'!$B:$B,0)),"")</f>
        <v/>
      </c>
      <c r="K580" t="str">
        <f t="array" ref="K580">IFERROR(INDEX('Daily Raw Data'!T:T,Match($A580,'Daily Raw Data'!$B:$B,0)),"")</f>
        <v/>
      </c>
      <c r="L580" t="str">
        <f t="array" ref="L580">IFERROR(INDEX('Daily Raw Data'!U:U,Match($A580,'Daily Raw Data'!$B:$B,0)),"")</f>
        <v/>
      </c>
      <c r="M580" t="str">
        <f t="array" ref="M580">IFERROR(INDEX('Daily Raw Data'!V:V,Match($A580,'Daily Raw Data'!$B:$B,0)),"")</f>
        <v/>
      </c>
      <c r="N580" t="str">
        <f t="array" ref="N580">IFERROR(INDEX('Daily Raw Data'!W:W,Match($A580,'Daily Raw Data'!$B:$B,0)),"")</f>
        <v/>
      </c>
      <c r="O580" t="str">
        <f t="array" ref="O580">IFERROR(INDEX('Daily Raw Data'!Y:Y,Match($A580,'Daily Raw Data'!$B:$B,0)),"")</f>
        <v/>
      </c>
      <c r="P580" t="str">
        <f t="shared" si="1"/>
        <v/>
      </c>
      <c r="Q580" s="14" t="str">
        <f t="shared" si="2"/>
        <v/>
      </c>
      <c r="R580" s="15" t="str">
        <f>IFERROR(__xludf.DUMMYFUNCTION("IF($A580="""","""", IFERROR(PERCENTRANK.INC(FILTER(P:P,$E:$E&lt;&gt;""""),P580)*100,""""))"),"")</f>
        <v/>
      </c>
      <c r="S580" s="15" t="str">
        <f>IFERROR(__xludf.DUMMYFUNCTION("IF($A580="""","""",IFERROR(PERCENTRANK.INC(FILTER(Q:Q,$E:$E&lt;&gt;""""),Q580)*100,""""))"),"")</f>
        <v/>
      </c>
    </row>
    <row r="581">
      <c r="B581" t="str">
        <f t="array" ref="B581">IFERROR(INDEX('Player Raw Data'!C:C,Match($A581,'Player Raw Data'!$B:$B,0)),"")</f>
        <v/>
      </c>
      <c r="C581" t="str">
        <f t="array" ref="C581">IFERROR(INDEX('Player Raw Data'!D:D,Match($A581,'Player Raw Data'!$B:$B,0)),"")</f>
        <v/>
      </c>
      <c r="D581" t="str">
        <f t="array" ref="D581">IFERROR(IF(A581=A580, INDEX('Player Raw Data'!E:E,Match($A581,'Player Raw Data'!$B:$B,0)+2),INDEX('Player Raw Data'!E:E,Match($A581,'Player Raw Data'!$B:$B,0))),"")</f>
        <v/>
      </c>
      <c r="E581" s="27" t="str">
        <f>IFERROR(__xludf.DUMMYFUNCTION("IFERROR(ARRAY_CONSTRAIN(SPLIT(INDEX('Daily Raw Data'!G:G,Match($A581,'Daily Raw Data'!$B:$B,0)),"":""),1,1),"""")"),"")</f>
        <v/>
      </c>
      <c r="F581" t="str">
        <f t="array" ref="F581">IFERROR(INDEX('Daily Raw Data'!H:H,Match($A581,'Daily Raw Data'!$B:$B,0)),"")</f>
        <v/>
      </c>
      <c r="G581" t="str">
        <f t="array" ref="G581">IFERROR(INDEX('Daily Raw Data'!I:I,Match($A581,'Daily Raw Data'!$B:$B,0)),"")</f>
        <v/>
      </c>
      <c r="H581" t="str">
        <f t="array" ref="H581">IFERROR(INDEX('Daily Raw Data'!N:N,Match($A581,'Daily Raw Data'!$B:$B,0)),"")</f>
        <v/>
      </c>
      <c r="I581" t="str">
        <f t="array" ref="I581">IFERROR(INDEX('Daily Raw Data'!O:O,Match($A581,'Daily Raw Data'!$B:$B,0)),"")</f>
        <v/>
      </c>
      <c r="J581" t="str">
        <f t="array" ref="J581">IFERROR(INDEX('Daily Raw Data'!S:S,Match($A581,'Daily Raw Data'!$B:$B,0)),"")</f>
        <v/>
      </c>
      <c r="K581" t="str">
        <f t="array" ref="K581">IFERROR(INDEX('Daily Raw Data'!T:T,Match($A581,'Daily Raw Data'!$B:$B,0)),"")</f>
        <v/>
      </c>
      <c r="L581" t="str">
        <f t="array" ref="L581">IFERROR(INDEX('Daily Raw Data'!U:U,Match($A581,'Daily Raw Data'!$B:$B,0)),"")</f>
        <v/>
      </c>
      <c r="M581" t="str">
        <f t="array" ref="M581">IFERROR(INDEX('Daily Raw Data'!V:V,Match($A581,'Daily Raw Data'!$B:$B,0)),"")</f>
        <v/>
      </c>
      <c r="N581" t="str">
        <f t="array" ref="N581">IFERROR(INDEX('Daily Raw Data'!W:W,Match($A581,'Daily Raw Data'!$B:$B,0)),"")</f>
        <v/>
      </c>
      <c r="O581" t="str">
        <f t="array" ref="O581">IFERROR(INDEX('Daily Raw Data'!Y:Y,Match($A581,'Daily Raw Data'!$B:$B,0)),"")</f>
        <v/>
      </c>
      <c r="P581" t="str">
        <f t="shared" si="1"/>
        <v/>
      </c>
      <c r="Q581" s="14" t="str">
        <f t="shared" si="2"/>
        <v/>
      </c>
      <c r="R581" s="15" t="str">
        <f>IFERROR(__xludf.DUMMYFUNCTION("IF($A581="""","""", IFERROR(PERCENTRANK.INC(FILTER(P:P,$E:$E&lt;&gt;""""),P581)*100,""""))"),"")</f>
        <v/>
      </c>
      <c r="S581" s="15" t="str">
        <f>IFERROR(__xludf.DUMMYFUNCTION("IF($A581="""","""",IFERROR(PERCENTRANK.INC(FILTER(Q:Q,$E:$E&lt;&gt;""""),Q581)*100,""""))"),"")</f>
        <v/>
      </c>
    </row>
    <row r="582">
      <c r="B582" t="str">
        <f t="array" ref="B582">IFERROR(INDEX('Player Raw Data'!C:C,Match($A582,'Player Raw Data'!$B:$B,0)),"")</f>
        <v/>
      </c>
      <c r="C582" t="str">
        <f t="array" ref="C582">IFERROR(INDEX('Player Raw Data'!D:D,Match($A582,'Player Raw Data'!$B:$B,0)),"")</f>
        <v/>
      </c>
      <c r="D582" t="str">
        <f t="array" ref="D582">IFERROR(IF(A582=A581, INDEX('Player Raw Data'!E:E,Match($A582,'Player Raw Data'!$B:$B,0)+2),INDEX('Player Raw Data'!E:E,Match($A582,'Player Raw Data'!$B:$B,0))),"")</f>
        <v/>
      </c>
      <c r="E582" s="27" t="str">
        <f>IFERROR(__xludf.DUMMYFUNCTION("IFERROR(ARRAY_CONSTRAIN(SPLIT(INDEX('Daily Raw Data'!G:G,Match($A582,'Daily Raw Data'!$B:$B,0)),"":""),1,1),"""")"),"")</f>
        <v/>
      </c>
      <c r="F582" t="str">
        <f t="array" ref="F582">IFERROR(INDEX('Daily Raw Data'!H:H,Match($A582,'Daily Raw Data'!$B:$B,0)),"")</f>
        <v/>
      </c>
      <c r="G582" t="str">
        <f t="array" ref="G582">IFERROR(INDEX('Daily Raw Data'!I:I,Match($A582,'Daily Raw Data'!$B:$B,0)),"")</f>
        <v/>
      </c>
      <c r="H582" t="str">
        <f t="array" ref="H582">IFERROR(INDEX('Daily Raw Data'!N:N,Match($A582,'Daily Raw Data'!$B:$B,0)),"")</f>
        <v/>
      </c>
      <c r="I582" t="str">
        <f t="array" ref="I582">IFERROR(INDEX('Daily Raw Data'!O:O,Match($A582,'Daily Raw Data'!$B:$B,0)),"")</f>
        <v/>
      </c>
      <c r="J582" t="str">
        <f t="array" ref="J582">IFERROR(INDEX('Daily Raw Data'!S:S,Match($A582,'Daily Raw Data'!$B:$B,0)),"")</f>
        <v/>
      </c>
      <c r="K582" t="str">
        <f t="array" ref="K582">IFERROR(INDEX('Daily Raw Data'!T:T,Match($A582,'Daily Raw Data'!$B:$B,0)),"")</f>
        <v/>
      </c>
      <c r="L582" t="str">
        <f t="array" ref="L582">IFERROR(INDEX('Daily Raw Data'!U:U,Match($A582,'Daily Raw Data'!$B:$B,0)),"")</f>
        <v/>
      </c>
      <c r="M582" t="str">
        <f t="array" ref="M582">IFERROR(INDEX('Daily Raw Data'!V:V,Match($A582,'Daily Raw Data'!$B:$B,0)),"")</f>
        <v/>
      </c>
      <c r="N582" t="str">
        <f t="array" ref="N582">IFERROR(INDEX('Daily Raw Data'!W:W,Match($A582,'Daily Raw Data'!$B:$B,0)),"")</f>
        <v/>
      </c>
      <c r="O582" t="str">
        <f t="array" ref="O582">IFERROR(INDEX('Daily Raw Data'!Y:Y,Match($A582,'Daily Raw Data'!$B:$B,0)),"")</f>
        <v/>
      </c>
      <c r="P582" t="str">
        <f t="shared" si="1"/>
        <v/>
      </c>
      <c r="Q582" s="14" t="str">
        <f t="shared" si="2"/>
        <v/>
      </c>
      <c r="R582" s="15" t="str">
        <f>IFERROR(__xludf.DUMMYFUNCTION("IF($A582="""","""", IFERROR(PERCENTRANK.INC(FILTER(P:P,$E:$E&lt;&gt;""""),P582)*100,""""))"),"")</f>
        <v/>
      </c>
      <c r="S582" s="15" t="str">
        <f>IFERROR(__xludf.DUMMYFUNCTION("IF($A582="""","""",IFERROR(PERCENTRANK.INC(FILTER(Q:Q,$E:$E&lt;&gt;""""),Q582)*100,""""))"),"")</f>
        <v/>
      </c>
    </row>
    <row r="583">
      <c r="B583" t="str">
        <f t="array" ref="B583">IFERROR(INDEX('Player Raw Data'!C:C,Match($A583,'Player Raw Data'!$B:$B,0)),"")</f>
        <v/>
      </c>
      <c r="C583" t="str">
        <f t="array" ref="C583">IFERROR(INDEX('Player Raw Data'!D:D,Match($A583,'Player Raw Data'!$B:$B,0)),"")</f>
        <v/>
      </c>
      <c r="D583" t="str">
        <f t="array" ref="D583">IFERROR(IF(A583=A582, INDEX('Player Raw Data'!E:E,Match($A583,'Player Raw Data'!$B:$B,0)+2),INDEX('Player Raw Data'!E:E,Match($A583,'Player Raw Data'!$B:$B,0))),"")</f>
        <v/>
      </c>
      <c r="E583" s="27" t="str">
        <f>IFERROR(__xludf.DUMMYFUNCTION("IFERROR(ARRAY_CONSTRAIN(SPLIT(INDEX('Daily Raw Data'!G:G,Match($A583,'Daily Raw Data'!$B:$B,0)),"":""),1,1),"""")"),"")</f>
        <v/>
      </c>
      <c r="F583" t="str">
        <f t="array" ref="F583">IFERROR(INDEX('Daily Raw Data'!H:H,Match($A583,'Daily Raw Data'!$B:$B,0)),"")</f>
        <v/>
      </c>
      <c r="G583" t="str">
        <f t="array" ref="G583">IFERROR(INDEX('Daily Raw Data'!I:I,Match($A583,'Daily Raw Data'!$B:$B,0)),"")</f>
        <v/>
      </c>
      <c r="H583" t="str">
        <f t="array" ref="H583">IFERROR(INDEX('Daily Raw Data'!N:N,Match($A583,'Daily Raw Data'!$B:$B,0)),"")</f>
        <v/>
      </c>
      <c r="I583" t="str">
        <f t="array" ref="I583">IFERROR(INDEX('Daily Raw Data'!O:O,Match($A583,'Daily Raw Data'!$B:$B,0)),"")</f>
        <v/>
      </c>
      <c r="J583" t="str">
        <f t="array" ref="J583">IFERROR(INDEX('Daily Raw Data'!S:S,Match($A583,'Daily Raw Data'!$B:$B,0)),"")</f>
        <v/>
      </c>
      <c r="K583" t="str">
        <f t="array" ref="K583">IFERROR(INDEX('Daily Raw Data'!T:T,Match($A583,'Daily Raw Data'!$B:$B,0)),"")</f>
        <v/>
      </c>
      <c r="L583" t="str">
        <f t="array" ref="L583">IFERROR(INDEX('Daily Raw Data'!U:U,Match($A583,'Daily Raw Data'!$B:$B,0)),"")</f>
        <v/>
      </c>
      <c r="M583" t="str">
        <f t="array" ref="M583">IFERROR(INDEX('Daily Raw Data'!V:V,Match($A583,'Daily Raw Data'!$B:$B,0)),"")</f>
        <v/>
      </c>
      <c r="N583" t="str">
        <f t="array" ref="N583">IFERROR(INDEX('Daily Raw Data'!W:W,Match($A583,'Daily Raw Data'!$B:$B,0)),"")</f>
        <v/>
      </c>
      <c r="O583" t="str">
        <f t="array" ref="O583">IFERROR(INDEX('Daily Raw Data'!Y:Y,Match($A583,'Daily Raw Data'!$B:$B,0)),"")</f>
        <v/>
      </c>
      <c r="P583" t="str">
        <f t="shared" si="1"/>
        <v/>
      </c>
      <c r="Q583" s="14" t="str">
        <f t="shared" si="2"/>
        <v/>
      </c>
      <c r="R583" s="15" t="str">
        <f>IFERROR(__xludf.DUMMYFUNCTION("IF($A583="""","""", IFERROR(PERCENTRANK.INC(FILTER(P:P,$E:$E&lt;&gt;""""),P583)*100,""""))"),"")</f>
        <v/>
      </c>
      <c r="S583" s="15" t="str">
        <f>IFERROR(__xludf.DUMMYFUNCTION("IF($A583="""","""",IFERROR(PERCENTRANK.INC(FILTER(Q:Q,$E:$E&lt;&gt;""""),Q583)*100,""""))"),"")</f>
        <v/>
      </c>
    </row>
    <row r="584">
      <c r="B584" t="str">
        <f t="array" ref="B584">IFERROR(INDEX('Player Raw Data'!C:C,Match($A584,'Player Raw Data'!$B:$B,0)),"")</f>
        <v/>
      </c>
      <c r="C584" t="str">
        <f t="array" ref="C584">IFERROR(INDEX('Player Raw Data'!D:D,Match($A584,'Player Raw Data'!$B:$B,0)),"")</f>
        <v/>
      </c>
      <c r="D584" t="str">
        <f t="array" ref="D584">IFERROR(IF(A584=A583, INDEX('Player Raw Data'!E:E,Match($A584,'Player Raw Data'!$B:$B,0)+2),INDEX('Player Raw Data'!E:E,Match($A584,'Player Raw Data'!$B:$B,0))),"")</f>
        <v/>
      </c>
      <c r="E584" s="27" t="str">
        <f>IFERROR(__xludf.DUMMYFUNCTION("IFERROR(ARRAY_CONSTRAIN(SPLIT(INDEX('Daily Raw Data'!G:G,Match($A584,'Daily Raw Data'!$B:$B,0)),"":""),1,1),"""")"),"")</f>
        <v/>
      </c>
      <c r="F584" t="str">
        <f t="array" ref="F584">IFERROR(INDEX('Daily Raw Data'!H:H,Match($A584,'Daily Raw Data'!$B:$B,0)),"")</f>
        <v/>
      </c>
      <c r="G584" t="str">
        <f t="array" ref="G584">IFERROR(INDEX('Daily Raw Data'!I:I,Match($A584,'Daily Raw Data'!$B:$B,0)),"")</f>
        <v/>
      </c>
      <c r="H584" t="str">
        <f t="array" ref="H584">IFERROR(INDEX('Daily Raw Data'!N:N,Match($A584,'Daily Raw Data'!$B:$B,0)),"")</f>
        <v/>
      </c>
      <c r="I584" t="str">
        <f t="array" ref="I584">IFERROR(INDEX('Daily Raw Data'!O:O,Match($A584,'Daily Raw Data'!$B:$B,0)),"")</f>
        <v/>
      </c>
      <c r="J584" t="str">
        <f t="array" ref="J584">IFERROR(INDEX('Daily Raw Data'!S:S,Match($A584,'Daily Raw Data'!$B:$B,0)),"")</f>
        <v/>
      </c>
      <c r="K584" t="str">
        <f t="array" ref="K584">IFERROR(INDEX('Daily Raw Data'!T:T,Match($A584,'Daily Raw Data'!$B:$B,0)),"")</f>
        <v/>
      </c>
      <c r="L584" t="str">
        <f t="array" ref="L584">IFERROR(INDEX('Daily Raw Data'!U:U,Match($A584,'Daily Raw Data'!$B:$B,0)),"")</f>
        <v/>
      </c>
      <c r="M584" t="str">
        <f t="array" ref="M584">IFERROR(INDEX('Daily Raw Data'!V:V,Match($A584,'Daily Raw Data'!$B:$B,0)),"")</f>
        <v/>
      </c>
      <c r="N584" t="str">
        <f t="array" ref="N584">IFERROR(INDEX('Daily Raw Data'!W:W,Match($A584,'Daily Raw Data'!$B:$B,0)),"")</f>
        <v/>
      </c>
      <c r="O584" t="str">
        <f t="array" ref="O584">IFERROR(INDEX('Daily Raw Data'!Y:Y,Match($A584,'Daily Raw Data'!$B:$B,0)),"")</f>
        <v/>
      </c>
      <c r="P584" t="str">
        <f t="shared" si="1"/>
        <v/>
      </c>
      <c r="Q584" s="14" t="str">
        <f t="shared" si="2"/>
        <v/>
      </c>
      <c r="R584" s="15" t="str">
        <f>IFERROR(__xludf.DUMMYFUNCTION("IF($A584="""","""", IFERROR(PERCENTRANK.INC(FILTER(P:P,$E:$E&lt;&gt;""""),P584)*100,""""))"),"")</f>
        <v/>
      </c>
      <c r="S584" s="15" t="str">
        <f>IFERROR(__xludf.DUMMYFUNCTION("IF($A584="""","""",IFERROR(PERCENTRANK.INC(FILTER(Q:Q,$E:$E&lt;&gt;""""),Q584)*100,""""))"),"")</f>
        <v/>
      </c>
    </row>
    <row r="585">
      <c r="B585" t="str">
        <f t="array" ref="B585">IFERROR(INDEX('Player Raw Data'!C:C,Match($A585,'Player Raw Data'!$B:$B,0)),"")</f>
        <v/>
      </c>
      <c r="C585" t="str">
        <f t="array" ref="C585">IFERROR(INDEX('Player Raw Data'!D:D,Match($A585,'Player Raw Data'!$B:$B,0)),"")</f>
        <v/>
      </c>
      <c r="D585" t="str">
        <f t="array" ref="D585">IFERROR(IF(A585=A584, INDEX('Player Raw Data'!E:E,Match($A585,'Player Raw Data'!$B:$B,0)+2),INDEX('Player Raw Data'!E:E,Match($A585,'Player Raw Data'!$B:$B,0))),"")</f>
        <v/>
      </c>
      <c r="E585" s="27" t="str">
        <f>IFERROR(__xludf.DUMMYFUNCTION("IFERROR(ARRAY_CONSTRAIN(SPLIT(INDEX('Daily Raw Data'!G:G,Match($A585,'Daily Raw Data'!$B:$B,0)),"":""),1,1),"""")"),"")</f>
        <v/>
      </c>
      <c r="F585" t="str">
        <f t="array" ref="F585">IFERROR(INDEX('Daily Raw Data'!H:H,Match($A585,'Daily Raw Data'!$B:$B,0)),"")</f>
        <v/>
      </c>
      <c r="G585" t="str">
        <f t="array" ref="G585">IFERROR(INDEX('Daily Raw Data'!I:I,Match($A585,'Daily Raw Data'!$B:$B,0)),"")</f>
        <v/>
      </c>
      <c r="H585" t="str">
        <f t="array" ref="H585">IFERROR(INDEX('Daily Raw Data'!N:N,Match($A585,'Daily Raw Data'!$B:$B,0)),"")</f>
        <v/>
      </c>
      <c r="I585" t="str">
        <f t="array" ref="I585">IFERROR(INDEX('Daily Raw Data'!O:O,Match($A585,'Daily Raw Data'!$B:$B,0)),"")</f>
        <v/>
      </c>
      <c r="J585" t="str">
        <f t="array" ref="J585">IFERROR(INDEX('Daily Raw Data'!S:S,Match($A585,'Daily Raw Data'!$B:$B,0)),"")</f>
        <v/>
      </c>
      <c r="K585" t="str">
        <f t="array" ref="K585">IFERROR(INDEX('Daily Raw Data'!T:T,Match($A585,'Daily Raw Data'!$B:$B,0)),"")</f>
        <v/>
      </c>
      <c r="L585" t="str">
        <f t="array" ref="L585">IFERROR(INDEX('Daily Raw Data'!U:U,Match($A585,'Daily Raw Data'!$B:$B,0)),"")</f>
        <v/>
      </c>
      <c r="M585" t="str">
        <f t="array" ref="M585">IFERROR(INDEX('Daily Raw Data'!V:V,Match($A585,'Daily Raw Data'!$B:$B,0)),"")</f>
        <v/>
      </c>
      <c r="N585" t="str">
        <f t="array" ref="N585">IFERROR(INDEX('Daily Raw Data'!W:W,Match($A585,'Daily Raw Data'!$B:$B,0)),"")</f>
        <v/>
      </c>
      <c r="O585" t="str">
        <f t="array" ref="O585">IFERROR(INDEX('Daily Raw Data'!Y:Y,Match($A585,'Daily Raw Data'!$B:$B,0)),"")</f>
        <v/>
      </c>
      <c r="P585" t="str">
        <f t="shared" si="1"/>
        <v/>
      </c>
      <c r="Q585" s="14" t="str">
        <f t="shared" si="2"/>
        <v/>
      </c>
      <c r="R585" s="15" t="str">
        <f>IFERROR(__xludf.DUMMYFUNCTION("IF($A585="""","""", IFERROR(PERCENTRANK.INC(FILTER(P:P,$E:$E&lt;&gt;""""),P585)*100,""""))"),"")</f>
        <v/>
      </c>
      <c r="S585" s="15" t="str">
        <f>IFERROR(__xludf.DUMMYFUNCTION("IF($A585="""","""",IFERROR(PERCENTRANK.INC(FILTER(Q:Q,$E:$E&lt;&gt;""""),Q585)*100,""""))"),"")</f>
        <v/>
      </c>
    </row>
    <row r="586">
      <c r="B586" t="str">
        <f t="array" ref="B586">IFERROR(INDEX('Player Raw Data'!C:C,Match($A586,'Player Raw Data'!$B:$B,0)),"")</f>
        <v/>
      </c>
      <c r="C586" t="str">
        <f t="array" ref="C586">IFERROR(INDEX('Player Raw Data'!D:D,Match($A586,'Player Raw Data'!$B:$B,0)),"")</f>
        <v/>
      </c>
      <c r="D586" t="str">
        <f t="array" ref="D586">IFERROR(IF(A586=A585, INDEX('Player Raw Data'!E:E,Match($A586,'Player Raw Data'!$B:$B,0)+2),INDEX('Player Raw Data'!E:E,Match($A586,'Player Raw Data'!$B:$B,0))),"")</f>
        <v/>
      </c>
      <c r="E586" s="27" t="str">
        <f>IFERROR(__xludf.DUMMYFUNCTION("IFERROR(ARRAY_CONSTRAIN(SPLIT(INDEX('Daily Raw Data'!G:G,Match($A586,'Daily Raw Data'!$B:$B,0)),"":""),1,1),"""")"),"")</f>
        <v/>
      </c>
      <c r="F586" t="str">
        <f t="array" ref="F586">IFERROR(INDEX('Daily Raw Data'!H:H,Match($A586,'Daily Raw Data'!$B:$B,0)),"")</f>
        <v/>
      </c>
      <c r="G586" t="str">
        <f t="array" ref="G586">IFERROR(INDEX('Daily Raw Data'!I:I,Match($A586,'Daily Raw Data'!$B:$B,0)),"")</f>
        <v/>
      </c>
      <c r="H586" t="str">
        <f t="array" ref="H586">IFERROR(INDEX('Daily Raw Data'!N:N,Match($A586,'Daily Raw Data'!$B:$B,0)),"")</f>
        <v/>
      </c>
      <c r="I586" t="str">
        <f t="array" ref="I586">IFERROR(INDEX('Daily Raw Data'!O:O,Match($A586,'Daily Raw Data'!$B:$B,0)),"")</f>
        <v/>
      </c>
      <c r="J586" t="str">
        <f t="array" ref="J586">IFERROR(INDEX('Daily Raw Data'!S:S,Match($A586,'Daily Raw Data'!$B:$B,0)),"")</f>
        <v/>
      </c>
      <c r="K586" t="str">
        <f t="array" ref="K586">IFERROR(INDEX('Daily Raw Data'!T:T,Match($A586,'Daily Raw Data'!$B:$B,0)),"")</f>
        <v/>
      </c>
      <c r="L586" t="str">
        <f t="array" ref="L586">IFERROR(INDEX('Daily Raw Data'!U:U,Match($A586,'Daily Raw Data'!$B:$B,0)),"")</f>
        <v/>
      </c>
      <c r="M586" t="str">
        <f t="array" ref="M586">IFERROR(INDEX('Daily Raw Data'!V:V,Match($A586,'Daily Raw Data'!$B:$B,0)),"")</f>
        <v/>
      </c>
      <c r="N586" t="str">
        <f t="array" ref="N586">IFERROR(INDEX('Daily Raw Data'!W:W,Match($A586,'Daily Raw Data'!$B:$B,0)),"")</f>
        <v/>
      </c>
      <c r="O586" t="str">
        <f t="array" ref="O586">IFERROR(INDEX('Daily Raw Data'!Y:Y,Match($A586,'Daily Raw Data'!$B:$B,0)),"")</f>
        <v/>
      </c>
      <c r="P586" t="str">
        <f t="shared" si="1"/>
        <v/>
      </c>
      <c r="Q586" s="14" t="str">
        <f t="shared" si="2"/>
        <v/>
      </c>
      <c r="R586" s="15" t="str">
        <f>IFERROR(__xludf.DUMMYFUNCTION("IF($A586="""","""", IFERROR(PERCENTRANK.INC(FILTER(P:P,$E:$E&lt;&gt;""""),P586)*100,""""))"),"")</f>
        <v/>
      </c>
      <c r="S586" s="15" t="str">
        <f>IFERROR(__xludf.DUMMYFUNCTION("IF($A586="""","""",IFERROR(PERCENTRANK.INC(FILTER(Q:Q,$E:$E&lt;&gt;""""),Q586)*100,""""))"),"")</f>
        <v/>
      </c>
    </row>
    <row r="587">
      <c r="B587" t="str">
        <f t="array" ref="B587">IFERROR(INDEX('Player Raw Data'!C:C,Match($A587,'Player Raw Data'!$B:$B,0)),"")</f>
        <v/>
      </c>
      <c r="C587" t="str">
        <f t="array" ref="C587">IFERROR(INDEX('Player Raw Data'!D:D,Match($A587,'Player Raw Data'!$B:$B,0)),"")</f>
        <v/>
      </c>
      <c r="D587" t="str">
        <f t="array" ref="D587">IFERROR(IF(A587=A586, INDEX('Player Raw Data'!E:E,Match($A587,'Player Raw Data'!$B:$B,0)+2),INDEX('Player Raw Data'!E:E,Match($A587,'Player Raw Data'!$B:$B,0))),"")</f>
        <v/>
      </c>
      <c r="E587" s="27" t="str">
        <f>IFERROR(__xludf.DUMMYFUNCTION("IFERROR(ARRAY_CONSTRAIN(SPLIT(INDEX('Daily Raw Data'!G:G,Match($A587,'Daily Raw Data'!$B:$B,0)),"":""),1,1),"""")"),"")</f>
        <v/>
      </c>
      <c r="F587" t="str">
        <f t="array" ref="F587">IFERROR(INDEX('Daily Raw Data'!H:H,Match($A587,'Daily Raw Data'!$B:$B,0)),"")</f>
        <v/>
      </c>
      <c r="G587" t="str">
        <f t="array" ref="G587">IFERROR(INDEX('Daily Raw Data'!I:I,Match($A587,'Daily Raw Data'!$B:$B,0)),"")</f>
        <v/>
      </c>
      <c r="H587" t="str">
        <f t="array" ref="H587">IFERROR(INDEX('Daily Raw Data'!N:N,Match($A587,'Daily Raw Data'!$B:$B,0)),"")</f>
        <v/>
      </c>
      <c r="I587" t="str">
        <f t="array" ref="I587">IFERROR(INDEX('Daily Raw Data'!O:O,Match($A587,'Daily Raw Data'!$B:$B,0)),"")</f>
        <v/>
      </c>
      <c r="J587" t="str">
        <f t="array" ref="J587">IFERROR(INDEX('Daily Raw Data'!S:S,Match($A587,'Daily Raw Data'!$B:$B,0)),"")</f>
        <v/>
      </c>
      <c r="K587" t="str">
        <f t="array" ref="K587">IFERROR(INDEX('Daily Raw Data'!T:T,Match($A587,'Daily Raw Data'!$B:$B,0)),"")</f>
        <v/>
      </c>
      <c r="L587" t="str">
        <f t="array" ref="L587">IFERROR(INDEX('Daily Raw Data'!U:U,Match($A587,'Daily Raw Data'!$B:$B,0)),"")</f>
        <v/>
      </c>
      <c r="M587" t="str">
        <f t="array" ref="M587">IFERROR(INDEX('Daily Raw Data'!V:V,Match($A587,'Daily Raw Data'!$B:$B,0)),"")</f>
        <v/>
      </c>
      <c r="N587" t="str">
        <f t="array" ref="N587">IFERROR(INDEX('Daily Raw Data'!W:W,Match($A587,'Daily Raw Data'!$B:$B,0)),"")</f>
        <v/>
      </c>
      <c r="O587" t="str">
        <f t="array" ref="O587">IFERROR(INDEX('Daily Raw Data'!Y:Y,Match($A587,'Daily Raw Data'!$B:$B,0)),"")</f>
        <v/>
      </c>
      <c r="P587" t="str">
        <f t="shared" si="1"/>
        <v/>
      </c>
      <c r="Q587" s="14" t="str">
        <f t="shared" si="2"/>
        <v/>
      </c>
      <c r="R587" s="15" t="str">
        <f>IFERROR(__xludf.DUMMYFUNCTION("IF($A587="""","""", IFERROR(PERCENTRANK.INC(FILTER(P:P,$E:$E&lt;&gt;""""),P587)*100,""""))"),"")</f>
        <v/>
      </c>
      <c r="S587" s="15" t="str">
        <f>IFERROR(__xludf.DUMMYFUNCTION("IF($A587="""","""",IFERROR(PERCENTRANK.INC(FILTER(Q:Q,$E:$E&lt;&gt;""""),Q587)*100,""""))"),"")</f>
        <v/>
      </c>
    </row>
    <row r="588">
      <c r="B588" t="str">
        <f t="array" ref="B588">IFERROR(INDEX('Player Raw Data'!C:C,Match($A588,'Player Raw Data'!$B:$B,0)),"")</f>
        <v/>
      </c>
      <c r="C588" t="str">
        <f t="array" ref="C588">IFERROR(INDEX('Player Raw Data'!D:D,Match($A588,'Player Raw Data'!$B:$B,0)),"")</f>
        <v/>
      </c>
      <c r="D588" t="str">
        <f t="array" ref="D588">IFERROR(IF(A588=A587, INDEX('Player Raw Data'!E:E,Match($A588,'Player Raw Data'!$B:$B,0)+2),INDEX('Player Raw Data'!E:E,Match($A588,'Player Raw Data'!$B:$B,0))),"")</f>
        <v/>
      </c>
      <c r="E588" s="27" t="str">
        <f>IFERROR(__xludf.DUMMYFUNCTION("IFERROR(ARRAY_CONSTRAIN(SPLIT(INDEX('Daily Raw Data'!G:G,Match($A588,'Daily Raw Data'!$B:$B,0)),"":""),1,1),"""")"),"")</f>
        <v/>
      </c>
      <c r="F588" t="str">
        <f t="array" ref="F588">IFERROR(INDEX('Daily Raw Data'!H:H,Match($A588,'Daily Raw Data'!$B:$B,0)),"")</f>
        <v/>
      </c>
      <c r="G588" t="str">
        <f t="array" ref="G588">IFERROR(INDEX('Daily Raw Data'!I:I,Match($A588,'Daily Raw Data'!$B:$B,0)),"")</f>
        <v/>
      </c>
      <c r="H588" t="str">
        <f t="array" ref="H588">IFERROR(INDEX('Daily Raw Data'!N:N,Match($A588,'Daily Raw Data'!$B:$B,0)),"")</f>
        <v/>
      </c>
      <c r="I588" t="str">
        <f t="array" ref="I588">IFERROR(INDEX('Daily Raw Data'!O:O,Match($A588,'Daily Raw Data'!$B:$B,0)),"")</f>
        <v/>
      </c>
      <c r="J588" t="str">
        <f t="array" ref="J588">IFERROR(INDEX('Daily Raw Data'!S:S,Match($A588,'Daily Raw Data'!$B:$B,0)),"")</f>
        <v/>
      </c>
      <c r="K588" t="str">
        <f t="array" ref="K588">IFERROR(INDEX('Daily Raw Data'!T:T,Match($A588,'Daily Raw Data'!$B:$B,0)),"")</f>
        <v/>
      </c>
      <c r="L588" t="str">
        <f t="array" ref="L588">IFERROR(INDEX('Daily Raw Data'!U:U,Match($A588,'Daily Raw Data'!$B:$B,0)),"")</f>
        <v/>
      </c>
      <c r="M588" t="str">
        <f t="array" ref="M588">IFERROR(INDEX('Daily Raw Data'!V:V,Match($A588,'Daily Raw Data'!$B:$B,0)),"")</f>
        <v/>
      </c>
      <c r="N588" t="str">
        <f t="array" ref="N588">IFERROR(INDEX('Daily Raw Data'!W:W,Match($A588,'Daily Raw Data'!$B:$B,0)),"")</f>
        <v/>
      </c>
      <c r="O588" t="str">
        <f t="array" ref="O588">IFERROR(INDEX('Daily Raw Data'!Y:Y,Match($A588,'Daily Raw Data'!$B:$B,0)),"")</f>
        <v/>
      </c>
      <c r="P588" t="str">
        <f t="shared" si="1"/>
        <v/>
      </c>
      <c r="Q588" s="14" t="str">
        <f t="shared" si="2"/>
        <v/>
      </c>
      <c r="R588" s="15" t="str">
        <f>IFERROR(__xludf.DUMMYFUNCTION("IF($A588="""","""", IFERROR(PERCENTRANK.INC(FILTER(P:P,$E:$E&lt;&gt;""""),P588)*100,""""))"),"")</f>
        <v/>
      </c>
      <c r="S588" s="15" t="str">
        <f>IFERROR(__xludf.DUMMYFUNCTION("IF($A588="""","""",IFERROR(PERCENTRANK.INC(FILTER(Q:Q,$E:$E&lt;&gt;""""),Q588)*100,""""))"),"")</f>
        <v/>
      </c>
    </row>
    <row r="589">
      <c r="B589" t="str">
        <f t="array" ref="B589">IFERROR(INDEX('Player Raw Data'!C:C,Match($A589,'Player Raw Data'!$B:$B,0)),"")</f>
        <v/>
      </c>
      <c r="C589" t="str">
        <f t="array" ref="C589">IFERROR(INDEX('Player Raw Data'!D:D,Match($A589,'Player Raw Data'!$B:$B,0)),"")</f>
        <v/>
      </c>
      <c r="D589" t="str">
        <f t="array" ref="D589">IFERROR(IF(A589=A588, INDEX('Player Raw Data'!E:E,Match($A589,'Player Raw Data'!$B:$B,0)+2),INDEX('Player Raw Data'!E:E,Match($A589,'Player Raw Data'!$B:$B,0))),"")</f>
        <v/>
      </c>
      <c r="E589" s="27" t="str">
        <f>IFERROR(__xludf.DUMMYFUNCTION("IFERROR(ARRAY_CONSTRAIN(SPLIT(INDEX('Daily Raw Data'!G:G,Match($A589,'Daily Raw Data'!$B:$B,0)),"":""),1,1),"""")"),"")</f>
        <v/>
      </c>
      <c r="F589" t="str">
        <f t="array" ref="F589">IFERROR(INDEX('Daily Raw Data'!H:H,Match($A589,'Daily Raw Data'!$B:$B,0)),"")</f>
        <v/>
      </c>
      <c r="G589" t="str">
        <f t="array" ref="G589">IFERROR(INDEX('Daily Raw Data'!I:I,Match($A589,'Daily Raw Data'!$B:$B,0)),"")</f>
        <v/>
      </c>
      <c r="H589" t="str">
        <f t="array" ref="H589">IFERROR(INDEX('Daily Raw Data'!N:N,Match($A589,'Daily Raw Data'!$B:$B,0)),"")</f>
        <v/>
      </c>
      <c r="I589" t="str">
        <f t="array" ref="I589">IFERROR(INDEX('Daily Raw Data'!O:O,Match($A589,'Daily Raw Data'!$B:$B,0)),"")</f>
        <v/>
      </c>
      <c r="J589" t="str">
        <f t="array" ref="J589">IFERROR(INDEX('Daily Raw Data'!S:S,Match($A589,'Daily Raw Data'!$B:$B,0)),"")</f>
        <v/>
      </c>
      <c r="K589" t="str">
        <f t="array" ref="K589">IFERROR(INDEX('Daily Raw Data'!T:T,Match($A589,'Daily Raw Data'!$B:$B,0)),"")</f>
        <v/>
      </c>
      <c r="L589" t="str">
        <f t="array" ref="L589">IFERROR(INDEX('Daily Raw Data'!U:U,Match($A589,'Daily Raw Data'!$B:$B,0)),"")</f>
        <v/>
      </c>
      <c r="M589" t="str">
        <f t="array" ref="M589">IFERROR(INDEX('Daily Raw Data'!V:V,Match($A589,'Daily Raw Data'!$B:$B,0)),"")</f>
        <v/>
      </c>
      <c r="N589" t="str">
        <f t="array" ref="N589">IFERROR(INDEX('Daily Raw Data'!W:W,Match($A589,'Daily Raw Data'!$B:$B,0)),"")</f>
        <v/>
      </c>
      <c r="O589" t="str">
        <f t="array" ref="O589">IFERROR(INDEX('Daily Raw Data'!Y:Y,Match($A589,'Daily Raw Data'!$B:$B,0)),"")</f>
        <v/>
      </c>
      <c r="P589" t="str">
        <f t="shared" si="1"/>
        <v/>
      </c>
      <c r="Q589" s="14" t="str">
        <f t="shared" si="2"/>
        <v/>
      </c>
      <c r="R589" s="15" t="str">
        <f>IFERROR(__xludf.DUMMYFUNCTION("IF($A589="""","""", IFERROR(PERCENTRANK.INC(FILTER(P:P,$E:$E&lt;&gt;""""),P589)*100,""""))"),"")</f>
        <v/>
      </c>
      <c r="S589" s="15" t="str">
        <f>IFERROR(__xludf.DUMMYFUNCTION("IF($A589="""","""",IFERROR(PERCENTRANK.INC(FILTER(Q:Q,$E:$E&lt;&gt;""""),Q589)*100,""""))"),"")</f>
        <v/>
      </c>
    </row>
    <row r="590">
      <c r="B590" t="str">
        <f t="array" ref="B590">IFERROR(INDEX('Player Raw Data'!C:C,Match($A590,'Player Raw Data'!$B:$B,0)),"")</f>
        <v/>
      </c>
      <c r="C590" t="str">
        <f t="array" ref="C590">IFERROR(INDEX('Player Raw Data'!D:D,Match($A590,'Player Raw Data'!$B:$B,0)),"")</f>
        <v/>
      </c>
      <c r="D590" t="str">
        <f t="array" ref="D590">IFERROR(IF(A590=A589, INDEX('Player Raw Data'!E:E,Match($A590,'Player Raw Data'!$B:$B,0)+2),INDEX('Player Raw Data'!E:E,Match($A590,'Player Raw Data'!$B:$B,0))),"")</f>
        <v/>
      </c>
      <c r="E590" s="27" t="str">
        <f>IFERROR(__xludf.DUMMYFUNCTION("IFERROR(ARRAY_CONSTRAIN(SPLIT(INDEX('Daily Raw Data'!G:G,Match($A590,'Daily Raw Data'!$B:$B,0)),"":""),1,1),"""")"),"")</f>
        <v/>
      </c>
      <c r="F590" t="str">
        <f t="array" ref="F590">IFERROR(INDEX('Daily Raw Data'!H:H,Match($A590,'Daily Raw Data'!$B:$B,0)),"")</f>
        <v/>
      </c>
      <c r="G590" t="str">
        <f t="array" ref="G590">IFERROR(INDEX('Daily Raw Data'!I:I,Match($A590,'Daily Raw Data'!$B:$B,0)),"")</f>
        <v/>
      </c>
      <c r="H590" t="str">
        <f t="array" ref="H590">IFERROR(INDEX('Daily Raw Data'!N:N,Match($A590,'Daily Raw Data'!$B:$B,0)),"")</f>
        <v/>
      </c>
      <c r="I590" t="str">
        <f t="array" ref="I590">IFERROR(INDEX('Daily Raw Data'!O:O,Match($A590,'Daily Raw Data'!$B:$B,0)),"")</f>
        <v/>
      </c>
      <c r="J590" t="str">
        <f t="array" ref="J590">IFERROR(INDEX('Daily Raw Data'!S:S,Match($A590,'Daily Raw Data'!$B:$B,0)),"")</f>
        <v/>
      </c>
      <c r="K590" t="str">
        <f t="array" ref="K590">IFERROR(INDEX('Daily Raw Data'!T:T,Match($A590,'Daily Raw Data'!$B:$B,0)),"")</f>
        <v/>
      </c>
      <c r="L590" t="str">
        <f t="array" ref="L590">IFERROR(INDEX('Daily Raw Data'!U:U,Match($A590,'Daily Raw Data'!$B:$B,0)),"")</f>
        <v/>
      </c>
      <c r="M590" t="str">
        <f t="array" ref="M590">IFERROR(INDEX('Daily Raw Data'!V:V,Match($A590,'Daily Raw Data'!$B:$B,0)),"")</f>
        <v/>
      </c>
      <c r="N590" t="str">
        <f t="array" ref="N590">IFERROR(INDEX('Daily Raw Data'!W:W,Match($A590,'Daily Raw Data'!$B:$B,0)),"")</f>
        <v/>
      </c>
      <c r="O590" t="str">
        <f t="array" ref="O590">IFERROR(INDEX('Daily Raw Data'!Y:Y,Match($A590,'Daily Raw Data'!$B:$B,0)),"")</f>
        <v/>
      </c>
      <c r="P590" t="str">
        <f t="shared" si="1"/>
        <v/>
      </c>
      <c r="Q590" s="14" t="str">
        <f t="shared" si="2"/>
        <v/>
      </c>
      <c r="R590" s="15" t="str">
        <f>IFERROR(__xludf.DUMMYFUNCTION("IF($A590="""","""", IFERROR(PERCENTRANK.INC(FILTER(P:P,$E:$E&lt;&gt;""""),P590)*100,""""))"),"")</f>
        <v/>
      </c>
      <c r="S590" s="15" t="str">
        <f>IFERROR(__xludf.DUMMYFUNCTION("IF($A590="""","""",IFERROR(PERCENTRANK.INC(FILTER(Q:Q,$E:$E&lt;&gt;""""),Q590)*100,""""))"),"")</f>
        <v/>
      </c>
    </row>
    <row r="591">
      <c r="B591" t="str">
        <f t="array" ref="B591">IFERROR(INDEX('Player Raw Data'!C:C,Match($A591,'Player Raw Data'!$B:$B,0)),"")</f>
        <v/>
      </c>
      <c r="C591" t="str">
        <f t="array" ref="C591">IFERROR(INDEX('Player Raw Data'!D:D,Match($A591,'Player Raw Data'!$B:$B,0)),"")</f>
        <v/>
      </c>
      <c r="D591" t="str">
        <f t="array" ref="D591">IFERROR(IF(A591=A590, INDEX('Player Raw Data'!E:E,Match($A591,'Player Raw Data'!$B:$B,0)+2),INDEX('Player Raw Data'!E:E,Match($A591,'Player Raw Data'!$B:$B,0))),"")</f>
        <v/>
      </c>
      <c r="E591" s="27" t="str">
        <f>IFERROR(__xludf.DUMMYFUNCTION("IFERROR(ARRAY_CONSTRAIN(SPLIT(INDEX('Daily Raw Data'!G:G,Match($A591,'Daily Raw Data'!$B:$B,0)),"":""),1,1),"""")"),"")</f>
        <v/>
      </c>
      <c r="F591" t="str">
        <f t="array" ref="F591">IFERROR(INDEX('Daily Raw Data'!H:H,Match($A591,'Daily Raw Data'!$B:$B,0)),"")</f>
        <v/>
      </c>
      <c r="G591" t="str">
        <f t="array" ref="G591">IFERROR(INDEX('Daily Raw Data'!I:I,Match($A591,'Daily Raw Data'!$B:$B,0)),"")</f>
        <v/>
      </c>
      <c r="H591" t="str">
        <f t="array" ref="H591">IFERROR(INDEX('Daily Raw Data'!N:N,Match($A591,'Daily Raw Data'!$B:$B,0)),"")</f>
        <v/>
      </c>
      <c r="I591" t="str">
        <f t="array" ref="I591">IFERROR(INDEX('Daily Raw Data'!O:O,Match($A591,'Daily Raw Data'!$B:$B,0)),"")</f>
        <v/>
      </c>
      <c r="J591" t="str">
        <f t="array" ref="J591">IFERROR(INDEX('Daily Raw Data'!S:S,Match($A591,'Daily Raw Data'!$B:$B,0)),"")</f>
        <v/>
      </c>
      <c r="K591" t="str">
        <f t="array" ref="K591">IFERROR(INDEX('Daily Raw Data'!T:T,Match($A591,'Daily Raw Data'!$B:$B,0)),"")</f>
        <v/>
      </c>
      <c r="L591" t="str">
        <f t="array" ref="L591">IFERROR(INDEX('Daily Raw Data'!U:U,Match($A591,'Daily Raw Data'!$B:$B,0)),"")</f>
        <v/>
      </c>
      <c r="M591" t="str">
        <f t="array" ref="M591">IFERROR(INDEX('Daily Raw Data'!V:V,Match($A591,'Daily Raw Data'!$B:$B,0)),"")</f>
        <v/>
      </c>
      <c r="N591" t="str">
        <f t="array" ref="N591">IFERROR(INDEX('Daily Raw Data'!W:W,Match($A591,'Daily Raw Data'!$B:$B,0)),"")</f>
        <v/>
      </c>
      <c r="O591" t="str">
        <f t="array" ref="O591">IFERROR(INDEX('Daily Raw Data'!Y:Y,Match($A591,'Daily Raw Data'!$B:$B,0)),"")</f>
        <v/>
      </c>
      <c r="P591" t="str">
        <f t="shared" si="1"/>
        <v/>
      </c>
      <c r="Q591" s="14" t="str">
        <f t="shared" si="2"/>
        <v/>
      </c>
      <c r="R591" s="15" t="str">
        <f>IFERROR(__xludf.DUMMYFUNCTION("IF($A591="""","""", IFERROR(PERCENTRANK.INC(FILTER(P:P,$E:$E&lt;&gt;""""),P591)*100,""""))"),"")</f>
        <v/>
      </c>
      <c r="S591" s="15" t="str">
        <f>IFERROR(__xludf.DUMMYFUNCTION("IF($A591="""","""",IFERROR(PERCENTRANK.INC(FILTER(Q:Q,$E:$E&lt;&gt;""""),Q591)*100,""""))"),"")</f>
        <v/>
      </c>
    </row>
    <row r="592">
      <c r="B592" t="str">
        <f t="array" ref="B592">IFERROR(INDEX('Player Raw Data'!C:C,Match($A592,'Player Raw Data'!$B:$B,0)),"")</f>
        <v/>
      </c>
      <c r="C592" t="str">
        <f t="array" ref="C592">IFERROR(INDEX('Player Raw Data'!D:D,Match($A592,'Player Raw Data'!$B:$B,0)),"")</f>
        <v/>
      </c>
      <c r="D592" t="str">
        <f t="array" ref="D592">IFERROR(IF(A592=A591, INDEX('Player Raw Data'!E:E,Match($A592,'Player Raw Data'!$B:$B,0)+2),INDEX('Player Raw Data'!E:E,Match($A592,'Player Raw Data'!$B:$B,0))),"")</f>
        <v/>
      </c>
      <c r="E592" s="27" t="str">
        <f>IFERROR(__xludf.DUMMYFUNCTION("IFERROR(ARRAY_CONSTRAIN(SPLIT(INDEX('Daily Raw Data'!G:G,Match($A592,'Daily Raw Data'!$B:$B,0)),"":""),1,1),"""")"),"")</f>
        <v/>
      </c>
      <c r="F592" t="str">
        <f t="array" ref="F592">IFERROR(INDEX('Daily Raw Data'!H:H,Match($A592,'Daily Raw Data'!$B:$B,0)),"")</f>
        <v/>
      </c>
      <c r="G592" t="str">
        <f t="array" ref="G592">IFERROR(INDEX('Daily Raw Data'!I:I,Match($A592,'Daily Raw Data'!$B:$B,0)),"")</f>
        <v/>
      </c>
      <c r="H592" t="str">
        <f t="array" ref="H592">IFERROR(INDEX('Daily Raw Data'!N:N,Match($A592,'Daily Raw Data'!$B:$B,0)),"")</f>
        <v/>
      </c>
      <c r="I592" t="str">
        <f t="array" ref="I592">IFERROR(INDEX('Daily Raw Data'!O:O,Match($A592,'Daily Raw Data'!$B:$B,0)),"")</f>
        <v/>
      </c>
      <c r="J592" t="str">
        <f t="array" ref="J592">IFERROR(INDEX('Daily Raw Data'!S:S,Match($A592,'Daily Raw Data'!$B:$B,0)),"")</f>
        <v/>
      </c>
      <c r="K592" t="str">
        <f t="array" ref="K592">IFERROR(INDEX('Daily Raw Data'!T:T,Match($A592,'Daily Raw Data'!$B:$B,0)),"")</f>
        <v/>
      </c>
      <c r="L592" t="str">
        <f t="array" ref="L592">IFERROR(INDEX('Daily Raw Data'!U:U,Match($A592,'Daily Raw Data'!$B:$B,0)),"")</f>
        <v/>
      </c>
      <c r="M592" t="str">
        <f t="array" ref="M592">IFERROR(INDEX('Daily Raw Data'!V:V,Match($A592,'Daily Raw Data'!$B:$B,0)),"")</f>
        <v/>
      </c>
      <c r="N592" t="str">
        <f t="array" ref="N592">IFERROR(INDEX('Daily Raw Data'!W:W,Match($A592,'Daily Raw Data'!$B:$B,0)),"")</f>
        <v/>
      </c>
      <c r="O592" t="str">
        <f t="array" ref="O592">IFERROR(INDEX('Daily Raw Data'!Y:Y,Match($A592,'Daily Raw Data'!$B:$B,0)),"")</f>
        <v/>
      </c>
      <c r="P592" t="str">
        <f t="shared" si="1"/>
        <v/>
      </c>
      <c r="Q592" s="14" t="str">
        <f t="shared" si="2"/>
        <v/>
      </c>
      <c r="R592" s="15" t="str">
        <f>IFERROR(__xludf.DUMMYFUNCTION("IF($A592="""","""", IFERROR(PERCENTRANK.INC(FILTER(P:P,$E:$E&lt;&gt;""""),P592)*100,""""))"),"")</f>
        <v/>
      </c>
      <c r="S592" s="15" t="str">
        <f>IFERROR(__xludf.DUMMYFUNCTION("IF($A592="""","""",IFERROR(PERCENTRANK.INC(FILTER(Q:Q,$E:$E&lt;&gt;""""),Q592)*100,""""))"),"")</f>
        <v/>
      </c>
    </row>
    <row r="593">
      <c r="B593" t="str">
        <f t="array" ref="B593">IFERROR(INDEX('Player Raw Data'!C:C,Match($A593,'Player Raw Data'!$B:$B,0)),"")</f>
        <v/>
      </c>
      <c r="C593" t="str">
        <f t="array" ref="C593">IFERROR(INDEX('Player Raw Data'!D:D,Match($A593,'Player Raw Data'!$B:$B,0)),"")</f>
        <v/>
      </c>
      <c r="D593" t="str">
        <f t="array" ref="D593">IFERROR(IF(A593=A592, INDEX('Player Raw Data'!E:E,Match($A593,'Player Raw Data'!$B:$B,0)+2),INDEX('Player Raw Data'!E:E,Match($A593,'Player Raw Data'!$B:$B,0))),"")</f>
        <v/>
      </c>
      <c r="E593" s="27" t="str">
        <f>IFERROR(__xludf.DUMMYFUNCTION("IFERROR(ARRAY_CONSTRAIN(SPLIT(INDEX('Daily Raw Data'!G:G,Match($A593,'Daily Raw Data'!$B:$B,0)),"":""),1,1),"""")"),"")</f>
        <v/>
      </c>
      <c r="F593" t="str">
        <f t="array" ref="F593">IFERROR(INDEX('Daily Raw Data'!H:H,Match($A593,'Daily Raw Data'!$B:$B,0)),"")</f>
        <v/>
      </c>
      <c r="G593" t="str">
        <f t="array" ref="G593">IFERROR(INDEX('Daily Raw Data'!I:I,Match($A593,'Daily Raw Data'!$B:$B,0)),"")</f>
        <v/>
      </c>
      <c r="H593" t="str">
        <f t="array" ref="H593">IFERROR(INDEX('Daily Raw Data'!N:N,Match($A593,'Daily Raw Data'!$B:$B,0)),"")</f>
        <v/>
      </c>
      <c r="I593" t="str">
        <f t="array" ref="I593">IFERROR(INDEX('Daily Raw Data'!O:O,Match($A593,'Daily Raw Data'!$B:$B,0)),"")</f>
        <v/>
      </c>
      <c r="J593" t="str">
        <f t="array" ref="J593">IFERROR(INDEX('Daily Raw Data'!S:S,Match($A593,'Daily Raw Data'!$B:$B,0)),"")</f>
        <v/>
      </c>
      <c r="K593" t="str">
        <f t="array" ref="K593">IFERROR(INDEX('Daily Raw Data'!T:T,Match($A593,'Daily Raw Data'!$B:$B,0)),"")</f>
        <v/>
      </c>
      <c r="L593" t="str">
        <f t="array" ref="L593">IFERROR(INDEX('Daily Raw Data'!U:U,Match($A593,'Daily Raw Data'!$B:$B,0)),"")</f>
        <v/>
      </c>
      <c r="M593" t="str">
        <f t="array" ref="M593">IFERROR(INDEX('Daily Raw Data'!V:V,Match($A593,'Daily Raw Data'!$B:$B,0)),"")</f>
        <v/>
      </c>
      <c r="N593" t="str">
        <f t="array" ref="N593">IFERROR(INDEX('Daily Raw Data'!W:W,Match($A593,'Daily Raw Data'!$B:$B,0)),"")</f>
        <v/>
      </c>
      <c r="O593" t="str">
        <f t="array" ref="O593">IFERROR(INDEX('Daily Raw Data'!Y:Y,Match($A593,'Daily Raw Data'!$B:$B,0)),"")</f>
        <v/>
      </c>
      <c r="P593" t="str">
        <f t="shared" si="1"/>
        <v/>
      </c>
      <c r="Q593" s="14" t="str">
        <f t="shared" si="2"/>
        <v/>
      </c>
      <c r="R593" s="15" t="str">
        <f>IFERROR(__xludf.DUMMYFUNCTION("IF($A593="""","""", IFERROR(PERCENTRANK.INC(FILTER(P:P,$E:$E&lt;&gt;""""),P593)*100,""""))"),"")</f>
        <v/>
      </c>
      <c r="S593" s="15" t="str">
        <f>IFERROR(__xludf.DUMMYFUNCTION("IF($A593="""","""",IFERROR(PERCENTRANK.INC(FILTER(Q:Q,$E:$E&lt;&gt;""""),Q593)*100,""""))"),"")</f>
        <v/>
      </c>
    </row>
    <row r="594">
      <c r="B594" t="str">
        <f t="array" ref="B594">IFERROR(INDEX('Player Raw Data'!C:C,Match($A594,'Player Raw Data'!$B:$B,0)),"")</f>
        <v/>
      </c>
      <c r="C594" t="str">
        <f t="array" ref="C594">IFERROR(INDEX('Player Raw Data'!D:D,Match($A594,'Player Raw Data'!$B:$B,0)),"")</f>
        <v/>
      </c>
      <c r="D594" t="str">
        <f t="array" ref="D594">IFERROR(IF(A594=A593, INDEX('Player Raw Data'!E:E,Match($A594,'Player Raw Data'!$B:$B,0)+2),INDEX('Player Raw Data'!E:E,Match($A594,'Player Raw Data'!$B:$B,0))),"")</f>
        <v/>
      </c>
      <c r="E594" s="27" t="str">
        <f>IFERROR(__xludf.DUMMYFUNCTION("IFERROR(ARRAY_CONSTRAIN(SPLIT(INDEX('Daily Raw Data'!G:G,Match($A594,'Daily Raw Data'!$B:$B,0)),"":""),1,1),"""")"),"")</f>
        <v/>
      </c>
      <c r="F594" t="str">
        <f t="array" ref="F594">IFERROR(INDEX('Daily Raw Data'!H:H,Match($A594,'Daily Raw Data'!$B:$B,0)),"")</f>
        <v/>
      </c>
      <c r="G594" t="str">
        <f t="array" ref="G594">IFERROR(INDEX('Daily Raw Data'!I:I,Match($A594,'Daily Raw Data'!$B:$B,0)),"")</f>
        <v/>
      </c>
      <c r="H594" t="str">
        <f t="array" ref="H594">IFERROR(INDEX('Daily Raw Data'!N:N,Match($A594,'Daily Raw Data'!$B:$B,0)),"")</f>
        <v/>
      </c>
      <c r="I594" t="str">
        <f t="array" ref="I594">IFERROR(INDEX('Daily Raw Data'!O:O,Match($A594,'Daily Raw Data'!$B:$B,0)),"")</f>
        <v/>
      </c>
      <c r="J594" t="str">
        <f t="array" ref="J594">IFERROR(INDEX('Daily Raw Data'!S:S,Match($A594,'Daily Raw Data'!$B:$B,0)),"")</f>
        <v/>
      </c>
      <c r="K594" t="str">
        <f t="array" ref="K594">IFERROR(INDEX('Daily Raw Data'!T:T,Match($A594,'Daily Raw Data'!$B:$B,0)),"")</f>
        <v/>
      </c>
      <c r="L594" t="str">
        <f t="array" ref="L594">IFERROR(INDEX('Daily Raw Data'!U:U,Match($A594,'Daily Raw Data'!$B:$B,0)),"")</f>
        <v/>
      </c>
      <c r="M594" t="str">
        <f t="array" ref="M594">IFERROR(INDEX('Daily Raw Data'!V:V,Match($A594,'Daily Raw Data'!$B:$B,0)),"")</f>
        <v/>
      </c>
      <c r="N594" t="str">
        <f t="array" ref="N594">IFERROR(INDEX('Daily Raw Data'!W:W,Match($A594,'Daily Raw Data'!$B:$B,0)),"")</f>
        <v/>
      </c>
      <c r="O594" t="str">
        <f t="array" ref="O594">IFERROR(INDEX('Daily Raw Data'!Y:Y,Match($A594,'Daily Raw Data'!$B:$B,0)),"")</f>
        <v/>
      </c>
      <c r="P594" t="str">
        <f t="shared" si="1"/>
        <v/>
      </c>
      <c r="Q594" s="14" t="str">
        <f t="shared" si="2"/>
        <v/>
      </c>
      <c r="R594" s="15" t="str">
        <f>IFERROR(__xludf.DUMMYFUNCTION("IF($A594="""","""", IFERROR(PERCENTRANK.INC(FILTER(P:P,$E:$E&lt;&gt;""""),P594)*100,""""))"),"")</f>
        <v/>
      </c>
      <c r="S594" s="15" t="str">
        <f>IFERROR(__xludf.DUMMYFUNCTION("IF($A594="""","""",IFERROR(PERCENTRANK.INC(FILTER(Q:Q,$E:$E&lt;&gt;""""),Q594)*100,""""))"),"")</f>
        <v/>
      </c>
    </row>
    <row r="595">
      <c r="B595" t="str">
        <f t="array" ref="B595">IFERROR(INDEX('Player Raw Data'!C:C,Match($A595,'Player Raw Data'!$B:$B,0)),"")</f>
        <v/>
      </c>
      <c r="C595" t="str">
        <f t="array" ref="C595">IFERROR(INDEX('Player Raw Data'!D:D,Match($A595,'Player Raw Data'!$B:$B,0)),"")</f>
        <v/>
      </c>
      <c r="D595" t="str">
        <f t="array" ref="D595">IFERROR(IF(A595=A594, INDEX('Player Raw Data'!E:E,Match($A595,'Player Raw Data'!$B:$B,0)+2),INDEX('Player Raw Data'!E:E,Match($A595,'Player Raw Data'!$B:$B,0))),"")</f>
        <v/>
      </c>
      <c r="E595" s="27" t="str">
        <f>IFERROR(__xludf.DUMMYFUNCTION("IFERROR(ARRAY_CONSTRAIN(SPLIT(INDEX('Daily Raw Data'!G:G,Match($A595,'Daily Raw Data'!$B:$B,0)),"":""),1,1),"""")"),"")</f>
        <v/>
      </c>
      <c r="F595" t="str">
        <f t="array" ref="F595">IFERROR(INDEX('Daily Raw Data'!H:H,Match($A595,'Daily Raw Data'!$B:$B,0)),"")</f>
        <v/>
      </c>
      <c r="G595" t="str">
        <f t="array" ref="G595">IFERROR(INDEX('Daily Raw Data'!I:I,Match($A595,'Daily Raw Data'!$B:$B,0)),"")</f>
        <v/>
      </c>
      <c r="H595" t="str">
        <f t="array" ref="H595">IFERROR(INDEX('Daily Raw Data'!N:N,Match($A595,'Daily Raw Data'!$B:$B,0)),"")</f>
        <v/>
      </c>
      <c r="I595" t="str">
        <f t="array" ref="I595">IFERROR(INDEX('Daily Raw Data'!O:O,Match($A595,'Daily Raw Data'!$B:$B,0)),"")</f>
        <v/>
      </c>
      <c r="J595" t="str">
        <f t="array" ref="J595">IFERROR(INDEX('Daily Raw Data'!S:S,Match($A595,'Daily Raw Data'!$B:$B,0)),"")</f>
        <v/>
      </c>
      <c r="K595" t="str">
        <f t="array" ref="K595">IFERROR(INDEX('Daily Raw Data'!T:T,Match($A595,'Daily Raw Data'!$B:$B,0)),"")</f>
        <v/>
      </c>
      <c r="L595" t="str">
        <f t="array" ref="L595">IFERROR(INDEX('Daily Raw Data'!U:U,Match($A595,'Daily Raw Data'!$B:$B,0)),"")</f>
        <v/>
      </c>
      <c r="M595" t="str">
        <f t="array" ref="M595">IFERROR(INDEX('Daily Raw Data'!V:V,Match($A595,'Daily Raw Data'!$B:$B,0)),"")</f>
        <v/>
      </c>
      <c r="N595" t="str">
        <f t="array" ref="N595">IFERROR(INDEX('Daily Raw Data'!W:W,Match($A595,'Daily Raw Data'!$B:$B,0)),"")</f>
        <v/>
      </c>
      <c r="O595" t="str">
        <f t="array" ref="O595">IFERROR(INDEX('Daily Raw Data'!Y:Y,Match($A595,'Daily Raw Data'!$B:$B,0)),"")</f>
        <v/>
      </c>
      <c r="P595" t="str">
        <f t="shared" si="1"/>
        <v/>
      </c>
      <c r="Q595" s="14" t="str">
        <f t="shared" si="2"/>
        <v/>
      </c>
      <c r="R595" s="15" t="str">
        <f>IFERROR(__xludf.DUMMYFUNCTION("IF($A595="""","""", IFERROR(PERCENTRANK.INC(FILTER(P:P,$E:$E&lt;&gt;""""),P595)*100,""""))"),"")</f>
        <v/>
      </c>
      <c r="S595" s="15" t="str">
        <f>IFERROR(__xludf.DUMMYFUNCTION("IF($A595="""","""",IFERROR(PERCENTRANK.INC(FILTER(Q:Q,$E:$E&lt;&gt;""""),Q595)*100,""""))"),"")</f>
        <v/>
      </c>
    </row>
    <row r="596">
      <c r="B596" t="str">
        <f t="array" ref="B596">IFERROR(INDEX('Player Raw Data'!C:C,Match($A596,'Player Raw Data'!$B:$B,0)),"")</f>
        <v/>
      </c>
      <c r="C596" t="str">
        <f t="array" ref="C596">IFERROR(INDEX('Player Raw Data'!D:D,Match($A596,'Player Raw Data'!$B:$B,0)),"")</f>
        <v/>
      </c>
      <c r="D596" t="str">
        <f t="array" ref="D596">IFERROR(IF(A596=A595, INDEX('Player Raw Data'!E:E,Match($A596,'Player Raw Data'!$B:$B,0)+2),INDEX('Player Raw Data'!E:E,Match($A596,'Player Raw Data'!$B:$B,0))),"")</f>
        <v/>
      </c>
      <c r="E596" s="27" t="str">
        <f>IFERROR(__xludf.DUMMYFUNCTION("IFERROR(ARRAY_CONSTRAIN(SPLIT(INDEX('Daily Raw Data'!G:G,Match($A596,'Daily Raw Data'!$B:$B,0)),"":""),1,1),"""")"),"")</f>
        <v/>
      </c>
      <c r="F596" t="str">
        <f t="array" ref="F596">IFERROR(INDEX('Daily Raw Data'!H:H,Match($A596,'Daily Raw Data'!$B:$B,0)),"")</f>
        <v/>
      </c>
      <c r="G596" t="str">
        <f t="array" ref="G596">IFERROR(INDEX('Daily Raw Data'!I:I,Match($A596,'Daily Raw Data'!$B:$B,0)),"")</f>
        <v/>
      </c>
      <c r="H596" t="str">
        <f t="array" ref="H596">IFERROR(INDEX('Daily Raw Data'!N:N,Match($A596,'Daily Raw Data'!$B:$B,0)),"")</f>
        <v/>
      </c>
      <c r="I596" t="str">
        <f t="array" ref="I596">IFERROR(INDEX('Daily Raw Data'!O:O,Match($A596,'Daily Raw Data'!$B:$B,0)),"")</f>
        <v/>
      </c>
      <c r="J596" t="str">
        <f t="array" ref="J596">IFERROR(INDEX('Daily Raw Data'!S:S,Match($A596,'Daily Raw Data'!$B:$B,0)),"")</f>
        <v/>
      </c>
      <c r="K596" t="str">
        <f t="array" ref="K596">IFERROR(INDEX('Daily Raw Data'!T:T,Match($A596,'Daily Raw Data'!$B:$B,0)),"")</f>
        <v/>
      </c>
      <c r="L596" t="str">
        <f t="array" ref="L596">IFERROR(INDEX('Daily Raw Data'!U:U,Match($A596,'Daily Raw Data'!$B:$B,0)),"")</f>
        <v/>
      </c>
      <c r="M596" t="str">
        <f t="array" ref="M596">IFERROR(INDEX('Daily Raw Data'!V:V,Match($A596,'Daily Raw Data'!$B:$B,0)),"")</f>
        <v/>
      </c>
      <c r="N596" t="str">
        <f t="array" ref="N596">IFERROR(INDEX('Daily Raw Data'!W:W,Match($A596,'Daily Raw Data'!$B:$B,0)),"")</f>
        <v/>
      </c>
      <c r="O596" t="str">
        <f t="array" ref="O596">IFERROR(INDEX('Daily Raw Data'!Y:Y,Match($A596,'Daily Raw Data'!$B:$B,0)),"")</f>
        <v/>
      </c>
      <c r="P596" t="str">
        <f t="shared" si="1"/>
        <v/>
      </c>
      <c r="Q596" s="14" t="str">
        <f t="shared" si="2"/>
        <v/>
      </c>
      <c r="R596" s="15" t="str">
        <f>IFERROR(__xludf.DUMMYFUNCTION("IF($A596="""","""", IFERROR(PERCENTRANK.INC(FILTER(P:P,$E:$E&lt;&gt;""""),P596)*100,""""))"),"")</f>
        <v/>
      </c>
      <c r="S596" s="15" t="str">
        <f>IFERROR(__xludf.DUMMYFUNCTION("IF($A596="""","""",IFERROR(PERCENTRANK.INC(FILTER(Q:Q,$E:$E&lt;&gt;""""),Q596)*100,""""))"),"")</f>
        <v/>
      </c>
    </row>
    <row r="597">
      <c r="B597" t="str">
        <f t="array" ref="B597">IFERROR(INDEX('Player Raw Data'!C:C,Match($A597,'Player Raw Data'!$B:$B,0)),"")</f>
        <v/>
      </c>
      <c r="C597" t="str">
        <f t="array" ref="C597">IFERROR(INDEX('Player Raw Data'!D:D,Match($A597,'Player Raw Data'!$B:$B,0)),"")</f>
        <v/>
      </c>
      <c r="D597" t="str">
        <f t="array" ref="D597">IFERROR(IF(A597=A596, INDEX('Player Raw Data'!E:E,Match($A597,'Player Raw Data'!$B:$B,0)+2),INDEX('Player Raw Data'!E:E,Match($A597,'Player Raw Data'!$B:$B,0))),"")</f>
        <v/>
      </c>
      <c r="E597" s="27" t="str">
        <f>IFERROR(__xludf.DUMMYFUNCTION("IFERROR(ARRAY_CONSTRAIN(SPLIT(INDEX('Daily Raw Data'!G:G,Match($A597,'Daily Raw Data'!$B:$B,0)),"":""),1,1),"""")"),"")</f>
        <v/>
      </c>
      <c r="F597" t="str">
        <f t="array" ref="F597">IFERROR(INDEX('Daily Raw Data'!H:H,Match($A597,'Daily Raw Data'!$B:$B,0)),"")</f>
        <v/>
      </c>
      <c r="G597" t="str">
        <f t="array" ref="G597">IFERROR(INDEX('Daily Raw Data'!I:I,Match($A597,'Daily Raw Data'!$B:$B,0)),"")</f>
        <v/>
      </c>
      <c r="H597" t="str">
        <f t="array" ref="H597">IFERROR(INDEX('Daily Raw Data'!N:N,Match($A597,'Daily Raw Data'!$B:$B,0)),"")</f>
        <v/>
      </c>
      <c r="I597" t="str">
        <f t="array" ref="I597">IFERROR(INDEX('Daily Raw Data'!O:O,Match($A597,'Daily Raw Data'!$B:$B,0)),"")</f>
        <v/>
      </c>
      <c r="J597" t="str">
        <f t="array" ref="J597">IFERROR(INDEX('Daily Raw Data'!S:S,Match($A597,'Daily Raw Data'!$B:$B,0)),"")</f>
        <v/>
      </c>
      <c r="K597" t="str">
        <f t="array" ref="K597">IFERROR(INDEX('Daily Raw Data'!T:T,Match($A597,'Daily Raw Data'!$B:$B,0)),"")</f>
        <v/>
      </c>
      <c r="L597" t="str">
        <f t="array" ref="L597">IFERROR(INDEX('Daily Raw Data'!U:U,Match($A597,'Daily Raw Data'!$B:$B,0)),"")</f>
        <v/>
      </c>
      <c r="M597" t="str">
        <f t="array" ref="M597">IFERROR(INDEX('Daily Raw Data'!V:V,Match($A597,'Daily Raw Data'!$B:$B,0)),"")</f>
        <v/>
      </c>
      <c r="N597" t="str">
        <f t="array" ref="N597">IFERROR(INDEX('Daily Raw Data'!W:W,Match($A597,'Daily Raw Data'!$B:$B,0)),"")</f>
        <v/>
      </c>
      <c r="O597" t="str">
        <f t="array" ref="O597">IFERROR(INDEX('Daily Raw Data'!Y:Y,Match($A597,'Daily Raw Data'!$B:$B,0)),"")</f>
        <v/>
      </c>
      <c r="P597" t="str">
        <f t="shared" si="1"/>
        <v/>
      </c>
      <c r="Q597" s="14" t="str">
        <f t="shared" si="2"/>
        <v/>
      </c>
      <c r="R597" s="15" t="str">
        <f>IFERROR(__xludf.DUMMYFUNCTION("IF($A597="""","""", IFERROR(PERCENTRANK.INC(FILTER(P:P,$E:$E&lt;&gt;""""),P597)*100,""""))"),"")</f>
        <v/>
      </c>
      <c r="S597" s="15" t="str">
        <f>IFERROR(__xludf.DUMMYFUNCTION("IF($A597="""","""",IFERROR(PERCENTRANK.INC(FILTER(Q:Q,$E:$E&lt;&gt;""""),Q597)*100,""""))"),"")</f>
        <v/>
      </c>
    </row>
    <row r="598">
      <c r="B598" t="str">
        <f t="array" ref="B598">IFERROR(INDEX('Player Raw Data'!C:C,Match($A598,'Player Raw Data'!$B:$B,0)),"")</f>
        <v/>
      </c>
      <c r="C598" t="str">
        <f t="array" ref="C598">IFERROR(INDEX('Player Raw Data'!D:D,Match($A598,'Player Raw Data'!$B:$B,0)),"")</f>
        <v/>
      </c>
      <c r="D598" t="str">
        <f t="array" ref="D598">IFERROR(IF(A598=A597, INDEX('Player Raw Data'!E:E,Match($A598,'Player Raw Data'!$B:$B,0)+2),INDEX('Player Raw Data'!E:E,Match($A598,'Player Raw Data'!$B:$B,0))),"")</f>
        <v/>
      </c>
      <c r="E598" s="27" t="str">
        <f>IFERROR(__xludf.DUMMYFUNCTION("IFERROR(ARRAY_CONSTRAIN(SPLIT(INDEX('Daily Raw Data'!G:G,Match($A598,'Daily Raw Data'!$B:$B,0)),"":""),1,1),"""")"),"")</f>
        <v/>
      </c>
      <c r="F598" t="str">
        <f t="array" ref="F598">IFERROR(INDEX('Daily Raw Data'!H:H,Match($A598,'Daily Raw Data'!$B:$B,0)),"")</f>
        <v/>
      </c>
      <c r="G598" t="str">
        <f t="array" ref="G598">IFERROR(INDEX('Daily Raw Data'!I:I,Match($A598,'Daily Raw Data'!$B:$B,0)),"")</f>
        <v/>
      </c>
      <c r="H598" t="str">
        <f t="array" ref="H598">IFERROR(INDEX('Daily Raw Data'!N:N,Match($A598,'Daily Raw Data'!$B:$B,0)),"")</f>
        <v/>
      </c>
      <c r="I598" t="str">
        <f t="array" ref="I598">IFERROR(INDEX('Daily Raw Data'!O:O,Match($A598,'Daily Raw Data'!$B:$B,0)),"")</f>
        <v/>
      </c>
      <c r="J598" t="str">
        <f t="array" ref="J598">IFERROR(INDEX('Daily Raw Data'!S:S,Match($A598,'Daily Raw Data'!$B:$B,0)),"")</f>
        <v/>
      </c>
      <c r="K598" t="str">
        <f t="array" ref="K598">IFERROR(INDEX('Daily Raw Data'!T:T,Match($A598,'Daily Raw Data'!$B:$B,0)),"")</f>
        <v/>
      </c>
      <c r="L598" t="str">
        <f t="array" ref="L598">IFERROR(INDEX('Daily Raw Data'!U:U,Match($A598,'Daily Raw Data'!$B:$B,0)),"")</f>
        <v/>
      </c>
      <c r="M598" t="str">
        <f t="array" ref="M598">IFERROR(INDEX('Daily Raw Data'!V:V,Match($A598,'Daily Raw Data'!$B:$B,0)),"")</f>
        <v/>
      </c>
      <c r="N598" t="str">
        <f t="array" ref="N598">IFERROR(INDEX('Daily Raw Data'!W:W,Match($A598,'Daily Raw Data'!$B:$B,0)),"")</f>
        <v/>
      </c>
      <c r="O598" t="str">
        <f t="array" ref="O598">IFERROR(INDEX('Daily Raw Data'!Y:Y,Match($A598,'Daily Raw Data'!$B:$B,0)),"")</f>
        <v/>
      </c>
      <c r="P598" t="str">
        <f t="shared" si="1"/>
        <v/>
      </c>
      <c r="Q598" s="14" t="str">
        <f t="shared" si="2"/>
        <v/>
      </c>
      <c r="R598" s="15" t="str">
        <f>IFERROR(__xludf.DUMMYFUNCTION("IF($A598="""","""", IFERROR(PERCENTRANK.INC(FILTER(P:P,$E:$E&lt;&gt;""""),P598)*100,""""))"),"")</f>
        <v/>
      </c>
      <c r="S598" s="15" t="str">
        <f>IFERROR(__xludf.DUMMYFUNCTION("IF($A598="""","""",IFERROR(PERCENTRANK.INC(FILTER(Q:Q,$E:$E&lt;&gt;""""),Q598)*100,""""))"),"")</f>
        <v/>
      </c>
    </row>
    <row r="599">
      <c r="B599" t="str">
        <f t="array" ref="B599">IFERROR(INDEX('Player Raw Data'!C:C,Match($A599,'Player Raw Data'!$B:$B,0)),"")</f>
        <v/>
      </c>
      <c r="C599" t="str">
        <f t="array" ref="C599">IFERROR(INDEX('Player Raw Data'!D:D,Match($A599,'Player Raw Data'!$B:$B,0)),"")</f>
        <v/>
      </c>
      <c r="D599" t="str">
        <f t="array" ref="D599">IFERROR(IF(A599=A598, INDEX('Player Raw Data'!E:E,Match($A599,'Player Raw Data'!$B:$B,0)+2),INDEX('Player Raw Data'!E:E,Match($A599,'Player Raw Data'!$B:$B,0))),"")</f>
        <v/>
      </c>
      <c r="E599" s="27" t="str">
        <f>IFERROR(__xludf.DUMMYFUNCTION("IFERROR(ARRAY_CONSTRAIN(SPLIT(INDEX('Daily Raw Data'!G:G,Match($A599,'Daily Raw Data'!$B:$B,0)),"":""),1,1),"""")"),"")</f>
        <v/>
      </c>
      <c r="F599" t="str">
        <f t="array" ref="F599">IFERROR(INDEX('Daily Raw Data'!H:H,Match($A599,'Daily Raw Data'!$B:$B,0)),"")</f>
        <v/>
      </c>
      <c r="G599" t="str">
        <f t="array" ref="G599">IFERROR(INDEX('Daily Raw Data'!I:I,Match($A599,'Daily Raw Data'!$B:$B,0)),"")</f>
        <v/>
      </c>
      <c r="H599" t="str">
        <f t="array" ref="H599">IFERROR(INDEX('Daily Raw Data'!N:N,Match($A599,'Daily Raw Data'!$B:$B,0)),"")</f>
        <v/>
      </c>
      <c r="I599" t="str">
        <f t="array" ref="I599">IFERROR(INDEX('Daily Raw Data'!O:O,Match($A599,'Daily Raw Data'!$B:$B,0)),"")</f>
        <v/>
      </c>
      <c r="J599" t="str">
        <f t="array" ref="J599">IFERROR(INDEX('Daily Raw Data'!S:S,Match($A599,'Daily Raw Data'!$B:$B,0)),"")</f>
        <v/>
      </c>
      <c r="K599" t="str">
        <f t="array" ref="K599">IFERROR(INDEX('Daily Raw Data'!T:T,Match($A599,'Daily Raw Data'!$B:$B,0)),"")</f>
        <v/>
      </c>
      <c r="L599" t="str">
        <f t="array" ref="L599">IFERROR(INDEX('Daily Raw Data'!U:U,Match($A599,'Daily Raw Data'!$B:$B,0)),"")</f>
        <v/>
      </c>
      <c r="M599" t="str">
        <f t="array" ref="M599">IFERROR(INDEX('Daily Raw Data'!V:V,Match($A599,'Daily Raw Data'!$B:$B,0)),"")</f>
        <v/>
      </c>
      <c r="N599" t="str">
        <f t="array" ref="N599">IFERROR(INDEX('Daily Raw Data'!W:W,Match($A599,'Daily Raw Data'!$B:$B,0)),"")</f>
        <v/>
      </c>
      <c r="O599" t="str">
        <f t="array" ref="O599">IFERROR(INDEX('Daily Raw Data'!Y:Y,Match($A599,'Daily Raw Data'!$B:$B,0)),"")</f>
        <v/>
      </c>
      <c r="P599" t="str">
        <f t="shared" si="1"/>
        <v/>
      </c>
      <c r="Q599" s="14" t="str">
        <f t="shared" si="2"/>
        <v/>
      </c>
      <c r="R599" s="15" t="str">
        <f>IFERROR(__xludf.DUMMYFUNCTION("IF($A599="""","""", IFERROR(PERCENTRANK.INC(FILTER(P:P,$E:$E&lt;&gt;""""),P599)*100,""""))"),"")</f>
        <v/>
      </c>
      <c r="S599" s="15" t="str">
        <f>IFERROR(__xludf.DUMMYFUNCTION("IF($A599="""","""",IFERROR(PERCENTRANK.INC(FILTER(Q:Q,$E:$E&lt;&gt;""""),Q599)*100,""""))"),"")</f>
        <v/>
      </c>
    </row>
    <row r="600">
      <c r="B600" t="str">
        <f t="array" ref="B600">IFERROR(INDEX('Player Raw Data'!C:C,Match($A600,'Player Raw Data'!$B:$B,0)),"")</f>
        <v/>
      </c>
      <c r="C600" t="str">
        <f t="array" ref="C600">IFERROR(INDEX('Player Raw Data'!D:D,Match($A600,'Player Raw Data'!$B:$B,0)),"")</f>
        <v/>
      </c>
      <c r="D600" t="str">
        <f t="array" ref="D600">IFERROR(IF(A600=A599, INDEX('Player Raw Data'!E:E,Match($A600,'Player Raw Data'!$B:$B,0)+2),INDEX('Player Raw Data'!E:E,Match($A600,'Player Raw Data'!$B:$B,0))),"")</f>
        <v/>
      </c>
      <c r="E600" s="27" t="str">
        <f>IFERROR(__xludf.DUMMYFUNCTION("IFERROR(ARRAY_CONSTRAIN(SPLIT(INDEX('Daily Raw Data'!G:G,Match($A600,'Daily Raw Data'!$B:$B,0)),"":""),1,1),"""")"),"")</f>
        <v/>
      </c>
      <c r="F600" t="str">
        <f t="array" ref="F600">IFERROR(INDEX('Daily Raw Data'!H:H,Match($A600,'Daily Raw Data'!$B:$B,0)),"")</f>
        <v/>
      </c>
      <c r="G600" t="str">
        <f t="array" ref="G600">IFERROR(INDEX('Daily Raw Data'!I:I,Match($A600,'Daily Raw Data'!$B:$B,0)),"")</f>
        <v/>
      </c>
      <c r="H600" t="str">
        <f t="array" ref="H600">IFERROR(INDEX('Daily Raw Data'!N:N,Match($A600,'Daily Raw Data'!$B:$B,0)),"")</f>
        <v/>
      </c>
      <c r="I600" t="str">
        <f t="array" ref="I600">IFERROR(INDEX('Daily Raw Data'!O:O,Match($A600,'Daily Raw Data'!$B:$B,0)),"")</f>
        <v/>
      </c>
      <c r="J600" t="str">
        <f t="array" ref="J600">IFERROR(INDEX('Daily Raw Data'!S:S,Match($A600,'Daily Raw Data'!$B:$B,0)),"")</f>
        <v/>
      </c>
      <c r="K600" t="str">
        <f t="array" ref="K600">IFERROR(INDEX('Daily Raw Data'!T:T,Match($A600,'Daily Raw Data'!$B:$B,0)),"")</f>
        <v/>
      </c>
      <c r="L600" t="str">
        <f t="array" ref="L600">IFERROR(INDEX('Daily Raw Data'!U:U,Match($A600,'Daily Raw Data'!$B:$B,0)),"")</f>
        <v/>
      </c>
      <c r="M600" t="str">
        <f t="array" ref="M600">IFERROR(INDEX('Daily Raw Data'!V:V,Match($A600,'Daily Raw Data'!$B:$B,0)),"")</f>
        <v/>
      </c>
      <c r="N600" t="str">
        <f t="array" ref="N600">IFERROR(INDEX('Daily Raw Data'!W:W,Match($A600,'Daily Raw Data'!$B:$B,0)),"")</f>
        <v/>
      </c>
      <c r="O600" t="str">
        <f t="array" ref="O600">IFERROR(INDEX('Daily Raw Data'!Y:Y,Match($A600,'Daily Raw Data'!$B:$B,0)),"")</f>
        <v/>
      </c>
      <c r="P600" t="str">
        <f t="shared" si="1"/>
        <v/>
      </c>
      <c r="Q600" s="14" t="str">
        <f t="shared" si="2"/>
        <v/>
      </c>
      <c r="R600" s="15" t="str">
        <f>IFERROR(__xludf.DUMMYFUNCTION("IF($A600="""","""", IFERROR(PERCENTRANK.INC(FILTER(P:P,$E:$E&lt;&gt;""""),P600)*100,""""))"),"")</f>
        <v/>
      </c>
      <c r="S600" s="15" t="str">
        <f>IFERROR(__xludf.DUMMYFUNCTION("IF($A600="""","""",IFERROR(PERCENTRANK.INC(FILTER(Q:Q,$E:$E&lt;&gt;""""),Q600)*100,""""))"),"")</f>
        <v/>
      </c>
    </row>
    <row r="601">
      <c r="B601" t="str">
        <f t="array" ref="B601">IFERROR(INDEX('Player Raw Data'!C:C,Match($A601,'Player Raw Data'!$B:$B,0)),"")</f>
        <v/>
      </c>
      <c r="C601" t="str">
        <f t="array" ref="C601">IFERROR(INDEX('Player Raw Data'!D:D,Match($A601,'Player Raw Data'!$B:$B,0)),"")</f>
        <v/>
      </c>
      <c r="D601" t="str">
        <f t="array" ref="D601">IFERROR(IF(A601=A600, INDEX('Player Raw Data'!E:E,Match($A601,'Player Raw Data'!$B:$B,0)+2),INDEX('Player Raw Data'!E:E,Match($A601,'Player Raw Data'!$B:$B,0))),"")</f>
        <v/>
      </c>
      <c r="E601" s="27" t="str">
        <f>IFERROR(__xludf.DUMMYFUNCTION("IFERROR(ARRAY_CONSTRAIN(SPLIT(INDEX('Daily Raw Data'!G:G,Match($A601,'Daily Raw Data'!$B:$B,0)),"":""),1,1),"""")"),"")</f>
        <v/>
      </c>
      <c r="F601" t="str">
        <f t="array" ref="F601">IFERROR(INDEX('Daily Raw Data'!H:H,Match($A601,'Daily Raw Data'!$B:$B,0)),"")</f>
        <v/>
      </c>
      <c r="G601" t="str">
        <f t="array" ref="G601">IFERROR(INDEX('Daily Raw Data'!I:I,Match($A601,'Daily Raw Data'!$B:$B,0)),"")</f>
        <v/>
      </c>
      <c r="H601" t="str">
        <f t="array" ref="H601">IFERROR(INDEX('Daily Raw Data'!N:N,Match($A601,'Daily Raw Data'!$B:$B,0)),"")</f>
        <v/>
      </c>
      <c r="I601" t="str">
        <f t="array" ref="I601">IFERROR(INDEX('Daily Raw Data'!O:O,Match($A601,'Daily Raw Data'!$B:$B,0)),"")</f>
        <v/>
      </c>
      <c r="J601" t="str">
        <f t="array" ref="J601">IFERROR(INDEX('Daily Raw Data'!S:S,Match($A601,'Daily Raw Data'!$B:$B,0)),"")</f>
        <v/>
      </c>
      <c r="K601" t="str">
        <f t="array" ref="K601">IFERROR(INDEX('Daily Raw Data'!T:T,Match($A601,'Daily Raw Data'!$B:$B,0)),"")</f>
        <v/>
      </c>
      <c r="L601" t="str">
        <f t="array" ref="L601">IFERROR(INDEX('Daily Raw Data'!U:U,Match($A601,'Daily Raw Data'!$B:$B,0)),"")</f>
        <v/>
      </c>
      <c r="M601" t="str">
        <f t="array" ref="M601">IFERROR(INDEX('Daily Raw Data'!V:V,Match($A601,'Daily Raw Data'!$B:$B,0)),"")</f>
        <v/>
      </c>
      <c r="N601" t="str">
        <f t="array" ref="N601">IFERROR(INDEX('Daily Raw Data'!W:W,Match($A601,'Daily Raw Data'!$B:$B,0)),"")</f>
        <v/>
      </c>
      <c r="O601" t="str">
        <f t="array" ref="O601">IFERROR(INDEX('Daily Raw Data'!Y:Y,Match($A601,'Daily Raw Data'!$B:$B,0)),"")</f>
        <v/>
      </c>
      <c r="P601" t="str">
        <f t="shared" si="1"/>
        <v/>
      </c>
      <c r="Q601" s="14" t="str">
        <f t="shared" si="2"/>
        <v/>
      </c>
      <c r="R601" s="15" t="str">
        <f>IFERROR(__xludf.DUMMYFUNCTION("IF($A601="""","""", IFERROR(PERCENTRANK.INC(FILTER(P:P,$E:$E&lt;&gt;""""),P601)*100,""""))"),"")</f>
        <v/>
      </c>
      <c r="S601" s="15" t="str">
        <f>IFERROR(__xludf.DUMMYFUNCTION("IF($A601="""","""",IFERROR(PERCENTRANK.INC(FILTER(Q:Q,$E:$E&lt;&gt;""""),Q601)*100,""""))"),"")</f>
        <v/>
      </c>
    </row>
    <row r="602">
      <c r="B602" t="str">
        <f t="array" ref="B602">IFERROR(INDEX('Player Raw Data'!C:C,Match($A602,'Player Raw Data'!$B:$B,0)),"")</f>
        <v/>
      </c>
      <c r="C602" t="str">
        <f t="array" ref="C602">IFERROR(INDEX('Player Raw Data'!D:D,Match($A602,'Player Raw Data'!$B:$B,0)),"")</f>
        <v/>
      </c>
      <c r="D602" t="str">
        <f t="array" ref="D602">IFERROR(IF(A602=A601, INDEX('Player Raw Data'!E:E,Match($A602,'Player Raw Data'!$B:$B,0)+2),INDEX('Player Raw Data'!E:E,Match($A602,'Player Raw Data'!$B:$B,0))),"")</f>
        <v/>
      </c>
      <c r="E602" s="27" t="str">
        <f>IFERROR(__xludf.DUMMYFUNCTION("IFERROR(ARRAY_CONSTRAIN(SPLIT(INDEX('Daily Raw Data'!G:G,Match($A602,'Daily Raw Data'!$B:$B,0)),"":""),1,1),"""")"),"")</f>
        <v/>
      </c>
      <c r="F602" t="str">
        <f t="array" ref="F602">IFERROR(INDEX('Daily Raw Data'!H:H,Match($A602,'Daily Raw Data'!$B:$B,0)),"")</f>
        <v/>
      </c>
      <c r="G602" t="str">
        <f t="array" ref="G602">IFERROR(INDEX('Daily Raw Data'!I:I,Match($A602,'Daily Raw Data'!$B:$B,0)),"")</f>
        <v/>
      </c>
      <c r="H602" t="str">
        <f t="array" ref="H602">IFERROR(INDEX('Daily Raw Data'!N:N,Match($A602,'Daily Raw Data'!$B:$B,0)),"")</f>
        <v/>
      </c>
      <c r="I602" t="str">
        <f t="array" ref="I602">IFERROR(INDEX('Daily Raw Data'!O:O,Match($A602,'Daily Raw Data'!$B:$B,0)),"")</f>
        <v/>
      </c>
      <c r="J602" t="str">
        <f t="array" ref="J602">IFERROR(INDEX('Daily Raw Data'!S:S,Match($A602,'Daily Raw Data'!$B:$B,0)),"")</f>
        <v/>
      </c>
      <c r="K602" t="str">
        <f t="array" ref="K602">IFERROR(INDEX('Daily Raw Data'!T:T,Match($A602,'Daily Raw Data'!$B:$B,0)),"")</f>
        <v/>
      </c>
      <c r="L602" t="str">
        <f t="array" ref="L602">IFERROR(INDEX('Daily Raw Data'!U:U,Match($A602,'Daily Raw Data'!$B:$B,0)),"")</f>
        <v/>
      </c>
      <c r="M602" t="str">
        <f t="array" ref="M602">IFERROR(INDEX('Daily Raw Data'!V:V,Match($A602,'Daily Raw Data'!$B:$B,0)),"")</f>
        <v/>
      </c>
      <c r="N602" t="str">
        <f t="array" ref="N602">IFERROR(INDEX('Daily Raw Data'!W:W,Match($A602,'Daily Raw Data'!$B:$B,0)),"")</f>
        <v/>
      </c>
      <c r="O602" t="str">
        <f t="array" ref="O602">IFERROR(INDEX('Daily Raw Data'!Y:Y,Match($A602,'Daily Raw Data'!$B:$B,0)),"")</f>
        <v/>
      </c>
      <c r="P602" t="str">
        <f t="shared" si="1"/>
        <v/>
      </c>
      <c r="Q602" s="14" t="str">
        <f t="shared" si="2"/>
        <v/>
      </c>
      <c r="R602" s="15" t="str">
        <f>IFERROR(__xludf.DUMMYFUNCTION("IF($A602="""","""", IFERROR(PERCENTRANK.INC(FILTER(P:P,$E:$E&lt;&gt;""""),P602)*100,""""))"),"")</f>
        <v/>
      </c>
      <c r="S602" s="15" t="str">
        <f>IFERROR(__xludf.DUMMYFUNCTION("IF($A602="""","""",IFERROR(PERCENTRANK.INC(FILTER(Q:Q,$E:$E&lt;&gt;""""),Q602)*100,""""))"),"")</f>
        <v/>
      </c>
    </row>
    <row r="603">
      <c r="B603" t="str">
        <f t="array" ref="B603">IFERROR(INDEX('Player Raw Data'!C:C,Match($A603,'Player Raw Data'!$B:$B,0)),"")</f>
        <v/>
      </c>
      <c r="C603" t="str">
        <f t="array" ref="C603">IFERROR(INDEX('Player Raw Data'!D:D,Match($A603,'Player Raw Data'!$B:$B,0)),"")</f>
        <v/>
      </c>
      <c r="D603" t="str">
        <f t="array" ref="D603">IFERROR(IF(A603=A602, INDEX('Player Raw Data'!E:E,Match($A603,'Player Raw Data'!$B:$B,0)+2),INDEX('Player Raw Data'!E:E,Match($A603,'Player Raw Data'!$B:$B,0))),"")</f>
        <v/>
      </c>
      <c r="E603" s="27" t="str">
        <f>IFERROR(__xludf.DUMMYFUNCTION("IFERROR(ARRAY_CONSTRAIN(SPLIT(INDEX('Daily Raw Data'!G:G,Match($A603,'Daily Raw Data'!$B:$B,0)),"":""),1,1),"""")"),"")</f>
        <v/>
      </c>
      <c r="F603" t="str">
        <f t="array" ref="F603">IFERROR(INDEX('Daily Raw Data'!H:H,Match($A603,'Daily Raw Data'!$B:$B,0)),"")</f>
        <v/>
      </c>
      <c r="G603" t="str">
        <f t="array" ref="G603">IFERROR(INDEX('Daily Raw Data'!I:I,Match($A603,'Daily Raw Data'!$B:$B,0)),"")</f>
        <v/>
      </c>
      <c r="H603" t="str">
        <f t="array" ref="H603">IFERROR(INDEX('Daily Raw Data'!N:N,Match($A603,'Daily Raw Data'!$B:$B,0)),"")</f>
        <v/>
      </c>
      <c r="I603" t="str">
        <f t="array" ref="I603">IFERROR(INDEX('Daily Raw Data'!O:O,Match($A603,'Daily Raw Data'!$B:$B,0)),"")</f>
        <v/>
      </c>
      <c r="J603" t="str">
        <f t="array" ref="J603">IFERROR(INDEX('Daily Raw Data'!S:S,Match($A603,'Daily Raw Data'!$B:$B,0)),"")</f>
        <v/>
      </c>
      <c r="K603" t="str">
        <f t="array" ref="K603">IFERROR(INDEX('Daily Raw Data'!T:T,Match($A603,'Daily Raw Data'!$B:$B,0)),"")</f>
        <v/>
      </c>
      <c r="L603" t="str">
        <f t="array" ref="L603">IFERROR(INDEX('Daily Raw Data'!U:U,Match($A603,'Daily Raw Data'!$B:$B,0)),"")</f>
        <v/>
      </c>
      <c r="M603" t="str">
        <f t="array" ref="M603">IFERROR(INDEX('Daily Raw Data'!V:V,Match($A603,'Daily Raw Data'!$B:$B,0)),"")</f>
        <v/>
      </c>
      <c r="N603" t="str">
        <f t="array" ref="N603">IFERROR(INDEX('Daily Raw Data'!W:W,Match($A603,'Daily Raw Data'!$B:$B,0)),"")</f>
        <v/>
      </c>
      <c r="O603" t="str">
        <f t="array" ref="O603">IFERROR(INDEX('Daily Raw Data'!Y:Y,Match($A603,'Daily Raw Data'!$B:$B,0)),"")</f>
        <v/>
      </c>
      <c r="P603" t="str">
        <f t="shared" si="1"/>
        <v/>
      </c>
      <c r="Q603" s="14" t="str">
        <f t="shared" si="2"/>
        <v/>
      </c>
      <c r="R603" s="15" t="str">
        <f>IFERROR(__xludf.DUMMYFUNCTION("IF($A603="""","""", IFERROR(PERCENTRANK.INC(FILTER(P:P,$E:$E&lt;&gt;""""),P603)*100,""""))"),"")</f>
        <v/>
      </c>
      <c r="S603" s="15" t="str">
        <f>IFERROR(__xludf.DUMMYFUNCTION("IF($A603="""","""",IFERROR(PERCENTRANK.INC(FILTER(Q:Q,$E:$E&lt;&gt;""""),Q603)*100,""""))"),"")</f>
        <v/>
      </c>
    </row>
    <row r="604">
      <c r="B604" t="str">
        <f t="array" ref="B604">IFERROR(INDEX('Player Raw Data'!C:C,Match($A604,'Player Raw Data'!$B:$B,0)),"")</f>
        <v/>
      </c>
      <c r="C604" t="str">
        <f t="array" ref="C604">IFERROR(INDEX('Player Raw Data'!D:D,Match($A604,'Player Raw Data'!$B:$B,0)),"")</f>
        <v/>
      </c>
      <c r="D604" t="str">
        <f t="array" ref="D604">IFERROR(IF(A604=A603, INDEX('Player Raw Data'!E:E,Match($A604,'Player Raw Data'!$B:$B,0)+2),INDEX('Player Raw Data'!E:E,Match($A604,'Player Raw Data'!$B:$B,0))),"")</f>
        <v/>
      </c>
      <c r="E604" s="27" t="str">
        <f>IFERROR(__xludf.DUMMYFUNCTION("IFERROR(ARRAY_CONSTRAIN(SPLIT(INDEX('Daily Raw Data'!G:G,Match($A604,'Daily Raw Data'!$B:$B,0)),"":""),1,1),"""")"),"")</f>
        <v/>
      </c>
      <c r="F604" t="str">
        <f t="array" ref="F604">IFERROR(INDEX('Daily Raw Data'!H:H,Match($A604,'Daily Raw Data'!$B:$B,0)),"")</f>
        <v/>
      </c>
      <c r="G604" t="str">
        <f t="array" ref="G604">IFERROR(INDEX('Daily Raw Data'!I:I,Match($A604,'Daily Raw Data'!$B:$B,0)),"")</f>
        <v/>
      </c>
      <c r="H604" t="str">
        <f t="array" ref="H604">IFERROR(INDEX('Daily Raw Data'!N:N,Match($A604,'Daily Raw Data'!$B:$B,0)),"")</f>
        <v/>
      </c>
      <c r="I604" t="str">
        <f t="array" ref="I604">IFERROR(INDEX('Daily Raw Data'!O:O,Match($A604,'Daily Raw Data'!$B:$B,0)),"")</f>
        <v/>
      </c>
      <c r="J604" t="str">
        <f t="array" ref="J604">IFERROR(INDEX('Daily Raw Data'!S:S,Match($A604,'Daily Raw Data'!$B:$B,0)),"")</f>
        <v/>
      </c>
      <c r="K604" t="str">
        <f t="array" ref="K604">IFERROR(INDEX('Daily Raw Data'!T:T,Match($A604,'Daily Raw Data'!$B:$B,0)),"")</f>
        <v/>
      </c>
      <c r="L604" t="str">
        <f t="array" ref="L604">IFERROR(INDEX('Daily Raw Data'!U:U,Match($A604,'Daily Raw Data'!$B:$B,0)),"")</f>
        <v/>
      </c>
      <c r="M604" t="str">
        <f t="array" ref="M604">IFERROR(INDEX('Daily Raw Data'!V:V,Match($A604,'Daily Raw Data'!$B:$B,0)),"")</f>
        <v/>
      </c>
      <c r="N604" t="str">
        <f t="array" ref="N604">IFERROR(INDEX('Daily Raw Data'!W:W,Match($A604,'Daily Raw Data'!$B:$B,0)),"")</f>
        <v/>
      </c>
      <c r="O604" t="str">
        <f t="array" ref="O604">IFERROR(INDEX('Daily Raw Data'!Y:Y,Match($A604,'Daily Raw Data'!$B:$B,0)),"")</f>
        <v/>
      </c>
      <c r="P604" t="str">
        <f t="shared" si="1"/>
        <v/>
      </c>
      <c r="Q604" s="14" t="str">
        <f t="shared" si="2"/>
        <v/>
      </c>
      <c r="R604" s="15" t="str">
        <f>IFERROR(__xludf.DUMMYFUNCTION("IF($A604="""","""", IFERROR(PERCENTRANK.INC(FILTER(P:P,$E:$E&lt;&gt;""""),P604)*100,""""))"),"")</f>
        <v/>
      </c>
      <c r="S604" s="15" t="str">
        <f>IFERROR(__xludf.DUMMYFUNCTION("IF($A604="""","""",IFERROR(PERCENTRANK.INC(FILTER(Q:Q,$E:$E&lt;&gt;""""),Q604)*100,""""))"),"")</f>
        <v/>
      </c>
    </row>
    <row r="605">
      <c r="B605" t="str">
        <f t="array" ref="B605">IFERROR(INDEX('Player Raw Data'!C:C,Match($A605,'Player Raw Data'!$B:$B,0)),"")</f>
        <v/>
      </c>
      <c r="C605" t="str">
        <f t="array" ref="C605">IFERROR(INDEX('Player Raw Data'!D:D,Match($A605,'Player Raw Data'!$B:$B,0)),"")</f>
        <v/>
      </c>
      <c r="D605" t="str">
        <f t="array" ref="D605">IFERROR(IF(A605=A604, INDEX('Player Raw Data'!E:E,Match($A605,'Player Raw Data'!$B:$B,0)+2),INDEX('Player Raw Data'!E:E,Match($A605,'Player Raw Data'!$B:$B,0))),"")</f>
        <v/>
      </c>
      <c r="E605" s="27" t="str">
        <f>IFERROR(__xludf.DUMMYFUNCTION("IFERROR(ARRAY_CONSTRAIN(SPLIT(INDEX('Daily Raw Data'!G:G,Match($A605,'Daily Raw Data'!$B:$B,0)),"":""),1,1),"""")"),"")</f>
        <v/>
      </c>
      <c r="F605" t="str">
        <f t="array" ref="F605">IFERROR(INDEX('Daily Raw Data'!H:H,Match($A605,'Daily Raw Data'!$B:$B,0)),"")</f>
        <v/>
      </c>
      <c r="G605" t="str">
        <f t="array" ref="G605">IFERROR(INDEX('Daily Raw Data'!I:I,Match($A605,'Daily Raw Data'!$B:$B,0)),"")</f>
        <v/>
      </c>
      <c r="H605" t="str">
        <f t="array" ref="H605">IFERROR(INDEX('Daily Raw Data'!N:N,Match($A605,'Daily Raw Data'!$B:$B,0)),"")</f>
        <v/>
      </c>
      <c r="I605" t="str">
        <f t="array" ref="I605">IFERROR(INDEX('Daily Raw Data'!O:O,Match($A605,'Daily Raw Data'!$B:$B,0)),"")</f>
        <v/>
      </c>
      <c r="J605" t="str">
        <f t="array" ref="J605">IFERROR(INDEX('Daily Raw Data'!S:S,Match($A605,'Daily Raw Data'!$B:$B,0)),"")</f>
        <v/>
      </c>
      <c r="K605" t="str">
        <f t="array" ref="K605">IFERROR(INDEX('Daily Raw Data'!T:T,Match($A605,'Daily Raw Data'!$B:$B,0)),"")</f>
        <v/>
      </c>
      <c r="L605" t="str">
        <f t="array" ref="L605">IFERROR(INDEX('Daily Raw Data'!U:U,Match($A605,'Daily Raw Data'!$B:$B,0)),"")</f>
        <v/>
      </c>
      <c r="M605" t="str">
        <f t="array" ref="M605">IFERROR(INDEX('Daily Raw Data'!V:V,Match($A605,'Daily Raw Data'!$B:$B,0)),"")</f>
        <v/>
      </c>
      <c r="N605" t="str">
        <f t="array" ref="N605">IFERROR(INDEX('Daily Raw Data'!W:W,Match($A605,'Daily Raw Data'!$B:$B,0)),"")</f>
        <v/>
      </c>
      <c r="O605" t="str">
        <f t="array" ref="O605">IFERROR(INDEX('Daily Raw Data'!Y:Y,Match($A605,'Daily Raw Data'!$B:$B,0)),"")</f>
        <v/>
      </c>
      <c r="P605" t="str">
        <f t="shared" si="1"/>
        <v/>
      </c>
      <c r="Q605" s="14" t="str">
        <f t="shared" si="2"/>
        <v/>
      </c>
      <c r="R605" s="15" t="str">
        <f>IFERROR(__xludf.DUMMYFUNCTION("IF($A605="""","""", IFERROR(PERCENTRANK.INC(FILTER(P:P,$E:$E&lt;&gt;""""),P605)*100,""""))"),"")</f>
        <v/>
      </c>
      <c r="S605" s="15" t="str">
        <f>IFERROR(__xludf.DUMMYFUNCTION("IF($A605="""","""",IFERROR(PERCENTRANK.INC(FILTER(Q:Q,$E:$E&lt;&gt;""""),Q605)*100,""""))"),"")</f>
        <v/>
      </c>
    </row>
    <row r="606">
      <c r="B606" t="str">
        <f t="array" ref="B606">IFERROR(INDEX('Player Raw Data'!C:C,Match($A606,'Player Raw Data'!$B:$B,0)),"")</f>
        <v/>
      </c>
      <c r="C606" t="str">
        <f t="array" ref="C606">IFERROR(INDEX('Player Raw Data'!D:D,Match($A606,'Player Raw Data'!$B:$B,0)),"")</f>
        <v/>
      </c>
      <c r="D606" t="str">
        <f t="array" ref="D606">IFERROR(IF(A606=A605, INDEX('Player Raw Data'!E:E,Match($A606,'Player Raw Data'!$B:$B,0)+2),INDEX('Player Raw Data'!E:E,Match($A606,'Player Raw Data'!$B:$B,0))),"")</f>
        <v/>
      </c>
      <c r="E606" s="27" t="str">
        <f>IFERROR(__xludf.DUMMYFUNCTION("IFERROR(ARRAY_CONSTRAIN(SPLIT(INDEX('Daily Raw Data'!G:G,Match($A606,'Daily Raw Data'!$B:$B,0)),"":""),1,1),"""")"),"")</f>
        <v/>
      </c>
      <c r="F606" t="str">
        <f t="array" ref="F606">IFERROR(INDEX('Daily Raw Data'!H:H,Match($A606,'Daily Raw Data'!$B:$B,0)),"")</f>
        <v/>
      </c>
      <c r="G606" t="str">
        <f t="array" ref="G606">IFERROR(INDEX('Daily Raw Data'!I:I,Match($A606,'Daily Raw Data'!$B:$B,0)),"")</f>
        <v/>
      </c>
      <c r="H606" t="str">
        <f t="array" ref="H606">IFERROR(INDEX('Daily Raw Data'!N:N,Match($A606,'Daily Raw Data'!$B:$B,0)),"")</f>
        <v/>
      </c>
      <c r="I606" t="str">
        <f t="array" ref="I606">IFERROR(INDEX('Daily Raw Data'!O:O,Match($A606,'Daily Raw Data'!$B:$B,0)),"")</f>
        <v/>
      </c>
      <c r="J606" t="str">
        <f t="array" ref="J606">IFERROR(INDEX('Daily Raw Data'!S:S,Match($A606,'Daily Raw Data'!$B:$B,0)),"")</f>
        <v/>
      </c>
      <c r="K606" t="str">
        <f t="array" ref="K606">IFERROR(INDEX('Daily Raw Data'!T:T,Match($A606,'Daily Raw Data'!$B:$B,0)),"")</f>
        <v/>
      </c>
      <c r="L606" t="str">
        <f t="array" ref="L606">IFERROR(INDEX('Daily Raw Data'!U:U,Match($A606,'Daily Raw Data'!$B:$B,0)),"")</f>
        <v/>
      </c>
      <c r="M606" t="str">
        <f t="array" ref="M606">IFERROR(INDEX('Daily Raw Data'!V:V,Match($A606,'Daily Raw Data'!$B:$B,0)),"")</f>
        <v/>
      </c>
      <c r="N606" t="str">
        <f t="array" ref="N606">IFERROR(INDEX('Daily Raw Data'!W:W,Match($A606,'Daily Raw Data'!$B:$B,0)),"")</f>
        <v/>
      </c>
      <c r="O606" t="str">
        <f t="array" ref="O606">IFERROR(INDEX('Daily Raw Data'!Y:Y,Match($A606,'Daily Raw Data'!$B:$B,0)),"")</f>
        <v/>
      </c>
      <c r="P606" t="str">
        <f t="shared" si="1"/>
        <v/>
      </c>
      <c r="Q606" s="14" t="str">
        <f t="shared" si="2"/>
        <v/>
      </c>
      <c r="R606" s="15" t="str">
        <f>IFERROR(__xludf.DUMMYFUNCTION("IF($A606="""","""", IFERROR(PERCENTRANK.INC(FILTER(P:P,$E:$E&lt;&gt;""""),P606)*100,""""))"),"")</f>
        <v/>
      </c>
      <c r="S606" s="15" t="str">
        <f>IFERROR(__xludf.DUMMYFUNCTION("IF($A606="""","""",IFERROR(PERCENTRANK.INC(FILTER(Q:Q,$E:$E&lt;&gt;""""),Q606)*100,""""))"),"")</f>
        <v/>
      </c>
    </row>
    <row r="607">
      <c r="B607" t="str">
        <f t="array" ref="B607">IFERROR(INDEX('Player Raw Data'!C:C,Match($A607,'Player Raw Data'!$B:$B,0)),"")</f>
        <v/>
      </c>
      <c r="C607" t="str">
        <f t="array" ref="C607">IFERROR(INDEX('Player Raw Data'!D:D,Match($A607,'Player Raw Data'!$B:$B,0)),"")</f>
        <v/>
      </c>
      <c r="D607" t="str">
        <f t="array" ref="D607">IFERROR(IF(A607=A606, INDEX('Player Raw Data'!E:E,Match($A607,'Player Raw Data'!$B:$B,0)+2),INDEX('Player Raw Data'!E:E,Match($A607,'Player Raw Data'!$B:$B,0))),"")</f>
        <v/>
      </c>
      <c r="E607" s="27" t="str">
        <f>IFERROR(__xludf.DUMMYFUNCTION("IFERROR(ARRAY_CONSTRAIN(SPLIT(INDEX('Daily Raw Data'!G:G,Match($A607,'Daily Raw Data'!$B:$B,0)),"":""),1,1),"""")"),"")</f>
        <v/>
      </c>
      <c r="F607" t="str">
        <f t="array" ref="F607">IFERROR(INDEX('Daily Raw Data'!H:H,Match($A607,'Daily Raw Data'!$B:$B,0)),"")</f>
        <v/>
      </c>
      <c r="G607" t="str">
        <f t="array" ref="G607">IFERROR(INDEX('Daily Raw Data'!I:I,Match($A607,'Daily Raw Data'!$B:$B,0)),"")</f>
        <v/>
      </c>
      <c r="H607" t="str">
        <f t="array" ref="H607">IFERROR(INDEX('Daily Raw Data'!N:N,Match($A607,'Daily Raw Data'!$B:$B,0)),"")</f>
        <v/>
      </c>
      <c r="I607" t="str">
        <f t="array" ref="I607">IFERROR(INDEX('Daily Raw Data'!O:O,Match($A607,'Daily Raw Data'!$B:$B,0)),"")</f>
        <v/>
      </c>
      <c r="J607" t="str">
        <f t="array" ref="J607">IFERROR(INDEX('Daily Raw Data'!S:S,Match($A607,'Daily Raw Data'!$B:$B,0)),"")</f>
        <v/>
      </c>
      <c r="K607" t="str">
        <f t="array" ref="K607">IFERROR(INDEX('Daily Raw Data'!T:T,Match($A607,'Daily Raw Data'!$B:$B,0)),"")</f>
        <v/>
      </c>
      <c r="L607" t="str">
        <f t="array" ref="L607">IFERROR(INDEX('Daily Raw Data'!U:U,Match($A607,'Daily Raw Data'!$B:$B,0)),"")</f>
        <v/>
      </c>
      <c r="M607" t="str">
        <f t="array" ref="M607">IFERROR(INDEX('Daily Raw Data'!V:V,Match($A607,'Daily Raw Data'!$B:$B,0)),"")</f>
        <v/>
      </c>
      <c r="N607" t="str">
        <f t="array" ref="N607">IFERROR(INDEX('Daily Raw Data'!W:W,Match($A607,'Daily Raw Data'!$B:$B,0)),"")</f>
        <v/>
      </c>
      <c r="O607" t="str">
        <f t="array" ref="O607">IFERROR(INDEX('Daily Raw Data'!Y:Y,Match($A607,'Daily Raw Data'!$B:$B,0)),"")</f>
        <v/>
      </c>
      <c r="P607" t="str">
        <f t="shared" si="1"/>
        <v/>
      </c>
      <c r="Q607" s="14" t="str">
        <f t="shared" si="2"/>
        <v/>
      </c>
      <c r="R607" s="15" t="str">
        <f>IFERROR(__xludf.DUMMYFUNCTION("IF($A607="""","""", IFERROR(PERCENTRANK.INC(FILTER(P:P,$E:$E&lt;&gt;""""),P607)*100,""""))"),"")</f>
        <v/>
      </c>
      <c r="S607" s="15" t="str">
        <f>IFERROR(__xludf.DUMMYFUNCTION("IF($A607="""","""",IFERROR(PERCENTRANK.INC(FILTER(Q:Q,$E:$E&lt;&gt;""""),Q607)*100,""""))"),"")</f>
        <v/>
      </c>
    </row>
    <row r="608">
      <c r="B608" t="str">
        <f t="array" ref="B608">IFERROR(INDEX('Player Raw Data'!C:C,Match($A608,'Player Raw Data'!$B:$B,0)),"")</f>
        <v/>
      </c>
      <c r="C608" t="str">
        <f t="array" ref="C608">IFERROR(INDEX('Player Raw Data'!D:D,Match($A608,'Player Raw Data'!$B:$B,0)),"")</f>
        <v/>
      </c>
      <c r="D608" t="str">
        <f t="array" ref="D608">IFERROR(IF(A608=A607, INDEX('Player Raw Data'!E:E,Match($A608,'Player Raw Data'!$B:$B,0)+2),INDEX('Player Raw Data'!E:E,Match($A608,'Player Raw Data'!$B:$B,0))),"")</f>
        <v/>
      </c>
      <c r="E608" s="27" t="str">
        <f>IFERROR(__xludf.DUMMYFUNCTION("IFERROR(ARRAY_CONSTRAIN(SPLIT(INDEX('Daily Raw Data'!G:G,Match($A608,'Daily Raw Data'!$B:$B,0)),"":""),1,1),"""")"),"")</f>
        <v/>
      </c>
      <c r="F608" t="str">
        <f t="array" ref="F608">IFERROR(INDEX('Daily Raw Data'!H:H,Match($A608,'Daily Raw Data'!$B:$B,0)),"")</f>
        <v/>
      </c>
      <c r="G608" t="str">
        <f t="array" ref="G608">IFERROR(INDEX('Daily Raw Data'!I:I,Match($A608,'Daily Raw Data'!$B:$B,0)),"")</f>
        <v/>
      </c>
      <c r="H608" t="str">
        <f t="array" ref="H608">IFERROR(INDEX('Daily Raw Data'!N:N,Match($A608,'Daily Raw Data'!$B:$B,0)),"")</f>
        <v/>
      </c>
      <c r="I608" t="str">
        <f t="array" ref="I608">IFERROR(INDEX('Daily Raw Data'!O:O,Match($A608,'Daily Raw Data'!$B:$B,0)),"")</f>
        <v/>
      </c>
      <c r="J608" t="str">
        <f t="array" ref="J608">IFERROR(INDEX('Daily Raw Data'!S:S,Match($A608,'Daily Raw Data'!$B:$B,0)),"")</f>
        <v/>
      </c>
      <c r="K608" t="str">
        <f t="array" ref="K608">IFERROR(INDEX('Daily Raw Data'!T:T,Match($A608,'Daily Raw Data'!$B:$B,0)),"")</f>
        <v/>
      </c>
      <c r="L608" t="str">
        <f t="array" ref="L608">IFERROR(INDEX('Daily Raw Data'!U:U,Match($A608,'Daily Raw Data'!$B:$B,0)),"")</f>
        <v/>
      </c>
      <c r="M608" t="str">
        <f t="array" ref="M608">IFERROR(INDEX('Daily Raw Data'!V:V,Match($A608,'Daily Raw Data'!$B:$B,0)),"")</f>
        <v/>
      </c>
      <c r="N608" t="str">
        <f t="array" ref="N608">IFERROR(INDEX('Daily Raw Data'!W:W,Match($A608,'Daily Raw Data'!$B:$B,0)),"")</f>
        <v/>
      </c>
      <c r="O608" t="str">
        <f t="array" ref="O608">IFERROR(INDEX('Daily Raw Data'!Y:Y,Match($A608,'Daily Raw Data'!$B:$B,0)),"")</f>
        <v/>
      </c>
      <c r="P608" t="str">
        <f t="shared" si="1"/>
        <v/>
      </c>
      <c r="Q608" s="14" t="str">
        <f t="shared" si="2"/>
        <v/>
      </c>
      <c r="R608" s="15" t="str">
        <f>IFERROR(__xludf.DUMMYFUNCTION("IF($A608="""","""", IFERROR(PERCENTRANK.INC(FILTER(P:P,$E:$E&lt;&gt;""""),P608)*100,""""))"),"")</f>
        <v/>
      </c>
      <c r="S608" s="15" t="str">
        <f>IFERROR(__xludf.DUMMYFUNCTION("IF($A608="""","""",IFERROR(PERCENTRANK.INC(FILTER(Q:Q,$E:$E&lt;&gt;""""),Q608)*100,""""))"),"")</f>
        <v/>
      </c>
    </row>
    <row r="609">
      <c r="B609" t="str">
        <f t="array" ref="B609">IFERROR(INDEX('Player Raw Data'!C:C,Match($A609,'Player Raw Data'!$B:$B,0)),"")</f>
        <v/>
      </c>
      <c r="C609" t="str">
        <f t="array" ref="C609">IFERROR(INDEX('Player Raw Data'!D:D,Match($A609,'Player Raw Data'!$B:$B,0)),"")</f>
        <v/>
      </c>
      <c r="D609" t="str">
        <f t="array" ref="D609">IFERROR(IF(A609=A608, INDEX('Player Raw Data'!E:E,Match($A609,'Player Raw Data'!$B:$B,0)+2),INDEX('Player Raw Data'!E:E,Match($A609,'Player Raw Data'!$B:$B,0))),"")</f>
        <v/>
      </c>
      <c r="E609" s="27" t="str">
        <f>IFERROR(__xludf.DUMMYFUNCTION("IFERROR(ARRAY_CONSTRAIN(SPLIT(INDEX('Daily Raw Data'!G:G,Match($A609,'Daily Raw Data'!$B:$B,0)),"":""),1,1),"""")"),"")</f>
        <v/>
      </c>
      <c r="F609" t="str">
        <f t="array" ref="F609">IFERROR(INDEX('Daily Raw Data'!H:H,Match($A609,'Daily Raw Data'!$B:$B,0)),"")</f>
        <v/>
      </c>
      <c r="G609" t="str">
        <f t="array" ref="G609">IFERROR(INDEX('Daily Raw Data'!I:I,Match($A609,'Daily Raw Data'!$B:$B,0)),"")</f>
        <v/>
      </c>
      <c r="H609" t="str">
        <f t="array" ref="H609">IFERROR(INDEX('Daily Raw Data'!N:N,Match($A609,'Daily Raw Data'!$B:$B,0)),"")</f>
        <v/>
      </c>
      <c r="I609" t="str">
        <f t="array" ref="I609">IFERROR(INDEX('Daily Raw Data'!O:O,Match($A609,'Daily Raw Data'!$B:$B,0)),"")</f>
        <v/>
      </c>
      <c r="J609" t="str">
        <f t="array" ref="J609">IFERROR(INDEX('Daily Raw Data'!S:S,Match($A609,'Daily Raw Data'!$B:$B,0)),"")</f>
        <v/>
      </c>
      <c r="K609" t="str">
        <f t="array" ref="K609">IFERROR(INDEX('Daily Raw Data'!T:T,Match($A609,'Daily Raw Data'!$B:$B,0)),"")</f>
        <v/>
      </c>
      <c r="L609" t="str">
        <f t="array" ref="L609">IFERROR(INDEX('Daily Raw Data'!U:U,Match($A609,'Daily Raw Data'!$B:$B,0)),"")</f>
        <v/>
      </c>
      <c r="M609" t="str">
        <f t="array" ref="M609">IFERROR(INDEX('Daily Raw Data'!V:V,Match($A609,'Daily Raw Data'!$B:$B,0)),"")</f>
        <v/>
      </c>
      <c r="N609" t="str">
        <f t="array" ref="N609">IFERROR(INDEX('Daily Raw Data'!W:W,Match($A609,'Daily Raw Data'!$B:$B,0)),"")</f>
        <v/>
      </c>
      <c r="O609" t="str">
        <f t="array" ref="O609">IFERROR(INDEX('Daily Raw Data'!Y:Y,Match($A609,'Daily Raw Data'!$B:$B,0)),"")</f>
        <v/>
      </c>
      <c r="P609" t="str">
        <f t="shared" si="1"/>
        <v/>
      </c>
      <c r="Q609" s="14" t="str">
        <f t="shared" si="2"/>
        <v/>
      </c>
      <c r="R609" s="15" t="str">
        <f>IFERROR(__xludf.DUMMYFUNCTION("IF($A609="""","""", IFERROR(PERCENTRANK.INC(FILTER(P:P,$E:$E&lt;&gt;""""),P609)*100,""""))"),"")</f>
        <v/>
      </c>
      <c r="S609" s="15" t="str">
        <f>IFERROR(__xludf.DUMMYFUNCTION("IF($A609="""","""",IFERROR(PERCENTRANK.INC(FILTER(Q:Q,$E:$E&lt;&gt;""""),Q609)*100,""""))"),"")</f>
        <v/>
      </c>
    </row>
    <row r="610">
      <c r="B610" t="str">
        <f t="array" ref="B610">IFERROR(INDEX('Player Raw Data'!C:C,Match($A610,'Player Raw Data'!$B:$B,0)),"")</f>
        <v/>
      </c>
      <c r="C610" t="str">
        <f t="array" ref="C610">IFERROR(INDEX('Player Raw Data'!D:D,Match($A610,'Player Raw Data'!$B:$B,0)),"")</f>
        <v/>
      </c>
      <c r="D610" t="str">
        <f t="array" ref="D610">IFERROR(IF(A610=A609, INDEX('Player Raw Data'!E:E,Match($A610,'Player Raw Data'!$B:$B,0)+2),INDEX('Player Raw Data'!E:E,Match($A610,'Player Raw Data'!$B:$B,0))),"")</f>
        <v/>
      </c>
      <c r="E610" s="27" t="str">
        <f>IFERROR(__xludf.DUMMYFUNCTION("IFERROR(ARRAY_CONSTRAIN(SPLIT(INDEX('Daily Raw Data'!G:G,Match($A610,'Daily Raw Data'!$B:$B,0)),"":""),1,1),"""")"),"")</f>
        <v/>
      </c>
      <c r="F610" t="str">
        <f t="array" ref="F610">IFERROR(INDEX('Daily Raw Data'!H:H,Match($A610,'Daily Raw Data'!$B:$B,0)),"")</f>
        <v/>
      </c>
      <c r="G610" t="str">
        <f t="array" ref="G610">IFERROR(INDEX('Daily Raw Data'!I:I,Match($A610,'Daily Raw Data'!$B:$B,0)),"")</f>
        <v/>
      </c>
      <c r="H610" t="str">
        <f t="array" ref="H610">IFERROR(INDEX('Daily Raw Data'!N:N,Match($A610,'Daily Raw Data'!$B:$B,0)),"")</f>
        <v/>
      </c>
      <c r="I610" t="str">
        <f t="array" ref="I610">IFERROR(INDEX('Daily Raw Data'!O:O,Match($A610,'Daily Raw Data'!$B:$B,0)),"")</f>
        <v/>
      </c>
      <c r="J610" t="str">
        <f t="array" ref="J610">IFERROR(INDEX('Daily Raw Data'!S:S,Match($A610,'Daily Raw Data'!$B:$B,0)),"")</f>
        <v/>
      </c>
      <c r="K610" t="str">
        <f t="array" ref="K610">IFERROR(INDEX('Daily Raw Data'!T:T,Match($A610,'Daily Raw Data'!$B:$B,0)),"")</f>
        <v/>
      </c>
      <c r="L610" t="str">
        <f t="array" ref="L610">IFERROR(INDEX('Daily Raw Data'!U:U,Match($A610,'Daily Raw Data'!$B:$B,0)),"")</f>
        <v/>
      </c>
      <c r="M610" t="str">
        <f t="array" ref="M610">IFERROR(INDEX('Daily Raw Data'!V:V,Match($A610,'Daily Raw Data'!$B:$B,0)),"")</f>
        <v/>
      </c>
      <c r="N610" t="str">
        <f t="array" ref="N610">IFERROR(INDEX('Daily Raw Data'!W:W,Match($A610,'Daily Raw Data'!$B:$B,0)),"")</f>
        <v/>
      </c>
      <c r="O610" t="str">
        <f t="array" ref="O610">IFERROR(INDEX('Daily Raw Data'!Y:Y,Match($A610,'Daily Raw Data'!$B:$B,0)),"")</f>
        <v/>
      </c>
      <c r="P610" t="str">
        <f t="shared" si="1"/>
        <v/>
      </c>
      <c r="Q610" s="14" t="str">
        <f t="shared" si="2"/>
        <v/>
      </c>
      <c r="R610" s="15" t="str">
        <f>IFERROR(__xludf.DUMMYFUNCTION("IF($A610="""","""", IFERROR(PERCENTRANK.INC(FILTER(P:P,$E:$E&lt;&gt;""""),P610)*100,""""))"),"")</f>
        <v/>
      </c>
      <c r="S610" s="15" t="str">
        <f>IFERROR(__xludf.DUMMYFUNCTION("IF($A610="""","""",IFERROR(PERCENTRANK.INC(FILTER(Q:Q,$E:$E&lt;&gt;""""),Q610)*100,""""))"),"")</f>
        <v/>
      </c>
    </row>
    <row r="611">
      <c r="B611" t="str">
        <f t="array" ref="B611">IFERROR(INDEX('Player Raw Data'!C:C,Match($A611,'Player Raw Data'!$B:$B,0)),"")</f>
        <v/>
      </c>
      <c r="C611" t="str">
        <f t="array" ref="C611">IFERROR(INDEX('Player Raw Data'!D:D,Match($A611,'Player Raw Data'!$B:$B,0)),"")</f>
        <v/>
      </c>
      <c r="D611" t="str">
        <f t="array" ref="D611">IFERROR(IF(A611=A610, INDEX('Player Raw Data'!E:E,Match($A611,'Player Raw Data'!$B:$B,0)+2),INDEX('Player Raw Data'!E:E,Match($A611,'Player Raw Data'!$B:$B,0))),"")</f>
        <v/>
      </c>
      <c r="E611" s="27" t="str">
        <f>IFERROR(__xludf.DUMMYFUNCTION("IFERROR(ARRAY_CONSTRAIN(SPLIT(INDEX('Daily Raw Data'!G:G,Match($A611,'Daily Raw Data'!$B:$B,0)),"":""),1,1),"""")"),"")</f>
        <v/>
      </c>
      <c r="F611" t="str">
        <f t="array" ref="F611">IFERROR(INDEX('Daily Raw Data'!H:H,Match($A611,'Daily Raw Data'!$B:$B,0)),"")</f>
        <v/>
      </c>
      <c r="G611" t="str">
        <f t="array" ref="G611">IFERROR(INDEX('Daily Raw Data'!I:I,Match($A611,'Daily Raw Data'!$B:$B,0)),"")</f>
        <v/>
      </c>
      <c r="H611" t="str">
        <f t="array" ref="H611">IFERROR(INDEX('Daily Raw Data'!N:N,Match($A611,'Daily Raw Data'!$B:$B,0)),"")</f>
        <v/>
      </c>
      <c r="I611" t="str">
        <f t="array" ref="I611">IFERROR(INDEX('Daily Raw Data'!O:O,Match($A611,'Daily Raw Data'!$B:$B,0)),"")</f>
        <v/>
      </c>
      <c r="J611" t="str">
        <f t="array" ref="J611">IFERROR(INDEX('Daily Raw Data'!S:S,Match($A611,'Daily Raw Data'!$B:$B,0)),"")</f>
        <v/>
      </c>
      <c r="K611" t="str">
        <f t="array" ref="K611">IFERROR(INDEX('Daily Raw Data'!T:T,Match($A611,'Daily Raw Data'!$B:$B,0)),"")</f>
        <v/>
      </c>
      <c r="L611" t="str">
        <f t="array" ref="L611">IFERROR(INDEX('Daily Raw Data'!U:U,Match($A611,'Daily Raw Data'!$B:$B,0)),"")</f>
        <v/>
      </c>
      <c r="M611" t="str">
        <f t="array" ref="M611">IFERROR(INDEX('Daily Raw Data'!V:V,Match($A611,'Daily Raw Data'!$B:$B,0)),"")</f>
        <v/>
      </c>
      <c r="N611" t="str">
        <f t="array" ref="N611">IFERROR(INDEX('Daily Raw Data'!W:W,Match($A611,'Daily Raw Data'!$B:$B,0)),"")</f>
        <v/>
      </c>
      <c r="O611" t="str">
        <f t="array" ref="O611">IFERROR(INDEX('Daily Raw Data'!Y:Y,Match($A611,'Daily Raw Data'!$B:$B,0)),"")</f>
        <v/>
      </c>
      <c r="P611" t="str">
        <f t="shared" si="1"/>
        <v/>
      </c>
      <c r="Q611" s="14" t="str">
        <f t="shared" si="2"/>
        <v/>
      </c>
      <c r="R611" s="15" t="str">
        <f>IFERROR(__xludf.DUMMYFUNCTION("IF($A611="""","""", IFERROR(PERCENTRANK.INC(FILTER(P:P,$E:$E&lt;&gt;""""),P611)*100,""""))"),"")</f>
        <v/>
      </c>
      <c r="S611" s="15" t="str">
        <f>IFERROR(__xludf.DUMMYFUNCTION("IF($A611="""","""",IFERROR(PERCENTRANK.INC(FILTER(Q:Q,$E:$E&lt;&gt;""""),Q611)*100,""""))"),"")</f>
        <v/>
      </c>
    </row>
    <row r="612">
      <c r="B612" t="str">
        <f t="array" ref="B612">IFERROR(INDEX('Player Raw Data'!C:C,Match($A612,'Player Raw Data'!$B:$B,0)),"")</f>
        <v/>
      </c>
      <c r="C612" t="str">
        <f t="array" ref="C612">IFERROR(INDEX('Player Raw Data'!D:D,Match($A612,'Player Raw Data'!$B:$B,0)),"")</f>
        <v/>
      </c>
      <c r="D612" t="str">
        <f t="array" ref="D612">IFERROR(IF(A612=A611, INDEX('Player Raw Data'!E:E,Match($A612,'Player Raw Data'!$B:$B,0)+2),INDEX('Player Raw Data'!E:E,Match($A612,'Player Raw Data'!$B:$B,0))),"")</f>
        <v/>
      </c>
      <c r="E612" s="27" t="str">
        <f>IFERROR(__xludf.DUMMYFUNCTION("IFERROR(ARRAY_CONSTRAIN(SPLIT(INDEX('Daily Raw Data'!G:G,Match($A612,'Daily Raw Data'!$B:$B,0)),"":""),1,1),"""")"),"")</f>
        <v/>
      </c>
      <c r="F612" t="str">
        <f t="array" ref="F612">IFERROR(INDEX('Daily Raw Data'!H:H,Match($A612,'Daily Raw Data'!$B:$B,0)),"")</f>
        <v/>
      </c>
      <c r="G612" t="str">
        <f t="array" ref="G612">IFERROR(INDEX('Daily Raw Data'!I:I,Match($A612,'Daily Raw Data'!$B:$B,0)),"")</f>
        <v/>
      </c>
      <c r="H612" t="str">
        <f t="array" ref="H612">IFERROR(INDEX('Daily Raw Data'!N:N,Match($A612,'Daily Raw Data'!$B:$B,0)),"")</f>
        <v/>
      </c>
      <c r="I612" t="str">
        <f t="array" ref="I612">IFERROR(INDEX('Daily Raw Data'!O:O,Match($A612,'Daily Raw Data'!$B:$B,0)),"")</f>
        <v/>
      </c>
      <c r="J612" t="str">
        <f t="array" ref="J612">IFERROR(INDEX('Daily Raw Data'!S:S,Match($A612,'Daily Raw Data'!$B:$B,0)),"")</f>
        <v/>
      </c>
      <c r="K612" t="str">
        <f t="array" ref="K612">IFERROR(INDEX('Daily Raw Data'!T:T,Match($A612,'Daily Raw Data'!$B:$B,0)),"")</f>
        <v/>
      </c>
      <c r="L612" t="str">
        <f t="array" ref="L612">IFERROR(INDEX('Daily Raw Data'!U:U,Match($A612,'Daily Raw Data'!$B:$B,0)),"")</f>
        <v/>
      </c>
      <c r="M612" t="str">
        <f t="array" ref="M612">IFERROR(INDEX('Daily Raw Data'!V:V,Match($A612,'Daily Raw Data'!$B:$B,0)),"")</f>
        <v/>
      </c>
      <c r="N612" t="str">
        <f t="array" ref="N612">IFERROR(INDEX('Daily Raw Data'!W:W,Match($A612,'Daily Raw Data'!$B:$B,0)),"")</f>
        <v/>
      </c>
      <c r="O612" t="str">
        <f t="array" ref="O612">IFERROR(INDEX('Daily Raw Data'!Y:Y,Match($A612,'Daily Raw Data'!$B:$B,0)),"")</f>
        <v/>
      </c>
      <c r="P612" t="str">
        <f t="shared" si="1"/>
        <v/>
      </c>
      <c r="Q612" s="14" t="str">
        <f t="shared" si="2"/>
        <v/>
      </c>
      <c r="R612" s="15" t="str">
        <f>IFERROR(__xludf.DUMMYFUNCTION("IF($A612="""","""", IFERROR(PERCENTRANK.INC(FILTER(P:P,$E:$E&lt;&gt;""""),P612)*100,""""))"),"")</f>
        <v/>
      </c>
      <c r="S612" s="15" t="str">
        <f>IFERROR(__xludf.DUMMYFUNCTION("IF($A612="""","""",IFERROR(PERCENTRANK.INC(FILTER(Q:Q,$E:$E&lt;&gt;""""),Q612)*100,""""))"),"")</f>
        <v/>
      </c>
    </row>
    <row r="613">
      <c r="B613" t="str">
        <f t="array" ref="B613">IFERROR(INDEX('Player Raw Data'!C:C,Match($A613,'Player Raw Data'!$B:$B,0)),"")</f>
        <v/>
      </c>
      <c r="C613" t="str">
        <f t="array" ref="C613">IFERROR(INDEX('Player Raw Data'!D:D,Match($A613,'Player Raw Data'!$B:$B,0)),"")</f>
        <v/>
      </c>
      <c r="D613" t="str">
        <f t="array" ref="D613">IFERROR(IF(A613=A612, INDEX('Player Raw Data'!E:E,Match($A613,'Player Raw Data'!$B:$B,0)+2),INDEX('Player Raw Data'!E:E,Match($A613,'Player Raw Data'!$B:$B,0))),"")</f>
        <v/>
      </c>
      <c r="E613" s="27" t="str">
        <f>IFERROR(__xludf.DUMMYFUNCTION("IFERROR(ARRAY_CONSTRAIN(SPLIT(INDEX('Daily Raw Data'!G:G,Match($A613,'Daily Raw Data'!$B:$B,0)),"":""),1,1),"""")"),"")</f>
        <v/>
      </c>
      <c r="F613" t="str">
        <f t="array" ref="F613">IFERROR(INDEX('Daily Raw Data'!H:H,Match($A613,'Daily Raw Data'!$B:$B,0)),"")</f>
        <v/>
      </c>
      <c r="G613" t="str">
        <f t="array" ref="G613">IFERROR(INDEX('Daily Raw Data'!I:I,Match($A613,'Daily Raw Data'!$B:$B,0)),"")</f>
        <v/>
      </c>
      <c r="H613" t="str">
        <f t="array" ref="H613">IFERROR(INDEX('Daily Raw Data'!N:N,Match($A613,'Daily Raw Data'!$B:$B,0)),"")</f>
        <v/>
      </c>
      <c r="I613" t="str">
        <f t="array" ref="I613">IFERROR(INDEX('Daily Raw Data'!O:O,Match($A613,'Daily Raw Data'!$B:$B,0)),"")</f>
        <v/>
      </c>
      <c r="J613" t="str">
        <f t="array" ref="J613">IFERROR(INDEX('Daily Raw Data'!S:S,Match($A613,'Daily Raw Data'!$B:$B,0)),"")</f>
        <v/>
      </c>
      <c r="K613" t="str">
        <f t="array" ref="K613">IFERROR(INDEX('Daily Raw Data'!T:T,Match($A613,'Daily Raw Data'!$B:$B,0)),"")</f>
        <v/>
      </c>
      <c r="L613" t="str">
        <f t="array" ref="L613">IFERROR(INDEX('Daily Raw Data'!U:U,Match($A613,'Daily Raw Data'!$B:$B,0)),"")</f>
        <v/>
      </c>
      <c r="M613" t="str">
        <f t="array" ref="M613">IFERROR(INDEX('Daily Raw Data'!V:V,Match($A613,'Daily Raw Data'!$B:$B,0)),"")</f>
        <v/>
      </c>
      <c r="N613" t="str">
        <f t="array" ref="N613">IFERROR(INDEX('Daily Raw Data'!W:W,Match($A613,'Daily Raw Data'!$B:$B,0)),"")</f>
        <v/>
      </c>
      <c r="O613" t="str">
        <f t="array" ref="O613">IFERROR(INDEX('Daily Raw Data'!Y:Y,Match($A613,'Daily Raw Data'!$B:$B,0)),"")</f>
        <v/>
      </c>
      <c r="P613" t="str">
        <f t="shared" si="1"/>
        <v/>
      </c>
      <c r="Q613" s="14" t="str">
        <f t="shared" si="2"/>
        <v/>
      </c>
      <c r="R613" s="15" t="str">
        <f>IFERROR(__xludf.DUMMYFUNCTION("IF($A613="""","""", IFERROR(PERCENTRANK.INC(FILTER(P:P,$E:$E&lt;&gt;""""),P613)*100,""""))"),"")</f>
        <v/>
      </c>
      <c r="S613" s="15" t="str">
        <f>IFERROR(__xludf.DUMMYFUNCTION("IF($A613="""","""",IFERROR(PERCENTRANK.INC(FILTER(Q:Q,$E:$E&lt;&gt;""""),Q613)*100,""""))"),"")</f>
        <v/>
      </c>
    </row>
    <row r="614">
      <c r="B614" t="str">
        <f t="array" ref="B614">IFERROR(INDEX('Player Raw Data'!C:C,Match($A614,'Player Raw Data'!$B:$B,0)),"")</f>
        <v/>
      </c>
      <c r="C614" t="str">
        <f t="array" ref="C614">IFERROR(INDEX('Player Raw Data'!D:D,Match($A614,'Player Raw Data'!$B:$B,0)),"")</f>
        <v/>
      </c>
      <c r="D614" t="str">
        <f t="array" ref="D614">IFERROR(IF(A614=A613, INDEX('Player Raw Data'!E:E,Match($A614,'Player Raw Data'!$B:$B,0)+2),INDEX('Player Raw Data'!E:E,Match($A614,'Player Raw Data'!$B:$B,0))),"")</f>
        <v/>
      </c>
      <c r="E614" s="27" t="str">
        <f>IFERROR(__xludf.DUMMYFUNCTION("IFERROR(ARRAY_CONSTRAIN(SPLIT(INDEX('Daily Raw Data'!G:G,Match($A614,'Daily Raw Data'!$B:$B,0)),"":""),1,1),"""")"),"")</f>
        <v/>
      </c>
      <c r="F614" t="str">
        <f t="array" ref="F614">IFERROR(INDEX('Daily Raw Data'!H:H,Match($A614,'Daily Raw Data'!$B:$B,0)),"")</f>
        <v/>
      </c>
      <c r="G614" t="str">
        <f t="array" ref="G614">IFERROR(INDEX('Daily Raw Data'!I:I,Match($A614,'Daily Raw Data'!$B:$B,0)),"")</f>
        <v/>
      </c>
      <c r="H614" t="str">
        <f t="array" ref="H614">IFERROR(INDEX('Daily Raw Data'!N:N,Match($A614,'Daily Raw Data'!$B:$B,0)),"")</f>
        <v/>
      </c>
      <c r="I614" t="str">
        <f t="array" ref="I614">IFERROR(INDEX('Daily Raw Data'!O:O,Match($A614,'Daily Raw Data'!$B:$B,0)),"")</f>
        <v/>
      </c>
      <c r="J614" t="str">
        <f t="array" ref="J614">IFERROR(INDEX('Daily Raw Data'!S:S,Match($A614,'Daily Raw Data'!$B:$B,0)),"")</f>
        <v/>
      </c>
      <c r="K614" t="str">
        <f t="array" ref="K614">IFERROR(INDEX('Daily Raw Data'!T:T,Match($A614,'Daily Raw Data'!$B:$B,0)),"")</f>
        <v/>
      </c>
      <c r="L614" t="str">
        <f t="array" ref="L614">IFERROR(INDEX('Daily Raw Data'!U:U,Match($A614,'Daily Raw Data'!$B:$B,0)),"")</f>
        <v/>
      </c>
      <c r="M614" t="str">
        <f t="array" ref="M614">IFERROR(INDEX('Daily Raw Data'!V:V,Match($A614,'Daily Raw Data'!$B:$B,0)),"")</f>
        <v/>
      </c>
      <c r="N614" t="str">
        <f t="array" ref="N614">IFERROR(INDEX('Daily Raw Data'!W:W,Match($A614,'Daily Raw Data'!$B:$B,0)),"")</f>
        <v/>
      </c>
      <c r="O614" t="str">
        <f t="array" ref="O614">IFERROR(INDEX('Daily Raw Data'!Y:Y,Match($A614,'Daily Raw Data'!$B:$B,0)),"")</f>
        <v/>
      </c>
      <c r="P614" t="str">
        <f t="shared" si="1"/>
        <v/>
      </c>
      <c r="Q614" s="14" t="str">
        <f t="shared" si="2"/>
        <v/>
      </c>
      <c r="R614" s="15" t="str">
        <f>IFERROR(__xludf.DUMMYFUNCTION("IF($A614="""","""", IFERROR(PERCENTRANK.INC(FILTER(P:P,$E:$E&lt;&gt;""""),P614)*100,""""))"),"")</f>
        <v/>
      </c>
      <c r="S614" s="15" t="str">
        <f>IFERROR(__xludf.DUMMYFUNCTION("IF($A614="""","""",IFERROR(PERCENTRANK.INC(FILTER(Q:Q,$E:$E&lt;&gt;""""),Q614)*100,""""))"),"")</f>
        <v/>
      </c>
    </row>
    <row r="615">
      <c r="B615" t="str">
        <f t="array" ref="B615">IFERROR(INDEX('Player Raw Data'!C:C,Match($A615,'Player Raw Data'!$B:$B,0)),"")</f>
        <v/>
      </c>
      <c r="C615" t="str">
        <f t="array" ref="C615">IFERROR(INDEX('Player Raw Data'!D:D,Match($A615,'Player Raw Data'!$B:$B,0)),"")</f>
        <v/>
      </c>
      <c r="D615" t="str">
        <f t="array" ref="D615">IFERROR(IF(A615=A614, INDEX('Player Raw Data'!E:E,Match($A615,'Player Raw Data'!$B:$B,0)+2),INDEX('Player Raw Data'!E:E,Match($A615,'Player Raw Data'!$B:$B,0))),"")</f>
        <v/>
      </c>
      <c r="E615" s="27" t="str">
        <f>IFERROR(__xludf.DUMMYFUNCTION("IFERROR(ARRAY_CONSTRAIN(SPLIT(INDEX('Daily Raw Data'!G:G,Match($A615,'Daily Raw Data'!$B:$B,0)),"":""),1,1),"""")"),"")</f>
        <v/>
      </c>
      <c r="F615" t="str">
        <f t="array" ref="F615">IFERROR(INDEX('Daily Raw Data'!H:H,Match($A615,'Daily Raw Data'!$B:$B,0)),"")</f>
        <v/>
      </c>
      <c r="G615" t="str">
        <f t="array" ref="G615">IFERROR(INDEX('Daily Raw Data'!I:I,Match($A615,'Daily Raw Data'!$B:$B,0)),"")</f>
        <v/>
      </c>
      <c r="H615" t="str">
        <f t="array" ref="H615">IFERROR(INDEX('Daily Raw Data'!N:N,Match($A615,'Daily Raw Data'!$B:$B,0)),"")</f>
        <v/>
      </c>
      <c r="I615" t="str">
        <f t="array" ref="I615">IFERROR(INDEX('Daily Raw Data'!O:O,Match($A615,'Daily Raw Data'!$B:$B,0)),"")</f>
        <v/>
      </c>
      <c r="J615" t="str">
        <f t="array" ref="J615">IFERROR(INDEX('Daily Raw Data'!S:S,Match($A615,'Daily Raw Data'!$B:$B,0)),"")</f>
        <v/>
      </c>
      <c r="K615" t="str">
        <f t="array" ref="K615">IFERROR(INDEX('Daily Raw Data'!T:T,Match($A615,'Daily Raw Data'!$B:$B,0)),"")</f>
        <v/>
      </c>
      <c r="L615" t="str">
        <f t="array" ref="L615">IFERROR(INDEX('Daily Raw Data'!U:U,Match($A615,'Daily Raw Data'!$B:$B,0)),"")</f>
        <v/>
      </c>
      <c r="M615" t="str">
        <f t="array" ref="M615">IFERROR(INDEX('Daily Raw Data'!V:V,Match($A615,'Daily Raw Data'!$B:$B,0)),"")</f>
        <v/>
      </c>
      <c r="N615" t="str">
        <f t="array" ref="N615">IFERROR(INDEX('Daily Raw Data'!W:W,Match($A615,'Daily Raw Data'!$B:$B,0)),"")</f>
        <v/>
      </c>
      <c r="O615" t="str">
        <f t="array" ref="O615">IFERROR(INDEX('Daily Raw Data'!Y:Y,Match($A615,'Daily Raw Data'!$B:$B,0)),"")</f>
        <v/>
      </c>
      <c r="P615" t="str">
        <f t="shared" si="1"/>
        <v/>
      </c>
      <c r="Q615" s="14" t="str">
        <f t="shared" si="2"/>
        <v/>
      </c>
      <c r="R615" s="15" t="str">
        <f>IFERROR(__xludf.DUMMYFUNCTION("IF($A615="""","""", IFERROR(PERCENTRANK.INC(FILTER(P:P,$E:$E&lt;&gt;""""),P615)*100,""""))"),"")</f>
        <v/>
      </c>
      <c r="S615" s="15" t="str">
        <f>IFERROR(__xludf.DUMMYFUNCTION("IF($A615="""","""",IFERROR(PERCENTRANK.INC(FILTER(Q:Q,$E:$E&lt;&gt;""""),Q615)*100,""""))"),"")</f>
        <v/>
      </c>
    </row>
    <row r="616">
      <c r="B616" t="str">
        <f t="array" ref="B616">IFERROR(INDEX('Player Raw Data'!C:C,Match($A616,'Player Raw Data'!$B:$B,0)),"")</f>
        <v/>
      </c>
      <c r="C616" t="str">
        <f t="array" ref="C616">IFERROR(INDEX('Player Raw Data'!D:D,Match($A616,'Player Raw Data'!$B:$B,0)),"")</f>
        <v/>
      </c>
      <c r="D616" t="str">
        <f t="array" ref="D616">IFERROR(IF(A616=A615, INDEX('Player Raw Data'!E:E,Match($A616,'Player Raw Data'!$B:$B,0)+2),INDEX('Player Raw Data'!E:E,Match($A616,'Player Raw Data'!$B:$B,0))),"")</f>
        <v/>
      </c>
      <c r="E616" s="27" t="str">
        <f>IFERROR(__xludf.DUMMYFUNCTION("IFERROR(ARRAY_CONSTRAIN(SPLIT(INDEX('Daily Raw Data'!G:G,Match($A616,'Daily Raw Data'!$B:$B,0)),"":""),1,1),"""")"),"")</f>
        <v/>
      </c>
      <c r="F616" t="str">
        <f t="array" ref="F616">IFERROR(INDEX('Daily Raw Data'!H:H,Match($A616,'Daily Raw Data'!$B:$B,0)),"")</f>
        <v/>
      </c>
      <c r="G616" t="str">
        <f t="array" ref="G616">IFERROR(INDEX('Daily Raw Data'!I:I,Match($A616,'Daily Raw Data'!$B:$B,0)),"")</f>
        <v/>
      </c>
      <c r="H616" t="str">
        <f t="array" ref="H616">IFERROR(INDEX('Daily Raw Data'!N:N,Match($A616,'Daily Raw Data'!$B:$B,0)),"")</f>
        <v/>
      </c>
      <c r="I616" t="str">
        <f t="array" ref="I616">IFERROR(INDEX('Daily Raw Data'!O:O,Match($A616,'Daily Raw Data'!$B:$B,0)),"")</f>
        <v/>
      </c>
      <c r="J616" t="str">
        <f t="array" ref="J616">IFERROR(INDEX('Daily Raw Data'!S:S,Match($A616,'Daily Raw Data'!$B:$B,0)),"")</f>
        <v/>
      </c>
      <c r="K616" t="str">
        <f t="array" ref="K616">IFERROR(INDEX('Daily Raw Data'!T:T,Match($A616,'Daily Raw Data'!$B:$B,0)),"")</f>
        <v/>
      </c>
      <c r="L616" t="str">
        <f t="array" ref="L616">IFERROR(INDEX('Daily Raw Data'!U:U,Match($A616,'Daily Raw Data'!$B:$B,0)),"")</f>
        <v/>
      </c>
      <c r="M616" t="str">
        <f t="array" ref="M616">IFERROR(INDEX('Daily Raw Data'!V:V,Match($A616,'Daily Raw Data'!$B:$B,0)),"")</f>
        <v/>
      </c>
      <c r="N616" t="str">
        <f t="array" ref="N616">IFERROR(INDEX('Daily Raw Data'!W:W,Match($A616,'Daily Raw Data'!$B:$B,0)),"")</f>
        <v/>
      </c>
      <c r="O616" t="str">
        <f t="array" ref="O616">IFERROR(INDEX('Daily Raw Data'!Y:Y,Match($A616,'Daily Raw Data'!$B:$B,0)),"")</f>
        <v/>
      </c>
      <c r="P616" t="str">
        <f t="shared" si="1"/>
        <v/>
      </c>
      <c r="Q616" s="14" t="str">
        <f t="shared" si="2"/>
        <v/>
      </c>
      <c r="R616" s="15" t="str">
        <f>IFERROR(__xludf.DUMMYFUNCTION("IF($A616="""","""", IFERROR(PERCENTRANK.INC(FILTER(P:P,$E:$E&lt;&gt;""""),P616)*100,""""))"),"")</f>
        <v/>
      </c>
      <c r="S616" s="15" t="str">
        <f>IFERROR(__xludf.DUMMYFUNCTION("IF($A616="""","""",IFERROR(PERCENTRANK.INC(FILTER(Q:Q,$E:$E&lt;&gt;""""),Q616)*100,""""))"),"")</f>
        <v/>
      </c>
    </row>
    <row r="617">
      <c r="B617" t="str">
        <f t="array" ref="B617">IFERROR(INDEX('Player Raw Data'!C:C,Match($A617,'Player Raw Data'!$B:$B,0)),"")</f>
        <v/>
      </c>
      <c r="C617" t="str">
        <f t="array" ref="C617">IFERROR(INDEX('Player Raw Data'!D:D,Match($A617,'Player Raw Data'!$B:$B,0)),"")</f>
        <v/>
      </c>
      <c r="D617" t="str">
        <f t="array" ref="D617">IFERROR(IF(A617=A616, INDEX('Player Raw Data'!E:E,Match($A617,'Player Raw Data'!$B:$B,0)+2),INDEX('Player Raw Data'!E:E,Match($A617,'Player Raw Data'!$B:$B,0))),"")</f>
        <v/>
      </c>
      <c r="E617" s="27" t="str">
        <f>IFERROR(__xludf.DUMMYFUNCTION("IFERROR(ARRAY_CONSTRAIN(SPLIT(INDEX('Daily Raw Data'!G:G,Match($A617,'Daily Raw Data'!$B:$B,0)),"":""),1,1),"""")"),"")</f>
        <v/>
      </c>
      <c r="F617" t="str">
        <f t="array" ref="F617">IFERROR(INDEX('Daily Raw Data'!H:H,Match($A617,'Daily Raw Data'!$B:$B,0)),"")</f>
        <v/>
      </c>
      <c r="G617" t="str">
        <f t="array" ref="G617">IFERROR(INDEX('Daily Raw Data'!I:I,Match($A617,'Daily Raw Data'!$B:$B,0)),"")</f>
        <v/>
      </c>
      <c r="H617" t="str">
        <f t="array" ref="H617">IFERROR(INDEX('Daily Raw Data'!N:N,Match($A617,'Daily Raw Data'!$B:$B,0)),"")</f>
        <v/>
      </c>
      <c r="I617" t="str">
        <f t="array" ref="I617">IFERROR(INDEX('Daily Raw Data'!O:O,Match($A617,'Daily Raw Data'!$B:$B,0)),"")</f>
        <v/>
      </c>
      <c r="J617" t="str">
        <f t="array" ref="J617">IFERROR(INDEX('Daily Raw Data'!S:S,Match($A617,'Daily Raw Data'!$B:$B,0)),"")</f>
        <v/>
      </c>
      <c r="K617" t="str">
        <f t="array" ref="K617">IFERROR(INDEX('Daily Raw Data'!T:T,Match($A617,'Daily Raw Data'!$B:$B,0)),"")</f>
        <v/>
      </c>
      <c r="L617" t="str">
        <f t="array" ref="L617">IFERROR(INDEX('Daily Raw Data'!U:U,Match($A617,'Daily Raw Data'!$B:$B,0)),"")</f>
        <v/>
      </c>
      <c r="M617" t="str">
        <f t="array" ref="M617">IFERROR(INDEX('Daily Raw Data'!V:V,Match($A617,'Daily Raw Data'!$B:$B,0)),"")</f>
        <v/>
      </c>
      <c r="N617" t="str">
        <f t="array" ref="N617">IFERROR(INDEX('Daily Raw Data'!W:W,Match($A617,'Daily Raw Data'!$B:$B,0)),"")</f>
        <v/>
      </c>
      <c r="O617" t="str">
        <f t="array" ref="O617">IFERROR(INDEX('Daily Raw Data'!Y:Y,Match($A617,'Daily Raw Data'!$B:$B,0)),"")</f>
        <v/>
      </c>
      <c r="P617" t="str">
        <f t="shared" si="1"/>
        <v/>
      </c>
      <c r="Q617" s="14" t="str">
        <f t="shared" si="2"/>
        <v/>
      </c>
      <c r="R617" s="15" t="str">
        <f>IFERROR(__xludf.DUMMYFUNCTION("IF($A617="""","""", IFERROR(PERCENTRANK.INC(FILTER(P:P,$E:$E&lt;&gt;""""),P617)*100,""""))"),"")</f>
        <v/>
      </c>
      <c r="S617" s="15" t="str">
        <f>IFERROR(__xludf.DUMMYFUNCTION("IF($A617="""","""",IFERROR(PERCENTRANK.INC(FILTER(Q:Q,$E:$E&lt;&gt;""""),Q617)*100,""""))"),"")</f>
        <v/>
      </c>
    </row>
    <row r="618">
      <c r="B618" t="str">
        <f t="array" ref="B618">IFERROR(INDEX('Player Raw Data'!C:C,Match($A618,'Player Raw Data'!$B:$B,0)),"")</f>
        <v/>
      </c>
      <c r="C618" t="str">
        <f t="array" ref="C618">IFERROR(INDEX('Player Raw Data'!D:D,Match($A618,'Player Raw Data'!$B:$B,0)),"")</f>
        <v/>
      </c>
      <c r="D618" t="str">
        <f t="array" ref="D618">IFERROR(IF(A618=A617, INDEX('Player Raw Data'!E:E,Match($A618,'Player Raw Data'!$B:$B,0)+2),INDEX('Player Raw Data'!E:E,Match($A618,'Player Raw Data'!$B:$B,0))),"")</f>
        <v/>
      </c>
      <c r="E618" s="27" t="str">
        <f>IFERROR(__xludf.DUMMYFUNCTION("IFERROR(ARRAY_CONSTRAIN(SPLIT(INDEX('Daily Raw Data'!G:G,Match($A618,'Daily Raw Data'!$B:$B,0)),"":""),1,1),"""")"),"")</f>
        <v/>
      </c>
      <c r="F618" t="str">
        <f t="array" ref="F618">IFERROR(INDEX('Daily Raw Data'!H:H,Match($A618,'Daily Raw Data'!$B:$B,0)),"")</f>
        <v/>
      </c>
      <c r="G618" t="str">
        <f t="array" ref="G618">IFERROR(INDEX('Daily Raw Data'!I:I,Match($A618,'Daily Raw Data'!$B:$B,0)),"")</f>
        <v/>
      </c>
      <c r="H618" t="str">
        <f t="array" ref="H618">IFERROR(INDEX('Daily Raw Data'!N:N,Match($A618,'Daily Raw Data'!$B:$B,0)),"")</f>
        <v/>
      </c>
      <c r="I618" t="str">
        <f t="array" ref="I618">IFERROR(INDEX('Daily Raw Data'!O:O,Match($A618,'Daily Raw Data'!$B:$B,0)),"")</f>
        <v/>
      </c>
      <c r="J618" t="str">
        <f t="array" ref="J618">IFERROR(INDEX('Daily Raw Data'!S:S,Match($A618,'Daily Raw Data'!$B:$B,0)),"")</f>
        <v/>
      </c>
      <c r="K618" t="str">
        <f t="array" ref="K618">IFERROR(INDEX('Daily Raw Data'!T:T,Match($A618,'Daily Raw Data'!$B:$B,0)),"")</f>
        <v/>
      </c>
      <c r="L618" t="str">
        <f t="array" ref="L618">IFERROR(INDEX('Daily Raw Data'!U:U,Match($A618,'Daily Raw Data'!$B:$B,0)),"")</f>
        <v/>
      </c>
      <c r="M618" t="str">
        <f t="array" ref="M618">IFERROR(INDEX('Daily Raw Data'!V:V,Match($A618,'Daily Raw Data'!$B:$B,0)),"")</f>
        <v/>
      </c>
      <c r="N618" t="str">
        <f t="array" ref="N618">IFERROR(INDEX('Daily Raw Data'!W:W,Match($A618,'Daily Raw Data'!$B:$B,0)),"")</f>
        <v/>
      </c>
      <c r="O618" t="str">
        <f t="array" ref="O618">IFERROR(INDEX('Daily Raw Data'!Y:Y,Match($A618,'Daily Raw Data'!$B:$B,0)),"")</f>
        <v/>
      </c>
      <c r="P618" t="str">
        <f t="shared" si="1"/>
        <v/>
      </c>
      <c r="Q618" s="14" t="str">
        <f t="shared" si="2"/>
        <v/>
      </c>
      <c r="R618" s="15" t="str">
        <f>IFERROR(__xludf.DUMMYFUNCTION("IF($A618="""","""", IFERROR(PERCENTRANK.INC(FILTER(P:P,$E:$E&lt;&gt;""""),P618)*100,""""))"),"")</f>
        <v/>
      </c>
      <c r="S618" s="15" t="str">
        <f>IFERROR(__xludf.DUMMYFUNCTION("IF($A618="""","""",IFERROR(PERCENTRANK.INC(FILTER(Q:Q,$E:$E&lt;&gt;""""),Q618)*100,""""))"),"")</f>
        <v/>
      </c>
    </row>
    <row r="619">
      <c r="B619" t="str">
        <f t="array" ref="B619">IFERROR(INDEX('Player Raw Data'!C:C,Match($A619,'Player Raw Data'!$B:$B,0)),"")</f>
        <v/>
      </c>
      <c r="C619" t="str">
        <f t="array" ref="C619">IFERROR(INDEX('Player Raw Data'!D:D,Match($A619,'Player Raw Data'!$B:$B,0)),"")</f>
        <v/>
      </c>
      <c r="D619" t="str">
        <f t="array" ref="D619">IFERROR(IF(A619=A618, INDEX('Player Raw Data'!E:E,Match($A619,'Player Raw Data'!$B:$B,0)+2),INDEX('Player Raw Data'!E:E,Match($A619,'Player Raw Data'!$B:$B,0))),"")</f>
        <v/>
      </c>
      <c r="E619" s="27" t="str">
        <f>IFERROR(__xludf.DUMMYFUNCTION("IFERROR(ARRAY_CONSTRAIN(SPLIT(INDEX('Daily Raw Data'!G:G,Match($A619,'Daily Raw Data'!$B:$B,0)),"":""),1,1),"""")"),"")</f>
        <v/>
      </c>
      <c r="F619" t="str">
        <f t="array" ref="F619">IFERROR(INDEX('Daily Raw Data'!H:H,Match($A619,'Daily Raw Data'!$B:$B,0)),"")</f>
        <v/>
      </c>
      <c r="G619" t="str">
        <f t="array" ref="G619">IFERROR(INDEX('Daily Raw Data'!I:I,Match($A619,'Daily Raw Data'!$B:$B,0)),"")</f>
        <v/>
      </c>
      <c r="H619" t="str">
        <f t="array" ref="H619">IFERROR(INDEX('Daily Raw Data'!N:N,Match($A619,'Daily Raw Data'!$B:$B,0)),"")</f>
        <v/>
      </c>
      <c r="I619" t="str">
        <f t="array" ref="I619">IFERROR(INDEX('Daily Raw Data'!O:O,Match($A619,'Daily Raw Data'!$B:$B,0)),"")</f>
        <v/>
      </c>
      <c r="J619" t="str">
        <f t="array" ref="J619">IFERROR(INDEX('Daily Raw Data'!S:S,Match($A619,'Daily Raw Data'!$B:$B,0)),"")</f>
        <v/>
      </c>
      <c r="K619" t="str">
        <f t="array" ref="K619">IFERROR(INDEX('Daily Raw Data'!T:T,Match($A619,'Daily Raw Data'!$B:$B,0)),"")</f>
        <v/>
      </c>
      <c r="L619" t="str">
        <f t="array" ref="L619">IFERROR(INDEX('Daily Raw Data'!U:U,Match($A619,'Daily Raw Data'!$B:$B,0)),"")</f>
        <v/>
      </c>
      <c r="M619" t="str">
        <f t="array" ref="M619">IFERROR(INDEX('Daily Raw Data'!V:V,Match($A619,'Daily Raw Data'!$B:$B,0)),"")</f>
        <v/>
      </c>
      <c r="N619" t="str">
        <f t="array" ref="N619">IFERROR(INDEX('Daily Raw Data'!W:W,Match($A619,'Daily Raw Data'!$B:$B,0)),"")</f>
        <v/>
      </c>
      <c r="O619" t="str">
        <f t="array" ref="O619">IFERROR(INDEX('Daily Raw Data'!Y:Y,Match($A619,'Daily Raw Data'!$B:$B,0)),"")</f>
        <v/>
      </c>
      <c r="P619" t="str">
        <f t="shared" si="1"/>
        <v/>
      </c>
      <c r="Q619" s="14" t="str">
        <f t="shared" si="2"/>
        <v/>
      </c>
      <c r="R619" s="15" t="str">
        <f>IFERROR(__xludf.DUMMYFUNCTION("IF($A619="""","""", IFERROR(PERCENTRANK.INC(FILTER(P:P,$E:$E&lt;&gt;""""),P619)*100,""""))"),"")</f>
        <v/>
      </c>
      <c r="S619" s="15" t="str">
        <f>IFERROR(__xludf.DUMMYFUNCTION("IF($A619="""","""",IFERROR(PERCENTRANK.INC(FILTER(Q:Q,$E:$E&lt;&gt;""""),Q619)*100,""""))"),"")</f>
        <v/>
      </c>
    </row>
    <row r="620">
      <c r="B620" t="str">
        <f t="array" ref="B620">IFERROR(INDEX('Player Raw Data'!C:C,Match($A620,'Player Raw Data'!$B:$B,0)),"")</f>
        <v/>
      </c>
      <c r="C620" t="str">
        <f t="array" ref="C620">IFERROR(INDEX('Player Raw Data'!D:D,Match($A620,'Player Raw Data'!$B:$B,0)),"")</f>
        <v/>
      </c>
      <c r="D620" t="str">
        <f t="array" ref="D620">IFERROR(IF(A620=A619, INDEX('Player Raw Data'!E:E,Match($A620,'Player Raw Data'!$B:$B,0)+2),INDEX('Player Raw Data'!E:E,Match($A620,'Player Raw Data'!$B:$B,0))),"")</f>
        <v/>
      </c>
      <c r="E620" s="27" t="str">
        <f>IFERROR(__xludf.DUMMYFUNCTION("IFERROR(ARRAY_CONSTRAIN(SPLIT(INDEX('Daily Raw Data'!G:G,Match($A620,'Daily Raw Data'!$B:$B,0)),"":""),1,1),"""")"),"")</f>
        <v/>
      </c>
      <c r="F620" t="str">
        <f t="array" ref="F620">IFERROR(INDEX('Daily Raw Data'!H:H,Match($A620,'Daily Raw Data'!$B:$B,0)),"")</f>
        <v/>
      </c>
      <c r="G620" t="str">
        <f t="array" ref="G620">IFERROR(INDEX('Daily Raw Data'!I:I,Match($A620,'Daily Raw Data'!$B:$B,0)),"")</f>
        <v/>
      </c>
      <c r="H620" t="str">
        <f t="array" ref="H620">IFERROR(INDEX('Daily Raw Data'!N:N,Match($A620,'Daily Raw Data'!$B:$B,0)),"")</f>
        <v/>
      </c>
      <c r="I620" t="str">
        <f t="array" ref="I620">IFERROR(INDEX('Daily Raw Data'!O:O,Match($A620,'Daily Raw Data'!$B:$B,0)),"")</f>
        <v/>
      </c>
      <c r="J620" t="str">
        <f t="array" ref="J620">IFERROR(INDEX('Daily Raw Data'!S:S,Match($A620,'Daily Raw Data'!$B:$B,0)),"")</f>
        <v/>
      </c>
      <c r="K620" t="str">
        <f t="array" ref="K620">IFERROR(INDEX('Daily Raw Data'!T:T,Match($A620,'Daily Raw Data'!$B:$B,0)),"")</f>
        <v/>
      </c>
      <c r="L620" t="str">
        <f t="array" ref="L620">IFERROR(INDEX('Daily Raw Data'!U:U,Match($A620,'Daily Raw Data'!$B:$B,0)),"")</f>
        <v/>
      </c>
      <c r="M620" t="str">
        <f t="array" ref="M620">IFERROR(INDEX('Daily Raw Data'!V:V,Match($A620,'Daily Raw Data'!$B:$B,0)),"")</f>
        <v/>
      </c>
      <c r="N620" t="str">
        <f t="array" ref="N620">IFERROR(INDEX('Daily Raw Data'!W:W,Match($A620,'Daily Raw Data'!$B:$B,0)),"")</f>
        <v/>
      </c>
      <c r="O620" t="str">
        <f t="array" ref="O620">IFERROR(INDEX('Daily Raw Data'!Y:Y,Match($A620,'Daily Raw Data'!$B:$B,0)),"")</f>
        <v/>
      </c>
      <c r="P620" t="str">
        <f t="shared" si="1"/>
        <v/>
      </c>
      <c r="Q620" s="14" t="str">
        <f t="shared" si="2"/>
        <v/>
      </c>
      <c r="R620" s="15" t="str">
        <f>IFERROR(__xludf.DUMMYFUNCTION("IF($A620="""","""", IFERROR(PERCENTRANK.INC(FILTER(P:P,$E:$E&lt;&gt;""""),P620)*100,""""))"),"")</f>
        <v/>
      </c>
      <c r="S620" s="15" t="str">
        <f>IFERROR(__xludf.DUMMYFUNCTION("IF($A620="""","""",IFERROR(PERCENTRANK.INC(FILTER(Q:Q,$E:$E&lt;&gt;""""),Q620)*100,""""))"),"")</f>
        <v/>
      </c>
    </row>
    <row r="621">
      <c r="B621" t="str">
        <f t="array" ref="B621">IFERROR(INDEX('Player Raw Data'!C:C,Match($A621,'Player Raw Data'!$B:$B,0)),"")</f>
        <v/>
      </c>
      <c r="C621" t="str">
        <f t="array" ref="C621">IFERROR(INDEX('Player Raw Data'!D:D,Match($A621,'Player Raw Data'!$B:$B,0)),"")</f>
        <v/>
      </c>
      <c r="D621" t="str">
        <f t="array" ref="D621">IFERROR(IF(A621=A620, INDEX('Player Raw Data'!E:E,Match($A621,'Player Raw Data'!$B:$B,0)+2),INDEX('Player Raw Data'!E:E,Match($A621,'Player Raw Data'!$B:$B,0))),"")</f>
        <v/>
      </c>
      <c r="E621" s="27" t="str">
        <f>IFERROR(__xludf.DUMMYFUNCTION("IFERROR(ARRAY_CONSTRAIN(SPLIT(INDEX('Daily Raw Data'!G:G,Match($A621,'Daily Raw Data'!$B:$B,0)),"":""),1,1),"""")"),"")</f>
        <v/>
      </c>
      <c r="F621" t="str">
        <f t="array" ref="F621">IFERROR(INDEX('Daily Raw Data'!H:H,Match($A621,'Daily Raw Data'!$B:$B,0)),"")</f>
        <v/>
      </c>
      <c r="G621" t="str">
        <f t="array" ref="G621">IFERROR(INDEX('Daily Raw Data'!I:I,Match($A621,'Daily Raw Data'!$B:$B,0)),"")</f>
        <v/>
      </c>
      <c r="H621" t="str">
        <f t="array" ref="H621">IFERROR(INDEX('Daily Raw Data'!N:N,Match($A621,'Daily Raw Data'!$B:$B,0)),"")</f>
        <v/>
      </c>
      <c r="I621" t="str">
        <f t="array" ref="I621">IFERROR(INDEX('Daily Raw Data'!O:O,Match($A621,'Daily Raw Data'!$B:$B,0)),"")</f>
        <v/>
      </c>
      <c r="J621" t="str">
        <f t="array" ref="J621">IFERROR(INDEX('Daily Raw Data'!S:S,Match($A621,'Daily Raw Data'!$B:$B,0)),"")</f>
        <v/>
      </c>
      <c r="K621" t="str">
        <f t="array" ref="K621">IFERROR(INDEX('Daily Raw Data'!T:T,Match($A621,'Daily Raw Data'!$B:$B,0)),"")</f>
        <v/>
      </c>
      <c r="L621" t="str">
        <f t="array" ref="L621">IFERROR(INDEX('Daily Raw Data'!U:U,Match($A621,'Daily Raw Data'!$B:$B,0)),"")</f>
        <v/>
      </c>
      <c r="M621" t="str">
        <f t="array" ref="M621">IFERROR(INDEX('Daily Raw Data'!V:V,Match($A621,'Daily Raw Data'!$B:$B,0)),"")</f>
        <v/>
      </c>
      <c r="N621" t="str">
        <f t="array" ref="N621">IFERROR(INDEX('Daily Raw Data'!W:W,Match($A621,'Daily Raw Data'!$B:$B,0)),"")</f>
        <v/>
      </c>
      <c r="O621" t="str">
        <f t="array" ref="O621">IFERROR(INDEX('Daily Raw Data'!Y:Y,Match($A621,'Daily Raw Data'!$B:$B,0)),"")</f>
        <v/>
      </c>
      <c r="P621" t="str">
        <f t="shared" si="1"/>
        <v/>
      </c>
      <c r="Q621" s="14" t="str">
        <f t="shared" si="2"/>
        <v/>
      </c>
      <c r="R621" s="15" t="str">
        <f>IFERROR(__xludf.DUMMYFUNCTION("IF($A621="""","""", IFERROR(PERCENTRANK.INC(FILTER(P:P,$E:$E&lt;&gt;""""),P621)*100,""""))"),"")</f>
        <v/>
      </c>
      <c r="S621" s="15" t="str">
        <f>IFERROR(__xludf.DUMMYFUNCTION("IF($A621="""","""",IFERROR(PERCENTRANK.INC(FILTER(Q:Q,$E:$E&lt;&gt;""""),Q621)*100,""""))"),"")</f>
        <v/>
      </c>
    </row>
    <row r="622">
      <c r="B622" t="str">
        <f t="array" ref="B622">IFERROR(INDEX('Player Raw Data'!C:C,Match($A622,'Player Raw Data'!$B:$B,0)),"")</f>
        <v/>
      </c>
      <c r="C622" t="str">
        <f t="array" ref="C622">IFERROR(INDEX('Player Raw Data'!D:D,Match($A622,'Player Raw Data'!$B:$B,0)),"")</f>
        <v/>
      </c>
      <c r="D622" t="str">
        <f t="array" ref="D622">IFERROR(IF(A622=A621, INDEX('Player Raw Data'!E:E,Match($A622,'Player Raw Data'!$B:$B,0)+2),INDEX('Player Raw Data'!E:E,Match($A622,'Player Raw Data'!$B:$B,0))),"")</f>
        <v/>
      </c>
      <c r="E622" s="27" t="str">
        <f>IFERROR(__xludf.DUMMYFUNCTION("IFERROR(ARRAY_CONSTRAIN(SPLIT(INDEX('Daily Raw Data'!G:G,Match($A622,'Daily Raw Data'!$B:$B,0)),"":""),1,1),"""")"),"")</f>
        <v/>
      </c>
      <c r="F622" t="str">
        <f t="array" ref="F622">IFERROR(INDEX('Daily Raw Data'!H:H,Match($A622,'Daily Raw Data'!$B:$B,0)),"")</f>
        <v/>
      </c>
      <c r="G622" t="str">
        <f t="array" ref="G622">IFERROR(INDEX('Daily Raw Data'!I:I,Match($A622,'Daily Raw Data'!$B:$B,0)),"")</f>
        <v/>
      </c>
      <c r="H622" t="str">
        <f t="array" ref="H622">IFERROR(INDEX('Daily Raw Data'!N:N,Match($A622,'Daily Raw Data'!$B:$B,0)),"")</f>
        <v/>
      </c>
      <c r="I622" t="str">
        <f t="array" ref="I622">IFERROR(INDEX('Daily Raw Data'!O:O,Match($A622,'Daily Raw Data'!$B:$B,0)),"")</f>
        <v/>
      </c>
      <c r="J622" t="str">
        <f t="array" ref="J622">IFERROR(INDEX('Daily Raw Data'!S:S,Match($A622,'Daily Raw Data'!$B:$B,0)),"")</f>
        <v/>
      </c>
      <c r="K622" t="str">
        <f t="array" ref="K622">IFERROR(INDEX('Daily Raw Data'!T:T,Match($A622,'Daily Raw Data'!$B:$B,0)),"")</f>
        <v/>
      </c>
      <c r="L622" t="str">
        <f t="array" ref="L622">IFERROR(INDEX('Daily Raw Data'!U:U,Match($A622,'Daily Raw Data'!$B:$B,0)),"")</f>
        <v/>
      </c>
      <c r="M622" t="str">
        <f t="array" ref="M622">IFERROR(INDEX('Daily Raw Data'!V:V,Match($A622,'Daily Raw Data'!$B:$B,0)),"")</f>
        <v/>
      </c>
      <c r="N622" t="str">
        <f t="array" ref="N622">IFERROR(INDEX('Daily Raw Data'!W:W,Match($A622,'Daily Raw Data'!$B:$B,0)),"")</f>
        <v/>
      </c>
      <c r="O622" t="str">
        <f t="array" ref="O622">IFERROR(INDEX('Daily Raw Data'!Y:Y,Match($A622,'Daily Raw Data'!$B:$B,0)),"")</f>
        <v/>
      </c>
      <c r="P622" t="str">
        <f t="shared" si="1"/>
        <v/>
      </c>
      <c r="Q622" s="14" t="str">
        <f t="shared" si="2"/>
        <v/>
      </c>
      <c r="R622" s="15" t="str">
        <f>IFERROR(__xludf.DUMMYFUNCTION("IF($A622="""","""", IFERROR(PERCENTRANK.INC(FILTER(P:P,$E:$E&lt;&gt;""""),P622)*100,""""))"),"")</f>
        <v/>
      </c>
      <c r="S622" s="15" t="str">
        <f>IFERROR(__xludf.DUMMYFUNCTION("IF($A622="""","""",IFERROR(PERCENTRANK.INC(FILTER(Q:Q,$E:$E&lt;&gt;""""),Q622)*100,""""))"),"")</f>
        <v/>
      </c>
    </row>
    <row r="623">
      <c r="B623" t="str">
        <f t="array" ref="B623">IFERROR(INDEX('Player Raw Data'!C:C,Match($A623,'Player Raw Data'!$B:$B,0)),"")</f>
        <v/>
      </c>
      <c r="C623" t="str">
        <f t="array" ref="C623">IFERROR(INDEX('Player Raw Data'!D:D,Match($A623,'Player Raw Data'!$B:$B,0)),"")</f>
        <v/>
      </c>
      <c r="D623" t="str">
        <f t="array" ref="D623">IFERROR(IF(A623=A622, INDEX('Player Raw Data'!E:E,Match($A623,'Player Raw Data'!$B:$B,0)+2),INDEX('Player Raw Data'!E:E,Match($A623,'Player Raw Data'!$B:$B,0))),"")</f>
        <v/>
      </c>
      <c r="E623" s="27" t="str">
        <f>IFERROR(__xludf.DUMMYFUNCTION("IFERROR(ARRAY_CONSTRAIN(SPLIT(INDEX('Daily Raw Data'!G:G,Match($A623,'Daily Raw Data'!$B:$B,0)),"":""),1,1),"""")"),"")</f>
        <v/>
      </c>
      <c r="F623" t="str">
        <f t="array" ref="F623">IFERROR(INDEX('Daily Raw Data'!H:H,Match($A623,'Daily Raw Data'!$B:$B,0)),"")</f>
        <v/>
      </c>
      <c r="G623" t="str">
        <f t="array" ref="G623">IFERROR(INDEX('Daily Raw Data'!I:I,Match($A623,'Daily Raw Data'!$B:$B,0)),"")</f>
        <v/>
      </c>
      <c r="H623" t="str">
        <f t="array" ref="H623">IFERROR(INDEX('Daily Raw Data'!N:N,Match($A623,'Daily Raw Data'!$B:$B,0)),"")</f>
        <v/>
      </c>
      <c r="I623" t="str">
        <f t="array" ref="I623">IFERROR(INDEX('Daily Raw Data'!O:O,Match($A623,'Daily Raw Data'!$B:$B,0)),"")</f>
        <v/>
      </c>
      <c r="J623" t="str">
        <f t="array" ref="J623">IFERROR(INDEX('Daily Raw Data'!S:S,Match($A623,'Daily Raw Data'!$B:$B,0)),"")</f>
        <v/>
      </c>
      <c r="K623" t="str">
        <f t="array" ref="K623">IFERROR(INDEX('Daily Raw Data'!T:T,Match($A623,'Daily Raw Data'!$B:$B,0)),"")</f>
        <v/>
      </c>
      <c r="L623" t="str">
        <f t="array" ref="L623">IFERROR(INDEX('Daily Raw Data'!U:U,Match($A623,'Daily Raw Data'!$B:$B,0)),"")</f>
        <v/>
      </c>
      <c r="M623" t="str">
        <f t="array" ref="M623">IFERROR(INDEX('Daily Raw Data'!V:V,Match($A623,'Daily Raw Data'!$B:$B,0)),"")</f>
        <v/>
      </c>
      <c r="N623" t="str">
        <f t="array" ref="N623">IFERROR(INDEX('Daily Raw Data'!W:W,Match($A623,'Daily Raw Data'!$B:$B,0)),"")</f>
        <v/>
      </c>
      <c r="O623" t="str">
        <f t="array" ref="O623">IFERROR(INDEX('Daily Raw Data'!Y:Y,Match($A623,'Daily Raw Data'!$B:$B,0)),"")</f>
        <v/>
      </c>
      <c r="P623" t="str">
        <f t="shared" si="1"/>
        <v/>
      </c>
      <c r="Q623" s="14" t="str">
        <f t="shared" si="2"/>
        <v/>
      </c>
      <c r="R623" s="15" t="str">
        <f>IFERROR(__xludf.DUMMYFUNCTION("IF($A623="""","""", IFERROR(PERCENTRANK.INC(FILTER(P:P,$E:$E&lt;&gt;""""),P623)*100,""""))"),"")</f>
        <v/>
      </c>
      <c r="S623" s="15" t="str">
        <f>IFERROR(__xludf.DUMMYFUNCTION("IF($A623="""","""",IFERROR(PERCENTRANK.INC(FILTER(Q:Q,$E:$E&lt;&gt;""""),Q623)*100,""""))"),"")</f>
        <v/>
      </c>
    </row>
    <row r="624">
      <c r="B624" t="str">
        <f t="array" ref="B624">IFERROR(INDEX('Player Raw Data'!C:C,Match($A624,'Player Raw Data'!$B:$B,0)),"")</f>
        <v/>
      </c>
      <c r="C624" t="str">
        <f t="array" ref="C624">IFERROR(INDEX('Player Raw Data'!D:D,Match($A624,'Player Raw Data'!$B:$B,0)),"")</f>
        <v/>
      </c>
      <c r="D624" t="str">
        <f t="array" ref="D624">IFERROR(IF(A624=A623, INDEX('Player Raw Data'!E:E,Match($A624,'Player Raw Data'!$B:$B,0)+2),INDEX('Player Raw Data'!E:E,Match($A624,'Player Raw Data'!$B:$B,0))),"")</f>
        <v/>
      </c>
      <c r="E624" s="27" t="str">
        <f>IFERROR(__xludf.DUMMYFUNCTION("IFERROR(ARRAY_CONSTRAIN(SPLIT(INDEX('Daily Raw Data'!G:G,Match($A624,'Daily Raw Data'!$B:$B,0)),"":""),1,1),"""")"),"")</f>
        <v/>
      </c>
      <c r="F624" t="str">
        <f t="array" ref="F624">IFERROR(INDEX('Daily Raw Data'!H:H,Match($A624,'Daily Raw Data'!$B:$B,0)),"")</f>
        <v/>
      </c>
      <c r="G624" t="str">
        <f t="array" ref="G624">IFERROR(INDEX('Daily Raw Data'!I:I,Match($A624,'Daily Raw Data'!$B:$B,0)),"")</f>
        <v/>
      </c>
      <c r="H624" t="str">
        <f t="array" ref="H624">IFERROR(INDEX('Daily Raw Data'!N:N,Match($A624,'Daily Raw Data'!$B:$B,0)),"")</f>
        <v/>
      </c>
      <c r="I624" t="str">
        <f t="array" ref="I624">IFERROR(INDEX('Daily Raw Data'!O:O,Match($A624,'Daily Raw Data'!$B:$B,0)),"")</f>
        <v/>
      </c>
      <c r="J624" t="str">
        <f t="array" ref="J624">IFERROR(INDEX('Daily Raw Data'!S:S,Match($A624,'Daily Raw Data'!$B:$B,0)),"")</f>
        <v/>
      </c>
      <c r="K624" t="str">
        <f t="array" ref="K624">IFERROR(INDEX('Daily Raw Data'!T:T,Match($A624,'Daily Raw Data'!$B:$B,0)),"")</f>
        <v/>
      </c>
      <c r="L624" t="str">
        <f t="array" ref="L624">IFERROR(INDEX('Daily Raw Data'!U:U,Match($A624,'Daily Raw Data'!$B:$B,0)),"")</f>
        <v/>
      </c>
      <c r="M624" t="str">
        <f t="array" ref="M624">IFERROR(INDEX('Daily Raw Data'!V:V,Match($A624,'Daily Raw Data'!$B:$B,0)),"")</f>
        <v/>
      </c>
      <c r="N624" t="str">
        <f t="array" ref="N624">IFERROR(INDEX('Daily Raw Data'!W:W,Match($A624,'Daily Raw Data'!$B:$B,0)),"")</f>
        <v/>
      </c>
      <c r="O624" t="str">
        <f t="array" ref="O624">IFERROR(INDEX('Daily Raw Data'!Y:Y,Match($A624,'Daily Raw Data'!$B:$B,0)),"")</f>
        <v/>
      </c>
      <c r="P624" t="str">
        <f t="shared" si="1"/>
        <v/>
      </c>
      <c r="Q624" s="14" t="str">
        <f t="shared" si="2"/>
        <v/>
      </c>
      <c r="R624" s="15" t="str">
        <f>IFERROR(__xludf.DUMMYFUNCTION("IF($A624="""","""", IFERROR(PERCENTRANK.INC(FILTER(P:P,$E:$E&lt;&gt;""""),P624)*100,""""))"),"")</f>
        <v/>
      </c>
      <c r="S624" s="15" t="str">
        <f>IFERROR(__xludf.DUMMYFUNCTION("IF($A624="""","""",IFERROR(PERCENTRANK.INC(FILTER(Q:Q,$E:$E&lt;&gt;""""),Q624)*100,""""))"),"")</f>
        <v/>
      </c>
    </row>
    <row r="625">
      <c r="B625" t="str">
        <f t="array" ref="B625">IFERROR(INDEX('Player Raw Data'!C:C,Match($A625,'Player Raw Data'!$B:$B,0)),"")</f>
        <v/>
      </c>
      <c r="C625" t="str">
        <f t="array" ref="C625">IFERROR(INDEX('Player Raw Data'!D:D,Match($A625,'Player Raw Data'!$B:$B,0)),"")</f>
        <v/>
      </c>
      <c r="D625" t="str">
        <f t="array" ref="D625">IFERROR(IF(A625=A624, INDEX('Player Raw Data'!E:E,Match($A625,'Player Raw Data'!$B:$B,0)+2),INDEX('Player Raw Data'!E:E,Match($A625,'Player Raw Data'!$B:$B,0))),"")</f>
        <v/>
      </c>
      <c r="E625" s="27" t="str">
        <f>IFERROR(__xludf.DUMMYFUNCTION("IFERROR(ARRAY_CONSTRAIN(SPLIT(INDEX('Daily Raw Data'!G:G,Match($A625,'Daily Raw Data'!$B:$B,0)),"":""),1,1),"""")"),"")</f>
        <v/>
      </c>
      <c r="F625" t="str">
        <f t="array" ref="F625">IFERROR(INDEX('Daily Raw Data'!H:H,Match($A625,'Daily Raw Data'!$B:$B,0)),"")</f>
        <v/>
      </c>
      <c r="G625" t="str">
        <f t="array" ref="G625">IFERROR(INDEX('Daily Raw Data'!I:I,Match($A625,'Daily Raw Data'!$B:$B,0)),"")</f>
        <v/>
      </c>
      <c r="H625" t="str">
        <f t="array" ref="H625">IFERROR(INDEX('Daily Raw Data'!N:N,Match($A625,'Daily Raw Data'!$B:$B,0)),"")</f>
        <v/>
      </c>
      <c r="I625" t="str">
        <f t="array" ref="I625">IFERROR(INDEX('Daily Raw Data'!O:O,Match($A625,'Daily Raw Data'!$B:$B,0)),"")</f>
        <v/>
      </c>
      <c r="J625" t="str">
        <f t="array" ref="J625">IFERROR(INDEX('Daily Raw Data'!S:S,Match($A625,'Daily Raw Data'!$B:$B,0)),"")</f>
        <v/>
      </c>
      <c r="K625" t="str">
        <f t="array" ref="K625">IFERROR(INDEX('Daily Raw Data'!T:T,Match($A625,'Daily Raw Data'!$B:$B,0)),"")</f>
        <v/>
      </c>
      <c r="L625" t="str">
        <f t="array" ref="L625">IFERROR(INDEX('Daily Raw Data'!U:U,Match($A625,'Daily Raw Data'!$B:$B,0)),"")</f>
        <v/>
      </c>
      <c r="M625" t="str">
        <f t="array" ref="M625">IFERROR(INDEX('Daily Raw Data'!V:V,Match($A625,'Daily Raw Data'!$B:$B,0)),"")</f>
        <v/>
      </c>
      <c r="N625" t="str">
        <f t="array" ref="N625">IFERROR(INDEX('Daily Raw Data'!W:W,Match($A625,'Daily Raw Data'!$B:$B,0)),"")</f>
        <v/>
      </c>
      <c r="O625" t="str">
        <f t="array" ref="O625">IFERROR(INDEX('Daily Raw Data'!Y:Y,Match($A625,'Daily Raw Data'!$B:$B,0)),"")</f>
        <v/>
      </c>
      <c r="P625" t="str">
        <f t="shared" si="1"/>
        <v/>
      </c>
      <c r="Q625" s="14" t="str">
        <f t="shared" si="2"/>
        <v/>
      </c>
      <c r="R625" s="15" t="str">
        <f>IFERROR(__xludf.DUMMYFUNCTION("IF($A625="""","""", IFERROR(PERCENTRANK.INC(FILTER(P:P,$E:$E&lt;&gt;""""),P625)*100,""""))"),"")</f>
        <v/>
      </c>
      <c r="S625" s="15" t="str">
        <f>IFERROR(__xludf.DUMMYFUNCTION("IF($A625="""","""",IFERROR(PERCENTRANK.INC(FILTER(Q:Q,$E:$E&lt;&gt;""""),Q625)*100,""""))"),"")</f>
        <v/>
      </c>
    </row>
    <row r="626">
      <c r="B626" t="str">
        <f t="array" ref="B626">IFERROR(INDEX('Player Raw Data'!C:C,Match($A626,'Player Raw Data'!$B:$B,0)),"")</f>
        <v/>
      </c>
      <c r="C626" t="str">
        <f t="array" ref="C626">IFERROR(INDEX('Player Raw Data'!D:D,Match($A626,'Player Raw Data'!$B:$B,0)),"")</f>
        <v/>
      </c>
      <c r="D626" t="str">
        <f t="array" ref="D626">IFERROR(IF(A626=A625, INDEX('Player Raw Data'!E:E,Match($A626,'Player Raw Data'!$B:$B,0)+2),INDEX('Player Raw Data'!E:E,Match($A626,'Player Raw Data'!$B:$B,0))),"")</f>
        <v/>
      </c>
      <c r="E626" s="27" t="str">
        <f>IFERROR(__xludf.DUMMYFUNCTION("IFERROR(ARRAY_CONSTRAIN(SPLIT(INDEX('Daily Raw Data'!G:G,Match($A626,'Daily Raw Data'!$B:$B,0)),"":""),1,1),"""")"),"")</f>
        <v/>
      </c>
      <c r="F626" t="str">
        <f t="array" ref="F626">IFERROR(INDEX('Daily Raw Data'!H:H,Match($A626,'Daily Raw Data'!$B:$B,0)),"")</f>
        <v/>
      </c>
      <c r="G626" t="str">
        <f t="array" ref="G626">IFERROR(INDEX('Daily Raw Data'!I:I,Match($A626,'Daily Raw Data'!$B:$B,0)),"")</f>
        <v/>
      </c>
      <c r="H626" t="str">
        <f t="array" ref="H626">IFERROR(INDEX('Daily Raw Data'!N:N,Match($A626,'Daily Raw Data'!$B:$B,0)),"")</f>
        <v/>
      </c>
      <c r="I626" t="str">
        <f t="array" ref="I626">IFERROR(INDEX('Daily Raw Data'!O:O,Match($A626,'Daily Raw Data'!$B:$B,0)),"")</f>
        <v/>
      </c>
      <c r="J626" t="str">
        <f t="array" ref="J626">IFERROR(INDEX('Daily Raw Data'!S:S,Match($A626,'Daily Raw Data'!$B:$B,0)),"")</f>
        <v/>
      </c>
      <c r="K626" t="str">
        <f t="array" ref="K626">IFERROR(INDEX('Daily Raw Data'!T:T,Match($A626,'Daily Raw Data'!$B:$B,0)),"")</f>
        <v/>
      </c>
      <c r="L626" t="str">
        <f t="array" ref="L626">IFERROR(INDEX('Daily Raw Data'!U:U,Match($A626,'Daily Raw Data'!$B:$B,0)),"")</f>
        <v/>
      </c>
      <c r="M626" t="str">
        <f t="array" ref="M626">IFERROR(INDEX('Daily Raw Data'!V:V,Match($A626,'Daily Raw Data'!$B:$B,0)),"")</f>
        <v/>
      </c>
      <c r="N626" t="str">
        <f t="array" ref="N626">IFERROR(INDEX('Daily Raw Data'!W:W,Match($A626,'Daily Raw Data'!$B:$B,0)),"")</f>
        <v/>
      </c>
      <c r="O626" t="str">
        <f t="array" ref="O626">IFERROR(INDEX('Daily Raw Data'!Y:Y,Match($A626,'Daily Raw Data'!$B:$B,0)),"")</f>
        <v/>
      </c>
      <c r="P626" t="str">
        <f t="shared" si="1"/>
        <v/>
      </c>
      <c r="Q626" s="14" t="str">
        <f t="shared" si="2"/>
        <v/>
      </c>
      <c r="R626" s="15" t="str">
        <f>IFERROR(__xludf.DUMMYFUNCTION("IF($A626="""","""", IFERROR(PERCENTRANK.INC(FILTER(P:P,$E:$E&lt;&gt;""""),P626)*100,""""))"),"")</f>
        <v/>
      </c>
      <c r="S626" s="15" t="str">
        <f>IFERROR(__xludf.DUMMYFUNCTION("IF($A626="""","""",IFERROR(PERCENTRANK.INC(FILTER(Q:Q,$E:$E&lt;&gt;""""),Q626)*100,""""))"),"")</f>
        <v/>
      </c>
    </row>
    <row r="627">
      <c r="B627" t="str">
        <f t="array" ref="B627">IFERROR(INDEX('Player Raw Data'!C:C,Match($A627,'Player Raw Data'!$B:$B,0)),"")</f>
        <v/>
      </c>
      <c r="C627" t="str">
        <f t="array" ref="C627">IFERROR(INDEX('Player Raw Data'!D:D,Match($A627,'Player Raw Data'!$B:$B,0)),"")</f>
        <v/>
      </c>
      <c r="D627" t="str">
        <f t="array" ref="D627">IFERROR(IF(A627=A626, INDEX('Player Raw Data'!E:E,Match($A627,'Player Raw Data'!$B:$B,0)+2),INDEX('Player Raw Data'!E:E,Match($A627,'Player Raw Data'!$B:$B,0))),"")</f>
        <v/>
      </c>
      <c r="E627" s="27" t="str">
        <f>IFERROR(__xludf.DUMMYFUNCTION("IFERROR(ARRAY_CONSTRAIN(SPLIT(INDEX('Daily Raw Data'!G:G,Match($A627,'Daily Raw Data'!$B:$B,0)),"":""),1,1),"""")"),"")</f>
        <v/>
      </c>
      <c r="F627" t="str">
        <f t="array" ref="F627">IFERROR(INDEX('Daily Raw Data'!H:H,Match($A627,'Daily Raw Data'!$B:$B,0)),"")</f>
        <v/>
      </c>
      <c r="G627" t="str">
        <f t="array" ref="G627">IFERROR(INDEX('Daily Raw Data'!I:I,Match($A627,'Daily Raw Data'!$B:$B,0)),"")</f>
        <v/>
      </c>
      <c r="H627" t="str">
        <f t="array" ref="H627">IFERROR(INDEX('Daily Raw Data'!N:N,Match($A627,'Daily Raw Data'!$B:$B,0)),"")</f>
        <v/>
      </c>
      <c r="I627" t="str">
        <f t="array" ref="I627">IFERROR(INDEX('Daily Raw Data'!O:O,Match($A627,'Daily Raw Data'!$B:$B,0)),"")</f>
        <v/>
      </c>
      <c r="J627" t="str">
        <f t="array" ref="J627">IFERROR(INDEX('Daily Raw Data'!S:S,Match($A627,'Daily Raw Data'!$B:$B,0)),"")</f>
        <v/>
      </c>
      <c r="K627" t="str">
        <f t="array" ref="K627">IFERROR(INDEX('Daily Raw Data'!T:T,Match($A627,'Daily Raw Data'!$B:$B,0)),"")</f>
        <v/>
      </c>
      <c r="L627" t="str">
        <f t="array" ref="L627">IFERROR(INDEX('Daily Raw Data'!U:U,Match($A627,'Daily Raw Data'!$B:$B,0)),"")</f>
        <v/>
      </c>
      <c r="M627" t="str">
        <f t="array" ref="M627">IFERROR(INDEX('Daily Raw Data'!V:V,Match($A627,'Daily Raw Data'!$B:$B,0)),"")</f>
        <v/>
      </c>
      <c r="N627" t="str">
        <f t="array" ref="N627">IFERROR(INDEX('Daily Raw Data'!W:W,Match($A627,'Daily Raw Data'!$B:$B,0)),"")</f>
        <v/>
      </c>
      <c r="O627" t="str">
        <f t="array" ref="O627">IFERROR(INDEX('Daily Raw Data'!Y:Y,Match($A627,'Daily Raw Data'!$B:$B,0)),"")</f>
        <v/>
      </c>
      <c r="P627" t="str">
        <f t="shared" si="1"/>
        <v/>
      </c>
      <c r="Q627" s="14" t="str">
        <f t="shared" si="2"/>
        <v/>
      </c>
      <c r="R627" s="15" t="str">
        <f>IFERROR(__xludf.DUMMYFUNCTION("IF($A627="""","""", IFERROR(PERCENTRANK.INC(FILTER(P:P,$E:$E&lt;&gt;""""),P627)*100,""""))"),"")</f>
        <v/>
      </c>
      <c r="S627" s="15" t="str">
        <f>IFERROR(__xludf.DUMMYFUNCTION("IF($A627="""","""",IFERROR(PERCENTRANK.INC(FILTER(Q:Q,$E:$E&lt;&gt;""""),Q627)*100,""""))"),"")</f>
        <v/>
      </c>
    </row>
    <row r="628">
      <c r="B628" t="str">
        <f t="array" ref="B628">IFERROR(INDEX('Player Raw Data'!C:C,Match($A628,'Player Raw Data'!$B:$B,0)),"")</f>
        <v/>
      </c>
      <c r="C628" t="str">
        <f t="array" ref="C628">IFERROR(INDEX('Player Raw Data'!D:D,Match($A628,'Player Raw Data'!$B:$B,0)),"")</f>
        <v/>
      </c>
      <c r="D628" t="str">
        <f t="array" ref="D628">IFERROR(IF(A628=A627, INDEX('Player Raw Data'!E:E,Match($A628,'Player Raw Data'!$B:$B,0)+2),INDEX('Player Raw Data'!E:E,Match($A628,'Player Raw Data'!$B:$B,0))),"")</f>
        <v/>
      </c>
      <c r="E628" s="27" t="str">
        <f>IFERROR(__xludf.DUMMYFUNCTION("IFERROR(ARRAY_CONSTRAIN(SPLIT(INDEX('Daily Raw Data'!G:G,Match($A628,'Daily Raw Data'!$B:$B,0)),"":""),1,1),"""")"),"")</f>
        <v/>
      </c>
      <c r="F628" t="str">
        <f t="array" ref="F628">IFERROR(INDEX('Daily Raw Data'!H:H,Match($A628,'Daily Raw Data'!$B:$B,0)),"")</f>
        <v/>
      </c>
      <c r="G628" t="str">
        <f t="array" ref="G628">IFERROR(INDEX('Daily Raw Data'!I:I,Match($A628,'Daily Raw Data'!$B:$B,0)),"")</f>
        <v/>
      </c>
      <c r="H628" t="str">
        <f t="array" ref="H628">IFERROR(INDEX('Daily Raw Data'!N:N,Match($A628,'Daily Raw Data'!$B:$B,0)),"")</f>
        <v/>
      </c>
      <c r="I628" t="str">
        <f t="array" ref="I628">IFERROR(INDEX('Daily Raw Data'!O:O,Match($A628,'Daily Raw Data'!$B:$B,0)),"")</f>
        <v/>
      </c>
      <c r="J628" t="str">
        <f t="array" ref="J628">IFERROR(INDEX('Daily Raw Data'!S:S,Match($A628,'Daily Raw Data'!$B:$B,0)),"")</f>
        <v/>
      </c>
      <c r="K628" t="str">
        <f t="array" ref="K628">IFERROR(INDEX('Daily Raw Data'!T:T,Match($A628,'Daily Raw Data'!$B:$B,0)),"")</f>
        <v/>
      </c>
      <c r="L628" t="str">
        <f t="array" ref="L628">IFERROR(INDEX('Daily Raw Data'!U:U,Match($A628,'Daily Raw Data'!$B:$B,0)),"")</f>
        <v/>
      </c>
      <c r="M628" t="str">
        <f t="array" ref="M628">IFERROR(INDEX('Daily Raw Data'!V:V,Match($A628,'Daily Raw Data'!$B:$B,0)),"")</f>
        <v/>
      </c>
      <c r="N628" t="str">
        <f t="array" ref="N628">IFERROR(INDEX('Daily Raw Data'!W:W,Match($A628,'Daily Raw Data'!$B:$B,0)),"")</f>
        <v/>
      </c>
      <c r="O628" t="str">
        <f t="array" ref="O628">IFERROR(INDEX('Daily Raw Data'!Y:Y,Match($A628,'Daily Raw Data'!$B:$B,0)),"")</f>
        <v/>
      </c>
      <c r="P628" t="str">
        <f t="shared" si="1"/>
        <v/>
      </c>
      <c r="Q628" s="14" t="str">
        <f t="shared" si="2"/>
        <v/>
      </c>
      <c r="R628" s="15" t="str">
        <f>IFERROR(__xludf.DUMMYFUNCTION("IF($A628="""","""", IFERROR(PERCENTRANK.INC(FILTER(P:P,$E:$E&lt;&gt;""""),P628)*100,""""))"),"")</f>
        <v/>
      </c>
      <c r="S628" s="15" t="str">
        <f>IFERROR(__xludf.DUMMYFUNCTION("IF($A628="""","""",IFERROR(PERCENTRANK.INC(FILTER(Q:Q,$E:$E&lt;&gt;""""),Q628)*100,""""))"),"")</f>
        <v/>
      </c>
    </row>
    <row r="629">
      <c r="B629" t="str">
        <f t="array" ref="B629">IFERROR(INDEX('Player Raw Data'!C:C,Match($A629,'Player Raw Data'!$B:$B,0)),"")</f>
        <v/>
      </c>
      <c r="C629" t="str">
        <f t="array" ref="C629">IFERROR(INDEX('Player Raw Data'!D:D,Match($A629,'Player Raw Data'!$B:$B,0)),"")</f>
        <v/>
      </c>
      <c r="D629" t="str">
        <f t="array" ref="D629">IFERROR(IF(A629=A628, INDEX('Player Raw Data'!E:E,Match($A629,'Player Raw Data'!$B:$B,0)+2),INDEX('Player Raw Data'!E:E,Match($A629,'Player Raw Data'!$B:$B,0))),"")</f>
        <v/>
      </c>
      <c r="E629" s="27" t="str">
        <f>IFERROR(__xludf.DUMMYFUNCTION("IFERROR(ARRAY_CONSTRAIN(SPLIT(INDEX('Daily Raw Data'!G:G,Match($A629,'Daily Raw Data'!$B:$B,0)),"":""),1,1),"""")"),"")</f>
        <v/>
      </c>
      <c r="F629" t="str">
        <f t="array" ref="F629">IFERROR(INDEX('Daily Raw Data'!H:H,Match($A629,'Daily Raw Data'!$B:$B,0)),"")</f>
        <v/>
      </c>
      <c r="G629" t="str">
        <f t="array" ref="G629">IFERROR(INDEX('Daily Raw Data'!I:I,Match($A629,'Daily Raw Data'!$B:$B,0)),"")</f>
        <v/>
      </c>
      <c r="H629" t="str">
        <f t="array" ref="H629">IFERROR(INDEX('Daily Raw Data'!N:N,Match($A629,'Daily Raw Data'!$B:$B,0)),"")</f>
        <v/>
      </c>
      <c r="I629" t="str">
        <f t="array" ref="I629">IFERROR(INDEX('Daily Raw Data'!O:O,Match($A629,'Daily Raw Data'!$B:$B,0)),"")</f>
        <v/>
      </c>
      <c r="J629" t="str">
        <f t="array" ref="J629">IFERROR(INDEX('Daily Raw Data'!S:S,Match($A629,'Daily Raw Data'!$B:$B,0)),"")</f>
        <v/>
      </c>
      <c r="K629" t="str">
        <f t="array" ref="K629">IFERROR(INDEX('Daily Raw Data'!T:T,Match($A629,'Daily Raw Data'!$B:$B,0)),"")</f>
        <v/>
      </c>
      <c r="L629" t="str">
        <f t="array" ref="L629">IFERROR(INDEX('Daily Raw Data'!U:U,Match($A629,'Daily Raw Data'!$B:$B,0)),"")</f>
        <v/>
      </c>
      <c r="M629" t="str">
        <f t="array" ref="M629">IFERROR(INDEX('Daily Raw Data'!V:V,Match($A629,'Daily Raw Data'!$B:$B,0)),"")</f>
        <v/>
      </c>
      <c r="N629" t="str">
        <f t="array" ref="N629">IFERROR(INDEX('Daily Raw Data'!W:W,Match($A629,'Daily Raw Data'!$B:$B,0)),"")</f>
        <v/>
      </c>
      <c r="O629" t="str">
        <f t="array" ref="O629">IFERROR(INDEX('Daily Raw Data'!Y:Y,Match($A629,'Daily Raw Data'!$B:$B,0)),"")</f>
        <v/>
      </c>
      <c r="P629" t="str">
        <f t="shared" si="1"/>
        <v/>
      </c>
      <c r="Q629" s="14" t="str">
        <f t="shared" si="2"/>
        <v/>
      </c>
      <c r="R629" s="15" t="str">
        <f>IFERROR(__xludf.DUMMYFUNCTION("IF($A629="""","""", IFERROR(PERCENTRANK.INC(FILTER(P:P,$E:$E&lt;&gt;""""),P629)*100,""""))"),"")</f>
        <v/>
      </c>
      <c r="S629" s="15" t="str">
        <f>IFERROR(__xludf.DUMMYFUNCTION("IF($A629="""","""",IFERROR(PERCENTRANK.INC(FILTER(Q:Q,$E:$E&lt;&gt;""""),Q629)*100,""""))"),"")</f>
        <v/>
      </c>
    </row>
    <row r="630">
      <c r="B630" t="str">
        <f t="array" ref="B630">IFERROR(INDEX('Player Raw Data'!C:C,Match($A630,'Player Raw Data'!$B:$B,0)),"")</f>
        <v/>
      </c>
      <c r="C630" t="str">
        <f t="array" ref="C630">IFERROR(INDEX('Player Raw Data'!D:D,Match($A630,'Player Raw Data'!$B:$B,0)),"")</f>
        <v/>
      </c>
      <c r="D630" t="str">
        <f t="array" ref="D630">IFERROR(IF(A630=A629, INDEX('Player Raw Data'!E:E,Match($A630,'Player Raw Data'!$B:$B,0)+2),INDEX('Player Raw Data'!E:E,Match($A630,'Player Raw Data'!$B:$B,0))),"")</f>
        <v/>
      </c>
      <c r="E630" s="27" t="str">
        <f>IFERROR(__xludf.DUMMYFUNCTION("IFERROR(ARRAY_CONSTRAIN(SPLIT(INDEX('Daily Raw Data'!G:G,Match($A630,'Daily Raw Data'!$B:$B,0)),"":""),1,1),"""")"),"")</f>
        <v/>
      </c>
      <c r="F630" t="str">
        <f t="array" ref="F630">IFERROR(INDEX('Daily Raw Data'!H:H,Match($A630,'Daily Raw Data'!$B:$B,0)),"")</f>
        <v/>
      </c>
      <c r="G630" t="str">
        <f t="array" ref="G630">IFERROR(INDEX('Daily Raw Data'!I:I,Match($A630,'Daily Raw Data'!$B:$B,0)),"")</f>
        <v/>
      </c>
      <c r="H630" t="str">
        <f t="array" ref="H630">IFERROR(INDEX('Daily Raw Data'!N:N,Match($A630,'Daily Raw Data'!$B:$B,0)),"")</f>
        <v/>
      </c>
      <c r="I630" t="str">
        <f t="array" ref="I630">IFERROR(INDEX('Daily Raw Data'!O:O,Match($A630,'Daily Raw Data'!$B:$B,0)),"")</f>
        <v/>
      </c>
      <c r="J630" t="str">
        <f t="array" ref="J630">IFERROR(INDEX('Daily Raw Data'!S:S,Match($A630,'Daily Raw Data'!$B:$B,0)),"")</f>
        <v/>
      </c>
      <c r="K630" t="str">
        <f t="array" ref="K630">IFERROR(INDEX('Daily Raw Data'!T:T,Match($A630,'Daily Raw Data'!$B:$B,0)),"")</f>
        <v/>
      </c>
      <c r="L630" t="str">
        <f t="array" ref="L630">IFERROR(INDEX('Daily Raw Data'!U:U,Match($A630,'Daily Raw Data'!$B:$B,0)),"")</f>
        <v/>
      </c>
      <c r="M630" t="str">
        <f t="array" ref="M630">IFERROR(INDEX('Daily Raw Data'!V:V,Match($A630,'Daily Raw Data'!$B:$B,0)),"")</f>
        <v/>
      </c>
      <c r="N630" t="str">
        <f t="array" ref="N630">IFERROR(INDEX('Daily Raw Data'!W:W,Match($A630,'Daily Raw Data'!$B:$B,0)),"")</f>
        <v/>
      </c>
      <c r="O630" t="str">
        <f t="array" ref="O630">IFERROR(INDEX('Daily Raw Data'!Y:Y,Match($A630,'Daily Raw Data'!$B:$B,0)),"")</f>
        <v/>
      </c>
      <c r="P630" t="str">
        <f t="shared" si="1"/>
        <v/>
      </c>
      <c r="Q630" s="14" t="str">
        <f t="shared" si="2"/>
        <v/>
      </c>
      <c r="R630" s="15" t="str">
        <f>IFERROR(__xludf.DUMMYFUNCTION("IF($A630="""","""", IFERROR(PERCENTRANK.INC(FILTER(P:P,$E:$E&lt;&gt;""""),P630)*100,""""))"),"")</f>
        <v/>
      </c>
      <c r="S630" s="15" t="str">
        <f>IFERROR(__xludf.DUMMYFUNCTION("IF($A630="""","""",IFERROR(PERCENTRANK.INC(FILTER(Q:Q,$E:$E&lt;&gt;""""),Q630)*100,""""))"),"")</f>
        <v/>
      </c>
    </row>
    <row r="631">
      <c r="B631" t="str">
        <f t="array" ref="B631">IFERROR(INDEX('Player Raw Data'!C:C,Match($A631,'Player Raw Data'!$B:$B,0)),"")</f>
        <v/>
      </c>
      <c r="C631" t="str">
        <f t="array" ref="C631">IFERROR(INDEX('Player Raw Data'!D:D,Match($A631,'Player Raw Data'!$B:$B,0)),"")</f>
        <v/>
      </c>
      <c r="D631" t="str">
        <f t="array" ref="D631">IFERROR(IF(A631=A630, INDEX('Player Raw Data'!E:E,Match($A631,'Player Raw Data'!$B:$B,0)+2),INDEX('Player Raw Data'!E:E,Match($A631,'Player Raw Data'!$B:$B,0))),"")</f>
        <v/>
      </c>
      <c r="E631" s="27" t="str">
        <f>IFERROR(__xludf.DUMMYFUNCTION("IFERROR(ARRAY_CONSTRAIN(SPLIT(INDEX('Daily Raw Data'!G:G,Match($A631,'Daily Raw Data'!$B:$B,0)),"":""),1,1),"""")"),"")</f>
        <v/>
      </c>
      <c r="F631" t="str">
        <f t="array" ref="F631">IFERROR(INDEX('Daily Raw Data'!H:H,Match($A631,'Daily Raw Data'!$B:$B,0)),"")</f>
        <v/>
      </c>
      <c r="G631" t="str">
        <f t="array" ref="G631">IFERROR(INDEX('Daily Raw Data'!I:I,Match($A631,'Daily Raw Data'!$B:$B,0)),"")</f>
        <v/>
      </c>
      <c r="H631" t="str">
        <f t="array" ref="H631">IFERROR(INDEX('Daily Raw Data'!N:N,Match($A631,'Daily Raw Data'!$B:$B,0)),"")</f>
        <v/>
      </c>
      <c r="I631" t="str">
        <f t="array" ref="I631">IFERROR(INDEX('Daily Raw Data'!O:O,Match($A631,'Daily Raw Data'!$B:$B,0)),"")</f>
        <v/>
      </c>
      <c r="J631" t="str">
        <f t="array" ref="J631">IFERROR(INDEX('Daily Raw Data'!S:S,Match($A631,'Daily Raw Data'!$B:$B,0)),"")</f>
        <v/>
      </c>
      <c r="K631" t="str">
        <f t="array" ref="K631">IFERROR(INDEX('Daily Raw Data'!T:T,Match($A631,'Daily Raw Data'!$B:$B,0)),"")</f>
        <v/>
      </c>
      <c r="L631" t="str">
        <f t="array" ref="L631">IFERROR(INDEX('Daily Raw Data'!U:U,Match($A631,'Daily Raw Data'!$B:$B,0)),"")</f>
        <v/>
      </c>
      <c r="M631" t="str">
        <f t="array" ref="M631">IFERROR(INDEX('Daily Raw Data'!V:V,Match($A631,'Daily Raw Data'!$B:$B,0)),"")</f>
        <v/>
      </c>
      <c r="N631" t="str">
        <f t="array" ref="N631">IFERROR(INDEX('Daily Raw Data'!W:W,Match($A631,'Daily Raw Data'!$B:$B,0)),"")</f>
        <v/>
      </c>
      <c r="O631" t="str">
        <f t="array" ref="O631">IFERROR(INDEX('Daily Raw Data'!Y:Y,Match($A631,'Daily Raw Data'!$B:$B,0)),"")</f>
        <v/>
      </c>
      <c r="P631" t="str">
        <f t="shared" si="1"/>
        <v/>
      </c>
      <c r="Q631" s="14" t="str">
        <f t="shared" si="2"/>
        <v/>
      </c>
      <c r="R631" s="15" t="str">
        <f>IFERROR(__xludf.DUMMYFUNCTION("IF($A631="""","""", IFERROR(PERCENTRANK.INC(FILTER(P:P,$E:$E&lt;&gt;""""),P631)*100,""""))"),"")</f>
        <v/>
      </c>
      <c r="S631" s="15" t="str">
        <f>IFERROR(__xludf.DUMMYFUNCTION("IF($A631="""","""",IFERROR(PERCENTRANK.INC(FILTER(Q:Q,$E:$E&lt;&gt;""""),Q631)*100,""""))"),"")</f>
        <v/>
      </c>
    </row>
    <row r="632">
      <c r="B632" t="str">
        <f t="array" ref="B632">IFERROR(INDEX('Player Raw Data'!C:C,Match($A632,'Player Raw Data'!$B:$B,0)),"")</f>
        <v/>
      </c>
      <c r="C632" t="str">
        <f t="array" ref="C632">IFERROR(INDEX('Player Raw Data'!D:D,Match($A632,'Player Raw Data'!$B:$B,0)),"")</f>
        <v/>
      </c>
      <c r="D632" t="str">
        <f t="array" ref="D632">IFERROR(IF(A632=A631, INDEX('Player Raw Data'!E:E,Match($A632,'Player Raw Data'!$B:$B,0)+2),INDEX('Player Raw Data'!E:E,Match($A632,'Player Raw Data'!$B:$B,0))),"")</f>
        <v/>
      </c>
      <c r="E632" s="27" t="str">
        <f>IFERROR(__xludf.DUMMYFUNCTION("IFERROR(ARRAY_CONSTRAIN(SPLIT(INDEX('Daily Raw Data'!G:G,Match($A632,'Daily Raw Data'!$B:$B,0)),"":""),1,1),"""")"),"")</f>
        <v/>
      </c>
      <c r="F632" t="str">
        <f t="array" ref="F632">IFERROR(INDEX('Daily Raw Data'!H:H,Match($A632,'Daily Raw Data'!$B:$B,0)),"")</f>
        <v/>
      </c>
      <c r="G632" t="str">
        <f t="array" ref="G632">IFERROR(INDEX('Daily Raw Data'!I:I,Match($A632,'Daily Raw Data'!$B:$B,0)),"")</f>
        <v/>
      </c>
      <c r="H632" t="str">
        <f t="array" ref="H632">IFERROR(INDEX('Daily Raw Data'!N:N,Match($A632,'Daily Raw Data'!$B:$B,0)),"")</f>
        <v/>
      </c>
      <c r="I632" t="str">
        <f t="array" ref="I632">IFERROR(INDEX('Daily Raw Data'!O:O,Match($A632,'Daily Raw Data'!$B:$B,0)),"")</f>
        <v/>
      </c>
      <c r="J632" t="str">
        <f t="array" ref="J632">IFERROR(INDEX('Daily Raw Data'!S:S,Match($A632,'Daily Raw Data'!$B:$B,0)),"")</f>
        <v/>
      </c>
      <c r="K632" t="str">
        <f t="array" ref="K632">IFERROR(INDEX('Daily Raw Data'!T:T,Match($A632,'Daily Raw Data'!$B:$B,0)),"")</f>
        <v/>
      </c>
      <c r="L632" t="str">
        <f t="array" ref="L632">IFERROR(INDEX('Daily Raw Data'!U:U,Match($A632,'Daily Raw Data'!$B:$B,0)),"")</f>
        <v/>
      </c>
      <c r="M632" t="str">
        <f t="array" ref="M632">IFERROR(INDEX('Daily Raw Data'!V:V,Match($A632,'Daily Raw Data'!$B:$B,0)),"")</f>
        <v/>
      </c>
      <c r="N632" t="str">
        <f t="array" ref="N632">IFERROR(INDEX('Daily Raw Data'!W:W,Match($A632,'Daily Raw Data'!$B:$B,0)),"")</f>
        <v/>
      </c>
      <c r="O632" t="str">
        <f t="array" ref="O632">IFERROR(INDEX('Daily Raw Data'!Y:Y,Match($A632,'Daily Raw Data'!$B:$B,0)),"")</f>
        <v/>
      </c>
      <c r="P632" t="str">
        <f t="shared" si="1"/>
        <v/>
      </c>
      <c r="Q632" s="14" t="str">
        <f t="shared" si="2"/>
        <v/>
      </c>
      <c r="R632" s="15" t="str">
        <f>IFERROR(__xludf.DUMMYFUNCTION("IF($A632="""","""", IFERROR(PERCENTRANK.INC(FILTER(P:P,$E:$E&lt;&gt;""""),P632)*100,""""))"),"")</f>
        <v/>
      </c>
      <c r="S632" s="15" t="str">
        <f>IFERROR(__xludf.DUMMYFUNCTION("IF($A632="""","""",IFERROR(PERCENTRANK.INC(FILTER(Q:Q,$E:$E&lt;&gt;""""),Q632)*100,""""))"),"")</f>
        <v/>
      </c>
    </row>
    <row r="633">
      <c r="B633" t="str">
        <f t="array" ref="B633">IFERROR(INDEX('Player Raw Data'!C:C,Match($A633,'Player Raw Data'!$B:$B,0)),"")</f>
        <v/>
      </c>
      <c r="C633" t="str">
        <f t="array" ref="C633">IFERROR(INDEX('Player Raw Data'!D:D,Match($A633,'Player Raw Data'!$B:$B,0)),"")</f>
        <v/>
      </c>
      <c r="D633" t="str">
        <f t="array" ref="D633">IFERROR(IF(A633=A632, INDEX('Player Raw Data'!E:E,Match($A633,'Player Raw Data'!$B:$B,0)+2),INDEX('Player Raw Data'!E:E,Match($A633,'Player Raw Data'!$B:$B,0))),"")</f>
        <v/>
      </c>
      <c r="E633" s="27" t="str">
        <f>IFERROR(__xludf.DUMMYFUNCTION("IFERROR(ARRAY_CONSTRAIN(SPLIT(INDEX('Daily Raw Data'!G:G,Match($A633,'Daily Raw Data'!$B:$B,0)),"":""),1,1),"""")"),"")</f>
        <v/>
      </c>
      <c r="F633" t="str">
        <f t="array" ref="F633">IFERROR(INDEX('Daily Raw Data'!H:H,Match($A633,'Daily Raw Data'!$B:$B,0)),"")</f>
        <v/>
      </c>
      <c r="G633" t="str">
        <f t="array" ref="G633">IFERROR(INDEX('Daily Raw Data'!I:I,Match($A633,'Daily Raw Data'!$B:$B,0)),"")</f>
        <v/>
      </c>
      <c r="H633" t="str">
        <f t="array" ref="H633">IFERROR(INDEX('Daily Raw Data'!N:N,Match($A633,'Daily Raw Data'!$B:$B,0)),"")</f>
        <v/>
      </c>
      <c r="I633" t="str">
        <f t="array" ref="I633">IFERROR(INDEX('Daily Raw Data'!O:O,Match($A633,'Daily Raw Data'!$B:$B,0)),"")</f>
        <v/>
      </c>
      <c r="J633" t="str">
        <f t="array" ref="J633">IFERROR(INDEX('Daily Raw Data'!S:S,Match($A633,'Daily Raw Data'!$B:$B,0)),"")</f>
        <v/>
      </c>
      <c r="K633" t="str">
        <f t="array" ref="K633">IFERROR(INDEX('Daily Raw Data'!T:T,Match($A633,'Daily Raw Data'!$B:$B,0)),"")</f>
        <v/>
      </c>
      <c r="L633" t="str">
        <f t="array" ref="L633">IFERROR(INDEX('Daily Raw Data'!U:U,Match($A633,'Daily Raw Data'!$B:$B,0)),"")</f>
        <v/>
      </c>
      <c r="M633" t="str">
        <f t="array" ref="M633">IFERROR(INDEX('Daily Raw Data'!V:V,Match($A633,'Daily Raw Data'!$B:$B,0)),"")</f>
        <v/>
      </c>
      <c r="N633" t="str">
        <f t="array" ref="N633">IFERROR(INDEX('Daily Raw Data'!W:W,Match($A633,'Daily Raw Data'!$B:$B,0)),"")</f>
        <v/>
      </c>
      <c r="O633" t="str">
        <f t="array" ref="O633">IFERROR(INDEX('Daily Raw Data'!Y:Y,Match($A633,'Daily Raw Data'!$B:$B,0)),"")</f>
        <v/>
      </c>
      <c r="P633" t="str">
        <f t="shared" si="1"/>
        <v/>
      </c>
      <c r="Q633" s="14" t="str">
        <f t="shared" si="2"/>
        <v/>
      </c>
      <c r="R633" s="15" t="str">
        <f>IFERROR(__xludf.DUMMYFUNCTION("IF($A633="""","""", IFERROR(PERCENTRANK.INC(FILTER(P:P,$E:$E&lt;&gt;""""),P633)*100,""""))"),"")</f>
        <v/>
      </c>
      <c r="S633" s="15" t="str">
        <f>IFERROR(__xludf.DUMMYFUNCTION("IF($A633="""","""",IFERROR(PERCENTRANK.INC(FILTER(Q:Q,$E:$E&lt;&gt;""""),Q633)*100,""""))"),"")</f>
        <v/>
      </c>
    </row>
    <row r="634">
      <c r="B634" t="str">
        <f t="array" ref="B634">IFERROR(INDEX('Player Raw Data'!C:C,Match($A634,'Player Raw Data'!$B:$B,0)),"")</f>
        <v/>
      </c>
      <c r="C634" t="str">
        <f t="array" ref="C634">IFERROR(INDEX('Player Raw Data'!D:D,Match($A634,'Player Raw Data'!$B:$B,0)),"")</f>
        <v/>
      </c>
      <c r="D634" t="str">
        <f t="array" ref="D634">IFERROR(IF(A634=A633, INDEX('Player Raw Data'!E:E,Match($A634,'Player Raw Data'!$B:$B,0)+2),INDEX('Player Raw Data'!E:E,Match($A634,'Player Raw Data'!$B:$B,0))),"")</f>
        <v/>
      </c>
      <c r="E634" s="27" t="str">
        <f>IFERROR(__xludf.DUMMYFUNCTION("IFERROR(ARRAY_CONSTRAIN(SPLIT(INDEX('Daily Raw Data'!G:G,Match($A634,'Daily Raw Data'!$B:$B,0)),"":""),1,1),"""")"),"")</f>
        <v/>
      </c>
      <c r="F634" t="str">
        <f t="array" ref="F634">IFERROR(INDEX('Daily Raw Data'!H:H,Match($A634,'Daily Raw Data'!$B:$B,0)),"")</f>
        <v/>
      </c>
      <c r="G634" t="str">
        <f t="array" ref="G634">IFERROR(INDEX('Daily Raw Data'!I:I,Match($A634,'Daily Raw Data'!$B:$B,0)),"")</f>
        <v/>
      </c>
      <c r="H634" t="str">
        <f t="array" ref="H634">IFERROR(INDEX('Daily Raw Data'!N:N,Match($A634,'Daily Raw Data'!$B:$B,0)),"")</f>
        <v/>
      </c>
      <c r="I634" t="str">
        <f t="array" ref="I634">IFERROR(INDEX('Daily Raw Data'!O:O,Match($A634,'Daily Raw Data'!$B:$B,0)),"")</f>
        <v/>
      </c>
      <c r="J634" t="str">
        <f t="array" ref="J634">IFERROR(INDEX('Daily Raw Data'!S:S,Match($A634,'Daily Raw Data'!$B:$B,0)),"")</f>
        <v/>
      </c>
      <c r="K634" t="str">
        <f t="array" ref="K634">IFERROR(INDEX('Daily Raw Data'!T:T,Match($A634,'Daily Raw Data'!$B:$B,0)),"")</f>
        <v/>
      </c>
      <c r="L634" t="str">
        <f t="array" ref="L634">IFERROR(INDEX('Daily Raw Data'!U:U,Match($A634,'Daily Raw Data'!$B:$B,0)),"")</f>
        <v/>
      </c>
      <c r="M634" t="str">
        <f t="array" ref="M634">IFERROR(INDEX('Daily Raw Data'!V:V,Match($A634,'Daily Raw Data'!$B:$B,0)),"")</f>
        <v/>
      </c>
      <c r="N634" t="str">
        <f t="array" ref="N634">IFERROR(INDEX('Daily Raw Data'!W:W,Match($A634,'Daily Raw Data'!$B:$B,0)),"")</f>
        <v/>
      </c>
      <c r="O634" t="str">
        <f t="array" ref="O634">IFERROR(INDEX('Daily Raw Data'!Y:Y,Match($A634,'Daily Raw Data'!$B:$B,0)),"")</f>
        <v/>
      </c>
      <c r="P634" t="str">
        <f t="shared" si="1"/>
        <v/>
      </c>
      <c r="Q634" s="14" t="str">
        <f t="shared" si="2"/>
        <v/>
      </c>
      <c r="R634" s="15" t="str">
        <f>IFERROR(__xludf.DUMMYFUNCTION("IF($A634="""","""", IFERROR(PERCENTRANK.INC(FILTER(P:P,$E:$E&lt;&gt;""""),P634)*100,""""))"),"")</f>
        <v/>
      </c>
      <c r="S634" s="15" t="str">
        <f>IFERROR(__xludf.DUMMYFUNCTION("IF($A634="""","""",IFERROR(PERCENTRANK.INC(FILTER(Q:Q,$E:$E&lt;&gt;""""),Q634)*100,""""))"),"")</f>
        <v/>
      </c>
    </row>
    <row r="635">
      <c r="B635" t="str">
        <f t="array" ref="B635">IFERROR(INDEX('Player Raw Data'!C:C,Match($A635,'Player Raw Data'!$B:$B,0)),"")</f>
        <v/>
      </c>
      <c r="C635" t="str">
        <f t="array" ref="C635">IFERROR(INDEX('Player Raw Data'!D:D,Match($A635,'Player Raw Data'!$B:$B,0)),"")</f>
        <v/>
      </c>
      <c r="D635" t="str">
        <f t="array" ref="D635">IFERROR(IF(A635=A634, INDEX('Player Raw Data'!E:E,Match($A635,'Player Raw Data'!$B:$B,0)+2),INDEX('Player Raw Data'!E:E,Match($A635,'Player Raw Data'!$B:$B,0))),"")</f>
        <v/>
      </c>
      <c r="E635" s="27" t="str">
        <f>IFERROR(__xludf.DUMMYFUNCTION("IFERROR(ARRAY_CONSTRAIN(SPLIT(INDEX('Daily Raw Data'!G:G,Match($A635,'Daily Raw Data'!$B:$B,0)),"":""),1,1),"""")"),"")</f>
        <v/>
      </c>
      <c r="F635" t="str">
        <f t="array" ref="F635">IFERROR(INDEX('Daily Raw Data'!H:H,Match($A635,'Daily Raw Data'!$B:$B,0)),"")</f>
        <v/>
      </c>
      <c r="G635" t="str">
        <f t="array" ref="G635">IFERROR(INDEX('Daily Raw Data'!I:I,Match($A635,'Daily Raw Data'!$B:$B,0)),"")</f>
        <v/>
      </c>
      <c r="H635" t="str">
        <f t="array" ref="H635">IFERROR(INDEX('Daily Raw Data'!N:N,Match($A635,'Daily Raw Data'!$B:$B,0)),"")</f>
        <v/>
      </c>
      <c r="I635" t="str">
        <f t="array" ref="I635">IFERROR(INDEX('Daily Raw Data'!O:O,Match($A635,'Daily Raw Data'!$B:$B,0)),"")</f>
        <v/>
      </c>
      <c r="J635" t="str">
        <f t="array" ref="J635">IFERROR(INDEX('Daily Raw Data'!S:S,Match($A635,'Daily Raw Data'!$B:$B,0)),"")</f>
        <v/>
      </c>
      <c r="K635" t="str">
        <f t="array" ref="K635">IFERROR(INDEX('Daily Raw Data'!T:T,Match($A635,'Daily Raw Data'!$B:$B,0)),"")</f>
        <v/>
      </c>
      <c r="L635" t="str">
        <f t="array" ref="L635">IFERROR(INDEX('Daily Raw Data'!U:U,Match($A635,'Daily Raw Data'!$B:$B,0)),"")</f>
        <v/>
      </c>
      <c r="M635" t="str">
        <f t="array" ref="M635">IFERROR(INDEX('Daily Raw Data'!V:V,Match($A635,'Daily Raw Data'!$B:$B,0)),"")</f>
        <v/>
      </c>
      <c r="N635" t="str">
        <f t="array" ref="N635">IFERROR(INDEX('Daily Raw Data'!W:W,Match($A635,'Daily Raw Data'!$B:$B,0)),"")</f>
        <v/>
      </c>
      <c r="O635" t="str">
        <f t="array" ref="O635">IFERROR(INDEX('Daily Raw Data'!Y:Y,Match($A635,'Daily Raw Data'!$B:$B,0)),"")</f>
        <v/>
      </c>
      <c r="P635" t="str">
        <f t="shared" si="1"/>
        <v/>
      </c>
      <c r="Q635" s="14" t="str">
        <f t="shared" si="2"/>
        <v/>
      </c>
      <c r="R635" s="15" t="str">
        <f>IFERROR(__xludf.DUMMYFUNCTION("IF($A635="""","""", IFERROR(PERCENTRANK.INC(FILTER(P:P,$E:$E&lt;&gt;""""),P635)*100,""""))"),"")</f>
        <v/>
      </c>
      <c r="S635" s="15" t="str">
        <f>IFERROR(__xludf.DUMMYFUNCTION("IF($A635="""","""",IFERROR(PERCENTRANK.INC(FILTER(Q:Q,$E:$E&lt;&gt;""""),Q635)*100,""""))"),"")</f>
        <v/>
      </c>
    </row>
    <row r="636">
      <c r="B636" t="str">
        <f t="array" ref="B636">IFERROR(INDEX('Player Raw Data'!C:C,Match($A636,'Player Raw Data'!$B:$B,0)),"")</f>
        <v/>
      </c>
      <c r="C636" t="str">
        <f t="array" ref="C636">IFERROR(INDEX('Player Raw Data'!D:D,Match($A636,'Player Raw Data'!$B:$B,0)),"")</f>
        <v/>
      </c>
      <c r="D636" t="str">
        <f t="array" ref="D636">IFERROR(IF(A636=A635, INDEX('Player Raw Data'!E:E,Match($A636,'Player Raw Data'!$B:$B,0)+2),INDEX('Player Raw Data'!E:E,Match($A636,'Player Raw Data'!$B:$B,0))),"")</f>
        <v/>
      </c>
      <c r="E636" s="27" t="str">
        <f>IFERROR(__xludf.DUMMYFUNCTION("IFERROR(ARRAY_CONSTRAIN(SPLIT(INDEX('Daily Raw Data'!G:G,Match($A636,'Daily Raw Data'!$B:$B,0)),"":""),1,1),"""")"),"")</f>
        <v/>
      </c>
      <c r="F636" t="str">
        <f t="array" ref="F636">IFERROR(INDEX('Daily Raw Data'!H:H,Match($A636,'Daily Raw Data'!$B:$B,0)),"")</f>
        <v/>
      </c>
      <c r="G636" t="str">
        <f t="array" ref="G636">IFERROR(INDEX('Daily Raw Data'!I:I,Match($A636,'Daily Raw Data'!$B:$B,0)),"")</f>
        <v/>
      </c>
      <c r="H636" t="str">
        <f t="array" ref="H636">IFERROR(INDEX('Daily Raw Data'!N:N,Match($A636,'Daily Raw Data'!$B:$B,0)),"")</f>
        <v/>
      </c>
      <c r="I636" t="str">
        <f t="array" ref="I636">IFERROR(INDEX('Daily Raw Data'!O:O,Match($A636,'Daily Raw Data'!$B:$B,0)),"")</f>
        <v/>
      </c>
      <c r="J636" t="str">
        <f t="array" ref="J636">IFERROR(INDEX('Daily Raw Data'!S:S,Match($A636,'Daily Raw Data'!$B:$B,0)),"")</f>
        <v/>
      </c>
      <c r="K636" t="str">
        <f t="array" ref="K636">IFERROR(INDEX('Daily Raw Data'!T:T,Match($A636,'Daily Raw Data'!$B:$B,0)),"")</f>
        <v/>
      </c>
      <c r="L636" t="str">
        <f t="array" ref="L636">IFERROR(INDEX('Daily Raw Data'!U:U,Match($A636,'Daily Raw Data'!$B:$B,0)),"")</f>
        <v/>
      </c>
      <c r="M636" t="str">
        <f t="array" ref="M636">IFERROR(INDEX('Daily Raw Data'!V:V,Match($A636,'Daily Raw Data'!$B:$B,0)),"")</f>
        <v/>
      </c>
      <c r="N636" t="str">
        <f t="array" ref="N636">IFERROR(INDEX('Daily Raw Data'!W:W,Match($A636,'Daily Raw Data'!$B:$B,0)),"")</f>
        <v/>
      </c>
      <c r="O636" t="str">
        <f t="array" ref="O636">IFERROR(INDEX('Daily Raw Data'!Y:Y,Match($A636,'Daily Raw Data'!$B:$B,0)),"")</f>
        <v/>
      </c>
      <c r="P636" t="str">
        <f t="shared" si="1"/>
        <v/>
      </c>
      <c r="Q636" s="14" t="str">
        <f t="shared" si="2"/>
        <v/>
      </c>
      <c r="R636" s="15" t="str">
        <f>IFERROR(__xludf.DUMMYFUNCTION("IF($A636="""","""", IFERROR(PERCENTRANK.INC(FILTER(P:P,$E:$E&lt;&gt;""""),P636)*100,""""))"),"")</f>
        <v/>
      </c>
      <c r="S636" s="15" t="str">
        <f>IFERROR(__xludf.DUMMYFUNCTION("IF($A636="""","""",IFERROR(PERCENTRANK.INC(FILTER(Q:Q,$E:$E&lt;&gt;""""),Q636)*100,""""))"),"")</f>
        <v/>
      </c>
    </row>
    <row r="637">
      <c r="B637" t="str">
        <f t="array" ref="B637">IFERROR(INDEX('Player Raw Data'!C:C,Match($A637,'Player Raw Data'!$B:$B,0)),"")</f>
        <v/>
      </c>
      <c r="C637" t="str">
        <f t="array" ref="C637">IFERROR(INDEX('Player Raw Data'!D:D,Match($A637,'Player Raw Data'!$B:$B,0)),"")</f>
        <v/>
      </c>
      <c r="D637" t="str">
        <f t="array" ref="D637">IFERROR(IF(A637=A636, INDEX('Player Raw Data'!E:E,Match($A637,'Player Raw Data'!$B:$B,0)+2),INDEX('Player Raw Data'!E:E,Match($A637,'Player Raw Data'!$B:$B,0))),"")</f>
        <v/>
      </c>
      <c r="E637" s="27" t="str">
        <f>IFERROR(__xludf.DUMMYFUNCTION("IFERROR(ARRAY_CONSTRAIN(SPLIT(INDEX('Daily Raw Data'!G:G,Match($A637,'Daily Raw Data'!$B:$B,0)),"":""),1,1),"""")"),"")</f>
        <v/>
      </c>
      <c r="F637" t="str">
        <f t="array" ref="F637">IFERROR(INDEX('Daily Raw Data'!H:H,Match($A637,'Daily Raw Data'!$B:$B,0)),"")</f>
        <v/>
      </c>
      <c r="G637" t="str">
        <f t="array" ref="G637">IFERROR(INDEX('Daily Raw Data'!I:I,Match($A637,'Daily Raw Data'!$B:$B,0)),"")</f>
        <v/>
      </c>
      <c r="H637" t="str">
        <f t="array" ref="H637">IFERROR(INDEX('Daily Raw Data'!N:N,Match($A637,'Daily Raw Data'!$B:$B,0)),"")</f>
        <v/>
      </c>
      <c r="I637" t="str">
        <f t="array" ref="I637">IFERROR(INDEX('Daily Raw Data'!O:O,Match($A637,'Daily Raw Data'!$B:$B,0)),"")</f>
        <v/>
      </c>
      <c r="J637" t="str">
        <f t="array" ref="J637">IFERROR(INDEX('Daily Raw Data'!S:S,Match($A637,'Daily Raw Data'!$B:$B,0)),"")</f>
        <v/>
      </c>
      <c r="K637" t="str">
        <f t="array" ref="K637">IFERROR(INDEX('Daily Raw Data'!T:T,Match($A637,'Daily Raw Data'!$B:$B,0)),"")</f>
        <v/>
      </c>
      <c r="L637" t="str">
        <f t="array" ref="L637">IFERROR(INDEX('Daily Raw Data'!U:U,Match($A637,'Daily Raw Data'!$B:$B,0)),"")</f>
        <v/>
      </c>
      <c r="M637" t="str">
        <f t="array" ref="M637">IFERROR(INDEX('Daily Raw Data'!V:V,Match($A637,'Daily Raw Data'!$B:$B,0)),"")</f>
        <v/>
      </c>
      <c r="N637" t="str">
        <f t="array" ref="N637">IFERROR(INDEX('Daily Raw Data'!W:W,Match($A637,'Daily Raw Data'!$B:$B,0)),"")</f>
        <v/>
      </c>
      <c r="O637" t="str">
        <f t="array" ref="O637">IFERROR(INDEX('Daily Raw Data'!Y:Y,Match($A637,'Daily Raw Data'!$B:$B,0)),"")</f>
        <v/>
      </c>
      <c r="P637" t="str">
        <f t="shared" si="1"/>
        <v/>
      </c>
      <c r="Q637" s="14" t="str">
        <f t="shared" si="2"/>
        <v/>
      </c>
      <c r="R637" s="15" t="str">
        <f>IFERROR(__xludf.DUMMYFUNCTION("IF($A637="""","""", IFERROR(PERCENTRANK.INC(FILTER(P:P,$E:$E&lt;&gt;""""),P637)*100,""""))"),"")</f>
        <v/>
      </c>
      <c r="S637" s="15" t="str">
        <f>IFERROR(__xludf.DUMMYFUNCTION("IF($A637="""","""",IFERROR(PERCENTRANK.INC(FILTER(Q:Q,$E:$E&lt;&gt;""""),Q637)*100,""""))"),"")</f>
        <v/>
      </c>
    </row>
    <row r="638">
      <c r="B638" t="str">
        <f t="array" ref="B638">IFERROR(INDEX('Player Raw Data'!C:C,Match($A638,'Player Raw Data'!$B:$B,0)),"")</f>
        <v/>
      </c>
      <c r="C638" t="str">
        <f t="array" ref="C638">IFERROR(INDEX('Player Raw Data'!D:D,Match($A638,'Player Raw Data'!$B:$B,0)),"")</f>
        <v/>
      </c>
      <c r="D638" t="str">
        <f t="array" ref="D638">IFERROR(IF(A638=A637, INDEX('Player Raw Data'!E:E,Match($A638,'Player Raw Data'!$B:$B,0)+2),INDEX('Player Raw Data'!E:E,Match($A638,'Player Raw Data'!$B:$B,0))),"")</f>
        <v/>
      </c>
      <c r="E638" s="27" t="str">
        <f>IFERROR(__xludf.DUMMYFUNCTION("IFERROR(ARRAY_CONSTRAIN(SPLIT(INDEX('Daily Raw Data'!G:G,Match($A638,'Daily Raw Data'!$B:$B,0)),"":""),1,1),"""")"),"")</f>
        <v/>
      </c>
      <c r="F638" t="str">
        <f t="array" ref="F638">IFERROR(INDEX('Daily Raw Data'!H:H,Match($A638,'Daily Raw Data'!$B:$B,0)),"")</f>
        <v/>
      </c>
      <c r="G638" t="str">
        <f t="array" ref="G638">IFERROR(INDEX('Daily Raw Data'!I:I,Match($A638,'Daily Raw Data'!$B:$B,0)),"")</f>
        <v/>
      </c>
      <c r="H638" t="str">
        <f t="array" ref="H638">IFERROR(INDEX('Daily Raw Data'!N:N,Match($A638,'Daily Raw Data'!$B:$B,0)),"")</f>
        <v/>
      </c>
      <c r="I638" t="str">
        <f t="array" ref="I638">IFERROR(INDEX('Daily Raw Data'!O:O,Match($A638,'Daily Raw Data'!$B:$B,0)),"")</f>
        <v/>
      </c>
      <c r="J638" t="str">
        <f t="array" ref="J638">IFERROR(INDEX('Daily Raw Data'!S:S,Match($A638,'Daily Raw Data'!$B:$B,0)),"")</f>
        <v/>
      </c>
      <c r="K638" t="str">
        <f t="array" ref="K638">IFERROR(INDEX('Daily Raw Data'!T:T,Match($A638,'Daily Raw Data'!$B:$B,0)),"")</f>
        <v/>
      </c>
      <c r="L638" t="str">
        <f t="array" ref="L638">IFERROR(INDEX('Daily Raw Data'!U:U,Match($A638,'Daily Raw Data'!$B:$B,0)),"")</f>
        <v/>
      </c>
      <c r="M638" t="str">
        <f t="array" ref="M638">IFERROR(INDEX('Daily Raw Data'!V:V,Match($A638,'Daily Raw Data'!$B:$B,0)),"")</f>
        <v/>
      </c>
      <c r="N638" t="str">
        <f t="array" ref="N638">IFERROR(INDEX('Daily Raw Data'!W:W,Match($A638,'Daily Raw Data'!$B:$B,0)),"")</f>
        <v/>
      </c>
      <c r="O638" t="str">
        <f t="array" ref="O638">IFERROR(INDEX('Daily Raw Data'!Y:Y,Match($A638,'Daily Raw Data'!$B:$B,0)),"")</f>
        <v/>
      </c>
      <c r="P638" t="str">
        <f t="shared" si="1"/>
        <v/>
      </c>
      <c r="Q638" s="14" t="str">
        <f t="shared" si="2"/>
        <v/>
      </c>
      <c r="R638" s="15" t="str">
        <f>IFERROR(__xludf.DUMMYFUNCTION("IF($A638="""","""", IFERROR(PERCENTRANK.INC(FILTER(P:P,$E:$E&lt;&gt;""""),P638)*100,""""))"),"")</f>
        <v/>
      </c>
      <c r="S638" s="15" t="str">
        <f>IFERROR(__xludf.DUMMYFUNCTION("IF($A638="""","""",IFERROR(PERCENTRANK.INC(FILTER(Q:Q,$E:$E&lt;&gt;""""),Q638)*100,""""))"),"")</f>
        <v/>
      </c>
    </row>
    <row r="639">
      <c r="B639" t="str">
        <f t="array" ref="B639">IFERROR(INDEX('Player Raw Data'!C:C,Match($A639,'Player Raw Data'!$B:$B,0)),"")</f>
        <v/>
      </c>
      <c r="C639" t="str">
        <f t="array" ref="C639">IFERROR(INDEX('Player Raw Data'!D:D,Match($A639,'Player Raw Data'!$B:$B,0)),"")</f>
        <v/>
      </c>
      <c r="D639" t="str">
        <f t="array" ref="D639">IFERROR(IF(A639=A638, INDEX('Player Raw Data'!E:E,Match($A639,'Player Raw Data'!$B:$B,0)+2),INDEX('Player Raw Data'!E:E,Match($A639,'Player Raw Data'!$B:$B,0))),"")</f>
        <v/>
      </c>
      <c r="E639" s="27" t="str">
        <f>IFERROR(__xludf.DUMMYFUNCTION("IFERROR(ARRAY_CONSTRAIN(SPLIT(INDEX('Daily Raw Data'!G:G,Match($A639,'Daily Raw Data'!$B:$B,0)),"":""),1,1),"""")"),"")</f>
        <v/>
      </c>
      <c r="F639" t="str">
        <f t="array" ref="F639">IFERROR(INDEX('Daily Raw Data'!H:H,Match($A639,'Daily Raw Data'!$B:$B,0)),"")</f>
        <v/>
      </c>
      <c r="G639" t="str">
        <f t="array" ref="G639">IFERROR(INDEX('Daily Raw Data'!I:I,Match($A639,'Daily Raw Data'!$B:$B,0)),"")</f>
        <v/>
      </c>
      <c r="H639" t="str">
        <f t="array" ref="H639">IFERROR(INDEX('Daily Raw Data'!N:N,Match($A639,'Daily Raw Data'!$B:$B,0)),"")</f>
        <v/>
      </c>
      <c r="I639" t="str">
        <f t="array" ref="I639">IFERROR(INDEX('Daily Raw Data'!O:O,Match($A639,'Daily Raw Data'!$B:$B,0)),"")</f>
        <v/>
      </c>
      <c r="J639" t="str">
        <f t="array" ref="J639">IFERROR(INDEX('Daily Raw Data'!S:S,Match($A639,'Daily Raw Data'!$B:$B,0)),"")</f>
        <v/>
      </c>
      <c r="K639" t="str">
        <f t="array" ref="K639">IFERROR(INDEX('Daily Raw Data'!T:T,Match($A639,'Daily Raw Data'!$B:$B,0)),"")</f>
        <v/>
      </c>
      <c r="L639" t="str">
        <f t="array" ref="L639">IFERROR(INDEX('Daily Raw Data'!U:U,Match($A639,'Daily Raw Data'!$B:$B,0)),"")</f>
        <v/>
      </c>
      <c r="M639" t="str">
        <f t="array" ref="M639">IFERROR(INDEX('Daily Raw Data'!V:V,Match($A639,'Daily Raw Data'!$B:$B,0)),"")</f>
        <v/>
      </c>
      <c r="N639" t="str">
        <f t="array" ref="N639">IFERROR(INDEX('Daily Raw Data'!W:W,Match($A639,'Daily Raw Data'!$B:$B,0)),"")</f>
        <v/>
      </c>
      <c r="O639" t="str">
        <f t="array" ref="O639">IFERROR(INDEX('Daily Raw Data'!Y:Y,Match($A639,'Daily Raw Data'!$B:$B,0)),"")</f>
        <v/>
      </c>
      <c r="P639" t="str">
        <f t="shared" si="1"/>
        <v/>
      </c>
      <c r="Q639" s="14" t="str">
        <f t="shared" si="2"/>
        <v/>
      </c>
      <c r="R639" s="15" t="str">
        <f>IFERROR(__xludf.DUMMYFUNCTION("IF($A639="""","""", IFERROR(PERCENTRANK.INC(FILTER(P:P,$E:$E&lt;&gt;""""),P639)*100,""""))"),"")</f>
        <v/>
      </c>
      <c r="S639" s="15" t="str">
        <f>IFERROR(__xludf.DUMMYFUNCTION("IF($A639="""","""",IFERROR(PERCENTRANK.INC(FILTER(Q:Q,$E:$E&lt;&gt;""""),Q639)*100,""""))"),"")</f>
        <v/>
      </c>
    </row>
    <row r="640">
      <c r="B640" t="str">
        <f t="array" ref="B640">IFERROR(INDEX('Player Raw Data'!C:C,Match($A640,'Player Raw Data'!$B:$B,0)),"")</f>
        <v/>
      </c>
      <c r="C640" t="str">
        <f t="array" ref="C640">IFERROR(INDEX('Player Raw Data'!D:D,Match($A640,'Player Raw Data'!$B:$B,0)),"")</f>
        <v/>
      </c>
      <c r="D640" t="str">
        <f t="array" ref="D640">IFERROR(IF(A640=A639, INDEX('Player Raw Data'!E:E,Match($A640,'Player Raw Data'!$B:$B,0)+2),INDEX('Player Raw Data'!E:E,Match($A640,'Player Raw Data'!$B:$B,0))),"")</f>
        <v/>
      </c>
      <c r="E640" s="27" t="str">
        <f>IFERROR(__xludf.DUMMYFUNCTION("IFERROR(ARRAY_CONSTRAIN(SPLIT(INDEX('Daily Raw Data'!G:G,Match($A640,'Daily Raw Data'!$B:$B,0)),"":""),1,1),"""")"),"")</f>
        <v/>
      </c>
      <c r="F640" t="str">
        <f t="array" ref="F640">IFERROR(INDEX('Daily Raw Data'!H:H,Match($A640,'Daily Raw Data'!$B:$B,0)),"")</f>
        <v/>
      </c>
      <c r="G640" t="str">
        <f t="array" ref="G640">IFERROR(INDEX('Daily Raw Data'!I:I,Match($A640,'Daily Raw Data'!$B:$B,0)),"")</f>
        <v/>
      </c>
      <c r="H640" t="str">
        <f t="array" ref="H640">IFERROR(INDEX('Daily Raw Data'!N:N,Match($A640,'Daily Raw Data'!$B:$B,0)),"")</f>
        <v/>
      </c>
      <c r="I640" t="str">
        <f t="array" ref="I640">IFERROR(INDEX('Daily Raw Data'!O:O,Match($A640,'Daily Raw Data'!$B:$B,0)),"")</f>
        <v/>
      </c>
      <c r="J640" t="str">
        <f t="array" ref="J640">IFERROR(INDEX('Daily Raw Data'!S:S,Match($A640,'Daily Raw Data'!$B:$B,0)),"")</f>
        <v/>
      </c>
      <c r="K640" t="str">
        <f t="array" ref="K640">IFERROR(INDEX('Daily Raw Data'!T:T,Match($A640,'Daily Raw Data'!$B:$B,0)),"")</f>
        <v/>
      </c>
      <c r="L640" t="str">
        <f t="array" ref="L640">IFERROR(INDEX('Daily Raw Data'!U:U,Match($A640,'Daily Raw Data'!$B:$B,0)),"")</f>
        <v/>
      </c>
      <c r="M640" t="str">
        <f t="array" ref="M640">IFERROR(INDEX('Daily Raw Data'!V:V,Match($A640,'Daily Raw Data'!$B:$B,0)),"")</f>
        <v/>
      </c>
      <c r="N640" t="str">
        <f t="array" ref="N640">IFERROR(INDEX('Daily Raw Data'!W:W,Match($A640,'Daily Raw Data'!$B:$B,0)),"")</f>
        <v/>
      </c>
      <c r="O640" t="str">
        <f t="array" ref="O640">IFERROR(INDEX('Daily Raw Data'!Y:Y,Match($A640,'Daily Raw Data'!$B:$B,0)),"")</f>
        <v/>
      </c>
      <c r="P640" t="str">
        <f t="shared" si="1"/>
        <v/>
      </c>
      <c r="Q640" s="14" t="str">
        <f t="shared" si="2"/>
        <v/>
      </c>
      <c r="R640" s="15" t="str">
        <f>IFERROR(__xludf.DUMMYFUNCTION("IF($A640="""","""", IFERROR(PERCENTRANK.INC(FILTER(P:P,$E:$E&lt;&gt;""""),P640)*100,""""))"),"")</f>
        <v/>
      </c>
      <c r="S640" s="15" t="str">
        <f>IFERROR(__xludf.DUMMYFUNCTION("IF($A640="""","""",IFERROR(PERCENTRANK.INC(FILTER(Q:Q,$E:$E&lt;&gt;""""),Q640)*100,""""))"),"")</f>
        <v/>
      </c>
    </row>
    <row r="641">
      <c r="B641" t="str">
        <f t="array" ref="B641">IFERROR(INDEX('Player Raw Data'!C:C,Match($A641,'Player Raw Data'!$B:$B,0)),"")</f>
        <v/>
      </c>
      <c r="C641" t="str">
        <f t="array" ref="C641">IFERROR(INDEX('Player Raw Data'!D:D,Match($A641,'Player Raw Data'!$B:$B,0)),"")</f>
        <v/>
      </c>
      <c r="D641" t="str">
        <f t="array" ref="D641">IFERROR(IF(A641=A640, INDEX('Player Raw Data'!E:E,Match($A641,'Player Raw Data'!$B:$B,0)+2),INDEX('Player Raw Data'!E:E,Match($A641,'Player Raw Data'!$B:$B,0))),"")</f>
        <v/>
      </c>
      <c r="E641" s="27" t="str">
        <f>IFERROR(__xludf.DUMMYFUNCTION("IFERROR(ARRAY_CONSTRAIN(SPLIT(INDEX('Daily Raw Data'!G:G,Match($A641,'Daily Raw Data'!$B:$B,0)),"":""),1,1),"""")"),"")</f>
        <v/>
      </c>
      <c r="F641" t="str">
        <f t="array" ref="F641">IFERROR(INDEX('Daily Raw Data'!H:H,Match($A641,'Daily Raw Data'!$B:$B,0)),"")</f>
        <v/>
      </c>
      <c r="G641" t="str">
        <f t="array" ref="G641">IFERROR(INDEX('Daily Raw Data'!I:I,Match($A641,'Daily Raw Data'!$B:$B,0)),"")</f>
        <v/>
      </c>
      <c r="H641" t="str">
        <f t="array" ref="H641">IFERROR(INDEX('Daily Raw Data'!N:N,Match($A641,'Daily Raw Data'!$B:$B,0)),"")</f>
        <v/>
      </c>
      <c r="I641" t="str">
        <f t="array" ref="I641">IFERROR(INDEX('Daily Raw Data'!O:O,Match($A641,'Daily Raw Data'!$B:$B,0)),"")</f>
        <v/>
      </c>
      <c r="J641" t="str">
        <f t="array" ref="J641">IFERROR(INDEX('Daily Raw Data'!S:S,Match($A641,'Daily Raw Data'!$B:$B,0)),"")</f>
        <v/>
      </c>
      <c r="K641" t="str">
        <f t="array" ref="K641">IFERROR(INDEX('Daily Raw Data'!T:T,Match($A641,'Daily Raw Data'!$B:$B,0)),"")</f>
        <v/>
      </c>
      <c r="L641" t="str">
        <f t="array" ref="L641">IFERROR(INDEX('Daily Raw Data'!U:U,Match($A641,'Daily Raw Data'!$B:$B,0)),"")</f>
        <v/>
      </c>
      <c r="M641" t="str">
        <f t="array" ref="M641">IFERROR(INDEX('Daily Raw Data'!V:V,Match($A641,'Daily Raw Data'!$B:$B,0)),"")</f>
        <v/>
      </c>
      <c r="N641" t="str">
        <f t="array" ref="N641">IFERROR(INDEX('Daily Raw Data'!W:W,Match($A641,'Daily Raw Data'!$B:$B,0)),"")</f>
        <v/>
      </c>
      <c r="O641" t="str">
        <f t="array" ref="O641">IFERROR(INDEX('Daily Raw Data'!Y:Y,Match($A641,'Daily Raw Data'!$B:$B,0)),"")</f>
        <v/>
      </c>
      <c r="P641" t="str">
        <f t="shared" si="1"/>
        <v/>
      </c>
      <c r="Q641" s="14" t="str">
        <f t="shared" si="2"/>
        <v/>
      </c>
      <c r="R641" s="15" t="str">
        <f>IFERROR(__xludf.DUMMYFUNCTION("IF($A641="""","""", IFERROR(PERCENTRANK.INC(FILTER(P:P,$E:$E&lt;&gt;""""),P641)*100,""""))"),"")</f>
        <v/>
      </c>
      <c r="S641" s="15" t="str">
        <f>IFERROR(__xludf.DUMMYFUNCTION("IF($A641="""","""",IFERROR(PERCENTRANK.INC(FILTER(Q:Q,$E:$E&lt;&gt;""""),Q641)*100,""""))"),"")</f>
        <v/>
      </c>
    </row>
    <row r="642">
      <c r="B642" t="str">
        <f t="array" ref="B642">IFERROR(INDEX('Player Raw Data'!C:C,Match($A642,'Player Raw Data'!$B:$B,0)),"")</f>
        <v/>
      </c>
      <c r="C642" t="str">
        <f t="array" ref="C642">IFERROR(INDEX('Player Raw Data'!D:D,Match($A642,'Player Raw Data'!$B:$B,0)),"")</f>
        <v/>
      </c>
      <c r="D642" t="str">
        <f t="array" ref="D642">IFERROR(IF(A642=A641, INDEX('Player Raw Data'!E:E,Match($A642,'Player Raw Data'!$B:$B,0)+2),INDEX('Player Raw Data'!E:E,Match($A642,'Player Raw Data'!$B:$B,0))),"")</f>
        <v/>
      </c>
      <c r="E642" s="27" t="str">
        <f>IFERROR(__xludf.DUMMYFUNCTION("IFERROR(ARRAY_CONSTRAIN(SPLIT(INDEX('Daily Raw Data'!G:G,Match($A642,'Daily Raw Data'!$B:$B,0)),"":""),1,1),"""")"),"")</f>
        <v/>
      </c>
      <c r="F642" t="str">
        <f t="array" ref="F642">IFERROR(INDEX('Daily Raw Data'!H:H,Match($A642,'Daily Raw Data'!$B:$B,0)),"")</f>
        <v/>
      </c>
      <c r="G642" t="str">
        <f t="array" ref="G642">IFERROR(INDEX('Daily Raw Data'!I:I,Match($A642,'Daily Raw Data'!$B:$B,0)),"")</f>
        <v/>
      </c>
      <c r="H642" t="str">
        <f t="array" ref="H642">IFERROR(INDEX('Daily Raw Data'!N:N,Match($A642,'Daily Raw Data'!$B:$B,0)),"")</f>
        <v/>
      </c>
      <c r="I642" t="str">
        <f t="array" ref="I642">IFERROR(INDEX('Daily Raw Data'!O:O,Match($A642,'Daily Raw Data'!$B:$B,0)),"")</f>
        <v/>
      </c>
      <c r="J642" t="str">
        <f t="array" ref="J642">IFERROR(INDEX('Daily Raw Data'!S:S,Match($A642,'Daily Raw Data'!$B:$B,0)),"")</f>
        <v/>
      </c>
      <c r="K642" t="str">
        <f t="array" ref="K642">IFERROR(INDEX('Daily Raw Data'!T:T,Match($A642,'Daily Raw Data'!$B:$B,0)),"")</f>
        <v/>
      </c>
      <c r="L642" t="str">
        <f t="array" ref="L642">IFERROR(INDEX('Daily Raw Data'!U:U,Match($A642,'Daily Raw Data'!$B:$B,0)),"")</f>
        <v/>
      </c>
      <c r="M642" t="str">
        <f t="array" ref="M642">IFERROR(INDEX('Daily Raw Data'!V:V,Match($A642,'Daily Raw Data'!$B:$B,0)),"")</f>
        <v/>
      </c>
      <c r="N642" t="str">
        <f t="array" ref="N642">IFERROR(INDEX('Daily Raw Data'!W:W,Match($A642,'Daily Raw Data'!$B:$B,0)),"")</f>
        <v/>
      </c>
      <c r="O642" t="str">
        <f t="array" ref="O642">IFERROR(INDEX('Daily Raw Data'!Y:Y,Match($A642,'Daily Raw Data'!$B:$B,0)),"")</f>
        <v/>
      </c>
      <c r="P642" t="str">
        <f t="shared" si="1"/>
        <v/>
      </c>
      <c r="Q642" s="14" t="str">
        <f t="shared" si="2"/>
        <v/>
      </c>
      <c r="R642" s="15" t="str">
        <f>IFERROR(__xludf.DUMMYFUNCTION("IF($A642="""","""", IFERROR(PERCENTRANK.INC(FILTER(P:P,$E:$E&lt;&gt;""""),P642)*100,""""))"),"")</f>
        <v/>
      </c>
      <c r="S642" s="15" t="str">
        <f>IFERROR(__xludf.DUMMYFUNCTION("IF($A642="""","""",IFERROR(PERCENTRANK.INC(FILTER(Q:Q,$E:$E&lt;&gt;""""),Q642)*100,""""))"),"")</f>
        <v/>
      </c>
    </row>
    <row r="643">
      <c r="B643" t="str">
        <f t="array" ref="B643">IFERROR(INDEX('Player Raw Data'!C:C,Match($A643,'Player Raw Data'!$B:$B,0)),"")</f>
        <v/>
      </c>
      <c r="C643" t="str">
        <f t="array" ref="C643">IFERROR(INDEX('Player Raw Data'!D:D,Match($A643,'Player Raw Data'!$B:$B,0)),"")</f>
        <v/>
      </c>
      <c r="D643" t="str">
        <f t="array" ref="D643">IFERROR(IF(A643=A642, INDEX('Player Raw Data'!E:E,Match($A643,'Player Raw Data'!$B:$B,0)+2),INDEX('Player Raw Data'!E:E,Match($A643,'Player Raw Data'!$B:$B,0))),"")</f>
        <v/>
      </c>
      <c r="E643" s="27" t="str">
        <f>IFERROR(__xludf.DUMMYFUNCTION("IFERROR(ARRAY_CONSTRAIN(SPLIT(INDEX('Daily Raw Data'!G:G,Match($A643,'Daily Raw Data'!$B:$B,0)),"":""),1,1),"""")"),"")</f>
        <v/>
      </c>
      <c r="F643" t="str">
        <f t="array" ref="F643">IFERROR(INDEX('Daily Raw Data'!H:H,Match($A643,'Daily Raw Data'!$B:$B,0)),"")</f>
        <v/>
      </c>
      <c r="G643" t="str">
        <f t="array" ref="G643">IFERROR(INDEX('Daily Raw Data'!I:I,Match($A643,'Daily Raw Data'!$B:$B,0)),"")</f>
        <v/>
      </c>
      <c r="H643" t="str">
        <f t="array" ref="H643">IFERROR(INDEX('Daily Raw Data'!N:N,Match($A643,'Daily Raw Data'!$B:$B,0)),"")</f>
        <v/>
      </c>
      <c r="I643" t="str">
        <f t="array" ref="I643">IFERROR(INDEX('Daily Raw Data'!O:O,Match($A643,'Daily Raw Data'!$B:$B,0)),"")</f>
        <v/>
      </c>
      <c r="J643" t="str">
        <f t="array" ref="J643">IFERROR(INDEX('Daily Raw Data'!S:S,Match($A643,'Daily Raw Data'!$B:$B,0)),"")</f>
        <v/>
      </c>
      <c r="K643" t="str">
        <f t="array" ref="K643">IFERROR(INDEX('Daily Raw Data'!T:T,Match($A643,'Daily Raw Data'!$B:$B,0)),"")</f>
        <v/>
      </c>
      <c r="L643" t="str">
        <f t="array" ref="L643">IFERROR(INDEX('Daily Raw Data'!U:U,Match($A643,'Daily Raw Data'!$B:$B,0)),"")</f>
        <v/>
      </c>
      <c r="M643" t="str">
        <f t="array" ref="M643">IFERROR(INDEX('Daily Raw Data'!V:V,Match($A643,'Daily Raw Data'!$B:$B,0)),"")</f>
        <v/>
      </c>
      <c r="N643" t="str">
        <f t="array" ref="N643">IFERROR(INDEX('Daily Raw Data'!W:W,Match($A643,'Daily Raw Data'!$B:$B,0)),"")</f>
        <v/>
      </c>
      <c r="O643" t="str">
        <f t="array" ref="O643">IFERROR(INDEX('Daily Raw Data'!Y:Y,Match($A643,'Daily Raw Data'!$B:$B,0)),"")</f>
        <v/>
      </c>
      <c r="P643" t="str">
        <f t="shared" si="1"/>
        <v/>
      </c>
      <c r="Q643" s="14" t="str">
        <f t="shared" si="2"/>
        <v/>
      </c>
      <c r="R643" s="15" t="str">
        <f>IFERROR(__xludf.DUMMYFUNCTION("IF($A643="""","""", IFERROR(PERCENTRANK.INC(FILTER(P:P,$E:$E&lt;&gt;""""),P643)*100,""""))"),"")</f>
        <v/>
      </c>
      <c r="S643" s="15" t="str">
        <f>IFERROR(__xludf.DUMMYFUNCTION("IF($A643="""","""",IFERROR(PERCENTRANK.INC(FILTER(Q:Q,$E:$E&lt;&gt;""""),Q643)*100,""""))"),"")</f>
        <v/>
      </c>
    </row>
    <row r="644">
      <c r="B644" t="str">
        <f t="array" ref="B644">IFERROR(INDEX('Player Raw Data'!C:C,Match($A644,'Player Raw Data'!$B:$B,0)),"")</f>
        <v/>
      </c>
      <c r="C644" t="str">
        <f t="array" ref="C644">IFERROR(INDEX('Player Raw Data'!D:D,Match($A644,'Player Raw Data'!$B:$B,0)),"")</f>
        <v/>
      </c>
      <c r="D644" t="str">
        <f t="array" ref="D644">IFERROR(IF(A644=A643, INDEX('Player Raw Data'!E:E,Match($A644,'Player Raw Data'!$B:$B,0)+2),INDEX('Player Raw Data'!E:E,Match($A644,'Player Raw Data'!$B:$B,0))),"")</f>
        <v/>
      </c>
      <c r="E644" s="27" t="str">
        <f>IFERROR(__xludf.DUMMYFUNCTION("IFERROR(ARRAY_CONSTRAIN(SPLIT(INDEX('Daily Raw Data'!G:G,Match($A644,'Daily Raw Data'!$B:$B,0)),"":""),1,1),"""")"),"")</f>
        <v/>
      </c>
      <c r="F644" t="str">
        <f t="array" ref="F644">IFERROR(INDEX('Daily Raw Data'!H:H,Match($A644,'Daily Raw Data'!$B:$B,0)),"")</f>
        <v/>
      </c>
      <c r="G644" t="str">
        <f t="array" ref="G644">IFERROR(INDEX('Daily Raw Data'!I:I,Match($A644,'Daily Raw Data'!$B:$B,0)),"")</f>
        <v/>
      </c>
      <c r="H644" t="str">
        <f t="array" ref="H644">IFERROR(INDEX('Daily Raw Data'!N:N,Match($A644,'Daily Raw Data'!$B:$B,0)),"")</f>
        <v/>
      </c>
      <c r="I644" t="str">
        <f t="array" ref="I644">IFERROR(INDEX('Daily Raw Data'!O:O,Match($A644,'Daily Raw Data'!$B:$B,0)),"")</f>
        <v/>
      </c>
      <c r="J644" t="str">
        <f t="array" ref="J644">IFERROR(INDEX('Daily Raw Data'!S:S,Match($A644,'Daily Raw Data'!$B:$B,0)),"")</f>
        <v/>
      </c>
      <c r="K644" t="str">
        <f t="array" ref="K644">IFERROR(INDEX('Daily Raw Data'!T:T,Match($A644,'Daily Raw Data'!$B:$B,0)),"")</f>
        <v/>
      </c>
      <c r="L644" t="str">
        <f t="array" ref="L644">IFERROR(INDEX('Daily Raw Data'!U:U,Match($A644,'Daily Raw Data'!$B:$B,0)),"")</f>
        <v/>
      </c>
      <c r="M644" t="str">
        <f t="array" ref="M644">IFERROR(INDEX('Daily Raw Data'!V:V,Match($A644,'Daily Raw Data'!$B:$B,0)),"")</f>
        <v/>
      </c>
      <c r="N644" t="str">
        <f t="array" ref="N644">IFERROR(INDEX('Daily Raw Data'!W:W,Match($A644,'Daily Raw Data'!$B:$B,0)),"")</f>
        <v/>
      </c>
      <c r="O644" t="str">
        <f t="array" ref="O644">IFERROR(INDEX('Daily Raw Data'!Y:Y,Match($A644,'Daily Raw Data'!$B:$B,0)),"")</f>
        <v/>
      </c>
      <c r="P644" t="str">
        <f t="shared" si="1"/>
        <v/>
      </c>
      <c r="Q644" s="14" t="str">
        <f t="shared" si="2"/>
        <v/>
      </c>
      <c r="R644" s="15" t="str">
        <f>IFERROR(__xludf.DUMMYFUNCTION("IF($A644="""","""", IFERROR(PERCENTRANK.INC(FILTER(P:P,$E:$E&lt;&gt;""""),P644)*100,""""))"),"")</f>
        <v/>
      </c>
      <c r="S644" s="15" t="str">
        <f>IFERROR(__xludf.DUMMYFUNCTION("IF($A644="""","""",IFERROR(PERCENTRANK.INC(FILTER(Q:Q,$E:$E&lt;&gt;""""),Q644)*100,""""))"),"")</f>
        <v/>
      </c>
    </row>
    <row r="645">
      <c r="B645" t="str">
        <f t="array" ref="B645">IFERROR(INDEX('Player Raw Data'!C:C,Match($A645,'Player Raw Data'!$B:$B,0)),"")</f>
        <v/>
      </c>
      <c r="C645" t="str">
        <f t="array" ref="C645">IFERROR(INDEX('Player Raw Data'!D:D,Match($A645,'Player Raw Data'!$B:$B,0)),"")</f>
        <v/>
      </c>
      <c r="D645" t="str">
        <f t="array" ref="D645">IFERROR(IF(A645=A644, INDEX('Player Raw Data'!E:E,Match($A645,'Player Raw Data'!$B:$B,0)+2),INDEX('Player Raw Data'!E:E,Match($A645,'Player Raw Data'!$B:$B,0))),"")</f>
        <v/>
      </c>
      <c r="E645" s="27" t="str">
        <f>IFERROR(__xludf.DUMMYFUNCTION("IFERROR(ARRAY_CONSTRAIN(SPLIT(INDEX('Daily Raw Data'!G:G,Match($A645,'Daily Raw Data'!$B:$B,0)),"":""),1,1),"""")"),"")</f>
        <v/>
      </c>
      <c r="F645" t="str">
        <f t="array" ref="F645">IFERROR(INDEX('Daily Raw Data'!H:H,Match($A645,'Daily Raw Data'!$B:$B,0)),"")</f>
        <v/>
      </c>
      <c r="G645" t="str">
        <f t="array" ref="G645">IFERROR(INDEX('Daily Raw Data'!I:I,Match($A645,'Daily Raw Data'!$B:$B,0)),"")</f>
        <v/>
      </c>
      <c r="H645" t="str">
        <f t="array" ref="H645">IFERROR(INDEX('Daily Raw Data'!N:N,Match($A645,'Daily Raw Data'!$B:$B,0)),"")</f>
        <v/>
      </c>
      <c r="I645" t="str">
        <f t="array" ref="I645">IFERROR(INDEX('Daily Raw Data'!O:O,Match($A645,'Daily Raw Data'!$B:$B,0)),"")</f>
        <v/>
      </c>
      <c r="J645" t="str">
        <f t="array" ref="J645">IFERROR(INDEX('Daily Raw Data'!S:S,Match($A645,'Daily Raw Data'!$B:$B,0)),"")</f>
        <v/>
      </c>
      <c r="K645" t="str">
        <f t="array" ref="K645">IFERROR(INDEX('Daily Raw Data'!T:T,Match($A645,'Daily Raw Data'!$B:$B,0)),"")</f>
        <v/>
      </c>
      <c r="L645" t="str">
        <f t="array" ref="L645">IFERROR(INDEX('Daily Raw Data'!U:U,Match($A645,'Daily Raw Data'!$B:$B,0)),"")</f>
        <v/>
      </c>
      <c r="M645" t="str">
        <f t="array" ref="M645">IFERROR(INDEX('Daily Raw Data'!V:V,Match($A645,'Daily Raw Data'!$B:$B,0)),"")</f>
        <v/>
      </c>
      <c r="N645" t="str">
        <f t="array" ref="N645">IFERROR(INDEX('Daily Raw Data'!W:W,Match($A645,'Daily Raw Data'!$B:$B,0)),"")</f>
        <v/>
      </c>
      <c r="O645" t="str">
        <f t="array" ref="O645">IFERROR(INDEX('Daily Raw Data'!Y:Y,Match($A645,'Daily Raw Data'!$B:$B,0)),"")</f>
        <v/>
      </c>
      <c r="P645" t="str">
        <f t="shared" si="1"/>
        <v/>
      </c>
      <c r="Q645" s="14" t="str">
        <f t="shared" si="2"/>
        <v/>
      </c>
      <c r="R645" s="15" t="str">
        <f>IFERROR(__xludf.DUMMYFUNCTION("IF($A645="""","""", IFERROR(PERCENTRANK.INC(FILTER(P:P,$E:$E&lt;&gt;""""),P645)*100,""""))"),"")</f>
        <v/>
      </c>
      <c r="S645" s="15" t="str">
        <f>IFERROR(__xludf.DUMMYFUNCTION("IF($A645="""","""",IFERROR(PERCENTRANK.INC(FILTER(Q:Q,$E:$E&lt;&gt;""""),Q645)*100,""""))"),"")</f>
        <v/>
      </c>
    </row>
    <row r="646">
      <c r="B646" t="str">
        <f t="array" ref="B646">IFERROR(INDEX('Player Raw Data'!C:C,Match($A646,'Player Raw Data'!$B:$B,0)),"")</f>
        <v/>
      </c>
      <c r="C646" t="str">
        <f t="array" ref="C646">IFERROR(INDEX('Player Raw Data'!D:D,Match($A646,'Player Raw Data'!$B:$B,0)),"")</f>
        <v/>
      </c>
      <c r="D646" t="str">
        <f t="array" ref="D646">IFERROR(IF(A646=A645, INDEX('Player Raw Data'!E:E,Match($A646,'Player Raw Data'!$B:$B,0)+2),INDEX('Player Raw Data'!E:E,Match($A646,'Player Raw Data'!$B:$B,0))),"")</f>
        <v/>
      </c>
      <c r="E646" s="27" t="str">
        <f>IFERROR(__xludf.DUMMYFUNCTION("IFERROR(ARRAY_CONSTRAIN(SPLIT(INDEX('Daily Raw Data'!G:G,Match($A646,'Daily Raw Data'!$B:$B,0)),"":""),1,1),"""")"),"")</f>
        <v/>
      </c>
      <c r="F646" t="str">
        <f t="array" ref="F646">IFERROR(INDEX('Daily Raw Data'!H:H,Match($A646,'Daily Raw Data'!$B:$B,0)),"")</f>
        <v/>
      </c>
      <c r="G646" t="str">
        <f t="array" ref="G646">IFERROR(INDEX('Daily Raw Data'!I:I,Match($A646,'Daily Raw Data'!$B:$B,0)),"")</f>
        <v/>
      </c>
      <c r="H646" t="str">
        <f t="array" ref="H646">IFERROR(INDEX('Daily Raw Data'!N:N,Match($A646,'Daily Raw Data'!$B:$B,0)),"")</f>
        <v/>
      </c>
      <c r="I646" t="str">
        <f t="array" ref="I646">IFERROR(INDEX('Daily Raw Data'!O:O,Match($A646,'Daily Raw Data'!$B:$B,0)),"")</f>
        <v/>
      </c>
      <c r="J646" t="str">
        <f t="array" ref="J646">IFERROR(INDEX('Daily Raw Data'!S:S,Match($A646,'Daily Raw Data'!$B:$B,0)),"")</f>
        <v/>
      </c>
      <c r="K646" t="str">
        <f t="array" ref="K646">IFERROR(INDEX('Daily Raw Data'!T:T,Match($A646,'Daily Raw Data'!$B:$B,0)),"")</f>
        <v/>
      </c>
      <c r="L646" t="str">
        <f t="array" ref="L646">IFERROR(INDEX('Daily Raw Data'!U:U,Match($A646,'Daily Raw Data'!$B:$B,0)),"")</f>
        <v/>
      </c>
      <c r="M646" t="str">
        <f t="array" ref="M646">IFERROR(INDEX('Daily Raw Data'!V:V,Match($A646,'Daily Raw Data'!$B:$B,0)),"")</f>
        <v/>
      </c>
      <c r="N646" t="str">
        <f t="array" ref="N646">IFERROR(INDEX('Daily Raw Data'!W:W,Match($A646,'Daily Raw Data'!$B:$B,0)),"")</f>
        <v/>
      </c>
      <c r="O646" t="str">
        <f t="array" ref="O646">IFERROR(INDEX('Daily Raw Data'!Y:Y,Match($A646,'Daily Raw Data'!$B:$B,0)),"")</f>
        <v/>
      </c>
      <c r="P646" t="str">
        <f t="shared" si="1"/>
        <v/>
      </c>
      <c r="Q646" s="14" t="str">
        <f t="shared" si="2"/>
        <v/>
      </c>
      <c r="R646" s="15" t="str">
        <f>IFERROR(__xludf.DUMMYFUNCTION("IF($A646="""","""", IFERROR(PERCENTRANK.INC(FILTER(P:P,$E:$E&lt;&gt;""""),P646)*100,""""))"),"")</f>
        <v/>
      </c>
      <c r="S646" s="15" t="str">
        <f>IFERROR(__xludf.DUMMYFUNCTION("IF($A646="""","""",IFERROR(PERCENTRANK.INC(FILTER(Q:Q,$E:$E&lt;&gt;""""),Q646)*100,""""))"),"")</f>
        <v/>
      </c>
    </row>
    <row r="647">
      <c r="B647" t="str">
        <f t="array" ref="B647">IFERROR(INDEX('Player Raw Data'!C:C,Match($A647,'Player Raw Data'!$B:$B,0)),"")</f>
        <v/>
      </c>
      <c r="C647" t="str">
        <f t="array" ref="C647">IFERROR(INDEX('Player Raw Data'!D:D,Match($A647,'Player Raw Data'!$B:$B,0)),"")</f>
        <v/>
      </c>
      <c r="D647" t="str">
        <f t="array" ref="D647">IFERROR(IF(A647=A646, INDEX('Player Raw Data'!E:E,Match($A647,'Player Raw Data'!$B:$B,0)+2),INDEX('Player Raw Data'!E:E,Match($A647,'Player Raw Data'!$B:$B,0))),"")</f>
        <v/>
      </c>
      <c r="E647" s="27" t="str">
        <f>IFERROR(__xludf.DUMMYFUNCTION("IFERROR(ARRAY_CONSTRAIN(SPLIT(INDEX('Daily Raw Data'!G:G,Match($A647,'Daily Raw Data'!$B:$B,0)),"":""),1,1),"""")"),"")</f>
        <v/>
      </c>
      <c r="F647" t="str">
        <f t="array" ref="F647">IFERROR(INDEX('Daily Raw Data'!H:H,Match($A647,'Daily Raw Data'!$B:$B,0)),"")</f>
        <v/>
      </c>
      <c r="G647" t="str">
        <f t="array" ref="G647">IFERROR(INDEX('Daily Raw Data'!I:I,Match($A647,'Daily Raw Data'!$B:$B,0)),"")</f>
        <v/>
      </c>
      <c r="H647" t="str">
        <f t="array" ref="H647">IFERROR(INDEX('Daily Raw Data'!N:N,Match($A647,'Daily Raw Data'!$B:$B,0)),"")</f>
        <v/>
      </c>
      <c r="I647" t="str">
        <f t="array" ref="I647">IFERROR(INDEX('Daily Raw Data'!O:O,Match($A647,'Daily Raw Data'!$B:$B,0)),"")</f>
        <v/>
      </c>
      <c r="J647" t="str">
        <f t="array" ref="J647">IFERROR(INDEX('Daily Raw Data'!S:S,Match($A647,'Daily Raw Data'!$B:$B,0)),"")</f>
        <v/>
      </c>
      <c r="K647" t="str">
        <f t="array" ref="K647">IFERROR(INDEX('Daily Raw Data'!T:T,Match($A647,'Daily Raw Data'!$B:$B,0)),"")</f>
        <v/>
      </c>
      <c r="L647" t="str">
        <f t="array" ref="L647">IFERROR(INDEX('Daily Raw Data'!U:U,Match($A647,'Daily Raw Data'!$B:$B,0)),"")</f>
        <v/>
      </c>
      <c r="M647" t="str">
        <f t="array" ref="M647">IFERROR(INDEX('Daily Raw Data'!V:V,Match($A647,'Daily Raw Data'!$B:$B,0)),"")</f>
        <v/>
      </c>
      <c r="N647" t="str">
        <f t="array" ref="N647">IFERROR(INDEX('Daily Raw Data'!W:W,Match($A647,'Daily Raw Data'!$B:$B,0)),"")</f>
        <v/>
      </c>
      <c r="O647" t="str">
        <f t="array" ref="O647">IFERROR(INDEX('Daily Raw Data'!Y:Y,Match($A647,'Daily Raw Data'!$B:$B,0)),"")</f>
        <v/>
      </c>
      <c r="P647" t="str">
        <f t="shared" si="1"/>
        <v/>
      </c>
      <c r="Q647" s="14" t="str">
        <f t="shared" si="2"/>
        <v/>
      </c>
      <c r="R647" s="15" t="str">
        <f>IFERROR(__xludf.DUMMYFUNCTION("IF($A647="""","""", IFERROR(PERCENTRANK.INC(FILTER(P:P,$E:$E&lt;&gt;""""),P647)*100,""""))"),"")</f>
        <v/>
      </c>
      <c r="S647" s="15" t="str">
        <f>IFERROR(__xludf.DUMMYFUNCTION("IF($A647="""","""",IFERROR(PERCENTRANK.INC(FILTER(Q:Q,$E:$E&lt;&gt;""""),Q647)*100,""""))"),"")</f>
        <v/>
      </c>
    </row>
    <row r="648">
      <c r="B648" t="str">
        <f t="array" ref="B648">IFERROR(INDEX('Player Raw Data'!C:C,Match($A648,'Player Raw Data'!$B:$B,0)),"")</f>
        <v/>
      </c>
      <c r="C648" t="str">
        <f t="array" ref="C648">IFERROR(INDEX('Player Raw Data'!D:D,Match($A648,'Player Raw Data'!$B:$B,0)),"")</f>
        <v/>
      </c>
      <c r="D648" t="str">
        <f t="array" ref="D648">IFERROR(IF(A648=A647, INDEX('Player Raw Data'!E:E,Match($A648,'Player Raw Data'!$B:$B,0)+2),INDEX('Player Raw Data'!E:E,Match($A648,'Player Raw Data'!$B:$B,0))),"")</f>
        <v/>
      </c>
      <c r="E648" s="27" t="str">
        <f>IFERROR(__xludf.DUMMYFUNCTION("IFERROR(ARRAY_CONSTRAIN(SPLIT(INDEX('Daily Raw Data'!G:G,Match($A648,'Daily Raw Data'!$B:$B,0)),"":""),1,1),"""")"),"")</f>
        <v/>
      </c>
      <c r="F648" t="str">
        <f t="array" ref="F648">IFERROR(INDEX('Daily Raw Data'!H:H,Match($A648,'Daily Raw Data'!$B:$B,0)),"")</f>
        <v/>
      </c>
      <c r="G648" t="str">
        <f t="array" ref="G648">IFERROR(INDEX('Daily Raw Data'!I:I,Match($A648,'Daily Raw Data'!$B:$B,0)),"")</f>
        <v/>
      </c>
      <c r="H648" t="str">
        <f t="array" ref="H648">IFERROR(INDEX('Daily Raw Data'!N:N,Match($A648,'Daily Raw Data'!$B:$B,0)),"")</f>
        <v/>
      </c>
      <c r="I648" t="str">
        <f t="array" ref="I648">IFERROR(INDEX('Daily Raw Data'!O:O,Match($A648,'Daily Raw Data'!$B:$B,0)),"")</f>
        <v/>
      </c>
      <c r="J648" t="str">
        <f t="array" ref="J648">IFERROR(INDEX('Daily Raw Data'!S:S,Match($A648,'Daily Raw Data'!$B:$B,0)),"")</f>
        <v/>
      </c>
      <c r="K648" t="str">
        <f t="array" ref="K648">IFERROR(INDEX('Daily Raw Data'!T:T,Match($A648,'Daily Raw Data'!$B:$B,0)),"")</f>
        <v/>
      </c>
      <c r="L648" t="str">
        <f t="array" ref="L648">IFERROR(INDEX('Daily Raw Data'!U:U,Match($A648,'Daily Raw Data'!$B:$B,0)),"")</f>
        <v/>
      </c>
      <c r="M648" t="str">
        <f t="array" ref="M648">IFERROR(INDEX('Daily Raw Data'!V:V,Match($A648,'Daily Raw Data'!$B:$B,0)),"")</f>
        <v/>
      </c>
      <c r="N648" t="str">
        <f t="array" ref="N648">IFERROR(INDEX('Daily Raw Data'!W:W,Match($A648,'Daily Raw Data'!$B:$B,0)),"")</f>
        <v/>
      </c>
      <c r="O648" t="str">
        <f t="array" ref="O648">IFERROR(INDEX('Daily Raw Data'!Y:Y,Match($A648,'Daily Raw Data'!$B:$B,0)),"")</f>
        <v/>
      </c>
      <c r="P648" t="str">
        <f t="shared" si="1"/>
        <v/>
      </c>
      <c r="Q648" s="14" t="str">
        <f t="shared" si="2"/>
        <v/>
      </c>
      <c r="R648" s="15" t="str">
        <f>IFERROR(__xludf.DUMMYFUNCTION("IF($A648="""","""", IFERROR(PERCENTRANK.INC(FILTER(P:P,$E:$E&lt;&gt;""""),P648)*100,""""))"),"")</f>
        <v/>
      </c>
      <c r="S648" s="15" t="str">
        <f>IFERROR(__xludf.DUMMYFUNCTION("IF($A648="""","""",IFERROR(PERCENTRANK.INC(FILTER(Q:Q,$E:$E&lt;&gt;""""),Q648)*100,""""))"),"")</f>
        <v/>
      </c>
    </row>
    <row r="649">
      <c r="B649" t="str">
        <f t="array" ref="B649">IFERROR(INDEX('Player Raw Data'!C:C,Match($A649,'Player Raw Data'!$B:$B,0)),"")</f>
        <v/>
      </c>
      <c r="C649" t="str">
        <f t="array" ref="C649">IFERROR(INDEX('Player Raw Data'!D:D,Match($A649,'Player Raw Data'!$B:$B,0)),"")</f>
        <v/>
      </c>
      <c r="D649" t="str">
        <f t="array" ref="D649">IFERROR(IF(A649=A648, INDEX('Player Raw Data'!E:E,Match($A649,'Player Raw Data'!$B:$B,0)+2),INDEX('Player Raw Data'!E:E,Match($A649,'Player Raw Data'!$B:$B,0))),"")</f>
        <v/>
      </c>
      <c r="E649" s="27" t="str">
        <f>IFERROR(__xludf.DUMMYFUNCTION("IFERROR(ARRAY_CONSTRAIN(SPLIT(INDEX('Daily Raw Data'!G:G,Match($A649,'Daily Raw Data'!$B:$B,0)),"":""),1,1),"""")"),"")</f>
        <v/>
      </c>
      <c r="F649" t="str">
        <f t="array" ref="F649">IFERROR(INDEX('Daily Raw Data'!H:H,Match($A649,'Daily Raw Data'!$B:$B,0)),"")</f>
        <v/>
      </c>
      <c r="G649" t="str">
        <f t="array" ref="G649">IFERROR(INDEX('Daily Raw Data'!I:I,Match($A649,'Daily Raw Data'!$B:$B,0)),"")</f>
        <v/>
      </c>
      <c r="H649" t="str">
        <f t="array" ref="H649">IFERROR(INDEX('Daily Raw Data'!N:N,Match($A649,'Daily Raw Data'!$B:$B,0)),"")</f>
        <v/>
      </c>
      <c r="I649" t="str">
        <f t="array" ref="I649">IFERROR(INDEX('Daily Raw Data'!O:O,Match($A649,'Daily Raw Data'!$B:$B,0)),"")</f>
        <v/>
      </c>
      <c r="J649" t="str">
        <f t="array" ref="J649">IFERROR(INDEX('Daily Raw Data'!S:S,Match($A649,'Daily Raw Data'!$B:$B,0)),"")</f>
        <v/>
      </c>
      <c r="K649" t="str">
        <f t="array" ref="K649">IFERROR(INDEX('Daily Raw Data'!T:T,Match($A649,'Daily Raw Data'!$B:$B,0)),"")</f>
        <v/>
      </c>
      <c r="L649" t="str">
        <f t="array" ref="L649">IFERROR(INDEX('Daily Raw Data'!U:U,Match($A649,'Daily Raw Data'!$B:$B,0)),"")</f>
        <v/>
      </c>
      <c r="M649" t="str">
        <f t="array" ref="M649">IFERROR(INDEX('Daily Raw Data'!V:V,Match($A649,'Daily Raw Data'!$B:$B,0)),"")</f>
        <v/>
      </c>
      <c r="N649" t="str">
        <f t="array" ref="N649">IFERROR(INDEX('Daily Raw Data'!W:W,Match($A649,'Daily Raw Data'!$B:$B,0)),"")</f>
        <v/>
      </c>
      <c r="O649" t="str">
        <f t="array" ref="O649">IFERROR(INDEX('Daily Raw Data'!Y:Y,Match($A649,'Daily Raw Data'!$B:$B,0)),"")</f>
        <v/>
      </c>
      <c r="P649" t="str">
        <f t="shared" si="1"/>
        <v/>
      </c>
      <c r="Q649" s="14" t="str">
        <f t="shared" si="2"/>
        <v/>
      </c>
      <c r="R649" s="15" t="str">
        <f>IFERROR(__xludf.DUMMYFUNCTION("IF($A649="""","""", IFERROR(PERCENTRANK.INC(FILTER(P:P,$E:$E&lt;&gt;""""),P649)*100,""""))"),"")</f>
        <v/>
      </c>
      <c r="S649" s="15" t="str">
        <f>IFERROR(__xludf.DUMMYFUNCTION("IF($A649="""","""",IFERROR(PERCENTRANK.INC(FILTER(Q:Q,$E:$E&lt;&gt;""""),Q649)*100,""""))"),"")</f>
        <v/>
      </c>
    </row>
    <row r="650">
      <c r="B650" t="str">
        <f t="array" ref="B650">IFERROR(INDEX('Player Raw Data'!C:C,Match($A650,'Player Raw Data'!$B:$B,0)),"")</f>
        <v/>
      </c>
      <c r="C650" t="str">
        <f t="array" ref="C650">IFERROR(INDEX('Player Raw Data'!D:D,Match($A650,'Player Raw Data'!$B:$B,0)),"")</f>
        <v/>
      </c>
      <c r="D650" t="str">
        <f t="array" ref="D650">IFERROR(IF(A650=A649, INDEX('Player Raw Data'!E:E,Match($A650,'Player Raw Data'!$B:$B,0)+2),INDEX('Player Raw Data'!E:E,Match($A650,'Player Raw Data'!$B:$B,0))),"")</f>
        <v/>
      </c>
      <c r="E650" s="27" t="str">
        <f>IFERROR(__xludf.DUMMYFUNCTION("IFERROR(ARRAY_CONSTRAIN(SPLIT(INDEX('Daily Raw Data'!G:G,Match($A650,'Daily Raw Data'!$B:$B,0)),"":""),1,1),"""")"),"")</f>
        <v/>
      </c>
      <c r="F650" t="str">
        <f t="array" ref="F650">IFERROR(INDEX('Daily Raw Data'!H:H,Match($A650,'Daily Raw Data'!$B:$B,0)),"")</f>
        <v/>
      </c>
      <c r="G650" t="str">
        <f t="array" ref="G650">IFERROR(INDEX('Daily Raw Data'!I:I,Match($A650,'Daily Raw Data'!$B:$B,0)),"")</f>
        <v/>
      </c>
      <c r="H650" t="str">
        <f t="array" ref="H650">IFERROR(INDEX('Daily Raw Data'!N:N,Match($A650,'Daily Raw Data'!$B:$B,0)),"")</f>
        <v/>
      </c>
      <c r="I650" t="str">
        <f t="array" ref="I650">IFERROR(INDEX('Daily Raw Data'!O:O,Match($A650,'Daily Raw Data'!$B:$B,0)),"")</f>
        <v/>
      </c>
      <c r="J650" t="str">
        <f t="array" ref="J650">IFERROR(INDEX('Daily Raw Data'!S:S,Match($A650,'Daily Raw Data'!$B:$B,0)),"")</f>
        <v/>
      </c>
      <c r="K650" t="str">
        <f t="array" ref="K650">IFERROR(INDEX('Daily Raw Data'!T:T,Match($A650,'Daily Raw Data'!$B:$B,0)),"")</f>
        <v/>
      </c>
      <c r="L650" t="str">
        <f t="array" ref="L650">IFERROR(INDEX('Daily Raw Data'!U:U,Match($A650,'Daily Raw Data'!$B:$B,0)),"")</f>
        <v/>
      </c>
      <c r="M650" t="str">
        <f t="array" ref="M650">IFERROR(INDEX('Daily Raw Data'!V:V,Match($A650,'Daily Raw Data'!$B:$B,0)),"")</f>
        <v/>
      </c>
      <c r="N650" t="str">
        <f t="array" ref="N650">IFERROR(INDEX('Daily Raw Data'!W:W,Match($A650,'Daily Raw Data'!$B:$B,0)),"")</f>
        <v/>
      </c>
      <c r="O650" t="str">
        <f t="array" ref="O650">IFERROR(INDEX('Daily Raw Data'!Y:Y,Match($A650,'Daily Raw Data'!$B:$B,0)),"")</f>
        <v/>
      </c>
      <c r="P650" t="str">
        <f t="shared" si="1"/>
        <v/>
      </c>
      <c r="Q650" s="14" t="str">
        <f t="shared" si="2"/>
        <v/>
      </c>
      <c r="R650" s="15" t="str">
        <f>IFERROR(__xludf.DUMMYFUNCTION("IF($A650="""","""", IFERROR(PERCENTRANK.INC(FILTER(P:P,$E:$E&lt;&gt;""""),P650)*100,""""))"),"")</f>
        <v/>
      </c>
      <c r="S650" s="15" t="str">
        <f>IFERROR(__xludf.DUMMYFUNCTION("IF($A650="""","""",IFERROR(PERCENTRANK.INC(FILTER(Q:Q,$E:$E&lt;&gt;""""),Q650)*100,""""))"),"")</f>
        <v/>
      </c>
    </row>
    <row r="651">
      <c r="B651" t="str">
        <f t="array" ref="B651">IFERROR(INDEX('Player Raw Data'!C:C,Match($A651,'Player Raw Data'!$B:$B,0)),"")</f>
        <v/>
      </c>
      <c r="C651" t="str">
        <f t="array" ref="C651">IFERROR(INDEX('Player Raw Data'!D:D,Match($A651,'Player Raw Data'!$B:$B,0)),"")</f>
        <v/>
      </c>
      <c r="D651" t="str">
        <f t="array" ref="D651">IFERROR(IF(A651=A650, INDEX('Player Raw Data'!E:E,Match($A651,'Player Raw Data'!$B:$B,0)+2),INDEX('Player Raw Data'!E:E,Match($A651,'Player Raw Data'!$B:$B,0))),"")</f>
        <v/>
      </c>
      <c r="E651" s="27" t="str">
        <f>IFERROR(__xludf.DUMMYFUNCTION("IFERROR(ARRAY_CONSTRAIN(SPLIT(INDEX('Daily Raw Data'!G:G,Match($A651,'Daily Raw Data'!$B:$B,0)),"":""),1,1),"""")"),"")</f>
        <v/>
      </c>
      <c r="F651" t="str">
        <f t="array" ref="F651">IFERROR(INDEX('Daily Raw Data'!H:H,Match($A651,'Daily Raw Data'!$B:$B,0)),"")</f>
        <v/>
      </c>
      <c r="G651" t="str">
        <f t="array" ref="G651">IFERROR(INDEX('Daily Raw Data'!I:I,Match($A651,'Daily Raw Data'!$B:$B,0)),"")</f>
        <v/>
      </c>
      <c r="H651" t="str">
        <f t="array" ref="H651">IFERROR(INDEX('Daily Raw Data'!N:N,Match($A651,'Daily Raw Data'!$B:$B,0)),"")</f>
        <v/>
      </c>
      <c r="I651" t="str">
        <f t="array" ref="I651">IFERROR(INDEX('Daily Raw Data'!O:O,Match($A651,'Daily Raw Data'!$B:$B,0)),"")</f>
        <v/>
      </c>
      <c r="J651" t="str">
        <f t="array" ref="J651">IFERROR(INDEX('Daily Raw Data'!S:S,Match($A651,'Daily Raw Data'!$B:$B,0)),"")</f>
        <v/>
      </c>
      <c r="K651" t="str">
        <f t="array" ref="K651">IFERROR(INDEX('Daily Raw Data'!T:T,Match($A651,'Daily Raw Data'!$B:$B,0)),"")</f>
        <v/>
      </c>
      <c r="L651" t="str">
        <f t="array" ref="L651">IFERROR(INDEX('Daily Raw Data'!U:U,Match($A651,'Daily Raw Data'!$B:$B,0)),"")</f>
        <v/>
      </c>
      <c r="M651" t="str">
        <f t="array" ref="M651">IFERROR(INDEX('Daily Raw Data'!V:V,Match($A651,'Daily Raw Data'!$B:$B,0)),"")</f>
        <v/>
      </c>
      <c r="N651" t="str">
        <f t="array" ref="N651">IFERROR(INDEX('Daily Raw Data'!W:W,Match($A651,'Daily Raw Data'!$B:$B,0)),"")</f>
        <v/>
      </c>
      <c r="O651" t="str">
        <f t="array" ref="O651">IFERROR(INDEX('Daily Raw Data'!Y:Y,Match($A651,'Daily Raw Data'!$B:$B,0)),"")</f>
        <v/>
      </c>
      <c r="P651" t="str">
        <f t="shared" si="1"/>
        <v/>
      </c>
      <c r="Q651" s="14" t="str">
        <f t="shared" si="2"/>
        <v/>
      </c>
      <c r="R651" s="15" t="str">
        <f>IFERROR(__xludf.DUMMYFUNCTION("IF($A651="""","""", IFERROR(PERCENTRANK.INC(FILTER(P:P,$E:$E&lt;&gt;""""),P651)*100,""""))"),"")</f>
        <v/>
      </c>
      <c r="S651" s="15" t="str">
        <f>IFERROR(__xludf.DUMMYFUNCTION("IF($A651="""","""",IFERROR(PERCENTRANK.INC(FILTER(Q:Q,$E:$E&lt;&gt;""""),Q651)*100,""""))"),"")</f>
        <v/>
      </c>
    </row>
    <row r="652">
      <c r="B652" t="str">
        <f t="array" ref="B652">IFERROR(INDEX('Player Raw Data'!C:C,Match($A652,'Player Raw Data'!$B:$B,0)),"")</f>
        <v/>
      </c>
      <c r="C652" t="str">
        <f t="array" ref="C652">IFERROR(INDEX('Player Raw Data'!D:D,Match($A652,'Player Raw Data'!$B:$B,0)),"")</f>
        <v/>
      </c>
      <c r="D652" t="str">
        <f t="array" ref="D652">IFERROR(IF(A652=A651, INDEX('Player Raw Data'!E:E,Match($A652,'Player Raw Data'!$B:$B,0)+2),INDEX('Player Raw Data'!E:E,Match($A652,'Player Raw Data'!$B:$B,0))),"")</f>
        <v/>
      </c>
      <c r="E652" s="27" t="str">
        <f>IFERROR(__xludf.DUMMYFUNCTION("IFERROR(ARRAY_CONSTRAIN(SPLIT(INDEX('Daily Raw Data'!G:G,Match($A652,'Daily Raw Data'!$B:$B,0)),"":""),1,1),"""")"),"")</f>
        <v/>
      </c>
      <c r="F652" t="str">
        <f t="array" ref="F652">IFERROR(INDEX('Daily Raw Data'!H:H,Match($A652,'Daily Raw Data'!$B:$B,0)),"")</f>
        <v/>
      </c>
      <c r="G652" t="str">
        <f t="array" ref="G652">IFERROR(INDEX('Daily Raw Data'!I:I,Match($A652,'Daily Raw Data'!$B:$B,0)),"")</f>
        <v/>
      </c>
      <c r="H652" t="str">
        <f t="array" ref="H652">IFERROR(INDEX('Daily Raw Data'!N:N,Match($A652,'Daily Raw Data'!$B:$B,0)),"")</f>
        <v/>
      </c>
      <c r="I652" t="str">
        <f t="array" ref="I652">IFERROR(INDEX('Daily Raw Data'!O:O,Match($A652,'Daily Raw Data'!$B:$B,0)),"")</f>
        <v/>
      </c>
      <c r="J652" t="str">
        <f t="array" ref="J652">IFERROR(INDEX('Daily Raw Data'!S:S,Match($A652,'Daily Raw Data'!$B:$B,0)),"")</f>
        <v/>
      </c>
      <c r="K652" t="str">
        <f t="array" ref="K652">IFERROR(INDEX('Daily Raw Data'!T:T,Match($A652,'Daily Raw Data'!$B:$B,0)),"")</f>
        <v/>
      </c>
      <c r="L652" t="str">
        <f t="array" ref="L652">IFERROR(INDEX('Daily Raw Data'!U:U,Match($A652,'Daily Raw Data'!$B:$B,0)),"")</f>
        <v/>
      </c>
      <c r="M652" t="str">
        <f t="array" ref="M652">IFERROR(INDEX('Daily Raw Data'!V:V,Match($A652,'Daily Raw Data'!$B:$B,0)),"")</f>
        <v/>
      </c>
      <c r="N652" t="str">
        <f t="array" ref="N652">IFERROR(INDEX('Daily Raw Data'!W:W,Match($A652,'Daily Raw Data'!$B:$B,0)),"")</f>
        <v/>
      </c>
      <c r="O652" t="str">
        <f t="array" ref="O652">IFERROR(INDEX('Daily Raw Data'!Y:Y,Match($A652,'Daily Raw Data'!$B:$B,0)),"")</f>
        <v/>
      </c>
      <c r="P652" t="str">
        <f t="shared" si="1"/>
        <v/>
      </c>
      <c r="Q652" s="14" t="str">
        <f t="shared" si="2"/>
        <v/>
      </c>
      <c r="R652" s="15" t="str">
        <f>IFERROR(__xludf.DUMMYFUNCTION("IF($A652="""","""", IFERROR(PERCENTRANK.INC(FILTER(P:P,$E:$E&lt;&gt;""""),P652)*100,""""))"),"")</f>
        <v/>
      </c>
      <c r="S652" s="15" t="str">
        <f>IFERROR(__xludf.DUMMYFUNCTION("IF($A652="""","""",IFERROR(PERCENTRANK.INC(FILTER(Q:Q,$E:$E&lt;&gt;""""),Q652)*100,""""))"),"")</f>
        <v/>
      </c>
    </row>
    <row r="653">
      <c r="B653" t="str">
        <f t="array" ref="B653">IFERROR(INDEX('Player Raw Data'!C:C,Match($A653,'Player Raw Data'!$B:$B,0)),"")</f>
        <v/>
      </c>
      <c r="C653" t="str">
        <f t="array" ref="C653">IFERROR(INDEX('Player Raw Data'!D:D,Match($A653,'Player Raw Data'!$B:$B,0)),"")</f>
        <v/>
      </c>
      <c r="D653" t="str">
        <f t="array" ref="D653">IFERROR(IF(A653=A652, INDEX('Player Raw Data'!E:E,Match($A653,'Player Raw Data'!$B:$B,0)+2),INDEX('Player Raw Data'!E:E,Match($A653,'Player Raw Data'!$B:$B,0))),"")</f>
        <v/>
      </c>
      <c r="E653" s="27" t="str">
        <f>IFERROR(__xludf.DUMMYFUNCTION("IFERROR(ARRAY_CONSTRAIN(SPLIT(INDEX('Daily Raw Data'!G:G,Match($A653,'Daily Raw Data'!$B:$B,0)),"":""),1,1),"""")"),"")</f>
        <v/>
      </c>
      <c r="F653" t="str">
        <f t="array" ref="F653">IFERROR(INDEX('Daily Raw Data'!H:H,Match($A653,'Daily Raw Data'!$B:$B,0)),"")</f>
        <v/>
      </c>
      <c r="G653" t="str">
        <f t="array" ref="G653">IFERROR(INDEX('Daily Raw Data'!I:I,Match($A653,'Daily Raw Data'!$B:$B,0)),"")</f>
        <v/>
      </c>
      <c r="H653" t="str">
        <f t="array" ref="H653">IFERROR(INDEX('Daily Raw Data'!N:N,Match($A653,'Daily Raw Data'!$B:$B,0)),"")</f>
        <v/>
      </c>
      <c r="I653" t="str">
        <f t="array" ref="I653">IFERROR(INDEX('Daily Raw Data'!O:O,Match($A653,'Daily Raw Data'!$B:$B,0)),"")</f>
        <v/>
      </c>
      <c r="J653" t="str">
        <f t="array" ref="J653">IFERROR(INDEX('Daily Raw Data'!S:S,Match($A653,'Daily Raw Data'!$B:$B,0)),"")</f>
        <v/>
      </c>
      <c r="K653" t="str">
        <f t="array" ref="K653">IFERROR(INDEX('Daily Raw Data'!T:T,Match($A653,'Daily Raw Data'!$B:$B,0)),"")</f>
        <v/>
      </c>
      <c r="L653" t="str">
        <f t="array" ref="L653">IFERROR(INDEX('Daily Raw Data'!U:U,Match($A653,'Daily Raw Data'!$B:$B,0)),"")</f>
        <v/>
      </c>
      <c r="M653" t="str">
        <f t="array" ref="M653">IFERROR(INDEX('Daily Raw Data'!V:V,Match($A653,'Daily Raw Data'!$B:$B,0)),"")</f>
        <v/>
      </c>
      <c r="N653" t="str">
        <f t="array" ref="N653">IFERROR(INDEX('Daily Raw Data'!W:W,Match($A653,'Daily Raw Data'!$B:$B,0)),"")</f>
        <v/>
      </c>
      <c r="O653" t="str">
        <f t="array" ref="O653">IFERROR(INDEX('Daily Raw Data'!Y:Y,Match($A653,'Daily Raw Data'!$B:$B,0)),"")</f>
        <v/>
      </c>
      <c r="P653" t="str">
        <f t="shared" si="1"/>
        <v/>
      </c>
      <c r="Q653" s="14" t="str">
        <f t="shared" si="2"/>
        <v/>
      </c>
      <c r="R653" s="15" t="str">
        <f>IFERROR(__xludf.DUMMYFUNCTION("IF($A653="""","""", IFERROR(PERCENTRANK.INC(FILTER(P:P,$E:$E&lt;&gt;""""),P653)*100,""""))"),"")</f>
        <v/>
      </c>
      <c r="S653" s="15" t="str">
        <f>IFERROR(__xludf.DUMMYFUNCTION("IF($A653="""","""",IFERROR(PERCENTRANK.INC(FILTER(Q:Q,$E:$E&lt;&gt;""""),Q653)*100,""""))"),"")</f>
        <v/>
      </c>
    </row>
    <row r="654">
      <c r="B654" t="str">
        <f t="array" ref="B654">IFERROR(INDEX('Player Raw Data'!C:C,Match($A654,'Player Raw Data'!$B:$B,0)),"")</f>
        <v/>
      </c>
      <c r="C654" t="str">
        <f t="array" ref="C654">IFERROR(INDEX('Player Raw Data'!D:D,Match($A654,'Player Raw Data'!$B:$B,0)),"")</f>
        <v/>
      </c>
      <c r="D654" t="str">
        <f t="array" ref="D654">IFERROR(IF(A654=A653, INDEX('Player Raw Data'!E:E,Match($A654,'Player Raw Data'!$B:$B,0)+2),INDEX('Player Raw Data'!E:E,Match($A654,'Player Raw Data'!$B:$B,0))),"")</f>
        <v/>
      </c>
      <c r="E654" s="27" t="str">
        <f>IFERROR(__xludf.DUMMYFUNCTION("IFERROR(ARRAY_CONSTRAIN(SPLIT(INDEX('Daily Raw Data'!G:G,Match($A654,'Daily Raw Data'!$B:$B,0)),"":""),1,1),"""")"),"")</f>
        <v/>
      </c>
      <c r="F654" t="str">
        <f t="array" ref="F654">IFERROR(INDEX('Daily Raw Data'!H:H,Match($A654,'Daily Raw Data'!$B:$B,0)),"")</f>
        <v/>
      </c>
      <c r="G654" t="str">
        <f t="array" ref="G654">IFERROR(INDEX('Daily Raw Data'!I:I,Match($A654,'Daily Raw Data'!$B:$B,0)),"")</f>
        <v/>
      </c>
      <c r="H654" t="str">
        <f t="array" ref="H654">IFERROR(INDEX('Daily Raw Data'!N:N,Match($A654,'Daily Raw Data'!$B:$B,0)),"")</f>
        <v/>
      </c>
      <c r="I654" t="str">
        <f t="array" ref="I654">IFERROR(INDEX('Daily Raw Data'!O:O,Match($A654,'Daily Raw Data'!$B:$B,0)),"")</f>
        <v/>
      </c>
      <c r="J654" t="str">
        <f t="array" ref="J654">IFERROR(INDEX('Daily Raw Data'!S:S,Match($A654,'Daily Raw Data'!$B:$B,0)),"")</f>
        <v/>
      </c>
      <c r="K654" t="str">
        <f t="array" ref="K654">IFERROR(INDEX('Daily Raw Data'!T:T,Match($A654,'Daily Raw Data'!$B:$B,0)),"")</f>
        <v/>
      </c>
      <c r="L654" t="str">
        <f t="array" ref="L654">IFERROR(INDEX('Daily Raw Data'!U:U,Match($A654,'Daily Raw Data'!$B:$B,0)),"")</f>
        <v/>
      </c>
      <c r="M654" t="str">
        <f t="array" ref="M654">IFERROR(INDEX('Daily Raw Data'!V:V,Match($A654,'Daily Raw Data'!$B:$B,0)),"")</f>
        <v/>
      </c>
      <c r="N654" t="str">
        <f t="array" ref="N654">IFERROR(INDEX('Daily Raw Data'!W:W,Match($A654,'Daily Raw Data'!$B:$B,0)),"")</f>
        <v/>
      </c>
      <c r="O654" t="str">
        <f t="array" ref="O654">IFERROR(INDEX('Daily Raw Data'!Y:Y,Match($A654,'Daily Raw Data'!$B:$B,0)),"")</f>
        <v/>
      </c>
      <c r="P654" t="str">
        <f t="shared" si="1"/>
        <v/>
      </c>
      <c r="Q654" s="14" t="str">
        <f t="shared" si="2"/>
        <v/>
      </c>
      <c r="R654" s="15" t="str">
        <f>IFERROR(__xludf.DUMMYFUNCTION("IF($A654="""","""", IFERROR(PERCENTRANK.INC(FILTER(P:P,$E:$E&lt;&gt;""""),P654)*100,""""))"),"")</f>
        <v/>
      </c>
      <c r="S654" s="15" t="str">
        <f>IFERROR(__xludf.DUMMYFUNCTION("IF($A654="""","""",IFERROR(PERCENTRANK.INC(FILTER(Q:Q,$E:$E&lt;&gt;""""),Q654)*100,""""))"),"")</f>
        <v/>
      </c>
    </row>
    <row r="655">
      <c r="B655" t="str">
        <f t="array" ref="B655">IFERROR(INDEX('Player Raw Data'!C:C,Match($A655,'Player Raw Data'!$B:$B,0)),"")</f>
        <v/>
      </c>
      <c r="C655" t="str">
        <f t="array" ref="C655">IFERROR(INDEX('Player Raw Data'!D:D,Match($A655,'Player Raw Data'!$B:$B,0)),"")</f>
        <v/>
      </c>
      <c r="D655" t="str">
        <f t="array" ref="D655">IFERROR(IF(A655=A654, INDEX('Player Raw Data'!E:E,Match($A655,'Player Raw Data'!$B:$B,0)+2),INDEX('Player Raw Data'!E:E,Match($A655,'Player Raw Data'!$B:$B,0))),"")</f>
        <v/>
      </c>
      <c r="E655" s="27" t="str">
        <f>IFERROR(__xludf.DUMMYFUNCTION("IFERROR(ARRAY_CONSTRAIN(SPLIT(INDEX('Daily Raw Data'!G:G,Match($A655,'Daily Raw Data'!$B:$B,0)),"":""),1,1),"""")"),"")</f>
        <v/>
      </c>
      <c r="F655" t="str">
        <f t="array" ref="F655">IFERROR(INDEX('Daily Raw Data'!H:H,Match($A655,'Daily Raw Data'!$B:$B,0)),"")</f>
        <v/>
      </c>
      <c r="G655" t="str">
        <f t="array" ref="G655">IFERROR(INDEX('Daily Raw Data'!I:I,Match($A655,'Daily Raw Data'!$B:$B,0)),"")</f>
        <v/>
      </c>
      <c r="H655" t="str">
        <f t="array" ref="H655">IFERROR(INDEX('Daily Raw Data'!N:N,Match($A655,'Daily Raw Data'!$B:$B,0)),"")</f>
        <v/>
      </c>
      <c r="I655" t="str">
        <f t="array" ref="I655">IFERROR(INDEX('Daily Raw Data'!O:O,Match($A655,'Daily Raw Data'!$B:$B,0)),"")</f>
        <v/>
      </c>
      <c r="J655" t="str">
        <f t="array" ref="J655">IFERROR(INDEX('Daily Raw Data'!S:S,Match($A655,'Daily Raw Data'!$B:$B,0)),"")</f>
        <v/>
      </c>
      <c r="K655" t="str">
        <f t="array" ref="K655">IFERROR(INDEX('Daily Raw Data'!T:T,Match($A655,'Daily Raw Data'!$B:$B,0)),"")</f>
        <v/>
      </c>
      <c r="L655" t="str">
        <f t="array" ref="L655">IFERROR(INDEX('Daily Raw Data'!U:U,Match($A655,'Daily Raw Data'!$B:$B,0)),"")</f>
        <v/>
      </c>
      <c r="M655" t="str">
        <f t="array" ref="M655">IFERROR(INDEX('Daily Raw Data'!V:V,Match($A655,'Daily Raw Data'!$B:$B,0)),"")</f>
        <v/>
      </c>
      <c r="N655" t="str">
        <f t="array" ref="N655">IFERROR(INDEX('Daily Raw Data'!W:W,Match($A655,'Daily Raw Data'!$B:$B,0)),"")</f>
        <v/>
      </c>
      <c r="O655" t="str">
        <f t="array" ref="O655">IFERROR(INDEX('Daily Raw Data'!Y:Y,Match($A655,'Daily Raw Data'!$B:$B,0)),"")</f>
        <v/>
      </c>
      <c r="P655" t="str">
        <f t="shared" si="1"/>
        <v/>
      </c>
      <c r="Q655" s="14" t="str">
        <f t="shared" si="2"/>
        <v/>
      </c>
      <c r="R655" s="15" t="str">
        <f>IFERROR(__xludf.DUMMYFUNCTION("IF($A655="""","""", IFERROR(PERCENTRANK.INC(FILTER(P:P,$E:$E&lt;&gt;""""),P655)*100,""""))"),"")</f>
        <v/>
      </c>
      <c r="S655" s="15" t="str">
        <f>IFERROR(__xludf.DUMMYFUNCTION("IF($A655="""","""",IFERROR(PERCENTRANK.INC(FILTER(Q:Q,$E:$E&lt;&gt;""""),Q655)*100,""""))"),"")</f>
        <v/>
      </c>
    </row>
    <row r="656">
      <c r="B656" t="str">
        <f t="array" ref="B656">IFERROR(INDEX('Player Raw Data'!C:C,Match($A656,'Player Raw Data'!$B:$B,0)),"")</f>
        <v/>
      </c>
      <c r="C656" t="str">
        <f t="array" ref="C656">IFERROR(INDEX('Player Raw Data'!D:D,Match($A656,'Player Raw Data'!$B:$B,0)),"")</f>
        <v/>
      </c>
      <c r="D656" t="str">
        <f t="array" ref="D656">IFERROR(IF(A656=A655, INDEX('Player Raw Data'!E:E,Match($A656,'Player Raw Data'!$B:$B,0)+2),INDEX('Player Raw Data'!E:E,Match($A656,'Player Raw Data'!$B:$B,0))),"")</f>
        <v/>
      </c>
      <c r="E656" s="27" t="str">
        <f>IFERROR(__xludf.DUMMYFUNCTION("IFERROR(ARRAY_CONSTRAIN(SPLIT(INDEX('Daily Raw Data'!G:G,Match($A656,'Daily Raw Data'!$B:$B,0)),"":""),1,1),"""")"),"")</f>
        <v/>
      </c>
      <c r="F656" t="str">
        <f t="array" ref="F656">IFERROR(INDEX('Daily Raw Data'!H:H,Match($A656,'Daily Raw Data'!$B:$B,0)),"")</f>
        <v/>
      </c>
      <c r="G656" t="str">
        <f t="array" ref="G656">IFERROR(INDEX('Daily Raw Data'!I:I,Match($A656,'Daily Raw Data'!$B:$B,0)),"")</f>
        <v/>
      </c>
      <c r="H656" t="str">
        <f t="array" ref="H656">IFERROR(INDEX('Daily Raw Data'!N:N,Match($A656,'Daily Raw Data'!$B:$B,0)),"")</f>
        <v/>
      </c>
      <c r="I656" t="str">
        <f t="array" ref="I656">IFERROR(INDEX('Daily Raw Data'!O:O,Match($A656,'Daily Raw Data'!$B:$B,0)),"")</f>
        <v/>
      </c>
      <c r="J656" t="str">
        <f t="array" ref="J656">IFERROR(INDEX('Daily Raw Data'!S:S,Match($A656,'Daily Raw Data'!$B:$B,0)),"")</f>
        <v/>
      </c>
      <c r="K656" t="str">
        <f t="array" ref="K656">IFERROR(INDEX('Daily Raw Data'!T:T,Match($A656,'Daily Raw Data'!$B:$B,0)),"")</f>
        <v/>
      </c>
      <c r="L656" t="str">
        <f t="array" ref="L656">IFERROR(INDEX('Daily Raw Data'!U:U,Match($A656,'Daily Raw Data'!$B:$B,0)),"")</f>
        <v/>
      </c>
      <c r="M656" t="str">
        <f t="array" ref="M656">IFERROR(INDEX('Daily Raw Data'!V:V,Match($A656,'Daily Raw Data'!$B:$B,0)),"")</f>
        <v/>
      </c>
      <c r="N656" t="str">
        <f t="array" ref="N656">IFERROR(INDEX('Daily Raw Data'!W:W,Match($A656,'Daily Raw Data'!$B:$B,0)),"")</f>
        <v/>
      </c>
      <c r="O656" t="str">
        <f t="array" ref="O656">IFERROR(INDEX('Daily Raw Data'!Y:Y,Match($A656,'Daily Raw Data'!$B:$B,0)),"")</f>
        <v/>
      </c>
      <c r="P656" t="str">
        <f t="shared" si="1"/>
        <v/>
      </c>
      <c r="Q656" s="14" t="str">
        <f t="shared" si="2"/>
        <v/>
      </c>
      <c r="R656" s="15" t="str">
        <f>IFERROR(__xludf.DUMMYFUNCTION("IF($A656="""","""", IFERROR(PERCENTRANK.INC(FILTER(P:P,$E:$E&lt;&gt;""""),P656)*100,""""))"),"")</f>
        <v/>
      </c>
      <c r="S656" s="15" t="str">
        <f>IFERROR(__xludf.DUMMYFUNCTION("IF($A656="""","""",IFERROR(PERCENTRANK.INC(FILTER(Q:Q,$E:$E&lt;&gt;""""),Q656)*100,""""))"),"")</f>
        <v/>
      </c>
    </row>
    <row r="657">
      <c r="B657" t="str">
        <f t="array" ref="B657">IFERROR(INDEX('Player Raw Data'!C:C,Match($A657,'Player Raw Data'!$B:$B,0)),"")</f>
        <v/>
      </c>
      <c r="C657" t="str">
        <f t="array" ref="C657">IFERROR(INDEX('Player Raw Data'!D:D,Match($A657,'Player Raw Data'!$B:$B,0)),"")</f>
        <v/>
      </c>
      <c r="D657" t="str">
        <f t="array" ref="D657">IFERROR(IF(A657=A656, INDEX('Player Raw Data'!E:E,Match($A657,'Player Raw Data'!$B:$B,0)+2),INDEX('Player Raw Data'!E:E,Match($A657,'Player Raw Data'!$B:$B,0))),"")</f>
        <v/>
      </c>
      <c r="E657" s="27" t="str">
        <f>IFERROR(__xludf.DUMMYFUNCTION("IFERROR(ARRAY_CONSTRAIN(SPLIT(INDEX('Daily Raw Data'!G:G,Match($A657,'Daily Raw Data'!$B:$B,0)),"":""),1,1),"""")"),"")</f>
        <v/>
      </c>
      <c r="F657" t="str">
        <f t="array" ref="F657">IFERROR(INDEX('Daily Raw Data'!H:H,Match($A657,'Daily Raw Data'!$B:$B,0)),"")</f>
        <v/>
      </c>
      <c r="G657" t="str">
        <f t="array" ref="G657">IFERROR(INDEX('Daily Raw Data'!I:I,Match($A657,'Daily Raw Data'!$B:$B,0)),"")</f>
        <v/>
      </c>
      <c r="H657" t="str">
        <f t="array" ref="H657">IFERROR(INDEX('Daily Raw Data'!N:N,Match($A657,'Daily Raw Data'!$B:$B,0)),"")</f>
        <v/>
      </c>
      <c r="I657" t="str">
        <f t="array" ref="I657">IFERROR(INDEX('Daily Raw Data'!O:O,Match($A657,'Daily Raw Data'!$B:$B,0)),"")</f>
        <v/>
      </c>
      <c r="J657" t="str">
        <f t="array" ref="J657">IFERROR(INDEX('Daily Raw Data'!S:S,Match($A657,'Daily Raw Data'!$B:$B,0)),"")</f>
        <v/>
      </c>
      <c r="K657" t="str">
        <f t="array" ref="K657">IFERROR(INDEX('Daily Raw Data'!T:T,Match($A657,'Daily Raw Data'!$B:$B,0)),"")</f>
        <v/>
      </c>
      <c r="L657" t="str">
        <f t="array" ref="L657">IFERROR(INDEX('Daily Raw Data'!U:U,Match($A657,'Daily Raw Data'!$B:$B,0)),"")</f>
        <v/>
      </c>
      <c r="M657" t="str">
        <f t="array" ref="M657">IFERROR(INDEX('Daily Raw Data'!V:V,Match($A657,'Daily Raw Data'!$B:$B,0)),"")</f>
        <v/>
      </c>
      <c r="N657" t="str">
        <f t="array" ref="N657">IFERROR(INDEX('Daily Raw Data'!W:W,Match($A657,'Daily Raw Data'!$B:$B,0)),"")</f>
        <v/>
      </c>
      <c r="O657" t="str">
        <f t="array" ref="O657">IFERROR(INDEX('Daily Raw Data'!Y:Y,Match($A657,'Daily Raw Data'!$B:$B,0)),"")</f>
        <v/>
      </c>
      <c r="P657" t="str">
        <f t="shared" si="1"/>
        <v/>
      </c>
      <c r="Q657" s="14" t="str">
        <f t="shared" si="2"/>
        <v/>
      </c>
      <c r="R657" s="15" t="str">
        <f>IFERROR(__xludf.DUMMYFUNCTION("IF($A657="""","""", IFERROR(PERCENTRANK.INC(FILTER(P:P,$E:$E&lt;&gt;""""),P657)*100,""""))"),"")</f>
        <v/>
      </c>
      <c r="S657" s="15" t="str">
        <f>IFERROR(__xludf.DUMMYFUNCTION("IF($A657="""","""",IFERROR(PERCENTRANK.INC(FILTER(Q:Q,$E:$E&lt;&gt;""""),Q657)*100,""""))"),"")</f>
        <v/>
      </c>
    </row>
    <row r="658">
      <c r="B658" t="str">
        <f t="array" ref="B658">IFERROR(INDEX('Player Raw Data'!C:C,Match($A658,'Player Raw Data'!$B:$B,0)),"")</f>
        <v/>
      </c>
      <c r="C658" t="str">
        <f t="array" ref="C658">IFERROR(INDEX('Player Raw Data'!D:D,Match($A658,'Player Raw Data'!$B:$B,0)),"")</f>
        <v/>
      </c>
      <c r="D658" t="str">
        <f t="array" ref="D658">IFERROR(IF(A658=A657, INDEX('Player Raw Data'!E:E,Match($A658,'Player Raw Data'!$B:$B,0)+2),INDEX('Player Raw Data'!E:E,Match($A658,'Player Raw Data'!$B:$B,0))),"")</f>
        <v/>
      </c>
      <c r="E658" s="27" t="str">
        <f>IFERROR(__xludf.DUMMYFUNCTION("IFERROR(ARRAY_CONSTRAIN(SPLIT(INDEX('Daily Raw Data'!G:G,Match($A658,'Daily Raw Data'!$B:$B,0)),"":""),1,1),"""")"),"")</f>
        <v/>
      </c>
      <c r="F658" t="str">
        <f t="array" ref="F658">IFERROR(INDEX('Daily Raw Data'!H:H,Match($A658,'Daily Raw Data'!$B:$B,0)),"")</f>
        <v/>
      </c>
      <c r="G658" t="str">
        <f t="array" ref="G658">IFERROR(INDEX('Daily Raw Data'!I:I,Match($A658,'Daily Raw Data'!$B:$B,0)),"")</f>
        <v/>
      </c>
      <c r="H658" t="str">
        <f t="array" ref="H658">IFERROR(INDEX('Daily Raw Data'!N:N,Match($A658,'Daily Raw Data'!$B:$B,0)),"")</f>
        <v/>
      </c>
      <c r="I658" t="str">
        <f t="array" ref="I658">IFERROR(INDEX('Daily Raw Data'!O:O,Match($A658,'Daily Raw Data'!$B:$B,0)),"")</f>
        <v/>
      </c>
      <c r="J658" t="str">
        <f t="array" ref="J658">IFERROR(INDEX('Daily Raw Data'!S:S,Match($A658,'Daily Raw Data'!$B:$B,0)),"")</f>
        <v/>
      </c>
      <c r="K658" t="str">
        <f t="array" ref="K658">IFERROR(INDEX('Daily Raw Data'!T:T,Match($A658,'Daily Raw Data'!$B:$B,0)),"")</f>
        <v/>
      </c>
      <c r="L658" t="str">
        <f t="array" ref="L658">IFERROR(INDEX('Daily Raw Data'!U:U,Match($A658,'Daily Raw Data'!$B:$B,0)),"")</f>
        <v/>
      </c>
      <c r="M658" t="str">
        <f t="array" ref="M658">IFERROR(INDEX('Daily Raw Data'!V:V,Match($A658,'Daily Raw Data'!$B:$B,0)),"")</f>
        <v/>
      </c>
      <c r="N658" t="str">
        <f t="array" ref="N658">IFERROR(INDEX('Daily Raw Data'!W:W,Match($A658,'Daily Raw Data'!$B:$B,0)),"")</f>
        <v/>
      </c>
      <c r="O658" t="str">
        <f t="array" ref="O658">IFERROR(INDEX('Daily Raw Data'!Y:Y,Match($A658,'Daily Raw Data'!$B:$B,0)),"")</f>
        <v/>
      </c>
      <c r="P658" t="str">
        <f t="shared" si="1"/>
        <v/>
      </c>
      <c r="Q658" s="14" t="str">
        <f t="shared" si="2"/>
        <v/>
      </c>
      <c r="R658" s="15" t="str">
        <f>IFERROR(__xludf.DUMMYFUNCTION("IF($A658="""","""", IFERROR(PERCENTRANK.INC(FILTER(P:P,$E:$E&lt;&gt;""""),P658)*100,""""))"),"")</f>
        <v/>
      </c>
      <c r="S658" s="15" t="str">
        <f>IFERROR(__xludf.DUMMYFUNCTION("IF($A658="""","""",IFERROR(PERCENTRANK.INC(FILTER(Q:Q,$E:$E&lt;&gt;""""),Q658)*100,""""))"),"")</f>
        <v/>
      </c>
    </row>
    <row r="659">
      <c r="B659" t="str">
        <f t="array" ref="B659">IFERROR(INDEX('Player Raw Data'!C:C,Match($A659,'Player Raw Data'!$B:$B,0)),"")</f>
        <v/>
      </c>
      <c r="C659" t="str">
        <f t="array" ref="C659">IFERROR(INDEX('Player Raw Data'!D:D,Match($A659,'Player Raw Data'!$B:$B,0)),"")</f>
        <v/>
      </c>
      <c r="D659" t="str">
        <f t="array" ref="D659">IFERROR(IF(A659=A658, INDEX('Player Raw Data'!E:E,Match($A659,'Player Raw Data'!$B:$B,0)+2),INDEX('Player Raw Data'!E:E,Match($A659,'Player Raw Data'!$B:$B,0))),"")</f>
        <v/>
      </c>
      <c r="E659" s="27" t="str">
        <f>IFERROR(__xludf.DUMMYFUNCTION("IFERROR(ARRAY_CONSTRAIN(SPLIT(INDEX('Daily Raw Data'!G:G,Match($A659,'Daily Raw Data'!$B:$B,0)),"":""),1,1),"""")"),"")</f>
        <v/>
      </c>
      <c r="F659" t="str">
        <f t="array" ref="F659">IFERROR(INDEX('Daily Raw Data'!H:H,Match($A659,'Daily Raw Data'!$B:$B,0)),"")</f>
        <v/>
      </c>
      <c r="G659" t="str">
        <f t="array" ref="G659">IFERROR(INDEX('Daily Raw Data'!I:I,Match($A659,'Daily Raw Data'!$B:$B,0)),"")</f>
        <v/>
      </c>
      <c r="H659" t="str">
        <f t="array" ref="H659">IFERROR(INDEX('Daily Raw Data'!N:N,Match($A659,'Daily Raw Data'!$B:$B,0)),"")</f>
        <v/>
      </c>
      <c r="I659" t="str">
        <f t="array" ref="I659">IFERROR(INDEX('Daily Raw Data'!O:O,Match($A659,'Daily Raw Data'!$B:$B,0)),"")</f>
        <v/>
      </c>
      <c r="J659" t="str">
        <f t="array" ref="J659">IFERROR(INDEX('Daily Raw Data'!S:S,Match($A659,'Daily Raw Data'!$B:$B,0)),"")</f>
        <v/>
      </c>
      <c r="K659" t="str">
        <f t="array" ref="K659">IFERROR(INDEX('Daily Raw Data'!T:T,Match($A659,'Daily Raw Data'!$B:$B,0)),"")</f>
        <v/>
      </c>
      <c r="L659" t="str">
        <f t="array" ref="L659">IFERROR(INDEX('Daily Raw Data'!U:U,Match($A659,'Daily Raw Data'!$B:$B,0)),"")</f>
        <v/>
      </c>
      <c r="M659" t="str">
        <f t="array" ref="M659">IFERROR(INDEX('Daily Raw Data'!V:V,Match($A659,'Daily Raw Data'!$B:$B,0)),"")</f>
        <v/>
      </c>
      <c r="N659" t="str">
        <f t="array" ref="N659">IFERROR(INDEX('Daily Raw Data'!W:W,Match($A659,'Daily Raw Data'!$B:$B,0)),"")</f>
        <v/>
      </c>
      <c r="O659" t="str">
        <f t="array" ref="O659">IFERROR(INDEX('Daily Raw Data'!Y:Y,Match($A659,'Daily Raw Data'!$B:$B,0)),"")</f>
        <v/>
      </c>
      <c r="P659" t="str">
        <f t="shared" si="1"/>
        <v/>
      </c>
      <c r="Q659" s="14" t="str">
        <f t="shared" si="2"/>
        <v/>
      </c>
      <c r="R659" s="15" t="str">
        <f>IFERROR(__xludf.DUMMYFUNCTION("IF($A659="""","""", IFERROR(PERCENTRANK.INC(FILTER(P:P,$E:$E&lt;&gt;""""),P659)*100,""""))"),"")</f>
        <v/>
      </c>
      <c r="S659" s="15" t="str">
        <f>IFERROR(__xludf.DUMMYFUNCTION("IF($A659="""","""",IFERROR(PERCENTRANK.INC(FILTER(Q:Q,$E:$E&lt;&gt;""""),Q659)*100,""""))"),"")</f>
        <v/>
      </c>
    </row>
    <row r="660">
      <c r="B660" t="str">
        <f t="array" ref="B660">IFERROR(INDEX('Player Raw Data'!C:C,Match($A660,'Player Raw Data'!$B:$B,0)),"")</f>
        <v/>
      </c>
      <c r="C660" t="str">
        <f t="array" ref="C660">IFERROR(INDEX('Player Raw Data'!D:D,Match($A660,'Player Raw Data'!$B:$B,0)),"")</f>
        <v/>
      </c>
      <c r="D660" t="str">
        <f t="array" ref="D660">IFERROR(IF(A660=A659, INDEX('Player Raw Data'!E:E,Match($A660,'Player Raw Data'!$B:$B,0)+2),INDEX('Player Raw Data'!E:E,Match($A660,'Player Raw Data'!$B:$B,0))),"")</f>
        <v/>
      </c>
      <c r="E660" s="27" t="str">
        <f>IFERROR(__xludf.DUMMYFUNCTION("IFERROR(ARRAY_CONSTRAIN(SPLIT(INDEX('Daily Raw Data'!G:G,Match($A660,'Daily Raw Data'!$B:$B,0)),"":""),1,1),"""")"),"")</f>
        <v/>
      </c>
      <c r="F660" t="str">
        <f t="array" ref="F660">IFERROR(INDEX('Daily Raw Data'!H:H,Match($A660,'Daily Raw Data'!$B:$B,0)),"")</f>
        <v/>
      </c>
      <c r="G660" t="str">
        <f t="array" ref="G660">IFERROR(INDEX('Daily Raw Data'!I:I,Match($A660,'Daily Raw Data'!$B:$B,0)),"")</f>
        <v/>
      </c>
      <c r="H660" t="str">
        <f t="array" ref="H660">IFERROR(INDEX('Daily Raw Data'!N:N,Match($A660,'Daily Raw Data'!$B:$B,0)),"")</f>
        <v/>
      </c>
      <c r="I660" t="str">
        <f t="array" ref="I660">IFERROR(INDEX('Daily Raw Data'!O:O,Match($A660,'Daily Raw Data'!$B:$B,0)),"")</f>
        <v/>
      </c>
      <c r="J660" t="str">
        <f t="array" ref="J660">IFERROR(INDEX('Daily Raw Data'!S:S,Match($A660,'Daily Raw Data'!$B:$B,0)),"")</f>
        <v/>
      </c>
      <c r="K660" t="str">
        <f t="array" ref="K660">IFERROR(INDEX('Daily Raw Data'!T:T,Match($A660,'Daily Raw Data'!$B:$B,0)),"")</f>
        <v/>
      </c>
      <c r="L660" t="str">
        <f t="array" ref="L660">IFERROR(INDEX('Daily Raw Data'!U:U,Match($A660,'Daily Raw Data'!$B:$B,0)),"")</f>
        <v/>
      </c>
      <c r="M660" t="str">
        <f t="array" ref="M660">IFERROR(INDEX('Daily Raw Data'!V:V,Match($A660,'Daily Raw Data'!$B:$B,0)),"")</f>
        <v/>
      </c>
      <c r="N660" t="str">
        <f t="array" ref="N660">IFERROR(INDEX('Daily Raw Data'!W:W,Match($A660,'Daily Raw Data'!$B:$B,0)),"")</f>
        <v/>
      </c>
      <c r="O660" t="str">
        <f t="array" ref="O660">IFERROR(INDEX('Daily Raw Data'!Y:Y,Match($A660,'Daily Raw Data'!$B:$B,0)),"")</f>
        <v/>
      </c>
      <c r="P660" t="str">
        <f t="shared" si="1"/>
        <v/>
      </c>
      <c r="Q660" s="14" t="str">
        <f t="shared" si="2"/>
        <v/>
      </c>
      <c r="R660" s="15" t="str">
        <f>IFERROR(__xludf.DUMMYFUNCTION("IF($A660="""","""", IFERROR(PERCENTRANK.INC(FILTER(P:P,$E:$E&lt;&gt;""""),P660)*100,""""))"),"")</f>
        <v/>
      </c>
      <c r="S660" s="15" t="str">
        <f>IFERROR(__xludf.DUMMYFUNCTION("IF($A660="""","""",IFERROR(PERCENTRANK.INC(FILTER(Q:Q,$E:$E&lt;&gt;""""),Q660)*100,""""))"),"")</f>
        <v/>
      </c>
    </row>
    <row r="661">
      <c r="B661" t="str">
        <f t="array" ref="B661">IFERROR(INDEX('Player Raw Data'!C:C,Match($A661,'Player Raw Data'!$B:$B,0)),"")</f>
        <v/>
      </c>
      <c r="C661" t="str">
        <f t="array" ref="C661">IFERROR(INDEX('Player Raw Data'!D:D,Match($A661,'Player Raw Data'!$B:$B,0)),"")</f>
        <v/>
      </c>
      <c r="D661" t="str">
        <f t="array" ref="D661">IFERROR(IF(A661=A660, INDEX('Player Raw Data'!E:E,Match($A661,'Player Raw Data'!$B:$B,0)+2),INDEX('Player Raw Data'!E:E,Match($A661,'Player Raw Data'!$B:$B,0))),"")</f>
        <v/>
      </c>
      <c r="E661" s="27" t="str">
        <f>IFERROR(__xludf.DUMMYFUNCTION("IFERROR(ARRAY_CONSTRAIN(SPLIT(INDEX('Daily Raw Data'!G:G,Match($A661,'Daily Raw Data'!$B:$B,0)),"":""),1,1),"""")"),"")</f>
        <v/>
      </c>
      <c r="F661" t="str">
        <f t="array" ref="F661">IFERROR(INDEX('Daily Raw Data'!H:H,Match($A661,'Daily Raw Data'!$B:$B,0)),"")</f>
        <v/>
      </c>
      <c r="G661" t="str">
        <f t="array" ref="G661">IFERROR(INDEX('Daily Raw Data'!I:I,Match($A661,'Daily Raw Data'!$B:$B,0)),"")</f>
        <v/>
      </c>
      <c r="H661" t="str">
        <f t="array" ref="H661">IFERROR(INDEX('Daily Raw Data'!N:N,Match($A661,'Daily Raw Data'!$B:$B,0)),"")</f>
        <v/>
      </c>
      <c r="I661" t="str">
        <f t="array" ref="I661">IFERROR(INDEX('Daily Raw Data'!O:O,Match($A661,'Daily Raw Data'!$B:$B,0)),"")</f>
        <v/>
      </c>
      <c r="J661" t="str">
        <f t="array" ref="J661">IFERROR(INDEX('Daily Raw Data'!S:S,Match($A661,'Daily Raw Data'!$B:$B,0)),"")</f>
        <v/>
      </c>
      <c r="K661" t="str">
        <f t="array" ref="K661">IFERROR(INDEX('Daily Raw Data'!T:T,Match($A661,'Daily Raw Data'!$B:$B,0)),"")</f>
        <v/>
      </c>
      <c r="L661" t="str">
        <f t="array" ref="L661">IFERROR(INDEX('Daily Raw Data'!U:U,Match($A661,'Daily Raw Data'!$B:$B,0)),"")</f>
        <v/>
      </c>
      <c r="M661" t="str">
        <f t="array" ref="M661">IFERROR(INDEX('Daily Raw Data'!V:V,Match($A661,'Daily Raw Data'!$B:$B,0)),"")</f>
        <v/>
      </c>
      <c r="N661" t="str">
        <f t="array" ref="N661">IFERROR(INDEX('Daily Raw Data'!W:W,Match($A661,'Daily Raw Data'!$B:$B,0)),"")</f>
        <v/>
      </c>
      <c r="O661" t="str">
        <f t="array" ref="O661">IFERROR(INDEX('Daily Raw Data'!Y:Y,Match($A661,'Daily Raw Data'!$B:$B,0)),"")</f>
        <v/>
      </c>
      <c r="P661" t="str">
        <f t="shared" si="1"/>
        <v/>
      </c>
      <c r="Q661" s="14" t="str">
        <f t="shared" si="2"/>
        <v/>
      </c>
      <c r="R661" s="15" t="str">
        <f>IFERROR(__xludf.DUMMYFUNCTION("IF($A661="""","""", IFERROR(PERCENTRANK.INC(FILTER(P:P,$E:$E&lt;&gt;""""),P661)*100,""""))"),"")</f>
        <v/>
      </c>
      <c r="S661" s="15" t="str">
        <f>IFERROR(__xludf.DUMMYFUNCTION("IF($A661="""","""",IFERROR(PERCENTRANK.INC(FILTER(Q:Q,$E:$E&lt;&gt;""""),Q661)*100,""""))"),"")</f>
        <v/>
      </c>
    </row>
    <row r="662">
      <c r="B662" t="str">
        <f t="array" ref="B662">IFERROR(INDEX('Player Raw Data'!C:C,Match($A662,'Player Raw Data'!$B:$B,0)),"")</f>
        <v/>
      </c>
      <c r="C662" t="str">
        <f t="array" ref="C662">IFERROR(INDEX('Player Raw Data'!D:D,Match($A662,'Player Raw Data'!$B:$B,0)),"")</f>
        <v/>
      </c>
      <c r="D662" t="str">
        <f t="array" ref="D662">IFERROR(IF(A662=A661, INDEX('Player Raw Data'!E:E,Match($A662,'Player Raw Data'!$B:$B,0)+2),INDEX('Player Raw Data'!E:E,Match($A662,'Player Raw Data'!$B:$B,0))),"")</f>
        <v/>
      </c>
      <c r="E662" s="27" t="str">
        <f>IFERROR(__xludf.DUMMYFUNCTION("IFERROR(ARRAY_CONSTRAIN(SPLIT(INDEX('Daily Raw Data'!G:G,Match($A662,'Daily Raw Data'!$B:$B,0)),"":""),1,1),"""")"),"")</f>
        <v/>
      </c>
      <c r="F662" t="str">
        <f t="array" ref="F662">IFERROR(INDEX('Daily Raw Data'!H:H,Match($A662,'Daily Raw Data'!$B:$B,0)),"")</f>
        <v/>
      </c>
      <c r="G662" t="str">
        <f t="array" ref="G662">IFERROR(INDEX('Daily Raw Data'!I:I,Match($A662,'Daily Raw Data'!$B:$B,0)),"")</f>
        <v/>
      </c>
      <c r="H662" t="str">
        <f t="array" ref="H662">IFERROR(INDEX('Daily Raw Data'!N:N,Match($A662,'Daily Raw Data'!$B:$B,0)),"")</f>
        <v/>
      </c>
      <c r="I662" t="str">
        <f t="array" ref="I662">IFERROR(INDEX('Daily Raw Data'!O:O,Match($A662,'Daily Raw Data'!$B:$B,0)),"")</f>
        <v/>
      </c>
      <c r="J662" t="str">
        <f t="array" ref="J662">IFERROR(INDEX('Daily Raw Data'!S:S,Match($A662,'Daily Raw Data'!$B:$B,0)),"")</f>
        <v/>
      </c>
      <c r="K662" t="str">
        <f t="array" ref="K662">IFERROR(INDEX('Daily Raw Data'!T:T,Match($A662,'Daily Raw Data'!$B:$B,0)),"")</f>
        <v/>
      </c>
      <c r="L662" t="str">
        <f t="array" ref="L662">IFERROR(INDEX('Daily Raw Data'!U:U,Match($A662,'Daily Raw Data'!$B:$B,0)),"")</f>
        <v/>
      </c>
      <c r="M662" t="str">
        <f t="array" ref="M662">IFERROR(INDEX('Daily Raw Data'!V:V,Match($A662,'Daily Raw Data'!$B:$B,0)),"")</f>
        <v/>
      </c>
      <c r="N662" t="str">
        <f t="array" ref="N662">IFERROR(INDEX('Daily Raw Data'!W:W,Match($A662,'Daily Raw Data'!$B:$B,0)),"")</f>
        <v/>
      </c>
      <c r="O662" t="str">
        <f t="array" ref="O662">IFERROR(INDEX('Daily Raw Data'!Y:Y,Match($A662,'Daily Raw Data'!$B:$B,0)),"")</f>
        <v/>
      </c>
      <c r="P662" t="str">
        <f t="shared" si="1"/>
        <v/>
      </c>
      <c r="Q662" s="14" t="str">
        <f t="shared" si="2"/>
        <v/>
      </c>
      <c r="R662" s="15" t="str">
        <f>IFERROR(__xludf.DUMMYFUNCTION("IF($A662="""","""", IFERROR(PERCENTRANK.INC(FILTER(P:P,$E:$E&lt;&gt;""""),P662)*100,""""))"),"")</f>
        <v/>
      </c>
      <c r="S662" s="15" t="str">
        <f>IFERROR(__xludf.DUMMYFUNCTION("IF($A662="""","""",IFERROR(PERCENTRANK.INC(FILTER(Q:Q,$E:$E&lt;&gt;""""),Q662)*100,""""))"),"")</f>
        <v/>
      </c>
    </row>
    <row r="663">
      <c r="B663" t="str">
        <f t="array" ref="B663">IFERROR(INDEX('Player Raw Data'!C:C,Match($A663,'Player Raw Data'!$B:$B,0)),"")</f>
        <v/>
      </c>
      <c r="C663" t="str">
        <f t="array" ref="C663">IFERROR(INDEX('Player Raw Data'!D:D,Match($A663,'Player Raw Data'!$B:$B,0)),"")</f>
        <v/>
      </c>
      <c r="D663" t="str">
        <f t="array" ref="D663">IFERROR(IF(A663=A662, INDEX('Player Raw Data'!E:E,Match($A663,'Player Raw Data'!$B:$B,0)+2),INDEX('Player Raw Data'!E:E,Match($A663,'Player Raw Data'!$B:$B,0))),"")</f>
        <v/>
      </c>
      <c r="E663" s="27" t="str">
        <f>IFERROR(__xludf.DUMMYFUNCTION("IFERROR(ARRAY_CONSTRAIN(SPLIT(INDEX('Daily Raw Data'!G:G,Match($A663,'Daily Raw Data'!$B:$B,0)),"":""),1,1),"""")"),"")</f>
        <v/>
      </c>
      <c r="F663" t="str">
        <f t="array" ref="F663">IFERROR(INDEX('Daily Raw Data'!H:H,Match($A663,'Daily Raw Data'!$B:$B,0)),"")</f>
        <v/>
      </c>
      <c r="G663" t="str">
        <f t="array" ref="G663">IFERROR(INDEX('Daily Raw Data'!I:I,Match($A663,'Daily Raw Data'!$B:$B,0)),"")</f>
        <v/>
      </c>
      <c r="H663" t="str">
        <f t="array" ref="H663">IFERROR(INDEX('Daily Raw Data'!N:N,Match($A663,'Daily Raw Data'!$B:$B,0)),"")</f>
        <v/>
      </c>
      <c r="I663" t="str">
        <f t="array" ref="I663">IFERROR(INDEX('Daily Raw Data'!O:O,Match($A663,'Daily Raw Data'!$B:$B,0)),"")</f>
        <v/>
      </c>
      <c r="J663" t="str">
        <f t="array" ref="J663">IFERROR(INDEX('Daily Raw Data'!S:S,Match($A663,'Daily Raw Data'!$B:$B,0)),"")</f>
        <v/>
      </c>
      <c r="K663" t="str">
        <f t="array" ref="K663">IFERROR(INDEX('Daily Raw Data'!T:T,Match($A663,'Daily Raw Data'!$B:$B,0)),"")</f>
        <v/>
      </c>
      <c r="L663" t="str">
        <f t="array" ref="L663">IFERROR(INDEX('Daily Raw Data'!U:U,Match($A663,'Daily Raw Data'!$B:$B,0)),"")</f>
        <v/>
      </c>
      <c r="M663" t="str">
        <f t="array" ref="M663">IFERROR(INDEX('Daily Raw Data'!V:V,Match($A663,'Daily Raw Data'!$B:$B,0)),"")</f>
        <v/>
      </c>
      <c r="N663" t="str">
        <f t="array" ref="N663">IFERROR(INDEX('Daily Raw Data'!W:W,Match($A663,'Daily Raw Data'!$B:$B,0)),"")</f>
        <v/>
      </c>
      <c r="O663" t="str">
        <f t="array" ref="O663">IFERROR(INDEX('Daily Raw Data'!Y:Y,Match($A663,'Daily Raw Data'!$B:$B,0)),"")</f>
        <v/>
      </c>
      <c r="P663" t="str">
        <f t="shared" si="1"/>
        <v/>
      </c>
      <c r="Q663" s="14" t="str">
        <f t="shared" si="2"/>
        <v/>
      </c>
      <c r="R663" s="15" t="str">
        <f>IFERROR(__xludf.DUMMYFUNCTION("IF($A663="""","""", IFERROR(PERCENTRANK.INC(FILTER(P:P,$E:$E&lt;&gt;""""),P663)*100,""""))"),"")</f>
        <v/>
      </c>
      <c r="S663" s="15" t="str">
        <f>IFERROR(__xludf.DUMMYFUNCTION("IF($A663="""","""",IFERROR(PERCENTRANK.INC(FILTER(Q:Q,$E:$E&lt;&gt;""""),Q663)*100,""""))"),"")</f>
        <v/>
      </c>
    </row>
    <row r="664">
      <c r="B664" t="str">
        <f t="array" ref="B664">IFERROR(INDEX('Player Raw Data'!C:C,Match($A664,'Player Raw Data'!$B:$B,0)),"")</f>
        <v/>
      </c>
      <c r="C664" t="str">
        <f t="array" ref="C664">IFERROR(INDEX('Player Raw Data'!D:D,Match($A664,'Player Raw Data'!$B:$B,0)),"")</f>
        <v/>
      </c>
      <c r="D664" t="str">
        <f t="array" ref="D664">IFERROR(IF(A664=A663, INDEX('Player Raw Data'!E:E,Match($A664,'Player Raw Data'!$B:$B,0)+2),INDEX('Player Raw Data'!E:E,Match($A664,'Player Raw Data'!$B:$B,0))),"")</f>
        <v/>
      </c>
      <c r="E664" s="27" t="str">
        <f>IFERROR(__xludf.DUMMYFUNCTION("IFERROR(ARRAY_CONSTRAIN(SPLIT(INDEX('Daily Raw Data'!G:G,Match($A664,'Daily Raw Data'!$B:$B,0)),"":""),1,1),"""")"),"")</f>
        <v/>
      </c>
      <c r="F664" t="str">
        <f t="array" ref="F664">IFERROR(INDEX('Daily Raw Data'!H:H,Match($A664,'Daily Raw Data'!$B:$B,0)),"")</f>
        <v/>
      </c>
      <c r="G664" t="str">
        <f t="array" ref="G664">IFERROR(INDEX('Daily Raw Data'!I:I,Match($A664,'Daily Raw Data'!$B:$B,0)),"")</f>
        <v/>
      </c>
      <c r="H664" t="str">
        <f t="array" ref="H664">IFERROR(INDEX('Daily Raw Data'!N:N,Match($A664,'Daily Raw Data'!$B:$B,0)),"")</f>
        <v/>
      </c>
      <c r="I664" t="str">
        <f t="array" ref="I664">IFERROR(INDEX('Daily Raw Data'!O:O,Match($A664,'Daily Raw Data'!$B:$B,0)),"")</f>
        <v/>
      </c>
      <c r="J664" t="str">
        <f t="array" ref="J664">IFERROR(INDEX('Daily Raw Data'!S:S,Match($A664,'Daily Raw Data'!$B:$B,0)),"")</f>
        <v/>
      </c>
      <c r="K664" t="str">
        <f t="array" ref="K664">IFERROR(INDEX('Daily Raw Data'!T:T,Match($A664,'Daily Raw Data'!$B:$B,0)),"")</f>
        <v/>
      </c>
      <c r="L664" t="str">
        <f t="array" ref="L664">IFERROR(INDEX('Daily Raw Data'!U:U,Match($A664,'Daily Raw Data'!$B:$B,0)),"")</f>
        <v/>
      </c>
      <c r="M664" t="str">
        <f t="array" ref="M664">IFERROR(INDEX('Daily Raw Data'!V:V,Match($A664,'Daily Raw Data'!$B:$B,0)),"")</f>
        <v/>
      </c>
      <c r="N664" t="str">
        <f t="array" ref="N664">IFERROR(INDEX('Daily Raw Data'!W:W,Match($A664,'Daily Raw Data'!$B:$B,0)),"")</f>
        <v/>
      </c>
      <c r="O664" t="str">
        <f t="array" ref="O664">IFERROR(INDEX('Daily Raw Data'!Y:Y,Match($A664,'Daily Raw Data'!$B:$B,0)),"")</f>
        <v/>
      </c>
      <c r="P664" t="str">
        <f t="shared" si="1"/>
        <v/>
      </c>
      <c r="Q664" s="14" t="str">
        <f t="shared" si="2"/>
        <v/>
      </c>
      <c r="R664" s="15" t="str">
        <f>IFERROR(__xludf.DUMMYFUNCTION("IF($A664="""","""", IFERROR(PERCENTRANK.INC(FILTER(P:P,$E:$E&lt;&gt;""""),P664)*100,""""))"),"")</f>
        <v/>
      </c>
      <c r="S664" s="15" t="str">
        <f>IFERROR(__xludf.DUMMYFUNCTION("IF($A664="""","""",IFERROR(PERCENTRANK.INC(FILTER(Q:Q,$E:$E&lt;&gt;""""),Q664)*100,""""))"),"")</f>
        <v/>
      </c>
    </row>
    <row r="665">
      <c r="B665" t="str">
        <f t="array" ref="B665">IFERROR(INDEX('Player Raw Data'!C:C,Match($A665,'Player Raw Data'!$B:$B,0)),"")</f>
        <v/>
      </c>
      <c r="C665" t="str">
        <f t="array" ref="C665">IFERROR(INDEX('Player Raw Data'!D:D,Match($A665,'Player Raw Data'!$B:$B,0)),"")</f>
        <v/>
      </c>
      <c r="D665" t="str">
        <f t="array" ref="D665">IFERROR(IF(A665=A664, INDEX('Player Raw Data'!E:E,Match($A665,'Player Raw Data'!$B:$B,0)+2),INDEX('Player Raw Data'!E:E,Match($A665,'Player Raw Data'!$B:$B,0))),"")</f>
        <v/>
      </c>
      <c r="E665" s="27" t="str">
        <f>IFERROR(__xludf.DUMMYFUNCTION("IFERROR(ARRAY_CONSTRAIN(SPLIT(INDEX('Daily Raw Data'!G:G,Match($A665,'Daily Raw Data'!$B:$B,0)),"":""),1,1),"""")"),"")</f>
        <v/>
      </c>
      <c r="F665" t="str">
        <f t="array" ref="F665">IFERROR(INDEX('Daily Raw Data'!H:H,Match($A665,'Daily Raw Data'!$B:$B,0)),"")</f>
        <v/>
      </c>
      <c r="G665" t="str">
        <f t="array" ref="G665">IFERROR(INDEX('Daily Raw Data'!I:I,Match($A665,'Daily Raw Data'!$B:$B,0)),"")</f>
        <v/>
      </c>
      <c r="H665" t="str">
        <f t="array" ref="H665">IFERROR(INDEX('Daily Raw Data'!N:N,Match($A665,'Daily Raw Data'!$B:$B,0)),"")</f>
        <v/>
      </c>
      <c r="I665" t="str">
        <f t="array" ref="I665">IFERROR(INDEX('Daily Raw Data'!O:O,Match($A665,'Daily Raw Data'!$B:$B,0)),"")</f>
        <v/>
      </c>
      <c r="J665" t="str">
        <f t="array" ref="J665">IFERROR(INDEX('Daily Raw Data'!S:S,Match($A665,'Daily Raw Data'!$B:$B,0)),"")</f>
        <v/>
      </c>
      <c r="K665" t="str">
        <f t="array" ref="K665">IFERROR(INDEX('Daily Raw Data'!T:T,Match($A665,'Daily Raw Data'!$B:$B,0)),"")</f>
        <v/>
      </c>
      <c r="L665" t="str">
        <f t="array" ref="L665">IFERROR(INDEX('Daily Raw Data'!U:U,Match($A665,'Daily Raw Data'!$B:$B,0)),"")</f>
        <v/>
      </c>
      <c r="M665" t="str">
        <f t="array" ref="M665">IFERROR(INDEX('Daily Raw Data'!V:V,Match($A665,'Daily Raw Data'!$B:$B,0)),"")</f>
        <v/>
      </c>
      <c r="N665" t="str">
        <f t="array" ref="N665">IFERROR(INDEX('Daily Raw Data'!W:W,Match($A665,'Daily Raw Data'!$B:$B,0)),"")</f>
        <v/>
      </c>
      <c r="O665" t="str">
        <f t="array" ref="O665">IFERROR(INDEX('Daily Raw Data'!Y:Y,Match($A665,'Daily Raw Data'!$B:$B,0)),"")</f>
        <v/>
      </c>
      <c r="P665" t="str">
        <f t="shared" si="1"/>
        <v/>
      </c>
      <c r="Q665" s="14" t="str">
        <f t="shared" si="2"/>
        <v/>
      </c>
      <c r="R665" s="15" t="str">
        <f>IFERROR(__xludf.DUMMYFUNCTION("IF($A665="""","""", IFERROR(PERCENTRANK.INC(FILTER(P:P,$E:$E&lt;&gt;""""),P665)*100,""""))"),"")</f>
        <v/>
      </c>
      <c r="S665" s="15" t="str">
        <f>IFERROR(__xludf.DUMMYFUNCTION("IF($A665="""","""",IFERROR(PERCENTRANK.INC(FILTER(Q:Q,$E:$E&lt;&gt;""""),Q665)*100,""""))"),"")</f>
        <v/>
      </c>
    </row>
    <row r="666">
      <c r="B666" t="str">
        <f t="array" ref="B666">IFERROR(INDEX('Player Raw Data'!C:C,Match($A666,'Player Raw Data'!$B:$B,0)),"")</f>
        <v/>
      </c>
      <c r="C666" t="str">
        <f t="array" ref="C666">IFERROR(INDEX('Player Raw Data'!D:D,Match($A666,'Player Raw Data'!$B:$B,0)),"")</f>
        <v/>
      </c>
      <c r="D666" t="str">
        <f t="array" ref="D666">IFERROR(IF(A666=A665, INDEX('Player Raw Data'!E:E,Match($A666,'Player Raw Data'!$B:$B,0)+2),INDEX('Player Raw Data'!E:E,Match($A666,'Player Raw Data'!$B:$B,0))),"")</f>
        <v/>
      </c>
      <c r="E666" s="27" t="str">
        <f>IFERROR(__xludf.DUMMYFUNCTION("IFERROR(ARRAY_CONSTRAIN(SPLIT(INDEX('Daily Raw Data'!G:G,Match($A666,'Daily Raw Data'!$B:$B,0)),"":""),1,1),"""")"),"")</f>
        <v/>
      </c>
      <c r="F666" t="str">
        <f t="array" ref="F666">IFERROR(INDEX('Daily Raw Data'!H:H,Match($A666,'Daily Raw Data'!$B:$B,0)),"")</f>
        <v/>
      </c>
      <c r="G666" t="str">
        <f t="array" ref="G666">IFERROR(INDEX('Daily Raw Data'!I:I,Match($A666,'Daily Raw Data'!$B:$B,0)),"")</f>
        <v/>
      </c>
      <c r="H666" t="str">
        <f t="array" ref="H666">IFERROR(INDEX('Daily Raw Data'!N:N,Match($A666,'Daily Raw Data'!$B:$B,0)),"")</f>
        <v/>
      </c>
      <c r="I666" t="str">
        <f t="array" ref="I666">IFERROR(INDEX('Daily Raw Data'!O:O,Match($A666,'Daily Raw Data'!$B:$B,0)),"")</f>
        <v/>
      </c>
      <c r="J666" t="str">
        <f t="array" ref="J666">IFERROR(INDEX('Daily Raw Data'!S:S,Match($A666,'Daily Raw Data'!$B:$B,0)),"")</f>
        <v/>
      </c>
      <c r="K666" t="str">
        <f t="array" ref="K666">IFERROR(INDEX('Daily Raw Data'!T:T,Match($A666,'Daily Raw Data'!$B:$B,0)),"")</f>
        <v/>
      </c>
      <c r="L666" t="str">
        <f t="array" ref="L666">IFERROR(INDEX('Daily Raw Data'!U:U,Match($A666,'Daily Raw Data'!$B:$B,0)),"")</f>
        <v/>
      </c>
      <c r="M666" t="str">
        <f t="array" ref="M666">IFERROR(INDEX('Daily Raw Data'!V:V,Match($A666,'Daily Raw Data'!$B:$B,0)),"")</f>
        <v/>
      </c>
      <c r="N666" t="str">
        <f t="array" ref="N666">IFERROR(INDEX('Daily Raw Data'!W:W,Match($A666,'Daily Raw Data'!$B:$B,0)),"")</f>
        <v/>
      </c>
      <c r="O666" t="str">
        <f t="array" ref="O666">IFERROR(INDEX('Daily Raw Data'!Y:Y,Match($A666,'Daily Raw Data'!$B:$B,0)),"")</f>
        <v/>
      </c>
      <c r="P666" t="str">
        <f t="shared" si="1"/>
        <v/>
      </c>
      <c r="Q666" s="14" t="str">
        <f t="shared" si="2"/>
        <v/>
      </c>
      <c r="R666" s="15" t="str">
        <f>IFERROR(__xludf.DUMMYFUNCTION("IF($A666="""","""", IFERROR(PERCENTRANK.INC(FILTER(P:P,$E:$E&lt;&gt;""""),P666)*100,""""))"),"")</f>
        <v/>
      </c>
      <c r="S666" s="15" t="str">
        <f>IFERROR(__xludf.DUMMYFUNCTION("IF($A666="""","""",IFERROR(PERCENTRANK.INC(FILTER(Q:Q,$E:$E&lt;&gt;""""),Q666)*100,""""))"),"")</f>
        <v/>
      </c>
    </row>
    <row r="667">
      <c r="B667" t="str">
        <f t="array" ref="B667">IFERROR(INDEX('Player Raw Data'!C:C,Match($A667,'Player Raw Data'!$B:$B,0)),"")</f>
        <v/>
      </c>
      <c r="C667" t="str">
        <f t="array" ref="C667">IFERROR(INDEX('Player Raw Data'!D:D,Match($A667,'Player Raw Data'!$B:$B,0)),"")</f>
        <v/>
      </c>
      <c r="D667" t="str">
        <f t="array" ref="D667">IFERROR(IF(A667=A666, INDEX('Player Raw Data'!E:E,Match($A667,'Player Raw Data'!$B:$B,0)+2),INDEX('Player Raw Data'!E:E,Match($A667,'Player Raw Data'!$B:$B,0))),"")</f>
        <v/>
      </c>
      <c r="E667" s="27" t="str">
        <f>IFERROR(__xludf.DUMMYFUNCTION("IFERROR(ARRAY_CONSTRAIN(SPLIT(INDEX('Daily Raw Data'!G:G,Match($A667,'Daily Raw Data'!$B:$B,0)),"":""),1,1),"""")"),"")</f>
        <v/>
      </c>
      <c r="F667" t="str">
        <f t="array" ref="F667">IFERROR(INDEX('Daily Raw Data'!H:H,Match($A667,'Daily Raw Data'!$B:$B,0)),"")</f>
        <v/>
      </c>
      <c r="G667" t="str">
        <f t="array" ref="G667">IFERROR(INDEX('Daily Raw Data'!I:I,Match($A667,'Daily Raw Data'!$B:$B,0)),"")</f>
        <v/>
      </c>
      <c r="H667" t="str">
        <f t="array" ref="H667">IFERROR(INDEX('Daily Raw Data'!N:N,Match($A667,'Daily Raw Data'!$B:$B,0)),"")</f>
        <v/>
      </c>
      <c r="I667" t="str">
        <f t="array" ref="I667">IFERROR(INDEX('Daily Raw Data'!O:O,Match($A667,'Daily Raw Data'!$B:$B,0)),"")</f>
        <v/>
      </c>
      <c r="J667" t="str">
        <f t="array" ref="J667">IFERROR(INDEX('Daily Raw Data'!S:S,Match($A667,'Daily Raw Data'!$B:$B,0)),"")</f>
        <v/>
      </c>
      <c r="K667" t="str">
        <f t="array" ref="K667">IFERROR(INDEX('Daily Raw Data'!T:T,Match($A667,'Daily Raw Data'!$B:$B,0)),"")</f>
        <v/>
      </c>
      <c r="L667" t="str">
        <f t="array" ref="L667">IFERROR(INDEX('Daily Raw Data'!U:U,Match($A667,'Daily Raw Data'!$B:$B,0)),"")</f>
        <v/>
      </c>
      <c r="M667" t="str">
        <f t="array" ref="M667">IFERROR(INDEX('Daily Raw Data'!V:V,Match($A667,'Daily Raw Data'!$B:$B,0)),"")</f>
        <v/>
      </c>
      <c r="N667" t="str">
        <f t="array" ref="N667">IFERROR(INDEX('Daily Raw Data'!W:W,Match($A667,'Daily Raw Data'!$B:$B,0)),"")</f>
        <v/>
      </c>
      <c r="O667" t="str">
        <f t="array" ref="O667">IFERROR(INDEX('Daily Raw Data'!Y:Y,Match($A667,'Daily Raw Data'!$B:$B,0)),"")</f>
        <v/>
      </c>
      <c r="P667" t="str">
        <f t="shared" si="1"/>
        <v/>
      </c>
      <c r="Q667" s="14" t="str">
        <f t="shared" si="2"/>
        <v/>
      </c>
      <c r="R667" s="15" t="str">
        <f>IFERROR(__xludf.DUMMYFUNCTION("IF($A667="""","""", IFERROR(PERCENTRANK.INC(FILTER(P:P,$E:$E&lt;&gt;""""),P667)*100,""""))"),"")</f>
        <v/>
      </c>
      <c r="S667" s="15" t="str">
        <f>IFERROR(__xludf.DUMMYFUNCTION("IF($A667="""","""",IFERROR(PERCENTRANK.INC(FILTER(Q:Q,$E:$E&lt;&gt;""""),Q667)*100,""""))"),"")</f>
        <v/>
      </c>
    </row>
    <row r="668">
      <c r="B668" t="str">
        <f t="array" ref="B668">IFERROR(INDEX('Player Raw Data'!C:C,Match($A668,'Player Raw Data'!$B:$B,0)),"")</f>
        <v/>
      </c>
      <c r="C668" t="str">
        <f t="array" ref="C668">IFERROR(INDEX('Player Raw Data'!D:D,Match($A668,'Player Raw Data'!$B:$B,0)),"")</f>
        <v/>
      </c>
      <c r="D668" t="str">
        <f t="array" ref="D668">IFERROR(IF(A668=A667, INDEX('Player Raw Data'!E:E,Match($A668,'Player Raw Data'!$B:$B,0)+2),INDEX('Player Raw Data'!E:E,Match($A668,'Player Raw Data'!$B:$B,0))),"")</f>
        <v/>
      </c>
      <c r="E668" s="27" t="str">
        <f>IFERROR(__xludf.DUMMYFUNCTION("IFERROR(ARRAY_CONSTRAIN(SPLIT(INDEX('Daily Raw Data'!G:G,Match($A668,'Daily Raw Data'!$B:$B,0)),"":""),1,1),"""")"),"")</f>
        <v/>
      </c>
      <c r="F668" t="str">
        <f t="array" ref="F668">IFERROR(INDEX('Daily Raw Data'!H:H,Match($A668,'Daily Raw Data'!$B:$B,0)),"")</f>
        <v/>
      </c>
      <c r="G668" t="str">
        <f t="array" ref="G668">IFERROR(INDEX('Daily Raw Data'!I:I,Match($A668,'Daily Raw Data'!$B:$B,0)),"")</f>
        <v/>
      </c>
      <c r="H668" t="str">
        <f t="array" ref="H668">IFERROR(INDEX('Daily Raw Data'!N:N,Match($A668,'Daily Raw Data'!$B:$B,0)),"")</f>
        <v/>
      </c>
      <c r="I668" t="str">
        <f t="array" ref="I668">IFERROR(INDEX('Daily Raw Data'!O:O,Match($A668,'Daily Raw Data'!$B:$B,0)),"")</f>
        <v/>
      </c>
      <c r="J668" t="str">
        <f t="array" ref="J668">IFERROR(INDEX('Daily Raw Data'!S:S,Match($A668,'Daily Raw Data'!$B:$B,0)),"")</f>
        <v/>
      </c>
      <c r="K668" t="str">
        <f t="array" ref="K668">IFERROR(INDEX('Daily Raw Data'!T:T,Match($A668,'Daily Raw Data'!$B:$B,0)),"")</f>
        <v/>
      </c>
      <c r="L668" t="str">
        <f t="array" ref="L668">IFERROR(INDEX('Daily Raw Data'!U:U,Match($A668,'Daily Raw Data'!$B:$B,0)),"")</f>
        <v/>
      </c>
      <c r="M668" t="str">
        <f t="array" ref="M668">IFERROR(INDEX('Daily Raw Data'!V:V,Match($A668,'Daily Raw Data'!$B:$B,0)),"")</f>
        <v/>
      </c>
      <c r="N668" t="str">
        <f t="array" ref="N668">IFERROR(INDEX('Daily Raw Data'!W:W,Match($A668,'Daily Raw Data'!$B:$B,0)),"")</f>
        <v/>
      </c>
      <c r="O668" t="str">
        <f t="array" ref="O668">IFERROR(INDEX('Daily Raw Data'!Y:Y,Match($A668,'Daily Raw Data'!$B:$B,0)),"")</f>
        <v/>
      </c>
      <c r="P668" t="str">
        <f t="shared" si="1"/>
        <v/>
      </c>
      <c r="Q668" s="14" t="str">
        <f t="shared" si="2"/>
        <v/>
      </c>
      <c r="R668" s="15" t="str">
        <f>IFERROR(__xludf.DUMMYFUNCTION("IF($A668="""","""", IFERROR(PERCENTRANK.INC(FILTER(P:P,$E:$E&lt;&gt;""""),P668)*100,""""))"),"")</f>
        <v/>
      </c>
      <c r="S668" s="15" t="str">
        <f>IFERROR(__xludf.DUMMYFUNCTION("IF($A668="""","""",IFERROR(PERCENTRANK.INC(FILTER(Q:Q,$E:$E&lt;&gt;""""),Q668)*100,""""))"),"")</f>
        <v/>
      </c>
    </row>
    <row r="669">
      <c r="B669" t="str">
        <f t="array" ref="B669">IFERROR(INDEX('Player Raw Data'!C:C,Match($A669,'Player Raw Data'!$B:$B,0)),"")</f>
        <v/>
      </c>
      <c r="C669" t="str">
        <f t="array" ref="C669">IFERROR(INDEX('Player Raw Data'!D:D,Match($A669,'Player Raw Data'!$B:$B,0)),"")</f>
        <v/>
      </c>
      <c r="D669" t="str">
        <f t="array" ref="D669">IFERROR(IF(A669=A668, INDEX('Player Raw Data'!E:E,Match($A669,'Player Raw Data'!$B:$B,0)+2),INDEX('Player Raw Data'!E:E,Match($A669,'Player Raw Data'!$B:$B,0))),"")</f>
        <v/>
      </c>
      <c r="E669" s="27" t="str">
        <f>IFERROR(__xludf.DUMMYFUNCTION("IFERROR(ARRAY_CONSTRAIN(SPLIT(INDEX('Daily Raw Data'!G:G,Match($A669,'Daily Raw Data'!$B:$B,0)),"":""),1,1),"""")"),"")</f>
        <v/>
      </c>
      <c r="F669" t="str">
        <f t="array" ref="F669">IFERROR(INDEX('Daily Raw Data'!H:H,Match($A669,'Daily Raw Data'!$B:$B,0)),"")</f>
        <v/>
      </c>
      <c r="G669" t="str">
        <f t="array" ref="G669">IFERROR(INDEX('Daily Raw Data'!I:I,Match($A669,'Daily Raw Data'!$B:$B,0)),"")</f>
        <v/>
      </c>
      <c r="H669" t="str">
        <f t="array" ref="H669">IFERROR(INDEX('Daily Raw Data'!N:N,Match($A669,'Daily Raw Data'!$B:$B,0)),"")</f>
        <v/>
      </c>
      <c r="I669" t="str">
        <f t="array" ref="I669">IFERROR(INDEX('Daily Raw Data'!O:O,Match($A669,'Daily Raw Data'!$B:$B,0)),"")</f>
        <v/>
      </c>
      <c r="J669" t="str">
        <f t="array" ref="J669">IFERROR(INDEX('Daily Raw Data'!S:S,Match($A669,'Daily Raw Data'!$B:$B,0)),"")</f>
        <v/>
      </c>
      <c r="K669" t="str">
        <f t="array" ref="K669">IFERROR(INDEX('Daily Raw Data'!T:T,Match($A669,'Daily Raw Data'!$B:$B,0)),"")</f>
        <v/>
      </c>
      <c r="L669" t="str">
        <f t="array" ref="L669">IFERROR(INDEX('Daily Raw Data'!U:U,Match($A669,'Daily Raw Data'!$B:$B,0)),"")</f>
        <v/>
      </c>
      <c r="M669" t="str">
        <f t="array" ref="M669">IFERROR(INDEX('Daily Raw Data'!V:V,Match($A669,'Daily Raw Data'!$B:$B,0)),"")</f>
        <v/>
      </c>
      <c r="N669" t="str">
        <f t="array" ref="N669">IFERROR(INDEX('Daily Raw Data'!W:W,Match($A669,'Daily Raw Data'!$B:$B,0)),"")</f>
        <v/>
      </c>
      <c r="O669" t="str">
        <f t="array" ref="O669">IFERROR(INDEX('Daily Raw Data'!Y:Y,Match($A669,'Daily Raw Data'!$B:$B,0)),"")</f>
        <v/>
      </c>
      <c r="P669" t="str">
        <f t="shared" si="1"/>
        <v/>
      </c>
      <c r="Q669" s="14" t="str">
        <f t="shared" si="2"/>
        <v/>
      </c>
      <c r="R669" s="15" t="str">
        <f>IFERROR(__xludf.DUMMYFUNCTION("IF($A669="""","""", IFERROR(PERCENTRANK.INC(FILTER(P:P,$E:$E&lt;&gt;""""),P669)*100,""""))"),"")</f>
        <v/>
      </c>
      <c r="S669" s="15" t="str">
        <f>IFERROR(__xludf.DUMMYFUNCTION("IF($A669="""","""",IFERROR(PERCENTRANK.INC(FILTER(Q:Q,$E:$E&lt;&gt;""""),Q669)*100,""""))"),"")</f>
        <v/>
      </c>
    </row>
    <row r="670">
      <c r="B670" t="str">
        <f t="array" ref="B670">IFERROR(INDEX('Player Raw Data'!C:C,Match($A670,'Player Raw Data'!$B:$B,0)),"")</f>
        <v/>
      </c>
      <c r="C670" t="str">
        <f t="array" ref="C670">IFERROR(INDEX('Player Raw Data'!D:D,Match($A670,'Player Raw Data'!$B:$B,0)),"")</f>
        <v/>
      </c>
      <c r="D670" t="str">
        <f t="array" ref="D670">IFERROR(IF(A670=A669, INDEX('Player Raw Data'!E:E,Match($A670,'Player Raw Data'!$B:$B,0)+2),INDEX('Player Raw Data'!E:E,Match($A670,'Player Raw Data'!$B:$B,0))),"")</f>
        <v/>
      </c>
      <c r="E670" s="27" t="str">
        <f>IFERROR(__xludf.DUMMYFUNCTION("IFERROR(ARRAY_CONSTRAIN(SPLIT(INDEX('Daily Raw Data'!G:G,Match($A670,'Daily Raw Data'!$B:$B,0)),"":""),1,1),"""")"),"")</f>
        <v/>
      </c>
      <c r="F670" t="str">
        <f t="array" ref="F670">IFERROR(INDEX('Daily Raw Data'!H:H,Match($A670,'Daily Raw Data'!$B:$B,0)),"")</f>
        <v/>
      </c>
      <c r="G670" t="str">
        <f t="array" ref="G670">IFERROR(INDEX('Daily Raw Data'!I:I,Match($A670,'Daily Raw Data'!$B:$B,0)),"")</f>
        <v/>
      </c>
      <c r="H670" t="str">
        <f t="array" ref="H670">IFERROR(INDEX('Daily Raw Data'!N:N,Match($A670,'Daily Raw Data'!$B:$B,0)),"")</f>
        <v/>
      </c>
      <c r="I670" t="str">
        <f t="array" ref="I670">IFERROR(INDEX('Daily Raw Data'!O:O,Match($A670,'Daily Raw Data'!$B:$B,0)),"")</f>
        <v/>
      </c>
      <c r="J670" t="str">
        <f t="array" ref="J670">IFERROR(INDEX('Daily Raw Data'!S:S,Match($A670,'Daily Raw Data'!$B:$B,0)),"")</f>
        <v/>
      </c>
      <c r="K670" t="str">
        <f t="array" ref="K670">IFERROR(INDEX('Daily Raw Data'!T:T,Match($A670,'Daily Raw Data'!$B:$B,0)),"")</f>
        <v/>
      </c>
      <c r="L670" t="str">
        <f t="array" ref="L670">IFERROR(INDEX('Daily Raw Data'!U:U,Match($A670,'Daily Raw Data'!$B:$B,0)),"")</f>
        <v/>
      </c>
      <c r="M670" t="str">
        <f t="array" ref="M670">IFERROR(INDEX('Daily Raw Data'!V:V,Match($A670,'Daily Raw Data'!$B:$B,0)),"")</f>
        <v/>
      </c>
      <c r="N670" t="str">
        <f t="array" ref="N670">IFERROR(INDEX('Daily Raw Data'!W:W,Match($A670,'Daily Raw Data'!$B:$B,0)),"")</f>
        <v/>
      </c>
      <c r="O670" t="str">
        <f t="array" ref="O670">IFERROR(INDEX('Daily Raw Data'!Y:Y,Match($A670,'Daily Raw Data'!$B:$B,0)),"")</f>
        <v/>
      </c>
      <c r="P670" t="str">
        <f t="shared" si="1"/>
        <v/>
      </c>
      <c r="Q670" s="14" t="str">
        <f t="shared" si="2"/>
        <v/>
      </c>
      <c r="R670" s="15" t="str">
        <f>IFERROR(__xludf.DUMMYFUNCTION("IF($A670="""","""", IFERROR(PERCENTRANK.INC(FILTER(P:P,$E:$E&lt;&gt;""""),P670)*100,""""))"),"")</f>
        <v/>
      </c>
      <c r="S670" s="15" t="str">
        <f>IFERROR(__xludf.DUMMYFUNCTION("IF($A670="""","""",IFERROR(PERCENTRANK.INC(FILTER(Q:Q,$E:$E&lt;&gt;""""),Q670)*100,""""))"),"")</f>
        <v/>
      </c>
    </row>
    <row r="671">
      <c r="B671" t="str">
        <f t="array" ref="B671">IFERROR(INDEX('Player Raw Data'!C:C,Match($A671,'Player Raw Data'!$B:$B,0)),"")</f>
        <v/>
      </c>
      <c r="C671" t="str">
        <f t="array" ref="C671">IFERROR(INDEX('Player Raw Data'!D:D,Match($A671,'Player Raw Data'!$B:$B,0)),"")</f>
        <v/>
      </c>
      <c r="D671" t="str">
        <f t="array" ref="D671">IFERROR(IF(A671=A670, INDEX('Player Raw Data'!E:E,Match($A671,'Player Raw Data'!$B:$B,0)+2),INDEX('Player Raw Data'!E:E,Match($A671,'Player Raw Data'!$B:$B,0))),"")</f>
        <v/>
      </c>
      <c r="E671" s="27" t="str">
        <f>IFERROR(__xludf.DUMMYFUNCTION("IFERROR(ARRAY_CONSTRAIN(SPLIT(INDEX('Daily Raw Data'!G:G,Match($A671,'Daily Raw Data'!$B:$B,0)),"":""),1,1),"""")"),"")</f>
        <v/>
      </c>
      <c r="F671" t="str">
        <f t="array" ref="F671">IFERROR(INDEX('Daily Raw Data'!H:H,Match($A671,'Daily Raw Data'!$B:$B,0)),"")</f>
        <v/>
      </c>
      <c r="G671" t="str">
        <f t="array" ref="G671">IFERROR(INDEX('Daily Raw Data'!I:I,Match($A671,'Daily Raw Data'!$B:$B,0)),"")</f>
        <v/>
      </c>
      <c r="H671" t="str">
        <f t="array" ref="H671">IFERROR(INDEX('Daily Raw Data'!N:N,Match($A671,'Daily Raw Data'!$B:$B,0)),"")</f>
        <v/>
      </c>
      <c r="I671" t="str">
        <f t="array" ref="I671">IFERROR(INDEX('Daily Raw Data'!O:O,Match($A671,'Daily Raw Data'!$B:$B,0)),"")</f>
        <v/>
      </c>
      <c r="J671" t="str">
        <f t="array" ref="J671">IFERROR(INDEX('Daily Raw Data'!S:S,Match($A671,'Daily Raw Data'!$B:$B,0)),"")</f>
        <v/>
      </c>
      <c r="K671" t="str">
        <f t="array" ref="K671">IFERROR(INDEX('Daily Raw Data'!T:T,Match($A671,'Daily Raw Data'!$B:$B,0)),"")</f>
        <v/>
      </c>
      <c r="L671" t="str">
        <f t="array" ref="L671">IFERROR(INDEX('Daily Raw Data'!U:U,Match($A671,'Daily Raw Data'!$B:$B,0)),"")</f>
        <v/>
      </c>
      <c r="M671" t="str">
        <f t="array" ref="M671">IFERROR(INDEX('Daily Raw Data'!V:V,Match($A671,'Daily Raw Data'!$B:$B,0)),"")</f>
        <v/>
      </c>
      <c r="N671" t="str">
        <f t="array" ref="N671">IFERROR(INDEX('Daily Raw Data'!W:W,Match($A671,'Daily Raw Data'!$B:$B,0)),"")</f>
        <v/>
      </c>
      <c r="O671" t="str">
        <f t="array" ref="O671">IFERROR(INDEX('Daily Raw Data'!Y:Y,Match($A671,'Daily Raw Data'!$B:$B,0)),"")</f>
        <v/>
      </c>
      <c r="P671" t="str">
        <f t="shared" si="1"/>
        <v/>
      </c>
      <c r="Q671" s="14" t="str">
        <f t="shared" si="2"/>
        <v/>
      </c>
      <c r="R671" s="15" t="str">
        <f>IFERROR(__xludf.DUMMYFUNCTION("IF($A671="""","""", IFERROR(PERCENTRANK.INC(FILTER(P:P,$E:$E&lt;&gt;""""),P671)*100,""""))"),"")</f>
        <v/>
      </c>
      <c r="S671" s="15" t="str">
        <f>IFERROR(__xludf.DUMMYFUNCTION("IF($A671="""","""",IFERROR(PERCENTRANK.INC(FILTER(Q:Q,$E:$E&lt;&gt;""""),Q671)*100,""""))"),"")</f>
        <v/>
      </c>
    </row>
    <row r="672">
      <c r="B672" t="str">
        <f t="array" ref="B672">IFERROR(INDEX('Player Raw Data'!C:C,Match($A672,'Player Raw Data'!$B:$B,0)),"")</f>
        <v/>
      </c>
      <c r="C672" t="str">
        <f t="array" ref="C672">IFERROR(INDEX('Player Raw Data'!D:D,Match($A672,'Player Raw Data'!$B:$B,0)),"")</f>
        <v/>
      </c>
      <c r="D672" t="str">
        <f t="array" ref="D672">IFERROR(IF(A672=A671, INDEX('Player Raw Data'!E:E,Match($A672,'Player Raw Data'!$B:$B,0)+2),INDEX('Player Raw Data'!E:E,Match($A672,'Player Raw Data'!$B:$B,0))),"")</f>
        <v/>
      </c>
      <c r="E672" s="27" t="str">
        <f>IFERROR(__xludf.DUMMYFUNCTION("IFERROR(ARRAY_CONSTRAIN(SPLIT(INDEX('Daily Raw Data'!G:G,Match($A672,'Daily Raw Data'!$B:$B,0)),"":""),1,1),"""")"),"")</f>
        <v/>
      </c>
      <c r="F672" t="str">
        <f t="array" ref="F672">IFERROR(INDEX('Daily Raw Data'!H:H,Match($A672,'Daily Raw Data'!$B:$B,0)),"")</f>
        <v/>
      </c>
      <c r="G672" t="str">
        <f t="array" ref="G672">IFERROR(INDEX('Daily Raw Data'!I:I,Match($A672,'Daily Raw Data'!$B:$B,0)),"")</f>
        <v/>
      </c>
      <c r="H672" t="str">
        <f t="array" ref="H672">IFERROR(INDEX('Daily Raw Data'!N:N,Match($A672,'Daily Raw Data'!$B:$B,0)),"")</f>
        <v/>
      </c>
      <c r="I672" t="str">
        <f t="array" ref="I672">IFERROR(INDEX('Daily Raw Data'!O:O,Match($A672,'Daily Raw Data'!$B:$B,0)),"")</f>
        <v/>
      </c>
      <c r="J672" t="str">
        <f t="array" ref="J672">IFERROR(INDEX('Daily Raw Data'!S:S,Match($A672,'Daily Raw Data'!$B:$B,0)),"")</f>
        <v/>
      </c>
      <c r="K672" t="str">
        <f t="array" ref="K672">IFERROR(INDEX('Daily Raw Data'!T:T,Match($A672,'Daily Raw Data'!$B:$B,0)),"")</f>
        <v/>
      </c>
      <c r="L672" t="str">
        <f t="array" ref="L672">IFERROR(INDEX('Daily Raw Data'!U:U,Match($A672,'Daily Raw Data'!$B:$B,0)),"")</f>
        <v/>
      </c>
      <c r="M672" t="str">
        <f t="array" ref="M672">IFERROR(INDEX('Daily Raw Data'!V:V,Match($A672,'Daily Raw Data'!$B:$B,0)),"")</f>
        <v/>
      </c>
      <c r="N672" t="str">
        <f t="array" ref="N672">IFERROR(INDEX('Daily Raw Data'!W:W,Match($A672,'Daily Raw Data'!$B:$B,0)),"")</f>
        <v/>
      </c>
      <c r="O672" t="str">
        <f t="array" ref="O672">IFERROR(INDEX('Daily Raw Data'!Y:Y,Match($A672,'Daily Raw Data'!$B:$B,0)),"")</f>
        <v/>
      </c>
      <c r="P672" t="str">
        <f t="shared" si="1"/>
        <v/>
      </c>
      <c r="Q672" s="14" t="str">
        <f t="shared" si="2"/>
        <v/>
      </c>
      <c r="R672" s="15" t="str">
        <f>IFERROR(__xludf.DUMMYFUNCTION("IF($A672="""","""", IFERROR(PERCENTRANK.INC(FILTER(P:P,$E:$E&lt;&gt;""""),P672)*100,""""))"),"")</f>
        <v/>
      </c>
      <c r="S672" s="15" t="str">
        <f>IFERROR(__xludf.DUMMYFUNCTION("IF($A672="""","""",IFERROR(PERCENTRANK.INC(FILTER(Q:Q,$E:$E&lt;&gt;""""),Q672)*100,""""))"),"")</f>
        <v/>
      </c>
    </row>
    <row r="673">
      <c r="B673" t="str">
        <f t="array" ref="B673">IFERROR(INDEX('Player Raw Data'!C:C,Match($A673,'Player Raw Data'!$B:$B,0)),"")</f>
        <v/>
      </c>
      <c r="C673" t="str">
        <f t="array" ref="C673">IFERROR(INDEX('Player Raw Data'!D:D,Match($A673,'Player Raw Data'!$B:$B,0)),"")</f>
        <v/>
      </c>
      <c r="D673" t="str">
        <f t="array" ref="D673">IFERROR(IF(A673=A672, INDEX('Player Raw Data'!E:E,Match($A673,'Player Raw Data'!$B:$B,0)+2),INDEX('Player Raw Data'!E:E,Match($A673,'Player Raw Data'!$B:$B,0))),"")</f>
        <v/>
      </c>
      <c r="E673" s="27" t="str">
        <f>IFERROR(__xludf.DUMMYFUNCTION("IFERROR(ARRAY_CONSTRAIN(SPLIT(INDEX('Daily Raw Data'!G:G,Match($A673,'Daily Raw Data'!$B:$B,0)),"":""),1,1),"""")"),"")</f>
        <v/>
      </c>
      <c r="F673" t="str">
        <f t="array" ref="F673">IFERROR(INDEX('Daily Raw Data'!H:H,Match($A673,'Daily Raw Data'!$B:$B,0)),"")</f>
        <v/>
      </c>
      <c r="G673" t="str">
        <f t="array" ref="G673">IFERROR(INDEX('Daily Raw Data'!I:I,Match($A673,'Daily Raw Data'!$B:$B,0)),"")</f>
        <v/>
      </c>
      <c r="H673" t="str">
        <f t="array" ref="H673">IFERROR(INDEX('Daily Raw Data'!N:N,Match($A673,'Daily Raw Data'!$B:$B,0)),"")</f>
        <v/>
      </c>
      <c r="I673" t="str">
        <f t="array" ref="I673">IFERROR(INDEX('Daily Raw Data'!O:O,Match($A673,'Daily Raw Data'!$B:$B,0)),"")</f>
        <v/>
      </c>
      <c r="J673" t="str">
        <f t="array" ref="J673">IFERROR(INDEX('Daily Raw Data'!S:S,Match($A673,'Daily Raw Data'!$B:$B,0)),"")</f>
        <v/>
      </c>
      <c r="K673" t="str">
        <f t="array" ref="K673">IFERROR(INDEX('Daily Raw Data'!T:T,Match($A673,'Daily Raw Data'!$B:$B,0)),"")</f>
        <v/>
      </c>
      <c r="L673" t="str">
        <f t="array" ref="L673">IFERROR(INDEX('Daily Raw Data'!U:U,Match($A673,'Daily Raw Data'!$B:$B,0)),"")</f>
        <v/>
      </c>
      <c r="M673" t="str">
        <f t="array" ref="M673">IFERROR(INDEX('Daily Raw Data'!V:V,Match($A673,'Daily Raw Data'!$B:$B,0)),"")</f>
        <v/>
      </c>
      <c r="N673" t="str">
        <f t="array" ref="N673">IFERROR(INDEX('Daily Raw Data'!W:W,Match($A673,'Daily Raw Data'!$B:$B,0)),"")</f>
        <v/>
      </c>
      <c r="O673" t="str">
        <f t="array" ref="O673">IFERROR(INDEX('Daily Raw Data'!Y:Y,Match($A673,'Daily Raw Data'!$B:$B,0)),"")</f>
        <v/>
      </c>
      <c r="P673" t="str">
        <f t="shared" si="1"/>
        <v/>
      </c>
      <c r="Q673" s="14" t="str">
        <f t="shared" si="2"/>
        <v/>
      </c>
      <c r="R673" s="15" t="str">
        <f>IFERROR(__xludf.DUMMYFUNCTION("IF($A673="""","""", IFERROR(PERCENTRANK.INC(FILTER(P:P,$E:$E&lt;&gt;""""),P673)*100,""""))"),"")</f>
        <v/>
      </c>
      <c r="S673" s="15" t="str">
        <f>IFERROR(__xludf.DUMMYFUNCTION("IF($A673="""","""",IFERROR(PERCENTRANK.INC(FILTER(Q:Q,$E:$E&lt;&gt;""""),Q673)*100,""""))"),"")</f>
        <v/>
      </c>
    </row>
    <row r="674">
      <c r="B674" t="str">
        <f t="array" ref="B674">IFERROR(INDEX('Player Raw Data'!C:C,Match($A674,'Player Raw Data'!$B:$B,0)),"")</f>
        <v/>
      </c>
      <c r="C674" t="str">
        <f t="array" ref="C674">IFERROR(INDEX('Player Raw Data'!D:D,Match($A674,'Player Raw Data'!$B:$B,0)),"")</f>
        <v/>
      </c>
      <c r="D674" t="str">
        <f t="array" ref="D674">IFERROR(IF(A674=A673, INDEX('Player Raw Data'!E:E,Match($A674,'Player Raw Data'!$B:$B,0)+2),INDEX('Player Raw Data'!E:E,Match($A674,'Player Raw Data'!$B:$B,0))),"")</f>
        <v/>
      </c>
      <c r="E674" s="27" t="str">
        <f>IFERROR(__xludf.DUMMYFUNCTION("IFERROR(ARRAY_CONSTRAIN(SPLIT(INDEX('Daily Raw Data'!G:G,Match($A674,'Daily Raw Data'!$B:$B,0)),"":""),1,1),"""")"),"")</f>
        <v/>
      </c>
      <c r="F674" t="str">
        <f t="array" ref="F674">IFERROR(INDEX('Daily Raw Data'!H:H,Match($A674,'Daily Raw Data'!$B:$B,0)),"")</f>
        <v/>
      </c>
      <c r="G674" t="str">
        <f t="array" ref="G674">IFERROR(INDEX('Daily Raw Data'!I:I,Match($A674,'Daily Raw Data'!$B:$B,0)),"")</f>
        <v/>
      </c>
      <c r="H674" t="str">
        <f t="array" ref="H674">IFERROR(INDEX('Daily Raw Data'!N:N,Match($A674,'Daily Raw Data'!$B:$B,0)),"")</f>
        <v/>
      </c>
      <c r="I674" t="str">
        <f t="array" ref="I674">IFERROR(INDEX('Daily Raw Data'!O:O,Match($A674,'Daily Raw Data'!$B:$B,0)),"")</f>
        <v/>
      </c>
      <c r="J674" t="str">
        <f t="array" ref="J674">IFERROR(INDEX('Daily Raw Data'!S:S,Match($A674,'Daily Raw Data'!$B:$B,0)),"")</f>
        <v/>
      </c>
      <c r="K674" t="str">
        <f t="array" ref="K674">IFERROR(INDEX('Daily Raw Data'!T:T,Match($A674,'Daily Raw Data'!$B:$B,0)),"")</f>
        <v/>
      </c>
      <c r="L674" t="str">
        <f t="array" ref="L674">IFERROR(INDEX('Daily Raw Data'!U:U,Match($A674,'Daily Raw Data'!$B:$B,0)),"")</f>
        <v/>
      </c>
      <c r="M674" t="str">
        <f t="array" ref="M674">IFERROR(INDEX('Daily Raw Data'!V:V,Match($A674,'Daily Raw Data'!$B:$B,0)),"")</f>
        <v/>
      </c>
      <c r="N674" t="str">
        <f t="array" ref="N674">IFERROR(INDEX('Daily Raw Data'!W:W,Match($A674,'Daily Raw Data'!$B:$B,0)),"")</f>
        <v/>
      </c>
      <c r="O674" t="str">
        <f t="array" ref="O674">IFERROR(INDEX('Daily Raw Data'!Y:Y,Match($A674,'Daily Raw Data'!$B:$B,0)),"")</f>
        <v/>
      </c>
      <c r="P674" t="str">
        <f t="shared" si="1"/>
        <v/>
      </c>
      <c r="Q674" s="14" t="str">
        <f t="shared" si="2"/>
        <v/>
      </c>
      <c r="R674" s="15" t="str">
        <f>IFERROR(__xludf.DUMMYFUNCTION("IF($A674="""","""", IFERROR(PERCENTRANK.INC(FILTER(P:P,$E:$E&lt;&gt;""""),P674)*100,""""))"),"")</f>
        <v/>
      </c>
      <c r="S674" s="15" t="str">
        <f>IFERROR(__xludf.DUMMYFUNCTION("IF($A674="""","""",IFERROR(PERCENTRANK.INC(FILTER(Q:Q,$E:$E&lt;&gt;""""),Q674)*100,""""))"),"")</f>
        <v/>
      </c>
    </row>
    <row r="675">
      <c r="B675" t="str">
        <f t="array" ref="B675">IFERROR(INDEX('Player Raw Data'!C:C,Match($A675,'Player Raw Data'!$B:$B,0)),"")</f>
        <v/>
      </c>
      <c r="C675" t="str">
        <f t="array" ref="C675">IFERROR(INDEX('Player Raw Data'!D:D,Match($A675,'Player Raw Data'!$B:$B,0)),"")</f>
        <v/>
      </c>
      <c r="D675" t="str">
        <f t="array" ref="D675">IFERROR(IF(A675=A674, INDEX('Player Raw Data'!E:E,Match($A675,'Player Raw Data'!$B:$B,0)+2),INDEX('Player Raw Data'!E:E,Match($A675,'Player Raw Data'!$B:$B,0))),"")</f>
        <v/>
      </c>
      <c r="E675" s="27" t="str">
        <f>IFERROR(__xludf.DUMMYFUNCTION("IFERROR(ARRAY_CONSTRAIN(SPLIT(INDEX('Daily Raw Data'!G:G,Match($A675,'Daily Raw Data'!$B:$B,0)),"":""),1,1),"""")"),"")</f>
        <v/>
      </c>
      <c r="F675" t="str">
        <f t="array" ref="F675">IFERROR(INDEX('Daily Raw Data'!H:H,Match($A675,'Daily Raw Data'!$B:$B,0)),"")</f>
        <v/>
      </c>
      <c r="G675" t="str">
        <f t="array" ref="G675">IFERROR(INDEX('Daily Raw Data'!I:I,Match($A675,'Daily Raw Data'!$B:$B,0)),"")</f>
        <v/>
      </c>
      <c r="H675" t="str">
        <f t="array" ref="H675">IFERROR(INDEX('Daily Raw Data'!N:N,Match($A675,'Daily Raw Data'!$B:$B,0)),"")</f>
        <v/>
      </c>
      <c r="I675" t="str">
        <f t="array" ref="I675">IFERROR(INDEX('Daily Raw Data'!O:O,Match($A675,'Daily Raw Data'!$B:$B,0)),"")</f>
        <v/>
      </c>
      <c r="J675" t="str">
        <f t="array" ref="J675">IFERROR(INDEX('Daily Raw Data'!S:S,Match($A675,'Daily Raw Data'!$B:$B,0)),"")</f>
        <v/>
      </c>
      <c r="K675" t="str">
        <f t="array" ref="K675">IFERROR(INDEX('Daily Raw Data'!T:T,Match($A675,'Daily Raw Data'!$B:$B,0)),"")</f>
        <v/>
      </c>
      <c r="L675" t="str">
        <f t="array" ref="L675">IFERROR(INDEX('Daily Raw Data'!U:U,Match($A675,'Daily Raw Data'!$B:$B,0)),"")</f>
        <v/>
      </c>
      <c r="M675" t="str">
        <f t="array" ref="M675">IFERROR(INDEX('Daily Raw Data'!V:V,Match($A675,'Daily Raw Data'!$B:$B,0)),"")</f>
        <v/>
      </c>
      <c r="N675" t="str">
        <f t="array" ref="N675">IFERROR(INDEX('Daily Raw Data'!W:W,Match($A675,'Daily Raw Data'!$B:$B,0)),"")</f>
        <v/>
      </c>
      <c r="O675" t="str">
        <f t="array" ref="O675">IFERROR(INDEX('Daily Raw Data'!Y:Y,Match($A675,'Daily Raw Data'!$B:$B,0)),"")</f>
        <v/>
      </c>
      <c r="P675" t="str">
        <f t="shared" si="1"/>
        <v/>
      </c>
      <c r="Q675" s="14" t="str">
        <f t="shared" si="2"/>
        <v/>
      </c>
      <c r="R675" s="15" t="str">
        <f>IFERROR(__xludf.DUMMYFUNCTION("IF($A675="""","""", IFERROR(PERCENTRANK.INC(FILTER(P:P,$E:$E&lt;&gt;""""),P675)*100,""""))"),"")</f>
        <v/>
      </c>
      <c r="S675" s="15" t="str">
        <f>IFERROR(__xludf.DUMMYFUNCTION("IF($A675="""","""",IFERROR(PERCENTRANK.INC(FILTER(Q:Q,$E:$E&lt;&gt;""""),Q675)*100,""""))"),"")</f>
        <v/>
      </c>
    </row>
    <row r="676">
      <c r="B676" t="str">
        <f t="array" ref="B676">IFERROR(INDEX('Player Raw Data'!C:C,Match($A676,'Player Raw Data'!$B:$B,0)),"")</f>
        <v/>
      </c>
      <c r="C676" t="str">
        <f t="array" ref="C676">IFERROR(INDEX('Player Raw Data'!D:D,Match($A676,'Player Raw Data'!$B:$B,0)),"")</f>
        <v/>
      </c>
      <c r="D676" t="str">
        <f t="array" ref="D676">IFERROR(IF(A676=A675, INDEX('Player Raw Data'!E:E,Match($A676,'Player Raw Data'!$B:$B,0)+2),INDEX('Player Raw Data'!E:E,Match($A676,'Player Raw Data'!$B:$B,0))),"")</f>
        <v/>
      </c>
      <c r="E676" s="27" t="str">
        <f>IFERROR(__xludf.DUMMYFUNCTION("IFERROR(ARRAY_CONSTRAIN(SPLIT(INDEX('Daily Raw Data'!G:G,Match($A676,'Daily Raw Data'!$B:$B,0)),"":""),1,1),"""")"),"")</f>
        <v/>
      </c>
      <c r="F676" t="str">
        <f t="array" ref="F676">IFERROR(INDEX('Daily Raw Data'!H:H,Match($A676,'Daily Raw Data'!$B:$B,0)),"")</f>
        <v/>
      </c>
      <c r="G676" t="str">
        <f t="array" ref="G676">IFERROR(INDEX('Daily Raw Data'!I:I,Match($A676,'Daily Raw Data'!$B:$B,0)),"")</f>
        <v/>
      </c>
      <c r="H676" t="str">
        <f t="array" ref="H676">IFERROR(INDEX('Daily Raw Data'!N:N,Match($A676,'Daily Raw Data'!$B:$B,0)),"")</f>
        <v/>
      </c>
      <c r="I676" t="str">
        <f t="array" ref="I676">IFERROR(INDEX('Daily Raw Data'!O:O,Match($A676,'Daily Raw Data'!$B:$B,0)),"")</f>
        <v/>
      </c>
      <c r="J676" t="str">
        <f t="array" ref="J676">IFERROR(INDEX('Daily Raw Data'!S:S,Match($A676,'Daily Raw Data'!$B:$B,0)),"")</f>
        <v/>
      </c>
      <c r="K676" t="str">
        <f t="array" ref="K676">IFERROR(INDEX('Daily Raw Data'!T:T,Match($A676,'Daily Raw Data'!$B:$B,0)),"")</f>
        <v/>
      </c>
      <c r="L676" t="str">
        <f t="array" ref="L676">IFERROR(INDEX('Daily Raw Data'!U:U,Match($A676,'Daily Raw Data'!$B:$B,0)),"")</f>
        <v/>
      </c>
      <c r="M676" t="str">
        <f t="array" ref="M676">IFERROR(INDEX('Daily Raw Data'!V:V,Match($A676,'Daily Raw Data'!$B:$B,0)),"")</f>
        <v/>
      </c>
      <c r="N676" t="str">
        <f t="array" ref="N676">IFERROR(INDEX('Daily Raw Data'!W:W,Match($A676,'Daily Raw Data'!$B:$B,0)),"")</f>
        <v/>
      </c>
      <c r="O676" t="str">
        <f t="array" ref="O676">IFERROR(INDEX('Daily Raw Data'!Y:Y,Match($A676,'Daily Raw Data'!$B:$B,0)),"")</f>
        <v/>
      </c>
      <c r="P676" t="str">
        <f t="shared" si="1"/>
        <v/>
      </c>
      <c r="Q676" s="14" t="str">
        <f t="shared" si="2"/>
        <v/>
      </c>
      <c r="R676" s="15" t="str">
        <f>IFERROR(__xludf.DUMMYFUNCTION("IF($A676="""","""", IFERROR(PERCENTRANK.INC(FILTER(P:P,$E:$E&lt;&gt;""""),P676)*100,""""))"),"")</f>
        <v/>
      </c>
      <c r="S676" s="15" t="str">
        <f>IFERROR(__xludf.DUMMYFUNCTION("IF($A676="""","""",IFERROR(PERCENTRANK.INC(FILTER(Q:Q,$E:$E&lt;&gt;""""),Q676)*100,""""))"),"")</f>
        <v/>
      </c>
    </row>
    <row r="677">
      <c r="B677" t="str">
        <f t="array" ref="B677">IFERROR(INDEX('Player Raw Data'!C:C,Match($A677,'Player Raw Data'!$B:$B,0)),"")</f>
        <v/>
      </c>
      <c r="C677" t="str">
        <f t="array" ref="C677">IFERROR(INDEX('Player Raw Data'!D:D,Match($A677,'Player Raw Data'!$B:$B,0)),"")</f>
        <v/>
      </c>
      <c r="D677" t="str">
        <f t="array" ref="D677">IFERROR(IF(A677=A676, INDEX('Player Raw Data'!E:E,Match($A677,'Player Raw Data'!$B:$B,0)+2),INDEX('Player Raw Data'!E:E,Match($A677,'Player Raw Data'!$B:$B,0))),"")</f>
        <v/>
      </c>
      <c r="E677" s="27" t="str">
        <f>IFERROR(__xludf.DUMMYFUNCTION("IFERROR(ARRAY_CONSTRAIN(SPLIT(INDEX('Daily Raw Data'!G:G,Match($A677,'Daily Raw Data'!$B:$B,0)),"":""),1,1),"""")"),"")</f>
        <v/>
      </c>
      <c r="F677" t="str">
        <f t="array" ref="F677">IFERROR(INDEX('Daily Raw Data'!H:H,Match($A677,'Daily Raw Data'!$B:$B,0)),"")</f>
        <v/>
      </c>
      <c r="G677" t="str">
        <f t="array" ref="G677">IFERROR(INDEX('Daily Raw Data'!I:I,Match($A677,'Daily Raw Data'!$B:$B,0)),"")</f>
        <v/>
      </c>
      <c r="H677" t="str">
        <f t="array" ref="H677">IFERROR(INDEX('Daily Raw Data'!N:N,Match($A677,'Daily Raw Data'!$B:$B,0)),"")</f>
        <v/>
      </c>
      <c r="I677" t="str">
        <f t="array" ref="I677">IFERROR(INDEX('Daily Raw Data'!O:O,Match($A677,'Daily Raw Data'!$B:$B,0)),"")</f>
        <v/>
      </c>
      <c r="J677" t="str">
        <f t="array" ref="J677">IFERROR(INDEX('Daily Raw Data'!S:S,Match($A677,'Daily Raw Data'!$B:$B,0)),"")</f>
        <v/>
      </c>
      <c r="K677" t="str">
        <f t="array" ref="K677">IFERROR(INDEX('Daily Raw Data'!T:T,Match($A677,'Daily Raw Data'!$B:$B,0)),"")</f>
        <v/>
      </c>
      <c r="L677" t="str">
        <f t="array" ref="L677">IFERROR(INDEX('Daily Raw Data'!U:U,Match($A677,'Daily Raw Data'!$B:$B,0)),"")</f>
        <v/>
      </c>
      <c r="M677" t="str">
        <f t="array" ref="M677">IFERROR(INDEX('Daily Raw Data'!V:V,Match($A677,'Daily Raw Data'!$B:$B,0)),"")</f>
        <v/>
      </c>
      <c r="N677" t="str">
        <f t="array" ref="N677">IFERROR(INDEX('Daily Raw Data'!W:W,Match($A677,'Daily Raw Data'!$B:$B,0)),"")</f>
        <v/>
      </c>
      <c r="O677" t="str">
        <f t="array" ref="O677">IFERROR(INDEX('Daily Raw Data'!Y:Y,Match($A677,'Daily Raw Data'!$B:$B,0)),"")</f>
        <v/>
      </c>
      <c r="P677" t="str">
        <f t="shared" si="1"/>
        <v/>
      </c>
      <c r="Q677" s="14" t="str">
        <f t="shared" si="2"/>
        <v/>
      </c>
      <c r="R677" s="15" t="str">
        <f>IFERROR(__xludf.DUMMYFUNCTION("IF($A677="""","""", IFERROR(PERCENTRANK.INC(FILTER(P:P,$E:$E&lt;&gt;""""),P677)*100,""""))"),"")</f>
        <v/>
      </c>
      <c r="S677" s="15" t="str">
        <f>IFERROR(__xludf.DUMMYFUNCTION("IF($A677="""","""",IFERROR(PERCENTRANK.INC(FILTER(Q:Q,$E:$E&lt;&gt;""""),Q677)*100,""""))"),"")</f>
        <v/>
      </c>
    </row>
    <row r="678">
      <c r="B678" t="str">
        <f t="array" ref="B678">IFERROR(INDEX('Player Raw Data'!C:C,Match($A678,'Player Raw Data'!$B:$B,0)),"")</f>
        <v/>
      </c>
      <c r="C678" t="str">
        <f t="array" ref="C678">IFERROR(INDEX('Player Raw Data'!D:D,Match($A678,'Player Raw Data'!$B:$B,0)),"")</f>
        <v/>
      </c>
      <c r="D678" t="str">
        <f t="array" ref="D678">IFERROR(IF(A678=A677, INDEX('Player Raw Data'!E:E,Match($A678,'Player Raw Data'!$B:$B,0)+2),INDEX('Player Raw Data'!E:E,Match($A678,'Player Raw Data'!$B:$B,0))),"")</f>
        <v/>
      </c>
      <c r="E678" s="27" t="str">
        <f>IFERROR(__xludf.DUMMYFUNCTION("IFERROR(ARRAY_CONSTRAIN(SPLIT(INDEX('Daily Raw Data'!G:G,Match($A678,'Daily Raw Data'!$B:$B,0)),"":""),1,1),"""")"),"")</f>
        <v/>
      </c>
      <c r="F678" t="str">
        <f t="array" ref="F678">IFERROR(INDEX('Daily Raw Data'!H:H,Match($A678,'Daily Raw Data'!$B:$B,0)),"")</f>
        <v/>
      </c>
      <c r="G678" t="str">
        <f t="array" ref="G678">IFERROR(INDEX('Daily Raw Data'!I:I,Match($A678,'Daily Raw Data'!$B:$B,0)),"")</f>
        <v/>
      </c>
      <c r="H678" t="str">
        <f t="array" ref="H678">IFERROR(INDEX('Daily Raw Data'!N:N,Match($A678,'Daily Raw Data'!$B:$B,0)),"")</f>
        <v/>
      </c>
      <c r="I678" t="str">
        <f t="array" ref="I678">IFERROR(INDEX('Daily Raw Data'!O:O,Match($A678,'Daily Raw Data'!$B:$B,0)),"")</f>
        <v/>
      </c>
      <c r="J678" t="str">
        <f t="array" ref="J678">IFERROR(INDEX('Daily Raw Data'!S:S,Match($A678,'Daily Raw Data'!$B:$B,0)),"")</f>
        <v/>
      </c>
      <c r="K678" t="str">
        <f t="array" ref="K678">IFERROR(INDEX('Daily Raw Data'!T:T,Match($A678,'Daily Raw Data'!$B:$B,0)),"")</f>
        <v/>
      </c>
      <c r="L678" t="str">
        <f t="array" ref="L678">IFERROR(INDEX('Daily Raw Data'!U:U,Match($A678,'Daily Raw Data'!$B:$B,0)),"")</f>
        <v/>
      </c>
      <c r="M678" t="str">
        <f t="array" ref="M678">IFERROR(INDEX('Daily Raw Data'!V:V,Match($A678,'Daily Raw Data'!$B:$B,0)),"")</f>
        <v/>
      </c>
      <c r="N678" t="str">
        <f t="array" ref="N678">IFERROR(INDEX('Daily Raw Data'!W:W,Match($A678,'Daily Raw Data'!$B:$B,0)),"")</f>
        <v/>
      </c>
      <c r="O678" t="str">
        <f t="array" ref="O678">IFERROR(INDEX('Daily Raw Data'!Y:Y,Match($A678,'Daily Raw Data'!$B:$B,0)),"")</f>
        <v/>
      </c>
      <c r="P678" t="str">
        <f t="shared" si="1"/>
        <v/>
      </c>
      <c r="Q678" s="14" t="str">
        <f t="shared" si="2"/>
        <v/>
      </c>
      <c r="R678" s="15" t="str">
        <f>IFERROR(__xludf.DUMMYFUNCTION("IF($A678="""","""", IFERROR(PERCENTRANK.INC(FILTER(P:P,$E:$E&lt;&gt;""""),P678)*100,""""))"),"")</f>
        <v/>
      </c>
      <c r="S678" s="15" t="str">
        <f>IFERROR(__xludf.DUMMYFUNCTION("IF($A678="""","""",IFERROR(PERCENTRANK.INC(FILTER(Q:Q,$E:$E&lt;&gt;""""),Q678)*100,""""))"),"")</f>
        <v/>
      </c>
    </row>
    <row r="679">
      <c r="B679" t="str">
        <f t="array" ref="B679">IFERROR(INDEX('Player Raw Data'!C:C,Match($A679,'Player Raw Data'!$B:$B,0)),"")</f>
        <v/>
      </c>
      <c r="C679" t="str">
        <f t="array" ref="C679">IFERROR(INDEX('Player Raw Data'!D:D,Match($A679,'Player Raw Data'!$B:$B,0)),"")</f>
        <v/>
      </c>
      <c r="D679" t="str">
        <f t="array" ref="D679">IFERROR(IF(A679=A678, INDEX('Player Raw Data'!E:E,Match($A679,'Player Raw Data'!$B:$B,0)+2),INDEX('Player Raw Data'!E:E,Match($A679,'Player Raw Data'!$B:$B,0))),"")</f>
        <v/>
      </c>
      <c r="E679" s="27" t="str">
        <f>IFERROR(__xludf.DUMMYFUNCTION("IFERROR(ARRAY_CONSTRAIN(SPLIT(INDEX('Daily Raw Data'!G:G,Match($A679,'Daily Raw Data'!$B:$B,0)),"":""),1,1),"""")"),"")</f>
        <v/>
      </c>
      <c r="F679" t="str">
        <f t="array" ref="F679">IFERROR(INDEX('Daily Raw Data'!H:H,Match($A679,'Daily Raw Data'!$B:$B,0)),"")</f>
        <v/>
      </c>
      <c r="G679" t="str">
        <f t="array" ref="G679">IFERROR(INDEX('Daily Raw Data'!I:I,Match($A679,'Daily Raw Data'!$B:$B,0)),"")</f>
        <v/>
      </c>
      <c r="H679" t="str">
        <f t="array" ref="H679">IFERROR(INDEX('Daily Raw Data'!N:N,Match($A679,'Daily Raw Data'!$B:$B,0)),"")</f>
        <v/>
      </c>
      <c r="I679" t="str">
        <f t="array" ref="I679">IFERROR(INDEX('Daily Raw Data'!O:O,Match($A679,'Daily Raw Data'!$B:$B,0)),"")</f>
        <v/>
      </c>
      <c r="J679" t="str">
        <f t="array" ref="J679">IFERROR(INDEX('Daily Raw Data'!S:S,Match($A679,'Daily Raw Data'!$B:$B,0)),"")</f>
        <v/>
      </c>
      <c r="K679" t="str">
        <f t="array" ref="K679">IFERROR(INDEX('Daily Raw Data'!T:T,Match($A679,'Daily Raw Data'!$B:$B,0)),"")</f>
        <v/>
      </c>
      <c r="L679" t="str">
        <f t="array" ref="L679">IFERROR(INDEX('Daily Raw Data'!U:U,Match($A679,'Daily Raw Data'!$B:$B,0)),"")</f>
        <v/>
      </c>
      <c r="M679" t="str">
        <f t="array" ref="M679">IFERROR(INDEX('Daily Raw Data'!V:V,Match($A679,'Daily Raw Data'!$B:$B,0)),"")</f>
        <v/>
      </c>
      <c r="N679" t="str">
        <f t="array" ref="N679">IFERROR(INDEX('Daily Raw Data'!W:W,Match($A679,'Daily Raw Data'!$B:$B,0)),"")</f>
        <v/>
      </c>
      <c r="O679" t="str">
        <f t="array" ref="O679">IFERROR(INDEX('Daily Raw Data'!Y:Y,Match($A679,'Daily Raw Data'!$B:$B,0)),"")</f>
        <v/>
      </c>
      <c r="P679" t="str">
        <f t="shared" si="1"/>
        <v/>
      </c>
      <c r="Q679" s="14" t="str">
        <f t="shared" si="2"/>
        <v/>
      </c>
      <c r="R679" s="15" t="str">
        <f>IFERROR(__xludf.DUMMYFUNCTION("IF($A679="""","""", IFERROR(PERCENTRANK.INC(FILTER(P:P,$E:$E&lt;&gt;""""),P679)*100,""""))"),"")</f>
        <v/>
      </c>
      <c r="S679" s="15" t="str">
        <f>IFERROR(__xludf.DUMMYFUNCTION("IF($A679="""","""",IFERROR(PERCENTRANK.INC(FILTER(Q:Q,$E:$E&lt;&gt;""""),Q679)*100,""""))"),"")</f>
        <v/>
      </c>
    </row>
    <row r="680">
      <c r="B680" t="str">
        <f t="array" ref="B680">IFERROR(INDEX('Player Raw Data'!C:C,Match($A680,'Player Raw Data'!$B:$B,0)),"")</f>
        <v/>
      </c>
      <c r="C680" t="str">
        <f t="array" ref="C680">IFERROR(INDEX('Player Raw Data'!D:D,Match($A680,'Player Raw Data'!$B:$B,0)),"")</f>
        <v/>
      </c>
      <c r="D680" t="str">
        <f t="array" ref="D680">IFERROR(IF(A680=A679, INDEX('Player Raw Data'!E:E,Match($A680,'Player Raw Data'!$B:$B,0)+2),INDEX('Player Raw Data'!E:E,Match($A680,'Player Raw Data'!$B:$B,0))),"")</f>
        <v/>
      </c>
      <c r="E680" s="27" t="str">
        <f>IFERROR(__xludf.DUMMYFUNCTION("IFERROR(ARRAY_CONSTRAIN(SPLIT(INDEX('Daily Raw Data'!G:G,Match($A680,'Daily Raw Data'!$B:$B,0)),"":""),1,1),"""")"),"")</f>
        <v/>
      </c>
      <c r="F680" t="str">
        <f t="array" ref="F680">IFERROR(INDEX('Daily Raw Data'!H:H,Match($A680,'Daily Raw Data'!$B:$B,0)),"")</f>
        <v/>
      </c>
      <c r="G680" t="str">
        <f t="array" ref="G680">IFERROR(INDEX('Daily Raw Data'!I:I,Match($A680,'Daily Raw Data'!$B:$B,0)),"")</f>
        <v/>
      </c>
      <c r="H680" t="str">
        <f t="array" ref="H680">IFERROR(INDEX('Daily Raw Data'!N:N,Match($A680,'Daily Raw Data'!$B:$B,0)),"")</f>
        <v/>
      </c>
      <c r="I680" t="str">
        <f t="array" ref="I680">IFERROR(INDEX('Daily Raw Data'!O:O,Match($A680,'Daily Raw Data'!$B:$B,0)),"")</f>
        <v/>
      </c>
      <c r="J680" t="str">
        <f t="array" ref="J680">IFERROR(INDEX('Daily Raw Data'!S:S,Match($A680,'Daily Raw Data'!$B:$B,0)),"")</f>
        <v/>
      </c>
      <c r="K680" t="str">
        <f t="array" ref="K680">IFERROR(INDEX('Daily Raw Data'!T:T,Match($A680,'Daily Raw Data'!$B:$B,0)),"")</f>
        <v/>
      </c>
      <c r="L680" t="str">
        <f t="array" ref="L680">IFERROR(INDEX('Daily Raw Data'!U:U,Match($A680,'Daily Raw Data'!$B:$B,0)),"")</f>
        <v/>
      </c>
      <c r="M680" t="str">
        <f t="array" ref="M680">IFERROR(INDEX('Daily Raw Data'!V:V,Match($A680,'Daily Raw Data'!$B:$B,0)),"")</f>
        <v/>
      </c>
      <c r="N680" t="str">
        <f t="array" ref="N680">IFERROR(INDEX('Daily Raw Data'!W:W,Match($A680,'Daily Raw Data'!$B:$B,0)),"")</f>
        <v/>
      </c>
      <c r="O680" t="str">
        <f t="array" ref="O680">IFERROR(INDEX('Daily Raw Data'!Y:Y,Match($A680,'Daily Raw Data'!$B:$B,0)),"")</f>
        <v/>
      </c>
      <c r="P680" t="str">
        <f t="shared" si="1"/>
        <v/>
      </c>
      <c r="Q680" s="14" t="str">
        <f t="shared" si="2"/>
        <v/>
      </c>
      <c r="R680" s="15" t="str">
        <f>IFERROR(__xludf.DUMMYFUNCTION("IF($A680="""","""", IFERROR(PERCENTRANK.INC(FILTER(P:P,$E:$E&lt;&gt;""""),P680)*100,""""))"),"")</f>
        <v/>
      </c>
      <c r="S680" s="15" t="str">
        <f>IFERROR(__xludf.DUMMYFUNCTION("IF($A680="""","""",IFERROR(PERCENTRANK.INC(FILTER(Q:Q,$E:$E&lt;&gt;""""),Q680)*100,""""))"),"")</f>
        <v/>
      </c>
    </row>
    <row r="681">
      <c r="B681" t="str">
        <f t="array" ref="B681">IFERROR(INDEX('Player Raw Data'!C:C,Match($A681,'Player Raw Data'!$B:$B,0)),"")</f>
        <v/>
      </c>
      <c r="C681" t="str">
        <f t="array" ref="C681">IFERROR(INDEX('Player Raw Data'!D:D,Match($A681,'Player Raw Data'!$B:$B,0)),"")</f>
        <v/>
      </c>
      <c r="D681" t="str">
        <f t="array" ref="D681">IFERROR(IF(A681=A680, INDEX('Player Raw Data'!E:E,Match($A681,'Player Raw Data'!$B:$B,0)+2),INDEX('Player Raw Data'!E:E,Match($A681,'Player Raw Data'!$B:$B,0))),"")</f>
        <v/>
      </c>
      <c r="E681" s="27" t="str">
        <f>IFERROR(__xludf.DUMMYFUNCTION("IFERROR(ARRAY_CONSTRAIN(SPLIT(INDEX('Daily Raw Data'!G:G,Match($A681,'Daily Raw Data'!$B:$B,0)),"":""),1,1),"""")"),"")</f>
        <v/>
      </c>
      <c r="F681" t="str">
        <f t="array" ref="F681">IFERROR(INDEX('Daily Raw Data'!H:H,Match($A681,'Daily Raw Data'!$B:$B,0)),"")</f>
        <v/>
      </c>
      <c r="G681" t="str">
        <f t="array" ref="G681">IFERROR(INDEX('Daily Raw Data'!I:I,Match($A681,'Daily Raw Data'!$B:$B,0)),"")</f>
        <v/>
      </c>
      <c r="H681" t="str">
        <f t="array" ref="H681">IFERROR(INDEX('Daily Raw Data'!N:N,Match($A681,'Daily Raw Data'!$B:$B,0)),"")</f>
        <v/>
      </c>
      <c r="I681" t="str">
        <f t="array" ref="I681">IFERROR(INDEX('Daily Raw Data'!O:O,Match($A681,'Daily Raw Data'!$B:$B,0)),"")</f>
        <v/>
      </c>
      <c r="J681" t="str">
        <f t="array" ref="J681">IFERROR(INDEX('Daily Raw Data'!S:S,Match($A681,'Daily Raw Data'!$B:$B,0)),"")</f>
        <v/>
      </c>
      <c r="K681" t="str">
        <f t="array" ref="K681">IFERROR(INDEX('Daily Raw Data'!T:T,Match($A681,'Daily Raw Data'!$B:$B,0)),"")</f>
        <v/>
      </c>
      <c r="L681" t="str">
        <f t="array" ref="L681">IFERROR(INDEX('Daily Raw Data'!U:U,Match($A681,'Daily Raw Data'!$B:$B,0)),"")</f>
        <v/>
      </c>
      <c r="M681" t="str">
        <f t="array" ref="M681">IFERROR(INDEX('Daily Raw Data'!V:V,Match($A681,'Daily Raw Data'!$B:$B,0)),"")</f>
        <v/>
      </c>
      <c r="N681" t="str">
        <f t="array" ref="N681">IFERROR(INDEX('Daily Raw Data'!W:W,Match($A681,'Daily Raw Data'!$B:$B,0)),"")</f>
        <v/>
      </c>
      <c r="O681" t="str">
        <f t="array" ref="O681">IFERROR(INDEX('Daily Raw Data'!Y:Y,Match($A681,'Daily Raw Data'!$B:$B,0)),"")</f>
        <v/>
      </c>
      <c r="P681" t="str">
        <f t="shared" si="1"/>
        <v/>
      </c>
      <c r="Q681" s="14" t="str">
        <f t="shared" si="2"/>
        <v/>
      </c>
      <c r="R681" s="15" t="str">
        <f>IFERROR(__xludf.DUMMYFUNCTION("IF($A681="""","""", IFERROR(PERCENTRANK.INC(FILTER(P:P,$E:$E&lt;&gt;""""),P681)*100,""""))"),"")</f>
        <v/>
      </c>
      <c r="S681" s="15" t="str">
        <f>IFERROR(__xludf.DUMMYFUNCTION("IF($A681="""","""",IFERROR(PERCENTRANK.INC(FILTER(Q:Q,$E:$E&lt;&gt;""""),Q681)*100,""""))"),"")</f>
        <v/>
      </c>
    </row>
    <row r="682">
      <c r="B682" t="str">
        <f t="array" ref="B682">IFERROR(INDEX('Player Raw Data'!C:C,Match($A682,'Player Raw Data'!$B:$B,0)),"")</f>
        <v/>
      </c>
      <c r="C682" t="str">
        <f t="array" ref="C682">IFERROR(INDEX('Player Raw Data'!D:D,Match($A682,'Player Raw Data'!$B:$B,0)),"")</f>
        <v/>
      </c>
      <c r="D682" t="str">
        <f t="array" ref="D682">IFERROR(IF(A682=A681, INDEX('Player Raw Data'!E:E,Match($A682,'Player Raw Data'!$B:$B,0)+2),INDEX('Player Raw Data'!E:E,Match($A682,'Player Raw Data'!$B:$B,0))),"")</f>
        <v/>
      </c>
      <c r="E682" s="27" t="str">
        <f>IFERROR(__xludf.DUMMYFUNCTION("IFERROR(ARRAY_CONSTRAIN(SPLIT(INDEX('Daily Raw Data'!G:G,Match($A682,'Daily Raw Data'!$B:$B,0)),"":""),1,1),"""")"),"")</f>
        <v/>
      </c>
      <c r="F682" t="str">
        <f t="array" ref="F682">IFERROR(INDEX('Daily Raw Data'!H:H,Match($A682,'Daily Raw Data'!$B:$B,0)),"")</f>
        <v/>
      </c>
      <c r="G682" t="str">
        <f t="array" ref="G682">IFERROR(INDEX('Daily Raw Data'!I:I,Match($A682,'Daily Raw Data'!$B:$B,0)),"")</f>
        <v/>
      </c>
      <c r="H682" t="str">
        <f t="array" ref="H682">IFERROR(INDEX('Daily Raw Data'!N:N,Match($A682,'Daily Raw Data'!$B:$B,0)),"")</f>
        <v/>
      </c>
      <c r="I682" t="str">
        <f t="array" ref="I682">IFERROR(INDEX('Daily Raw Data'!O:O,Match($A682,'Daily Raw Data'!$B:$B,0)),"")</f>
        <v/>
      </c>
      <c r="J682" t="str">
        <f t="array" ref="J682">IFERROR(INDEX('Daily Raw Data'!S:S,Match($A682,'Daily Raw Data'!$B:$B,0)),"")</f>
        <v/>
      </c>
      <c r="K682" t="str">
        <f t="array" ref="K682">IFERROR(INDEX('Daily Raw Data'!T:T,Match($A682,'Daily Raw Data'!$B:$B,0)),"")</f>
        <v/>
      </c>
      <c r="L682" t="str">
        <f t="array" ref="L682">IFERROR(INDEX('Daily Raw Data'!U:U,Match($A682,'Daily Raw Data'!$B:$B,0)),"")</f>
        <v/>
      </c>
      <c r="M682" t="str">
        <f t="array" ref="M682">IFERROR(INDEX('Daily Raw Data'!V:V,Match($A682,'Daily Raw Data'!$B:$B,0)),"")</f>
        <v/>
      </c>
      <c r="N682" t="str">
        <f t="array" ref="N682">IFERROR(INDEX('Daily Raw Data'!W:W,Match($A682,'Daily Raw Data'!$B:$B,0)),"")</f>
        <v/>
      </c>
      <c r="O682" t="str">
        <f t="array" ref="O682">IFERROR(INDEX('Daily Raw Data'!Y:Y,Match($A682,'Daily Raw Data'!$B:$B,0)),"")</f>
        <v/>
      </c>
      <c r="P682" t="str">
        <f t="shared" si="1"/>
        <v/>
      </c>
      <c r="Q682" s="14" t="str">
        <f t="shared" si="2"/>
        <v/>
      </c>
      <c r="R682" s="15" t="str">
        <f>IFERROR(__xludf.DUMMYFUNCTION("IF($A682="""","""", IFERROR(PERCENTRANK.INC(FILTER(P:P,$E:$E&lt;&gt;""""),P682)*100,""""))"),"")</f>
        <v/>
      </c>
      <c r="S682" s="15" t="str">
        <f>IFERROR(__xludf.DUMMYFUNCTION("IF($A682="""","""",IFERROR(PERCENTRANK.INC(FILTER(Q:Q,$E:$E&lt;&gt;""""),Q682)*100,""""))"),"")</f>
        <v/>
      </c>
    </row>
    <row r="683">
      <c r="B683" t="str">
        <f t="array" ref="B683">IFERROR(INDEX('Player Raw Data'!C:C,Match($A683,'Player Raw Data'!$B:$B,0)),"")</f>
        <v/>
      </c>
      <c r="C683" t="str">
        <f t="array" ref="C683">IFERROR(INDEX('Player Raw Data'!D:D,Match($A683,'Player Raw Data'!$B:$B,0)),"")</f>
        <v/>
      </c>
      <c r="D683" t="str">
        <f t="array" ref="D683">IFERROR(IF(A683=A682, INDEX('Player Raw Data'!E:E,Match($A683,'Player Raw Data'!$B:$B,0)+2),INDEX('Player Raw Data'!E:E,Match($A683,'Player Raw Data'!$B:$B,0))),"")</f>
        <v/>
      </c>
      <c r="E683" s="27" t="str">
        <f>IFERROR(__xludf.DUMMYFUNCTION("IFERROR(ARRAY_CONSTRAIN(SPLIT(INDEX('Daily Raw Data'!G:G,Match($A683,'Daily Raw Data'!$B:$B,0)),"":""),1,1),"""")"),"")</f>
        <v/>
      </c>
      <c r="F683" t="str">
        <f t="array" ref="F683">IFERROR(INDEX('Daily Raw Data'!H:H,Match($A683,'Daily Raw Data'!$B:$B,0)),"")</f>
        <v/>
      </c>
      <c r="G683" t="str">
        <f t="array" ref="G683">IFERROR(INDEX('Daily Raw Data'!I:I,Match($A683,'Daily Raw Data'!$B:$B,0)),"")</f>
        <v/>
      </c>
      <c r="H683" t="str">
        <f t="array" ref="H683">IFERROR(INDEX('Daily Raw Data'!N:N,Match($A683,'Daily Raw Data'!$B:$B,0)),"")</f>
        <v/>
      </c>
      <c r="I683" t="str">
        <f t="array" ref="I683">IFERROR(INDEX('Daily Raw Data'!O:O,Match($A683,'Daily Raw Data'!$B:$B,0)),"")</f>
        <v/>
      </c>
      <c r="J683" t="str">
        <f t="array" ref="J683">IFERROR(INDEX('Daily Raw Data'!S:S,Match($A683,'Daily Raw Data'!$B:$B,0)),"")</f>
        <v/>
      </c>
      <c r="K683" t="str">
        <f t="array" ref="K683">IFERROR(INDEX('Daily Raw Data'!T:T,Match($A683,'Daily Raw Data'!$B:$B,0)),"")</f>
        <v/>
      </c>
      <c r="L683" t="str">
        <f t="array" ref="L683">IFERROR(INDEX('Daily Raw Data'!U:U,Match($A683,'Daily Raw Data'!$B:$B,0)),"")</f>
        <v/>
      </c>
      <c r="M683" t="str">
        <f t="array" ref="M683">IFERROR(INDEX('Daily Raw Data'!V:V,Match($A683,'Daily Raw Data'!$B:$B,0)),"")</f>
        <v/>
      </c>
      <c r="N683" t="str">
        <f t="array" ref="N683">IFERROR(INDEX('Daily Raw Data'!W:W,Match($A683,'Daily Raw Data'!$B:$B,0)),"")</f>
        <v/>
      </c>
      <c r="O683" t="str">
        <f t="array" ref="O683">IFERROR(INDEX('Daily Raw Data'!Y:Y,Match($A683,'Daily Raw Data'!$B:$B,0)),"")</f>
        <v/>
      </c>
      <c r="P683" t="str">
        <f t="shared" si="1"/>
        <v/>
      </c>
      <c r="Q683" s="14" t="str">
        <f t="shared" si="2"/>
        <v/>
      </c>
      <c r="R683" s="15" t="str">
        <f>IFERROR(__xludf.DUMMYFUNCTION("IF($A683="""","""", IFERROR(PERCENTRANK.INC(FILTER(P:P,$E:$E&lt;&gt;""""),P683)*100,""""))"),"")</f>
        <v/>
      </c>
      <c r="S683" s="15" t="str">
        <f>IFERROR(__xludf.DUMMYFUNCTION("IF($A683="""","""",IFERROR(PERCENTRANK.INC(FILTER(Q:Q,$E:$E&lt;&gt;""""),Q683)*100,""""))"),"")</f>
        <v/>
      </c>
    </row>
    <row r="684">
      <c r="B684" t="str">
        <f t="array" ref="B684">IFERROR(INDEX('Player Raw Data'!C:C,Match($A684,'Player Raw Data'!$B:$B,0)),"")</f>
        <v/>
      </c>
      <c r="C684" t="str">
        <f t="array" ref="C684">IFERROR(INDEX('Player Raw Data'!D:D,Match($A684,'Player Raw Data'!$B:$B,0)),"")</f>
        <v/>
      </c>
      <c r="D684" t="str">
        <f t="array" ref="D684">IFERROR(IF(A684=A683, INDEX('Player Raw Data'!E:E,Match($A684,'Player Raw Data'!$B:$B,0)+2),INDEX('Player Raw Data'!E:E,Match($A684,'Player Raw Data'!$B:$B,0))),"")</f>
        <v/>
      </c>
      <c r="E684" s="27" t="str">
        <f>IFERROR(__xludf.DUMMYFUNCTION("IFERROR(ARRAY_CONSTRAIN(SPLIT(INDEX('Daily Raw Data'!G:G,Match($A684,'Daily Raw Data'!$B:$B,0)),"":""),1,1),"""")"),"")</f>
        <v/>
      </c>
      <c r="F684" t="str">
        <f t="array" ref="F684">IFERROR(INDEX('Daily Raw Data'!H:H,Match($A684,'Daily Raw Data'!$B:$B,0)),"")</f>
        <v/>
      </c>
      <c r="G684" t="str">
        <f t="array" ref="G684">IFERROR(INDEX('Daily Raw Data'!I:I,Match($A684,'Daily Raw Data'!$B:$B,0)),"")</f>
        <v/>
      </c>
      <c r="H684" t="str">
        <f t="array" ref="H684">IFERROR(INDEX('Daily Raw Data'!N:N,Match($A684,'Daily Raw Data'!$B:$B,0)),"")</f>
        <v/>
      </c>
      <c r="I684" t="str">
        <f t="array" ref="I684">IFERROR(INDEX('Daily Raw Data'!O:O,Match($A684,'Daily Raw Data'!$B:$B,0)),"")</f>
        <v/>
      </c>
      <c r="J684" t="str">
        <f t="array" ref="J684">IFERROR(INDEX('Daily Raw Data'!S:S,Match($A684,'Daily Raw Data'!$B:$B,0)),"")</f>
        <v/>
      </c>
      <c r="K684" t="str">
        <f t="array" ref="K684">IFERROR(INDEX('Daily Raw Data'!T:T,Match($A684,'Daily Raw Data'!$B:$B,0)),"")</f>
        <v/>
      </c>
      <c r="L684" t="str">
        <f t="array" ref="L684">IFERROR(INDEX('Daily Raw Data'!U:U,Match($A684,'Daily Raw Data'!$B:$B,0)),"")</f>
        <v/>
      </c>
      <c r="M684" t="str">
        <f t="array" ref="M684">IFERROR(INDEX('Daily Raw Data'!V:V,Match($A684,'Daily Raw Data'!$B:$B,0)),"")</f>
        <v/>
      </c>
      <c r="N684" t="str">
        <f t="array" ref="N684">IFERROR(INDEX('Daily Raw Data'!W:W,Match($A684,'Daily Raw Data'!$B:$B,0)),"")</f>
        <v/>
      </c>
      <c r="O684" t="str">
        <f t="array" ref="O684">IFERROR(INDEX('Daily Raw Data'!Y:Y,Match($A684,'Daily Raw Data'!$B:$B,0)),"")</f>
        <v/>
      </c>
      <c r="P684" t="str">
        <f t="shared" si="1"/>
        <v/>
      </c>
      <c r="Q684" s="14" t="str">
        <f t="shared" si="2"/>
        <v/>
      </c>
      <c r="R684" s="15" t="str">
        <f>IFERROR(__xludf.DUMMYFUNCTION("IF($A684="""","""", IFERROR(PERCENTRANK.INC(FILTER(P:P,$E:$E&lt;&gt;""""),P684)*100,""""))"),"")</f>
        <v/>
      </c>
      <c r="S684" s="15" t="str">
        <f>IFERROR(__xludf.DUMMYFUNCTION("IF($A684="""","""",IFERROR(PERCENTRANK.INC(FILTER(Q:Q,$E:$E&lt;&gt;""""),Q684)*100,""""))"),"")</f>
        <v/>
      </c>
    </row>
    <row r="685">
      <c r="B685" t="str">
        <f t="array" ref="B685">IFERROR(INDEX('Player Raw Data'!C:C,Match($A685,'Player Raw Data'!$B:$B,0)),"")</f>
        <v/>
      </c>
      <c r="C685" t="str">
        <f t="array" ref="C685">IFERROR(INDEX('Player Raw Data'!D:D,Match($A685,'Player Raw Data'!$B:$B,0)),"")</f>
        <v/>
      </c>
      <c r="D685" t="str">
        <f t="array" ref="D685">IFERROR(IF(A685=A684, INDEX('Player Raw Data'!E:E,Match($A685,'Player Raw Data'!$B:$B,0)+2),INDEX('Player Raw Data'!E:E,Match($A685,'Player Raw Data'!$B:$B,0))),"")</f>
        <v/>
      </c>
      <c r="E685" s="27" t="str">
        <f>IFERROR(__xludf.DUMMYFUNCTION("IFERROR(ARRAY_CONSTRAIN(SPLIT(INDEX('Daily Raw Data'!G:G,Match($A685,'Daily Raw Data'!$B:$B,0)),"":""),1,1),"""")"),"")</f>
        <v/>
      </c>
      <c r="F685" t="str">
        <f t="array" ref="F685">IFERROR(INDEX('Daily Raw Data'!H:H,Match($A685,'Daily Raw Data'!$B:$B,0)),"")</f>
        <v/>
      </c>
      <c r="G685" t="str">
        <f t="array" ref="G685">IFERROR(INDEX('Daily Raw Data'!I:I,Match($A685,'Daily Raw Data'!$B:$B,0)),"")</f>
        <v/>
      </c>
      <c r="H685" t="str">
        <f t="array" ref="H685">IFERROR(INDEX('Daily Raw Data'!N:N,Match($A685,'Daily Raw Data'!$B:$B,0)),"")</f>
        <v/>
      </c>
      <c r="I685" t="str">
        <f t="array" ref="I685">IFERROR(INDEX('Daily Raw Data'!O:O,Match($A685,'Daily Raw Data'!$B:$B,0)),"")</f>
        <v/>
      </c>
      <c r="J685" t="str">
        <f t="array" ref="J685">IFERROR(INDEX('Daily Raw Data'!S:S,Match($A685,'Daily Raw Data'!$B:$B,0)),"")</f>
        <v/>
      </c>
      <c r="K685" t="str">
        <f t="array" ref="K685">IFERROR(INDEX('Daily Raw Data'!T:T,Match($A685,'Daily Raw Data'!$B:$B,0)),"")</f>
        <v/>
      </c>
      <c r="L685" t="str">
        <f t="array" ref="L685">IFERROR(INDEX('Daily Raw Data'!U:U,Match($A685,'Daily Raw Data'!$B:$B,0)),"")</f>
        <v/>
      </c>
      <c r="M685" t="str">
        <f t="array" ref="M685">IFERROR(INDEX('Daily Raw Data'!V:V,Match($A685,'Daily Raw Data'!$B:$B,0)),"")</f>
        <v/>
      </c>
      <c r="N685" t="str">
        <f t="array" ref="N685">IFERROR(INDEX('Daily Raw Data'!W:W,Match($A685,'Daily Raw Data'!$B:$B,0)),"")</f>
        <v/>
      </c>
      <c r="O685" t="str">
        <f t="array" ref="O685">IFERROR(INDEX('Daily Raw Data'!Y:Y,Match($A685,'Daily Raw Data'!$B:$B,0)),"")</f>
        <v/>
      </c>
      <c r="P685" t="str">
        <f t="shared" si="1"/>
        <v/>
      </c>
      <c r="Q685" s="14" t="str">
        <f t="shared" si="2"/>
        <v/>
      </c>
      <c r="R685" s="15" t="str">
        <f>IFERROR(__xludf.DUMMYFUNCTION("IF($A685="""","""", IFERROR(PERCENTRANK.INC(FILTER(P:P,$E:$E&lt;&gt;""""),P685)*100,""""))"),"")</f>
        <v/>
      </c>
      <c r="S685" s="15" t="str">
        <f>IFERROR(__xludf.DUMMYFUNCTION("IF($A685="""","""",IFERROR(PERCENTRANK.INC(FILTER(Q:Q,$E:$E&lt;&gt;""""),Q685)*100,""""))"),"")</f>
        <v/>
      </c>
    </row>
    <row r="686">
      <c r="B686" t="str">
        <f t="array" ref="B686">IFERROR(INDEX('Player Raw Data'!C:C,Match($A686,'Player Raw Data'!$B:$B,0)),"")</f>
        <v/>
      </c>
      <c r="C686" t="str">
        <f t="array" ref="C686">IFERROR(INDEX('Player Raw Data'!D:D,Match($A686,'Player Raw Data'!$B:$B,0)),"")</f>
        <v/>
      </c>
      <c r="D686" t="str">
        <f t="array" ref="D686">IFERROR(IF(A686=A685, INDEX('Player Raw Data'!E:E,Match($A686,'Player Raw Data'!$B:$B,0)+2),INDEX('Player Raw Data'!E:E,Match($A686,'Player Raw Data'!$B:$B,0))),"")</f>
        <v/>
      </c>
      <c r="E686" s="27" t="str">
        <f>IFERROR(__xludf.DUMMYFUNCTION("IFERROR(ARRAY_CONSTRAIN(SPLIT(INDEX('Daily Raw Data'!G:G,Match($A686,'Daily Raw Data'!$B:$B,0)),"":""),1,1),"""")"),"")</f>
        <v/>
      </c>
      <c r="F686" t="str">
        <f t="array" ref="F686">IFERROR(INDEX('Daily Raw Data'!H:H,Match($A686,'Daily Raw Data'!$B:$B,0)),"")</f>
        <v/>
      </c>
      <c r="G686" t="str">
        <f t="array" ref="G686">IFERROR(INDEX('Daily Raw Data'!I:I,Match($A686,'Daily Raw Data'!$B:$B,0)),"")</f>
        <v/>
      </c>
      <c r="H686" t="str">
        <f t="array" ref="H686">IFERROR(INDEX('Daily Raw Data'!N:N,Match($A686,'Daily Raw Data'!$B:$B,0)),"")</f>
        <v/>
      </c>
      <c r="I686" t="str">
        <f t="array" ref="I686">IFERROR(INDEX('Daily Raw Data'!O:O,Match($A686,'Daily Raw Data'!$B:$B,0)),"")</f>
        <v/>
      </c>
      <c r="J686" t="str">
        <f t="array" ref="J686">IFERROR(INDEX('Daily Raw Data'!S:S,Match($A686,'Daily Raw Data'!$B:$B,0)),"")</f>
        <v/>
      </c>
      <c r="K686" t="str">
        <f t="array" ref="K686">IFERROR(INDEX('Daily Raw Data'!T:T,Match($A686,'Daily Raw Data'!$B:$B,0)),"")</f>
        <v/>
      </c>
      <c r="L686" t="str">
        <f t="array" ref="L686">IFERROR(INDEX('Daily Raw Data'!U:U,Match($A686,'Daily Raw Data'!$B:$B,0)),"")</f>
        <v/>
      </c>
      <c r="M686" t="str">
        <f t="array" ref="M686">IFERROR(INDEX('Daily Raw Data'!V:V,Match($A686,'Daily Raw Data'!$B:$B,0)),"")</f>
        <v/>
      </c>
      <c r="N686" t="str">
        <f t="array" ref="N686">IFERROR(INDEX('Daily Raw Data'!W:W,Match($A686,'Daily Raw Data'!$B:$B,0)),"")</f>
        <v/>
      </c>
      <c r="O686" t="str">
        <f t="array" ref="O686">IFERROR(INDEX('Daily Raw Data'!Y:Y,Match($A686,'Daily Raw Data'!$B:$B,0)),"")</f>
        <v/>
      </c>
      <c r="P686" t="str">
        <f t="shared" si="1"/>
        <v/>
      </c>
      <c r="Q686" s="14" t="str">
        <f t="shared" si="2"/>
        <v/>
      </c>
      <c r="R686" s="15" t="str">
        <f>IFERROR(__xludf.DUMMYFUNCTION("IF($A686="""","""", IFERROR(PERCENTRANK.INC(FILTER(P:P,$E:$E&lt;&gt;""""),P686)*100,""""))"),"")</f>
        <v/>
      </c>
      <c r="S686" s="15" t="str">
        <f>IFERROR(__xludf.DUMMYFUNCTION("IF($A686="""","""",IFERROR(PERCENTRANK.INC(FILTER(Q:Q,$E:$E&lt;&gt;""""),Q686)*100,""""))"),"")</f>
        <v/>
      </c>
    </row>
    <row r="687">
      <c r="B687" t="str">
        <f t="array" ref="B687">IFERROR(INDEX('Player Raw Data'!C:C,Match($A687,'Player Raw Data'!$B:$B,0)),"")</f>
        <v/>
      </c>
      <c r="C687" t="str">
        <f t="array" ref="C687">IFERROR(INDEX('Player Raw Data'!D:D,Match($A687,'Player Raw Data'!$B:$B,0)),"")</f>
        <v/>
      </c>
      <c r="D687" t="str">
        <f t="array" ref="D687">IFERROR(IF(A687=A686, INDEX('Player Raw Data'!E:E,Match($A687,'Player Raw Data'!$B:$B,0)+2),INDEX('Player Raw Data'!E:E,Match($A687,'Player Raw Data'!$B:$B,0))),"")</f>
        <v/>
      </c>
      <c r="E687" s="27" t="str">
        <f>IFERROR(__xludf.DUMMYFUNCTION("IFERROR(ARRAY_CONSTRAIN(SPLIT(INDEX('Daily Raw Data'!G:G,Match($A687,'Daily Raw Data'!$B:$B,0)),"":""),1,1),"""")"),"")</f>
        <v/>
      </c>
      <c r="F687" t="str">
        <f t="array" ref="F687">IFERROR(INDEX('Daily Raw Data'!H:H,Match($A687,'Daily Raw Data'!$B:$B,0)),"")</f>
        <v/>
      </c>
      <c r="G687" t="str">
        <f t="array" ref="G687">IFERROR(INDEX('Daily Raw Data'!I:I,Match($A687,'Daily Raw Data'!$B:$B,0)),"")</f>
        <v/>
      </c>
      <c r="H687" t="str">
        <f t="array" ref="H687">IFERROR(INDEX('Daily Raw Data'!N:N,Match($A687,'Daily Raw Data'!$B:$B,0)),"")</f>
        <v/>
      </c>
      <c r="I687" t="str">
        <f t="array" ref="I687">IFERROR(INDEX('Daily Raw Data'!O:O,Match($A687,'Daily Raw Data'!$B:$B,0)),"")</f>
        <v/>
      </c>
      <c r="J687" t="str">
        <f t="array" ref="J687">IFERROR(INDEX('Daily Raw Data'!S:S,Match($A687,'Daily Raw Data'!$B:$B,0)),"")</f>
        <v/>
      </c>
      <c r="K687" t="str">
        <f t="array" ref="K687">IFERROR(INDEX('Daily Raw Data'!T:T,Match($A687,'Daily Raw Data'!$B:$B,0)),"")</f>
        <v/>
      </c>
      <c r="L687" t="str">
        <f t="array" ref="L687">IFERROR(INDEX('Daily Raw Data'!U:U,Match($A687,'Daily Raw Data'!$B:$B,0)),"")</f>
        <v/>
      </c>
      <c r="M687" t="str">
        <f t="array" ref="M687">IFERROR(INDEX('Daily Raw Data'!V:V,Match($A687,'Daily Raw Data'!$B:$B,0)),"")</f>
        <v/>
      </c>
      <c r="N687" t="str">
        <f t="array" ref="N687">IFERROR(INDEX('Daily Raw Data'!W:W,Match($A687,'Daily Raw Data'!$B:$B,0)),"")</f>
        <v/>
      </c>
      <c r="O687" t="str">
        <f t="array" ref="O687">IFERROR(INDEX('Daily Raw Data'!Y:Y,Match($A687,'Daily Raw Data'!$B:$B,0)),"")</f>
        <v/>
      </c>
      <c r="P687" t="str">
        <f t="shared" si="1"/>
        <v/>
      </c>
      <c r="Q687" s="14" t="str">
        <f t="shared" si="2"/>
        <v/>
      </c>
      <c r="R687" s="15" t="str">
        <f>IFERROR(__xludf.DUMMYFUNCTION("IF($A687="""","""", IFERROR(PERCENTRANK.INC(FILTER(P:P,$E:$E&lt;&gt;""""),P687)*100,""""))"),"")</f>
        <v/>
      </c>
      <c r="S687" s="15" t="str">
        <f>IFERROR(__xludf.DUMMYFUNCTION("IF($A687="""","""",IFERROR(PERCENTRANK.INC(FILTER(Q:Q,$E:$E&lt;&gt;""""),Q687)*100,""""))"),"")</f>
        <v/>
      </c>
    </row>
    <row r="688">
      <c r="B688" t="str">
        <f t="array" ref="B688">IFERROR(INDEX('Player Raw Data'!C:C,Match($A688,'Player Raw Data'!$B:$B,0)),"")</f>
        <v/>
      </c>
      <c r="C688" t="str">
        <f t="array" ref="C688">IFERROR(INDEX('Player Raw Data'!D:D,Match($A688,'Player Raw Data'!$B:$B,0)),"")</f>
        <v/>
      </c>
      <c r="D688" t="str">
        <f t="array" ref="D688">IFERROR(IF(A688=A687, INDEX('Player Raw Data'!E:E,Match($A688,'Player Raw Data'!$B:$B,0)+2),INDEX('Player Raw Data'!E:E,Match($A688,'Player Raw Data'!$B:$B,0))),"")</f>
        <v/>
      </c>
      <c r="E688" s="27" t="str">
        <f>IFERROR(__xludf.DUMMYFUNCTION("IFERROR(ARRAY_CONSTRAIN(SPLIT(INDEX('Daily Raw Data'!G:G,Match($A688,'Daily Raw Data'!$B:$B,0)),"":""),1,1),"""")"),"")</f>
        <v/>
      </c>
      <c r="F688" t="str">
        <f t="array" ref="F688">IFERROR(INDEX('Daily Raw Data'!H:H,Match($A688,'Daily Raw Data'!$B:$B,0)),"")</f>
        <v/>
      </c>
      <c r="G688" t="str">
        <f t="array" ref="G688">IFERROR(INDEX('Daily Raw Data'!I:I,Match($A688,'Daily Raw Data'!$B:$B,0)),"")</f>
        <v/>
      </c>
      <c r="H688" t="str">
        <f t="array" ref="H688">IFERROR(INDEX('Daily Raw Data'!N:N,Match($A688,'Daily Raw Data'!$B:$B,0)),"")</f>
        <v/>
      </c>
      <c r="I688" t="str">
        <f t="array" ref="I688">IFERROR(INDEX('Daily Raw Data'!O:O,Match($A688,'Daily Raw Data'!$B:$B,0)),"")</f>
        <v/>
      </c>
      <c r="J688" t="str">
        <f t="array" ref="J688">IFERROR(INDEX('Daily Raw Data'!S:S,Match($A688,'Daily Raw Data'!$B:$B,0)),"")</f>
        <v/>
      </c>
      <c r="K688" t="str">
        <f t="array" ref="K688">IFERROR(INDEX('Daily Raw Data'!T:T,Match($A688,'Daily Raw Data'!$B:$B,0)),"")</f>
        <v/>
      </c>
      <c r="L688" t="str">
        <f t="array" ref="L688">IFERROR(INDEX('Daily Raw Data'!U:U,Match($A688,'Daily Raw Data'!$B:$B,0)),"")</f>
        <v/>
      </c>
      <c r="M688" t="str">
        <f t="array" ref="M688">IFERROR(INDEX('Daily Raw Data'!V:V,Match($A688,'Daily Raw Data'!$B:$B,0)),"")</f>
        <v/>
      </c>
      <c r="N688" t="str">
        <f t="array" ref="N688">IFERROR(INDEX('Daily Raw Data'!W:W,Match($A688,'Daily Raw Data'!$B:$B,0)),"")</f>
        <v/>
      </c>
      <c r="O688" t="str">
        <f t="array" ref="O688">IFERROR(INDEX('Daily Raw Data'!Y:Y,Match($A688,'Daily Raw Data'!$B:$B,0)),"")</f>
        <v/>
      </c>
      <c r="P688" t="str">
        <f t="shared" si="1"/>
        <v/>
      </c>
      <c r="Q688" s="14" t="str">
        <f t="shared" si="2"/>
        <v/>
      </c>
      <c r="R688" s="15" t="str">
        <f>IFERROR(__xludf.DUMMYFUNCTION("IF($A688="""","""", IFERROR(PERCENTRANK.INC(FILTER(P:P,$E:$E&lt;&gt;""""),P688)*100,""""))"),"")</f>
        <v/>
      </c>
      <c r="S688" s="15" t="str">
        <f>IFERROR(__xludf.DUMMYFUNCTION("IF($A688="""","""",IFERROR(PERCENTRANK.INC(FILTER(Q:Q,$E:$E&lt;&gt;""""),Q688)*100,""""))"),"")</f>
        <v/>
      </c>
    </row>
    <row r="689">
      <c r="B689" t="str">
        <f t="array" ref="B689">IFERROR(INDEX('Player Raw Data'!C:C,Match($A689,'Player Raw Data'!$B:$B,0)),"")</f>
        <v/>
      </c>
      <c r="C689" t="str">
        <f t="array" ref="C689">IFERROR(INDEX('Player Raw Data'!D:D,Match($A689,'Player Raw Data'!$B:$B,0)),"")</f>
        <v/>
      </c>
      <c r="D689" t="str">
        <f t="array" ref="D689">IFERROR(IF(A689=A688, INDEX('Player Raw Data'!E:E,Match($A689,'Player Raw Data'!$B:$B,0)+2),INDEX('Player Raw Data'!E:E,Match($A689,'Player Raw Data'!$B:$B,0))),"")</f>
        <v/>
      </c>
      <c r="E689" s="27" t="str">
        <f>IFERROR(__xludf.DUMMYFUNCTION("IFERROR(ARRAY_CONSTRAIN(SPLIT(INDEX('Daily Raw Data'!G:G,Match($A689,'Daily Raw Data'!$B:$B,0)),"":""),1,1),"""")"),"")</f>
        <v/>
      </c>
      <c r="F689" t="str">
        <f t="array" ref="F689">IFERROR(INDEX('Daily Raw Data'!H:H,Match($A689,'Daily Raw Data'!$B:$B,0)),"")</f>
        <v/>
      </c>
      <c r="G689" t="str">
        <f t="array" ref="G689">IFERROR(INDEX('Daily Raw Data'!I:I,Match($A689,'Daily Raw Data'!$B:$B,0)),"")</f>
        <v/>
      </c>
      <c r="H689" t="str">
        <f t="array" ref="H689">IFERROR(INDEX('Daily Raw Data'!N:N,Match($A689,'Daily Raw Data'!$B:$B,0)),"")</f>
        <v/>
      </c>
      <c r="I689" t="str">
        <f t="array" ref="I689">IFERROR(INDEX('Daily Raw Data'!O:O,Match($A689,'Daily Raw Data'!$B:$B,0)),"")</f>
        <v/>
      </c>
      <c r="J689" t="str">
        <f t="array" ref="J689">IFERROR(INDEX('Daily Raw Data'!S:S,Match($A689,'Daily Raw Data'!$B:$B,0)),"")</f>
        <v/>
      </c>
      <c r="K689" t="str">
        <f t="array" ref="K689">IFERROR(INDEX('Daily Raw Data'!T:T,Match($A689,'Daily Raw Data'!$B:$B,0)),"")</f>
        <v/>
      </c>
      <c r="L689" t="str">
        <f t="array" ref="L689">IFERROR(INDEX('Daily Raw Data'!U:U,Match($A689,'Daily Raw Data'!$B:$B,0)),"")</f>
        <v/>
      </c>
      <c r="M689" t="str">
        <f t="array" ref="M689">IFERROR(INDEX('Daily Raw Data'!V:V,Match($A689,'Daily Raw Data'!$B:$B,0)),"")</f>
        <v/>
      </c>
      <c r="N689" t="str">
        <f t="array" ref="N689">IFERROR(INDEX('Daily Raw Data'!W:W,Match($A689,'Daily Raw Data'!$B:$B,0)),"")</f>
        <v/>
      </c>
      <c r="O689" t="str">
        <f t="array" ref="O689">IFERROR(INDEX('Daily Raw Data'!Y:Y,Match($A689,'Daily Raw Data'!$B:$B,0)),"")</f>
        <v/>
      </c>
      <c r="P689" t="str">
        <f t="shared" si="1"/>
        <v/>
      </c>
      <c r="Q689" s="14" t="str">
        <f t="shared" si="2"/>
        <v/>
      </c>
      <c r="R689" s="15" t="str">
        <f>IFERROR(__xludf.DUMMYFUNCTION("IF($A689="""","""", IFERROR(PERCENTRANK.INC(FILTER(P:P,$E:$E&lt;&gt;""""),P689)*100,""""))"),"")</f>
        <v/>
      </c>
      <c r="S689" s="15" t="str">
        <f>IFERROR(__xludf.DUMMYFUNCTION("IF($A689="""","""",IFERROR(PERCENTRANK.INC(FILTER(Q:Q,$E:$E&lt;&gt;""""),Q689)*100,""""))"),"")</f>
        <v/>
      </c>
    </row>
    <row r="690">
      <c r="B690" t="str">
        <f t="array" ref="B690">IFERROR(INDEX('Player Raw Data'!C:C,Match($A690,'Player Raw Data'!$B:$B,0)),"")</f>
        <v/>
      </c>
      <c r="C690" t="str">
        <f t="array" ref="C690">IFERROR(INDEX('Player Raw Data'!D:D,Match($A690,'Player Raw Data'!$B:$B,0)),"")</f>
        <v/>
      </c>
      <c r="D690" t="str">
        <f t="array" ref="D690">IFERROR(IF(A690=A689, INDEX('Player Raw Data'!E:E,Match($A690,'Player Raw Data'!$B:$B,0)+2),INDEX('Player Raw Data'!E:E,Match($A690,'Player Raw Data'!$B:$B,0))),"")</f>
        <v/>
      </c>
      <c r="E690" s="27" t="str">
        <f>IFERROR(__xludf.DUMMYFUNCTION("IFERROR(ARRAY_CONSTRAIN(SPLIT(INDEX('Daily Raw Data'!G:G,Match($A690,'Daily Raw Data'!$B:$B,0)),"":""),1,1),"""")"),"")</f>
        <v/>
      </c>
      <c r="F690" t="str">
        <f t="array" ref="F690">IFERROR(INDEX('Daily Raw Data'!H:H,Match($A690,'Daily Raw Data'!$B:$B,0)),"")</f>
        <v/>
      </c>
      <c r="G690" t="str">
        <f t="array" ref="G690">IFERROR(INDEX('Daily Raw Data'!I:I,Match($A690,'Daily Raw Data'!$B:$B,0)),"")</f>
        <v/>
      </c>
      <c r="H690" t="str">
        <f t="array" ref="H690">IFERROR(INDEX('Daily Raw Data'!N:N,Match($A690,'Daily Raw Data'!$B:$B,0)),"")</f>
        <v/>
      </c>
      <c r="I690" t="str">
        <f t="array" ref="I690">IFERROR(INDEX('Daily Raw Data'!O:O,Match($A690,'Daily Raw Data'!$B:$B,0)),"")</f>
        <v/>
      </c>
      <c r="J690" t="str">
        <f t="array" ref="J690">IFERROR(INDEX('Daily Raw Data'!S:S,Match($A690,'Daily Raw Data'!$B:$B,0)),"")</f>
        <v/>
      </c>
      <c r="K690" t="str">
        <f t="array" ref="K690">IFERROR(INDEX('Daily Raw Data'!T:T,Match($A690,'Daily Raw Data'!$B:$B,0)),"")</f>
        <v/>
      </c>
      <c r="L690" t="str">
        <f t="array" ref="L690">IFERROR(INDEX('Daily Raw Data'!U:U,Match($A690,'Daily Raw Data'!$B:$B,0)),"")</f>
        <v/>
      </c>
      <c r="M690" t="str">
        <f t="array" ref="M690">IFERROR(INDEX('Daily Raw Data'!V:V,Match($A690,'Daily Raw Data'!$B:$B,0)),"")</f>
        <v/>
      </c>
      <c r="N690" t="str">
        <f t="array" ref="N690">IFERROR(INDEX('Daily Raw Data'!W:W,Match($A690,'Daily Raw Data'!$B:$B,0)),"")</f>
        <v/>
      </c>
      <c r="O690" t="str">
        <f t="array" ref="O690">IFERROR(INDEX('Daily Raw Data'!Y:Y,Match($A690,'Daily Raw Data'!$B:$B,0)),"")</f>
        <v/>
      </c>
      <c r="P690" t="str">
        <f t="shared" si="1"/>
        <v/>
      </c>
      <c r="Q690" s="14" t="str">
        <f t="shared" si="2"/>
        <v/>
      </c>
      <c r="R690" s="15" t="str">
        <f>IFERROR(__xludf.DUMMYFUNCTION("IF($A690="""","""", IFERROR(PERCENTRANK.INC(FILTER(P:P,$E:$E&lt;&gt;""""),P690)*100,""""))"),"")</f>
        <v/>
      </c>
      <c r="S690" s="15" t="str">
        <f>IFERROR(__xludf.DUMMYFUNCTION("IF($A690="""","""",IFERROR(PERCENTRANK.INC(FILTER(Q:Q,$E:$E&lt;&gt;""""),Q690)*100,""""))"),"")</f>
        <v/>
      </c>
    </row>
    <row r="691">
      <c r="B691" t="str">
        <f t="array" ref="B691">IFERROR(INDEX('Player Raw Data'!C:C,Match($A691,'Player Raw Data'!$B:$B,0)),"")</f>
        <v/>
      </c>
      <c r="C691" t="str">
        <f t="array" ref="C691">IFERROR(INDEX('Player Raw Data'!D:D,Match($A691,'Player Raw Data'!$B:$B,0)),"")</f>
        <v/>
      </c>
      <c r="D691" t="str">
        <f t="array" ref="D691">IFERROR(IF(A691=A690, INDEX('Player Raw Data'!E:E,Match($A691,'Player Raw Data'!$B:$B,0)+2),INDEX('Player Raw Data'!E:E,Match($A691,'Player Raw Data'!$B:$B,0))),"")</f>
        <v/>
      </c>
      <c r="E691" s="27" t="str">
        <f>IFERROR(__xludf.DUMMYFUNCTION("IFERROR(ARRAY_CONSTRAIN(SPLIT(INDEX('Daily Raw Data'!G:G,Match($A691,'Daily Raw Data'!$B:$B,0)),"":""),1,1),"""")"),"")</f>
        <v/>
      </c>
      <c r="F691" t="str">
        <f t="array" ref="F691">IFERROR(INDEX('Daily Raw Data'!H:H,Match($A691,'Daily Raw Data'!$B:$B,0)),"")</f>
        <v/>
      </c>
      <c r="G691" t="str">
        <f t="array" ref="G691">IFERROR(INDEX('Daily Raw Data'!I:I,Match($A691,'Daily Raw Data'!$B:$B,0)),"")</f>
        <v/>
      </c>
      <c r="H691" t="str">
        <f t="array" ref="H691">IFERROR(INDEX('Daily Raw Data'!N:N,Match($A691,'Daily Raw Data'!$B:$B,0)),"")</f>
        <v/>
      </c>
      <c r="I691" t="str">
        <f t="array" ref="I691">IFERROR(INDEX('Daily Raw Data'!O:O,Match($A691,'Daily Raw Data'!$B:$B,0)),"")</f>
        <v/>
      </c>
      <c r="J691" t="str">
        <f t="array" ref="J691">IFERROR(INDEX('Daily Raw Data'!S:S,Match($A691,'Daily Raw Data'!$B:$B,0)),"")</f>
        <v/>
      </c>
      <c r="K691" t="str">
        <f t="array" ref="K691">IFERROR(INDEX('Daily Raw Data'!T:T,Match($A691,'Daily Raw Data'!$B:$B,0)),"")</f>
        <v/>
      </c>
      <c r="L691" t="str">
        <f t="array" ref="L691">IFERROR(INDEX('Daily Raw Data'!U:U,Match($A691,'Daily Raw Data'!$B:$B,0)),"")</f>
        <v/>
      </c>
      <c r="M691" t="str">
        <f t="array" ref="M691">IFERROR(INDEX('Daily Raw Data'!V:V,Match($A691,'Daily Raw Data'!$B:$B,0)),"")</f>
        <v/>
      </c>
      <c r="N691" t="str">
        <f t="array" ref="N691">IFERROR(INDEX('Daily Raw Data'!W:W,Match($A691,'Daily Raw Data'!$B:$B,0)),"")</f>
        <v/>
      </c>
      <c r="O691" t="str">
        <f t="array" ref="O691">IFERROR(INDEX('Daily Raw Data'!Y:Y,Match($A691,'Daily Raw Data'!$B:$B,0)),"")</f>
        <v/>
      </c>
      <c r="P691" t="str">
        <f t="shared" si="1"/>
        <v/>
      </c>
      <c r="Q691" s="14" t="str">
        <f t="shared" si="2"/>
        <v/>
      </c>
      <c r="R691" s="15" t="str">
        <f>IFERROR(__xludf.DUMMYFUNCTION("IF($A691="""","""", IFERROR(PERCENTRANK.INC(FILTER(P:P,$E:$E&lt;&gt;""""),P691)*100,""""))"),"")</f>
        <v/>
      </c>
      <c r="S691" s="15" t="str">
        <f>IFERROR(__xludf.DUMMYFUNCTION("IF($A691="""","""",IFERROR(PERCENTRANK.INC(FILTER(Q:Q,$E:$E&lt;&gt;""""),Q691)*100,""""))"),"")</f>
        <v/>
      </c>
    </row>
    <row r="692">
      <c r="B692" t="str">
        <f t="array" ref="B692">IFERROR(INDEX('Player Raw Data'!C:C,Match($A692,'Player Raw Data'!$B:$B,0)),"")</f>
        <v/>
      </c>
      <c r="C692" t="str">
        <f t="array" ref="C692">IFERROR(INDEX('Player Raw Data'!D:D,Match($A692,'Player Raw Data'!$B:$B,0)),"")</f>
        <v/>
      </c>
      <c r="D692" t="str">
        <f t="array" ref="D692">IFERROR(IF(A692=A691, INDEX('Player Raw Data'!E:E,Match($A692,'Player Raw Data'!$B:$B,0)+2),INDEX('Player Raw Data'!E:E,Match($A692,'Player Raw Data'!$B:$B,0))),"")</f>
        <v/>
      </c>
      <c r="E692" s="27" t="str">
        <f>IFERROR(__xludf.DUMMYFUNCTION("IFERROR(ARRAY_CONSTRAIN(SPLIT(INDEX('Daily Raw Data'!G:G,Match($A692,'Daily Raw Data'!$B:$B,0)),"":""),1,1),"""")"),"")</f>
        <v/>
      </c>
      <c r="F692" t="str">
        <f t="array" ref="F692">IFERROR(INDEX('Daily Raw Data'!H:H,Match($A692,'Daily Raw Data'!$B:$B,0)),"")</f>
        <v/>
      </c>
      <c r="G692" t="str">
        <f t="array" ref="G692">IFERROR(INDEX('Daily Raw Data'!I:I,Match($A692,'Daily Raw Data'!$B:$B,0)),"")</f>
        <v/>
      </c>
      <c r="H692" t="str">
        <f t="array" ref="H692">IFERROR(INDEX('Daily Raw Data'!N:N,Match($A692,'Daily Raw Data'!$B:$B,0)),"")</f>
        <v/>
      </c>
      <c r="I692" t="str">
        <f t="array" ref="I692">IFERROR(INDEX('Daily Raw Data'!O:O,Match($A692,'Daily Raw Data'!$B:$B,0)),"")</f>
        <v/>
      </c>
      <c r="J692" t="str">
        <f t="array" ref="J692">IFERROR(INDEX('Daily Raw Data'!S:S,Match($A692,'Daily Raw Data'!$B:$B,0)),"")</f>
        <v/>
      </c>
      <c r="K692" t="str">
        <f t="array" ref="K692">IFERROR(INDEX('Daily Raw Data'!T:T,Match($A692,'Daily Raw Data'!$B:$B,0)),"")</f>
        <v/>
      </c>
      <c r="L692" t="str">
        <f t="array" ref="L692">IFERROR(INDEX('Daily Raw Data'!U:U,Match($A692,'Daily Raw Data'!$B:$B,0)),"")</f>
        <v/>
      </c>
      <c r="M692" t="str">
        <f t="array" ref="M692">IFERROR(INDEX('Daily Raw Data'!V:V,Match($A692,'Daily Raw Data'!$B:$B,0)),"")</f>
        <v/>
      </c>
      <c r="N692" t="str">
        <f t="array" ref="N692">IFERROR(INDEX('Daily Raw Data'!W:W,Match($A692,'Daily Raw Data'!$B:$B,0)),"")</f>
        <v/>
      </c>
      <c r="O692" t="str">
        <f t="array" ref="O692">IFERROR(INDEX('Daily Raw Data'!Y:Y,Match($A692,'Daily Raw Data'!$B:$B,0)),"")</f>
        <v/>
      </c>
      <c r="P692" t="str">
        <f t="shared" si="1"/>
        <v/>
      </c>
      <c r="Q692" s="14" t="str">
        <f t="shared" si="2"/>
        <v/>
      </c>
      <c r="R692" s="15" t="str">
        <f>IFERROR(__xludf.DUMMYFUNCTION("IF($A692="""","""", IFERROR(PERCENTRANK.INC(FILTER(P:P,$E:$E&lt;&gt;""""),P692)*100,""""))"),"")</f>
        <v/>
      </c>
      <c r="S692" s="15" t="str">
        <f>IFERROR(__xludf.DUMMYFUNCTION("IF($A692="""","""",IFERROR(PERCENTRANK.INC(FILTER(Q:Q,$E:$E&lt;&gt;""""),Q692)*100,""""))"),"")</f>
        <v/>
      </c>
    </row>
    <row r="693">
      <c r="B693" t="str">
        <f t="array" ref="B693">IFERROR(INDEX('Player Raw Data'!C:C,Match($A693,'Player Raw Data'!$B:$B,0)),"")</f>
        <v/>
      </c>
      <c r="C693" t="str">
        <f t="array" ref="C693">IFERROR(INDEX('Player Raw Data'!D:D,Match($A693,'Player Raw Data'!$B:$B,0)),"")</f>
        <v/>
      </c>
      <c r="D693" t="str">
        <f t="array" ref="D693">IFERROR(IF(A693=A692, INDEX('Player Raw Data'!E:E,Match($A693,'Player Raw Data'!$B:$B,0)+2),INDEX('Player Raw Data'!E:E,Match($A693,'Player Raw Data'!$B:$B,0))),"")</f>
        <v/>
      </c>
      <c r="E693" s="27" t="str">
        <f>IFERROR(__xludf.DUMMYFUNCTION("IFERROR(ARRAY_CONSTRAIN(SPLIT(INDEX('Daily Raw Data'!G:G,Match($A693,'Daily Raw Data'!$B:$B,0)),"":""),1,1),"""")"),"")</f>
        <v/>
      </c>
      <c r="F693" t="str">
        <f t="array" ref="F693">IFERROR(INDEX('Daily Raw Data'!H:H,Match($A693,'Daily Raw Data'!$B:$B,0)),"")</f>
        <v/>
      </c>
      <c r="G693" t="str">
        <f t="array" ref="G693">IFERROR(INDEX('Daily Raw Data'!I:I,Match($A693,'Daily Raw Data'!$B:$B,0)),"")</f>
        <v/>
      </c>
      <c r="H693" t="str">
        <f t="array" ref="H693">IFERROR(INDEX('Daily Raw Data'!N:N,Match($A693,'Daily Raw Data'!$B:$B,0)),"")</f>
        <v/>
      </c>
      <c r="I693" t="str">
        <f t="array" ref="I693">IFERROR(INDEX('Daily Raw Data'!O:O,Match($A693,'Daily Raw Data'!$B:$B,0)),"")</f>
        <v/>
      </c>
      <c r="J693" t="str">
        <f t="array" ref="J693">IFERROR(INDEX('Daily Raw Data'!S:S,Match($A693,'Daily Raw Data'!$B:$B,0)),"")</f>
        <v/>
      </c>
      <c r="K693" t="str">
        <f t="array" ref="K693">IFERROR(INDEX('Daily Raw Data'!T:T,Match($A693,'Daily Raw Data'!$B:$B,0)),"")</f>
        <v/>
      </c>
      <c r="L693" t="str">
        <f t="array" ref="L693">IFERROR(INDEX('Daily Raw Data'!U:U,Match($A693,'Daily Raw Data'!$B:$B,0)),"")</f>
        <v/>
      </c>
      <c r="M693" t="str">
        <f t="array" ref="M693">IFERROR(INDEX('Daily Raw Data'!V:V,Match($A693,'Daily Raw Data'!$B:$B,0)),"")</f>
        <v/>
      </c>
      <c r="N693" t="str">
        <f t="array" ref="N693">IFERROR(INDEX('Daily Raw Data'!W:W,Match($A693,'Daily Raw Data'!$B:$B,0)),"")</f>
        <v/>
      </c>
      <c r="O693" t="str">
        <f t="array" ref="O693">IFERROR(INDEX('Daily Raw Data'!Y:Y,Match($A693,'Daily Raw Data'!$B:$B,0)),"")</f>
        <v/>
      </c>
      <c r="P693" t="str">
        <f t="shared" si="1"/>
        <v/>
      </c>
      <c r="Q693" s="14" t="str">
        <f t="shared" si="2"/>
        <v/>
      </c>
      <c r="R693" s="15" t="str">
        <f>IFERROR(__xludf.DUMMYFUNCTION("IF($A693="""","""", IFERROR(PERCENTRANK.INC(FILTER(P:P,$E:$E&lt;&gt;""""),P693)*100,""""))"),"")</f>
        <v/>
      </c>
      <c r="S693" s="15" t="str">
        <f>IFERROR(__xludf.DUMMYFUNCTION("IF($A693="""","""",IFERROR(PERCENTRANK.INC(FILTER(Q:Q,$E:$E&lt;&gt;""""),Q693)*100,""""))"),"")</f>
        <v/>
      </c>
    </row>
    <row r="694">
      <c r="B694" t="str">
        <f t="array" ref="B694">IFERROR(INDEX('Player Raw Data'!C:C,Match($A694,'Player Raw Data'!$B:$B,0)),"")</f>
        <v/>
      </c>
      <c r="C694" t="str">
        <f t="array" ref="C694">IFERROR(INDEX('Player Raw Data'!D:D,Match($A694,'Player Raw Data'!$B:$B,0)),"")</f>
        <v/>
      </c>
      <c r="D694" t="str">
        <f t="array" ref="D694">IFERROR(IF(A694=A693, INDEX('Player Raw Data'!E:E,Match($A694,'Player Raw Data'!$B:$B,0)+2),INDEX('Player Raw Data'!E:E,Match($A694,'Player Raw Data'!$B:$B,0))),"")</f>
        <v/>
      </c>
      <c r="E694" s="27" t="str">
        <f>IFERROR(__xludf.DUMMYFUNCTION("IFERROR(ARRAY_CONSTRAIN(SPLIT(INDEX('Daily Raw Data'!G:G,Match($A694,'Daily Raw Data'!$B:$B,0)),"":""),1,1),"""")"),"")</f>
        <v/>
      </c>
      <c r="F694" t="str">
        <f t="array" ref="F694">IFERROR(INDEX('Daily Raw Data'!H:H,Match($A694,'Daily Raw Data'!$B:$B,0)),"")</f>
        <v/>
      </c>
      <c r="G694" t="str">
        <f t="array" ref="G694">IFERROR(INDEX('Daily Raw Data'!I:I,Match($A694,'Daily Raw Data'!$B:$B,0)),"")</f>
        <v/>
      </c>
      <c r="H694" t="str">
        <f t="array" ref="H694">IFERROR(INDEX('Daily Raw Data'!N:N,Match($A694,'Daily Raw Data'!$B:$B,0)),"")</f>
        <v/>
      </c>
      <c r="I694" t="str">
        <f t="array" ref="I694">IFERROR(INDEX('Daily Raw Data'!O:O,Match($A694,'Daily Raw Data'!$B:$B,0)),"")</f>
        <v/>
      </c>
      <c r="J694" t="str">
        <f t="array" ref="J694">IFERROR(INDEX('Daily Raw Data'!S:S,Match($A694,'Daily Raw Data'!$B:$B,0)),"")</f>
        <v/>
      </c>
      <c r="K694" t="str">
        <f t="array" ref="K694">IFERROR(INDEX('Daily Raw Data'!T:T,Match($A694,'Daily Raw Data'!$B:$B,0)),"")</f>
        <v/>
      </c>
      <c r="L694" t="str">
        <f t="array" ref="L694">IFERROR(INDEX('Daily Raw Data'!U:U,Match($A694,'Daily Raw Data'!$B:$B,0)),"")</f>
        <v/>
      </c>
      <c r="M694" t="str">
        <f t="array" ref="M694">IFERROR(INDEX('Daily Raw Data'!V:V,Match($A694,'Daily Raw Data'!$B:$B,0)),"")</f>
        <v/>
      </c>
      <c r="N694" t="str">
        <f t="array" ref="N694">IFERROR(INDEX('Daily Raw Data'!W:W,Match($A694,'Daily Raw Data'!$B:$B,0)),"")</f>
        <v/>
      </c>
      <c r="O694" t="str">
        <f t="array" ref="O694">IFERROR(INDEX('Daily Raw Data'!Y:Y,Match($A694,'Daily Raw Data'!$B:$B,0)),"")</f>
        <v/>
      </c>
      <c r="P694" t="str">
        <f t="shared" si="1"/>
        <v/>
      </c>
      <c r="Q694" s="14" t="str">
        <f t="shared" si="2"/>
        <v/>
      </c>
      <c r="R694" s="15" t="str">
        <f>IFERROR(__xludf.DUMMYFUNCTION("IF($A694="""","""", IFERROR(PERCENTRANK.INC(FILTER(P:P,$E:$E&lt;&gt;""""),P694)*100,""""))"),"")</f>
        <v/>
      </c>
      <c r="S694" s="15" t="str">
        <f>IFERROR(__xludf.DUMMYFUNCTION("IF($A694="""","""",IFERROR(PERCENTRANK.INC(FILTER(Q:Q,$E:$E&lt;&gt;""""),Q694)*100,""""))"),"")</f>
        <v/>
      </c>
    </row>
    <row r="695">
      <c r="B695" t="str">
        <f t="array" ref="B695">IFERROR(INDEX('Player Raw Data'!C:C,Match($A695,'Player Raw Data'!$B:$B,0)),"")</f>
        <v/>
      </c>
      <c r="C695" t="str">
        <f t="array" ref="C695">IFERROR(INDEX('Player Raw Data'!D:D,Match($A695,'Player Raw Data'!$B:$B,0)),"")</f>
        <v/>
      </c>
      <c r="D695" t="str">
        <f t="array" ref="D695">IFERROR(IF(A695=A694, INDEX('Player Raw Data'!E:E,Match($A695,'Player Raw Data'!$B:$B,0)+2),INDEX('Player Raw Data'!E:E,Match($A695,'Player Raw Data'!$B:$B,0))),"")</f>
        <v/>
      </c>
      <c r="E695" s="27" t="str">
        <f>IFERROR(__xludf.DUMMYFUNCTION("IFERROR(ARRAY_CONSTRAIN(SPLIT(INDEX('Daily Raw Data'!G:G,Match($A695,'Daily Raw Data'!$B:$B,0)),"":""),1,1),"""")"),"")</f>
        <v/>
      </c>
      <c r="F695" t="str">
        <f t="array" ref="F695">IFERROR(INDEX('Daily Raw Data'!H:H,Match($A695,'Daily Raw Data'!$B:$B,0)),"")</f>
        <v/>
      </c>
      <c r="G695" t="str">
        <f t="array" ref="G695">IFERROR(INDEX('Daily Raw Data'!I:I,Match($A695,'Daily Raw Data'!$B:$B,0)),"")</f>
        <v/>
      </c>
      <c r="H695" t="str">
        <f t="array" ref="H695">IFERROR(INDEX('Daily Raw Data'!N:N,Match($A695,'Daily Raw Data'!$B:$B,0)),"")</f>
        <v/>
      </c>
      <c r="I695" t="str">
        <f t="array" ref="I695">IFERROR(INDEX('Daily Raw Data'!O:O,Match($A695,'Daily Raw Data'!$B:$B,0)),"")</f>
        <v/>
      </c>
      <c r="J695" t="str">
        <f t="array" ref="J695">IFERROR(INDEX('Daily Raw Data'!S:S,Match($A695,'Daily Raw Data'!$B:$B,0)),"")</f>
        <v/>
      </c>
      <c r="K695" t="str">
        <f t="array" ref="K695">IFERROR(INDEX('Daily Raw Data'!T:T,Match($A695,'Daily Raw Data'!$B:$B,0)),"")</f>
        <v/>
      </c>
      <c r="L695" t="str">
        <f t="array" ref="L695">IFERROR(INDEX('Daily Raw Data'!U:U,Match($A695,'Daily Raw Data'!$B:$B,0)),"")</f>
        <v/>
      </c>
      <c r="M695" t="str">
        <f t="array" ref="M695">IFERROR(INDEX('Daily Raw Data'!V:V,Match($A695,'Daily Raw Data'!$B:$B,0)),"")</f>
        <v/>
      </c>
      <c r="N695" t="str">
        <f t="array" ref="N695">IFERROR(INDEX('Daily Raw Data'!W:W,Match($A695,'Daily Raw Data'!$B:$B,0)),"")</f>
        <v/>
      </c>
      <c r="O695" t="str">
        <f t="array" ref="O695">IFERROR(INDEX('Daily Raw Data'!Y:Y,Match($A695,'Daily Raw Data'!$B:$B,0)),"")</f>
        <v/>
      </c>
      <c r="P695" t="str">
        <f t="shared" si="1"/>
        <v/>
      </c>
      <c r="Q695" s="14" t="str">
        <f t="shared" si="2"/>
        <v/>
      </c>
      <c r="R695" s="15" t="str">
        <f>IFERROR(__xludf.DUMMYFUNCTION("IF($A695="""","""", IFERROR(PERCENTRANK.INC(FILTER(P:P,$E:$E&lt;&gt;""""),P695)*100,""""))"),"")</f>
        <v/>
      </c>
      <c r="S695" s="15" t="str">
        <f>IFERROR(__xludf.DUMMYFUNCTION("IF($A695="""","""",IFERROR(PERCENTRANK.INC(FILTER(Q:Q,$E:$E&lt;&gt;""""),Q695)*100,""""))"),"")</f>
        <v/>
      </c>
    </row>
    <row r="696">
      <c r="B696" t="str">
        <f t="array" ref="B696">IFERROR(INDEX('Player Raw Data'!C:C,Match($A696,'Player Raw Data'!$B:$B,0)),"")</f>
        <v/>
      </c>
      <c r="C696" t="str">
        <f t="array" ref="C696">IFERROR(INDEX('Player Raw Data'!D:D,Match($A696,'Player Raw Data'!$B:$B,0)),"")</f>
        <v/>
      </c>
      <c r="D696" t="str">
        <f t="array" ref="D696">IFERROR(IF(A696=A695, INDEX('Player Raw Data'!E:E,Match($A696,'Player Raw Data'!$B:$B,0)+2),INDEX('Player Raw Data'!E:E,Match($A696,'Player Raw Data'!$B:$B,0))),"")</f>
        <v/>
      </c>
      <c r="E696" s="27" t="str">
        <f>IFERROR(__xludf.DUMMYFUNCTION("IFERROR(ARRAY_CONSTRAIN(SPLIT(INDEX('Daily Raw Data'!G:G,Match($A696,'Daily Raw Data'!$B:$B,0)),"":""),1,1),"""")"),"")</f>
        <v/>
      </c>
      <c r="F696" t="str">
        <f t="array" ref="F696">IFERROR(INDEX('Daily Raw Data'!H:H,Match($A696,'Daily Raw Data'!$B:$B,0)),"")</f>
        <v/>
      </c>
      <c r="G696" t="str">
        <f t="array" ref="G696">IFERROR(INDEX('Daily Raw Data'!I:I,Match($A696,'Daily Raw Data'!$B:$B,0)),"")</f>
        <v/>
      </c>
      <c r="H696" t="str">
        <f t="array" ref="H696">IFERROR(INDEX('Daily Raw Data'!N:N,Match($A696,'Daily Raw Data'!$B:$B,0)),"")</f>
        <v/>
      </c>
      <c r="I696" t="str">
        <f t="array" ref="I696">IFERROR(INDEX('Daily Raw Data'!O:O,Match($A696,'Daily Raw Data'!$B:$B,0)),"")</f>
        <v/>
      </c>
      <c r="J696" t="str">
        <f t="array" ref="J696">IFERROR(INDEX('Daily Raw Data'!S:S,Match($A696,'Daily Raw Data'!$B:$B,0)),"")</f>
        <v/>
      </c>
      <c r="K696" t="str">
        <f t="array" ref="K696">IFERROR(INDEX('Daily Raw Data'!T:T,Match($A696,'Daily Raw Data'!$B:$B,0)),"")</f>
        <v/>
      </c>
      <c r="L696" t="str">
        <f t="array" ref="L696">IFERROR(INDEX('Daily Raw Data'!U:U,Match($A696,'Daily Raw Data'!$B:$B,0)),"")</f>
        <v/>
      </c>
      <c r="M696" t="str">
        <f t="array" ref="M696">IFERROR(INDEX('Daily Raw Data'!V:V,Match($A696,'Daily Raw Data'!$B:$B,0)),"")</f>
        <v/>
      </c>
      <c r="N696" t="str">
        <f t="array" ref="N696">IFERROR(INDEX('Daily Raw Data'!W:W,Match($A696,'Daily Raw Data'!$B:$B,0)),"")</f>
        <v/>
      </c>
      <c r="O696" t="str">
        <f t="array" ref="O696">IFERROR(INDEX('Daily Raw Data'!Y:Y,Match($A696,'Daily Raw Data'!$B:$B,0)),"")</f>
        <v/>
      </c>
      <c r="P696" t="str">
        <f t="shared" si="1"/>
        <v/>
      </c>
      <c r="Q696" s="14" t="str">
        <f t="shared" si="2"/>
        <v/>
      </c>
      <c r="R696" s="15" t="str">
        <f>IFERROR(__xludf.DUMMYFUNCTION("IF($A696="""","""", IFERROR(PERCENTRANK.INC(FILTER(P:P,$E:$E&lt;&gt;""""),P696)*100,""""))"),"")</f>
        <v/>
      </c>
      <c r="S696" s="15" t="str">
        <f>IFERROR(__xludf.DUMMYFUNCTION("IF($A696="""","""",IFERROR(PERCENTRANK.INC(FILTER(Q:Q,$E:$E&lt;&gt;""""),Q696)*100,""""))"),"")</f>
        <v/>
      </c>
    </row>
    <row r="697">
      <c r="B697" t="str">
        <f t="array" ref="B697">IFERROR(INDEX('Player Raw Data'!C:C,Match($A697,'Player Raw Data'!$B:$B,0)),"")</f>
        <v/>
      </c>
      <c r="C697" t="str">
        <f t="array" ref="C697">IFERROR(INDEX('Player Raw Data'!D:D,Match($A697,'Player Raw Data'!$B:$B,0)),"")</f>
        <v/>
      </c>
      <c r="D697" t="str">
        <f t="array" ref="D697">IFERROR(IF(A697=A696, INDEX('Player Raw Data'!E:E,Match($A697,'Player Raw Data'!$B:$B,0)+2),INDEX('Player Raw Data'!E:E,Match($A697,'Player Raw Data'!$B:$B,0))),"")</f>
        <v/>
      </c>
      <c r="E697" s="27" t="str">
        <f>IFERROR(__xludf.DUMMYFUNCTION("IFERROR(ARRAY_CONSTRAIN(SPLIT(INDEX('Daily Raw Data'!G:G,Match($A697,'Daily Raw Data'!$B:$B,0)),"":""),1,1),"""")"),"")</f>
        <v/>
      </c>
      <c r="F697" t="str">
        <f t="array" ref="F697">IFERROR(INDEX('Daily Raw Data'!H:H,Match($A697,'Daily Raw Data'!$B:$B,0)),"")</f>
        <v/>
      </c>
      <c r="G697" t="str">
        <f t="array" ref="G697">IFERROR(INDEX('Daily Raw Data'!I:I,Match($A697,'Daily Raw Data'!$B:$B,0)),"")</f>
        <v/>
      </c>
      <c r="H697" t="str">
        <f t="array" ref="H697">IFERROR(INDEX('Daily Raw Data'!N:N,Match($A697,'Daily Raw Data'!$B:$B,0)),"")</f>
        <v/>
      </c>
      <c r="I697" t="str">
        <f t="array" ref="I697">IFERROR(INDEX('Daily Raw Data'!O:O,Match($A697,'Daily Raw Data'!$B:$B,0)),"")</f>
        <v/>
      </c>
      <c r="J697" t="str">
        <f t="array" ref="J697">IFERROR(INDEX('Daily Raw Data'!S:S,Match($A697,'Daily Raw Data'!$B:$B,0)),"")</f>
        <v/>
      </c>
      <c r="K697" t="str">
        <f t="array" ref="K697">IFERROR(INDEX('Daily Raw Data'!T:T,Match($A697,'Daily Raw Data'!$B:$B,0)),"")</f>
        <v/>
      </c>
      <c r="L697" t="str">
        <f t="array" ref="L697">IFERROR(INDEX('Daily Raw Data'!U:U,Match($A697,'Daily Raw Data'!$B:$B,0)),"")</f>
        <v/>
      </c>
      <c r="M697" t="str">
        <f t="array" ref="M697">IFERROR(INDEX('Daily Raw Data'!V:V,Match($A697,'Daily Raw Data'!$B:$B,0)),"")</f>
        <v/>
      </c>
      <c r="N697" t="str">
        <f t="array" ref="N697">IFERROR(INDEX('Daily Raw Data'!W:W,Match($A697,'Daily Raw Data'!$B:$B,0)),"")</f>
        <v/>
      </c>
      <c r="O697" t="str">
        <f t="array" ref="O697">IFERROR(INDEX('Daily Raw Data'!Y:Y,Match($A697,'Daily Raw Data'!$B:$B,0)),"")</f>
        <v/>
      </c>
      <c r="P697" t="str">
        <f t="shared" si="1"/>
        <v/>
      </c>
      <c r="Q697" s="14" t="str">
        <f t="shared" si="2"/>
        <v/>
      </c>
      <c r="R697" s="15" t="str">
        <f>IFERROR(__xludf.DUMMYFUNCTION("IF($A697="""","""", IFERROR(PERCENTRANK.INC(FILTER(P:P,$E:$E&lt;&gt;""""),P697)*100,""""))"),"")</f>
        <v/>
      </c>
      <c r="S697" s="15" t="str">
        <f>IFERROR(__xludf.DUMMYFUNCTION("IF($A697="""","""",IFERROR(PERCENTRANK.INC(FILTER(Q:Q,$E:$E&lt;&gt;""""),Q697)*100,""""))"),"")</f>
        <v/>
      </c>
    </row>
    <row r="698">
      <c r="B698" t="str">
        <f t="array" ref="B698">IFERROR(INDEX('Player Raw Data'!C:C,Match($A698,'Player Raw Data'!$B:$B,0)),"")</f>
        <v/>
      </c>
      <c r="C698" t="str">
        <f t="array" ref="C698">IFERROR(INDEX('Player Raw Data'!D:D,Match($A698,'Player Raw Data'!$B:$B,0)),"")</f>
        <v/>
      </c>
      <c r="D698" t="str">
        <f t="array" ref="D698">IFERROR(IF(A698=A697, INDEX('Player Raw Data'!E:E,Match($A698,'Player Raw Data'!$B:$B,0)+2),INDEX('Player Raw Data'!E:E,Match($A698,'Player Raw Data'!$B:$B,0))),"")</f>
        <v/>
      </c>
      <c r="E698" s="27" t="str">
        <f>IFERROR(__xludf.DUMMYFUNCTION("IFERROR(ARRAY_CONSTRAIN(SPLIT(INDEX('Daily Raw Data'!G:G,Match($A698,'Daily Raw Data'!$B:$B,0)),"":""),1,1),"""")"),"")</f>
        <v/>
      </c>
      <c r="F698" t="str">
        <f t="array" ref="F698">IFERROR(INDEX('Daily Raw Data'!H:H,Match($A698,'Daily Raw Data'!$B:$B,0)),"")</f>
        <v/>
      </c>
      <c r="G698" t="str">
        <f t="array" ref="G698">IFERROR(INDEX('Daily Raw Data'!I:I,Match($A698,'Daily Raw Data'!$B:$B,0)),"")</f>
        <v/>
      </c>
      <c r="H698" t="str">
        <f t="array" ref="H698">IFERROR(INDEX('Daily Raw Data'!N:N,Match($A698,'Daily Raw Data'!$B:$B,0)),"")</f>
        <v/>
      </c>
      <c r="I698" t="str">
        <f t="array" ref="I698">IFERROR(INDEX('Daily Raw Data'!O:O,Match($A698,'Daily Raw Data'!$B:$B,0)),"")</f>
        <v/>
      </c>
      <c r="J698" t="str">
        <f t="array" ref="J698">IFERROR(INDEX('Daily Raw Data'!S:S,Match($A698,'Daily Raw Data'!$B:$B,0)),"")</f>
        <v/>
      </c>
      <c r="K698" t="str">
        <f t="array" ref="K698">IFERROR(INDEX('Daily Raw Data'!T:T,Match($A698,'Daily Raw Data'!$B:$B,0)),"")</f>
        <v/>
      </c>
      <c r="L698" t="str">
        <f t="array" ref="L698">IFERROR(INDEX('Daily Raw Data'!U:U,Match($A698,'Daily Raw Data'!$B:$B,0)),"")</f>
        <v/>
      </c>
      <c r="M698" t="str">
        <f t="array" ref="M698">IFERROR(INDEX('Daily Raw Data'!V:V,Match($A698,'Daily Raw Data'!$B:$B,0)),"")</f>
        <v/>
      </c>
      <c r="N698" t="str">
        <f t="array" ref="N698">IFERROR(INDEX('Daily Raw Data'!W:W,Match($A698,'Daily Raw Data'!$B:$B,0)),"")</f>
        <v/>
      </c>
      <c r="O698" t="str">
        <f t="array" ref="O698">IFERROR(INDEX('Daily Raw Data'!Y:Y,Match($A698,'Daily Raw Data'!$B:$B,0)),"")</f>
        <v/>
      </c>
      <c r="P698" t="str">
        <f t="shared" si="1"/>
        <v/>
      </c>
      <c r="Q698" s="14" t="str">
        <f t="shared" si="2"/>
        <v/>
      </c>
      <c r="R698" s="15" t="str">
        <f>IFERROR(__xludf.DUMMYFUNCTION("IF($A698="""","""", IFERROR(PERCENTRANK.INC(FILTER(P:P,$E:$E&lt;&gt;""""),P698)*100,""""))"),"")</f>
        <v/>
      </c>
      <c r="S698" s="15" t="str">
        <f>IFERROR(__xludf.DUMMYFUNCTION("IF($A698="""","""",IFERROR(PERCENTRANK.INC(FILTER(Q:Q,$E:$E&lt;&gt;""""),Q698)*100,""""))"),"")</f>
        <v/>
      </c>
    </row>
    <row r="699">
      <c r="B699" t="str">
        <f t="array" ref="B699">IFERROR(INDEX('Player Raw Data'!C:C,Match($A699,'Player Raw Data'!$B:$B,0)),"")</f>
        <v/>
      </c>
      <c r="C699" t="str">
        <f t="array" ref="C699">IFERROR(INDEX('Player Raw Data'!D:D,Match($A699,'Player Raw Data'!$B:$B,0)),"")</f>
        <v/>
      </c>
      <c r="D699" t="str">
        <f t="array" ref="D699">IFERROR(IF(A699=A698, INDEX('Player Raw Data'!E:E,Match($A699,'Player Raw Data'!$B:$B,0)+2),INDEX('Player Raw Data'!E:E,Match($A699,'Player Raw Data'!$B:$B,0))),"")</f>
        <v/>
      </c>
      <c r="E699" s="27" t="str">
        <f>IFERROR(__xludf.DUMMYFUNCTION("IFERROR(ARRAY_CONSTRAIN(SPLIT(INDEX('Daily Raw Data'!G:G,Match($A699,'Daily Raw Data'!$B:$B,0)),"":""),1,1),"""")"),"")</f>
        <v/>
      </c>
      <c r="F699" t="str">
        <f t="array" ref="F699">IFERROR(INDEX('Daily Raw Data'!H:H,Match($A699,'Daily Raw Data'!$B:$B,0)),"")</f>
        <v/>
      </c>
      <c r="G699" t="str">
        <f t="array" ref="G699">IFERROR(INDEX('Daily Raw Data'!I:I,Match($A699,'Daily Raw Data'!$B:$B,0)),"")</f>
        <v/>
      </c>
      <c r="H699" t="str">
        <f t="array" ref="H699">IFERROR(INDEX('Daily Raw Data'!N:N,Match($A699,'Daily Raw Data'!$B:$B,0)),"")</f>
        <v/>
      </c>
      <c r="I699" t="str">
        <f t="array" ref="I699">IFERROR(INDEX('Daily Raw Data'!O:O,Match($A699,'Daily Raw Data'!$B:$B,0)),"")</f>
        <v/>
      </c>
      <c r="J699" t="str">
        <f t="array" ref="J699">IFERROR(INDEX('Daily Raw Data'!S:S,Match($A699,'Daily Raw Data'!$B:$B,0)),"")</f>
        <v/>
      </c>
      <c r="K699" t="str">
        <f t="array" ref="K699">IFERROR(INDEX('Daily Raw Data'!T:T,Match($A699,'Daily Raw Data'!$B:$B,0)),"")</f>
        <v/>
      </c>
      <c r="L699" t="str">
        <f t="array" ref="L699">IFERROR(INDEX('Daily Raw Data'!U:U,Match($A699,'Daily Raw Data'!$B:$B,0)),"")</f>
        <v/>
      </c>
      <c r="M699" t="str">
        <f t="array" ref="M699">IFERROR(INDEX('Daily Raw Data'!V:V,Match($A699,'Daily Raw Data'!$B:$B,0)),"")</f>
        <v/>
      </c>
      <c r="N699" t="str">
        <f t="array" ref="N699">IFERROR(INDEX('Daily Raw Data'!W:W,Match($A699,'Daily Raw Data'!$B:$B,0)),"")</f>
        <v/>
      </c>
      <c r="O699" t="str">
        <f t="array" ref="O699">IFERROR(INDEX('Daily Raw Data'!Y:Y,Match($A699,'Daily Raw Data'!$B:$B,0)),"")</f>
        <v/>
      </c>
      <c r="P699" t="str">
        <f t="shared" si="1"/>
        <v/>
      </c>
      <c r="Q699" s="14" t="str">
        <f t="shared" si="2"/>
        <v/>
      </c>
      <c r="R699" s="15" t="str">
        <f>IFERROR(__xludf.DUMMYFUNCTION("IF($A699="""","""", IFERROR(PERCENTRANK.INC(FILTER(P:P,$E:$E&lt;&gt;""""),P699)*100,""""))"),"")</f>
        <v/>
      </c>
      <c r="S699" s="15" t="str">
        <f>IFERROR(__xludf.DUMMYFUNCTION("IF($A699="""","""",IFERROR(PERCENTRANK.INC(FILTER(Q:Q,$E:$E&lt;&gt;""""),Q699)*100,""""))"),"")</f>
        <v/>
      </c>
    </row>
    <row r="700">
      <c r="B700" t="str">
        <f t="array" ref="B700">IFERROR(INDEX('Player Raw Data'!C:C,Match($A700,'Player Raw Data'!$B:$B,0)),"")</f>
        <v/>
      </c>
      <c r="C700" t="str">
        <f t="array" ref="C700">IFERROR(INDEX('Player Raw Data'!D:D,Match($A700,'Player Raw Data'!$B:$B,0)),"")</f>
        <v/>
      </c>
      <c r="D700" t="str">
        <f t="array" ref="D700">IFERROR(IF(A700=A699, INDEX('Player Raw Data'!E:E,Match($A700,'Player Raw Data'!$B:$B,0)+2),INDEX('Player Raw Data'!E:E,Match($A700,'Player Raw Data'!$B:$B,0))),"")</f>
        <v/>
      </c>
      <c r="E700" s="27" t="str">
        <f>IFERROR(__xludf.DUMMYFUNCTION("IFERROR(ARRAY_CONSTRAIN(SPLIT(INDEX('Daily Raw Data'!G:G,Match($A700,'Daily Raw Data'!$B:$B,0)),"":""),1,1),"""")"),"")</f>
        <v/>
      </c>
      <c r="F700" t="str">
        <f t="array" ref="F700">IFERROR(INDEX('Daily Raw Data'!H:H,Match($A700,'Daily Raw Data'!$B:$B,0)),"")</f>
        <v/>
      </c>
      <c r="G700" t="str">
        <f t="array" ref="G700">IFERROR(INDEX('Daily Raw Data'!I:I,Match($A700,'Daily Raw Data'!$B:$B,0)),"")</f>
        <v/>
      </c>
      <c r="H700" t="str">
        <f t="array" ref="H700">IFERROR(INDEX('Daily Raw Data'!N:N,Match($A700,'Daily Raw Data'!$B:$B,0)),"")</f>
        <v/>
      </c>
      <c r="I700" t="str">
        <f t="array" ref="I700">IFERROR(INDEX('Daily Raw Data'!O:O,Match($A700,'Daily Raw Data'!$B:$B,0)),"")</f>
        <v/>
      </c>
      <c r="J700" t="str">
        <f t="array" ref="J700">IFERROR(INDEX('Daily Raw Data'!S:S,Match($A700,'Daily Raw Data'!$B:$B,0)),"")</f>
        <v/>
      </c>
      <c r="K700" t="str">
        <f t="array" ref="K700">IFERROR(INDEX('Daily Raw Data'!T:T,Match($A700,'Daily Raw Data'!$B:$B,0)),"")</f>
        <v/>
      </c>
      <c r="L700" t="str">
        <f t="array" ref="L700">IFERROR(INDEX('Daily Raw Data'!U:U,Match($A700,'Daily Raw Data'!$B:$B,0)),"")</f>
        <v/>
      </c>
      <c r="M700" t="str">
        <f t="array" ref="M700">IFERROR(INDEX('Daily Raw Data'!V:V,Match($A700,'Daily Raw Data'!$B:$B,0)),"")</f>
        <v/>
      </c>
      <c r="N700" t="str">
        <f t="array" ref="N700">IFERROR(INDEX('Daily Raw Data'!W:W,Match($A700,'Daily Raw Data'!$B:$B,0)),"")</f>
        <v/>
      </c>
      <c r="O700" t="str">
        <f t="array" ref="O700">IFERROR(INDEX('Daily Raw Data'!Y:Y,Match($A700,'Daily Raw Data'!$B:$B,0)),"")</f>
        <v/>
      </c>
      <c r="P700" t="str">
        <f t="shared" si="1"/>
        <v/>
      </c>
      <c r="Q700" s="14" t="str">
        <f t="shared" si="2"/>
        <v/>
      </c>
      <c r="R700" s="15" t="str">
        <f>IFERROR(__xludf.DUMMYFUNCTION("IF($A700="""","""", IFERROR(PERCENTRANK.INC(FILTER(P:P,$E:$E&lt;&gt;""""),P700)*100,""""))"),"")</f>
        <v/>
      </c>
      <c r="S700" s="15" t="str">
        <f>IFERROR(__xludf.DUMMYFUNCTION("IF($A700="""","""",IFERROR(PERCENTRANK.INC(FILTER(Q:Q,$E:$E&lt;&gt;""""),Q700)*100,""""))"),"")</f>
        <v/>
      </c>
    </row>
    <row r="701">
      <c r="B701" t="str">
        <f t="array" ref="B701">IFERROR(INDEX('Player Raw Data'!C:C,Match($A701,'Player Raw Data'!$B:$B,0)),"")</f>
        <v/>
      </c>
      <c r="C701" t="str">
        <f t="array" ref="C701">IFERROR(INDEX('Player Raw Data'!D:D,Match($A701,'Player Raw Data'!$B:$B,0)),"")</f>
        <v/>
      </c>
      <c r="D701" t="str">
        <f t="array" ref="D701">IFERROR(IF(A701=A700, INDEX('Player Raw Data'!E:E,Match($A701,'Player Raw Data'!$B:$B,0)+2),INDEX('Player Raw Data'!E:E,Match($A701,'Player Raw Data'!$B:$B,0))),"")</f>
        <v/>
      </c>
      <c r="E701" s="27" t="str">
        <f>IFERROR(__xludf.DUMMYFUNCTION("IFERROR(ARRAY_CONSTRAIN(SPLIT(INDEX('Daily Raw Data'!G:G,Match($A701,'Daily Raw Data'!$B:$B,0)),"":""),1,1),"""")"),"")</f>
        <v/>
      </c>
      <c r="F701" t="str">
        <f t="array" ref="F701">IFERROR(INDEX('Daily Raw Data'!H:H,Match($A701,'Daily Raw Data'!$B:$B,0)),"")</f>
        <v/>
      </c>
      <c r="G701" t="str">
        <f t="array" ref="G701">IFERROR(INDEX('Daily Raw Data'!I:I,Match($A701,'Daily Raw Data'!$B:$B,0)),"")</f>
        <v/>
      </c>
      <c r="H701" t="str">
        <f t="array" ref="H701">IFERROR(INDEX('Daily Raw Data'!N:N,Match($A701,'Daily Raw Data'!$B:$B,0)),"")</f>
        <v/>
      </c>
      <c r="I701" t="str">
        <f t="array" ref="I701">IFERROR(INDEX('Daily Raw Data'!O:O,Match($A701,'Daily Raw Data'!$B:$B,0)),"")</f>
        <v/>
      </c>
      <c r="J701" t="str">
        <f t="array" ref="J701">IFERROR(INDEX('Daily Raw Data'!S:S,Match($A701,'Daily Raw Data'!$B:$B,0)),"")</f>
        <v/>
      </c>
      <c r="K701" t="str">
        <f t="array" ref="K701">IFERROR(INDEX('Daily Raw Data'!T:T,Match($A701,'Daily Raw Data'!$B:$B,0)),"")</f>
        <v/>
      </c>
      <c r="L701" t="str">
        <f t="array" ref="L701">IFERROR(INDEX('Daily Raw Data'!U:U,Match($A701,'Daily Raw Data'!$B:$B,0)),"")</f>
        <v/>
      </c>
      <c r="M701" t="str">
        <f t="array" ref="M701">IFERROR(INDEX('Daily Raw Data'!V:V,Match($A701,'Daily Raw Data'!$B:$B,0)),"")</f>
        <v/>
      </c>
      <c r="N701" t="str">
        <f t="array" ref="N701">IFERROR(INDEX('Daily Raw Data'!W:W,Match($A701,'Daily Raw Data'!$B:$B,0)),"")</f>
        <v/>
      </c>
      <c r="O701" t="str">
        <f t="array" ref="O701">IFERROR(INDEX('Daily Raw Data'!Y:Y,Match($A701,'Daily Raw Data'!$B:$B,0)),"")</f>
        <v/>
      </c>
      <c r="P701" t="str">
        <f t="shared" si="1"/>
        <v/>
      </c>
      <c r="Q701" s="14" t="str">
        <f t="shared" si="2"/>
        <v/>
      </c>
      <c r="R701" s="15" t="str">
        <f>IFERROR(__xludf.DUMMYFUNCTION("IF($A701="""","""", IFERROR(PERCENTRANK.INC(FILTER(P:P,$E:$E&lt;&gt;""""),P701)*100,""""))"),"")</f>
        <v/>
      </c>
      <c r="S701" s="15" t="str">
        <f>IFERROR(__xludf.DUMMYFUNCTION("IF($A701="""","""",IFERROR(PERCENTRANK.INC(FILTER(Q:Q,$E:$E&lt;&gt;""""),Q701)*100,""""))"),"")</f>
        <v/>
      </c>
    </row>
    <row r="702">
      <c r="B702" t="str">
        <f t="array" ref="B702">IFERROR(INDEX('Player Raw Data'!C:C,Match($A702,'Player Raw Data'!$B:$B,0)),"")</f>
        <v/>
      </c>
      <c r="C702" t="str">
        <f t="array" ref="C702">IFERROR(INDEX('Player Raw Data'!D:D,Match($A702,'Player Raw Data'!$B:$B,0)),"")</f>
        <v/>
      </c>
      <c r="D702" t="str">
        <f t="array" ref="D702">IFERROR(IF(A702=A701, INDEX('Player Raw Data'!E:E,Match($A702,'Player Raw Data'!$B:$B,0)+2),INDEX('Player Raw Data'!E:E,Match($A702,'Player Raw Data'!$B:$B,0))),"")</f>
        <v/>
      </c>
      <c r="E702" s="27" t="str">
        <f>IFERROR(__xludf.DUMMYFUNCTION("IFERROR(ARRAY_CONSTRAIN(SPLIT(INDEX('Daily Raw Data'!G:G,Match($A702,'Daily Raw Data'!$B:$B,0)),"":""),1,1),"""")"),"")</f>
        <v/>
      </c>
      <c r="F702" t="str">
        <f t="array" ref="F702">IFERROR(INDEX('Daily Raw Data'!H:H,Match($A702,'Daily Raw Data'!$B:$B,0)),"")</f>
        <v/>
      </c>
      <c r="G702" t="str">
        <f t="array" ref="G702">IFERROR(INDEX('Daily Raw Data'!I:I,Match($A702,'Daily Raw Data'!$B:$B,0)),"")</f>
        <v/>
      </c>
      <c r="H702" t="str">
        <f t="array" ref="H702">IFERROR(INDEX('Daily Raw Data'!N:N,Match($A702,'Daily Raw Data'!$B:$B,0)),"")</f>
        <v/>
      </c>
      <c r="I702" t="str">
        <f t="array" ref="I702">IFERROR(INDEX('Daily Raw Data'!O:O,Match($A702,'Daily Raw Data'!$B:$B,0)),"")</f>
        <v/>
      </c>
      <c r="J702" t="str">
        <f t="array" ref="J702">IFERROR(INDEX('Daily Raw Data'!S:S,Match($A702,'Daily Raw Data'!$B:$B,0)),"")</f>
        <v/>
      </c>
      <c r="K702" t="str">
        <f t="array" ref="K702">IFERROR(INDEX('Daily Raw Data'!T:T,Match($A702,'Daily Raw Data'!$B:$B,0)),"")</f>
        <v/>
      </c>
      <c r="L702" t="str">
        <f t="array" ref="L702">IFERROR(INDEX('Daily Raw Data'!U:U,Match($A702,'Daily Raw Data'!$B:$B,0)),"")</f>
        <v/>
      </c>
      <c r="M702" t="str">
        <f t="array" ref="M702">IFERROR(INDEX('Daily Raw Data'!V:V,Match($A702,'Daily Raw Data'!$B:$B,0)),"")</f>
        <v/>
      </c>
      <c r="N702" t="str">
        <f t="array" ref="N702">IFERROR(INDEX('Daily Raw Data'!W:W,Match($A702,'Daily Raw Data'!$B:$B,0)),"")</f>
        <v/>
      </c>
      <c r="O702" t="str">
        <f t="array" ref="O702">IFERROR(INDEX('Daily Raw Data'!Y:Y,Match($A702,'Daily Raw Data'!$B:$B,0)),"")</f>
        <v/>
      </c>
      <c r="P702" t="str">
        <f t="shared" si="1"/>
        <v/>
      </c>
      <c r="Q702" s="14" t="str">
        <f t="shared" si="2"/>
        <v/>
      </c>
      <c r="R702" s="15" t="str">
        <f>IFERROR(__xludf.DUMMYFUNCTION("IF($A702="""","""", IFERROR(PERCENTRANK.INC(FILTER(P:P,$E:$E&lt;&gt;""""),P702)*100,""""))"),"")</f>
        <v/>
      </c>
      <c r="S702" s="15" t="str">
        <f>IFERROR(__xludf.DUMMYFUNCTION("IF($A702="""","""",IFERROR(PERCENTRANK.INC(FILTER(Q:Q,$E:$E&lt;&gt;""""),Q702)*100,""""))"),"")</f>
        <v/>
      </c>
    </row>
    <row r="703">
      <c r="B703" t="str">
        <f t="array" ref="B703">IFERROR(INDEX('Player Raw Data'!C:C,Match($A703,'Player Raw Data'!$B:$B,0)),"")</f>
        <v/>
      </c>
      <c r="C703" t="str">
        <f t="array" ref="C703">IFERROR(INDEX('Player Raw Data'!D:D,Match($A703,'Player Raw Data'!$B:$B,0)),"")</f>
        <v/>
      </c>
      <c r="D703" t="str">
        <f t="array" ref="D703">IFERROR(IF(A703=A702, INDEX('Player Raw Data'!E:E,Match($A703,'Player Raw Data'!$B:$B,0)+2),INDEX('Player Raw Data'!E:E,Match($A703,'Player Raw Data'!$B:$B,0))),"")</f>
        <v/>
      </c>
      <c r="E703" s="27" t="str">
        <f>IFERROR(__xludf.DUMMYFUNCTION("IFERROR(ARRAY_CONSTRAIN(SPLIT(INDEX('Daily Raw Data'!G:G,Match($A703,'Daily Raw Data'!$B:$B,0)),"":""),1,1),"""")"),"")</f>
        <v/>
      </c>
      <c r="F703" t="str">
        <f t="array" ref="F703">IFERROR(INDEX('Daily Raw Data'!H:H,Match($A703,'Daily Raw Data'!$B:$B,0)),"")</f>
        <v/>
      </c>
      <c r="G703" t="str">
        <f t="array" ref="G703">IFERROR(INDEX('Daily Raw Data'!I:I,Match($A703,'Daily Raw Data'!$B:$B,0)),"")</f>
        <v/>
      </c>
      <c r="H703" t="str">
        <f t="array" ref="H703">IFERROR(INDEX('Daily Raw Data'!N:N,Match($A703,'Daily Raw Data'!$B:$B,0)),"")</f>
        <v/>
      </c>
      <c r="I703" t="str">
        <f t="array" ref="I703">IFERROR(INDEX('Daily Raw Data'!O:O,Match($A703,'Daily Raw Data'!$B:$B,0)),"")</f>
        <v/>
      </c>
      <c r="J703" t="str">
        <f t="array" ref="J703">IFERROR(INDEX('Daily Raw Data'!S:S,Match($A703,'Daily Raw Data'!$B:$B,0)),"")</f>
        <v/>
      </c>
      <c r="K703" t="str">
        <f t="array" ref="K703">IFERROR(INDEX('Daily Raw Data'!T:T,Match($A703,'Daily Raw Data'!$B:$B,0)),"")</f>
        <v/>
      </c>
      <c r="L703" t="str">
        <f t="array" ref="L703">IFERROR(INDEX('Daily Raw Data'!U:U,Match($A703,'Daily Raw Data'!$B:$B,0)),"")</f>
        <v/>
      </c>
      <c r="M703" t="str">
        <f t="array" ref="M703">IFERROR(INDEX('Daily Raw Data'!V:V,Match($A703,'Daily Raw Data'!$B:$B,0)),"")</f>
        <v/>
      </c>
      <c r="N703" t="str">
        <f t="array" ref="N703">IFERROR(INDEX('Daily Raw Data'!W:W,Match($A703,'Daily Raw Data'!$B:$B,0)),"")</f>
        <v/>
      </c>
      <c r="O703" t="str">
        <f t="array" ref="O703">IFERROR(INDEX('Daily Raw Data'!Y:Y,Match($A703,'Daily Raw Data'!$B:$B,0)),"")</f>
        <v/>
      </c>
      <c r="P703" t="str">
        <f t="shared" si="1"/>
        <v/>
      </c>
      <c r="Q703" s="14" t="str">
        <f t="shared" si="2"/>
        <v/>
      </c>
      <c r="R703" s="15" t="str">
        <f>IFERROR(__xludf.DUMMYFUNCTION("IF($A703="""","""", IFERROR(PERCENTRANK.INC(FILTER(P:P,$E:$E&lt;&gt;""""),P703)*100,""""))"),"")</f>
        <v/>
      </c>
      <c r="S703" s="15" t="str">
        <f>IFERROR(__xludf.DUMMYFUNCTION("IF($A703="""","""",IFERROR(PERCENTRANK.INC(FILTER(Q:Q,$E:$E&lt;&gt;""""),Q703)*100,""""))"),"")</f>
        <v/>
      </c>
    </row>
    <row r="704">
      <c r="B704" t="str">
        <f t="array" ref="B704">IFERROR(INDEX('Player Raw Data'!C:C,Match($A704,'Player Raw Data'!$B:$B,0)),"")</f>
        <v/>
      </c>
      <c r="C704" t="str">
        <f t="array" ref="C704">IFERROR(INDEX('Player Raw Data'!D:D,Match($A704,'Player Raw Data'!$B:$B,0)),"")</f>
        <v/>
      </c>
      <c r="D704" t="str">
        <f t="array" ref="D704">IFERROR(IF(A704=A703, INDEX('Player Raw Data'!E:E,Match($A704,'Player Raw Data'!$B:$B,0)+2),INDEX('Player Raw Data'!E:E,Match($A704,'Player Raw Data'!$B:$B,0))),"")</f>
        <v/>
      </c>
      <c r="E704" s="27" t="str">
        <f>IFERROR(__xludf.DUMMYFUNCTION("IFERROR(ARRAY_CONSTRAIN(SPLIT(INDEX('Daily Raw Data'!G:G,Match($A704,'Daily Raw Data'!$B:$B,0)),"":""),1,1),"""")"),"")</f>
        <v/>
      </c>
      <c r="F704" t="str">
        <f t="array" ref="F704">IFERROR(INDEX('Daily Raw Data'!H:H,Match($A704,'Daily Raw Data'!$B:$B,0)),"")</f>
        <v/>
      </c>
      <c r="G704" t="str">
        <f t="array" ref="G704">IFERROR(INDEX('Daily Raw Data'!I:I,Match($A704,'Daily Raw Data'!$B:$B,0)),"")</f>
        <v/>
      </c>
      <c r="H704" t="str">
        <f t="array" ref="H704">IFERROR(INDEX('Daily Raw Data'!N:N,Match($A704,'Daily Raw Data'!$B:$B,0)),"")</f>
        <v/>
      </c>
      <c r="I704" t="str">
        <f t="array" ref="I704">IFERROR(INDEX('Daily Raw Data'!O:O,Match($A704,'Daily Raw Data'!$B:$B,0)),"")</f>
        <v/>
      </c>
      <c r="J704" t="str">
        <f t="array" ref="J704">IFERROR(INDEX('Daily Raw Data'!S:S,Match($A704,'Daily Raw Data'!$B:$B,0)),"")</f>
        <v/>
      </c>
      <c r="K704" t="str">
        <f t="array" ref="K704">IFERROR(INDEX('Daily Raw Data'!T:T,Match($A704,'Daily Raw Data'!$B:$B,0)),"")</f>
        <v/>
      </c>
      <c r="L704" t="str">
        <f t="array" ref="L704">IFERROR(INDEX('Daily Raw Data'!U:U,Match($A704,'Daily Raw Data'!$B:$B,0)),"")</f>
        <v/>
      </c>
      <c r="M704" t="str">
        <f t="array" ref="M704">IFERROR(INDEX('Daily Raw Data'!V:V,Match($A704,'Daily Raw Data'!$B:$B,0)),"")</f>
        <v/>
      </c>
      <c r="N704" t="str">
        <f t="array" ref="N704">IFERROR(INDEX('Daily Raw Data'!W:W,Match($A704,'Daily Raw Data'!$B:$B,0)),"")</f>
        <v/>
      </c>
      <c r="O704" t="str">
        <f t="array" ref="O704">IFERROR(INDEX('Daily Raw Data'!Y:Y,Match($A704,'Daily Raw Data'!$B:$B,0)),"")</f>
        <v/>
      </c>
      <c r="P704" t="str">
        <f t="shared" si="1"/>
        <v/>
      </c>
      <c r="Q704" s="14" t="str">
        <f t="shared" si="2"/>
        <v/>
      </c>
      <c r="R704" s="15" t="str">
        <f>IFERROR(__xludf.DUMMYFUNCTION("IF($A704="""","""", IFERROR(PERCENTRANK.INC(FILTER(P:P,$E:$E&lt;&gt;""""),P704)*100,""""))"),"")</f>
        <v/>
      </c>
      <c r="S704" s="15" t="str">
        <f>IFERROR(__xludf.DUMMYFUNCTION("IF($A704="""","""",IFERROR(PERCENTRANK.INC(FILTER(Q:Q,$E:$E&lt;&gt;""""),Q704)*100,""""))"),"")</f>
        <v/>
      </c>
    </row>
    <row r="705">
      <c r="B705" t="str">
        <f t="array" ref="B705">IFERROR(INDEX('Player Raw Data'!C:C,Match($A705,'Player Raw Data'!$B:$B,0)),"")</f>
        <v/>
      </c>
      <c r="C705" t="str">
        <f t="array" ref="C705">IFERROR(INDEX('Player Raw Data'!D:D,Match($A705,'Player Raw Data'!$B:$B,0)),"")</f>
        <v/>
      </c>
      <c r="D705" t="str">
        <f t="array" ref="D705">IFERROR(IF(A705=A704, INDEX('Player Raw Data'!E:E,Match($A705,'Player Raw Data'!$B:$B,0)+2),INDEX('Player Raw Data'!E:E,Match($A705,'Player Raw Data'!$B:$B,0))),"")</f>
        <v/>
      </c>
      <c r="E705" s="27" t="str">
        <f>IFERROR(__xludf.DUMMYFUNCTION("IFERROR(ARRAY_CONSTRAIN(SPLIT(INDEX('Daily Raw Data'!G:G,Match($A705,'Daily Raw Data'!$B:$B,0)),"":""),1,1),"""")"),"")</f>
        <v/>
      </c>
      <c r="F705" t="str">
        <f t="array" ref="F705">IFERROR(INDEX('Daily Raw Data'!H:H,Match($A705,'Daily Raw Data'!$B:$B,0)),"")</f>
        <v/>
      </c>
      <c r="G705" t="str">
        <f t="array" ref="G705">IFERROR(INDEX('Daily Raw Data'!I:I,Match($A705,'Daily Raw Data'!$B:$B,0)),"")</f>
        <v/>
      </c>
      <c r="H705" t="str">
        <f t="array" ref="H705">IFERROR(INDEX('Daily Raw Data'!N:N,Match($A705,'Daily Raw Data'!$B:$B,0)),"")</f>
        <v/>
      </c>
      <c r="I705" t="str">
        <f t="array" ref="I705">IFERROR(INDEX('Daily Raw Data'!O:O,Match($A705,'Daily Raw Data'!$B:$B,0)),"")</f>
        <v/>
      </c>
      <c r="J705" t="str">
        <f t="array" ref="J705">IFERROR(INDEX('Daily Raw Data'!S:S,Match($A705,'Daily Raw Data'!$B:$B,0)),"")</f>
        <v/>
      </c>
      <c r="K705" t="str">
        <f t="array" ref="K705">IFERROR(INDEX('Daily Raw Data'!T:T,Match($A705,'Daily Raw Data'!$B:$B,0)),"")</f>
        <v/>
      </c>
      <c r="L705" t="str">
        <f t="array" ref="L705">IFERROR(INDEX('Daily Raw Data'!U:U,Match($A705,'Daily Raw Data'!$B:$B,0)),"")</f>
        <v/>
      </c>
      <c r="M705" t="str">
        <f t="array" ref="M705">IFERROR(INDEX('Daily Raw Data'!V:V,Match($A705,'Daily Raw Data'!$B:$B,0)),"")</f>
        <v/>
      </c>
      <c r="N705" t="str">
        <f t="array" ref="N705">IFERROR(INDEX('Daily Raw Data'!W:W,Match($A705,'Daily Raw Data'!$B:$B,0)),"")</f>
        <v/>
      </c>
      <c r="O705" t="str">
        <f t="array" ref="O705">IFERROR(INDEX('Daily Raw Data'!Y:Y,Match($A705,'Daily Raw Data'!$B:$B,0)),"")</f>
        <v/>
      </c>
      <c r="P705" t="str">
        <f t="shared" si="1"/>
        <v/>
      </c>
      <c r="Q705" s="14" t="str">
        <f t="shared" si="2"/>
        <v/>
      </c>
      <c r="R705" s="15" t="str">
        <f>IFERROR(__xludf.DUMMYFUNCTION("IF($A705="""","""", IFERROR(PERCENTRANK.INC(FILTER(P:P,$E:$E&lt;&gt;""""),P705)*100,""""))"),"")</f>
        <v/>
      </c>
      <c r="S705" s="15" t="str">
        <f>IFERROR(__xludf.DUMMYFUNCTION("IF($A705="""","""",IFERROR(PERCENTRANK.INC(FILTER(Q:Q,$E:$E&lt;&gt;""""),Q705)*100,""""))"),"")</f>
        <v/>
      </c>
    </row>
    <row r="706">
      <c r="B706" t="str">
        <f t="array" ref="B706">IFERROR(INDEX('Player Raw Data'!C:C,Match($A706,'Player Raw Data'!$B:$B,0)),"")</f>
        <v/>
      </c>
      <c r="C706" t="str">
        <f t="array" ref="C706">IFERROR(INDEX('Player Raw Data'!D:D,Match($A706,'Player Raw Data'!$B:$B,0)),"")</f>
        <v/>
      </c>
      <c r="D706" t="str">
        <f t="array" ref="D706">IFERROR(IF(A706=A705, INDEX('Player Raw Data'!E:E,Match($A706,'Player Raw Data'!$B:$B,0)+2),INDEX('Player Raw Data'!E:E,Match($A706,'Player Raw Data'!$B:$B,0))),"")</f>
        <v/>
      </c>
      <c r="E706" s="27" t="str">
        <f>IFERROR(__xludf.DUMMYFUNCTION("IFERROR(ARRAY_CONSTRAIN(SPLIT(INDEX('Daily Raw Data'!G:G,Match($A706,'Daily Raw Data'!$B:$B,0)),"":""),1,1),"""")"),"")</f>
        <v/>
      </c>
      <c r="F706" t="str">
        <f t="array" ref="F706">IFERROR(INDEX('Daily Raw Data'!H:H,Match($A706,'Daily Raw Data'!$B:$B,0)),"")</f>
        <v/>
      </c>
      <c r="G706" t="str">
        <f t="array" ref="G706">IFERROR(INDEX('Daily Raw Data'!I:I,Match($A706,'Daily Raw Data'!$B:$B,0)),"")</f>
        <v/>
      </c>
      <c r="H706" t="str">
        <f t="array" ref="H706">IFERROR(INDEX('Daily Raw Data'!N:N,Match($A706,'Daily Raw Data'!$B:$B,0)),"")</f>
        <v/>
      </c>
      <c r="I706" t="str">
        <f t="array" ref="I706">IFERROR(INDEX('Daily Raw Data'!O:O,Match($A706,'Daily Raw Data'!$B:$B,0)),"")</f>
        <v/>
      </c>
      <c r="J706" t="str">
        <f t="array" ref="J706">IFERROR(INDEX('Daily Raw Data'!S:S,Match($A706,'Daily Raw Data'!$B:$B,0)),"")</f>
        <v/>
      </c>
      <c r="K706" t="str">
        <f t="array" ref="K706">IFERROR(INDEX('Daily Raw Data'!T:T,Match($A706,'Daily Raw Data'!$B:$B,0)),"")</f>
        <v/>
      </c>
      <c r="L706" t="str">
        <f t="array" ref="L706">IFERROR(INDEX('Daily Raw Data'!U:U,Match($A706,'Daily Raw Data'!$B:$B,0)),"")</f>
        <v/>
      </c>
      <c r="M706" t="str">
        <f t="array" ref="M706">IFERROR(INDEX('Daily Raw Data'!V:V,Match($A706,'Daily Raw Data'!$B:$B,0)),"")</f>
        <v/>
      </c>
      <c r="N706" t="str">
        <f t="array" ref="N706">IFERROR(INDEX('Daily Raw Data'!W:W,Match($A706,'Daily Raw Data'!$B:$B,0)),"")</f>
        <v/>
      </c>
      <c r="O706" t="str">
        <f t="array" ref="O706">IFERROR(INDEX('Daily Raw Data'!Y:Y,Match($A706,'Daily Raw Data'!$B:$B,0)),"")</f>
        <v/>
      </c>
      <c r="P706" t="str">
        <f t="shared" si="1"/>
        <v/>
      </c>
      <c r="Q706" s="14" t="str">
        <f t="shared" si="2"/>
        <v/>
      </c>
      <c r="R706" s="15" t="str">
        <f>IFERROR(__xludf.DUMMYFUNCTION("IF($A706="""","""", IFERROR(PERCENTRANK.INC(FILTER(P:P,$E:$E&lt;&gt;""""),P706)*100,""""))"),"")</f>
        <v/>
      </c>
      <c r="S706" s="15" t="str">
        <f>IFERROR(__xludf.DUMMYFUNCTION("IF($A706="""","""",IFERROR(PERCENTRANK.INC(FILTER(Q:Q,$E:$E&lt;&gt;""""),Q706)*100,""""))"),"")</f>
        <v/>
      </c>
    </row>
    <row r="707">
      <c r="B707" t="str">
        <f t="array" ref="B707">IFERROR(INDEX('Player Raw Data'!C:C,Match($A707,'Player Raw Data'!$B:$B,0)),"")</f>
        <v/>
      </c>
      <c r="C707" t="str">
        <f t="array" ref="C707">IFERROR(INDEX('Player Raw Data'!D:D,Match($A707,'Player Raw Data'!$B:$B,0)),"")</f>
        <v/>
      </c>
      <c r="D707" t="str">
        <f t="array" ref="D707">IFERROR(IF(A707=A706, INDEX('Player Raw Data'!E:E,Match($A707,'Player Raw Data'!$B:$B,0)+2),INDEX('Player Raw Data'!E:E,Match($A707,'Player Raw Data'!$B:$B,0))),"")</f>
        <v/>
      </c>
      <c r="E707" s="27" t="str">
        <f>IFERROR(__xludf.DUMMYFUNCTION("IFERROR(ARRAY_CONSTRAIN(SPLIT(INDEX('Daily Raw Data'!G:G,Match($A707,'Daily Raw Data'!$B:$B,0)),"":""),1,1),"""")"),"")</f>
        <v/>
      </c>
      <c r="F707" t="str">
        <f t="array" ref="F707">IFERROR(INDEX('Daily Raw Data'!H:H,Match($A707,'Daily Raw Data'!$B:$B,0)),"")</f>
        <v/>
      </c>
      <c r="G707" t="str">
        <f t="array" ref="G707">IFERROR(INDEX('Daily Raw Data'!I:I,Match($A707,'Daily Raw Data'!$B:$B,0)),"")</f>
        <v/>
      </c>
      <c r="H707" t="str">
        <f t="array" ref="H707">IFERROR(INDEX('Daily Raw Data'!N:N,Match($A707,'Daily Raw Data'!$B:$B,0)),"")</f>
        <v/>
      </c>
      <c r="I707" t="str">
        <f t="array" ref="I707">IFERROR(INDEX('Daily Raw Data'!O:O,Match($A707,'Daily Raw Data'!$B:$B,0)),"")</f>
        <v/>
      </c>
      <c r="J707" t="str">
        <f t="array" ref="J707">IFERROR(INDEX('Daily Raw Data'!S:S,Match($A707,'Daily Raw Data'!$B:$B,0)),"")</f>
        <v/>
      </c>
      <c r="K707" t="str">
        <f t="array" ref="K707">IFERROR(INDEX('Daily Raw Data'!T:T,Match($A707,'Daily Raw Data'!$B:$B,0)),"")</f>
        <v/>
      </c>
      <c r="L707" t="str">
        <f t="array" ref="L707">IFERROR(INDEX('Daily Raw Data'!U:U,Match($A707,'Daily Raw Data'!$B:$B,0)),"")</f>
        <v/>
      </c>
      <c r="M707" t="str">
        <f t="array" ref="M707">IFERROR(INDEX('Daily Raw Data'!V:V,Match($A707,'Daily Raw Data'!$B:$B,0)),"")</f>
        <v/>
      </c>
      <c r="N707" t="str">
        <f t="array" ref="N707">IFERROR(INDEX('Daily Raw Data'!W:W,Match($A707,'Daily Raw Data'!$B:$B,0)),"")</f>
        <v/>
      </c>
      <c r="O707" t="str">
        <f t="array" ref="O707">IFERROR(INDEX('Daily Raw Data'!Y:Y,Match($A707,'Daily Raw Data'!$B:$B,0)),"")</f>
        <v/>
      </c>
      <c r="P707" t="str">
        <f t="shared" si="1"/>
        <v/>
      </c>
      <c r="Q707" s="14" t="str">
        <f t="shared" si="2"/>
        <v/>
      </c>
      <c r="R707" s="15" t="str">
        <f>IFERROR(__xludf.DUMMYFUNCTION("IF($A707="""","""", IFERROR(PERCENTRANK.INC(FILTER(P:P,$E:$E&lt;&gt;""""),P707)*100,""""))"),"")</f>
        <v/>
      </c>
      <c r="S707" s="15" t="str">
        <f>IFERROR(__xludf.DUMMYFUNCTION("IF($A707="""","""",IFERROR(PERCENTRANK.INC(FILTER(Q:Q,$E:$E&lt;&gt;""""),Q707)*100,""""))"),"")</f>
        <v/>
      </c>
    </row>
    <row r="708">
      <c r="B708" t="str">
        <f t="array" ref="B708">IFERROR(INDEX('Player Raw Data'!C:C,Match($A708,'Player Raw Data'!$B:$B,0)),"")</f>
        <v/>
      </c>
      <c r="C708" t="str">
        <f t="array" ref="C708">IFERROR(INDEX('Player Raw Data'!D:D,Match($A708,'Player Raw Data'!$B:$B,0)),"")</f>
        <v/>
      </c>
      <c r="D708" t="str">
        <f t="array" ref="D708">IFERROR(IF(A708=A707, INDEX('Player Raw Data'!E:E,Match($A708,'Player Raw Data'!$B:$B,0)+2),INDEX('Player Raw Data'!E:E,Match($A708,'Player Raw Data'!$B:$B,0))),"")</f>
        <v/>
      </c>
      <c r="E708" s="27" t="str">
        <f>IFERROR(__xludf.DUMMYFUNCTION("IFERROR(ARRAY_CONSTRAIN(SPLIT(INDEX('Daily Raw Data'!G:G,Match($A708,'Daily Raw Data'!$B:$B,0)),"":""),1,1),"""")"),"")</f>
        <v/>
      </c>
      <c r="F708" t="str">
        <f t="array" ref="F708">IFERROR(INDEX('Daily Raw Data'!H:H,Match($A708,'Daily Raw Data'!$B:$B,0)),"")</f>
        <v/>
      </c>
      <c r="G708" t="str">
        <f t="array" ref="G708">IFERROR(INDEX('Daily Raw Data'!I:I,Match($A708,'Daily Raw Data'!$B:$B,0)),"")</f>
        <v/>
      </c>
      <c r="H708" t="str">
        <f t="array" ref="H708">IFERROR(INDEX('Daily Raw Data'!N:N,Match($A708,'Daily Raw Data'!$B:$B,0)),"")</f>
        <v/>
      </c>
      <c r="I708" t="str">
        <f t="array" ref="I708">IFERROR(INDEX('Daily Raw Data'!O:O,Match($A708,'Daily Raw Data'!$B:$B,0)),"")</f>
        <v/>
      </c>
      <c r="J708" t="str">
        <f t="array" ref="J708">IFERROR(INDEX('Daily Raw Data'!S:S,Match($A708,'Daily Raw Data'!$B:$B,0)),"")</f>
        <v/>
      </c>
      <c r="K708" t="str">
        <f t="array" ref="K708">IFERROR(INDEX('Daily Raw Data'!T:T,Match($A708,'Daily Raw Data'!$B:$B,0)),"")</f>
        <v/>
      </c>
      <c r="L708" t="str">
        <f t="array" ref="L708">IFERROR(INDEX('Daily Raw Data'!U:U,Match($A708,'Daily Raw Data'!$B:$B,0)),"")</f>
        <v/>
      </c>
      <c r="M708" t="str">
        <f t="array" ref="M708">IFERROR(INDEX('Daily Raw Data'!V:V,Match($A708,'Daily Raw Data'!$B:$B,0)),"")</f>
        <v/>
      </c>
      <c r="N708" t="str">
        <f t="array" ref="N708">IFERROR(INDEX('Daily Raw Data'!W:W,Match($A708,'Daily Raw Data'!$B:$B,0)),"")</f>
        <v/>
      </c>
      <c r="O708" t="str">
        <f t="array" ref="O708">IFERROR(INDEX('Daily Raw Data'!Y:Y,Match($A708,'Daily Raw Data'!$B:$B,0)),"")</f>
        <v/>
      </c>
      <c r="P708" t="str">
        <f t="shared" si="1"/>
        <v/>
      </c>
      <c r="Q708" s="14" t="str">
        <f t="shared" si="2"/>
        <v/>
      </c>
      <c r="R708" s="15" t="str">
        <f>IFERROR(__xludf.DUMMYFUNCTION("IF($A708="""","""", IFERROR(PERCENTRANK.INC(FILTER(P:P,$E:$E&lt;&gt;""""),P708)*100,""""))"),"")</f>
        <v/>
      </c>
      <c r="S708" s="15" t="str">
        <f>IFERROR(__xludf.DUMMYFUNCTION("IF($A708="""","""",IFERROR(PERCENTRANK.INC(FILTER(Q:Q,$E:$E&lt;&gt;""""),Q708)*100,""""))"),"")</f>
        <v/>
      </c>
    </row>
    <row r="709">
      <c r="B709" t="str">
        <f t="array" ref="B709">IFERROR(INDEX('Player Raw Data'!C:C,Match($A709,'Player Raw Data'!$B:$B,0)),"")</f>
        <v/>
      </c>
      <c r="C709" t="str">
        <f t="array" ref="C709">IFERROR(INDEX('Player Raw Data'!D:D,Match($A709,'Player Raw Data'!$B:$B,0)),"")</f>
        <v/>
      </c>
      <c r="D709" t="str">
        <f t="array" ref="D709">IFERROR(IF(A709=A708, INDEX('Player Raw Data'!E:E,Match($A709,'Player Raw Data'!$B:$B,0)+2),INDEX('Player Raw Data'!E:E,Match($A709,'Player Raw Data'!$B:$B,0))),"")</f>
        <v/>
      </c>
      <c r="E709" s="27" t="str">
        <f>IFERROR(__xludf.DUMMYFUNCTION("IFERROR(ARRAY_CONSTRAIN(SPLIT(INDEX('Daily Raw Data'!G:G,Match($A709,'Daily Raw Data'!$B:$B,0)),"":""),1,1),"""")"),"")</f>
        <v/>
      </c>
      <c r="F709" t="str">
        <f t="array" ref="F709">IFERROR(INDEX('Daily Raw Data'!H:H,Match($A709,'Daily Raw Data'!$B:$B,0)),"")</f>
        <v/>
      </c>
      <c r="G709" t="str">
        <f t="array" ref="G709">IFERROR(INDEX('Daily Raw Data'!I:I,Match($A709,'Daily Raw Data'!$B:$B,0)),"")</f>
        <v/>
      </c>
      <c r="H709" t="str">
        <f t="array" ref="H709">IFERROR(INDEX('Daily Raw Data'!N:N,Match($A709,'Daily Raw Data'!$B:$B,0)),"")</f>
        <v/>
      </c>
      <c r="I709" t="str">
        <f t="array" ref="I709">IFERROR(INDEX('Daily Raw Data'!O:O,Match($A709,'Daily Raw Data'!$B:$B,0)),"")</f>
        <v/>
      </c>
      <c r="J709" t="str">
        <f t="array" ref="J709">IFERROR(INDEX('Daily Raw Data'!S:S,Match($A709,'Daily Raw Data'!$B:$B,0)),"")</f>
        <v/>
      </c>
      <c r="K709" t="str">
        <f t="array" ref="K709">IFERROR(INDEX('Daily Raw Data'!T:T,Match($A709,'Daily Raw Data'!$B:$B,0)),"")</f>
        <v/>
      </c>
      <c r="L709" t="str">
        <f t="array" ref="L709">IFERROR(INDEX('Daily Raw Data'!U:U,Match($A709,'Daily Raw Data'!$B:$B,0)),"")</f>
        <v/>
      </c>
      <c r="M709" t="str">
        <f t="array" ref="M709">IFERROR(INDEX('Daily Raw Data'!V:V,Match($A709,'Daily Raw Data'!$B:$B,0)),"")</f>
        <v/>
      </c>
      <c r="N709" t="str">
        <f t="array" ref="N709">IFERROR(INDEX('Daily Raw Data'!W:W,Match($A709,'Daily Raw Data'!$B:$B,0)),"")</f>
        <v/>
      </c>
      <c r="O709" t="str">
        <f t="array" ref="O709">IFERROR(INDEX('Daily Raw Data'!Y:Y,Match($A709,'Daily Raw Data'!$B:$B,0)),"")</f>
        <v/>
      </c>
      <c r="P709" t="str">
        <f t="shared" si="1"/>
        <v/>
      </c>
      <c r="Q709" s="14" t="str">
        <f t="shared" si="2"/>
        <v/>
      </c>
      <c r="R709" s="15" t="str">
        <f>IFERROR(__xludf.DUMMYFUNCTION("IF($A709="""","""", IFERROR(PERCENTRANK.INC(FILTER(P:P,$E:$E&lt;&gt;""""),P709)*100,""""))"),"")</f>
        <v/>
      </c>
      <c r="S709" s="15" t="str">
        <f>IFERROR(__xludf.DUMMYFUNCTION("IF($A709="""","""",IFERROR(PERCENTRANK.INC(FILTER(Q:Q,$E:$E&lt;&gt;""""),Q709)*100,""""))"),"")</f>
        <v/>
      </c>
    </row>
    <row r="710">
      <c r="B710" t="str">
        <f t="array" ref="B710">IFERROR(INDEX('Player Raw Data'!C:C,Match($A710,'Player Raw Data'!$B:$B,0)),"")</f>
        <v/>
      </c>
      <c r="C710" t="str">
        <f t="array" ref="C710">IFERROR(INDEX('Player Raw Data'!D:D,Match($A710,'Player Raw Data'!$B:$B,0)),"")</f>
        <v/>
      </c>
      <c r="D710" t="str">
        <f t="array" ref="D710">IFERROR(IF(A710=A709, INDEX('Player Raw Data'!E:E,Match($A710,'Player Raw Data'!$B:$B,0)+2),INDEX('Player Raw Data'!E:E,Match($A710,'Player Raw Data'!$B:$B,0))),"")</f>
        <v/>
      </c>
      <c r="E710" s="27" t="str">
        <f>IFERROR(__xludf.DUMMYFUNCTION("IFERROR(ARRAY_CONSTRAIN(SPLIT(INDEX('Daily Raw Data'!G:G,Match($A710,'Daily Raw Data'!$B:$B,0)),"":""),1,1),"""")"),"")</f>
        <v/>
      </c>
      <c r="F710" t="str">
        <f t="array" ref="F710">IFERROR(INDEX('Daily Raw Data'!H:H,Match($A710,'Daily Raw Data'!$B:$B,0)),"")</f>
        <v/>
      </c>
      <c r="G710" t="str">
        <f t="array" ref="G710">IFERROR(INDEX('Daily Raw Data'!I:I,Match($A710,'Daily Raw Data'!$B:$B,0)),"")</f>
        <v/>
      </c>
      <c r="H710" t="str">
        <f t="array" ref="H710">IFERROR(INDEX('Daily Raw Data'!N:N,Match($A710,'Daily Raw Data'!$B:$B,0)),"")</f>
        <v/>
      </c>
      <c r="I710" t="str">
        <f t="array" ref="I710">IFERROR(INDEX('Daily Raw Data'!O:O,Match($A710,'Daily Raw Data'!$B:$B,0)),"")</f>
        <v/>
      </c>
      <c r="J710" t="str">
        <f t="array" ref="J710">IFERROR(INDEX('Daily Raw Data'!S:S,Match($A710,'Daily Raw Data'!$B:$B,0)),"")</f>
        <v/>
      </c>
      <c r="K710" t="str">
        <f t="array" ref="K710">IFERROR(INDEX('Daily Raw Data'!T:T,Match($A710,'Daily Raw Data'!$B:$B,0)),"")</f>
        <v/>
      </c>
      <c r="L710" t="str">
        <f t="array" ref="L710">IFERROR(INDEX('Daily Raw Data'!U:U,Match($A710,'Daily Raw Data'!$B:$B,0)),"")</f>
        <v/>
      </c>
      <c r="M710" t="str">
        <f t="array" ref="M710">IFERROR(INDEX('Daily Raw Data'!V:V,Match($A710,'Daily Raw Data'!$B:$B,0)),"")</f>
        <v/>
      </c>
      <c r="N710" t="str">
        <f t="array" ref="N710">IFERROR(INDEX('Daily Raw Data'!W:W,Match($A710,'Daily Raw Data'!$B:$B,0)),"")</f>
        <v/>
      </c>
      <c r="O710" t="str">
        <f t="array" ref="O710">IFERROR(INDEX('Daily Raw Data'!Y:Y,Match($A710,'Daily Raw Data'!$B:$B,0)),"")</f>
        <v/>
      </c>
      <c r="P710" t="str">
        <f t="shared" si="1"/>
        <v/>
      </c>
      <c r="Q710" s="14" t="str">
        <f t="shared" si="2"/>
        <v/>
      </c>
      <c r="R710" s="15" t="str">
        <f>IFERROR(__xludf.DUMMYFUNCTION("IF($A710="""","""", IFERROR(PERCENTRANK.INC(FILTER(P:P,$E:$E&lt;&gt;""""),P710)*100,""""))"),"")</f>
        <v/>
      </c>
      <c r="S710" s="15" t="str">
        <f>IFERROR(__xludf.DUMMYFUNCTION("IF($A710="""","""",IFERROR(PERCENTRANK.INC(FILTER(Q:Q,$E:$E&lt;&gt;""""),Q710)*100,""""))"),"")</f>
        <v/>
      </c>
    </row>
    <row r="711">
      <c r="B711" t="str">
        <f t="array" ref="B711">IFERROR(INDEX('Player Raw Data'!C:C,Match($A711,'Player Raw Data'!$B:$B,0)),"")</f>
        <v/>
      </c>
      <c r="C711" t="str">
        <f t="array" ref="C711">IFERROR(INDEX('Player Raw Data'!D:D,Match($A711,'Player Raw Data'!$B:$B,0)),"")</f>
        <v/>
      </c>
      <c r="D711" t="str">
        <f t="array" ref="D711">IFERROR(IF(A711=A710, INDEX('Player Raw Data'!E:E,Match($A711,'Player Raw Data'!$B:$B,0)+2),INDEX('Player Raw Data'!E:E,Match($A711,'Player Raw Data'!$B:$B,0))),"")</f>
        <v/>
      </c>
      <c r="E711" s="27" t="str">
        <f>IFERROR(__xludf.DUMMYFUNCTION("IFERROR(ARRAY_CONSTRAIN(SPLIT(INDEX('Daily Raw Data'!G:G,Match($A711,'Daily Raw Data'!$B:$B,0)),"":""),1,1),"""")"),"")</f>
        <v/>
      </c>
      <c r="F711" t="str">
        <f t="array" ref="F711">IFERROR(INDEX('Daily Raw Data'!H:H,Match($A711,'Daily Raw Data'!$B:$B,0)),"")</f>
        <v/>
      </c>
      <c r="G711" t="str">
        <f t="array" ref="G711">IFERROR(INDEX('Daily Raw Data'!I:I,Match($A711,'Daily Raw Data'!$B:$B,0)),"")</f>
        <v/>
      </c>
      <c r="H711" t="str">
        <f t="array" ref="H711">IFERROR(INDEX('Daily Raw Data'!N:N,Match($A711,'Daily Raw Data'!$B:$B,0)),"")</f>
        <v/>
      </c>
      <c r="I711" t="str">
        <f t="array" ref="I711">IFERROR(INDEX('Daily Raw Data'!O:O,Match($A711,'Daily Raw Data'!$B:$B,0)),"")</f>
        <v/>
      </c>
      <c r="J711" t="str">
        <f t="array" ref="J711">IFERROR(INDEX('Daily Raw Data'!S:S,Match($A711,'Daily Raw Data'!$B:$B,0)),"")</f>
        <v/>
      </c>
      <c r="K711" t="str">
        <f t="array" ref="K711">IFERROR(INDEX('Daily Raw Data'!T:T,Match($A711,'Daily Raw Data'!$B:$B,0)),"")</f>
        <v/>
      </c>
      <c r="L711" t="str">
        <f t="array" ref="L711">IFERROR(INDEX('Daily Raw Data'!U:U,Match($A711,'Daily Raw Data'!$B:$B,0)),"")</f>
        <v/>
      </c>
      <c r="M711" t="str">
        <f t="array" ref="M711">IFERROR(INDEX('Daily Raw Data'!V:V,Match($A711,'Daily Raw Data'!$B:$B,0)),"")</f>
        <v/>
      </c>
      <c r="N711" t="str">
        <f t="array" ref="N711">IFERROR(INDEX('Daily Raw Data'!W:W,Match($A711,'Daily Raw Data'!$B:$B,0)),"")</f>
        <v/>
      </c>
      <c r="O711" t="str">
        <f t="array" ref="O711">IFERROR(INDEX('Daily Raw Data'!Y:Y,Match($A711,'Daily Raw Data'!$B:$B,0)),"")</f>
        <v/>
      </c>
      <c r="P711" t="str">
        <f t="shared" si="1"/>
        <v/>
      </c>
      <c r="Q711" s="14" t="str">
        <f t="shared" si="2"/>
        <v/>
      </c>
      <c r="R711" s="15" t="str">
        <f>IFERROR(__xludf.DUMMYFUNCTION("IF($A711="""","""", IFERROR(PERCENTRANK.INC(FILTER(P:P,$E:$E&lt;&gt;""""),P711)*100,""""))"),"")</f>
        <v/>
      </c>
      <c r="S711" s="15" t="str">
        <f>IFERROR(__xludf.DUMMYFUNCTION("IF($A711="""","""",IFERROR(PERCENTRANK.INC(FILTER(Q:Q,$E:$E&lt;&gt;""""),Q711)*100,""""))"),"")</f>
        <v/>
      </c>
    </row>
    <row r="712">
      <c r="B712" t="str">
        <f t="array" ref="B712">IFERROR(INDEX('Player Raw Data'!C:C,Match($A712,'Player Raw Data'!$B:$B,0)),"")</f>
        <v/>
      </c>
      <c r="C712" t="str">
        <f t="array" ref="C712">IFERROR(INDEX('Player Raw Data'!D:D,Match($A712,'Player Raw Data'!$B:$B,0)),"")</f>
        <v/>
      </c>
      <c r="D712" t="str">
        <f t="array" ref="D712">IFERROR(IF(A712=A711, INDEX('Player Raw Data'!E:E,Match($A712,'Player Raw Data'!$B:$B,0)+2),INDEX('Player Raw Data'!E:E,Match($A712,'Player Raw Data'!$B:$B,0))),"")</f>
        <v/>
      </c>
      <c r="E712" s="27" t="str">
        <f>IFERROR(__xludf.DUMMYFUNCTION("IFERROR(ARRAY_CONSTRAIN(SPLIT(INDEX('Daily Raw Data'!G:G,Match($A712,'Daily Raw Data'!$B:$B,0)),"":""),1,1),"""")"),"")</f>
        <v/>
      </c>
      <c r="F712" t="str">
        <f t="array" ref="F712">IFERROR(INDEX('Daily Raw Data'!H:H,Match($A712,'Daily Raw Data'!$B:$B,0)),"")</f>
        <v/>
      </c>
      <c r="G712" t="str">
        <f t="array" ref="G712">IFERROR(INDEX('Daily Raw Data'!I:I,Match($A712,'Daily Raw Data'!$B:$B,0)),"")</f>
        <v/>
      </c>
      <c r="H712" t="str">
        <f t="array" ref="H712">IFERROR(INDEX('Daily Raw Data'!N:N,Match($A712,'Daily Raw Data'!$B:$B,0)),"")</f>
        <v/>
      </c>
      <c r="I712" t="str">
        <f t="array" ref="I712">IFERROR(INDEX('Daily Raw Data'!O:O,Match($A712,'Daily Raw Data'!$B:$B,0)),"")</f>
        <v/>
      </c>
      <c r="J712" t="str">
        <f t="array" ref="J712">IFERROR(INDEX('Daily Raw Data'!S:S,Match($A712,'Daily Raw Data'!$B:$B,0)),"")</f>
        <v/>
      </c>
      <c r="K712" t="str">
        <f t="array" ref="K712">IFERROR(INDEX('Daily Raw Data'!T:T,Match($A712,'Daily Raw Data'!$B:$B,0)),"")</f>
        <v/>
      </c>
      <c r="L712" t="str">
        <f t="array" ref="L712">IFERROR(INDEX('Daily Raw Data'!U:U,Match($A712,'Daily Raw Data'!$B:$B,0)),"")</f>
        <v/>
      </c>
      <c r="M712" t="str">
        <f t="array" ref="M712">IFERROR(INDEX('Daily Raw Data'!V:V,Match($A712,'Daily Raw Data'!$B:$B,0)),"")</f>
        <v/>
      </c>
      <c r="N712" t="str">
        <f t="array" ref="N712">IFERROR(INDEX('Daily Raw Data'!W:W,Match($A712,'Daily Raw Data'!$B:$B,0)),"")</f>
        <v/>
      </c>
      <c r="O712" t="str">
        <f t="array" ref="O712">IFERROR(INDEX('Daily Raw Data'!Y:Y,Match($A712,'Daily Raw Data'!$B:$B,0)),"")</f>
        <v/>
      </c>
      <c r="P712" t="str">
        <f t="shared" si="1"/>
        <v/>
      </c>
      <c r="Q712" s="14" t="str">
        <f t="shared" si="2"/>
        <v/>
      </c>
      <c r="R712" s="15" t="str">
        <f>IFERROR(__xludf.DUMMYFUNCTION("IF($A712="""","""", IFERROR(PERCENTRANK.INC(FILTER(P:P,$E:$E&lt;&gt;""""),P712)*100,""""))"),"")</f>
        <v/>
      </c>
      <c r="S712" s="15" t="str">
        <f>IFERROR(__xludf.DUMMYFUNCTION("IF($A712="""","""",IFERROR(PERCENTRANK.INC(FILTER(Q:Q,$E:$E&lt;&gt;""""),Q712)*100,""""))"),"")</f>
        <v/>
      </c>
    </row>
    <row r="713">
      <c r="B713" t="str">
        <f t="array" ref="B713">IFERROR(INDEX('Player Raw Data'!C:C,Match($A713,'Player Raw Data'!$B:$B,0)),"")</f>
        <v/>
      </c>
      <c r="C713" t="str">
        <f t="array" ref="C713">IFERROR(INDEX('Player Raw Data'!D:D,Match($A713,'Player Raw Data'!$B:$B,0)),"")</f>
        <v/>
      </c>
      <c r="D713" t="str">
        <f t="array" ref="D713">IFERROR(IF(A713=A712, INDEX('Player Raw Data'!E:E,Match($A713,'Player Raw Data'!$B:$B,0)+2),INDEX('Player Raw Data'!E:E,Match($A713,'Player Raw Data'!$B:$B,0))),"")</f>
        <v/>
      </c>
      <c r="E713" s="27" t="str">
        <f>IFERROR(__xludf.DUMMYFUNCTION("IFERROR(ARRAY_CONSTRAIN(SPLIT(INDEX('Daily Raw Data'!G:G,Match($A713,'Daily Raw Data'!$B:$B,0)),"":""),1,1),"""")"),"")</f>
        <v/>
      </c>
      <c r="F713" t="str">
        <f t="array" ref="F713">IFERROR(INDEX('Daily Raw Data'!H:H,Match($A713,'Daily Raw Data'!$B:$B,0)),"")</f>
        <v/>
      </c>
      <c r="G713" t="str">
        <f t="array" ref="G713">IFERROR(INDEX('Daily Raw Data'!I:I,Match($A713,'Daily Raw Data'!$B:$B,0)),"")</f>
        <v/>
      </c>
      <c r="H713" t="str">
        <f t="array" ref="H713">IFERROR(INDEX('Daily Raw Data'!N:N,Match($A713,'Daily Raw Data'!$B:$B,0)),"")</f>
        <v/>
      </c>
      <c r="I713" t="str">
        <f t="array" ref="I713">IFERROR(INDEX('Daily Raw Data'!O:O,Match($A713,'Daily Raw Data'!$B:$B,0)),"")</f>
        <v/>
      </c>
      <c r="J713" t="str">
        <f t="array" ref="J713">IFERROR(INDEX('Daily Raw Data'!S:S,Match($A713,'Daily Raw Data'!$B:$B,0)),"")</f>
        <v/>
      </c>
      <c r="K713" t="str">
        <f t="array" ref="K713">IFERROR(INDEX('Daily Raw Data'!T:T,Match($A713,'Daily Raw Data'!$B:$B,0)),"")</f>
        <v/>
      </c>
      <c r="L713" t="str">
        <f t="array" ref="L713">IFERROR(INDEX('Daily Raw Data'!U:U,Match($A713,'Daily Raw Data'!$B:$B,0)),"")</f>
        <v/>
      </c>
      <c r="M713" t="str">
        <f t="array" ref="M713">IFERROR(INDEX('Daily Raw Data'!V:V,Match($A713,'Daily Raw Data'!$B:$B,0)),"")</f>
        <v/>
      </c>
      <c r="N713" t="str">
        <f t="array" ref="N713">IFERROR(INDEX('Daily Raw Data'!W:W,Match($A713,'Daily Raw Data'!$B:$B,0)),"")</f>
        <v/>
      </c>
      <c r="O713" t="str">
        <f t="array" ref="O713">IFERROR(INDEX('Daily Raw Data'!Y:Y,Match($A713,'Daily Raw Data'!$B:$B,0)),"")</f>
        <v/>
      </c>
      <c r="P713" t="str">
        <f t="shared" si="1"/>
        <v/>
      </c>
      <c r="Q713" s="14" t="str">
        <f t="shared" si="2"/>
        <v/>
      </c>
      <c r="R713" s="15" t="str">
        <f>IFERROR(__xludf.DUMMYFUNCTION("IF($A713="""","""", IFERROR(PERCENTRANK.INC(FILTER(P:P,$E:$E&lt;&gt;""""),P713)*100,""""))"),"")</f>
        <v/>
      </c>
      <c r="S713" s="15" t="str">
        <f>IFERROR(__xludf.DUMMYFUNCTION("IF($A713="""","""",IFERROR(PERCENTRANK.INC(FILTER(Q:Q,$E:$E&lt;&gt;""""),Q713)*100,""""))"),"")</f>
        <v/>
      </c>
    </row>
    <row r="714">
      <c r="B714" t="str">
        <f t="array" ref="B714">IFERROR(INDEX('Player Raw Data'!C:C,Match($A714,'Player Raw Data'!$B:$B,0)),"")</f>
        <v/>
      </c>
      <c r="C714" t="str">
        <f t="array" ref="C714">IFERROR(INDEX('Player Raw Data'!D:D,Match($A714,'Player Raw Data'!$B:$B,0)),"")</f>
        <v/>
      </c>
      <c r="D714" t="str">
        <f t="array" ref="D714">IFERROR(IF(A714=A713, INDEX('Player Raw Data'!E:E,Match($A714,'Player Raw Data'!$B:$B,0)+2),INDEX('Player Raw Data'!E:E,Match($A714,'Player Raw Data'!$B:$B,0))),"")</f>
        <v/>
      </c>
      <c r="E714" s="27" t="str">
        <f>IFERROR(__xludf.DUMMYFUNCTION("IFERROR(ARRAY_CONSTRAIN(SPLIT(INDEX('Daily Raw Data'!G:G,Match($A714,'Daily Raw Data'!$B:$B,0)),"":""),1,1),"""")"),"")</f>
        <v/>
      </c>
      <c r="F714" t="str">
        <f t="array" ref="F714">IFERROR(INDEX('Daily Raw Data'!H:H,Match($A714,'Daily Raw Data'!$B:$B,0)),"")</f>
        <v/>
      </c>
      <c r="G714" t="str">
        <f t="array" ref="G714">IFERROR(INDEX('Daily Raw Data'!I:I,Match($A714,'Daily Raw Data'!$B:$B,0)),"")</f>
        <v/>
      </c>
      <c r="H714" t="str">
        <f t="array" ref="H714">IFERROR(INDEX('Daily Raw Data'!N:N,Match($A714,'Daily Raw Data'!$B:$B,0)),"")</f>
        <v/>
      </c>
      <c r="I714" t="str">
        <f t="array" ref="I714">IFERROR(INDEX('Daily Raw Data'!O:O,Match($A714,'Daily Raw Data'!$B:$B,0)),"")</f>
        <v/>
      </c>
      <c r="J714" t="str">
        <f t="array" ref="J714">IFERROR(INDEX('Daily Raw Data'!S:S,Match($A714,'Daily Raw Data'!$B:$B,0)),"")</f>
        <v/>
      </c>
      <c r="K714" t="str">
        <f t="array" ref="K714">IFERROR(INDEX('Daily Raw Data'!T:T,Match($A714,'Daily Raw Data'!$B:$B,0)),"")</f>
        <v/>
      </c>
      <c r="L714" t="str">
        <f t="array" ref="L714">IFERROR(INDEX('Daily Raw Data'!U:U,Match($A714,'Daily Raw Data'!$B:$B,0)),"")</f>
        <v/>
      </c>
      <c r="M714" t="str">
        <f t="array" ref="M714">IFERROR(INDEX('Daily Raw Data'!V:V,Match($A714,'Daily Raw Data'!$B:$B,0)),"")</f>
        <v/>
      </c>
      <c r="N714" t="str">
        <f t="array" ref="N714">IFERROR(INDEX('Daily Raw Data'!W:W,Match($A714,'Daily Raw Data'!$B:$B,0)),"")</f>
        <v/>
      </c>
      <c r="O714" t="str">
        <f t="array" ref="O714">IFERROR(INDEX('Daily Raw Data'!Y:Y,Match($A714,'Daily Raw Data'!$B:$B,0)),"")</f>
        <v/>
      </c>
      <c r="P714" t="str">
        <f t="shared" si="1"/>
        <v/>
      </c>
      <c r="Q714" s="14" t="str">
        <f t="shared" si="2"/>
        <v/>
      </c>
      <c r="R714" s="15" t="str">
        <f>IFERROR(__xludf.DUMMYFUNCTION("IF($A714="""","""", IFERROR(PERCENTRANK.INC(FILTER(P:P,$E:$E&lt;&gt;""""),P714)*100,""""))"),"")</f>
        <v/>
      </c>
      <c r="S714" s="15" t="str">
        <f>IFERROR(__xludf.DUMMYFUNCTION("IF($A714="""","""",IFERROR(PERCENTRANK.INC(FILTER(Q:Q,$E:$E&lt;&gt;""""),Q714)*100,""""))"),"")</f>
        <v/>
      </c>
    </row>
    <row r="715">
      <c r="B715" t="str">
        <f t="array" ref="B715">IFERROR(INDEX('Player Raw Data'!C:C,Match($A715,'Player Raw Data'!$B:$B,0)),"")</f>
        <v/>
      </c>
      <c r="C715" t="str">
        <f t="array" ref="C715">IFERROR(INDEX('Player Raw Data'!D:D,Match($A715,'Player Raw Data'!$B:$B,0)),"")</f>
        <v/>
      </c>
      <c r="D715" t="str">
        <f t="array" ref="D715">IFERROR(IF(A715=A714, INDEX('Player Raw Data'!E:E,Match($A715,'Player Raw Data'!$B:$B,0)+2),INDEX('Player Raw Data'!E:E,Match($A715,'Player Raw Data'!$B:$B,0))),"")</f>
        <v/>
      </c>
      <c r="E715" s="27" t="str">
        <f>IFERROR(__xludf.DUMMYFUNCTION("IFERROR(ARRAY_CONSTRAIN(SPLIT(INDEX('Daily Raw Data'!G:G,Match($A715,'Daily Raw Data'!$B:$B,0)),"":""),1,1),"""")"),"")</f>
        <v/>
      </c>
      <c r="F715" t="str">
        <f t="array" ref="F715">IFERROR(INDEX('Daily Raw Data'!H:H,Match($A715,'Daily Raw Data'!$B:$B,0)),"")</f>
        <v/>
      </c>
      <c r="G715" t="str">
        <f t="array" ref="G715">IFERROR(INDEX('Daily Raw Data'!I:I,Match($A715,'Daily Raw Data'!$B:$B,0)),"")</f>
        <v/>
      </c>
      <c r="H715" t="str">
        <f t="array" ref="H715">IFERROR(INDEX('Daily Raw Data'!N:N,Match($A715,'Daily Raw Data'!$B:$B,0)),"")</f>
        <v/>
      </c>
      <c r="I715" t="str">
        <f t="array" ref="I715">IFERROR(INDEX('Daily Raw Data'!O:O,Match($A715,'Daily Raw Data'!$B:$B,0)),"")</f>
        <v/>
      </c>
      <c r="J715" t="str">
        <f t="array" ref="J715">IFERROR(INDEX('Daily Raw Data'!S:S,Match($A715,'Daily Raw Data'!$B:$B,0)),"")</f>
        <v/>
      </c>
      <c r="K715" t="str">
        <f t="array" ref="K715">IFERROR(INDEX('Daily Raw Data'!T:T,Match($A715,'Daily Raw Data'!$B:$B,0)),"")</f>
        <v/>
      </c>
      <c r="L715" t="str">
        <f t="array" ref="L715">IFERROR(INDEX('Daily Raw Data'!U:U,Match($A715,'Daily Raw Data'!$B:$B,0)),"")</f>
        <v/>
      </c>
      <c r="M715" t="str">
        <f t="array" ref="M715">IFERROR(INDEX('Daily Raw Data'!V:V,Match($A715,'Daily Raw Data'!$B:$B,0)),"")</f>
        <v/>
      </c>
      <c r="N715" t="str">
        <f t="array" ref="N715">IFERROR(INDEX('Daily Raw Data'!W:W,Match($A715,'Daily Raw Data'!$B:$B,0)),"")</f>
        <v/>
      </c>
      <c r="O715" t="str">
        <f t="array" ref="O715">IFERROR(INDEX('Daily Raw Data'!Y:Y,Match($A715,'Daily Raw Data'!$B:$B,0)),"")</f>
        <v/>
      </c>
      <c r="P715" t="str">
        <f t="shared" si="1"/>
        <v/>
      </c>
      <c r="Q715" s="14" t="str">
        <f t="shared" si="2"/>
        <v/>
      </c>
      <c r="R715" s="15" t="str">
        <f>IFERROR(__xludf.DUMMYFUNCTION("IF($A715="""","""", IFERROR(PERCENTRANK.INC(FILTER(P:P,$E:$E&lt;&gt;""""),P715)*100,""""))"),"")</f>
        <v/>
      </c>
      <c r="S715" s="15" t="str">
        <f>IFERROR(__xludf.DUMMYFUNCTION("IF($A715="""","""",IFERROR(PERCENTRANK.INC(FILTER(Q:Q,$E:$E&lt;&gt;""""),Q715)*100,""""))"),"")</f>
        <v/>
      </c>
    </row>
    <row r="716">
      <c r="B716" t="str">
        <f t="array" ref="B716">IFERROR(INDEX('Player Raw Data'!C:C,Match($A716,'Player Raw Data'!$B:$B,0)),"")</f>
        <v/>
      </c>
      <c r="C716" t="str">
        <f t="array" ref="C716">IFERROR(INDEX('Player Raw Data'!D:D,Match($A716,'Player Raw Data'!$B:$B,0)),"")</f>
        <v/>
      </c>
      <c r="D716" t="str">
        <f t="array" ref="D716">IFERROR(IF(A716=A715, INDEX('Player Raw Data'!E:E,Match($A716,'Player Raw Data'!$B:$B,0)+2),INDEX('Player Raw Data'!E:E,Match($A716,'Player Raw Data'!$B:$B,0))),"")</f>
        <v/>
      </c>
      <c r="E716" s="27" t="str">
        <f>IFERROR(__xludf.DUMMYFUNCTION("IFERROR(ARRAY_CONSTRAIN(SPLIT(INDEX('Daily Raw Data'!G:G,Match($A716,'Daily Raw Data'!$B:$B,0)),"":""),1,1),"""")"),"")</f>
        <v/>
      </c>
      <c r="F716" t="str">
        <f t="array" ref="F716">IFERROR(INDEX('Daily Raw Data'!H:H,Match($A716,'Daily Raw Data'!$B:$B,0)),"")</f>
        <v/>
      </c>
      <c r="G716" t="str">
        <f t="array" ref="G716">IFERROR(INDEX('Daily Raw Data'!I:I,Match($A716,'Daily Raw Data'!$B:$B,0)),"")</f>
        <v/>
      </c>
      <c r="H716" t="str">
        <f t="array" ref="H716">IFERROR(INDEX('Daily Raw Data'!N:N,Match($A716,'Daily Raw Data'!$B:$B,0)),"")</f>
        <v/>
      </c>
      <c r="I716" t="str">
        <f t="array" ref="I716">IFERROR(INDEX('Daily Raw Data'!O:O,Match($A716,'Daily Raw Data'!$B:$B,0)),"")</f>
        <v/>
      </c>
      <c r="J716" t="str">
        <f t="array" ref="J716">IFERROR(INDEX('Daily Raw Data'!S:S,Match($A716,'Daily Raw Data'!$B:$B,0)),"")</f>
        <v/>
      </c>
      <c r="K716" t="str">
        <f t="array" ref="K716">IFERROR(INDEX('Daily Raw Data'!T:T,Match($A716,'Daily Raw Data'!$B:$B,0)),"")</f>
        <v/>
      </c>
      <c r="L716" t="str">
        <f t="array" ref="L716">IFERROR(INDEX('Daily Raw Data'!U:U,Match($A716,'Daily Raw Data'!$B:$B,0)),"")</f>
        <v/>
      </c>
      <c r="M716" t="str">
        <f t="array" ref="M716">IFERROR(INDEX('Daily Raw Data'!V:V,Match($A716,'Daily Raw Data'!$B:$B,0)),"")</f>
        <v/>
      </c>
      <c r="N716" t="str">
        <f t="array" ref="N716">IFERROR(INDEX('Daily Raw Data'!W:W,Match($A716,'Daily Raw Data'!$B:$B,0)),"")</f>
        <v/>
      </c>
      <c r="O716" t="str">
        <f t="array" ref="O716">IFERROR(INDEX('Daily Raw Data'!Y:Y,Match($A716,'Daily Raw Data'!$B:$B,0)),"")</f>
        <v/>
      </c>
      <c r="P716" t="str">
        <f t="shared" si="1"/>
        <v/>
      </c>
      <c r="Q716" s="14" t="str">
        <f t="shared" si="2"/>
        <v/>
      </c>
      <c r="R716" s="15" t="str">
        <f>IFERROR(__xludf.DUMMYFUNCTION("IF($A716="""","""", IFERROR(PERCENTRANK.INC(FILTER(P:P,$E:$E&lt;&gt;""""),P716)*100,""""))"),"")</f>
        <v/>
      </c>
      <c r="S716" s="15" t="str">
        <f>IFERROR(__xludf.DUMMYFUNCTION("IF($A716="""","""",IFERROR(PERCENTRANK.INC(FILTER(Q:Q,$E:$E&lt;&gt;""""),Q716)*100,""""))"),"")</f>
        <v/>
      </c>
    </row>
    <row r="717">
      <c r="B717" t="str">
        <f t="array" ref="B717">IFERROR(INDEX('Player Raw Data'!C:C,Match($A717,'Player Raw Data'!$B:$B,0)),"")</f>
        <v/>
      </c>
      <c r="C717" t="str">
        <f t="array" ref="C717">IFERROR(INDEX('Player Raw Data'!D:D,Match($A717,'Player Raw Data'!$B:$B,0)),"")</f>
        <v/>
      </c>
      <c r="D717" t="str">
        <f t="array" ref="D717">IFERROR(IF(A717=A716, INDEX('Player Raw Data'!E:E,Match($A717,'Player Raw Data'!$B:$B,0)+2),INDEX('Player Raw Data'!E:E,Match($A717,'Player Raw Data'!$B:$B,0))),"")</f>
        <v/>
      </c>
      <c r="E717" s="27" t="str">
        <f>IFERROR(__xludf.DUMMYFUNCTION("IFERROR(ARRAY_CONSTRAIN(SPLIT(INDEX('Daily Raw Data'!G:G,Match($A717,'Daily Raw Data'!$B:$B,0)),"":""),1,1),"""")"),"")</f>
        <v/>
      </c>
      <c r="F717" t="str">
        <f t="array" ref="F717">IFERROR(INDEX('Daily Raw Data'!H:H,Match($A717,'Daily Raw Data'!$B:$B,0)),"")</f>
        <v/>
      </c>
      <c r="G717" t="str">
        <f t="array" ref="G717">IFERROR(INDEX('Daily Raw Data'!I:I,Match($A717,'Daily Raw Data'!$B:$B,0)),"")</f>
        <v/>
      </c>
      <c r="H717" t="str">
        <f t="array" ref="H717">IFERROR(INDEX('Daily Raw Data'!N:N,Match($A717,'Daily Raw Data'!$B:$B,0)),"")</f>
        <v/>
      </c>
      <c r="I717" t="str">
        <f t="array" ref="I717">IFERROR(INDEX('Daily Raw Data'!O:O,Match($A717,'Daily Raw Data'!$B:$B,0)),"")</f>
        <v/>
      </c>
      <c r="J717" t="str">
        <f t="array" ref="J717">IFERROR(INDEX('Daily Raw Data'!S:S,Match($A717,'Daily Raw Data'!$B:$B,0)),"")</f>
        <v/>
      </c>
      <c r="K717" t="str">
        <f t="array" ref="K717">IFERROR(INDEX('Daily Raw Data'!T:T,Match($A717,'Daily Raw Data'!$B:$B,0)),"")</f>
        <v/>
      </c>
      <c r="L717" t="str">
        <f t="array" ref="L717">IFERROR(INDEX('Daily Raw Data'!U:U,Match($A717,'Daily Raw Data'!$B:$B,0)),"")</f>
        <v/>
      </c>
      <c r="M717" t="str">
        <f t="array" ref="M717">IFERROR(INDEX('Daily Raw Data'!V:V,Match($A717,'Daily Raw Data'!$B:$B,0)),"")</f>
        <v/>
      </c>
      <c r="N717" t="str">
        <f t="array" ref="N717">IFERROR(INDEX('Daily Raw Data'!W:W,Match($A717,'Daily Raw Data'!$B:$B,0)),"")</f>
        <v/>
      </c>
      <c r="O717" t="str">
        <f t="array" ref="O717">IFERROR(INDEX('Daily Raw Data'!Y:Y,Match($A717,'Daily Raw Data'!$B:$B,0)),"")</f>
        <v/>
      </c>
      <c r="P717" t="str">
        <f t="shared" si="1"/>
        <v/>
      </c>
      <c r="Q717" s="14" t="str">
        <f t="shared" si="2"/>
        <v/>
      </c>
      <c r="R717" s="15" t="str">
        <f>IFERROR(__xludf.DUMMYFUNCTION("IF($A717="""","""", IFERROR(PERCENTRANK.INC(FILTER(P:P,$E:$E&lt;&gt;""""),P717)*100,""""))"),"")</f>
        <v/>
      </c>
      <c r="S717" s="15" t="str">
        <f>IFERROR(__xludf.DUMMYFUNCTION("IF($A717="""","""",IFERROR(PERCENTRANK.INC(FILTER(Q:Q,$E:$E&lt;&gt;""""),Q717)*100,""""))"),"")</f>
        <v/>
      </c>
    </row>
    <row r="718">
      <c r="B718" t="str">
        <f t="array" ref="B718">IFERROR(INDEX('Player Raw Data'!C:C,Match($A718,'Player Raw Data'!$B:$B,0)),"")</f>
        <v/>
      </c>
      <c r="C718" t="str">
        <f t="array" ref="C718">IFERROR(INDEX('Player Raw Data'!D:D,Match($A718,'Player Raw Data'!$B:$B,0)),"")</f>
        <v/>
      </c>
      <c r="D718" t="str">
        <f t="array" ref="D718">IFERROR(IF(A718=A717, INDEX('Player Raw Data'!E:E,Match($A718,'Player Raw Data'!$B:$B,0)+2),INDEX('Player Raw Data'!E:E,Match($A718,'Player Raw Data'!$B:$B,0))),"")</f>
        <v/>
      </c>
      <c r="E718" s="27" t="str">
        <f>IFERROR(__xludf.DUMMYFUNCTION("IFERROR(ARRAY_CONSTRAIN(SPLIT(INDEX('Daily Raw Data'!G:G,Match($A718,'Daily Raw Data'!$B:$B,0)),"":""),1,1),"""")"),"")</f>
        <v/>
      </c>
      <c r="F718" t="str">
        <f t="array" ref="F718">IFERROR(INDEX('Daily Raw Data'!H:H,Match($A718,'Daily Raw Data'!$B:$B,0)),"")</f>
        <v/>
      </c>
      <c r="G718" t="str">
        <f t="array" ref="G718">IFERROR(INDEX('Daily Raw Data'!I:I,Match($A718,'Daily Raw Data'!$B:$B,0)),"")</f>
        <v/>
      </c>
      <c r="H718" t="str">
        <f t="array" ref="H718">IFERROR(INDEX('Daily Raw Data'!N:N,Match($A718,'Daily Raw Data'!$B:$B,0)),"")</f>
        <v/>
      </c>
      <c r="I718" t="str">
        <f t="array" ref="I718">IFERROR(INDEX('Daily Raw Data'!O:O,Match($A718,'Daily Raw Data'!$B:$B,0)),"")</f>
        <v/>
      </c>
      <c r="J718" t="str">
        <f t="array" ref="J718">IFERROR(INDEX('Daily Raw Data'!S:S,Match($A718,'Daily Raw Data'!$B:$B,0)),"")</f>
        <v/>
      </c>
      <c r="K718" t="str">
        <f t="array" ref="K718">IFERROR(INDEX('Daily Raw Data'!T:T,Match($A718,'Daily Raw Data'!$B:$B,0)),"")</f>
        <v/>
      </c>
      <c r="L718" t="str">
        <f t="array" ref="L718">IFERROR(INDEX('Daily Raw Data'!U:U,Match($A718,'Daily Raw Data'!$B:$B,0)),"")</f>
        <v/>
      </c>
      <c r="M718" t="str">
        <f t="array" ref="M718">IFERROR(INDEX('Daily Raw Data'!V:V,Match($A718,'Daily Raw Data'!$B:$B,0)),"")</f>
        <v/>
      </c>
      <c r="N718" t="str">
        <f t="array" ref="N718">IFERROR(INDEX('Daily Raw Data'!W:W,Match($A718,'Daily Raw Data'!$B:$B,0)),"")</f>
        <v/>
      </c>
      <c r="O718" t="str">
        <f t="array" ref="O718">IFERROR(INDEX('Daily Raw Data'!Y:Y,Match($A718,'Daily Raw Data'!$B:$B,0)),"")</f>
        <v/>
      </c>
      <c r="P718" t="str">
        <f t="shared" si="1"/>
        <v/>
      </c>
      <c r="Q718" s="14" t="str">
        <f t="shared" si="2"/>
        <v/>
      </c>
      <c r="R718" s="15" t="str">
        <f>IFERROR(__xludf.DUMMYFUNCTION("IF($A718="""","""", IFERROR(PERCENTRANK.INC(FILTER(P:P,$E:$E&lt;&gt;""""),P718)*100,""""))"),"")</f>
        <v/>
      </c>
      <c r="S718" s="15" t="str">
        <f>IFERROR(__xludf.DUMMYFUNCTION("IF($A718="""","""",IFERROR(PERCENTRANK.INC(FILTER(Q:Q,$E:$E&lt;&gt;""""),Q718)*100,""""))"),"")</f>
        <v/>
      </c>
    </row>
    <row r="719">
      <c r="B719" t="str">
        <f t="array" ref="B719">IFERROR(INDEX('Player Raw Data'!C:C,Match($A719,'Player Raw Data'!$B:$B,0)),"")</f>
        <v/>
      </c>
      <c r="C719" t="str">
        <f t="array" ref="C719">IFERROR(INDEX('Player Raw Data'!D:D,Match($A719,'Player Raw Data'!$B:$B,0)),"")</f>
        <v/>
      </c>
      <c r="D719" t="str">
        <f t="array" ref="D719">IFERROR(IF(A719=A718, INDEX('Player Raw Data'!E:E,Match($A719,'Player Raw Data'!$B:$B,0)+2),INDEX('Player Raw Data'!E:E,Match($A719,'Player Raw Data'!$B:$B,0))),"")</f>
        <v/>
      </c>
      <c r="E719" s="27" t="str">
        <f>IFERROR(__xludf.DUMMYFUNCTION("IFERROR(ARRAY_CONSTRAIN(SPLIT(INDEX('Daily Raw Data'!G:G,Match($A719,'Daily Raw Data'!$B:$B,0)),"":""),1,1),"""")"),"")</f>
        <v/>
      </c>
      <c r="F719" t="str">
        <f t="array" ref="F719">IFERROR(INDEX('Daily Raw Data'!H:H,Match($A719,'Daily Raw Data'!$B:$B,0)),"")</f>
        <v/>
      </c>
      <c r="G719" t="str">
        <f t="array" ref="G719">IFERROR(INDEX('Daily Raw Data'!I:I,Match($A719,'Daily Raw Data'!$B:$B,0)),"")</f>
        <v/>
      </c>
      <c r="H719" t="str">
        <f t="array" ref="H719">IFERROR(INDEX('Daily Raw Data'!N:N,Match($A719,'Daily Raw Data'!$B:$B,0)),"")</f>
        <v/>
      </c>
      <c r="I719" t="str">
        <f t="array" ref="I719">IFERROR(INDEX('Daily Raw Data'!O:O,Match($A719,'Daily Raw Data'!$B:$B,0)),"")</f>
        <v/>
      </c>
      <c r="J719" t="str">
        <f t="array" ref="J719">IFERROR(INDEX('Daily Raw Data'!S:S,Match($A719,'Daily Raw Data'!$B:$B,0)),"")</f>
        <v/>
      </c>
      <c r="K719" t="str">
        <f t="array" ref="K719">IFERROR(INDEX('Daily Raw Data'!T:T,Match($A719,'Daily Raw Data'!$B:$B,0)),"")</f>
        <v/>
      </c>
      <c r="L719" t="str">
        <f t="array" ref="L719">IFERROR(INDEX('Daily Raw Data'!U:U,Match($A719,'Daily Raw Data'!$B:$B,0)),"")</f>
        <v/>
      </c>
      <c r="M719" t="str">
        <f t="array" ref="M719">IFERROR(INDEX('Daily Raw Data'!V:V,Match($A719,'Daily Raw Data'!$B:$B,0)),"")</f>
        <v/>
      </c>
      <c r="N719" t="str">
        <f t="array" ref="N719">IFERROR(INDEX('Daily Raw Data'!W:W,Match($A719,'Daily Raw Data'!$B:$B,0)),"")</f>
        <v/>
      </c>
      <c r="O719" t="str">
        <f t="array" ref="O719">IFERROR(INDEX('Daily Raw Data'!Y:Y,Match($A719,'Daily Raw Data'!$B:$B,0)),"")</f>
        <v/>
      </c>
      <c r="P719" t="str">
        <f t="shared" si="1"/>
        <v/>
      </c>
      <c r="Q719" s="14" t="str">
        <f t="shared" si="2"/>
        <v/>
      </c>
      <c r="R719" s="15" t="str">
        <f>IFERROR(__xludf.DUMMYFUNCTION("IF($A719="""","""", IFERROR(PERCENTRANK.INC(FILTER(P:P,$E:$E&lt;&gt;""""),P719)*100,""""))"),"")</f>
        <v/>
      </c>
      <c r="S719" s="15" t="str">
        <f>IFERROR(__xludf.DUMMYFUNCTION("IF($A719="""","""",IFERROR(PERCENTRANK.INC(FILTER(Q:Q,$E:$E&lt;&gt;""""),Q719)*100,""""))"),"")</f>
        <v/>
      </c>
    </row>
    <row r="720">
      <c r="B720" t="str">
        <f t="array" ref="B720">IFERROR(INDEX('Player Raw Data'!C:C,Match($A720,'Player Raw Data'!$B:$B,0)),"")</f>
        <v/>
      </c>
      <c r="C720" t="str">
        <f t="array" ref="C720">IFERROR(INDEX('Player Raw Data'!D:D,Match($A720,'Player Raw Data'!$B:$B,0)),"")</f>
        <v/>
      </c>
      <c r="D720" t="str">
        <f t="array" ref="D720">IFERROR(IF(A720=A719, INDEX('Player Raw Data'!E:E,Match($A720,'Player Raw Data'!$B:$B,0)+2),INDEX('Player Raw Data'!E:E,Match($A720,'Player Raw Data'!$B:$B,0))),"")</f>
        <v/>
      </c>
      <c r="E720" s="27" t="str">
        <f>IFERROR(__xludf.DUMMYFUNCTION("IFERROR(ARRAY_CONSTRAIN(SPLIT(INDEX('Daily Raw Data'!G:G,Match($A720,'Daily Raw Data'!$B:$B,0)),"":""),1,1),"""")"),"")</f>
        <v/>
      </c>
      <c r="F720" t="str">
        <f t="array" ref="F720">IFERROR(INDEX('Daily Raw Data'!H:H,Match($A720,'Daily Raw Data'!$B:$B,0)),"")</f>
        <v/>
      </c>
      <c r="G720" t="str">
        <f t="array" ref="G720">IFERROR(INDEX('Daily Raw Data'!I:I,Match($A720,'Daily Raw Data'!$B:$B,0)),"")</f>
        <v/>
      </c>
      <c r="H720" t="str">
        <f t="array" ref="H720">IFERROR(INDEX('Daily Raw Data'!N:N,Match($A720,'Daily Raw Data'!$B:$B,0)),"")</f>
        <v/>
      </c>
      <c r="I720" t="str">
        <f t="array" ref="I720">IFERROR(INDEX('Daily Raw Data'!O:O,Match($A720,'Daily Raw Data'!$B:$B,0)),"")</f>
        <v/>
      </c>
      <c r="J720" t="str">
        <f t="array" ref="J720">IFERROR(INDEX('Daily Raw Data'!S:S,Match($A720,'Daily Raw Data'!$B:$B,0)),"")</f>
        <v/>
      </c>
      <c r="K720" t="str">
        <f t="array" ref="K720">IFERROR(INDEX('Daily Raw Data'!T:T,Match($A720,'Daily Raw Data'!$B:$B,0)),"")</f>
        <v/>
      </c>
      <c r="L720" t="str">
        <f t="array" ref="L720">IFERROR(INDEX('Daily Raw Data'!U:U,Match($A720,'Daily Raw Data'!$B:$B,0)),"")</f>
        <v/>
      </c>
      <c r="M720" t="str">
        <f t="array" ref="M720">IFERROR(INDEX('Daily Raw Data'!V:V,Match($A720,'Daily Raw Data'!$B:$B,0)),"")</f>
        <v/>
      </c>
      <c r="N720" t="str">
        <f t="array" ref="N720">IFERROR(INDEX('Daily Raw Data'!W:W,Match($A720,'Daily Raw Data'!$B:$B,0)),"")</f>
        <v/>
      </c>
      <c r="O720" t="str">
        <f t="array" ref="O720">IFERROR(INDEX('Daily Raw Data'!Y:Y,Match($A720,'Daily Raw Data'!$B:$B,0)),"")</f>
        <v/>
      </c>
      <c r="P720" t="str">
        <f t="shared" si="1"/>
        <v/>
      </c>
      <c r="Q720" s="14" t="str">
        <f t="shared" si="2"/>
        <v/>
      </c>
      <c r="R720" s="15" t="str">
        <f>IFERROR(__xludf.DUMMYFUNCTION("IF($A720="""","""", IFERROR(PERCENTRANK.INC(FILTER(P:P,$E:$E&lt;&gt;""""),P720)*100,""""))"),"")</f>
        <v/>
      </c>
      <c r="S720" s="15" t="str">
        <f>IFERROR(__xludf.DUMMYFUNCTION("IF($A720="""","""",IFERROR(PERCENTRANK.INC(FILTER(Q:Q,$E:$E&lt;&gt;""""),Q720)*100,""""))"),"")</f>
        <v/>
      </c>
    </row>
    <row r="721">
      <c r="B721" t="str">
        <f t="array" ref="B721">IFERROR(INDEX('Player Raw Data'!C:C,Match($A721,'Player Raw Data'!$B:$B,0)),"")</f>
        <v/>
      </c>
      <c r="C721" t="str">
        <f t="array" ref="C721">IFERROR(INDEX('Player Raw Data'!D:D,Match($A721,'Player Raw Data'!$B:$B,0)),"")</f>
        <v/>
      </c>
      <c r="D721" t="str">
        <f t="array" ref="D721">IFERROR(IF(A721=A720, INDEX('Player Raw Data'!E:E,Match($A721,'Player Raw Data'!$B:$B,0)+2),INDEX('Player Raw Data'!E:E,Match($A721,'Player Raw Data'!$B:$B,0))),"")</f>
        <v/>
      </c>
      <c r="E721" s="27" t="str">
        <f>IFERROR(__xludf.DUMMYFUNCTION("IFERROR(ARRAY_CONSTRAIN(SPLIT(INDEX('Daily Raw Data'!G:G,Match($A721,'Daily Raw Data'!$B:$B,0)),"":""),1,1),"""")"),"")</f>
        <v/>
      </c>
      <c r="F721" t="str">
        <f t="array" ref="F721">IFERROR(INDEX('Daily Raw Data'!H:H,Match($A721,'Daily Raw Data'!$B:$B,0)),"")</f>
        <v/>
      </c>
      <c r="G721" t="str">
        <f t="array" ref="G721">IFERROR(INDEX('Daily Raw Data'!I:I,Match($A721,'Daily Raw Data'!$B:$B,0)),"")</f>
        <v/>
      </c>
      <c r="H721" t="str">
        <f t="array" ref="H721">IFERROR(INDEX('Daily Raw Data'!N:N,Match($A721,'Daily Raw Data'!$B:$B,0)),"")</f>
        <v/>
      </c>
      <c r="I721" t="str">
        <f t="array" ref="I721">IFERROR(INDEX('Daily Raw Data'!O:O,Match($A721,'Daily Raw Data'!$B:$B,0)),"")</f>
        <v/>
      </c>
      <c r="J721" t="str">
        <f t="array" ref="J721">IFERROR(INDEX('Daily Raw Data'!S:S,Match($A721,'Daily Raw Data'!$B:$B,0)),"")</f>
        <v/>
      </c>
      <c r="K721" t="str">
        <f t="array" ref="K721">IFERROR(INDEX('Daily Raw Data'!T:T,Match($A721,'Daily Raw Data'!$B:$B,0)),"")</f>
        <v/>
      </c>
      <c r="L721" t="str">
        <f t="array" ref="L721">IFERROR(INDEX('Daily Raw Data'!U:U,Match($A721,'Daily Raw Data'!$B:$B,0)),"")</f>
        <v/>
      </c>
      <c r="M721" t="str">
        <f t="array" ref="M721">IFERROR(INDEX('Daily Raw Data'!V:V,Match($A721,'Daily Raw Data'!$B:$B,0)),"")</f>
        <v/>
      </c>
      <c r="N721" t="str">
        <f t="array" ref="N721">IFERROR(INDEX('Daily Raw Data'!W:W,Match($A721,'Daily Raw Data'!$B:$B,0)),"")</f>
        <v/>
      </c>
      <c r="O721" t="str">
        <f t="array" ref="O721">IFERROR(INDEX('Daily Raw Data'!Y:Y,Match($A721,'Daily Raw Data'!$B:$B,0)),"")</f>
        <v/>
      </c>
      <c r="P721" t="str">
        <f t="shared" si="1"/>
        <v/>
      </c>
      <c r="Q721" s="14" t="str">
        <f t="shared" si="2"/>
        <v/>
      </c>
      <c r="R721" s="15" t="str">
        <f>IFERROR(__xludf.DUMMYFUNCTION("IF($A721="""","""", IFERROR(PERCENTRANK.INC(FILTER(P:P,$E:$E&lt;&gt;""""),P721)*100,""""))"),"")</f>
        <v/>
      </c>
      <c r="S721" s="15" t="str">
        <f>IFERROR(__xludf.DUMMYFUNCTION("IF($A721="""","""",IFERROR(PERCENTRANK.INC(FILTER(Q:Q,$E:$E&lt;&gt;""""),Q721)*100,""""))"),"")</f>
        <v/>
      </c>
    </row>
    <row r="722">
      <c r="B722" t="str">
        <f t="array" ref="B722">IFERROR(INDEX('Player Raw Data'!C:C,Match($A722,'Player Raw Data'!$B:$B,0)),"")</f>
        <v/>
      </c>
      <c r="C722" t="str">
        <f t="array" ref="C722">IFERROR(INDEX('Player Raw Data'!D:D,Match($A722,'Player Raw Data'!$B:$B,0)),"")</f>
        <v/>
      </c>
      <c r="D722" t="str">
        <f t="array" ref="D722">IFERROR(IF(A722=A721, INDEX('Player Raw Data'!E:E,Match($A722,'Player Raw Data'!$B:$B,0)+2),INDEX('Player Raw Data'!E:E,Match($A722,'Player Raw Data'!$B:$B,0))),"")</f>
        <v/>
      </c>
      <c r="E722" s="27" t="str">
        <f>IFERROR(__xludf.DUMMYFUNCTION("IFERROR(ARRAY_CONSTRAIN(SPLIT(INDEX('Daily Raw Data'!G:G,Match($A722,'Daily Raw Data'!$B:$B,0)),"":""),1,1),"""")"),"")</f>
        <v/>
      </c>
      <c r="F722" t="str">
        <f t="array" ref="F722">IFERROR(INDEX('Daily Raw Data'!H:H,Match($A722,'Daily Raw Data'!$B:$B,0)),"")</f>
        <v/>
      </c>
      <c r="G722" t="str">
        <f t="array" ref="G722">IFERROR(INDEX('Daily Raw Data'!I:I,Match($A722,'Daily Raw Data'!$B:$B,0)),"")</f>
        <v/>
      </c>
      <c r="H722" t="str">
        <f t="array" ref="H722">IFERROR(INDEX('Daily Raw Data'!N:N,Match($A722,'Daily Raw Data'!$B:$B,0)),"")</f>
        <v/>
      </c>
      <c r="I722" t="str">
        <f t="array" ref="I722">IFERROR(INDEX('Daily Raw Data'!O:O,Match($A722,'Daily Raw Data'!$B:$B,0)),"")</f>
        <v/>
      </c>
      <c r="J722" t="str">
        <f t="array" ref="J722">IFERROR(INDEX('Daily Raw Data'!S:S,Match($A722,'Daily Raw Data'!$B:$B,0)),"")</f>
        <v/>
      </c>
      <c r="K722" t="str">
        <f t="array" ref="K722">IFERROR(INDEX('Daily Raw Data'!T:T,Match($A722,'Daily Raw Data'!$B:$B,0)),"")</f>
        <v/>
      </c>
      <c r="L722" t="str">
        <f t="array" ref="L722">IFERROR(INDEX('Daily Raw Data'!U:U,Match($A722,'Daily Raw Data'!$B:$B,0)),"")</f>
        <v/>
      </c>
      <c r="M722" t="str">
        <f t="array" ref="M722">IFERROR(INDEX('Daily Raw Data'!V:V,Match($A722,'Daily Raw Data'!$B:$B,0)),"")</f>
        <v/>
      </c>
      <c r="N722" t="str">
        <f t="array" ref="N722">IFERROR(INDEX('Daily Raw Data'!W:W,Match($A722,'Daily Raw Data'!$B:$B,0)),"")</f>
        <v/>
      </c>
      <c r="O722" t="str">
        <f t="array" ref="O722">IFERROR(INDEX('Daily Raw Data'!Y:Y,Match($A722,'Daily Raw Data'!$B:$B,0)),"")</f>
        <v/>
      </c>
      <c r="P722" t="str">
        <f t="shared" si="1"/>
        <v/>
      </c>
      <c r="Q722" s="14" t="str">
        <f t="shared" si="2"/>
        <v/>
      </c>
      <c r="R722" s="15" t="str">
        <f>IFERROR(__xludf.DUMMYFUNCTION("IF($A722="""","""", IFERROR(PERCENTRANK.INC(FILTER(P:P,$E:$E&lt;&gt;""""),P722)*100,""""))"),"")</f>
        <v/>
      </c>
      <c r="S722" s="15" t="str">
        <f>IFERROR(__xludf.DUMMYFUNCTION("IF($A722="""","""",IFERROR(PERCENTRANK.INC(FILTER(Q:Q,$E:$E&lt;&gt;""""),Q722)*100,""""))"),"")</f>
        <v/>
      </c>
    </row>
    <row r="723">
      <c r="B723" t="str">
        <f t="array" ref="B723">IFERROR(INDEX('Player Raw Data'!C:C,Match($A723,'Player Raw Data'!$B:$B,0)),"")</f>
        <v/>
      </c>
      <c r="C723" t="str">
        <f t="array" ref="C723">IFERROR(INDEX('Player Raw Data'!D:D,Match($A723,'Player Raw Data'!$B:$B,0)),"")</f>
        <v/>
      </c>
      <c r="D723" t="str">
        <f t="array" ref="D723">IFERROR(IF(A723=A722, INDEX('Player Raw Data'!E:E,Match($A723,'Player Raw Data'!$B:$B,0)+2),INDEX('Player Raw Data'!E:E,Match($A723,'Player Raw Data'!$B:$B,0))),"")</f>
        <v/>
      </c>
      <c r="E723" s="27" t="str">
        <f>IFERROR(__xludf.DUMMYFUNCTION("IFERROR(ARRAY_CONSTRAIN(SPLIT(INDEX('Daily Raw Data'!G:G,Match($A723,'Daily Raw Data'!$B:$B,0)),"":""),1,1),"""")"),"")</f>
        <v/>
      </c>
      <c r="F723" t="str">
        <f t="array" ref="F723">IFERROR(INDEX('Daily Raw Data'!H:H,Match($A723,'Daily Raw Data'!$B:$B,0)),"")</f>
        <v/>
      </c>
      <c r="G723" t="str">
        <f t="array" ref="G723">IFERROR(INDEX('Daily Raw Data'!I:I,Match($A723,'Daily Raw Data'!$B:$B,0)),"")</f>
        <v/>
      </c>
      <c r="H723" t="str">
        <f t="array" ref="H723">IFERROR(INDEX('Daily Raw Data'!N:N,Match($A723,'Daily Raw Data'!$B:$B,0)),"")</f>
        <v/>
      </c>
      <c r="I723" t="str">
        <f t="array" ref="I723">IFERROR(INDEX('Daily Raw Data'!O:O,Match($A723,'Daily Raw Data'!$B:$B,0)),"")</f>
        <v/>
      </c>
      <c r="J723" t="str">
        <f t="array" ref="J723">IFERROR(INDEX('Daily Raw Data'!S:S,Match($A723,'Daily Raw Data'!$B:$B,0)),"")</f>
        <v/>
      </c>
      <c r="K723" t="str">
        <f t="array" ref="K723">IFERROR(INDEX('Daily Raw Data'!T:T,Match($A723,'Daily Raw Data'!$B:$B,0)),"")</f>
        <v/>
      </c>
      <c r="L723" t="str">
        <f t="array" ref="L723">IFERROR(INDEX('Daily Raw Data'!U:U,Match($A723,'Daily Raw Data'!$B:$B,0)),"")</f>
        <v/>
      </c>
      <c r="M723" t="str">
        <f t="array" ref="M723">IFERROR(INDEX('Daily Raw Data'!V:V,Match($A723,'Daily Raw Data'!$B:$B,0)),"")</f>
        <v/>
      </c>
      <c r="N723" t="str">
        <f t="array" ref="N723">IFERROR(INDEX('Daily Raw Data'!W:W,Match($A723,'Daily Raw Data'!$B:$B,0)),"")</f>
        <v/>
      </c>
      <c r="O723" t="str">
        <f t="array" ref="O723">IFERROR(INDEX('Daily Raw Data'!Y:Y,Match($A723,'Daily Raw Data'!$B:$B,0)),"")</f>
        <v/>
      </c>
      <c r="P723" t="str">
        <f t="shared" si="1"/>
        <v/>
      </c>
      <c r="Q723" s="14" t="str">
        <f t="shared" si="2"/>
        <v/>
      </c>
      <c r="R723" s="15" t="str">
        <f>IFERROR(__xludf.DUMMYFUNCTION("IF($A723="""","""", IFERROR(PERCENTRANK.INC(FILTER(P:P,$E:$E&lt;&gt;""""),P723)*100,""""))"),"")</f>
        <v/>
      </c>
      <c r="S723" s="15" t="str">
        <f>IFERROR(__xludf.DUMMYFUNCTION("IF($A723="""","""",IFERROR(PERCENTRANK.INC(FILTER(Q:Q,$E:$E&lt;&gt;""""),Q723)*100,""""))"),"")</f>
        <v/>
      </c>
    </row>
    <row r="724">
      <c r="B724" t="str">
        <f t="array" ref="B724">IFERROR(INDEX('Player Raw Data'!C:C,Match($A724,'Player Raw Data'!$B:$B,0)),"")</f>
        <v/>
      </c>
      <c r="C724" t="str">
        <f t="array" ref="C724">IFERROR(INDEX('Player Raw Data'!D:D,Match($A724,'Player Raw Data'!$B:$B,0)),"")</f>
        <v/>
      </c>
      <c r="D724" t="str">
        <f t="array" ref="D724">IFERROR(IF(A724=A723, INDEX('Player Raw Data'!E:E,Match($A724,'Player Raw Data'!$B:$B,0)+2),INDEX('Player Raw Data'!E:E,Match($A724,'Player Raw Data'!$B:$B,0))),"")</f>
        <v/>
      </c>
      <c r="E724" s="27" t="str">
        <f>IFERROR(__xludf.DUMMYFUNCTION("IFERROR(ARRAY_CONSTRAIN(SPLIT(INDEX('Daily Raw Data'!G:G,Match($A724,'Daily Raw Data'!$B:$B,0)),"":""),1,1),"""")"),"")</f>
        <v/>
      </c>
      <c r="F724" t="str">
        <f t="array" ref="F724">IFERROR(INDEX('Daily Raw Data'!H:H,Match($A724,'Daily Raw Data'!$B:$B,0)),"")</f>
        <v/>
      </c>
      <c r="G724" t="str">
        <f t="array" ref="G724">IFERROR(INDEX('Daily Raw Data'!I:I,Match($A724,'Daily Raw Data'!$B:$B,0)),"")</f>
        <v/>
      </c>
      <c r="H724" t="str">
        <f t="array" ref="H724">IFERROR(INDEX('Daily Raw Data'!N:N,Match($A724,'Daily Raw Data'!$B:$B,0)),"")</f>
        <v/>
      </c>
      <c r="I724" t="str">
        <f t="array" ref="I724">IFERROR(INDEX('Daily Raw Data'!O:O,Match($A724,'Daily Raw Data'!$B:$B,0)),"")</f>
        <v/>
      </c>
      <c r="J724" t="str">
        <f t="array" ref="J724">IFERROR(INDEX('Daily Raw Data'!S:S,Match($A724,'Daily Raw Data'!$B:$B,0)),"")</f>
        <v/>
      </c>
      <c r="K724" t="str">
        <f t="array" ref="K724">IFERROR(INDEX('Daily Raw Data'!T:T,Match($A724,'Daily Raw Data'!$B:$B,0)),"")</f>
        <v/>
      </c>
      <c r="L724" t="str">
        <f t="array" ref="L724">IFERROR(INDEX('Daily Raw Data'!U:U,Match($A724,'Daily Raw Data'!$B:$B,0)),"")</f>
        <v/>
      </c>
      <c r="M724" t="str">
        <f t="array" ref="M724">IFERROR(INDEX('Daily Raw Data'!V:V,Match($A724,'Daily Raw Data'!$B:$B,0)),"")</f>
        <v/>
      </c>
      <c r="N724" t="str">
        <f t="array" ref="N724">IFERROR(INDEX('Daily Raw Data'!W:W,Match($A724,'Daily Raw Data'!$B:$B,0)),"")</f>
        <v/>
      </c>
      <c r="O724" t="str">
        <f t="array" ref="O724">IFERROR(INDEX('Daily Raw Data'!Y:Y,Match($A724,'Daily Raw Data'!$B:$B,0)),"")</f>
        <v/>
      </c>
      <c r="P724" t="str">
        <f t="shared" si="1"/>
        <v/>
      </c>
      <c r="Q724" s="14" t="str">
        <f t="shared" si="2"/>
        <v/>
      </c>
      <c r="R724" s="15" t="str">
        <f>IFERROR(__xludf.DUMMYFUNCTION("IF($A724="""","""", IFERROR(PERCENTRANK.INC(FILTER(P:P,$E:$E&lt;&gt;""""),P724)*100,""""))"),"")</f>
        <v/>
      </c>
      <c r="S724" s="15" t="str">
        <f>IFERROR(__xludf.DUMMYFUNCTION("IF($A724="""","""",IFERROR(PERCENTRANK.INC(FILTER(Q:Q,$E:$E&lt;&gt;""""),Q724)*100,""""))"),"")</f>
        <v/>
      </c>
    </row>
    <row r="725">
      <c r="B725" t="str">
        <f t="array" ref="B725">IFERROR(INDEX('Player Raw Data'!C:C,Match($A725,'Player Raw Data'!$B:$B,0)),"")</f>
        <v/>
      </c>
      <c r="C725" t="str">
        <f t="array" ref="C725">IFERROR(INDEX('Player Raw Data'!D:D,Match($A725,'Player Raw Data'!$B:$B,0)),"")</f>
        <v/>
      </c>
      <c r="D725" t="str">
        <f t="array" ref="D725">IFERROR(IF(A725=A724, INDEX('Player Raw Data'!E:E,Match($A725,'Player Raw Data'!$B:$B,0)+2),INDEX('Player Raw Data'!E:E,Match($A725,'Player Raw Data'!$B:$B,0))),"")</f>
        <v/>
      </c>
      <c r="E725" s="27" t="str">
        <f>IFERROR(__xludf.DUMMYFUNCTION("IFERROR(ARRAY_CONSTRAIN(SPLIT(INDEX('Daily Raw Data'!G:G,Match($A725,'Daily Raw Data'!$B:$B,0)),"":""),1,1),"""")"),"")</f>
        <v/>
      </c>
      <c r="F725" t="str">
        <f t="array" ref="F725">IFERROR(INDEX('Daily Raw Data'!H:H,Match($A725,'Daily Raw Data'!$B:$B,0)),"")</f>
        <v/>
      </c>
      <c r="G725" t="str">
        <f t="array" ref="G725">IFERROR(INDEX('Daily Raw Data'!I:I,Match($A725,'Daily Raw Data'!$B:$B,0)),"")</f>
        <v/>
      </c>
      <c r="H725" t="str">
        <f t="array" ref="H725">IFERROR(INDEX('Daily Raw Data'!N:N,Match($A725,'Daily Raw Data'!$B:$B,0)),"")</f>
        <v/>
      </c>
      <c r="I725" t="str">
        <f t="array" ref="I725">IFERROR(INDEX('Daily Raw Data'!O:O,Match($A725,'Daily Raw Data'!$B:$B,0)),"")</f>
        <v/>
      </c>
      <c r="J725" t="str">
        <f t="array" ref="J725">IFERROR(INDEX('Daily Raw Data'!S:S,Match($A725,'Daily Raw Data'!$B:$B,0)),"")</f>
        <v/>
      </c>
      <c r="K725" t="str">
        <f t="array" ref="K725">IFERROR(INDEX('Daily Raw Data'!T:T,Match($A725,'Daily Raw Data'!$B:$B,0)),"")</f>
        <v/>
      </c>
      <c r="L725" t="str">
        <f t="array" ref="L725">IFERROR(INDEX('Daily Raw Data'!U:U,Match($A725,'Daily Raw Data'!$B:$B,0)),"")</f>
        <v/>
      </c>
      <c r="M725" t="str">
        <f t="array" ref="M725">IFERROR(INDEX('Daily Raw Data'!V:V,Match($A725,'Daily Raw Data'!$B:$B,0)),"")</f>
        <v/>
      </c>
      <c r="N725" t="str">
        <f t="array" ref="N725">IFERROR(INDEX('Daily Raw Data'!W:W,Match($A725,'Daily Raw Data'!$B:$B,0)),"")</f>
        <v/>
      </c>
      <c r="O725" t="str">
        <f t="array" ref="O725">IFERROR(INDEX('Daily Raw Data'!Y:Y,Match($A725,'Daily Raw Data'!$B:$B,0)),"")</f>
        <v/>
      </c>
      <c r="P725" t="str">
        <f t="shared" si="1"/>
        <v/>
      </c>
      <c r="Q725" s="14" t="str">
        <f t="shared" si="2"/>
        <v/>
      </c>
      <c r="R725" s="15" t="str">
        <f>IFERROR(__xludf.DUMMYFUNCTION("IF($A725="""","""", IFERROR(PERCENTRANK.INC(FILTER(P:P,$E:$E&lt;&gt;""""),P725)*100,""""))"),"")</f>
        <v/>
      </c>
      <c r="S725" s="15" t="str">
        <f>IFERROR(__xludf.DUMMYFUNCTION("IF($A725="""","""",IFERROR(PERCENTRANK.INC(FILTER(Q:Q,$E:$E&lt;&gt;""""),Q725)*100,""""))"),"")</f>
        <v/>
      </c>
    </row>
    <row r="726">
      <c r="B726" t="str">
        <f t="array" ref="B726">IFERROR(INDEX('Player Raw Data'!C:C,Match($A726,'Player Raw Data'!$B:$B,0)),"")</f>
        <v/>
      </c>
      <c r="C726" t="str">
        <f t="array" ref="C726">IFERROR(INDEX('Player Raw Data'!D:D,Match($A726,'Player Raw Data'!$B:$B,0)),"")</f>
        <v/>
      </c>
      <c r="D726" t="str">
        <f t="array" ref="D726">IFERROR(IF(A726=A725, INDEX('Player Raw Data'!E:E,Match($A726,'Player Raw Data'!$B:$B,0)+2),INDEX('Player Raw Data'!E:E,Match($A726,'Player Raw Data'!$B:$B,0))),"")</f>
        <v/>
      </c>
      <c r="E726" s="27" t="str">
        <f>IFERROR(__xludf.DUMMYFUNCTION("IFERROR(ARRAY_CONSTRAIN(SPLIT(INDEX('Daily Raw Data'!G:G,Match($A726,'Daily Raw Data'!$B:$B,0)),"":""),1,1),"""")"),"")</f>
        <v/>
      </c>
      <c r="F726" t="str">
        <f t="array" ref="F726">IFERROR(INDEX('Daily Raw Data'!H:H,Match($A726,'Daily Raw Data'!$B:$B,0)),"")</f>
        <v/>
      </c>
      <c r="G726" t="str">
        <f t="array" ref="G726">IFERROR(INDEX('Daily Raw Data'!I:I,Match($A726,'Daily Raw Data'!$B:$B,0)),"")</f>
        <v/>
      </c>
      <c r="H726" t="str">
        <f t="array" ref="H726">IFERROR(INDEX('Daily Raw Data'!N:N,Match($A726,'Daily Raw Data'!$B:$B,0)),"")</f>
        <v/>
      </c>
      <c r="I726" t="str">
        <f t="array" ref="I726">IFERROR(INDEX('Daily Raw Data'!O:O,Match($A726,'Daily Raw Data'!$B:$B,0)),"")</f>
        <v/>
      </c>
      <c r="J726" t="str">
        <f t="array" ref="J726">IFERROR(INDEX('Daily Raw Data'!S:S,Match($A726,'Daily Raw Data'!$B:$B,0)),"")</f>
        <v/>
      </c>
      <c r="K726" t="str">
        <f t="array" ref="K726">IFERROR(INDEX('Daily Raw Data'!T:T,Match($A726,'Daily Raw Data'!$B:$B,0)),"")</f>
        <v/>
      </c>
      <c r="L726" t="str">
        <f t="array" ref="L726">IFERROR(INDEX('Daily Raw Data'!U:U,Match($A726,'Daily Raw Data'!$B:$B,0)),"")</f>
        <v/>
      </c>
      <c r="M726" t="str">
        <f t="array" ref="M726">IFERROR(INDEX('Daily Raw Data'!V:V,Match($A726,'Daily Raw Data'!$B:$B,0)),"")</f>
        <v/>
      </c>
      <c r="N726" t="str">
        <f t="array" ref="N726">IFERROR(INDEX('Daily Raw Data'!W:W,Match($A726,'Daily Raw Data'!$B:$B,0)),"")</f>
        <v/>
      </c>
      <c r="O726" t="str">
        <f t="array" ref="O726">IFERROR(INDEX('Daily Raw Data'!Y:Y,Match($A726,'Daily Raw Data'!$B:$B,0)),"")</f>
        <v/>
      </c>
      <c r="P726" t="str">
        <f t="shared" si="1"/>
        <v/>
      </c>
      <c r="Q726" s="14" t="str">
        <f t="shared" si="2"/>
        <v/>
      </c>
      <c r="R726" s="15" t="str">
        <f>IFERROR(__xludf.DUMMYFUNCTION("IF($A726="""","""", IFERROR(PERCENTRANK.INC(FILTER(P:P,$E:$E&lt;&gt;""""),P726)*100,""""))"),"")</f>
        <v/>
      </c>
      <c r="S726" s="15" t="str">
        <f>IFERROR(__xludf.DUMMYFUNCTION("IF($A726="""","""",IFERROR(PERCENTRANK.INC(FILTER(Q:Q,$E:$E&lt;&gt;""""),Q726)*100,""""))"),"")</f>
        <v/>
      </c>
    </row>
    <row r="727">
      <c r="B727" t="str">
        <f t="array" ref="B727">IFERROR(INDEX('Player Raw Data'!C:C,Match($A727,'Player Raw Data'!$B:$B,0)),"")</f>
        <v/>
      </c>
      <c r="C727" t="str">
        <f t="array" ref="C727">IFERROR(INDEX('Player Raw Data'!D:D,Match($A727,'Player Raw Data'!$B:$B,0)),"")</f>
        <v/>
      </c>
      <c r="D727" t="str">
        <f t="array" ref="D727">IFERROR(IF(A727=A726, INDEX('Player Raw Data'!E:E,Match($A727,'Player Raw Data'!$B:$B,0)+2),INDEX('Player Raw Data'!E:E,Match($A727,'Player Raw Data'!$B:$B,0))),"")</f>
        <v/>
      </c>
      <c r="E727" s="27" t="str">
        <f>IFERROR(__xludf.DUMMYFUNCTION("IFERROR(ARRAY_CONSTRAIN(SPLIT(INDEX('Daily Raw Data'!G:G,Match($A727,'Daily Raw Data'!$B:$B,0)),"":""),1,1),"""")"),"")</f>
        <v/>
      </c>
      <c r="F727" t="str">
        <f t="array" ref="F727">IFERROR(INDEX('Daily Raw Data'!H:H,Match($A727,'Daily Raw Data'!$B:$B,0)),"")</f>
        <v/>
      </c>
      <c r="G727" t="str">
        <f t="array" ref="G727">IFERROR(INDEX('Daily Raw Data'!I:I,Match($A727,'Daily Raw Data'!$B:$B,0)),"")</f>
        <v/>
      </c>
      <c r="H727" t="str">
        <f t="array" ref="H727">IFERROR(INDEX('Daily Raw Data'!N:N,Match($A727,'Daily Raw Data'!$B:$B,0)),"")</f>
        <v/>
      </c>
      <c r="I727" t="str">
        <f t="array" ref="I727">IFERROR(INDEX('Daily Raw Data'!O:O,Match($A727,'Daily Raw Data'!$B:$B,0)),"")</f>
        <v/>
      </c>
      <c r="J727" t="str">
        <f t="array" ref="J727">IFERROR(INDEX('Daily Raw Data'!S:S,Match($A727,'Daily Raw Data'!$B:$B,0)),"")</f>
        <v/>
      </c>
      <c r="K727" t="str">
        <f t="array" ref="K727">IFERROR(INDEX('Daily Raw Data'!T:T,Match($A727,'Daily Raw Data'!$B:$B,0)),"")</f>
        <v/>
      </c>
      <c r="L727" t="str">
        <f t="array" ref="L727">IFERROR(INDEX('Daily Raw Data'!U:U,Match($A727,'Daily Raw Data'!$B:$B,0)),"")</f>
        <v/>
      </c>
      <c r="M727" t="str">
        <f t="array" ref="M727">IFERROR(INDEX('Daily Raw Data'!V:V,Match($A727,'Daily Raw Data'!$B:$B,0)),"")</f>
        <v/>
      </c>
      <c r="N727" t="str">
        <f t="array" ref="N727">IFERROR(INDEX('Daily Raw Data'!W:W,Match($A727,'Daily Raw Data'!$B:$B,0)),"")</f>
        <v/>
      </c>
      <c r="O727" t="str">
        <f t="array" ref="O727">IFERROR(INDEX('Daily Raw Data'!Y:Y,Match($A727,'Daily Raw Data'!$B:$B,0)),"")</f>
        <v/>
      </c>
      <c r="P727" t="str">
        <f t="shared" si="1"/>
        <v/>
      </c>
      <c r="Q727" s="14" t="str">
        <f t="shared" si="2"/>
        <v/>
      </c>
      <c r="R727" s="15" t="str">
        <f>IFERROR(__xludf.DUMMYFUNCTION("IF($A727="""","""", IFERROR(PERCENTRANK.INC(FILTER(P:P,$E:$E&lt;&gt;""""),P727)*100,""""))"),"")</f>
        <v/>
      </c>
      <c r="S727" s="15" t="str">
        <f>IFERROR(__xludf.DUMMYFUNCTION("IF($A727="""","""",IFERROR(PERCENTRANK.INC(FILTER(Q:Q,$E:$E&lt;&gt;""""),Q727)*100,""""))"),"")</f>
        <v/>
      </c>
    </row>
    <row r="728">
      <c r="B728" t="str">
        <f t="array" ref="B728">IFERROR(INDEX('Player Raw Data'!C:C,Match($A728,'Player Raw Data'!$B:$B,0)),"")</f>
        <v/>
      </c>
      <c r="C728" t="str">
        <f t="array" ref="C728">IFERROR(INDEX('Player Raw Data'!D:D,Match($A728,'Player Raw Data'!$B:$B,0)),"")</f>
        <v/>
      </c>
      <c r="D728" t="str">
        <f t="array" ref="D728">IFERROR(IF(A728=A727, INDEX('Player Raw Data'!E:E,Match($A728,'Player Raw Data'!$B:$B,0)+2),INDEX('Player Raw Data'!E:E,Match($A728,'Player Raw Data'!$B:$B,0))),"")</f>
        <v/>
      </c>
      <c r="E728" s="27" t="str">
        <f>IFERROR(__xludf.DUMMYFUNCTION("IFERROR(ARRAY_CONSTRAIN(SPLIT(INDEX('Daily Raw Data'!G:G,Match($A728,'Daily Raw Data'!$B:$B,0)),"":""),1,1),"""")"),"")</f>
        <v/>
      </c>
      <c r="F728" t="str">
        <f t="array" ref="F728">IFERROR(INDEX('Daily Raw Data'!H:H,Match($A728,'Daily Raw Data'!$B:$B,0)),"")</f>
        <v/>
      </c>
      <c r="G728" t="str">
        <f t="array" ref="G728">IFERROR(INDEX('Daily Raw Data'!I:I,Match($A728,'Daily Raw Data'!$B:$B,0)),"")</f>
        <v/>
      </c>
      <c r="H728" t="str">
        <f t="array" ref="H728">IFERROR(INDEX('Daily Raw Data'!N:N,Match($A728,'Daily Raw Data'!$B:$B,0)),"")</f>
        <v/>
      </c>
      <c r="I728" t="str">
        <f t="array" ref="I728">IFERROR(INDEX('Daily Raw Data'!O:O,Match($A728,'Daily Raw Data'!$B:$B,0)),"")</f>
        <v/>
      </c>
      <c r="J728" t="str">
        <f t="array" ref="J728">IFERROR(INDEX('Daily Raw Data'!S:S,Match($A728,'Daily Raw Data'!$B:$B,0)),"")</f>
        <v/>
      </c>
      <c r="K728" t="str">
        <f t="array" ref="K728">IFERROR(INDEX('Daily Raw Data'!T:T,Match($A728,'Daily Raw Data'!$B:$B,0)),"")</f>
        <v/>
      </c>
      <c r="L728" t="str">
        <f t="array" ref="L728">IFERROR(INDEX('Daily Raw Data'!U:U,Match($A728,'Daily Raw Data'!$B:$B,0)),"")</f>
        <v/>
      </c>
      <c r="M728" t="str">
        <f t="array" ref="M728">IFERROR(INDEX('Daily Raw Data'!V:V,Match($A728,'Daily Raw Data'!$B:$B,0)),"")</f>
        <v/>
      </c>
      <c r="N728" t="str">
        <f t="array" ref="N728">IFERROR(INDEX('Daily Raw Data'!W:W,Match($A728,'Daily Raw Data'!$B:$B,0)),"")</f>
        <v/>
      </c>
      <c r="O728" t="str">
        <f t="array" ref="O728">IFERROR(INDEX('Daily Raw Data'!Y:Y,Match($A728,'Daily Raw Data'!$B:$B,0)),"")</f>
        <v/>
      </c>
      <c r="P728" t="str">
        <f t="shared" si="1"/>
        <v/>
      </c>
      <c r="Q728" s="14" t="str">
        <f t="shared" si="2"/>
        <v/>
      </c>
      <c r="R728" s="15" t="str">
        <f>IFERROR(__xludf.DUMMYFUNCTION("IF($A728="""","""", IFERROR(PERCENTRANK.INC(FILTER(P:P,$E:$E&lt;&gt;""""),P728)*100,""""))"),"")</f>
        <v/>
      </c>
      <c r="S728" s="15" t="str">
        <f>IFERROR(__xludf.DUMMYFUNCTION("IF($A728="""","""",IFERROR(PERCENTRANK.INC(FILTER(Q:Q,$E:$E&lt;&gt;""""),Q728)*100,""""))"),"")</f>
        <v/>
      </c>
    </row>
    <row r="729">
      <c r="B729" t="str">
        <f t="array" ref="B729">IFERROR(INDEX('Player Raw Data'!C:C,Match($A729,'Player Raw Data'!$B:$B,0)),"")</f>
        <v/>
      </c>
      <c r="C729" t="str">
        <f t="array" ref="C729">IFERROR(INDEX('Player Raw Data'!D:D,Match($A729,'Player Raw Data'!$B:$B,0)),"")</f>
        <v/>
      </c>
      <c r="D729" t="str">
        <f t="array" ref="D729">IFERROR(IF(A729=A728, INDEX('Player Raw Data'!E:E,Match($A729,'Player Raw Data'!$B:$B,0)+2),INDEX('Player Raw Data'!E:E,Match($A729,'Player Raw Data'!$B:$B,0))),"")</f>
        <v/>
      </c>
      <c r="E729" s="27" t="str">
        <f>IFERROR(__xludf.DUMMYFUNCTION("IFERROR(ARRAY_CONSTRAIN(SPLIT(INDEX('Daily Raw Data'!G:G,Match($A729,'Daily Raw Data'!$B:$B,0)),"":""),1,1),"""")"),"")</f>
        <v/>
      </c>
      <c r="F729" t="str">
        <f t="array" ref="F729">IFERROR(INDEX('Daily Raw Data'!H:H,Match($A729,'Daily Raw Data'!$B:$B,0)),"")</f>
        <v/>
      </c>
      <c r="G729" t="str">
        <f t="array" ref="G729">IFERROR(INDEX('Daily Raw Data'!I:I,Match($A729,'Daily Raw Data'!$B:$B,0)),"")</f>
        <v/>
      </c>
      <c r="H729" t="str">
        <f t="array" ref="H729">IFERROR(INDEX('Daily Raw Data'!N:N,Match($A729,'Daily Raw Data'!$B:$B,0)),"")</f>
        <v/>
      </c>
      <c r="I729" t="str">
        <f t="array" ref="I729">IFERROR(INDEX('Daily Raw Data'!O:O,Match($A729,'Daily Raw Data'!$B:$B,0)),"")</f>
        <v/>
      </c>
      <c r="J729" t="str">
        <f t="array" ref="J729">IFERROR(INDEX('Daily Raw Data'!S:S,Match($A729,'Daily Raw Data'!$B:$B,0)),"")</f>
        <v/>
      </c>
      <c r="K729" t="str">
        <f t="array" ref="K729">IFERROR(INDEX('Daily Raw Data'!T:T,Match($A729,'Daily Raw Data'!$B:$B,0)),"")</f>
        <v/>
      </c>
      <c r="L729" t="str">
        <f t="array" ref="L729">IFERROR(INDEX('Daily Raw Data'!U:U,Match($A729,'Daily Raw Data'!$B:$B,0)),"")</f>
        <v/>
      </c>
      <c r="M729" t="str">
        <f t="array" ref="M729">IFERROR(INDEX('Daily Raw Data'!V:V,Match($A729,'Daily Raw Data'!$B:$B,0)),"")</f>
        <v/>
      </c>
      <c r="N729" t="str">
        <f t="array" ref="N729">IFERROR(INDEX('Daily Raw Data'!W:W,Match($A729,'Daily Raw Data'!$B:$B,0)),"")</f>
        <v/>
      </c>
      <c r="O729" t="str">
        <f t="array" ref="O729">IFERROR(INDEX('Daily Raw Data'!Y:Y,Match($A729,'Daily Raw Data'!$B:$B,0)),"")</f>
        <v/>
      </c>
      <c r="P729" t="str">
        <f t="shared" si="1"/>
        <v/>
      </c>
      <c r="Q729" s="14" t="str">
        <f t="shared" si="2"/>
        <v/>
      </c>
      <c r="R729" s="15" t="str">
        <f>IFERROR(__xludf.DUMMYFUNCTION("IF($A729="""","""", IFERROR(PERCENTRANK.INC(FILTER(P:P,$E:$E&lt;&gt;""""),P729)*100,""""))"),"")</f>
        <v/>
      </c>
      <c r="S729" s="15" t="str">
        <f>IFERROR(__xludf.DUMMYFUNCTION("IF($A729="""","""",IFERROR(PERCENTRANK.INC(FILTER(Q:Q,$E:$E&lt;&gt;""""),Q729)*100,""""))"),"")</f>
        <v/>
      </c>
    </row>
    <row r="730">
      <c r="B730" t="str">
        <f t="array" ref="B730">IFERROR(INDEX('Player Raw Data'!C:C,Match($A730,'Player Raw Data'!$B:$B,0)),"")</f>
        <v/>
      </c>
      <c r="C730" t="str">
        <f t="array" ref="C730">IFERROR(INDEX('Player Raw Data'!D:D,Match($A730,'Player Raw Data'!$B:$B,0)),"")</f>
        <v/>
      </c>
      <c r="D730" t="str">
        <f t="array" ref="D730">IFERROR(IF(A730=A729, INDEX('Player Raw Data'!E:E,Match($A730,'Player Raw Data'!$B:$B,0)+2),INDEX('Player Raw Data'!E:E,Match($A730,'Player Raw Data'!$B:$B,0))),"")</f>
        <v/>
      </c>
      <c r="E730" s="27" t="str">
        <f>IFERROR(__xludf.DUMMYFUNCTION("IFERROR(ARRAY_CONSTRAIN(SPLIT(INDEX('Daily Raw Data'!G:G,Match($A730,'Daily Raw Data'!$B:$B,0)),"":""),1,1),"""")"),"")</f>
        <v/>
      </c>
      <c r="F730" t="str">
        <f t="array" ref="F730">IFERROR(INDEX('Daily Raw Data'!H:H,Match($A730,'Daily Raw Data'!$B:$B,0)),"")</f>
        <v/>
      </c>
      <c r="G730" t="str">
        <f t="array" ref="G730">IFERROR(INDEX('Daily Raw Data'!I:I,Match($A730,'Daily Raw Data'!$B:$B,0)),"")</f>
        <v/>
      </c>
      <c r="H730" t="str">
        <f t="array" ref="H730">IFERROR(INDEX('Daily Raw Data'!N:N,Match($A730,'Daily Raw Data'!$B:$B,0)),"")</f>
        <v/>
      </c>
      <c r="I730" t="str">
        <f t="array" ref="I730">IFERROR(INDEX('Daily Raw Data'!O:O,Match($A730,'Daily Raw Data'!$B:$B,0)),"")</f>
        <v/>
      </c>
      <c r="J730" t="str">
        <f t="array" ref="J730">IFERROR(INDEX('Daily Raw Data'!S:S,Match($A730,'Daily Raw Data'!$B:$B,0)),"")</f>
        <v/>
      </c>
      <c r="K730" t="str">
        <f t="array" ref="K730">IFERROR(INDEX('Daily Raw Data'!T:T,Match($A730,'Daily Raw Data'!$B:$B,0)),"")</f>
        <v/>
      </c>
      <c r="L730" t="str">
        <f t="array" ref="L730">IFERROR(INDEX('Daily Raw Data'!U:U,Match($A730,'Daily Raw Data'!$B:$B,0)),"")</f>
        <v/>
      </c>
      <c r="M730" t="str">
        <f t="array" ref="M730">IFERROR(INDEX('Daily Raw Data'!V:V,Match($A730,'Daily Raw Data'!$B:$B,0)),"")</f>
        <v/>
      </c>
      <c r="N730" t="str">
        <f t="array" ref="N730">IFERROR(INDEX('Daily Raw Data'!W:W,Match($A730,'Daily Raw Data'!$B:$B,0)),"")</f>
        <v/>
      </c>
      <c r="O730" t="str">
        <f t="array" ref="O730">IFERROR(INDEX('Daily Raw Data'!Y:Y,Match($A730,'Daily Raw Data'!$B:$B,0)),"")</f>
        <v/>
      </c>
      <c r="P730" t="str">
        <f t="shared" si="1"/>
        <v/>
      </c>
      <c r="Q730" s="14" t="str">
        <f t="shared" si="2"/>
        <v/>
      </c>
      <c r="R730" s="15" t="str">
        <f>IFERROR(__xludf.DUMMYFUNCTION("IF($A730="""","""", IFERROR(PERCENTRANK.INC(FILTER(P:P,$E:$E&lt;&gt;""""),P730)*100,""""))"),"")</f>
        <v/>
      </c>
      <c r="S730" s="15" t="str">
        <f>IFERROR(__xludf.DUMMYFUNCTION("IF($A730="""","""",IFERROR(PERCENTRANK.INC(FILTER(Q:Q,$E:$E&lt;&gt;""""),Q730)*100,""""))"),"")</f>
        <v/>
      </c>
    </row>
    <row r="731">
      <c r="B731" t="str">
        <f t="array" ref="B731">IFERROR(INDEX('Player Raw Data'!C:C,Match($A731,'Player Raw Data'!$B:$B,0)),"")</f>
        <v/>
      </c>
      <c r="C731" t="str">
        <f t="array" ref="C731">IFERROR(INDEX('Player Raw Data'!D:D,Match($A731,'Player Raw Data'!$B:$B,0)),"")</f>
        <v/>
      </c>
      <c r="D731" t="str">
        <f t="array" ref="D731">IFERROR(IF(A731=A730, INDEX('Player Raw Data'!E:E,Match($A731,'Player Raw Data'!$B:$B,0)+2),INDEX('Player Raw Data'!E:E,Match($A731,'Player Raw Data'!$B:$B,0))),"")</f>
        <v/>
      </c>
      <c r="E731" s="27" t="str">
        <f>IFERROR(__xludf.DUMMYFUNCTION("IFERROR(ARRAY_CONSTRAIN(SPLIT(INDEX('Daily Raw Data'!G:G,Match($A731,'Daily Raw Data'!$B:$B,0)),"":""),1,1),"""")"),"")</f>
        <v/>
      </c>
      <c r="F731" t="str">
        <f t="array" ref="F731">IFERROR(INDEX('Daily Raw Data'!H:H,Match($A731,'Daily Raw Data'!$B:$B,0)),"")</f>
        <v/>
      </c>
      <c r="G731" t="str">
        <f t="array" ref="G731">IFERROR(INDEX('Daily Raw Data'!I:I,Match($A731,'Daily Raw Data'!$B:$B,0)),"")</f>
        <v/>
      </c>
      <c r="H731" t="str">
        <f t="array" ref="H731">IFERROR(INDEX('Daily Raw Data'!N:N,Match($A731,'Daily Raw Data'!$B:$B,0)),"")</f>
        <v/>
      </c>
      <c r="I731" t="str">
        <f t="array" ref="I731">IFERROR(INDEX('Daily Raw Data'!O:O,Match($A731,'Daily Raw Data'!$B:$B,0)),"")</f>
        <v/>
      </c>
      <c r="J731" t="str">
        <f t="array" ref="J731">IFERROR(INDEX('Daily Raw Data'!S:S,Match($A731,'Daily Raw Data'!$B:$B,0)),"")</f>
        <v/>
      </c>
      <c r="K731" t="str">
        <f t="array" ref="K731">IFERROR(INDEX('Daily Raw Data'!T:T,Match($A731,'Daily Raw Data'!$B:$B,0)),"")</f>
        <v/>
      </c>
      <c r="L731" t="str">
        <f t="array" ref="L731">IFERROR(INDEX('Daily Raw Data'!U:U,Match($A731,'Daily Raw Data'!$B:$B,0)),"")</f>
        <v/>
      </c>
      <c r="M731" t="str">
        <f t="array" ref="M731">IFERROR(INDEX('Daily Raw Data'!V:V,Match($A731,'Daily Raw Data'!$B:$B,0)),"")</f>
        <v/>
      </c>
      <c r="N731" t="str">
        <f t="array" ref="N731">IFERROR(INDEX('Daily Raw Data'!W:W,Match($A731,'Daily Raw Data'!$B:$B,0)),"")</f>
        <v/>
      </c>
      <c r="O731" t="str">
        <f t="array" ref="O731">IFERROR(INDEX('Daily Raw Data'!Y:Y,Match($A731,'Daily Raw Data'!$B:$B,0)),"")</f>
        <v/>
      </c>
      <c r="P731" t="str">
        <f t="shared" si="1"/>
        <v/>
      </c>
      <c r="Q731" s="14" t="str">
        <f t="shared" si="2"/>
        <v/>
      </c>
      <c r="R731" s="15" t="str">
        <f>IFERROR(__xludf.DUMMYFUNCTION("IF($A731="""","""", IFERROR(PERCENTRANK.INC(FILTER(P:P,$E:$E&lt;&gt;""""),P731)*100,""""))"),"")</f>
        <v/>
      </c>
      <c r="S731" s="15" t="str">
        <f>IFERROR(__xludf.DUMMYFUNCTION("IF($A731="""","""",IFERROR(PERCENTRANK.INC(FILTER(Q:Q,$E:$E&lt;&gt;""""),Q731)*100,""""))"),"")</f>
        <v/>
      </c>
    </row>
    <row r="732">
      <c r="B732" t="str">
        <f t="array" ref="B732">IFERROR(INDEX('Player Raw Data'!C:C,Match($A732,'Player Raw Data'!$B:$B,0)),"")</f>
        <v/>
      </c>
      <c r="C732" t="str">
        <f t="array" ref="C732">IFERROR(INDEX('Player Raw Data'!D:D,Match($A732,'Player Raw Data'!$B:$B,0)),"")</f>
        <v/>
      </c>
      <c r="D732" t="str">
        <f t="array" ref="D732">IFERROR(IF(A732=A731, INDEX('Player Raw Data'!E:E,Match($A732,'Player Raw Data'!$B:$B,0)+2),INDEX('Player Raw Data'!E:E,Match($A732,'Player Raw Data'!$B:$B,0))),"")</f>
        <v/>
      </c>
      <c r="E732" s="27" t="str">
        <f>IFERROR(__xludf.DUMMYFUNCTION("IFERROR(ARRAY_CONSTRAIN(SPLIT(INDEX('Daily Raw Data'!G:G,Match($A732,'Daily Raw Data'!$B:$B,0)),"":""),1,1),"""")"),"")</f>
        <v/>
      </c>
      <c r="F732" t="str">
        <f t="array" ref="F732">IFERROR(INDEX('Daily Raw Data'!H:H,Match($A732,'Daily Raw Data'!$B:$B,0)),"")</f>
        <v/>
      </c>
      <c r="G732" t="str">
        <f t="array" ref="G732">IFERROR(INDEX('Daily Raw Data'!I:I,Match($A732,'Daily Raw Data'!$B:$B,0)),"")</f>
        <v/>
      </c>
      <c r="H732" t="str">
        <f t="array" ref="H732">IFERROR(INDEX('Daily Raw Data'!N:N,Match($A732,'Daily Raw Data'!$B:$B,0)),"")</f>
        <v/>
      </c>
      <c r="I732" t="str">
        <f t="array" ref="I732">IFERROR(INDEX('Daily Raw Data'!O:O,Match($A732,'Daily Raw Data'!$B:$B,0)),"")</f>
        <v/>
      </c>
      <c r="J732" t="str">
        <f t="array" ref="J732">IFERROR(INDEX('Daily Raw Data'!S:S,Match($A732,'Daily Raw Data'!$B:$B,0)),"")</f>
        <v/>
      </c>
      <c r="K732" t="str">
        <f t="array" ref="K732">IFERROR(INDEX('Daily Raw Data'!T:T,Match($A732,'Daily Raw Data'!$B:$B,0)),"")</f>
        <v/>
      </c>
      <c r="L732" t="str">
        <f t="array" ref="L732">IFERROR(INDEX('Daily Raw Data'!U:U,Match($A732,'Daily Raw Data'!$B:$B,0)),"")</f>
        <v/>
      </c>
      <c r="M732" t="str">
        <f t="array" ref="M732">IFERROR(INDEX('Daily Raw Data'!V:V,Match($A732,'Daily Raw Data'!$B:$B,0)),"")</f>
        <v/>
      </c>
      <c r="N732" t="str">
        <f t="array" ref="N732">IFERROR(INDEX('Daily Raw Data'!W:W,Match($A732,'Daily Raw Data'!$B:$B,0)),"")</f>
        <v/>
      </c>
      <c r="O732" t="str">
        <f t="array" ref="O732">IFERROR(INDEX('Daily Raw Data'!Y:Y,Match($A732,'Daily Raw Data'!$B:$B,0)),"")</f>
        <v/>
      </c>
      <c r="P732" t="str">
        <f t="shared" si="1"/>
        <v/>
      </c>
      <c r="Q732" s="14" t="str">
        <f t="shared" si="2"/>
        <v/>
      </c>
      <c r="R732" s="15" t="str">
        <f>IFERROR(__xludf.DUMMYFUNCTION("IF($A732="""","""", IFERROR(PERCENTRANK.INC(FILTER(P:P,$E:$E&lt;&gt;""""),P732)*100,""""))"),"")</f>
        <v/>
      </c>
      <c r="S732" s="15" t="str">
        <f>IFERROR(__xludf.DUMMYFUNCTION("IF($A732="""","""",IFERROR(PERCENTRANK.INC(FILTER(Q:Q,$E:$E&lt;&gt;""""),Q732)*100,""""))"),"")</f>
        <v/>
      </c>
    </row>
    <row r="733">
      <c r="B733" t="str">
        <f t="array" ref="B733">IFERROR(INDEX('Player Raw Data'!C:C,Match($A733,'Player Raw Data'!$B:$B,0)),"")</f>
        <v/>
      </c>
      <c r="C733" t="str">
        <f t="array" ref="C733">IFERROR(INDEX('Player Raw Data'!D:D,Match($A733,'Player Raw Data'!$B:$B,0)),"")</f>
        <v/>
      </c>
      <c r="D733" t="str">
        <f t="array" ref="D733">IFERROR(IF(A733=A732, INDEX('Player Raw Data'!E:E,Match($A733,'Player Raw Data'!$B:$B,0)+2),INDEX('Player Raw Data'!E:E,Match($A733,'Player Raw Data'!$B:$B,0))),"")</f>
        <v/>
      </c>
      <c r="E733" s="27" t="str">
        <f>IFERROR(__xludf.DUMMYFUNCTION("IFERROR(ARRAY_CONSTRAIN(SPLIT(INDEX('Daily Raw Data'!G:G,Match($A733,'Daily Raw Data'!$B:$B,0)),"":""),1,1),"""")"),"")</f>
        <v/>
      </c>
      <c r="F733" t="str">
        <f t="array" ref="F733">IFERROR(INDEX('Daily Raw Data'!H:H,Match($A733,'Daily Raw Data'!$B:$B,0)),"")</f>
        <v/>
      </c>
      <c r="G733" t="str">
        <f t="array" ref="G733">IFERROR(INDEX('Daily Raw Data'!I:I,Match($A733,'Daily Raw Data'!$B:$B,0)),"")</f>
        <v/>
      </c>
      <c r="H733" t="str">
        <f t="array" ref="H733">IFERROR(INDEX('Daily Raw Data'!N:N,Match($A733,'Daily Raw Data'!$B:$B,0)),"")</f>
        <v/>
      </c>
      <c r="I733" t="str">
        <f t="array" ref="I733">IFERROR(INDEX('Daily Raw Data'!O:O,Match($A733,'Daily Raw Data'!$B:$B,0)),"")</f>
        <v/>
      </c>
      <c r="J733" t="str">
        <f t="array" ref="J733">IFERROR(INDEX('Daily Raw Data'!S:S,Match($A733,'Daily Raw Data'!$B:$B,0)),"")</f>
        <v/>
      </c>
      <c r="K733" t="str">
        <f t="array" ref="K733">IFERROR(INDEX('Daily Raw Data'!T:T,Match($A733,'Daily Raw Data'!$B:$B,0)),"")</f>
        <v/>
      </c>
      <c r="L733" t="str">
        <f t="array" ref="L733">IFERROR(INDEX('Daily Raw Data'!U:U,Match($A733,'Daily Raw Data'!$B:$B,0)),"")</f>
        <v/>
      </c>
      <c r="M733" t="str">
        <f t="array" ref="M733">IFERROR(INDEX('Daily Raw Data'!V:V,Match($A733,'Daily Raw Data'!$B:$B,0)),"")</f>
        <v/>
      </c>
      <c r="N733" t="str">
        <f t="array" ref="N733">IFERROR(INDEX('Daily Raw Data'!W:W,Match($A733,'Daily Raw Data'!$B:$B,0)),"")</f>
        <v/>
      </c>
      <c r="O733" t="str">
        <f t="array" ref="O733">IFERROR(INDEX('Daily Raw Data'!Y:Y,Match($A733,'Daily Raw Data'!$B:$B,0)),"")</f>
        <v/>
      </c>
      <c r="P733" t="str">
        <f t="shared" si="1"/>
        <v/>
      </c>
      <c r="Q733" s="14" t="str">
        <f t="shared" si="2"/>
        <v/>
      </c>
      <c r="R733" s="15" t="str">
        <f>IFERROR(__xludf.DUMMYFUNCTION("IF($A733="""","""", IFERROR(PERCENTRANK.INC(FILTER(P:P,$E:$E&lt;&gt;""""),P733)*100,""""))"),"")</f>
        <v/>
      </c>
      <c r="S733" s="15" t="str">
        <f>IFERROR(__xludf.DUMMYFUNCTION("IF($A733="""","""",IFERROR(PERCENTRANK.INC(FILTER(Q:Q,$E:$E&lt;&gt;""""),Q733)*100,""""))"),"")</f>
        <v/>
      </c>
    </row>
    <row r="734">
      <c r="B734" t="str">
        <f t="array" ref="B734">IFERROR(INDEX('Player Raw Data'!C:C,Match($A734,'Player Raw Data'!$B:$B,0)),"")</f>
        <v/>
      </c>
      <c r="C734" t="str">
        <f t="array" ref="C734">IFERROR(INDEX('Player Raw Data'!D:D,Match($A734,'Player Raw Data'!$B:$B,0)),"")</f>
        <v/>
      </c>
      <c r="D734" t="str">
        <f t="array" ref="D734">IFERROR(IF(A734=A733, INDEX('Player Raw Data'!E:E,Match($A734,'Player Raw Data'!$B:$B,0)+2),INDEX('Player Raw Data'!E:E,Match($A734,'Player Raw Data'!$B:$B,0))),"")</f>
        <v/>
      </c>
      <c r="E734" s="27" t="str">
        <f>IFERROR(__xludf.DUMMYFUNCTION("IFERROR(ARRAY_CONSTRAIN(SPLIT(INDEX('Daily Raw Data'!G:G,Match($A734,'Daily Raw Data'!$B:$B,0)),"":""),1,1),"""")"),"")</f>
        <v/>
      </c>
      <c r="F734" t="str">
        <f t="array" ref="F734">IFERROR(INDEX('Daily Raw Data'!H:H,Match($A734,'Daily Raw Data'!$B:$B,0)),"")</f>
        <v/>
      </c>
      <c r="G734" t="str">
        <f t="array" ref="G734">IFERROR(INDEX('Daily Raw Data'!I:I,Match($A734,'Daily Raw Data'!$B:$B,0)),"")</f>
        <v/>
      </c>
      <c r="H734" t="str">
        <f t="array" ref="H734">IFERROR(INDEX('Daily Raw Data'!N:N,Match($A734,'Daily Raw Data'!$B:$B,0)),"")</f>
        <v/>
      </c>
      <c r="I734" t="str">
        <f t="array" ref="I734">IFERROR(INDEX('Daily Raw Data'!O:O,Match($A734,'Daily Raw Data'!$B:$B,0)),"")</f>
        <v/>
      </c>
      <c r="J734" t="str">
        <f t="array" ref="J734">IFERROR(INDEX('Daily Raw Data'!S:S,Match($A734,'Daily Raw Data'!$B:$B,0)),"")</f>
        <v/>
      </c>
      <c r="K734" t="str">
        <f t="array" ref="K734">IFERROR(INDEX('Daily Raw Data'!T:T,Match($A734,'Daily Raw Data'!$B:$B,0)),"")</f>
        <v/>
      </c>
      <c r="L734" t="str">
        <f t="array" ref="L734">IFERROR(INDEX('Daily Raw Data'!U:U,Match($A734,'Daily Raw Data'!$B:$B,0)),"")</f>
        <v/>
      </c>
      <c r="M734" t="str">
        <f t="array" ref="M734">IFERROR(INDEX('Daily Raw Data'!V:V,Match($A734,'Daily Raw Data'!$B:$B,0)),"")</f>
        <v/>
      </c>
      <c r="N734" t="str">
        <f t="array" ref="N734">IFERROR(INDEX('Daily Raw Data'!W:W,Match($A734,'Daily Raw Data'!$B:$B,0)),"")</f>
        <v/>
      </c>
      <c r="O734" t="str">
        <f t="array" ref="O734">IFERROR(INDEX('Daily Raw Data'!Y:Y,Match($A734,'Daily Raw Data'!$B:$B,0)),"")</f>
        <v/>
      </c>
      <c r="P734" t="str">
        <f t="shared" si="1"/>
        <v/>
      </c>
      <c r="Q734" s="14" t="str">
        <f t="shared" si="2"/>
        <v/>
      </c>
      <c r="R734" s="15" t="str">
        <f>IFERROR(__xludf.DUMMYFUNCTION("IF($A734="""","""", IFERROR(PERCENTRANK.INC(FILTER(P:P,$E:$E&lt;&gt;""""),P734)*100,""""))"),"")</f>
        <v/>
      </c>
      <c r="S734" s="15" t="str">
        <f>IFERROR(__xludf.DUMMYFUNCTION("IF($A734="""","""",IFERROR(PERCENTRANK.INC(FILTER(Q:Q,$E:$E&lt;&gt;""""),Q734)*100,""""))"),"")</f>
        <v/>
      </c>
    </row>
    <row r="735">
      <c r="B735" t="str">
        <f t="array" ref="B735">IFERROR(INDEX('Player Raw Data'!C:C,Match($A735,'Player Raw Data'!$B:$B,0)),"")</f>
        <v/>
      </c>
      <c r="C735" t="str">
        <f t="array" ref="C735">IFERROR(INDEX('Player Raw Data'!D:D,Match($A735,'Player Raw Data'!$B:$B,0)),"")</f>
        <v/>
      </c>
      <c r="D735" t="str">
        <f t="array" ref="D735">IFERROR(IF(A735=A734, INDEX('Player Raw Data'!E:E,Match($A735,'Player Raw Data'!$B:$B,0)+2),INDEX('Player Raw Data'!E:E,Match($A735,'Player Raw Data'!$B:$B,0))),"")</f>
        <v/>
      </c>
      <c r="E735" s="27" t="str">
        <f>IFERROR(__xludf.DUMMYFUNCTION("IFERROR(ARRAY_CONSTRAIN(SPLIT(INDEX('Daily Raw Data'!G:G,Match($A735,'Daily Raw Data'!$B:$B,0)),"":""),1,1),"""")"),"")</f>
        <v/>
      </c>
      <c r="F735" t="str">
        <f t="array" ref="F735">IFERROR(INDEX('Daily Raw Data'!H:H,Match($A735,'Daily Raw Data'!$B:$B,0)),"")</f>
        <v/>
      </c>
      <c r="G735" t="str">
        <f t="array" ref="G735">IFERROR(INDEX('Daily Raw Data'!I:I,Match($A735,'Daily Raw Data'!$B:$B,0)),"")</f>
        <v/>
      </c>
      <c r="H735" t="str">
        <f t="array" ref="H735">IFERROR(INDEX('Daily Raw Data'!N:N,Match($A735,'Daily Raw Data'!$B:$B,0)),"")</f>
        <v/>
      </c>
      <c r="I735" t="str">
        <f t="array" ref="I735">IFERROR(INDEX('Daily Raw Data'!O:O,Match($A735,'Daily Raw Data'!$B:$B,0)),"")</f>
        <v/>
      </c>
      <c r="J735" t="str">
        <f t="array" ref="J735">IFERROR(INDEX('Daily Raw Data'!S:S,Match($A735,'Daily Raw Data'!$B:$B,0)),"")</f>
        <v/>
      </c>
      <c r="K735" t="str">
        <f t="array" ref="K735">IFERROR(INDEX('Daily Raw Data'!T:T,Match($A735,'Daily Raw Data'!$B:$B,0)),"")</f>
        <v/>
      </c>
      <c r="L735" t="str">
        <f t="array" ref="L735">IFERROR(INDEX('Daily Raw Data'!U:U,Match($A735,'Daily Raw Data'!$B:$B,0)),"")</f>
        <v/>
      </c>
      <c r="M735" t="str">
        <f t="array" ref="M735">IFERROR(INDEX('Daily Raw Data'!V:V,Match($A735,'Daily Raw Data'!$B:$B,0)),"")</f>
        <v/>
      </c>
      <c r="N735" t="str">
        <f t="array" ref="N735">IFERROR(INDEX('Daily Raw Data'!W:W,Match($A735,'Daily Raw Data'!$B:$B,0)),"")</f>
        <v/>
      </c>
      <c r="O735" t="str">
        <f t="array" ref="O735">IFERROR(INDEX('Daily Raw Data'!Y:Y,Match($A735,'Daily Raw Data'!$B:$B,0)),"")</f>
        <v/>
      </c>
      <c r="P735" t="str">
        <f t="shared" si="1"/>
        <v/>
      </c>
      <c r="Q735" s="14" t="str">
        <f t="shared" si="2"/>
        <v/>
      </c>
      <c r="R735" s="15" t="str">
        <f>IFERROR(__xludf.DUMMYFUNCTION("IF($A735="""","""", IFERROR(PERCENTRANK.INC(FILTER(P:P,$E:$E&lt;&gt;""""),P735)*100,""""))"),"")</f>
        <v/>
      </c>
      <c r="S735" s="15" t="str">
        <f>IFERROR(__xludf.DUMMYFUNCTION("IF($A735="""","""",IFERROR(PERCENTRANK.INC(FILTER(Q:Q,$E:$E&lt;&gt;""""),Q735)*100,""""))"),"")</f>
        <v/>
      </c>
    </row>
    <row r="736">
      <c r="B736" t="str">
        <f t="array" ref="B736">IFERROR(INDEX('Player Raw Data'!C:C,Match($A736,'Player Raw Data'!$B:$B,0)),"")</f>
        <v/>
      </c>
      <c r="C736" t="str">
        <f t="array" ref="C736">IFERROR(INDEX('Player Raw Data'!D:D,Match($A736,'Player Raw Data'!$B:$B,0)),"")</f>
        <v/>
      </c>
      <c r="D736" t="str">
        <f t="array" ref="D736">IFERROR(IF(A736=A735, INDEX('Player Raw Data'!E:E,Match($A736,'Player Raw Data'!$B:$B,0)+2),INDEX('Player Raw Data'!E:E,Match($A736,'Player Raw Data'!$B:$B,0))),"")</f>
        <v/>
      </c>
      <c r="E736" s="27" t="str">
        <f>IFERROR(__xludf.DUMMYFUNCTION("IFERROR(ARRAY_CONSTRAIN(SPLIT(INDEX('Daily Raw Data'!G:G,Match($A736,'Daily Raw Data'!$B:$B,0)),"":""),1,1),"""")"),"")</f>
        <v/>
      </c>
      <c r="F736" t="str">
        <f t="array" ref="F736">IFERROR(INDEX('Daily Raw Data'!H:H,Match($A736,'Daily Raw Data'!$B:$B,0)),"")</f>
        <v/>
      </c>
      <c r="G736" t="str">
        <f t="array" ref="G736">IFERROR(INDEX('Daily Raw Data'!I:I,Match($A736,'Daily Raw Data'!$B:$B,0)),"")</f>
        <v/>
      </c>
      <c r="H736" t="str">
        <f t="array" ref="H736">IFERROR(INDEX('Daily Raw Data'!N:N,Match($A736,'Daily Raw Data'!$B:$B,0)),"")</f>
        <v/>
      </c>
      <c r="I736" t="str">
        <f t="array" ref="I736">IFERROR(INDEX('Daily Raw Data'!O:O,Match($A736,'Daily Raw Data'!$B:$B,0)),"")</f>
        <v/>
      </c>
      <c r="J736" t="str">
        <f t="array" ref="J736">IFERROR(INDEX('Daily Raw Data'!S:S,Match($A736,'Daily Raw Data'!$B:$B,0)),"")</f>
        <v/>
      </c>
      <c r="K736" t="str">
        <f t="array" ref="K736">IFERROR(INDEX('Daily Raw Data'!T:T,Match($A736,'Daily Raw Data'!$B:$B,0)),"")</f>
        <v/>
      </c>
      <c r="L736" t="str">
        <f t="array" ref="L736">IFERROR(INDEX('Daily Raw Data'!U:U,Match($A736,'Daily Raw Data'!$B:$B,0)),"")</f>
        <v/>
      </c>
      <c r="M736" t="str">
        <f t="array" ref="M736">IFERROR(INDEX('Daily Raw Data'!V:V,Match($A736,'Daily Raw Data'!$B:$B,0)),"")</f>
        <v/>
      </c>
      <c r="N736" t="str">
        <f t="array" ref="N736">IFERROR(INDEX('Daily Raw Data'!W:W,Match($A736,'Daily Raw Data'!$B:$B,0)),"")</f>
        <v/>
      </c>
      <c r="O736" t="str">
        <f t="array" ref="O736">IFERROR(INDEX('Daily Raw Data'!Y:Y,Match($A736,'Daily Raw Data'!$B:$B,0)),"")</f>
        <v/>
      </c>
      <c r="P736" t="str">
        <f t="shared" si="1"/>
        <v/>
      </c>
      <c r="Q736" s="14" t="str">
        <f t="shared" si="2"/>
        <v/>
      </c>
      <c r="R736" s="15" t="str">
        <f>IFERROR(__xludf.DUMMYFUNCTION("IF($A736="""","""", IFERROR(PERCENTRANK.INC(FILTER(P:P,$E:$E&lt;&gt;""""),P736)*100,""""))"),"")</f>
        <v/>
      </c>
      <c r="S736" s="15" t="str">
        <f>IFERROR(__xludf.DUMMYFUNCTION("IF($A736="""","""",IFERROR(PERCENTRANK.INC(FILTER(Q:Q,$E:$E&lt;&gt;""""),Q736)*100,""""))"),"")</f>
        <v/>
      </c>
    </row>
    <row r="737">
      <c r="B737" t="str">
        <f t="array" ref="B737">IFERROR(INDEX('Player Raw Data'!C:C,Match($A737,'Player Raw Data'!$B:$B,0)),"")</f>
        <v/>
      </c>
      <c r="C737" t="str">
        <f t="array" ref="C737">IFERROR(INDEX('Player Raw Data'!D:D,Match($A737,'Player Raw Data'!$B:$B,0)),"")</f>
        <v/>
      </c>
      <c r="D737" t="str">
        <f t="array" ref="D737">IFERROR(IF(A737=A736, INDEX('Player Raw Data'!E:E,Match($A737,'Player Raw Data'!$B:$B,0)+2),INDEX('Player Raw Data'!E:E,Match($A737,'Player Raw Data'!$B:$B,0))),"")</f>
        <v/>
      </c>
      <c r="E737" s="27" t="str">
        <f>IFERROR(__xludf.DUMMYFUNCTION("IFERROR(ARRAY_CONSTRAIN(SPLIT(INDEX('Daily Raw Data'!G:G,Match($A737,'Daily Raw Data'!$B:$B,0)),"":""),1,1),"""")"),"")</f>
        <v/>
      </c>
      <c r="F737" t="str">
        <f t="array" ref="F737">IFERROR(INDEX('Daily Raw Data'!H:H,Match($A737,'Daily Raw Data'!$B:$B,0)),"")</f>
        <v/>
      </c>
      <c r="G737" t="str">
        <f t="array" ref="G737">IFERROR(INDEX('Daily Raw Data'!I:I,Match($A737,'Daily Raw Data'!$B:$B,0)),"")</f>
        <v/>
      </c>
      <c r="H737" t="str">
        <f t="array" ref="H737">IFERROR(INDEX('Daily Raw Data'!N:N,Match($A737,'Daily Raw Data'!$B:$B,0)),"")</f>
        <v/>
      </c>
      <c r="I737" t="str">
        <f t="array" ref="I737">IFERROR(INDEX('Daily Raw Data'!O:O,Match($A737,'Daily Raw Data'!$B:$B,0)),"")</f>
        <v/>
      </c>
      <c r="J737" t="str">
        <f t="array" ref="J737">IFERROR(INDEX('Daily Raw Data'!S:S,Match($A737,'Daily Raw Data'!$B:$B,0)),"")</f>
        <v/>
      </c>
      <c r="K737" t="str">
        <f t="array" ref="K737">IFERROR(INDEX('Daily Raw Data'!T:T,Match($A737,'Daily Raw Data'!$B:$B,0)),"")</f>
        <v/>
      </c>
      <c r="L737" t="str">
        <f t="array" ref="L737">IFERROR(INDEX('Daily Raw Data'!U:U,Match($A737,'Daily Raw Data'!$B:$B,0)),"")</f>
        <v/>
      </c>
      <c r="M737" t="str">
        <f t="array" ref="M737">IFERROR(INDEX('Daily Raw Data'!V:V,Match($A737,'Daily Raw Data'!$B:$B,0)),"")</f>
        <v/>
      </c>
      <c r="N737" t="str">
        <f t="array" ref="N737">IFERROR(INDEX('Daily Raw Data'!W:W,Match($A737,'Daily Raw Data'!$B:$B,0)),"")</f>
        <v/>
      </c>
      <c r="O737" t="str">
        <f t="array" ref="O737">IFERROR(INDEX('Daily Raw Data'!Y:Y,Match($A737,'Daily Raw Data'!$B:$B,0)),"")</f>
        <v/>
      </c>
      <c r="P737" t="str">
        <f t="shared" si="1"/>
        <v/>
      </c>
      <c r="Q737" s="14" t="str">
        <f t="shared" si="2"/>
        <v/>
      </c>
      <c r="R737" s="15" t="str">
        <f>IFERROR(__xludf.DUMMYFUNCTION("IF($A737="""","""", IFERROR(PERCENTRANK.INC(FILTER(P:P,$E:$E&lt;&gt;""""),P737)*100,""""))"),"")</f>
        <v/>
      </c>
      <c r="S737" s="15" t="str">
        <f>IFERROR(__xludf.DUMMYFUNCTION("IF($A737="""","""",IFERROR(PERCENTRANK.INC(FILTER(Q:Q,$E:$E&lt;&gt;""""),Q737)*100,""""))"),"")</f>
        <v/>
      </c>
    </row>
    <row r="738">
      <c r="B738" t="str">
        <f t="array" ref="B738">IFERROR(INDEX('Player Raw Data'!C:C,Match($A738,'Player Raw Data'!$B:$B,0)),"")</f>
        <v/>
      </c>
      <c r="C738" t="str">
        <f t="array" ref="C738">IFERROR(INDEX('Player Raw Data'!D:D,Match($A738,'Player Raw Data'!$B:$B,0)),"")</f>
        <v/>
      </c>
      <c r="D738" t="str">
        <f t="array" ref="D738">IFERROR(IF(A738=A737, INDEX('Player Raw Data'!E:E,Match($A738,'Player Raw Data'!$B:$B,0)+2),INDEX('Player Raw Data'!E:E,Match($A738,'Player Raw Data'!$B:$B,0))),"")</f>
        <v/>
      </c>
      <c r="E738" s="27" t="str">
        <f>IFERROR(__xludf.DUMMYFUNCTION("IFERROR(ARRAY_CONSTRAIN(SPLIT(INDEX('Daily Raw Data'!G:G,Match($A738,'Daily Raw Data'!$B:$B,0)),"":""),1,1),"""")"),"")</f>
        <v/>
      </c>
      <c r="F738" t="str">
        <f t="array" ref="F738">IFERROR(INDEX('Daily Raw Data'!H:H,Match($A738,'Daily Raw Data'!$B:$B,0)),"")</f>
        <v/>
      </c>
      <c r="G738" t="str">
        <f t="array" ref="G738">IFERROR(INDEX('Daily Raw Data'!I:I,Match($A738,'Daily Raw Data'!$B:$B,0)),"")</f>
        <v/>
      </c>
      <c r="H738" t="str">
        <f t="array" ref="H738">IFERROR(INDEX('Daily Raw Data'!N:N,Match($A738,'Daily Raw Data'!$B:$B,0)),"")</f>
        <v/>
      </c>
      <c r="I738" t="str">
        <f t="array" ref="I738">IFERROR(INDEX('Daily Raw Data'!O:O,Match($A738,'Daily Raw Data'!$B:$B,0)),"")</f>
        <v/>
      </c>
      <c r="J738" t="str">
        <f t="array" ref="J738">IFERROR(INDEX('Daily Raw Data'!S:S,Match($A738,'Daily Raw Data'!$B:$B,0)),"")</f>
        <v/>
      </c>
      <c r="K738" t="str">
        <f t="array" ref="K738">IFERROR(INDEX('Daily Raw Data'!T:T,Match($A738,'Daily Raw Data'!$B:$B,0)),"")</f>
        <v/>
      </c>
      <c r="L738" t="str">
        <f t="array" ref="L738">IFERROR(INDEX('Daily Raw Data'!U:U,Match($A738,'Daily Raw Data'!$B:$B,0)),"")</f>
        <v/>
      </c>
      <c r="M738" t="str">
        <f t="array" ref="M738">IFERROR(INDEX('Daily Raw Data'!V:V,Match($A738,'Daily Raw Data'!$B:$B,0)),"")</f>
        <v/>
      </c>
      <c r="N738" t="str">
        <f t="array" ref="N738">IFERROR(INDEX('Daily Raw Data'!W:W,Match($A738,'Daily Raw Data'!$B:$B,0)),"")</f>
        <v/>
      </c>
      <c r="O738" t="str">
        <f t="array" ref="O738">IFERROR(INDEX('Daily Raw Data'!Y:Y,Match($A738,'Daily Raw Data'!$B:$B,0)),"")</f>
        <v/>
      </c>
      <c r="P738" t="str">
        <f t="shared" si="1"/>
        <v/>
      </c>
      <c r="Q738" s="14" t="str">
        <f t="shared" si="2"/>
        <v/>
      </c>
      <c r="R738" s="15" t="str">
        <f>IFERROR(__xludf.DUMMYFUNCTION("IF($A738="""","""", IFERROR(PERCENTRANK.INC(FILTER(P:P,$E:$E&lt;&gt;""""),P738)*100,""""))"),"")</f>
        <v/>
      </c>
      <c r="S738" s="15" t="str">
        <f>IFERROR(__xludf.DUMMYFUNCTION("IF($A738="""","""",IFERROR(PERCENTRANK.INC(FILTER(Q:Q,$E:$E&lt;&gt;""""),Q738)*100,""""))"),"")</f>
        <v/>
      </c>
    </row>
    <row r="739">
      <c r="B739" t="str">
        <f t="array" ref="B739">IFERROR(INDEX('Player Raw Data'!C:C,Match($A739,'Player Raw Data'!$B:$B,0)),"")</f>
        <v/>
      </c>
      <c r="C739" t="str">
        <f t="array" ref="C739">IFERROR(INDEX('Player Raw Data'!D:D,Match($A739,'Player Raw Data'!$B:$B,0)),"")</f>
        <v/>
      </c>
      <c r="D739" t="str">
        <f t="array" ref="D739">IFERROR(IF(A739=A738, INDEX('Player Raw Data'!E:E,Match($A739,'Player Raw Data'!$B:$B,0)+2),INDEX('Player Raw Data'!E:E,Match($A739,'Player Raw Data'!$B:$B,0))),"")</f>
        <v/>
      </c>
      <c r="E739" s="27" t="str">
        <f>IFERROR(__xludf.DUMMYFUNCTION("IFERROR(ARRAY_CONSTRAIN(SPLIT(INDEX('Daily Raw Data'!G:G,Match($A739,'Daily Raw Data'!$B:$B,0)),"":""),1,1),"""")"),"")</f>
        <v/>
      </c>
      <c r="F739" t="str">
        <f t="array" ref="F739">IFERROR(INDEX('Daily Raw Data'!H:H,Match($A739,'Daily Raw Data'!$B:$B,0)),"")</f>
        <v/>
      </c>
      <c r="G739" t="str">
        <f t="array" ref="G739">IFERROR(INDEX('Daily Raw Data'!I:I,Match($A739,'Daily Raw Data'!$B:$B,0)),"")</f>
        <v/>
      </c>
      <c r="H739" t="str">
        <f t="array" ref="H739">IFERROR(INDEX('Daily Raw Data'!N:N,Match($A739,'Daily Raw Data'!$B:$B,0)),"")</f>
        <v/>
      </c>
      <c r="I739" t="str">
        <f t="array" ref="I739">IFERROR(INDEX('Daily Raw Data'!O:O,Match($A739,'Daily Raw Data'!$B:$B,0)),"")</f>
        <v/>
      </c>
      <c r="J739" t="str">
        <f t="array" ref="J739">IFERROR(INDEX('Daily Raw Data'!S:S,Match($A739,'Daily Raw Data'!$B:$B,0)),"")</f>
        <v/>
      </c>
      <c r="K739" t="str">
        <f t="array" ref="K739">IFERROR(INDEX('Daily Raw Data'!T:T,Match($A739,'Daily Raw Data'!$B:$B,0)),"")</f>
        <v/>
      </c>
      <c r="L739" t="str">
        <f t="array" ref="L739">IFERROR(INDEX('Daily Raw Data'!U:U,Match($A739,'Daily Raw Data'!$B:$B,0)),"")</f>
        <v/>
      </c>
      <c r="M739" t="str">
        <f t="array" ref="M739">IFERROR(INDEX('Daily Raw Data'!V:V,Match($A739,'Daily Raw Data'!$B:$B,0)),"")</f>
        <v/>
      </c>
      <c r="N739" t="str">
        <f t="array" ref="N739">IFERROR(INDEX('Daily Raw Data'!W:W,Match($A739,'Daily Raw Data'!$B:$B,0)),"")</f>
        <v/>
      </c>
      <c r="O739" t="str">
        <f t="array" ref="O739">IFERROR(INDEX('Daily Raw Data'!Y:Y,Match($A739,'Daily Raw Data'!$B:$B,0)),"")</f>
        <v/>
      </c>
      <c r="P739" t="str">
        <f t="shared" si="1"/>
        <v/>
      </c>
      <c r="Q739" s="14" t="str">
        <f t="shared" si="2"/>
        <v/>
      </c>
      <c r="R739" s="15" t="str">
        <f>IFERROR(__xludf.DUMMYFUNCTION("IF($A739="""","""", IFERROR(PERCENTRANK.INC(FILTER(P:P,$E:$E&lt;&gt;""""),P739)*100,""""))"),"")</f>
        <v/>
      </c>
      <c r="S739" s="15" t="str">
        <f>IFERROR(__xludf.DUMMYFUNCTION("IF($A739="""","""",IFERROR(PERCENTRANK.INC(FILTER(Q:Q,$E:$E&lt;&gt;""""),Q739)*100,""""))"),"")</f>
        <v/>
      </c>
    </row>
    <row r="740">
      <c r="B740" t="str">
        <f t="array" ref="B740">IFERROR(INDEX('Player Raw Data'!C:C,Match($A740,'Player Raw Data'!$B:$B,0)),"")</f>
        <v/>
      </c>
      <c r="C740" t="str">
        <f t="array" ref="C740">IFERROR(INDEX('Player Raw Data'!D:D,Match($A740,'Player Raw Data'!$B:$B,0)),"")</f>
        <v/>
      </c>
      <c r="D740" t="str">
        <f t="array" ref="D740">IFERROR(IF(A740=A739, INDEX('Player Raw Data'!E:E,Match($A740,'Player Raw Data'!$B:$B,0)+2),INDEX('Player Raw Data'!E:E,Match($A740,'Player Raw Data'!$B:$B,0))),"")</f>
        <v/>
      </c>
      <c r="E740" s="27" t="str">
        <f>IFERROR(__xludf.DUMMYFUNCTION("IFERROR(ARRAY_CONSTRAIN(SPLIT(INDEX('Daily Raw Data'!G:G,Match($A740,'Daily Raw Data'!$B:$B,0)),"":""),1,1),"""")"),"")</f>
        <v/>
      </c>
      <c r="F740" t="str">
        <f t="array" ref="F740">IFERROR(INDEX('Daily Raw Data'!H:H,Match($A740,'Daily Raw Data'!$B:$B,0)),"")</f>
        <v/>
      </c>
      <c r="G740" t="str">
        <f t="array" ref="G740">IFERROR(INDEX('Daily Raw Data'!I:I,Match($A740,'Daily Raw Data'!$B:$B,0)),"")</f>
        <v/>
      </c>
      <c r="H740" t="str">
        <f t="array" ref="H740">IFERROR(INDEX('Daily Raw Data'!N:N,Match($A740,'Daily Raw Data'!$B:$B,0)),"")</f>
        <v/>
      </c>
      <c r="I740" t="str">
        <f t="array" ref="I740">IFERROR(INDEX('Daily Raw Data'!O:O,Match($A740,'Daily Raw Data'!$B:$B,0)),"")</f>
        <v/>
      </c>
      <c r="J740" t="str">
        <f t="array" ref="J740">IFERROR(INDEX('Daily Raw Data'!S:S,Match($A740,'Daily Raw Data'!$B:$B,0)),"")</f>
        <v/>
      </c>
      <c r="K740" t="str">
        <f t="array" ref="K740">IFERROR(INDEX('Daily Raw Data'!T:T,Match($A740,'Daily Raw Data'!$B:$B,0)),"")</f>
        <v/>
      </c>
      <c r="L740" t="str">
        <f t="array" ref="L740">IFERROR(INDEX('Daily Raw Data'!U:U,Match($A740,'Daily Raw Data'!$B:$B,0)),"")</f>
        <v/>
      </c>
      <c r="M740" t="str">
        <f t="array" ref="M740">IFERROR(INDEX('Daily Raw Data'!V:V,Match($A740,'Daily Raw Data'!$B:$B,0)),"")</f>
        <v/>
      </c>
      <c r="N740" t="str">
        <f t="array" ref="N740">IFERROR(INDEX('Daily Raw Data'!W:W,Match($A740,'Daily Raw Data'!$B:$B,0)),"")</f>
        <v/>
      </c>
      <c r="O740" t="str">
        <f t="array" ref="O740">IFERROR(INDEX('Daily Raw Data'!Y:Y,Match($A740,'Daily Raw Data'!$B:$B,0)),"")</f>
        <v/>
      </c>
      <c r="P740" t="str">
        <f t="shared" si="1"/>
        <v/>
      </c>
      <c r="Q740" s="14" t="str">
        <f t="shared" si="2"/>
        <v/>
      </c>
      <c r="R740" s="15" t="str">
        <f>IFERROR(__xludf.DUMMYFUNCTION("IF($A740="""","""", IFERROR(PERCENTRANK.INC(FILTER(P:P,$E:$E&lt;&gt;""""),P740)*100,""""))"),"")</f>
        <v/>
      </c>
      <c r="S740" s="15" t="str">
        <f>IFERROR(__xludf.DUMMYFUNCTION("IF($A740="""","""",IFERROR(PERCENTRANK.INC(FILTER(Q:Q,$E:$E&lt;&gt;""""),Q740)*100,""""))"),"")</f>
        <v/>
      </c>
    </row>
    <row r="741">
      <c r="B741" t="str">
        <f t="array" ref="B741">IFERROR(INDEX('Player Raw Data'!C:C,Match($A741,'Player Raw Data'!$B:$B,0)),"")</f>
        <v/>
      </c>
      <c r="C741" t="str">
        <f t="array" ref="C741">IFERROR(INDEX('Player Raw Data'!D:D,Match($A741,'Player Raw Data'!$B:$B,0)),"")</f>
        <v/>
      </c>
      <c r="D741" t="str">
        <f t="array" ref="D741">IFERROR(IF(A741=A740, INDEX('Player Raw Data'!E:E,Match($A741,'Player Raw Data'!$B:$B,0)+2),INDEX('Player Raw Data'!E:E,Match($A741,'Player Raw Data'!$B:$B,0))),"")</f>
        <v/>
      </c>
      <c r="E741" s="27" t="str">
        <f>IFERROR(__xludf.DUMMYFUNCTION("IFERROR(ARRAY_CONSTRAIN(SPLIT(INDEX('Daily Raw Data'!G:G,Match($A741,'Daily Raw Data'!$B:$B,0)),"":""),1,1),"""")"),"")</f>
        <v/>
      </c>
      <c r="F741" t="str">
        <f t="array" ref="F741">IFERROR(INDEX('Daily Raw Data'!H:H,Match($A741,'Daily Raw Data'!$B:$B,0)),"")</f>
        <v/>
      </c>
      <c r="G741" t="str">
        <f t="array" ref="G741">IFERROR(INDEX('Daily Raw Data'!I:I,Match($A741,'Daily Raw Data'!$B:$B,0)),"")</f>
        <v/>
      </c>
      <c r="H741" t="str">
        <f t="array" ref="H741">IFERROR(INDEX('Daily Raw Data'!N:N,Match($A741,'Daily Raw Data'!$B:$B,0)),"")</f>
        <v/>
      </c>
      <c r="I741" t="str">
        <f t="array" ref="I741">IFERROR(INDEX('Daily Raw Data'!O:O,Match($A741,'Daily Raw Data'!$B:$B,0)),"")</f>
        <v/>
      </c>
      <c r="J741" t="str">
        <f t="array" ref="J741">IFERROR(INDEX('Daily Raw Data'!S:S,Match($A741,'Daily Raw Data'!$B:$B,0)),"")</f>
        <v/>
      </c>
      <c r="K741" t="str">
        <f t="array" ref="K741">IFERROR(INDEX('Daily Raw Data'!T:T,Match($A741,'Daily Raw Data'!$B:$B,0)),"")</f>
        <v/>
      </c>
      <c r="L741" t="str">
        <f t="array" ref="L741">IFERROR(INDEX('Daily Raw Data'!U:U,Match($A741,'Daily Raw Data'!$B:$B,0)),"")</f>
        <v/>
      </c>
      <c r="M741" t="str">
        <f t="array" ref="M741">IFERROR(INDEX('Daily Raw Data'!V:V,Match($A741,'Daily Raw Data'!$B:$B,0)),"")</f>
        <v/>
      </c>
      <c r="N741" t="str">
        <f t="array" ref="N741">IFERROR(INDEX('Daily Raw Data'!W:W,Match($A741,'Daily Raw Data'!$B:$B,0)),"")</f>
        <v/>
      </c>
      <c r="O741" t="str">
        <f t="array" ref="O741">IFERROR(INDEX('Daily Raw Data'!Y:Y,Match($A741,'Daily Raw Data'!$B:$B,0)),"")</f>
        <v/>
      </c>
      <c r="P741" t="str">
        <f t="shared" si="1"/>
        <v/>
      </c>
      <c r="Q741" s="14" t="str">
        <f t="shared" si="2"/>
        <v/>
      </c>
      <c r="R741" s="15" t="str">
        <f>IFERROR(__xludf.DUMMYFUNCTION("IF($A741="""","""", IFERROR(PERCENTRANK.INC(FILTER(P:P,$E:$E&lt;&gt;""""),P741)*100,""""))"),"")</f>
        <v/>
      </c>
      <c r="S741" s="15" t="str">
        <f>IFERROR(__xludf.DUMMYFUNCTION("IF($A741="""","""",IFERROR(PERCENTRANK.INC(FILTER(Q:Q,$E:$E&lt;&gt;""""),Q741)*100,""""))"),"")</f>
        <v/>
      </c>
    </row>
    <row r="742">
      <c r="B742" t="str">
        <f t="array" ref="B742">IFERROR(INDEX('Player Raw Data'!C:C,Match($A742,'Player Raw Data'!$B:$B,0)),"")</f>
        <v/>
      </c>
      <c r="C742" t="str">
        <f t="array" ref="C742">IFERROR(INDEX('Player Raw Data'!D:D,Match($A742,'Player Raw Data'!$B:$B,0)),"")</f>
        <v/>
      </c>
      <c r="D742" t="str">
        <f t="array" ref="D742">IFERROR(IF(A742=A741, INDEX('Player Raw Data'!E:E,Match($A742,'Player Raw Data'!$B:$B,0)+2),INDEX('Player Raw Data'!E:E,Match($A742,'Player Raw Data'!$B:$B,0))),"")</f>
        <v/>
      </c>
      <c r="E742" s="27" t="str">
        <f>IFERROR(__xludf.DUMMYFUNCTION("IFERROR(ARRAY_CONSTRAIN(SPLIT(INDEX('Daily Raw Data'!G:G,Match($A742,'Daily Raw Data'!$B:$B,0)),"":""),1,1),"""")"),"")</f>
        <v/>
      </c>
      <c r="F742" t="str">
        <f t="array" ref="F742">IFERROR(INDEX('Daily Raw Data'!H:H,Match($A742,'Daily Raw Data'!$B:$B,0)),"")</f>
        <v/>
      </c>
      <c r="G742" t="str">
        <f t="array" ref="G742">IFERROR(INDEX('Daily Raw Data'!I:I,Match($A742,'Daily Raw Data'!$B:$B,0)),"")</f>
        <v/>
      </c>
      <c r="H742" t="str">
        <f t="array" ref="H742">IFERROR(INDEX('Daily Raw Data'!N:N,Match($A742,'Daily Raw Data'!$B:$B,0)),"")</f>
        <v/>
      </c>
      <c r="I742" t="str">
        <f t="array" ref="I742">IFERROR(INDEX('Daily Raw Data'!O:O,Match($A742,'Daily Raw Data'!$B:$B,0)),"")</f>
        <v/>
      </c>
      <c r="J742" t="str">
        <f t="array" ref="J742">IFERROR(INDEX('Daily Raw Data'!S:S,Match($A742,'Daily Raw Data'!$B:$B,0)),"")</f>
        <v/>
      </c>
      <c r="K742" t="str">
        <f t="array" ref="K742">IFERROR(INDEX('Daily Raw Data'!T:T,Match($A742,'Daily Raw Data'!$B:$B,0)),"")</f>
        <v/>
      </c>
      <c r="L742" t="str">
        <f t="array" ref="L742">IFERROR(INDEX('Daily Raw Data'!U:U,Match($A742,'Daily Raw Data'!$B:$B,0)),"")</f>
        <v/>
      </c>
      <c r="M742" t="str">
        <f t="array" ref="M742">IFERROR(INDEX('Daily Raw Data'!V:V,Match($A742,'Daily Raw Data'!$B:$B,0)),"")</f>
        <v/>
      </c>
      <c r="N742" t="str">
        <f t="array" ref="N742">IFERROR(INDEX('Daily Raw Data'!W:W,Match($A742,'Daily Raw Data'!$B:$B,0)),"")</f>
        <v/>
      </c>
      <c r="O742" t="str">
        <f t="array" ref="O742">IFERROR(INDEX('Daily Raw Data'!Y:Y,Match($A742,'Daily Raw Data'!$B:$B,0)),"")</f>
        <v/>
      </c>
      <c r="P742" t="str">
        <f t="shared" si="1"/>
        <v/>
      </c>
      <c r="Q742" s="14" t="str">
        <f t="shared" si="2"/>
        <v/>
      </c>
      <c r="R742" s="15" t="str">
        <f>IFERROR(__xludf.DUMMYFUNCTION("IF($A742="""","""", IFERROR(PERCENTRANK.INC(FILTER(P:P,$E:$E&lt;&gt;""""),P742)*100,""""))"),"")</f>
        <v/>
      </c>
      <c r="S742" s="15" t="str">
        <f>IFERROR(__xludf.DUMMYFUNCTION("IF($A742="""","""",IFERROR(PERCENTRANK.INC(FILTER(Q:Q,$E:$E&lt;&gt;""""),Q742)*100,""""))"),"")</f>
        <v/>
      </c>
    </row>
    <row r="743">
      <c r="B743" t="str">
        <f t="array" ref="B743">IFERROR(INDEX('Player Raw Data'!C:C,Match($A743,'Player Raw Data'!$B:$B,0)),"")</f>
        <v/>
      </c>
      <c r="C743" t="str">
        <f t="array" ref="C743">IFERROR(INDEX('Player Raw Data'!D:D,Match($A743,'Player Raw Data'!$B:$B,0)),"")</f>
        <v/>
      </c>
      <c r="D743" t="str">
        <f t="array" ref="D743">IFERROR(IF(A743=A742, INDEX('Player Raw Data'!E:E,Match($A743,'Player Raw Data'!$B:$B,0)+2),INDEX('Player Raw Data'!E:E,Match($A743,'Player Raw Data'!$B:$B,0))),"")</f>
        <v/>
      </c>
      <c r="E743" s="27" t="str">
        <f>IFERROR(__xludf.DUMMYFUNCTION("IFERROR(ARRAY_CONSTRAIN(SPLIT(INDEX('Daily Raw Data'!G:G,Match($A743,'Daily Raw Data'!$B:$B,0)),"":""),1,1),"""")"),"")</f>
        <v/>
      </c>
      <c r="F743" t="str">
        <f t="array" ref="F743">IFERROR(INDEX('Daily Raw Data'!H:H,Match($A743,'Daily Raw Data'!$B:$B,0)),"")</f>
        <v/>
      </c>
      <c r="G743" t="str">
        <f t="array" ref="G743">IFERROR(INDEX('Daily Raw Data'!I:I,Match($A743,'Daily Raw Data'!$B:$B,0)),"")</f>
        <v/>
      </c>
      <c r="H743" t="str">
        <f t="array" ref="H743">IFERROR(INDEX('Daily Raw Data'!N:N,Match($A743,'Daily Raw Data'!$B:$B,0)),"")</f>
        <v/>
      </c>
      <c r="I743" t="str">
        <f t="array" ref="I743">IFERROR(INDEX('Daily Raw Data'!O:O,Match($A743,'Daily Raw Data'!$B:$B,0)),"")</f>
        <v/>
      </c>
      <c r="J743" t="str">
        <f t="array" ref="J743">IFERROR(INDEX('Daily Raw Data'!S:S,Match($A743,'Daily Raw Data'!$B:$B,0)),"")</f>
        <v/>
      </c>
      <c r="K743" t="str">
        <f t="array" ref="K743">IFERROR(INDEX('Daily Raw Data'!T:T,Match($A743,'Daily Raw Data'!$B:$B,0)),"")</f>
        <v/>
      </c>
      <c r="L743" t="str">
        <f t="array" ref="L743">IFERROR(INDEX('Daily Raw Data'!U:U,Match($A743,'Daily Raw Data'!$B:$B,0)),"")</f>
        <v/>
      </c>
      <c r="M743" t="str">
        <f t="array" ref="M743">IFERROR(INDEX('Daily Raw Data'!V:V,Match($A743,'Daily Raw Data'!$B:$B,0)),"")</f>
        <v/>
      </c>
      <c r="N743" t="str">
        <f t="array" ref="N743">IFERROR(INDEX('Daily Raw Data'!W:W,Match($A743,'Daily Raw Data'!$B:$B,0)),"")</f>
        <v/>
      </c>
      <c r="O743" t="str">
        <f t="array" ref="O743">IFERROR(INDEX('Daily Raw Data'!Y:Y,Match($A743,'Daily Raw Data'!$B:$B,0)),"")</f>
        <v/>
      </c>
      <c r="P743" t="str">
        <f t="shared" si="1"/>
        <v/>
      </c>
      <c r="Q743" s="14" t="str">
        <f t="shared" si="2"/>
        <v/>
      </c>
      <c r="R743" s="15" t="str">
        <f>IFERROR(__xludf.DUMMYFUNCTION("IF($A743="""","""", IFERROR(PERCENTRANK.INC(FILTER(P:P,$E:$E&lt;&gt;""""),P743)*100,""""))"),"")</f>
        <v/>
      </c>
      <c r="S743" s="15" t="str">
        <f>IFERROR(__xludf.DUMMYFUNCTION("IF($A743="""","""",IFERROR(PERCENTRANK.INC(FILTER(Q:Q,$E:$E&lt;&gt;""""),Q743)*100,""""))"),"")</f>
        <v/>
      </c>
    </row>
    <row r="744">
      <c r="B744" t="str">
        <f t="array" ref="B744">IFERROR(INDEX('Player Raw Data'!C:C,Match($A744,'Player Raw Data'!$B:$B,0)),"")</f>
        <v/>
      </c>
      <c r="C744" t="str">
        <f t="array" ref="C744">IFERROR(INDEX('Player Raw Data'!D:D,Match($A744,'Player Raw Data'!$B:$B,0)),"")</f>
        <v/>
      </c>
      <c r="D744" t="str">
        <f t="array" ref="D744">IFERROR(IF(A744=A743, INDEX('Player Raw Data'!E:E,Match($A744,'Player Raw Data'!$B:$B,0)+2),INDEX('Player Raw Data'!E:E,Match($A744,'Player Raw Data'!$B:$B,0))),"")</f>
        <v/>
      </c>
      <c r="E744" s="27" t="str">
        <f>IFERROR(__xludf.DUMMYFUNCTION("IFERROR(ARRAY_CONSTRAIN(SPLIT(INDEX('Daily Raw Data'!G:G,Match($A744,'Daily Raw Data'!$B:$B,0)),"":""),1,1),"""")"),"")</f>
        <v/>
      </c>
      <c r="F744" t="str">
        <f t="array" ref="F744">IFERROR(INDEX('Daily Raw Data'!H:H,Match($A744,'Daily Raw Data'!$B:$B,0)),"")</f>
        <v/>
      </c>
      <c r="G744" t="str">
        <f t="array" ref="G744">IFERROR(INDEX('Daily Raw Data'!I:I,Match($A744,'Daily Raw Data'!$B:$B,0)),"")</f>
        <v/>
      </c>
      <c r="H744" t="str">
        <f t="array" ref="H744">IFERROR(INDEX('Daily Raw Data'!N:N,Match($A744,'Daily Raw Data'!$B:$B,0)),"")</f>
        <v/>
      </c>
      <c r="I744" t="str">
        <f t="array" ref="I744">IFERROR(INDEX('Daily Raw Data'!O:O,Match($A744,'Daily Raw Data'!$B:$B,0)),"")</f>
        <v/>
      </c>
      <c r="J744" t="str">
        <f t="array" ref="J744">IFERROR(INDEX('Daily Raw Data'!S:S,Match($A744,'Daily Raw Data'!$B:$B,0)),"")</f>
        <v/>
      </c>
      <c r="K744" t="str">
        <f t="array" ref="K744">IFERROR(INDEX('Daily Raw Data'!T:T,Match($A744,'Daily Raw Data'!$B:$B,0)),"")</f>
        <v/>
      </c>
      <c r="L744" t="str">
        <f t="array" ref="L744">IFERROR(INDEX('Daily Raw Data'!U:U,Match($A744,'Daily Raw Data'!$B:$B,0)),"")</f>
        <v/>
      </c>
      <c r="M744" t="str">
        <f t="array" ref="M744">IFERROR(INDEX('Daily Raw Data'!V:V,Match($A744,'Daily Raw Data'!$B:$B,0)),"")</f>
        <v/>
      </c>
      <c r="N744" t="str">
        <f t="array" ref="N744">IFERROR(INDEX('Daily Raw Data'!W:W,Match($A744,'Daily Raw Data'!$B:$B,0)),"")</f>
        <v/>
      </c>
      <c r="O744" t="str">
        <f t="array" ref="O744">IFERROR(INDEX('Daily Raw Data'!Y:Y,Match($A744,'Daily Raw Data'!$B:$B,0)),"")</f>
        <v/>
      </c>
      <c r="P744" t="str">
        <f t="shared" si="1"/>
        <v/>
      </c>
      <c r="Q744" s="14" t="str">
        <f t="shared" si="2"/>
        <v/>
      </c>
      <c r="R744" s="15" t="str">
        <f>IFERROR(__xludf.DUMMYFUNCTION("IF($A744="""","""", IFERROR(PERCENTRANK.INC(FILTER(P:P,$E:$E&lt;&gt;""""),P744)*100,""""))"),"")</f>
        <v/>
      </c>
      <c r="S744" s="15" t="str">
        <f>IFERROR(__xludf.DUMMYFUNCTION("IF($A744="""","""",IFERROR(PERCENTRANK.INC(FILTER(Q:Q,$E:$E&lt;&gt;""""),Q744)*100,""""))"),"")</f>
        <v/>
      </c>
    </row>
    <row r="745">
      <c r="B745" t="str">
        <f t="array" ref="B745">IFERROR(INDEX('Player Raw Data'!C:C,Match($A745,'Player Raw Data'!$B:$B,0)),"")</f>
        <v/>
      </c>
      <c r="C745" t="str">
        <f t="array" ref="C745">IFERROR(INDEX('Player Raw Data'!D:D,Match($A745,'Player Raw Data'!$B:$B,0)),"")</f>
        <v/>
      </c>
      <c r="D745" t="str">
        <f t="array" ref="D745">IFERROR(IF(A745=A744, INDEX('Player Raw Data'!E:E,Match($A745,'Player Raw Data'!$B:$B,0)+2),INDEX('Player Raw Data'!E:E,Match($A745,'Player Raw Data'!$B:$B,0))),"")</f>
        <v/>
      </c>
      <c r="E745" s="27" t="str">
        <f>IFERROR(__xludf.DUMMYFUNCTION("IFERROR(ARRAY_CONSTRAIN(SPLIT(INDEX('Daily Raw Data'!G:G,Match($A745,'Daily Raw Data'!$B:$B,0)),"":""),1,1),"""")"),"")</f>
        <v/>
      </c>
      <c r="F745" t="str">
        <f t="array" ref="F745">IFERROR(INDEX('Daily Raw Data'!H:H,Match($A745,'Daily Raw Data'!$B:$B,0)),"")</f>
        <v/>
      </c>
      <c r="G745" t="str">
        <f t="array" ref="G745">IFERROR(INDEX('Daily Raw Data'!I:I,Match($A745,'Daily Raw Data'!$B:$B,0)),"")</f>
        <v/>
      </c>
      <c r="H745" t="str">
        <f t="array" ref="H745">IFERROR(INDEX('Daily Raw Data'!N:N,Match($A745,'Daily Raw Data'!$B:$B,0)),"")</f>
        <v/>
      </c>
      <c r="I745" t="str">
        <f t="array" ref="I745">IFERROR(INDEX('Daily Raw Data'!O:O,Match($A745,'Daily Raw Data'!$B:$B,0)),"")</f>
        <v/>
      </c>
      <c r="J745" t="str">
        <f t="array" ref="J745">IFERROR(INDEX('Daily Raw Data'!S:S,Match($A745,'Daily Raw Data'!$B:$B,0)),"")</f>
        <v/>
      </c>
      <c r="K745" t="str">
        <f t="array" ref="K745">IFERROR(INDEX('Daily Raw Data'!T:T,Match($A745,'Daily Raw Data'!$B:$B,0)),"")</f>
        <v/>
      </c>
      <c r="L745" t="str">
        <f t="array" ref="L745">IFERROR(INDEX('Daily Raw Data'!U:U,Match($A745,'Daily Raw Data'!$B:$B,0)),"")</f>
        <v/>
      </c>
      <c r="M745" t="str">
        <f t="array" ref="M745">IFERROR(INDEX('Daily Raw Data'!V:V,Match($A745,'Daily Raw Data'!$B:$B,0)),"")</f>
        <v/>
      </c>
      <c r="N745" t="str">
        <f t="array" ref="N745">IFERROR(INDEX('Daily Raw Data'!W:W,Match($A745,'Daily Raw Data'!$B:$B,0)),"")</f>
        <v/>
      </c>
      <c r="O745" t="str">
        <f t="array" ref="O745">IFERROR(INDEX('Daily Raw Data'!Y:Y,Match($A745,'Daily Raw Data'!$B:$B,0)),"")</f>
        <v/>
      </c>
      <c r="P745" t="str">
        <f t="shared" si="1"/>
        <v/>
      </c>
      <c r="Q745" s="14" t="str">
        <f t="shared" si="2"/>
        <v/>
      </c>
      <c r="R745" s="15" t="str">
        <f>IFERROR(__xludf.DUMMYFUNCTION("IF($A745="""","""", IFERROR(PERCENTRANK.INC(FILTER(P:P,$E:$E&lt;&gt;""""),P745)*100,""""))"),"")</f>
        <v/>
      </c>
      <c r="S745" s="15" t="str">
        <f>IFERROR(__xludf.DUMMYFUNCTION("IF($A745="""","""",IFERROR(PERCENTRANK.INC(FILTER(Q:Q,$E:$E&lt;&gt;""""),Q745)*100,""""))"),"")</f>
        <v/>
      </c>
    </row>
    <row r="746">
      <c r="B746" t="str">
        <f t="array" ref="B746">IFERROR(INDEX('Player Raw Data'!C:C,Match($A746,'Player Raw Data'!$B:$B,0)),"")</f>
        <v/>
      </c>
      <c r="C746" t="str">
        <f t="array" ref="C746">IFERROR(INDEX('Player Raw Data'!D:D,Match($A746,'Player Raw Data'!$B:$B,0)),"")</f>
        <v/>
      </c>
      <c r="D746" t="str">
        <f t="array" ref="D746">IFERROR(IF(A746=A745, INDEX('Player Raw Data'!E:E,Match($A746,'Player Raw Data'!$B:$B,0)+2),INDEX('Player Raw Data'!E:E,Match($A746,'Player Raw Data'!$B:$B,0))),"")</f>
        <v/>
      </c>
      <c r="E746" s="27" t="str">
        <f>IFERROR(__xludf.DUMMYFUNCTION("IFERROR(ARRAY_CONSTRAIN(SPLIT(INDEX('Daily Raw Data'!G:G,Match($A746,'Daily Raw Data'!$B:$B,0)),"":""),1,1),"""")"),"")</f>
        <v/>
      </c>
      <c r="F746" t="str">
        <f t="array" ref="F746">IFERROR(INDEX('Daily Raw Data'!H:H,Match($A746,'Daily Raw Data'!$B:$B,0)),"")</f>
        <v/>
      </c>
      <c r="G746" t="str">
        <f t="array" ref="G746">IFERROR(INDEX('Daily Raw Data'!I:I,Match($A746,'Daily Raw Data'!$B:$B,0)),"")</f>
        <v/>
      </c>
      <c r="H746" t="str">
        <f t="array" ref="H746">IFERROR(INDEX('Daily Raw Data'!N:N,Match($A746,'Daily Raw Data'!$B:$B,0)),"")</f>
        <v/>
      </c>
      <c r="I746" t="str">
        <f t="array" ref="I746">IFERROR(INDEX('Daily Raw Data'!O:O,Match($A746,'Daily Raw Data'!$B:$B,0)),"")</f>
        <v/>
      </c>
      <c r="J746" t="str">
        <f t="array" ref="J746">IFERROR(INDEX('Daily Raw Data'!S:S,Match($A746,'Daily Raw Data'!$B:$B,0)),"")</f>
        <v/>
      </c>
      <c r="K746" t="str">
        <f t="array" ref="K746">IFERROR(INDEX('Daily Raw Data'!T:T,Match($A746,'Daily Raw Data'!$B:$B,0)),"")</f>
        <v/>
      </c>
      <c r="L746" t="str">
        <f t="array" ref="L746">IFERROR(INDEX('Daily Raw Data'!U:U,Match($A746,'Daily Raw Data'!$B:$B,0)),"")</f>
        <v/>
      </c>
      <c r="M746" t="str">
        <f t="array" ref="M746">IFERROR(INDEX('Daily Raw Data'!V:V,Match($A746,'Daily Raw Data'!$B:$B,0)),"")</f>
        <v/>
      </c>
      <c r="N746" t="str">
        <f t="array" ref="N746">IFERROR(INDEX('Daily Raw Data'!W:W,Match($A746,'Daily Raw Data'!$B:$B,0)),"")</f>
        <v/>
      </c>
      <c r="O746" t="str">
        <f t="array" ref="O746">IFERROR(INDEX('Daily Raw Data'!Y:Y,Match($A746,'Daily Raw Data'!$B:$B,0)),"")</f>
        <v/>
      </c>
      <c r="P746" t="str">
        <f t="shared" si="1"/>
        <v/>
      </c>
      <c r="Q746" s="14" t="str">
        <f t="shared" si="2"/>
        <v/>
      </c>
      <c r="R746" s="15" t="str">
        <f>IFERROR(__xludf.DUMMYFUNCTION("IF($A746="""","""", IFERROR(PERCENTRANK.INC(FILTER(P:P,$E:$E&lt;&gt;""""),P746)*100,""""))"),"")</f>
        <v/>
      </c>
      <c r="S746" s="15" t="str">
        <f>IFERROR(__xludf.DUMMYFUNCTION("IF($A746="""","""",IFERROR(PERCENTRANK.INC(FILTER(Q:Q,$E:$E&lt;&gt;""""),Q746)*100,""""))"),"")</f>
        <v/>
      </c>
    </row>
    <row r="747">
      <c r="B747" t="str">
        <f t="array" ref="B747">IFERROR(INDEX('Player Raw Data'!C:C,Match($A747,'Player Raw Data'!$B:$B,0)),"")</f>
        <v/>
      </c>
      <c r="C747" t="str">
        <f t="array" ref="C747">IFERROR(INDEX('Player Raw Data'!D:D,Match($A747,'Player Raw Data'!$B:$B,0)),"")</f>
        <v/>
      </c>
      <c r="D747" t="str">
        <f t="array" ref="D747">IFERROR(IF(A747=A746, INDEX('Player Raw Data'!E:E,Match($A747,'Player Raw Data'!$B:$B,0)+2),INDEX('Player Raw Data'!E:E,Match($A747,'Player Raw Data'!$B:$B,0))),"")</f>
        <v/>
      </c>
      <c r="E747" s="27" t="str">
        <f>IFERROR(__xludf.DUMMYFUNCTION("IFERROR(ARRAY_CONSTRAIN(SPLIT(INDEX('Daily Raw Data'!G:G,Match($A747,'Daily Raw Data'!$B:$B,0)),"":""),1,1),"""")"),"")</f>
        <v/>
      </c>
      <c r="F747" t="str">
        <f t="array" ref="F747">IFERROR(INDEX('Daily Raw Data'!H:H,Match($A747,'Daily Raw Data'!$B:$B,0)),"")</f>
        <v/>
      </c>
      <c r="G747" t="str">
        <f t="array" ref="G747">IFERROR(INDEX('Daily Raw Data'!I:I,Match($A747,'Daily Raw Data'!$B:$B,0)),"")</f>
        <v/>
      </c>
      <c r="H747" t="str">
        <f t="array" ref="H747">IFERROR(INDEX('Daily Raw Data'!N:N,Match($A747,'Daily Raw Data'!$B:$B,0)),"")</f>
        <v/>
      </c>
      <c r="I747" t="str">
        <f t="array" ref="I747">IFERROR(INDEX('Daily Raw Data'!O:O,Match($A747,'Daily Raw Data'!$B:$B,0)),"")</f>
        <v/>
      </c>
      <c r="J747" t="str">
        <f t="array" ref="J747">IFERROR(INDEX('Daily Raw Data'!S:S,Match($A747,'Daily Raw Data'!$B:$B,0)),"")</f>
        <v/>
      </c>
      <c r="K747" t="str">
        <f t="array" ref="K747">IFERROR(INDEX('Daily Raw Data'!T:T,Match($A747,'Daily Raw Data'!$B:$B,0)),"")</f>
        <v/>
      </c>
      <c r="L747" t="str">
        <f t="array" ref="L747">IFERROR(INDEX('Daily Raw Data'!U:U,Match($A747,'Daily Raw Data'!$B:$B,0)),"")</f>
        <v/>
      </c>
      <c r="M747" t="str">
        <f t="array" ref="M747">IFERROR(INDEX('Daily Raw Data'!V:V,Match($A747,'Daily Raw Data'!$B:$B,0)),"")</f>
        <v/>
      </c>
      <c r="N747" t="str">
        <f t="array" ref="N747">IFERROR(INDEX('Daily Raw Data'!W:W,Match($A747,'Daily Raw Data'!$B:$B,0)),"")</f>
        <v/>
      </c>
      <c r="O747" t="str">
        <f t="array" ref="O747">IFERROR(INDEX('Daily Raw Data'!Y:Y,Match($A747,'Daily Raw Data'!$B:$B,0)),"")</f>
        <v/>
      </c>
      <c r="P747" t="str">
        <f t="shared" si="1"/>
        <v/>
      </c>
      <c r="Q747" s="14" t="str">
        <f t="shared" si="2"/>
        <v/>
      </c>
      <c r="R747" s="15" t="str">
        <f>IFERROR(__xludf.DUMMYFUNCTION("IF($A747="""","""", IFERROR(PERCENTRANK.INC(FILTER(P:P,$E:$E&lt;&gt;""""),P747)*100,""""))"),"")</f>
        <v/>
      </c>
      <c r="S747" s="15" t="str">
        <f>IFERROR(__xludf.DUMMYFUNCTION("IF($A747="""","""",IFERROR(PERCENTRANK.INC(FILTER(Q:Q,$E:$E&lt;&gt;""""),Q747)*100,""""))"),"")</f>
        <v/>
      </c>
    </row>
    <row r="748">
      <c r="B748" t="str">
        <f t="array" ref="B748">IFERROR(INDEX('Player Raw Data'!C:C,Match($A748,'Player Raw Data'!$B:$B,0)),"")</f>
        <v/>
      </c>
      <c r="C748" t="str">
        <f t="array" ref="C748">IFERROR(INDEX('Player Raw Data'!D:D,Match($A748,'Player Raw Data'!$B:$B,0)),"")</f>
        <v/>
      </c>
      <c r="D748" t="str">
        <f t="array" ref="D748">IFERROR(IF(A748=A747, INDEX('Player Raw Data'!E:E,Match($A748,'Player Raw Data'!$B:$B,0)+2),INDEX('Player Raw Data'!E:E,Match($A748,'Player Raw Data'!$B:$B,0))),"")</f>
        <v/>
      </c>
      <c r="E748" s="27" t="str">
        <f>IFERROR(__xludf.DUMMYFUNCTION("IFERROR(ARRAY_CONSTRAIN(SPLIT(INDEX('Daily Raw Data'!G:G,Match($A748,'Daily Raw Data'!$B:$B,0)),"":""),1,1),"""")"),"")</f>
        <v/>
      </c>
      <c r="F748" t="str">
        <f t="array" ref="F748">IFERROR(INDEX('Daily Raw Data'!H:H,Match($A748,'Daily Raw Data'!$B:$B,0)),"")</f>
        <v/>
      </c>
      <c r="G748" t="str">
        <f t="array" ref="G748">IFERROR(INDEX('Daily Raw Data'!I:I,Match($A748,'Daily Raw Data'!$B:$B,0)),"")</f>
        <v/>
      </c>
      <c r="H748" t="str">
        <f t="array" ref="H748">IFERROR(INDEX('Daily Raw Data'!N:N,Match($A748,'Daily Raw Data'!$B:$B,0)),"")</f>
        <v/>
      </c>
      <c r="I748" t="str">
        <f t="array" ref="I748">IFERROR(INDEX('Daily Raw Data'!O:O,Match($A748,'Daily Raw Data'!$B:$B,0)),"")</f>
        <v/>
      </c>
      <c r="J748" t="str">
        <f t="array" ref="J748">IFERROR(INDEX('Daily Raw Data'!S:S,Match($A748,'Daily Raw Data'!$B:$B,0)),"")</f>
        <v/>
      </c>
      <c r="K748" t="str">
        <f t="array" ref="K748">IFERROR(INDEX('Daily Raw Data'!T:T,Match($A748,'Daily Raw Data'!$B:$B,0)),"")</f>
        <v/>
      </c>
      <c r="L748" t="str">
        <f t="array" ref="L748">IFERROR(INDEX('Daily Raw Data'!U:U,Match($A748,'Daily Raw Data'!$B:$B,0)),"")</f>
        <v/>
      </c>
      <c r="M748" t="str">
        <f t="array" ref="M748">IFERROR(INDEX('Daily Raw Data'!V:V,Match($A748,'Daily Raw Data'!$B:$B,0)),"")</f>
        <v/>
      </c>
      <c r="N748" t="str">
        <f t="array" ref="N748">IFERROR(INDEX('Daily Raw Data'!W:W,Match($A748,'Daily Raw Data'!$B:$B,0)),"")</f>
        <v/>
      </c>
      <c r="O748" t="str">
        <f t="array" ref="O748">IFERROR(INDEX('Daily Raw Data'!Y:Y,Match($A748,'Daily Raw Data'!$B:$B,0)),"")</f>
        <v/>
      </c>
      <c r="P748" t="str">
        <f t="shared" si="1"/>
        <v/>
      </c>
      <c r="Q748" s="14" t="str">
        <f t="shared" si="2"/>
        <v/>
      </c>
      <c r="R748" s="15" t="str">
        <f>IFERROR(__xludf.DUMMYFUNCTION("IF($A748="""","""", IFERROR(PERCENTRANK.INC(FILTER(P:P,$E:$E&lt;&gt;""""),P748)*100,""""))"),"")</f>
        <v/>
      </c>
      <c r="S748" s="15" t="str">
        <f>IFERROR(__xludf.DUMMYFUNCTION("IF($A748="""","""",IFERROR(PERCENTRANK.INC(FILTER(Q:Q,$E:$E&lt;&gt;""""),Q748)*100,""""))"),"")</f>
        <v/>
      </c>
    </row>
    <row r="749">
      <c r="B749" t="str">
        <f t="array" ref="B749">IFERROR(INDEX('Player Raw Data'!C:C,Match($A749,'Player Raw Data'!$B:$B,0)),"")</f>
        <v/>
      </c>
      <c r="C749" t="str">
        <f t="array" ref="C749">IFERROR(INDEX('Player Raw Data'!D:D,Match($A749,'Player Raw Data'!$B:$B,0)),"")</f>
        <v/>
      </c>
      <c r="D749" t="str">
        <f t="array" ref="D749">IFERROR(IF(A749=A748, INDEX('Player Raw Data'!E:E,Match($A749,'Player Raw Data'!$B:$B,0)+2),INDEX('Player Raw Data'!E:E,Match($A749,'Player Raw Data'!$B:$B,0))),"")</f>
        <v/>
      </c>
      <c r="E749" s="27" t="str">
        <f>IFERROR(__xludf.DUMMYFUNCTION("IFERROR(ARRAY_CONSTRAIN(SPLIT(INDEX('Daily Raw Data'!G:G,Match($A749,'Daily Raw Data'!$B:$B,0)),"":""),1,1),"""")"),"")</f>
        <v/>
      </c>
      <c r="F749" t="str">
        <f t="array" ref="F749">IFERROR(INDEX('Daily Raw Data'!H:H,Match($A749,'Daily Raw Data'!$B:$B,0)),"")</f>
        <v/>
      </c>
      <c r="G749" t="str">
        <f t="array" ref="G749">IFERROR(INDEX('Daily Raw Data'!I:I,Match($A749,'Daily Raw Data'!$B:$B,0)),"")</f>
        <v/>
      </c>
      <c r="H749" t="str">
        <f t="array" ref="H749">IFERROR(INDEX('Daily Raw Data'!N:N,Match($A749,'Daily Raw Data'!$B:$B,0)),"")</f>
        <v/>
      </c>
      <c r="I749" t="str">
        <f t="array" ref="I749">IFERROR(INDEX('Daily Raw Data'!O:O,Match($A749,'Daily Raw Data'!$B:$B,0)),"")</f>
        <v/>
      </c>
      <c r="J749" t="str">
        <f t="array" ref="J749">IFERROR(INDEX('Daily Raw Data'!S:S,Match($A749,'Daily Raw Data'!$B:$B,0)),"")</f>
        <v/>
      </c>
      <c r="K749" t="str">
        <f t="array" ref="K749">IFERROR(INDEX('Daily Raw Data'!T:T,Match($A749,'Daily Raw Data'!$B:$B,0)),"")</f>
        <v/>
      </c>
      <c r="L749" t="str">
        <f t="array" ref="L749">IFERROR(INDEX('Daily Raw Data'!U:U,Match($A749,'Daily Raw Data'!$B:$B,0)),"")</f>
        <v/>
      </c>
      <c r="M749" t="str">
        <f t="array" ref="M749">IFERROR(INDEX('Daily Raw Data'!V:V,Match($A749,'Daily Raw Data'!$B:$B,0)),"")</f>
        <v/>
      </c>
      <c r="N749" t="str">
        <f t="array" ref="N749">IFERROR(INDEX('Daily Raw Data'!W:W,Match($A749,'Daily Raw Data'!$B:$B,0)),"")</f>
        <v/>
      </c>
      <c r="O749" t="str">
        <f t="array" ref="O749">IFERROR(INDEX('Daily Raw Data'!Y:Y,Match($A749,'Daily Raw Data'!$B:$B,0)),"")</f>
        <v/>
      </c>
      <c r="P749" t="str">
        <f t="shared" si="1"/>
        <v/>
      </c>
      <c r="Q749" s="14" t="str">
        <f t="shared" si="2"/>
        <v/>
      </c>
      <c r="R749" s="15" t="str">
        <f>IFERROR(__xludf.DUMMYFUNCTION("IF($A749="""","""", IFERROR(PERCENTRANK.INC(FILTER(P:P,$E:$E&lt;&gt;""""),P749)*100,""""))"),"")</f>
        <v/>
      </c>
      <c r="S749" s="15" t="str">
        <f>IFERROR(__xludf.DUMMYFUNCTION("IF($A749="""","""",IFERROR(PERCENTRANK.INC(FILTER(Q:Q,$E:$E&lt;&gt;""""),Q749)*100,""""))"),"")</f>
        <v/>
      </c>
    </row>
    <row r="750">
      <c r="B750" t="str">
        <f t="array" ref="B750">IFERROR(INDEX('Player Raw Data'!C:C,Match($A750,'Player Raw Data'!$B:$B,0)),"")</f>
        <v/>
      </c>
      <c r="C750" t="str">
        <f t="array" ref="C750">IFERROR(INDEX('Player Raw Data'!D:D,Match($A750,'Player Raw Data'!$B:$B,0)),"")</f>
        <v/>
      </c>
      <c r="D750" t="str">
        <f t="array" ref="D750">IFERROR(IF(A750=A749, INDEX('Player Raw Data'!E:E,Match($A750,'Player Raw Data'!$B:$B,0)+2),INDEX('Player Raw Data'!E:E,Match($A750,'Player Raw Data'!$B:$B,0))),"")</f>
        <v/>
      </c>
      <c r="E750" s="27" t="str">
        <f>IFERROR(__xludf.DUMMYFUNCTION("IFERROR(ARRAY_CONSTRAIN(SPLIT(INDEX('Daily Raw Data'!G:G,Match($A750,'Daily Raw Data'!$B:$B,0)),"":""),1,1),"""")"),"")</f>
        <v/>
      </c>
      <c r="F750" t="str">
        <f t="array" ref="F750">IFERROR(INDEX('Daily Raw Data'!H:H,Match($A750,'Daily Raw Data'!$B:$B,0)),"")</f>
        <v/>
      </c>
      <c r="G750" t="str">
        <f t="array" ref="G750">IFERROR(INDEX('Daily Raw Data'!I:I,Match($A750,'Daily Raw Data'!$B:$B,0)),"")</f>
        <v/>
      </c>
      <c r="H750" t="str">
        <f t="array" ref="H750">IFERROR(INDEX('Daily Raw Data'!N:N,Match($A750,'Daily Raw Data'!$B:$B,0)),"")</f>
        <v/>
      </c>
      <c r="I750" t="str">
        <f t="array" ref="I750">IFERROR(INDEX('Daily Raw Data'!O:O,Match($A750,'Daily Raw Data'!$B:$B,0)),"")</f>
        <v/>
      </c>
      <c r="J750" t="str">
        <f t="array" ref="J750">IFERROR(INDEX('Daily Raw Data'!S:S,Match($A750,'Daily Raw Data'!$B:$B,0)),"")</f>
        <v/>
      </c>
      <c r="K750" t="str">
        <f t="array" ref="K750">IFERROR(INDEX('Daily Raw Data'!T:T,Match($A750,'Daily Raw Data'!$B:$B,0)),"")</f>
        <v/>
      </c>
      <c r="L750" t="str">
        <f t="array" ref="L750">IFERROR(INDEX('Daily Raw Data'!U:U,Match($A750,'Daily Raw Data'!$B:$B,0)),"")</f>
        <v/>
      </c>
      <c r="M750" t="str">
        <f t="array" ref="M750">IFERROR(INDEX('Daily Raw Data'!V:V,Match($A750,'Daily Raw Data'!$B:$B,0)),"")</f>
        <v/>
      </c>
      <c r="N750" t="str">
        <f t="array" ref="N750">IFERROR(INDEX('Daily Raw Data'!W:W,Match($A750,'Daily Raw Data'!$B:$B,0)),"")</f>
        <v/>
      </c>
      <c r="O750" t="str">
        <f t="array" ref="O750">IFERROR(INDEX('Daily Raw Data'!Y:Y,Match($A750,'Daily Raw Data'!$B:$B,0)),"")</f>
        <v/>
      </c>
      <c r="P750" t="str">
        <f t="shared" si="1"/>
        <v/>
      </c>
      <c r="Q750" s="14" t="str">
        <f t="shared" si="2"/>
        <v/>
      </c>
      <c r="R750" s="15" t="str">
        <f>IFERROR(__xludf.DUMMYFUNCTION("IF($A750="""","""", IFERROR(PERCENTRANK.INC(FILTER(P:P,$E:$E&lt;&gt;""""),P750)*100,""""))"),"")</f>
        <v/>
      </c>
      <c r="S750" s="15" t="str">
        <f>IFERROR(__xludf.DUMMYFUNCTION("IF($A750="""","""",IFERROR(PERCENTRANK.INC(FILTER(Q:Q,$E:$E&lt;&gt;""""),Q750)*100,""""))"),"")</f>
        <v/>
      </c>
    </row>
    <row r="751">
      <c r="B751" t="str">
        <f t="array" ref="B751">IFERROR(INDEX('Player Raw Data'!C:C,Match($A751,'Player Raw Data'!$B:$B,0)),"")</f>
        <v/>
      </c>
      <c r="C751" t="str">
        <f t="array" ref="C751">IFERROR(INDEX('Player Raw Data'!D:D,Match($A751,'Player Raw Data'!$B:$B,0)),"")</f>
        <v/>
      </c>
      <c r="D751" t="str">
        <f t="array" ref="D751">IFERROR(IF(A751=A750, INDEX('Player Raw Data'!E:E,Match($A751,'Player Raw Data'!$B:$B,0)+2),INDEX('Player Raw Data'!E:E,Match($A751,'Player Raw Data'!$B:$B,0))),"")</f>
        <v/>
      </c>
      <c r="E751" s="27" t="str">
        <f>IFERROR(__xludf.DUMMYFUNCTION("IFERROR(ARRAY_CONSTRAIN(SPLIT(INDEX('Daily Raw Data'!G:G,Match($A751,'Daily Raw Data'!$B:$B,0)),"":""),1,1),"""")"),"")</f>
        <v/>
      </c>
      <c r="F751" t="str">
        <f t="array" ref="F751">IFERROR(INDEX('Daily Raw Data'!H:H,Match($A751,'Daily Raw Data'!$B:$B,0)),"")</f>
        <v/>
      </c>
      <c r="G751" t="str">
        <f t="array" ref="G751">IFERROR(INDEX('Daily Raw Data'!I:I,Match($A751,'Daily Raw Data'!$B:$B,0)),"")</f>
        <v/>
      </c>
      <c r="H751" t="str">
        <f t="array" ref="H751">IFERROR(INDEX('Daily Raw Data'!N:N,Match($A751,'Daily Raw Data'!$B:$B,0)),"")</f>
        <v/>
      </c>
      <c r="I751" t="str">
        <f t="array" ref="I751">IFERROR(INDEX('Daily Raw Data'!O:O,Match($A751,'Daily Raw Data'!$B:$B,0)),"")</f>
        <v/>
      </c>
      <c r="J751" t="str">
        <f t="array" ref="J751">IFERROR(INDEX('Daily Raw Data'!S:S,Match($A751,'Daily Raw Data'!$B:$B,0)),"")</f>
        <v/>
      </c>
      <c r="K751" t="str">
        <f t="array" ref="K751">IFERROR(INDEX('Daily Raw Data'!T:T,Match($A751,'Daily Raw Data'!$B:$B,0)),"")</f>
        <v/>
      </c>
      <c r="L751" t="str">
        <f t="array" ref="L751">IFERROR(INDEX('Daily Raw Data'!U:U,Match($A751,'Daily Raw Data'!$B:$B,0)),"")</f>
        <v/>
      </c>
      <c r="M751" t="str">
        <f t="array" ref="M751">IFERROR(INDEX('Daily Raw Data'!V:V,Match($A751,'Daily Raw Data'!$B:$B,0)),"")</f>
        <v/>
      </c>
      <c r="N751" t="str">
        <f t="array" ref="N751">IFERROR(INDEX('Daily Raw Data'!W:W,Match($A751,'Daily Raw Data'!$B:$B,0)),"")</f>
        <v/>
      </c>
      <c r="O751" t="str">
        <f t="array" ref="O751">IFERROR(INDEX('Daily Raw Data'!Y:Y,Match($A751,'Daily Raw Data'!$B:$B,0)),"")</f>
        <v/>
      </c>
      <c r="P751" t="str">
        <f t="shared" si="1"/>
        <v/>
      </c>
      <c r="Q751" s="14" t="str">
        <f t="shared" si="2"/>
        <v/>
      </c>
      <c r="R751" s="15" t="str">
        <f>IFERROR(__xludf.DUMMYFUNCTION("IF($A751="""","""", IFERROR(PERCENTRANK.INC(FILTER(P:P,$E:$E&lt;&gt;""""),P751)*100,""""))"),"")</f>
        <v/>
      </c>
      <c r="S751" s="15" t="str">
        <f>IFERROR(__xludf.DUMMYFUNCTION("IF($A751="""","""",IFERROR(PERCENTRANK.INC(FILTER(Q:Q,$E:$E&lt;&gt;""""),Q751)*100,""""))"),"")</f>
        <v/>
      </c>
    </row>
    <row r="752">
      <c r="B752" t="str">
        <f t="array" ref="B752">IFERROR(INDEX('Player Raw Data'!C:C,Match($A752,'Player Raw Data'!$B:$B,0)),"")</f>
        <v/>
      </c>
      <c r="C752" t="str">
        <f t="array" ref="C752">IFERROR(INDEX('Player Raw Data'!D:D,Match($A752,'Player Raw Data'!$B:$B,0)),"")</f>
        <v/>
      </c>
      <c r="D752" t="str">
        <f t="array" ref="D752">IFERROR(IF(A752=A751, INDEX('Player Raw Data'!E:E,Match($A752,'Player Raw Data'!$B:$B,0)+2),INDEX('Player Raw Data'!E:E,Match($A752,'Player Raw Data'!$B:$B,0))),"")</f>
        <v/>
      </c>
      <c r="E752" s="27" t="str">
        <f>IFERROR(__xludf.DUMMYFUNCTION("IFERROR(ARRAY_CONSTRAIN(SPLIT(INDEX('Daily Raw Data'!G:G,Match($A752,'Daily Raw Data'!$B:$B,0)),"":""),1,1),"""")"),"")</f>
        <v/>
      </c>
      <c r="F752" t="str">
        <f t="array" ref="F752">IFERROR(INDEX('Daily Raw Data'!H:H,Match($A752,'Daily Raw Data'!$B:$B,0)),"")</f>
        <v/>
      </c>
      <c r="G752" t="str">
        <f t="array" ref="G752">IFERROR(INDEX('Daily Raw Data'!I:I,Match($A752,'Daily Raw Data'!$B:$B,0)),"")</f>
        <v/>
      </c>
      <c r="H752" t="str">
        <f t="array" ref="H752">IFERROR(INDEX('Daily Raw Data'!N:N,Match($A752,'Daily Raw Data'!$B:$B,0)),"")</f>
        <v/>
      </c>
      <c r="I752" t="str">
        <f t="array" ref="I752">IFERROR(INDEX('Daily Raw Data'!O:O,Match($A752,'Daily Raw Data'!$B:$B,0)),"")</f>
        <v/>
      </c>
      <c r="J752" t="str">
        <f t="array" ref="J752">IFERROR(INDEX('Daily Raw Data'!S:S,Match($A752,'Daily Raw Data'!$B:$B,0)),"")</f>
        <v/>
      </c>
      <c r="K752" t="str">
        <f t="array" ref="K752">IFERROR(INDEX('Daily Raw Data'!T:T,Match($A752,'Daily Raw Data'!$B:$B,0)),"")</f>
        <v/>
      </c>
      <c r="L752" t="str">
        <f t="array" ref="L752">IFERROR(INDEX('Daily Raw Data'!U:U,Match($A752,'Daily Raw Data'!$B:$B,0)),"")</f>
        <v/>
      </c>
      <c r="M752" t="str">
        <f t="array" ref="M752">IFERROR(INDEX('Daily Raw Data'!V:V,Match($A752,'Daily Raw Data'!$B:$B,0)),"")</f>
        <v/>
      </c>
      <c r="N752" t="str">
        <f t="array" ref="N752">IFERROR(INDEX('Daily Raw Data'!W:W,Match($A752,'Daily Raw Data'!$B:$B,0)),"")</f>
        <v/>
      </c>
      <c r="O752" t="str">
        <f t="array" ref="O752">IFERROR(INDEX('Daily Raw Data'!Y:Y,Match($A752,'Daily Raw Data'!$B:$B,0)),"")</f>
        <v/>
      </c>
      <c r="P752" t="str">
        <f t="shared" si="1"/>
        <v/>
      </c>
      <c r="Q752" s="14" t="str">
        <f t="shared" si="2"/>
        <v/>
      </c>
      <c r="R752" s="15" t="str">
        <f>IFERROR(__xludf.DUMMYFUNCTION("IF($A752="""","""", IFERROR(PERCENTRANK.INC(FILTER(P:P,$E:$E&lt;&gt;""""),P752)*100,""""))"),"")</f>
        <v/>
      </c>
      <c r="S752" s="15" t="str">
        <f>IFERROR(__xludf.DUMMYFUNCTION("IF($A752="""","""",IFERROR(PERCENTRANK.INC(FILTER(Q:Q,$E:$E&lt;&gt;""""),Q752)*100,""""))"),"")</f>
        <v/>
      </c>
    </row>
    <row r="753">
      <c r="B753" t="str">
        <f t="array" ref="B753">IFERROR(INDEX('Player Raw Data'!C:C,Match($A753,'Player Raw Data'!$B:$B,0)),"")</f>
        <v/>
      </c>
      <c r="C753" t="str">
        <f t="array" ref="C753">IFERROR(INDEX('Player Raw Data'!D:D,Match($A753,'Player Raw Data'!$B:$B,0)),"")</f>
        <v/>
      </c>
      <c r="D753" t="str">
        <f t="array" ref="D753">IFERROR(IF(A753=A752, INDEX('Player Raw Data'!E:E,Match($A753,'Player Raw Data'!$B:$B,0)+2),INDEX('Player Raw Data'!E:E,Match($A753,'Player Raw Data'!$B:$B,0))),"")</f>
        <v/>
      </c>
      <c r="E753" s="27" t="str">
        <f>IFERROR(__xludf.DUMMYFUNCTION("IFERROR(ARRAY_CONSTRAIN(SPLIT(INDEX('Daily Raw Data'!G:G,Match($A753,'Daily Raw Data'!$B:$B,0)),"":""),1,1),"""")"),"")</f>
        <v/>
      </c>
      <c r="F753" t="str">
        <f t="array" ref="F753">IFERROR(INDEX('Daily Raw Data'!H:H,Match($A753,'Daily Raw Data'!$B:$B,0)),"")</f>
        <v/>
      </c>
      <c r="G753" t="str">
        <f t="array" ref="G753">IFERROR(INDEX('Daily Raw Data'!I:I,Match($A753,'Daily Raw Data'!$B:$B,0)),"")</f>
        <v/>
      </c>
      <c r="H753" t="str">
        <f t="array" ref="H753">IFERROR(INDEX('Daily Raw Data'!N:N,Match($A753,'Daily Raw Data'!$B:$B,0)),"")</f>
        <v/>
      </c>
      <c r="I753" t="str">
        <f t="array" ref="I753">IFERROR(INDEX('Daily Raw Data'!O:O,Match($A753,'Daily Raw Data'!$B:$B,0)),"")</f>
        <v/>
      </c>
      <c r="J753" t="str">
        <f t="array" ref="J753">IFERROR(INDEX('Daily Raw Data'!S:S,Match($A753,'Daily Raw Data'!$B:$B,0)),"")</f>
        <v/>
      </c>
      <c r="K753" t="str">
        <f t="array" ref="K753">IFERROR(INDEX('Daily Raw Data'!T:T,Match($A753,'Daily Raw Data'!$B:$B,0)),"")</f>
        <v/>
      </c>
      <c r="L753" t="str">
        <f t="array" ref="L753">IFERROR(INDEX('Daily Raw Data'!U:U,Match($A753,'Daily Raw Data'!$B:$B,0)),"")</f>
        <v/>
      </c>
      <c r="M753" t="str">
        <f t="array" ref="M753">IFERROR(INDEX('Daily Raw Data'!V:V,Match($A753,'Daily Raw Data'!$B:$B,0)),"")</f>
        <v/>
      </c>
      <c r="N753" t="str">
        <f t="array" ref="N753">IFERROR(INDEX('Daily Raw Data'!W:W,Match($A753,'Daily Raw Data'!$B:$B,0)),"")</f>
        <v/>
      </c>
      <c r="O753" t="str">
        <f t="array" ref="O753">IFERROR(INDEX('Daily Raw Data'!Y:Y,Match($A753,'Daily Raw Data'!$B:$B,0)),"")</f>
        <v/>
      </c>
      <c r="P753" t="str">
        <f t="shared" si="1"/>
        <v/>
      </c>
      <c r="Q753" s="14" t="str">
        <f t="shared" si="2"/>
        <v/>
      </c>
      <c r="R753" s="15" t="str">
        <f>IFERROR(__xludf.DUMMYFUNCTION("IF($A753="""","""", IFERROR(PERCENTRANK.INC(FILTER(P:P,$E:$E&lt;&gt;""""),P753)*100,""""))"),"")</f>
        <v/>
      </c>
      <c r="S753" s="15" t="str">
        <f>IFERROR(__xludf.DUMMYFUNCTION("IF($A753="""","""",IFERROR(PERCENTRANK.INC(FILTER(Q:Q,$E:$E&lt;&gt;""""),Q753)*100,""""))"),"")</f>
        <v/>
      </c>
    </row>
    <row r="754">
      <c r="B754" t="str">
        <f t="array" ref="B754">IFERROR(INDEX('Player Raw Data'!C:C,Match($A754,'Player Raw Data'!$B:$B,0)),"")</f>
        <v/>
      </c>
      <c r="C754" t="str">
        <f t="array" ref="C754">IFERROR(INDEX('Player Raw Data'!D:D,Match($A754,'Player Raw Data'!$B:$B,0)),"")</f>
        <v/>
      </c>
      <c r="D754" t="str">
        <f t="array" ref="D754">IFERROR(IF(A754=A753, INDEX('Player Raw Data'!E:E,Match($A754,'Player Raw Data'!$B:$B,0)+2),INDEX('Player Raw Data'!E:E,Match($A754,'Player Raw Data'!$B:$B,0))),"")</f>
        <v/>
      </c>
      <c r="E754" s="27" t="str">
        <f>IFERROR(__xludf.DUMMYFUNCTION("IFERROR(ARRAY_CONSTRAIN(SPLIT(INDEX('Daily Raw Data'!G:G,Match($A754,'Daily Raw Data'!$B:$B,0)),"":""),1,1),"""")"),"")</f>
        <v/>
      </c>
      <c r="F754" t="str">
        <f t="array" ref="F754">IFERROR(INDEX('Daily Raw Data'!H:H,Match($A754,'Daily Raw Data'!$B:$B,0)),"")</f>
        <v/>
      </c>
      <c r="G754" t="str">
        <f t="array" ref="G754">IFERROR(INDEX('Daily Raw Data'!I:I,Match($A754,'Daily Raw Data'!$B:$B,0)),"")</f>
        <v/>
      </c>
      <c r="H754" t="str">
        <f t="array" ref="H754">IFERROR(INDEX('Daily Raw Data'!N:N,Match($A754,'Daily Raw Data'!$B:$B,0)),"")</f>
        <v/>
      </c>
      <c r="I754" t="str">
        <f t="array" ref="I754">IFERROR(INDEX('Daily Raw Data'!O:O,Match($A754,'Daily Raw Data'!$B:$B,0)),"")</f>
        <v/>
      </c>
      <c r="J754" t="str">
        <f t="array" ref="J754">IFERROR(INDEX('Daily Raw Data'!S:S,Match($A754,'Daily Raw Data'!$B:$B,0)),"")</f>
        <v/>
      </c>
      <c r="K754" t="str">
        <f t="array" ref="K754">IFERROR(INDEX('Daily Raw Data'!T:T,Match($A754,'Daily Raw Data'!$B:$B,0)),"")</f>
        <v/>
      </c>
      <c r="L754" t="str">
        <f t="array" ref="L754">IFERROR(INDEX('Daily Raw Data'!U:U,Match($A754,'Daily Raw Data'!$B:$B,0)),"")</f>
        <v/>
      </c>
      <c r="M754" t="str">
        <f t="array" ref="M754">IFERROR(INDEX('Daily Raw Data'!V:V,Match($A754,'Daily Raw Data'!$B:$B,0)),"")</f>
        <v/>
      </c>
      <c r="N754" t="str">
        <f t="array" ref="N754">IFERROR(INDEX('Daily Raw Data'!W:W,Match($A754,'Daily Raw Data'!$B:$B,0)),"")</f>
        <v/>
      </c>
      <c r="O754" t="str">
        <f t="array" ref="O754">IFERROR(INDEX('Daily Raw Data'!Y:Y,Match($A754,'Daily Raw Data'!$B:$B,0)),"")</f>
        <v/>
      </c>
      <c r="P754" t="str">
        <f t="shared" si="1"/>
        <v/>
      </c>
      <c r="Q754" s="14" t="str">
        <f t="shared" si="2"/>
        <v/>
      </c>
      <c r="R754" s="15" t="str">
        <f>IFERROR(__xludf.DUMMYFUNCTION("IF($A754="""","""", IFERROR(PERCENTRANK.INC(FILTER(P:P,$E:$E&lt;&gt;""""),P754)*100,""""))"),"")</f>
        <v/>
      </c>
      <c r="S754" s="15" t="str">
        <f>IFERROR(__xludf.DUMMYFUNCTION("IF($A754="""","""",IFERROR(PERCENTRANK.INC(FILTER(Q:Q,$E:$E&lt;&gt;""""),Q754)*100,""""))"),"")</f>
        <v/>
      </c>
    </row>
    <row r="755">
      <c r="B755" t="str">
        <f t="array" ref="B755">IFERROR(INDEX('Player Raw Data'!C:C,Match($A755,'Player Raw Data'!$B:$B,0)),"")</f>
        <v/>
      </c>
      <c r="C755" t="str">
        <f t="array" ref="C755">IFERROR(INDEX('Player Raw Data'!D:D,Match($A755,'Player Raw Data'!$B:$B,0)),"")</f>
        <v/>
      </c>
      <c r="D755" t="str">
        <f t="array" ref="D755">IFERROR(IF(A755=A754, INDEX('Player Raw Data'!E:E,Match($A755,'Player Raw Data'!$B:$B,0)+2),INDEX('Player Raw Data'!E:E,Match($A755,'Player Raw Data'!$B:$B,0))),"")</f>
        <v/>
      </c>
      <c r="E755" s="27" t="str">
        <f>IFERROR(__xludf.DUMMYFUNCTION("IFERROR(ARRAY_CONSTRAIN(SPLIT(INDEX('Daily Raw Data'!G:G,Match($A755,'Daily Raw Data'!$B:$B,0)),"":""),1,1),"""")"),"")</f>
        <v/>
      </c>
      <c r="F755" t="str">
        <f t="array" ref="F755">IFERROR(INDEX('Daily Raw Data'!H:H,Match($A755,'Daily Raw Data'!$B:$B,0)),"")</f>
        <v/>
      </c>
      <c r="G755" t="str">
        <f t="array" ref="G755">IFERROR(INDEX('Daily Raw Data'!I:I,Match($A755,'Daily Raw Data'!$B:$B,0)),"")</f>
        <v/>
      </c>
      <c r="H755" t="str">
        <f t="array" ref="H755">IFERROR(INDEX('Daily Raw Data'!N:N,Match($A755,'Daily Raw Data'!$B:$B,0)),"")</f>
        <v/>
      </c>
      <c r="I755" t="str">
        <f t="array" ref="I755">IFERROR(INDEX('Daily Raw Data'!O:O,Match($A755,'Daily Raw Data'!$B:$B,0)),"")</f>
        <v/>
      </c>
      <c r="J755" t="str">
        <f t="array" ref="J755">IFERROR(INDEX('Daily Raw Data'!S:S,Match($A755,'Daily Raw Data'!$B:$B,0)),"")</f>
        <v/>
      </c>
      <c r="K755" t="str">
        <f t="array" ref="K755">IFERROR(INDEX('Daily Raw Data'!T:T,Match($A755,'Daily Raw Data'!$B:$B,0)),"")</f>
        <v/>
      </c>
      <c r="L755" t="str">
        <f t="array" ref="L755">IFERROR(INDEX('Daily Raw Data'!U:U,Match($A755,'Daily Raw Data'!$B:$B,0)),"")</f>
        <v/>
      </c>
      <c r="M755" t="str">
        <f t="array" ref="M755">IFERROR(INDEX('Daily Raw Data'!V:V,Match($A755,'Daily Raw Data'!$B:$B,0)),"")</f>
        <v/>
      </c>
      <c r="N755" t="str">
        <f t="array" ref="N755">IFERROR(INDEX('Daily Raw Data'!W:W,Match($A755,'Daily Raw Data'!$B:$B,0)),"")</f>
        <v/>
      </c>
      <c r="O755" t="str">
        <f t="array" ref="O755">IFERROR(INDEX('Daily Raw Data'!Y:Y,Match($A755,'Daily Raw Data'!$B:$B,0)),"")</f>
        <v/>
      </c>
      <c r="P755" t="str">
        <f t="shared" si="1"/>
        <v/>
      </c>
      <c r="Q755" s="14" t="str">
        <f t="shared" si="2"/>
        <v/>
      </c>
      <c r="R755" s="15" t="str">
        <f>IFERROR(__xludf.DUMMYFUNCTION("IF($A755="""","""", IFERROR(PERCENTRANK.INC(FILTER(P:P,$E:$E&lt;&gt;""""),P755)*100,""""))"),"")</f>
        <v/>
      </c>
      <c r="S755" s="15" t="str">
        <f>IFERROR(__xludf.DUMMYFUNCTION("IF($A755="""","""",IFERROR(PERCENTRANK.INC(FILTER(Q:Q,$E:$E&lt;&gt;""""),Q755)*100,""""))"),"")</f>
        <v/>
      </c>
    </row>
    <row r="756">
      <c r="B756" t="str">
        <f t="array" ref="B756">IFERROR(INDEX('Player Raw Data'!C:C,Match($A756,'Player Raw Data'!$B:$B,0)),"")</f>
        <v/>
      </c>
      <c r="C756" t="str">
        <f t="array" ref="C756">IFERROR(INDEX('Player Raw Data'!D:D,Match($A756,'Player Raw Data'!$B:$B,0)),"")</f>
        <v/>
      </c>
      <c r="D756" t="str">
        <f t="array" ref="D756">IFERROR(IF(A756=A755, INDEX('Player Raw Data'!E:E,Match($A756,'Player Raw Data'!$B:$B,0)+2),INDEX('Player Raw Data'!E:E,Match($A756,'Player Raw Data'!$B:$B,0))),"")</f>
        <v/>
      </c>
      <c r="E756" s="27" t="str">
        <f>IFERROR(__xludf.DUMMYFUNCTION("IFERROR(ARRAY_CONSTRAIN(SPLIT(INDEX('Daily Raw Data'!G:G,Match($A756,'Daily Raw Data'!$B:$B,0)),"":""),1,1),"""")"),"")</f>
        <v/>
      </c>
      <c r="F756" t="str">
        <f t="array" ref="F756">IFERROR(INDEX('Daily Raw Data'!H:H,Match($A756,'Daily Raw Data'!$B:$B,0)),"")</f>
        <v/>
      </c>
      <c r="G756" t="str">
        <f t="array" ref="G756">IFERROR(INDEX('Daily Raw Data'!I:I,Match($A756,'Daily Raw Data'!$B:$B,0)),"")</f>
        <v/>
      </c>
      <c r="H756" t="str">
        <f t="array" ref="H756">IFERROR(INDEX('Daily Raw Data'!N:N,Match($A756,'Daily Raw Data'!$B:$B,0)),"")</f>
        <v/>
      </c>
      <c r="I756" t="str">
        <f t="array" ref="I756">IFERROR(INDEX('Daily Raw Data'!O:O,Match($A756,'Daily Raw Data'!$B:$B,0)),"")</f>
        <v/>
      </c>
      <c r="J756" t="str">
        <f t="array" ref="J756">IFERROR(INDEX('Daily Raw Data'!S:S,Match($A756,'Daily Raw Data'!$B:$B,0)),"")</f>
        <v/>
      </c>
      <c r="K756" t="str">
        <f t="array" ref="K756">IFERROR(INDEX('Daily Raw Data'!T:T,Match($A756,'Daily Raw Data'!$B:$B,0)),"")</f>
        <v/>
      </c>
      <c r="L756" t="str">
        <f t="array" ref="L756">IFERROR(INDEX('Daily Raw Data'!U:U,Match($A756,'Daily Raw Data'!$B:$B,0)),"")</f>
        <v/>
      </c>
      <c r="M756" t="str">
        <f t="array" ref="M756">IFERROR(INDEX('Daily Raw Data'!V:V,Match($A756,'Daily Raw Data'!$B:$B,0)),"")</f>
        <v/>
      </c>
      <c r="N756" t="str">
        <f t="array" ref="N756">IFERROR(INDEX('Daily Raw Data'!W:W,Match($A756,'Daily Raw Data'!$B:$B,0)),"")</f>
        <v/>
      </c>
      <c r="O756" t="str">
        <f t="array" ref="O756">IFERROR(INDEX('Daily Raw Data'!Y:Y,Match($A756,'Daily Raw Data'!$B:$B,0)),"")</f>
        <v/>
      </c>
      <c r="P756" t="str">
        <f t="shared" si="1"/>
        <v/>
      </c>
      <c r="Q756" s="14" t="str">
        <f t="shared" si="2"/>
        <v/>
      </c>
      <c r="R756" s="15" t="str">
        <f>IFERROR(__xludf.DUMMYFUNCTION("IF($A756="""","""", IFERROR(PERCENTRANK.INC(FILTER(P:P,$E:$E&lt;&gt;""""),P756)*100,""""))"),"")</f>
        <v/>
      </c>
      <c r="S756" s="15" t="str">
        <f>IFERROR(__xludf.DUMMYFUNCTION("IF($A756="""","""",IFERROR(PERCENTRANK.INC(FILTER(Q:Q,$E:$E&lt;&gt;""""),Q756)*100,""""))"),"")</f>
        <v/>
      </c>
    </row>
    <row r="757">
      <c r="B757" t="str">
        <f t="array" ref="B757">IFERROR(INDEX('Player Raw Data'!C:C,Match($A757,'Player Raw Data'!$B:$B,0)),"")</f>
        <v/>
      </c>
      <c r="C757" t="str">
        <f t="array" ref="C757">IFERROR(INDEX('Player Raw Data'!D:D,Match($A757,'Player Raw Data'!$B:$B,0)),"")</f>
        <v/>
      </c>
      <c r="D757" t="str">
        <f t="array" ref="D757">IFERROR(IF(A757=A756, INDEX('Player Raw Data'!E:E,Match($A757,'Player Raw Data'!$B:$B,0)+2),INDEX('Player Raw Data'!E:E,Match($A757,'Player Raw Data'!$B:$B,0))),"")</f>
        <v/>
      </c>
      <c r="E757" s="27" t="str">
        <f>IFERROR(__xludf.DUMMYFUNCTION("IFERROR(ARRAY_CONSTRAIN(SPLIT(INDEX('Daily Raw Data'!G:G,Match($A757,'Daily Raw Data'!$B:$B,0)),"":""),1,1),"""")"),"")</f>
        <v/>
      </c>
      <c r="F757" t="str">
        <f t="array" ref="F757">IFERROR(INDEX('Daily Raw Data'!H:H,Match($A757,'Daily Raw Data'!$B:$B,0)),"")</f>
        <v/>
      </c>
      <c r="G757" t="str">
        <f t="array" ref="G757">IFERROR(INDEX('Daily Raw Data'!I:I,Match($A757,'Daily Raw Data'!$B:$B,0)),"")</f>
        <v/>
      </c>
      <c r="H757" t="str">
        <f t="array" ref="H757">IFERROR(INDEX('Daily Raw Data'!N:N,Match($A757,'Daily Raw Data'!$B:$B,0)),"")</f>
        <v/>
      </c>
      <c r="I757" t="str">
        <f t="array" ref="I757">IFERROR(INDEX('Daily Raw Data'!O:O,Match($A757,'Daily Raw Data'!$B:$B,0)),"")</f>
        <v/>
      </c>
      <c r="J757" t="str">
        <f t="array" ref="J757">IFERROR(INDEX('Daily Raw Data'!S:S,Match($A757,'Daily Raw Data'!$B:$B,0)),"")</f>
        <v/>
      </c>
      <c r="K757" t="str">
        <f t="array" ref="K757">IFERROR(INDEX('Daily Raw Data'!T:T,Match($A757,'Daily Raw Data'!$B:$B,0)),"")</f>
        <v/>
      </c>
      <c r="L757" t="str">
        <f t="array" ref="L757">IFERROR(INDEX('Daily Raw Data'!U:U,Match($A757,'Daily Raw Data'!$B:$B,0)),"")</f>
        <v/>
      </c>
      <c r="M757" t="str">
        <f t="array" ref="M757">IFERROR(INDEX('Daily Raw Data'!V:V,Match($A757,'Daily Raw Data'!$B:$B,0)),"")</f>
        <v/>
      </c>
      <c r="N757" t="str">
        <f t="array" ref="N757">IFERROR(INDEX('Daily Raw Data'!W:W,Match($A757,'Daily Raw Data'!$B:$B,0)),"")</f>
        <v/>
      </c>
      <c r="O757" t="str">
        <f t="array" ref="O757">IFERROR(INDEX('Daily Raw Data'!Y:Y,Match($A757,'Daily Raw Data'!$B:$B,0)),"")</f>
        <v/>
      </c>
      <c r="P757" t="str">
        <f t="shared" si="1"/>
        <v/>
      </c>
      <c r="Q757" s="14" t="str">
        <f t="shared" si="2"/>
        <v/>
      </c>
      <c r="R757" s="15" t="str">
        <f>IFERROR(__xludf.DUMMYFUNCTION("IF($A757="""","""", IFERROR(PERCENTRANK.INC(FILTER(P:P,$E:$E&lt;&gt;""""),P757)*100,""""))"),"")</f>
        <v/>
      </c>
      <c r="S757" s="15" t="str">
        <f>IFERROR(__xludf.DUMMYFUNCTION("IF($A757="""","""",IFERROR(PERCENTRANK.INC(FILTER(Q:Q,$E:$E&lt;&gt;""""),Q757)*100,""""))"),"")</f>
        <v/>
      </c>
    </row>
    <row r="758">
      <c r="B758" t="str">
        <f t="array" ref="B758">IFERROR(INDEX('Player Raw Data'!C:C,Match($A758,'Player Raw Data'!$B:$B,0)),"")</f>
        <v/>
      </c>
      <c r="C758" t="str">
        <f t="array" ref="C758">IFERROR(INDEX('Player Raw Data'!D:D,Match($A758,'Player Raw Data'!$B:$B,0)),"")</f>
        <v/>
      </c>
      <c r="D758" t="str">
        <f t="array" ref="D758">IFERROR(IF(A758=A757, INDEX('Player Raw Data'!E:E,Match($A758,'Player Raw Data'!$B:$B,0)+2),INDEX('Player Raw Data'!E:E,Match($A758,'Player Raw Data'!$B:$B,0))),"")</f>
        <v/>
      </c>
      <c r="E758" s="27" t="str">
        <f>IFERROR(__xludf.DUMMYFUNCTION("IFERROR(ARRAY_CONSTRAIN(SPLIT(INDEX('Daily Raw Data'!G:G,Match($A758,'Daily Raw Data'!$B:$B,0)),"":""),1,1),"""")"),"")</f>
        <v/>
      </c>
      <c r="F758" t="str">
        <f t="array" ref="F758">IFERROR(INDEX('Daily Raw Data'!H:H,Match($A758,'Daily Raw Data'!$B:$B,0)),"")</f>
        <v/>
      </c>
      <c r="G758" t="str">
        <f t="array" ref="G758">IFERROR(INDEX('Daily Raw Data'!I:I,Match($A758,'Daily Raw Data'!$B:$B,0)),"")</f>
        <v/>
      </c>
      <c r="H758" t="str">
        <f t="array" ref="H758">IFERROR(INDEX('Daily Raw Data'!N:N,Match($A758,'Daily Raw Data'!$B:$B,0)),"")</f>
        <v/>
      </c>
      <c r="I758" t="str">
        <f t="array" ref="I758">IFERROR(INDEX('Daily Raw Data'!O:O,Match($A758,'Daily Raw Data'!$B:$B,0)),"")</f>
        <v/>
      </c>
      <c r="J758" t="str">
        <f t="array" ref="J758">IFERROR(INDEX('Daily Raw Data'!S:S,Match($A758,'Daily Raw Data'!$B:$B,0)),"")</f>
        <v/>
      </c>
      <c r="K758" t="str">
        <f t="array" ref="K758">IFERROR(INDEX('Daily Raw Data'!T:T,Match($A758,'Daily Raw Data'!$B:$B,0)),"")</f>
        <v/>
      </c>
      <c r="L758" t="str">
        <f t="array" ref="L758">IFERROR(INDEX('Daily Raw Data'!U:U,Match($A758,'Daily Raw Data'!$B:$B,0)),"")</f>
        <v/>
      </c>
      <c r="M758" t="str">
        <f t="array" ref="M758">IFERROR(INDEX('Daily Raw Data'!V:V,Match($A758,'Daily Raw Data'!$B:$B,0)),"")</f>
        <v/>
      </c>
      <c r="N758" t="str">
        <f t="array" ref="N758">IFERROR(INDEX('Daily Raw Data'!W:W,Match($A758,'Daily Raw Data'!$B:$B,0)),"")</f>
        <v/>
      </c>
      <c r="O758" t="str">
        <f t="array" ref="O758">IFERROR(INDEX('Daily Raw Data'!Y:Y,Match($A758,'Daily Raw Data'!$B:$B,0)),"")</f>
        <v/>
      </c>
      <c r="P758" t="str">
        <f t="shared" si="1"/>
        <v/>
      </c>
      <c r="Q758" s="14" t="str">
        <f t="shared" si="2"/>
        <v/>
      </c>
      <c r="R758" s="15" t="str">
        <f>IFERROR(__xludf.DUMMYFUNCTION("IF($A758="""","""", IFERROR(PERCENTRANK.INC(FILTER(P:P,$E:$E&lt;&gt;""""),P758)*100,""""))"),"")</f>
        <v/>
      </c>
      <c r="S758" s="15" t="str">
        <f>IFERROR(__xludf.DUMMYFUNCTION("IF($A758="""","""",IFERROR(PERCENTRANK.INC(FILTER(Q:Q,$E:$E&lt;&gt;""""),Q758)*100,""""))"),"")</f>
        <v/>
      </c>
    </row>
    <row r="759">
      <c r="B759" t="str">
        <f t="array" ref="B759">IFERROR(INDEX('Player Raw Data'!C:C,Match($A759,'Player Raw Data'!$B:$B,0)),"")</f>
        <v/>
      </c>
      <c r="C759" t="str">
        <f t="array" ref="C759">IFERROR(INDEX('Player Raw Data'!D:D,Match($A759,'Player Raw Data'!$B:$B,0)),"")</f>
        <v/>
      </c>
      <c r="D759" t="str">
        <f t="array" ref="D759">IFERROR(IF(A759=A758, INDEX('Player Raw Data'!E:E,Match($A759,'Player Raw Data'!$B:$B,0)+2),INDEX('Player Raw Data'!E:E,Match($A759,'Player Raw Data'!$B:$B,0))),"")</f>
        <v/>
      </c>
      <c r="E759" s="27" t="str">
        <f>IFERROR(__xludf.DUMMYFUNCTION("IFERROR(ARRAY_CONSTRAIN(SPLIT(INDEX('Daily Raw Data'!G:G,Match($A759,'Daily Raw Data'!$B:$B,0)),"":""),1,1),"""")"),"")</f>
        <v/>
      </c>
      <c r="F759" t="str">
        <f t="array" ref="F759">IFERROR(INDEX('Daily Raw Data'!H:H,Match($A759,'Daily Raw Data'!$B:$B,0)),"")</f>
        <v/>
      </c>
      <c r="G759" t="str">
        <f t="array" ref="G759">IFERROR(INDEX('Daily Raw Data'!I:I,Match($A759,'Daily Raw Data'!$B:$B,0)),"")</f>
        <v/>
      </c>
      <c r="H759" t="str">
        <f t="array" ref="H759">IFERROR(INDEX('Daily Raw Data'!N:N,Match($A759,'Daily Raw Data'!$B:$B,0)),"")</f>
        <v/>
      </c>
      <c r="I759" t="str">
        <f t="array" ref="I759">IFERROR(INDEX('Daily Raw Data'!O:O,Match($A759,'Daily Raw Data'!$B:$B,0)),"")</f>
        <v/>
      </c>
      <c r="J759" t="str">
        <f t="array" ref="J759">IFERROR(INDEX('Daily Raw Data'!S:S,Match($A759,'Daily Raw Data'!$B:$B,0)),"")</f>
        <v/>
      </c>
      <c r="K759" t="str">
        <f t="array" ref="K759">IFERROR(INDEX('Daily Raw Data'!T:T,Match($A759,'Daily Raw Data'!$B:$B,0)),"")</f>
        <v/>
      </c>
      <c r="L759" t="str">
        <f t="array" ref="L759">IFERROR(INDEX('Daily Raw Data'!U:U,Match($A759,'Daily Raw Data'!$B:$B,0)),"")</f>
        <v/>
      </c>
      <c r="M759" t="str">
        <f t="array" ref="M759">IFERROR(INDEX('Daily Raw Data'!V:V,Match($A759,'Daily Raw Data'!$B:$B,0)),"")</f>
        <v/>
      </c>
      <c r="N759" t="str">
        <f t="array" ref="N759">IFERROR(INDEX('Daily Raw Data'!W:W,Match($A759,'Daily Raw Data'!$B:$B,0)),"")</f>
        <v/>
      </c>
      <c r="O759" t="str">
        <f t="array" ref="O759">IFERROR(INDEX('Daily Raw Data'!Y:Y,Match($A759,'Daily Raw Data'!$B:$B,0)),"")</f>
        <v/>
      </c>
      <c r="P759" t="str">
        <f t="shared" si="1"/>
        <v/>
      </c>
      <c r="Q759" s="14" t="str">
        <f t="shared" si="2"/>
        <v/>
      </c>
      <c r="R759" s="15" t="str">
        <f>IFERROR(__xludf.DUMMYFUNCTION("IF($A759="""","""", IFERROR(PERCENTRANK.INC(FILTER(P:P,$E:$E&lt;&gt;""""),P759)*100,""""))"),"")</f>
        <v/>
      </c>
      <c r="S759" s="15" t="str">
        <f>IFERROR(__xludf.DUMMYFUNCTION("IF($A759="""","""",IFERROR(PERCENTRANK.INC(FILTER(Q:Q,$E:$E&lt;&gt;""""),Q759)*100,""""))"),"")</f>
        <v/>
      </c>
    </row>
    <row r="760">
      <c r="B760" t="str">
        <f t="array" ref="B760">IFERROR(INDEX('Player Raw Data'!C:C,Match($A760,'Player Raw Data'!$B:$B,0)),"")</f>
        <v/>
      </c>
      <c r="C760" t="str">
        <f t="array" ref="C760">IFERROR(INDEX('Player Raw Data'!D:D,Match($A760,'Player Raw Data'!$B:$B,0)),"")</f>
        <v/>
      </c>
      <c r="D760" t="str">
        <f t="array" ref="D760">IFERROR(IF(A760=A759, INDEX('Player Raw Data'!E:E,Match($A760,'Player Raw Data'!$B:$B,0)+2),INDEX('Player Raw Data'!E:E,Match($A760,'Player Raw Data'!$B:$B,0))),"")</f>
        <v/>
      </c>
      <c r="E760" s="27" t="str">
        <f>IFERROR(__xludf.DUMMYFUNCTION("IFERROR(ARRAY_CONSTRAIN(SPLIT(INDEX('Daily Raw Data'!G:G,Match($A760,'Daily Raw Data'!$B:$B,0)),"":""),1,1),"""")"),"")</f>
        <v/>
      </c>
      <c r="F760" t="str">
        <f t="array" ref="F760">IFERROR(INDEX('Daily Raw Data'!H:H,Match($A760,'Daily Raw Data'!$B:$B,0)),"")</f>
        <v/>
      </c>
      <c r="G760" t="str">
        <f t="array" ref="G760">IFERROR(INDEX('Daily Raw Data'!I:I,Match($A760,'Daily Raw Data'!$B:$B,0)),"")</f>
        <v/>
      </c>
      <c r="H760" t="str">
        <f t="array" ref="H760">IFERROR(INDEX('Daily Raw Data'!N:N,Match($A760,'Daily Raw Data'!$B:$B,0)),"")</f>
        <v/>
      </c>
      <c r="I760" t="str">
        <f t="array" ref="I760">IFERROR(INDEX('Daily Raw Data'!O:O,Match($A760,'Daily Raw Data'!$B:$B,0)),"")</f>
        <v/>
      </c>
      <c r="J760" t="str">
        <f t="array" ref="J760">IFERROR(INDEX('Daily Raw Data'!S:S,Match($A760,'Daily Raw Data'!$B:$B,0)),"")</f>
        <v/>
      </c>
      <c r="K760" t="str">
        <f t="array" ref="K760">IFERROR(INDEX('Daily Raw Data'!T:T,Match($A760,'Daily Raw Data'!$B:$B,0)),"")</f>
        <v/>
      </c>
      <c r="L760" t="str">
        <f t="array" ref="L760">IFERROR(INDEX('Daily Raw Data'!U:U,Match($A760,'Daily Raw Data'!$B:$B,0)),"")</f>
        <v/>
      </c>
      <c r="M760" t="str">
        <f t="array" ref="M760">IFERROR(INDEX('Daily Raw Data'!V:V,Match($A760,'Daily Raw Data'!$B:$B,0)),"")</f>
        <v/>
      </c>
      <c r="N760" t="str">
        <f t="array" ref="N760">IFERROR(INDEX('Daily Raw Data'!W:W,Match($A760,'Daily Raw Data'!$B:$B,0)),"")</f>
        <v/>
      </c>
      <c r="O760" t="str">
        <f t="array" ref="O760">IFERROR(INDEX('Daily Raw Data'!Y:Y,Match($A760,'Daily Raw Data'!$B:$B,0)),"")</f>
        <v/>
      </c>
      <c r="P760" t="str">
        <f t="shared" si="1"/>
        <v/>
      </c>
      <c r="Q760" s="14" t="str">
        <f t="shared" si="2"/>
        <v/>
      </c>
      <c r="R760" s="15" t="str">
        <f>IFERROR(__xludf.DUMMYFUNCTION("IF($A760="""","""", IFERROR(PERCENTRANK.INC(FILTER(P:P,$E:$E&lt;&gt;""""),P760)*100,""""))"),"")</f>
        <v/>
      </c>
      <c r="S760" s="15" t="str">
        <f>IFERROR(__xludf.DUMMYFUNCTION("IF($A760="""","""",IFERROR(PERCENTRANK.INC(FILTER(Q:Q,$E:$E&lt;&gt;""""),Q760)*100,""""))"),"")</f>
        <v/>
      </c>
    </row>
    <row r="761">
      <c r="B761" t="str">
        <f t="array" ref="B761">IFERROR(INDEX('Player Raw Data'!C:C,Match($A761,'Player Raw Data'!$B:$B,0)),"")</f>
        <v/>
      </c>
      <c r="C761" t="str">
        <f t="array" ref="C761">IFERROR(INDEX('Player Raw Data'!D:D,Match($A761,'Player Raw Data'!$B:$B,0)),"")</f>
        <v/>
      </c>
      <c r="D761" t="str">
        <f t="array" ref="D761">IFERROR(IF(A761=A760, INDEX('Player Raw Data'!E:E,Match($A761,'Player Raw Data'!$B:$B,0)+2),INDEX('Player Raw Data'!E:E,Match($A761,'Player Raw Data'!$B:$B,0))),"")</f>
        <v/>
      </c>
      <c r="E761" s="27" t="str">
        <f>IFERROR(__xludf.DUMMYFUNCTION("IFERROR(ARRAY_CONSTRAIN(SPLIT(INDEX('Daily Raw Data'!G:G,Match($A761,'Daily Raw Data'!$B:$B,0)),"":""),1,1),"""")"),"")</f>
        <v/>
      </c>
      <c r="F761" t="str">
        <f t="array" ref="F761">IFERROR(INDEX('Daily Raw Data'!H:H,Match($A761,'Daily Raw Data'!$B:$B,0)),"")</f>
        <v/>
      </c>
      <c r="G761" t="str">
        <f t="array" ref="G761">IFERROR(INDEX('Daily Raw Data'!I:I,Match($A761,'Daily Raw Data'!$B:$B,0)),"")</f>
        <v/>
      </c>
      <c r="H761" t="str">
        <f t="array" ref="H761">IFERROR(INDEX('Daily Raw Data'!N:N,Match($A761,'Daily Raw Data'!$B:$B,0)),"")</f>
        <v/>
      </c>
      <c r="I761" t="str">
        <f t="array" ref="I761">IFERROR(INDEX('Daily Raw Data'!O:O,Match($A761,'Daily Raw Data'!$B:$B,0)),"")</f>
        <v/>
      </c>
      <c r="J761" t="str">
        <f t="array" ref="J761">IFERROR(INDEX('Daily Raw Data'!S:S,Match($A761,'Daily Raw Data'!$B:$B,0)),"")</f>
        <v/>
      </c>
      <c r="K761" t="str">
        <f t="array" ref="K761">IFERROR(INDEX('Daily Raw Data'!T:T,Match($A761,'Daily Raw Data'!$B:$B,0)),"")</f>
        <v/>
      </c>
      <c r="L761" t="str">
        <f t="array" ref="L761">IFERROR(INDEX('Daily Raw Data'!U:U,Match($A761,'Daily Raw Data'!$B:$B,0)),"")</f>
        <v/>
      </c>
      <c r="M761" t="str">
        <f t="array" ref="M761">IFERROR(INDEX('Daily Raw Data'!V:V,Match($A761,'Daily Raw Data'!$B:$B,0)),"")</f>
        <v/>
      </c>
      <c r="N761" t="str">
        <f t="array" ref="N761">IFERROR(INDEX('Daily Raw Data'!W:W,Match($A761,'Daily Raw Data'!$B:$B,0)),"")</f>
        <v/>
      </c>
      <c r="O761" t="str">
        <f t="array" ref="O761">IFERROR(INDEX('Daily Raw Data'!Y:Y,Match($A761,'Daily Raw Data'!$B:$B,0)),"")</f>
        <v/>
      </c>
      <c r="P761" t="str">
        <f t="shared" si="1"/>
        <v/>
      </c>
      <c r="Q761" s="14" t="str">
        <f t="shared" si="2"/>
        <v/>
      </c>
      <c r="R761" s="15" t="str">
        <f>IFERROR(__xludf.DUMMYFUNCTION("IF($A761="""","""", IFERROR(PERCENTRANK.INC(FILTER(P:P,$E:$E&lt;&gt;""""),P761)*100,""""))"),"")</f>
        <v/>
      </c>
      <c r="S761" s="15" t="str">
        <f>IFERROR(__xludf.DUMMYFUNCTION("IF($A761="""","""",IFERROR(PERCENTRANK.INC(FILTER(Q:Q,$E:$E&lt;&gt;""""),Q761)*100,""""))"),"")</f>
        <v/>
      </c>
    </row>
    <row r="762">
      <c r="B762" t="str">
        <f t="array" ref="B762">IFERROR(INDEX('Player Raw Data'!C:C,Match($A762,'Player Raw Data'!$B:$B,0)),"")</f>
        <v/>
      </c>
      <c r="C762" t="str">
        <f t="array" ref="C762">IFERROR(INDEX('Player Raw Data'!D:D,Match($A762,'Player Raw Data'!$B:$B,0)),"")</f>
        <v/>
      </c>
      <c r="D762" t="str">
        <f t="array" ref="D762">IFERROR(IF(A762=A761, INDEX('Player Raw Data'!E:E,Match($A762,'Player Raw Data'!$B:$B,0)+2),INDEX('Player Raw Data'!E:E,Match($A762,'Player Raw Data'!$B:$B,0))),"")</f>
        <v/>
      </c>
      <c r="E762" s="27" t="str">
        <f>IFERROR(__xludf.DUMMYFUNCTION("IFERROR(ARRAY_CONSTRAIN(SPLIT(INDEX('Daily Raw Data'!G:G,Match($A762,'Daily Raw Data'!$B:$B,0)),"":""),1,1),"""")"),"")</f>
        <v/>
      </c>
      <c r="F762" t="str">
        <f t="array" ref="F762">IFERROR(INDEX('Daily Raw Data'!H:H,Match($A762,'Daily Raw Data'!$B:$B,0)),"")</f>
        <v/>
      </c>
      <c r="G762" t="str">
        <f t="array" ref="G762">IFERROR(INDEX('Daily Raw Data'!I:I,Match($A762,'Daily Raw Data'!$B:$B,0)),"")</f>
        <v/>
      </c>
      <c r="H762" t="str">
        <f t="array" ref="H762">IFERROR(INDEX('Daily Raw Data'!N:N,Match($A762,'Daily Raw Data'!$B:$B,0)),"")</f>
        <v/>
      </c>
      <c r="I762" t="str">
        <f t="array" ref="I762">IFERROR(INDEX('Daily Raw Data'!O:O,Match($A762,'Daily Raw Data'!$B:$B,0)),"")</f>
        <v/>
      </c>
      <c r="J762" t="str">
        <f t="array" ref="J762">IFERROR(INDEX('Daily Raw Data'!S:S,Match($A762,'Daily Raw Data'!$B:$B,0)),"")</f>
        <v/>
      </c>
      <c r="K762" t="str">
        <f t="array" ref="K762">IFERROR(INDEX('Daily Raw Data'!T:T,Match($A762,'Daily Raw Data'!$B:$B,0)),"")</f>
        <v/>
      </c>
      <c r="L762" t="str">
        <f t="array" ref="L762">IFERROR(INDEX('Daily Raw Data'!U:U,Match($A762,'Daily Raw Data'!$B:$B,0)),"")</f>
        <v/>
      </c>
      <c r="M762" t="str">
        <f t="array" ref="M762">IFERROR(INDEX('Daily Raw Data'!V:V,Match($A762,'Daily Raw Data'!$B:$B,0)),"")</f>
        <v/>
      </c>
      <c r="N762" t="str">
        <f t="array" ref="N762">IFERROR(INDEX('Daily Raw Data'!W:W,Match($A762,'Daily Raw Data'!$B:$B,0)),"")</f>
        <v/>
      </c>
      <c r="O762" t="str">
        <f t="array" ref="O762">IFERROR(INDEX('Daily Raw Data'!Y:Y,Match($A762,'Daily Raw Data'!$B:$B,0)),"")</f>
        <v/>
      </c>
      <c r="P762" t="str">
        <f t="shared" si="1"/>
        <v/>
      </c>
      <c r="Q762" s="14" t="str">
        <f t="shared" si="2"/>
        <v/>
      </c>
      <c r="R762" s="15" t="str">
        <f>IFERROR(__xludf.DUMMYFUNCTION("IF($A762="""","""", IFERROR(PERCENTRANK.INC(FILTER(P:P,$E:$E&lt;&gt;""""),P762)*100,""""))"),"")</f>
        <v/>
      </c>
      <c r="S762" s="15" t="str">
        <f>IFERROR(__xludf.DUMMYFUNCTION("IF($A762="""","""",IFERROR(PERCENTRANK.INC(FILTER(Q:Q,$E:$E&lt;&gt;""""),Q762)*100,""""))"),"")</f>
        <v/>
      </c>
    </row>
    <row r="763">
      <c r="B763" t="str">
        <f t="array" ref="B763">IFERROR(INDEX('Player Raw Data'!C:C,Match($A763,'Player Raw Data'!$B:$B,0)),"")</f>
        <v/>
      </c>
      <c r="C763" t="str">
        <f t="array" ref="C763">IFERROR(INDEX('Player Raw Data'!D:D,Match($A763,'Player Raw Data'!$B:$B,0)),"")</f>
        <v/>
      </c>
      <c r="D763" t="str">
        <f t="array" ref="D763">IFERROR(IF(A763=A762, INDEX('Player Raw Data'!E:E,Match($A763,'Player Raw Data'!$B:$B,0)+2),INDEX('Player Raw Data'!E:E,Match($A763,'Player Raw Data'!$B:$B,0))),"")</f>
        <v/>
      </c>
      <c r="E763" s="27" t="str">
        <f>IFERROR(__xludf.DUMMYFUNCTION("IFERROR(ARRAY_CONSTRAIN(SPLIT(INDEX('Daily Raw Data'!G:G,Match($A763,'Daily Raw Data'!$B:$B,0)),"":""),1,1),"""")"),"")</f>
        <v/>
      </c>
      <c r="F763" t="str">
        <f t="array" ref="F763">IFERROR(INDEX('Daily Raw Data'!H:H,Match($A763,'Daily Raw Data'!$B:$B,0)),"")</f>
        <v/>
      </c>
      <c r="G763" t="str">
        <f t="array" ref="G763">IFERROR(INDEX('Daily Raw Data'!I:I,Match($A763,'Daily Raw Data'!$B:$B,0)),"")</f>
        <v/>
      </c>
      <c r="H763" t="str">
        <f t="array" ref="H763">IFERROR(INDEX('Daily Raw Data'!N:N,Match($A763,'Daily Raw Data'!$B:$B,0)),"")</f>
        <v/>
      </c>
      <c r="I763" t="str">
        <f t="array" ref="I763">IFERROR(INDEX('Daily Raw Data'!O:O,Match($A763,'Daily Raw Data'!$B:$B,0)),"")</f>
        <v/>
      </c>
      <c r="J763" t="str">
        <f t="array" ref="J763">IFERROR(INDEX('Daily Raw Data'!S:S,Match($A763,'Daily Raw Data'!$B:$B,0)),"")</f>
        <v/>
      </c>
      <c r="K763" t="str">
        <f t="array" ref="K763">IFERROR(INDEX('Daily Raw Data'!T:T,Match($A763,'Daily Raw Data'!$B:$B,0)),"")</f>
        <v/>
      </c>
      <c r="L763" t="str">
        <f t="array" ref="L763">IFERROR(INDEX('Daily Raw Data'!U:U,Match($A763,'Daily Raw Data'!$B:$B,0)),"")</f>
        <v/>
      </c>
      <c r="M763" t="str">
        <f t="array" ref="M763">IFERROR(INDEX('Daily Raw Data'!V:V,Match($A763,'Daily Raw Data'!$B:$B,0)),"")</f>
        <v/>
      </c>
      <c r="N763" t="str">
        <f t="array" ref="N763">IFERROR(INDEX('Daily Raw Data'!W:W,Match($A763,'Daily Raw Data'!$B:$B,0)),"")</f>
        <v/>
      </c>
      <c r="O763" t="str">
        <f t="array" ref="O763">IFERROR(INDEX('Daily Raw Data'!Y:Y,Match($A763,'Daily Raw Data'!$B:$B,0)),"")</f>
        <v/>
      </c>
      <c r="P763" t="str">
        <f t="shared" si="1"/>
        <v/>
      </c>
      <c r="Q763" s="14" t="str">
        <f t="shared" si="2"/>
        <v/>
      </c>
      <c r="R763" s="15" t="str">
        <f>IFERROR(__xludf.DUMMYFUNCTION("IF($A763="""","""", IFERROR(PERCENTRANK.INC(FILTER(P:P,$E:$E&lt;&gt;""""),P763)*100,""""))"),"")</f>
        <v/>
      </c>
      <c r="S763" s="15" t="str">
        <f>IFERROR(__xludf.DUMMYFUNCTION("IF($A763="""","""",IFERROR(PERCENTRANK.INC(FILTER(Q:Q,$E:$E&lt;&gt;""""),Q763)*100,""""))"),"")</f>
        <v/>
      </c>
    </row>
    <row r="764">
      <c r="B764" t="str">
        <f t="array" ref="B764">IFERROR(INDEX('Player Raw Data'!C:C,Match($A764,'Player Raw Data'!$B:$B,0)),"")</f>
        <v/>
      </c>
      <c r="C764" t="str">
        <f t="array" ref="C764">IFERROR(INDEX('Player Raw Data'!D:D,Match($A764,'Player Raw Data'!$B:$B,0)),"")</f>
        <v/>
      </c>
      <c r="D764" t="str">
        <f t="array" ref="D764">IFERROR(IF(A764=A763, INDEX('Player Raw Data'!E:E,Match($A764,'Player Raw Data'!$B:$B,0)+2),INDEX('Player Raw Data'!E:E,Match($A764,'Player Raw Data'!$B:$B,0))),"")</f>
        <v/>
      </c>
      <c r="E764" s="27" t="str">
        <f>IFERROR(__xludf.DUMMYFUNCTION("IFERROR(ARRAY_CONSTRAIN(SPLIT(INDEX('Daily Raw Data'!G:G,Match($A764,'Daily Raw Data'!$B:$B,0)),"":""),1,1),"""")"),"")</f>
        <v/>
      </c>
      <c r="F764" t="str">
        <f t="array" ref="F764">IFERROR(INDEX('Daily Raw Data'!H:H,Match($A764,'Daily Raw Data'!$B:$B,0)),"")</f>
        <v/>
      </c>
      <c r="G764" t="str">
        <f t="array" ref="G764">IFERROR(INDEX('Daily Raw Data'!I:I,Match($A764,'Daily Raw Data'!$B:$B,0)),"")</f>
        <v/>
      </c>
      <c r="H764" t="str">
        <f t="array" ref="H764">IFERROR(INDEX('Daily Raw Data'!N:N,Match($A764,'Daily Raw Data'!$B:$B,0)),"")</f>
        <v/>
      </c>
      <c r="I764" t="str">
        <f t="array" ref="I764">IFERROR(INDEX('Daily Raw Data'!O:O,Match($A764,'Daily Raw Data'!$B:$B,0)),"")</f>
        <v/>
      </c>
      <c r="J764" t="str">
        <f t="array" ref="J764">IFERROR(INDEX('Daily Raw Data'!S:S,Match($A764,'Daily Raw Data'!$B:$B,0)),"")</f>
        <v/>
      </c>
      <c r="K764" t="str">
        <f t="array" ref="K764">IFERROR(INDEX('Daily Raw Data'!T:T,Match($A764,'Daily Raw Data'!$B:$B,0)),"")</f>
        <v/>
      </c>
      <c r="L764" t="str">
        <f t="array" ref="L764">IFERROR(INDEX('Daily Raw Data'!U:U,Match($A764,'Daily Raw Data'!$B:$B,0)),"")</f>
        <v/>
      </c>
      <c r="M764" t="str">
        <f t="array" ref="M764">IFERROR(INDEX('Daily Raw Data'!V:V,Match($A764,'Daily Raw Data'!$B:$B,0)),"")</f>
        <v/>
      </c>
      <c r="N764" t="str">
        <f t="array" ref="N764">IFERROR(INDEX('Daily Raw Data'!W:W,Match($A764,'Daily Raw Data'!$B:$B,0)),"")</f>
        <v/>
      </c>
      <c r="O764" t="str">
        <f t="array" ref="O764">IFERROR(INDEX('Daily Raw Data'!Y:Y,Match($A764,'Daily Raw Data'!$B:$B,0)),"")</f>
        <v/>
      </c>
      <c r="P764" t="str">
        <f t="shared" si="1"/>
        <v/>
      </c>
      <c r="Q764" s="14" t="str">
        <f t="shared" si="2"/>
        <v/>
      </c>
      <c r="R764" s="15" t="str">
        <f>IFERROR(__xludf.DUMMYFUNCTION("IF($A764="""","""", IFERROR(PERCENTRANK.INC(FILTER(P:P,$E:$E&lt;&gt;""""),P764)*100,""""))"),"")</f>
        <v/>
      </c>
      <c r="S764" s="15" t="str">
        <f>IFERROR(__xludf.DUMMYFUNCTION("IF($A764="""","""",IFERROR(PERCENTRANK.INC(FILTER(Q:Q,$E:$E&lt;&gt;""""),Q764)*100,""""))"),"")</f>
        <v/>
      </c>
    </row>
    <row r="765">
      <c r="B765" t="str">
        <f t="array" ref="B765">IFERROR(INDEX('Player Raw Data'!C:C,Match($A765,'Player Raw Data'!$B:$B,0)),"")</f>
        <v/>
      </c>
      <c r="C765" t="str">
        <f t="array" ref="C765">IFERROR(INDEX('Player Raw Data'!D:D,Match($A765,'Player Raw Data'!$B:$B,0)),"")</f>
        <v/>
      </c>
      <c r="D765" t="str">
        <f t="array" ref="D765">IFERROR(IF(A765=A764, INDEX('Player Raw Data'!E:E,Match($A765,'Player Raw Data'!$B:$B,0)+2),INDEX('Player Raw Data'!E:E,Match($A765,'Player Raw Data'!$B:$B,0))),"")</f>
        <v/>
      </c>
      <c r="E765" s="27" t="str">
        <f>IFERROR(__xludf.DUMMYFUNCTION("IFERROR(ARRAY_CONSTRAIN(SPLIT(INDEX('Daily Raw Data'!G:G,Match($A765,'Daily Raw Data'!$B:$B,0)),"":""),1,1),"""")"),"")</f>
        <v/>
      </c>
      <c r="F765" t="str">
        <f t="array" ref="F765">IFERROR(INDEX('Daily Raw Data'!H:H,Match($A765,'Daily Raw Data'!$B:$B,0)),"")</f>
        <v/>
      </c>
      <c r="G765" t="str">
        <f t="array" ref="G765">IFERROR(INDEX('Daily Raw Data'!I:I,Match($A765,'Daily Raw Data'!$B:$B,0)),"")</f>
        <v/>
      </c>
      <c r="H765" t="str">
        <f t="array" ref="H765">IFERROR(INDEX('Daily Raw Data'!N:N,Match($A765,'Daily Raw Data'!$B:$B,0)),"")</f>
        <v/>
      </c>
      <c r="I765" t="str">
        <f t="array" ref="I765">IFERROR(INDEX('Daily Raw Data'!O:O,Match($A765,'Daily Raw Data'!$B:$B,0)),"")</f>
        <v/>
      </c>
      <c r="J765" t="str">
        <f t="array" ref="J765">IFERROR(INDEX('Daily Raw Data'!S:S,Match($A765,'Daily Raw Data'!$B:$B,0)),"")</f>
        <v/>
      </c>
      <c r="K765" t="str">
        <f t="array" ref="K765">IFERROR(INDEX('Daily Raw Data'!T:T,Match($A765,'Daily Raw Data'!$B:$B,0)),"")</f>
        <v/>
      </c>
      <c r="L765" t="str">
        <f t="array" ref="L765">IFERROR(INDEX('Daily Raw Data'!U:U,Match($A765,'Daily Raw Data'!$B:$B,0)),"")</f>
        <v/>
      </c>
      <c r="M765" t="str">
        <f t="array" ref="M765">IFERROR(INDEX('Daily Raw Data'!V:V,Match($A765,'Daily Raw Data'!$B:$B,0)),"")</f>
        <v/>
      </c>
      <c r="N765" t="str">
        <f t="array" ref="N765">IFERROR(INDEX('Daily Raw Data'!W:W,Match($A765,'Daily Raw Data'!$B:$B,0)),"")</f>
        <v/>
      </c>
      <c r="O765" t="str">
        <f t="array" ref="O765">IFERROR(INDEX('Daily Raw Data'!Y:Y,Match($A765,'Daily Raw Data'!$B:$B,0)),"")</f>
        <v/>
      </c>
      <c r="P765" t="str">
        <f t="shared" si="1"/>
        <v/>
      </c>
      <c r="Q765" s="14" t="str">
        <f t="shared" si="2"/>
        <v/>
      </c>
      <c r="R765" s="15" t="str">
        <f>IFERROR(__xludf.DUMMYFUNCTION("IF($A765="""","""", IFERROR(PERCENTRANK.INC(FILTER(P:P,$E:$E&lt;&gt;""""),P765)*100,""""))"),"")</f>
        <v/>
      </c>
      <c r="S765" s="15" t="str">
        <f>IFERROR(__xludf.DUMMYFUNCTION("IF($A765="""","""",IFERROR(PERCENTRANK.INC(FILTER(Q:Q,$E:$E&lt;&gt;""""),Q765)*100,""""))"),"")</f>
        <v/>
      </c>
    </row>
    <row r="766">
      <c r="B766" t="str">
        <f t="array" ref="B766">IFERROR(INDEX('Player Raw Data'!C:C,Match($A766,'Player Raw Data'!$B:$B,0)),"")</f>
        <v/>
      </c>
      <c r="C766" t="str">
        <f t="array" ref="C766">IFERROR(INDEX('Player Raw Data'!D:D,Match($A766,'Player Raw Data'!$B:$B,0)),"")</f>
        <v/>
      </c>
      <c r="D766" t="str">
        <f t="array" ref="D766">IFERROR(IF(A766=A765, INDEX('Player Raw Data'!E:E,Match($A766,'Player Raw Data'!$B:$B,0)+2),INDEX('Player Raw Data'!E:E,Match($A766,'Player Raw Data'!$B:$B,0))),"")</f>
        <v/>
      </c>
      <c r="E766" s="27" t="str">
        <f>IFERROR(__xludf.DUMMYFUNCTION("IFERROR(ARRAY_CONSTRAIN(SPLIT(INDEX('Daily Raw Data'!G:G,Match($A766,'Daily Raw Data'!$B:$B,0)),"":""),1,1),"""")"),"")</f>
        <v/>
      </c>
      <c r="F766" t="str">
        <f t="array" ref="F766">IFERROR(INDEX('Daily Raw Data'!H:H,Match($A766,'Daily Raw Data'!$B:$B,0)),"")</f>
        <v/>
      </c>
      <c r="G766" t="str">
        <f t="array" ref="G766">IFERROR(INDEX('Daily Raw Data'!I:I,Match($A766,'Daily Raw Data'!$B:$B,0)),"")</f>
        <v/>
      </c>
      <c r="H766" t="str">
        <f t="array" ref="H766">IFERROR(INDEX('Daily Raw Data'!N:N,Match($A766,'Daily Raw Data'!$B:$B,0)),"")</f>
        <v/>
      </c>
      <c r="I766" t="str">
        <f t="array" ref="I766">IFERROR(INDEX('Daily Raw Data'!O:O,Match($A766,'Daily Raw Data'!$B:$B,0)),"")</f>
        <v/>
      </c>
      <c r="J766" t="str">
        <f t="array" ref="J766">IFERROR(INDEX('Daily Raw Data'!S:S,Match($A766,'Daily Raw Data'!$B:$B,0)),"")</f>
        <v/>
      </c>
      <c r="K766" t="str">
        <f t="array" ref="K766">IFERROR(INDEX('Daily Raw Data'!T:T,Match($A766,'Daily Raw Data'!$B:$B,0)),"")</f>
        <v/>
      </c>
      <c r="L766" t="str">
        <f t="array" ref="L766">IFERROR(INDEX('Daily Raw Data'!U:U,Match($A766,'Daily Raw Data'!$B:$B,0)),"")</f>
        <v/>
      </c>
      <c r="M766" t="str">
        <f t="array" ref="M766">IFERROR(INDEX('Daily Raw Data'!V:V,Match($A766,'Daily Raw Data'!$B:$B,0)),"")</f>
        <v/>
      </c>
      <c r="N766" t="str">
        <f t="array" ref="N766">IFERROR(INDEX('Daily Raw Data'!W:W,Match($A766,'Daily Raw Data'!$B:$B,0)),"")</f>
        <v/>
      </c>
      <c r="O766" t="str">
        <f t="array" ref="O766">IFERROR(INDEX('Daily Raw Data'!Y:Y,Match($A766,'Daily Raw Data'!$B:$B,0)),"")</f>
        <v/>
      </c>
      <c r="P766" t="str">
        <f t="shared" si="1"/>
        <v/>
      </c>
      <c r="Q766" s="14" t="str">
        <f t="shared" si="2"/>
        <v/>
      </c>
      <c r="R766" s="15" t="str">
        <f>IFERROR(__xludf.DUMMYFUNCTION("IF($A766="""","""", IFERROR(PERCENTRANK.INC(FILTER(P:P,$E:$E&lt;&gt;""""),P766)*100,""""))"),"")</f>
        <v/>
      </c>
      <c r="S766" s="15" t="str">
        <f>IFERROR(__xludf.DUMMYFUNCTION("IF($A766="""","""",IFERROR(PERCENTRANK.INC(FILTER(Q:Q,$E:$E&lt;&gt;""""),Q766)*100,""""))"),"")</f>
        <v/>
      </c>
    </row>
    <row r="767">
      <c r="B767" t="str">
        <f t="array" ref="B767">IFERROR(INDEX('Player Raw Data'!C:C,Match($A767,'Player Raw Data'!$B:$B,0)),"")</f>
        <v/>
      </c>
      <c r="C767" t="str">
        <f t="array" ref="C767">IFERROR(INDEX('Player Raw Data'!D:D,Match($A767,'Player Raw Data'!$B:$B,0)),"")</f>
        <v/>
      </c>
      <c r="D767" t="str">
        <f t="array" ref="D767">IFERROR(IF(A767=A766, INDEX('Player Raw Data'!E:E,Match($A767,'Player Raw Data'!$B:$B,0)+2),INDEX('Player Raw Data'!E:E,Match($A767,'Player Raw Data'!$B:$B,0))),"")</f>
        <v/>
      </c>
      <c r="E767" s="27" t="str">
        <f>IFERROR(__xludf.DUMMYFUNCTION("IFERROR(ARRAY_CONSTRAIN(SPLIT(INDEX('Daily Raw Data'!G:G,Match($A767,'Daily Raw Data'!$B:$B,0)),"":""),1,1),"""")"),"")</f>
        <v/>
      </c>
      <c r="F767" t="str">
        <f t="array" ref="F767">IFERROR(INDEX('Daily Raw Data'!H:H,Match($A767,'Daily Raw Data'!$B:$B,0)),"")</f>
        <v/>
      </c>
      <c r="G767" t="str">
        <f t="array" ref="G767">IFERROR(INDEX('Daily Raw Data'!I:I,Match($A767,'Daily Raw Data'!$B:$B,0)),"")</f>
        <v/>
      </c>
      <c r="H767" t="str">
        <f t="array" ref="H767">IFERROR(INDEX('Daily Raw Data'!N:N,Match($A767,'Daily Raw Data'!$B:$B,0)),"")</f>
        <v/>
      </c>
      <c r="I767" t="str">
        <f t="array" ref="I767">IFERROR(INDEX('Daily Raw Data'!O:O,Match($A767,'Daily Raw Data'!$B:$B,0)),"")</f>
        <v/>
      </c>
      <c r="J767" t="str">
        <f t="array" ref="J767">IFERROR(INDEX('Daily Raw Data'!S:S,Match($A767,'Daily Raw Data'!$B:$B,0)),"")</f>
        <v/>
      </c>
      <c r="K767" t="str">
        <f t="array" ref="K767">IFERROR(INDEX('Daily Raw Data'!T:T,Match($A767,'Daily Raw Data'!$B:$B,0)),"")</f>
        <v/>
      </c>
      <c r="L767" t="str">
        <f t="array" ref="L767">IFERROR(INDEX('Daily Raw Data'!U:U,Match($A767,'Daily Raw Data'!$B:$B,0)),"")</f>
        <v/>
      </c>
      <c r="M767" t="str">
        <f t="array" ref="M767">IFERROR(INDEX('Daily Raw Data'!V:V,Match($A767,'Daily Raw Data'!$B:$B,0)),"")</f>
        <v/>
      </c>
      <c r="N767" t="str">
        <f t="array" ref="N767">IFERROR(INDEX('Daily Raw Data'!W:W,Match($A767,'Daily Raw Data'!$B:$B,0)),"")</f>
        <v/>
      </c>
      <c r="O767" t="str">
        <f t="array" ref="O767">IFERROR(INDEX('Daily Raw Data'!Y:Y,Match($A767,'Daily Raw Data'!$B:$B,0)),"")</f>
        <v/>
      </c>
      <c r="P767" t="str">
        <f t="shared" si="1"/>
        <v/>
      </c>
      <c r="Q767" s="14" t="str">
        <f t="shared" si="2"/>
        <v/>
      </c>
      <c r="R767" s="15" t="str">
        <f>IFERROR(__xludf.DUMMYFUNCTION("IF($A767="""","""", IFERROR(PERCENTRANK.INC(FILTER(P:P,$E:$E&lt;&gt;""""),P767)*100,""""))"),"")</f>
        <v/>
      </c>
      <c r="S767" s="15" t="str">
        <f>IFERROR(__xludf.DUMMYFUNCTION("IF($A767="""","""",IFERROR(PERCENTRANK.INC(FILTER(Q:Q,$E:$E&lt;&gt;""""),Q767)*100,""""))"),"")</f>
        <v/>
      </c>
    </row>
    <row r="768">
      <c r="B768" t="str">
        <f t="array" ref="B768">IFERROR(INDEX('Player Raw Data'!C:C,Match($A768,'Player Raw Data'!$B:$B,0)),"")</f>
        <v/>
      </c>
      <c r="C768" t="str">
        <f t="array" ref="C768">IFERROR(INDEX('Player Raw Data'!D:D,Match($A768,'Player Raw Data'!$B:$B,0)),"")</f>
        <v/>
      </c>
      <c r="D768" t="str">
        <f t="array" ref="D768">IFERROR(IF(A768=A767, INDEX('Player Raw Data'!E:E,Match($A768,'Player Raw Data'!$B:$B,0)+2),INDEX('Player Raw Data'!E:E,Match($A768,'Player Raw Data'!$B:$B,0))),"")</f>
        <v/>
      </c>
      <c r="E768" s="27" t="str">
        <f>IFERROR(__xludf.DUMMYFUNCTION("IFERROR(ARRAY_CONSTRAIN(SPLIT(INDEX('Daily Raw Data'!G:G,Match($A768,'Daily Raw Data'!$B:$B,0)),"":""),1,1),"""")"),"")</f>
        <v/>
      </c>
      <c r="F768" t="str">
        <f t="array" ref="F768">IFERROR(INDEX('Daily Raw Data'!H:H,Match($A768,'Daily Raw Data'!$B:$B,0)),"")</f>
        <v/>
      </c>
      <c r="G768" t="str">
        <f t="array" ref="G768">IFERROR(INDEX('Daily Raw Data'!I:I,Match($A768,'Daily Raw Data'!$B:$B,0)),"")</f>
        <v/>
      </c>
      <c r="H768" t="str">
        <f t="array" ref="H768">IFERROR(INDEX('Daily Raw Data'!N:N,Match($A768,'Daily Raw Data'!$B:$B,0)),"")</f>
        <v/>
      </c>
      <c r="I768" t="str">
        <f t="array" ref="I768">IFERROR(INDEX('Daily Raw Data'!O:O,Match($A768,'Daily Raw Data'!$B:$B,0)),"")</f>
        <v/>
      </c>
      <c r="J768" t="str">
        <f t="array" ref="J768">IFERROR(INDEX('Daily Raw Data'!S:S,Match($A768,'Daily Raw Data'!$B:$B,0)),"")</f>
        <v/>
      </c>
      <c r="K768" t="str">
        <f t="array" ref="K768">IFERROR(INDEX('Daily Raw Data'!T:T,Match($A768,'Daily Raw Data'!$B:$B,0)),"")</f>
        <v/>
      </c>
      <c r="L768" t="str">
        <f t="array" ref="L768">IFERROR(INDEX('Daily Raw Data'!U:U,Match($A768,'Daily Raw Data'!$B:$B,0)),"")</f>
        <v/>
      </c>
      <c r="M768" t="str">
        <f t="array" ref="M768">IFERROR(INDEX('Daily Raw Data'!V:V,Match($A768,'Daily Raw Data'!$B:$B,0)),"")</f>
        <v/>
      </c>
      <c r="N768" t="str">
        <f t="array" ref="N768">IFERROR(INDEX('Daily Raw Data'!W:W,Match($A768,'Daily Raw Data'!$B:$B,0)),"")</f>
        <v/>
      </c>
      <c r="O768" t="str">
        <f t="array" ref="O768">IFERROR(INDEX('Daily Raw Data'!Y:Y,Match($A768,'Daily Raw Data'!$B:$B,0)),"")</f>
        <v/>
      </c>
      <c r="P768" t="str">
        <f t="shared" si="1"/>
        <v/>
      </c>
      <c r="Q768" s="14" t="str">
        <f t="shared" si="2"/>
        <v/>
      </c>
      <c r="R768" s="15" t="str">
        <f>IFERROR(__xludf.DUMMYFUNCTION("IF($A768="""","""", IFERROR(PERCENTRANK.INC(FILTER(P:P,$E:$E&lt;&gt;""""),P768)*100,""""))"),"")</f>
        <v/>
      </c>
      <c r="S768" s="15" t="str">
        <f>IFERROR(__xludf.DUMMYFUNCTION("IF($A768="""","""",IFERROR(PERCENTRANK.INC(FILTER(Q:Q,$E:$E&lt;&gt;""""),Q768)*100,""""))"),"")</f>
        <v/>
      </c>
    </row>
    <row r="769">
      <c r="B769" t="str">
        <f t="array" ref="B769">IFERROR(INDEX('Player Raw Data'!C:C,Match($A769,'Player Raw Data'!$B:$B,0)),"")</f>
        <v/>
      </c>
      <c r="C769" t="str">
        <f t="array" ref="C769">IFERROR(INDEX('Player Raw Data'!D:D,Match($A769,'Player Raw Data'!$B:$B,0)),"")</f>
        <v/>
      </c>
      <c r="D769" t="str">
        <f t="array" ref="D769">IFERROR(IF(A769=A768, INDEX('Player Raw Data'!E:E,Match($A769,'Player Raw Data'!$B:$B,0)+2),INDEX('Player Raw Data'!E:E,Match($A769,'Player Raw Data'!$B:$B,0))),"")</f>
        <v/>
      </c>
      <c r="E769" s="27" t="str">
        <f>IFERROR(__xludf.DUMMYFUNCTION("IFERROR(ARRAY_CONSTRAIN(SPLIT(INDEX('Daily Raw Data'!G:G,Match($A769,'Daily Raw Data'!$B:$B,0)),"":""),1,1),"""")"),"")</f>
        <v/>
      </c>
      <c r="F769" t="str">
        <f t="array" ref="F769">IFERROR(INDEX('Daily Raw Data'!H:H,Match($A769,'Daily Raw Data'!$B:$B,0)),"")</f>
        <v/>
      </c>
      <c r="G769" t="str">
        <f t="array" ref="G769">IFERROR(INDEX('Daily Raw Data'!I:I,Match($A769,'Daily Raw Data'!$B:$B,0)),"")</f>
        <v/>
      </c>
      <c r="H769" t="str">
        <f t="array" ref="H769">IFERROR(INDEX('Daily Raw Data'!N:N,Match($A769,'Daily Raw Data'!$B:$B,0)),"")</f>
        <v/>
      </c>
      <c r="I769" t="str">
        <f t="array" ref="I769">IFERROR(INDEX('Daily Raw Data'!O:O,Match($A769,'Daily Raw Data'!$B:$B,0)),"")</f>
        <v/>
      </c>
      <c r="J769" t="str">
        <f t="array" ref="J769">IFERROR(INDEX('Daily Raw Data'!S:S,Match($A769,'Daily Raw Data'!$B:$B,0)),"")</f>
        <v/>
      </c>
      <c r="K769" t="str">
        <f t="array" ref="K769">IFERROR(INDEX('Daily Raw Data'!T:T,Match($A769,'Daily Raw Data'!$B:$B,0)),"")</f>
        <v/>
      </c>
      <c r="L769" t="str">
        <f t="array" ref="L769">IFERROR(INDEX('Daily Raw Data'!U:U,Match($A769,'Daily Raw Data'!$B:$B,0)),"")</f>
        <v/>
      </c>
      <c r="M769" t="str">
        <f t="array" ref="M769">IFERROR(INDEX('Daily Raw Data'!V:V,Match($A769,'Daily Raw Data'!$B:$B,0)),"")</f>
        <v/>
      </c>
      <c r="N769" t="str">
        <f t="array" ref="N769">IFERROR(INDEX('Daily Raw Data'!W:W,Match($A769,'Daily Raw Data'!$B:$B,0)),"")</f>
        <v/>
      </c>
      <c r="O769" t="str">
        <f t="array" ref="O769">IFERROR(INDEX('Daily Raw Data'!Y:Y,Match($A769,'Daily Raw Data'!$B:$B,0)),"")</f>
        <v/>
      </c>
      <c r="P769" t="str">
        <f t="shared" si="1"/>
        <v/>
      </c>
      <c r="Q769" s="14" t="str">
        <f t="shared" si="2"/>
        <v/>
      </c>
      <c r="R769" s="15" t="str">
        <f>IFERROR(__xludf.DUMMYFUNCTION("IF($A769="""","""", IFERROR(PERCENTRANK.INC(FILTER(P:P,$E:$E&lt;&gt;""""),P769)*100,""""))"),"")</f>
        <v/>
      </c>
      <c r="S769" s="15" t="str">
        <f>IFERROR(__xludf.DUMMYFUNCTION("IF($A769="""","""",IFERROR(PERCENTRANK.INC(FILTER(Q:Q,$E:$E&lt;&gt;""""),Q769)*100,""""))"),"")</f>
        <v/>
      </c>
    </row>
    <row r="770">
      <c r="B770" t="str">
        <f t="array" ref="B770">IFERROR(INDEX('Player Raw Data'!C:C,Match($A770,'Player Raw Data'!$B:$B,0)),"")</f>
        <v/>
      </c>
      <c r="C770" t="str">
        <f t="array" ref="C770">IFERROR(INDEX('Player Raw Data'!D:D,Match($A770,'Player Raw Data'!$B:$B,0)),"")</f>
        <v/>
      </c>
      <c r="D770" t="str">
        <f t="array" ref="D770">IFERROR(IF(A770=A769, INDEX('Player Raw Data'!E:E,Match($A770,'Player Raw Data'!$B:$B,0)+2),INDEX('Player Raw Data'!E:E,Match($A770,'Player Raw Data'!$B:$B,0))),"")</f>
        <v/>
      </c>
      <c r="E770" s="27" t="str">
        <f>IFERROR(__xludf.DUMMYFUNCTION("IFERROR(ARRAY_CONSTRAIN(SPLIT(INDEX('Daily Raw Data'!G:G,Match($A770,'Daily Raw Data'!$B:$B,0)),"":""),1,1),"""")"),"")</f>
        <v/>
      </c>
      <c r="F770" t="str">
        <f t="array" ref="F770">IFERROR(INDEX('Daily Raw Data'!H:H,Match($A770,'Daily Raw Data'!$B:$B,0)),"")</f>
        <v/>
      </c>
      <c r="G770" t="str">
        <f t="array" ref="G770">IFERROR(INDEX('Daily Raw Data'!I:I,Match($A770,'Daily Raw Data'!$B:$B,0)),"")</f>
        <v/>
      </c>
      <c r="H770" t="str">
        <f t="array" ref="H770">IFERROR(INDEX('Daily Raw Data'!N:N,Match($A770,'Daily Raw Data'!$B:$B,0)),"")</f>
        <v/>
      </c>
      <c r="I770" t="str">
        <f t="array" ref="I770">IFERROR(INDEX('Daily Raw Data'!O:O,Match($A770,'Daily Raw Data'!$B:$B,0)),"")</f>
        <v/>
      </c>
      <c r="J770" t="str">
        <f t="array" ref="J770">IFERROR(INDEX('Daily Raw Data'!S:S,Match($A770,'Daily Raw Data'!$B:$B,0)),"")</f>
        <v/>
      </c>
      <c r="K770" t="str">
        <f t="array" ref="K770">IFERROR(INDEX('Daily Raw Data'!T:T,Match($A770,'Daily Raw Data'!$B:$B,0)),"")</f>
        <v/>
      </c>
      <c r="L770" t="str">
        <f t="array" ref="L770">IFERROR(INDEX('Daily Raw Data'!U:U,Match($A770,'Daily Raw Data'!$B:$B,0)),"")</f>
        <v/>
      </c>
      <c r="M770" t="str">
        <f t="array" ref="M770">IFERROR(INDEX('Daily Raw Data'!V:V,Match($A770,'Daily Raw Data'!$B:$B,0)),"")</f>
        <v/>
      </c>
      <c r="N770" t="str">
        <f t="array" ref="N770">IFERROR(INDEX('Daily Raw Data'!W:W,Match($A770,'Daily Raw Data'!$B:$B,0)),"")</f>
        <v/>
      </c>
      <c r="O770" t="str">
        <f t="array" ref="O770">IFERROR(INDEX('Daily Raw Data'!Y:Y,Match($A770,'Daily Raw Data'!$B:$B,0)),"")</f>
        <v/>
      </c>
      <c r="P770" t="str">
        <f t="shared" si="1"/>
        <v/>
      </c>
      <c r="Q770" s="14" t="str">
        <f t="shared" si="2"/>
        <v/>
      </c>
      <c r="R770" s="15" t="str">
        <f>IFERROR(__xludf.DUMMYFUNCTION("IF($A770="""","""", IFERROR(PERCENTRANK.INC(FILTER(P:P,$E:$E&lt;&gt;""""),P770)*100,""""))"),"")</f>
        <v/>
      </c>
      <c r="S770" s="15" t="str">
        <f>IFERROR(__xludf.DUMMYFUNCTION("IF($A770="""","""",IFERROR(PERCENTRANK.INC(FILTER(Q:Q,$E:$E&lt;&gt;""""),Q770)*100,""""))"),"")</f>
        <v/>
      </c>
    </row>
    <row r="771">
      <c r="B771" t="str">
        <f t="array" ref="B771">IFERROR(INDEX('Player Raw Data'!C:C,Match($A771,'Player Raw Data'!$B:$B,0)),"")</f>
        <v/>
      </c>
      <c r="C771" t="str">
        <f t="array" ref="C771">IFERROR(INDEX('Player Raw Data'!D:D,Match($A771,'Player Raw Data'!$B:$B,0)),"")</f>
        <v/>
      </c>
      <c r="D771" t="str">
        <f t="array" ref="D771">IFERROR(IF(A771=A770, INDEX('Player Raw Data'!E:E,Match($A771,'Player Raw Data'!$B:$B,0)+2),INDEX('Player Raw Data'!E:E,Match($A771,'Player Raw Data'!$B:$B,0))),"")</f>
        <v/>
      </c>
      <c r="E771" s="27" t="str">
        <f>IFERROR(__xludf.DUMMYFUNCTION("IFERROR(ARRAY_CONSTRAIN(SPLIT(INDEX('Daily Raw Data'!G:G,Match($A771,'Daily Raw Data'!$B:$B,0)),"":""),1,1),"""")"),"")</f>
        <v/>
      </c>
      <c r="F771" t="str">
        <f t="array" ref="F771">IFERROR(INDEX('Daily Raw Data'!H:H,Match($A771,'Daily Raw Data'!$B:$B,0)),"")</f>
        <v/>
      </c>
      <c r="G771" t="str">
        <f t="array" ref="G771">IFERROR(INDEX('Daily Raw Data'!I:I,Match($A771,'Daily Raw Data'!$B:$B,0)),"")</f>
        <v/>
      </c>
      <c r="H771" t="str">
        <f t="array" ref="H771">IFERROR(INDEX('Daily Raw Data'!N:N,Match($A771,'Daily Raw Data'!$B:$B,0)),"")</f>
        <v/>
      </c>
      <c r="I771" t="str">
        <f t="array" ref="I771">IFERROR(INDEX('Daily Raw Data'!O:O,Match($A771,'Daily Raw Data'!$B:$B,0)),"")</f>
        <v/>
      </c>
      <c r="J771" t="str">
        <f t="array" ref="J771">IFERROR(INDEX('Daily Raw Data'!S:S,Match($A771,'Daily Raw Data'!$B:$B,0)),"")</f>
        <v/>
      </c>
      <c r="K771" t="str">
        <f t="array" ref="K771">IFERROR(INDEX('Daily Raw Data'!T:T,Match($A771,'Daily Raw Data'!$B:$B,0)),"")</f>
        <v/>
      </c>
      <c r="L771" t="str">
        <f t="array" ref="L771">IFERROR(INDEX('Daily Raw Data'!U:U,Match($A771,'Daily Raw Data'!$B:$B,0)),"")</f>
        <v/>
      </c>
      <c r="M771" t="str">
        <f t="array" ref="M771">IFERROR(INDEX('Daily Raw Data'!V:V,Match($A771,'Daily Raw Data'!$B:$B,0)),"")</f>
        <v/>
      </c>
      <c r="N771" t="str">
        <f t="array" ref="N771">IFERROR(INDEX('Daily Raw Data'!W:W,Match($A771,'Daily Raw Data'!$B:$B,0)),"")</f>
        <v/>
      </c>
      <c r="O771" t="str">
        <f t="array" ref="O771">IFERROR(INDEX('Daily Raw Data'!Y:Y,Match($A771,'Daily Raw Data'!$B:$B,0)),"")</f>
        <v/>
      </c>
      <c r="P771" t="str">
        <f t="shared" si="1"/>
        <v/>
      </c>
      <c r="Q771" s="14" t="str">
        <f t="shared" si="2"/>
        <v/>
      </c>
      <c r="R771" s="15" t="str">
        <f>IFERROR(__xludf.DUMMYFUNCTION("IF($A771="""","""", IFERROR(PERCENTRANK.INC(FILTER(P:P,$E:$E&lt;&gt;""""),P771)*100,""""))"),"")</f>
        <v/>
      </c>
      <c r="S771" s="15" t="str">
        <f>IFERROR(__xludf.DUMMYFUNCTION("IF($A771="""","""",IFERROR(PERCENTRANK.INC(FILTER(Q:Q,$E:$E&lt;&gt;""""),Q771)*100,""""))"),"")</f>
        <v/>
      </c>
    </row>
    <row r="772">
      <c r="B772" t="str">
        <f t="array" ref="B772">IFERROR(INDEX('Player Raw Data'!C:C,Match($A772,'Player Raw Data'!$B:$B,0)),"")</f>
        <v/>
      </c>
      <c r="C772" t="str">
        <f t="array" ref="C772">IFERROR(INDEX('Player Raw Data'!D:D,Match($A772,'Player Raw Data'!$B:$B,0)),"")</f>
        <v/>
      </c>
      <c r="D772" t="str">
        <f t="array" ref="D772">IFERROR(IF(A772=A771, INDEX('Player Raw Data'!E:E,Match($A772,'Player Raw Data'!$B:$B,0)+2),INDEX('Player Raw Data'!E:E,Match($A772,'Player Raw Data'!$B:$B,0))),"")</f>
        <v/>
      </c>
      <c r="E772" s="27" t="str">
        <f>IFERROR(__xludf.DUMMYFUNCTION("IFERROR(ARRAY_CONSTRAIN(SPLIT(INDEX('Daily Raw Data'!G:G,Match($A772,'Daily Raw Data'!$B:$B,0)),"":""),1,1),"""")"),"")</f>
        <v/>
      </c>
      <c r="F772" t="str">
        <f t="array" ref="F772">IFERROR(INDEX('Daily Raw Data'!H:H,Match($A772,'Daily Raw Data'!$B:$B,0)),"")</f>
        <v/>
      </c>
      <c r="G772" t="str">
        <f t="array" ref="G772">IFERROR(INDEX('Daily Raw Data'!I:I,Match($A772,'Daily Raw Data'!$B:$B,0)),"")</f>
        <v/>
      </c>
      <c r="H772" t="str">
        <f t="array" ref="H772">IFERROR(INDEX('Daily Raw Data'!N:N,Match($A772,'Daily Raw Data'!$B:$B,0)),"")</f>
        <v/>
      </c>
      <c r="I772" t="str">
        <f t="array" ref="I772">IFERROR(INDEX('Daily Raw Data'!O:O,Match($A772,'Daily Raw Data'!$B:$B,0)),"")</f>
        <v/>
      </c>
      <c r="J772" t="str">
        <f t="array" ref="J772">IFERROR(INDEX('Daily Raw Data'!S:S,Match($A772,'Daily Raw Data'!$B:$B,0)),"")</f>
        <v/>
      </c>
      <c r="K772" t="str">
        <f t="array" ref="K772">IFERROR(INDEX('Daily Raw Data'!T:T,Match($A772,'Daily Raw Data'!$B:$B,0)),"")</f>
        <v/>
      </c>
      <c r="L772" t="str">
        <f t="array" ref="L772">IFERROR(INDEX('Daily Raw Data'!U:U,Match($A772,'Daily Raw Data'!$B:$B,0)),"")</f>
        <v/>
      </c>
      <c r="M772" t="str">
        <f t="array" ref="M772">IFERROR(INDEX('Daily Raw Data'!V:V,Match($A772,'Daily Raw Data'!$B:$B,0)),"")</f>
        <v/>
      </c>
      <c r="N772" t="str">
        <f t="array" ref="N772">IFERROR(INDEX('Daily Raw Data'!W:W,Match($A772,'Daily Raw Data'!$B:$B,0)),"")</f>
        <v/>
      </c>
      <c r="O772" t="str">
        <f t="array" ref="O772">IFERROR(INDEX('Daily Raw Data'!Y:Y,Match($A772,'Daily Raw Data'!$B:$B,0)),"")</f>
        <v/>
      </c>
      <c r="P772" t="str">
        <f t="shared" si="1"/>
        <v/>
      </c>
      <c r="Q772" s="14" t="str">
        <f t="shared" si="2"/>
        <v/>
      </c>
      <c r="R772" s="15" t="str">
        <f>IFERROR(__xludf.DUMMYFUNCTION("IF($A772="""","""", IFERROR(PERCENTRANK.INC(FILTER(P:P,$E:$E&lt;&gt;""""),P772)*100,""""))"),"")</f>
        <v/>
      </c>
      <c r="S772" s="15" t="str">
        <f>IFERROR(__xludf.DUMMYFUNCTION("IF($A772="""","""",IFERROR(PERCENTRANK.INC(FILTER(Q:Q,$E:$E&lt;&gt;""""),Q772)*100,""""))"),"")</f>
        <v/>
      </c>
    </row>
    <row r="773">
      <c r="B773" t="str">
        <f t="array" ref="B773">IFERROR(INDEX('Player Raw Data'!C:C,Match($A773,'Player Raw Data'!$B:$B,0)),"")</f>
        <v/>
      </c>
      <c r="C773" t="str">
        <f t="array" ref="C773">IFERROR(INDEX('Player Raw Data'!D:D,Match($A773,'Player Raw Data'!$B:$B,0)),"")</f>
        <v/>
      </c>
      <c r="D773" t="str">
        <f t="array" ref="D773">IFERROR(IF(A773=A772, INDEX('Player Raw Data'!E:E,Match($A773,'Player Raw Data'!$B:$B,0)+2),INDEX('Player Raw Data'!E:E,Match($A773,'Player Raw Data'!$B:$B,0))),"")</f>
        <v/>
      </c>
      <c r="E773" s="27" t="str">
        <f>IFERROR(__xludf.DUMMYFUNCTION("IFERROR(ARRAY_CONSTRAIN(SPLIT(INDEX('Daily Raw Data'!G:G,Match($A773,'Daily Raw Data'!$B:$B,0)),"":""),1,1),"""")"),"")</f>
        <v/>
      </c>
      <c r="F773" t="str">
        <f t="array" ref="F773">IFERROR(INDEX('Daily Raw Data'!H:H,Match($A773,'Daily Raw Data'!$B:$B,0)),"")</f>
        <v/>
      </c>
      <c r="G773" t="str">
        <f t="array" ref="G773">IFERROR(INDEX('Daily Raw Data'!I:I,Match($A773,'Daily Raw Data'!$B:$B,0)),"")</f>
        <v/>
      </c>
      <c r="H773" t="str">
        <f t="array" ref="H773">IFERROR(INDEX('Daily Raw Data'!N:N,Match($A773,'Daily Raw Data'!$B:$B,0)),"")</f>
        <v/>
      </c>
      <c r="I773" t="str">
        <f t="array" ref="I773">IFERROR(INDEX('Daily Raw Data'!O:O,Match($A773,'Daily Raw Data'!$B:$B,0)),"")</f>
        <v/>
      </c>
      <c r="J773" t="str">
        <f t="array" ref="J773">IFERROR(INDEX('Daily Raw Data'!S:S,Match($A773,'Daily Raw Data'!$B:$B,0)),"")</f>
        <v/>
      </c>
      <c r="K773" t="str">
        <f t="array" ref="K773">IFERROR(INDEX('Daily Raw Data'!T:T,Match($A773,'Daily Raw Data'!$B:$B,0)),"")</f>
        <v/>
      </c>
      <c r="L773" t="str">
        <f t="array" ref="L773">IFERROR(INDEX('Daily Raw Data'!U:U,Match($A773,'Daily Raw Data'!$B:$B,0)),"")</f>
        <v/>
      </c>
      <c r="M773" t="str">
        <f t="array" ref="M773">IFERROR(INDEX('Daily Raw Data'!V:V,Match($A773,'Daily Raw Data'!$B:$B,0)),"")</f>
        <v/>
      </c>
      <c r="N773" t="str">
        <f t="array" ref="N773">IFERROR(INDEX('Daily Raw Data'!W:W,Match($A773,'Daily Raw Data'!$B:$B,0)),"")</f>
        <v/>
      </c>
      <c r="O773" t="str">
        <f t="array" ref="O773">IFERROR(INDEX('Daily Raw Data'!Y:Y,Match($A773,'Daily Raw Data'!$B:$B,0)),"")</f>
        <v/>
      </c>
      <c r="P773" t="str">
        <f t="shared" si="1"/>
        <v/>
      </c>
      <c r="Q773" s="14" t="str">
        <f t="shared" si="2"/>
        <v/>
      </c>
      <c r="R773" s="15" t="str">
        <f>IFERROR(__xludf.DUMMYFUNCTION("IF($A773="""","""", IFERROR(PERCENTRANK.INC(FILTER(P:P,$E:$E&lt;&gt;""""),P773)*100,""""))"),"")</f>
        <v/>
      </c>
      <c r="S773" s="15" t="str">
        <f>IFERROR(__xludf.DUMMYFUNCTION("IF($A773="""","""",IFERROR(PERCENTRANK.INC(FILTER(Q:Q,$E:$E&lt;&gt;""""),Q773)*100,""""))"),"")</f>
        <v/>
      </c>
    </row>
    <row r="774">
      <c r="B774" t="str">
        <f t="array" ref="B774">IFERROR(INDEX('Player Raw Data'!C:C,Match($A774,'Player Raw Data'!$B:$B,0)),"")</f>
        <v/>
      </c>
      <c r="C774" t="str">
        <f t="array" ref="C774">IFERROR(INDEX('Player Raw Data'!D:D,Match($A774,'Player Raw Data'!$B:$B,0)),"")</f>
        <v/>
      </c>
      <c r="D774" t="str">
        <f t="array" ref="D774">IFERROR(IF(A774=A773, INDEX('Player Raw Data'!E:E,Match($A774,'Player Raw Data'!$B:$B,0)+2),INDEX('Player Raw Data'!E:E,Match($A774,'Player Raw Data'!$B:$B,0))),"")</f>
        <v/>
      </c>
      <c r="E774" s="27" t="str">
        <f>IFERROR(__xludf.DUMMYFUNCTION("IFERROR(ARRAY_CONSTRAIN(SPLIT(INDEX('Daily Raw Data'!G:G,Match($A774,'Daily Raw Data'!$B:$B,0)),"":""),1,1),"""")"),"")</f>
        <v/>
      </c>
      <c r="F774" t="str">
        <f t="array" ref="F774">IFERROR(INDEX('Daily Raw Data'!H:H,Match($A774,'Daily Raw Data'!$B:$B,0)),"")</f>
        <v/>
      </c>
      <c r="G774" t="str">
        <f t="array" ref="G774">IFERROR(INDEX('Daily Raw Data'!I:I,Match($A774,'Daily Raw Data'!$B:$B,0)),"")</f>
        <v/>
      </c>
      <c r="H774" t="str">
        <f t="array" ref="H774">IFERROR(INDEX('Daily Raw Data'!N:N,Match($A774,'Daily Raw Data'!$B:$B,0)),"")</f>
        <v/>
      </c>
      <c r="I774" t="str">
        <f t="array" ref="I774">IFERROR(INDEX('Daily Raw Data'!O:O,Match($A774,'Daily Raw Data'!$B:$B,0)),"")</f>
        <v/>
      </c>
      <c r="J774" t="str">
        <f t="array" ref="J774">IFERROR(INDEX('Daily Raw Data'!S:S,Match($A774,'Daily Raw Data'!$B:$B,0)),"")</f>
        <v/>
      </c>
      <c r="K774" t="str">
        <f t="array" ref="K774">IFERROR(INDEX('Daily Raw Data'!T:T,Match($A774,'Daily Raw Data'!$B:$B,0)),"")</f>
        <v/>
      </c>
      <c r="L774" t="str">
        <f t="array" ref="L774">IFERROR(INDEX('Daily Raw Data'!U:U,Match($A774,'Daily Raw Data'!$B:$B,0)),"")</f>
        <v/>
      </c>
      <c r="M774" t="str">
        <f t="array" ref="M774">IFERROR(INDEX('Daily Raw Data'!V:V,Match($A774,'Daily Raw Data'!$B:$B,0)),"")</f>
        <v/>
      </c>
      <c r="N774" t="str">
        <f t="array" ref="N774">IFERROR(INDEX('Daily Raw Data'!W:W,Match($A774,'Daily Raw Data'!$B:$B,0)),"")</f>
        <v/>
      </c>
      <c r="O774" t="str">
        <f t="array" ref="O774">IFERROR(INDEX('Daily Raw Data'!Y:Y,Match($A774,'Daily Raw Data'!$B:$B,0)),"")</f>
        <v/>
      </c>
      <c r="P774" t="str">
        <f t="shared" si="1"/>
        <v/>
      </c>
      <c r="Q774" s="14" t="str">
        <f t="shared" si="2"/>
        <v/>
      </c>
      <c r="R774" s="15" t="str">
        <f>IFERROR(__xludf.DUMMYFUNCTION("IF($A774="""","""", IFERROR(PERCENTRANK.INC(FILTER(P:P,$E:$E&lt;&gt;""""),P774)*100,""""))"),"")</f>
        <v/>
      </c>
      <c r="S774" s="15" t="str">
        <f>IFERROR(__xludf.DUMMYFUNCTION("IF($A774="""","""",IFERROR(PERCENTRANK.INC(FILTER(Q:Q,$E:$E&lt;&gt;""""),Q774)*100,""""))"),"")</f>
        <v/>
      </c>
    </row>
    <row r="775">
      <c r="B775" t="str">
        <f t="array" ref="B775">IFERROR(INDEX('Player Raw Data'!C:C,Match($A775,'Player Raw Data'!$B:$B,0)),"")</f>
        <v/>
      </c>
      <c r="C775" t="str">
        <f t="array" ref="C775">IFERROR(INDEX('Player Raw Data'!D:D,Match($A775,'Player Raw Data'!$B:$B,0)),"")</f>
        <v/>
      </c>
      <c r="D775" t="str">
        <f t="array" ref="D775">IFERROR(IF(A775=A774, INDEX('Player Raw Data'!E:E,Match($A775,'Player Raw Data'!$B:$B,0)+2),INDEX('Player Raw Data'!E:E,Match($A775,'Player Raw Data'!$B:$B,0))),"")</f>
        <v/>
      </c>
      <c r="E775" s="27" t="str">
        <f>IFERROR(__xludf.DUMMYFUNCTION("IFERROR(ARRAY_CONSTRAIN(SPLIT(INDEX('Daily Raw Data'!G:G,Match($A775,'Daily Raw Data'!$B:$B,0)),"":""),1,1),"""")"),"")</f>
        <v/>
      </c>
      <c r="F775" t="str">
        <f t="array" ref="F775">IFERROR(INDEX('Daily Raw Data'!H:H,Match($A775,'Daily Raw Data'!$B:$B,0)),"")</f>
        <v/>
      </c>
      <c r="G775" t="str">
        <f t="array" ref="G775">IFERROR(INDEX('Daily Raw Data'!I:I,Match($A775,'Daily Raw Data'!$B:$B,0)),"")</f>
        <v/>
      </c>
      <c r="H775" t="str">
        <f t="array" ref="H775">IFERROR(INDEX('Daily Raw Data'!N:N,Match($A775,'Daily Raw Data'!$B:$B,0)),"")</f>
        <v/>
      </c>
      <c r="I775" t="str">
        <f t="array" ref="I775">IFERROR(INDEX('Daily Raw Data'!O:O,Match($A775,'Daily Raw Data'!$B:$B,0)),"")</f>
        <v/>
      </c>
      <c r="J775" t="str">
        <f t="array" ref="J775">IFERROR(INDEX('Daily Raw Data'!S:S,Match($A775,'Daily Raw Data'!$B:$B,0)),"")</f>
        <v/>
      </c>
      <c r="K775" t="str">
        <f t="array" ref="K775">IFERROR(INDEX('Daily Raw Data'!T:T,Match($A775,'Daily Raw Data'!$B:$B,0)),"")</f>
        <v/>
      </c>
      <c r="L775" t="str">
        <f t="array" ref="L775">IFERROR(INDEX('Daily Raw Data'!U:U,Match($A775,'Daily Raw Data'!$B:$B,0)),"")</f>
        <v/>
      </c>
      <c r="M775" t="str">
        <f t="array" ref="M775">IFERROR(INDEX('Daily Raw Data'!V:V,Match($A775,'Daily Raw Data'!$B:$B,0)),"")</f>
        <v/>
      </c>
      <c r="N775" t="str">
        <f t="array" ref="N775">IFERROR(INDEX('Daily Raw Data'!W:W,Match($A775,'Daily Raw Data'!$B:$B,0)),"")</f>
        <v/>
      </c>
      <c r="O775" t="str">
        <f t="array" ref="O775">IFERROR(INDEX('Daily Raw Data'!Y:Y,Match($A775,'Daily Raw Data'!$B:$B,0)),"")</f>
        <v/>
      </c>
      <c r="P775" t="str">
        <f t="shared" si="1"/>
        <v/>
      </c>
      <c r="Q775" s="14" t="str">
        <f t="shared" si="2"/>
        <v/>
      </c>
      <c r="R775" s="15" t="str">
        <f>IFERROR(__xludf.DUMMYFUNCTION("IF($A775="""","""", IFERROR(PERCENTRANK.INC(FILTER(P:P,$E:$E&lt;&gt;""""),P775)*100,""""))"),"")</f>
        <v/>
      </c>
      <c r="S775" s="15" t="str">
        <f>IFERROR(__xludf.DUMMYFUNCTION("IF($A775="""","""",IFERROR(PERCENTRANK.INC(FILTER(Q:Q,$E:$E&lt;&gt;""""),Q775)*100,""""))"),"")</f>
        <v/>
      </c>
    </row>
    <row r="776">
      <c r="B776" t="str">
        <f t="array" ref="B776">IFERROR(INDEX('Player Raw Data'!C:C,Match($A776,'Player Raw Data'!$B:$B,0)),"")</f>
        <v/>
      </c>
      <c r="C776" t="str">
        <f t="array" ref="C776">IFERROR(INDEX('Player Raw Data'!D:D,Match($A776,'Player Raw Data'!$B:$B,0)),"")</f>
        <v/>
      </c>
      <c r="D776" t="str">
        <f t="array" ref="D776">IFERROR(IF(A776=A775, INDEX('Player Raw Data'!E:E,Match($A776,'Player Raw Data'!$B:$B,0)+2),INDEX('Player Raw Data'!E:E,Match($A776,'Player Raw Data'!$B:$B,0))),"")</f>
        <v/>
      </c>
      <c r="E776" s="27" t="str">
        <f>IFERROR(__xludf.DUMMYFUNCTION("IFERROR(ARRAY_CONSTRAIN(SPLIT(INDEX('Daily Raw Data'!G:G,Match($A776,'Daily Raw Data'!$B:$B,0)),"":""),1,1),"""")"),"")</f>
        <v/>
      </c>
      <c r="F776" t="str">
        <f t="array" ref="F776">IFERROR(INDEX('Daily Raw Data'!H:H,Match($A776,'Daily Raw Data'!$B:$B,0)),"")</f>
        <v/>
      </c>
      <c r="G776" t="str">
        <f t="array" ref="G776">IFERROR(INDEX('Daily Raw Data'!I:I,Match($A776,'Daily Raw Data'!$B:$B,0)),"")</f>
        <v/>
      </c>
      <c r="H776" t="str">
        <f t="array" ref="H776">IFERROR(INDEX('Daily Raw Data'!N:N,Match($A776,'Daily Raw Data'!$B:$B,0)),"")</f>
        <v/>
      </c>
      <c r="I776" t="str">
        <f t="array" ref="I776">IFERROR(INDEX('Daily Raw Data'!O:O,Match($A776,'Daily Raw Data'!$B:$B,0)),"")</f>
        <v/>
      </c>
      <c r="J776" t="str">
        <f t="array" ref="J776">IFERROR(INDEX('Daily Raw Data'!S:S,Match($A776,'Daily Raw Data'!$B:$B,0)),"")</f>
        <v/>
      </c>
      <c r="K776" t="str">
        <f t="array" ref="K776">IFERROR(INDEX('Daily Raw Data'!T:T,Match($A776,'Daily Raw Data'!$B:$B,0)),"")</f>
        <v/>
      </c>
      <c r="L776" t="str">
        <f t="array" ref="L776">IFERROR(INDEX('Daily Raw Data'!U:U,Match($A776,'Daily Raw Data'!$B:$B,0)),"")</f>
        <v/>
      </c>
      <c r="M776" t="str">
        <f t="array" ref="M776">IFERROR(INDEX('Daily Raw Data'!V:V,Match($A776,'Daily Raw Data'!$B:$B,0)),"")</f>
        <v/>
      </c>
      <c r="N776" t="str">
        <f t="array" ref="N776">IFERROR(INDEX('Daily Raw Data'!W:W,Match($A776,'Daily Raw Data'!$B:$B,0)),"")</f>
        <v/>
      </c>
      <c r="O776" t="str">
        <f t="array" ref="O776">IFERROR(INDEX('Daily Raw Data'!Y:Y,Match($A776,'Daily Raw Data'!$B:$B,0)),"")</f>
        <v/>
      </c>
      <c r="P776" t="str">
        <f t="shared" si="1"/>
        <v/>
      </c>
      <c r="Q776" s="14" t="str">
        <f t="shared" si="2"/>
        <v/>
      </c>
      <c r="R776" s="15" t="str">
        <f>IFERROR(__xludf.DUMMYFUNCTION("IF($A776="""","""", IFERROR(PERCENTRANK.INC(FILTER(P:P,$E:$E&lt;&gt;""""),P776)*100,""""))"),"")</f>
        <v/>
      </c>
      <c r="S776" s="15" t="str">
        <f>IFERROR(__xludf.DUMMYFUNCTION("IF($A776="""","""",IFERROR(PERCENTRANK.INC(FILTER(Q:Q,$E:$E&lt;&gt;""""),Q776)*100,""""))"),"")</f>
        <v/>
      </c>
    </row>
    <row r="777">
      <c r="B777" t="str">
        <f t="array" ref="B777">IFERROR(INDEX('Player Raw Data'!C:C,Match($A777,'Player Raw Data'!$B:$B,0)),"")</f>
        <v/>
      </c>
      <c r="C777" t="str">
        <f t="array" ref="C777">IFERROR(INDEX('Player Raw Data'!D:D,Match($A777,'Player Raw Data'!$B:$B,0)),"")</f>
        <v/>
      </c>
      <c r="D777" t="str">
        <f t="array" ref="D777">IFERROR(IF(A777=A776, INDEX('Player Raw Data'!E:E,Match($A777,'Player Raw Data'!$B:$B,0)+2),INDEX('Player Raw Data'!E:E,Match($A777,'Player Raw Data'!$B:$B,0))),"")</f>
        <v/>
      </c>
      <c r="E777" s="27" t="str">
        <f>IFERROR(__xludf.DUMMYFUNCTION("IFERROR(ARRAY_CONSTRAIN(SPLIT(INDEX('Daily Raw Data'!G:G,Match($A777,'Daily Raw Data'!$B:$B,0)),"":""),1,1),"""")"),"")</f>
        <v/>
      </c>
      <c r="F777" t="str">
        <f t="array" ref="F777">IFERROR(INDEX('Daily Raw Data'!H:H,Match($A777,'Daily Raw Data'!$B:$B,0)),"")</f>
        <v/>
      </c>
      <c r="G777" t="str">
        <f t="array" ref="G777">IFERROR(INDEX('Daily Raw Data'!I:I,Match($A777,'Daily Raw Data'!$B:$B,0)),"")</f>
        <v/>
      </c>
      <c r="H777" t="str">
        <f t="array" ref="H777">IFERROR(INDEX('Daily Raw Data'!N:N,Match($A777,'Daily Raw Data'!$B:$B,0)),"")</f>
        <v/>
      </c>
      <c r="I777" t="str">
        <f t="array" ref="I777">IFERROR(INDEX('Daily Raw Data'!O:O,Match($A777,'Daily Raw Data'!$B:$B,0)),"")</f>
        <v/>
      </c>
      <c r="J777" t="str">
        <f t="array" ref="J777">IFERROR(INDEX('Daily Raw Data'!S:S,Match($A777,'Daily Raw Data'!$B:$B,0)),"")</f>
        <v/>
      </c>
      <c r="K777" t="str">
        <f t="array" ref="K777">IFERROR(INDEX('Daily Raw Data'!T:T,Match($A777,'Daily Raw Data'!$B:$B,0)),"")</f>
        <v/>
      </c>
      <c r="L777" t="str">
        <f t="array" ref="L777">IFERROR(INDEX('Daily Raw Data'!U:U,Match($A777,'Daily Raw Data'!$B:$B,0)),"")</f>
        <v/>
      </c>
      <c r="M777" t="str">
        <f t="array" ref="M777">IFERROR(INDEX('Daily Raw Data'!V:V,Match($A777,'Daily Raw Data'!$B:$B,0)),"")</f>
        <v/>
      </c>
      <c r="N777" t="str">
        <f t="array" ref="N777">IFERROR(INDEX('Daily Raw Data'!W:W,Match($A777,'Daily Raw Data'!$B:$B,0)),"")</f>
        <v/>
      </c>
      <c r="O777" t="str">
        <f t="array" ref="O777">IFERROR(INDEX('Daily Raw Data'!Y:Y,Match($A777,'Daily Raw Data'!$B:$B,0)),"")</f>
        <v/>
      </c>
      <c r="P777" t="str">
        <f t="shared" si="1"/>
        <v/>
      </c>
      <c r="Q777" s="14" t="str">
        <f t="shared" si="2"/>
        <v/>
      </c>
      <c r="R777" s="15" t="str">
        <f>IFERROR(__xludf.DUMMYFUNCTION("IF($A777="""","""", IFERROR(PERCENTRANK.INC(FILTER(P:P,$E:$E&lt;&gt;""""),P777)*100,""""))"),"")</f>
        <v/>
      </c>
      <c r="S777" s="15" t="str">
        <f>IFERROR(__xludf.DUMMYFUNCTION("IF($A777="""","""",IFERROR(PERCENTRANK.INC(FILTER(Q:Q,$E:$E&lt;&gt;""""),Q777)*100,""""))"),"")</f>
        <v/>
      </c>
    </row>
    <row r="778">
      <c r="B778" t="str">
        <f t="array" ref="B778">IFERROR(INDEX('Player Raw Data'!C:C,Match($A778,'Player Raw Data'!$B:$B,0)),"")</f>
        <v/>
      </c>
      <c r="C778" t="str">
        <f t="array" ref="C778">IFERROR(INDEX('Player Raw Data'!D:D,Match($A778,'Player Raw Data'!$B:$B,0)),"")</f>
        <v/>
      </c>
      <c r="D778" t="str">
        <f t="array" ref="D778">IFERROR(IF(A778=A777, INDEX('Player Raw Data'!E:E,Match($A778,'Player Raw Data'!$B:$B,0)+2),INDEX('Player Raw Data'!E:E,Match($A778,'Player Raw Data'!$B:$B,0))),"")</f>
        <v/>
      </c>
      <c r="E778" s="27" t="str">
        <f>IFERROR(__xludf.DUMMYFUNCTION("IFERROR(ARRAY_CONSTRAIN(SPLIT(INDEX('Daily Raw Data'!G:G,Match($A778,'Daily Raw Data'!$B:$B,0)),"":""),1,1),"""")"),"")</f>
        <v/>
      </c>
      <c r="F778" t="str">
        <f t="array" ref="F778">IFERROR(INDEX('Daily Raw Data'!H:H,Match($A778,'Daily Raw Data'!$B:$B,0)),"")</f>
        <v/>
      </c>
      <c r="G778" t="str">
        <f t="array" ref="G778">IFERROR(INDEX('Daily Raw Data'!I:I,Match($A778,'Daily Raw Data'!$B:$B,0)),"")</f>
        <v/>
      </c>
      <c r="H778" t="str">
        <f t="array" ref="H778">IFERROR(INDEX('Daily Raw Data'!N:N,Match($A778,'Daily Raw Data'!$B:$B,0)),"")</f>
        <v/>
      </c>
      <c r="I778" t="str">
        <f t="array" ref="I778">IFERROR(INDEX('Daily Raw Data'!O:O,Match($A778,'Daily Raw Data'!$B:$B,0)),"")</f>
        <v/>
      </c>
      <c r="J778" t="str">
        <f t="array" ref="J778">IFERROR(INDEX('Daily Raw Data'!S:S,Match($A778,'Daily Raw Data'!$B:$B,0)),"")</f>
        <v/>
      </c>
      <c r="K778" t="str">
        <f t="array" ref="K778">IFERROR(INDEX('Daily Raw Data'!T:T,Match($A778,'Daily Raw Data'!$B:$B,0)),"")</f>
        <v/>
      </c>
      <c r="L778" t="str">
        <f t="array" ref="L778">IFERROR(INDEX('Daily Raw Data'!U:U,Match($A778,'Daily Raw Data'!$B:$B,0)),"")</f>
        <v/>
      </c>
      <c r="M778" t="str">
        <f t="array" ref="M778">IFERROR(INDEX('Daily Raw Data'!V:V,Match($A778,'Daily Raw Data'!$B:$B,0)),"")</f>
        <v/>
      </c>
      <c r="N778" t="str">
        <f t="array" ref="N778">IFERROR(INDEX('Daily Raw Data'!W:W,Match($A778,'Daily Raw Data'!$B:$B,0)),"")</f>
        <v/>
      </c>
      <c r="O778" t="str">
        <f t="array" ref="O778">IFERROR(INDEX('Daily Raw Data'!Y:Y,Match($A778,'Daily Raw Data'!$B:$B,0)),"")</f>
        <v/>
      </c>
      <c r="P778" t="str">
        <f t="shared" si="1"/>
        <v/>
      </c>
      <c r="Q778" s="14" t="str">
        <f t="shared" si="2"/>
        <v/>
      </c>
      <c r="R778" s="15" t="str">
        <f>IFERROR(__xludf.DUMMYFUNCTION("IF($A778="""","""", IFERROR(PERCENTRANK.INC(FILTER(P:P,$E:$E&lt;&gt;""""),P778)*100,""""))"),"")</f>
        <v/>
      </c>
      <c r="S778" s="15" t="str">
        <f>IFERROR(__xludf.DUMMYFUNCTION("IF($A778="""","""",IFERROR(PERCENTRANK.INC(FILTER(Q:Q,$E:$E&lt;&gt;""""),Q778)*100,""""))"),"")</f>
        <v/>
      </c>
    </row>
    <row r="779">
      <c r="B779" t="str">
        <f t="array" ref="B779">IFERROR(INDEX('Player Raw Data'!C:C,Match($A779,'Player Raw Data'!$B:$B,0)),"")</f>
        <v/>
      </c>
      <c r="C779" t="str">
        <f t="array" ref="C779">IFERROR(INDEX('Player Raw Data'!D:D,Match($A779,'Player Raw Data'!$B:$B,0)),"")</f>
        <v/>
      </c>
      <c r="D779" t="str">
        <f t="array" ref="D779">IFERROR(IF(A779=A778, INDEX('Player Raw Data'!E:E,Match($A779,'Player Raw Data'!$B:$B,0)+2),INDEX('Player Raw Data'!E:E,Match($A779,'Player Raw Data'!$B:$B,0))),"")</f>
        <v/>
      </c>
      <c r="E779" s="27" t="str">
        <f>IFERROR(__xludf.DUMMYFUNCTION("IFERROR(ARRAY_CONSTRAIN(SPLIT(INDEX('Daily Raw Data'!G:G,Match($A779,'Daily Raw Data'!$B:$B,0)),"":""),1,1),"""")"),"")</f>
        <v/>
      </c>
      <c r="F779" t="str">
        <f t="array" ref="F779">IFERROR(INDEX('Daily Raw Data'!H:H,Match($A779,'Daily Raw Data'!$B:$B,0)),"")</f>
        <v/>
      </c>
      <c r="G779" t="str">
        <f t="array" ref="G779">IFERROR(INDEX('Daily Raw Data'!I:I,Match($A779,'Daily Raw Data'!$B:$B,0)),"")</f>
        <v/>
      </c>
      <c r="H779" t="str">
        <f t="array" ref="H779">IFERROR(INDEX('Daily Raw Data'!N:N,Match($A779,'Daily Raw Data'!$B:$B,0)),"")</f>
        <v/>
      </c>
      <c r="I779" t="str">
        <f t="array" ref="I779">IFERROR(INDEX('Daily Raw Data'!O:O,Match($A779,'Daily Raw Data'!$B:$B,0)),"")</f>
        <v/>
      </c>
      <c r="J779" t="str">
        <f t="array" ref="J779">IFERROR(INDEX('Daily Raw Data'!S:S,Match($A779,'Daily Raw Data'!$B:$B,0)),"")</f>
        <v/>
      </c>
      <c r="K779" t="str">
        <f t="array" ref="K779">IFERROR(INDEX('Daily Raw Data'!T:T,Match($A779,'Daily Raw Data'!$B:$B,0)),"")</f>
        <v/>
      </c>
      <c r="L779" t="str">
        <f t="array" ref="L779">IFERROR(INDEX('Daily Raw Data'!U:U,Match($A779,'Daily Raw Data'!$B:$B,0)),"")</f>
        <v/>
      </c>
      <c r="M779" t="str">
        <f t="array" ref="M779">IFERROR(INDEX('Daily Raw Data'!V:V,Match($A779,'Daily Raw Data'!$B:$B,0)),"")</f>
        <v/>
      </c>
      <c r="N779" t="str">
        <f t="array" ref="N779">IFERROR(INDEX('Daily Raw Data'!W:W,Match($A779,'Daily Raw Data'!$B:$B,0)),"")</f>
        <v/>
      </c>
      <c r="O779" t="str">
        <f t="array" ref="O779">IFERROR(INDEX('Daily Raw Data'!Y:Y,Match($A779,'Daily Raw Data'!$B:$B,0)),"")</f>
        <v/>
      </c>
      <c r="P779" t="str">
        <f t="shared" si="1"/>
        <v/>
      </c>
      <c r="Q779" s="14" t="str">
        <f t="shared" si="2"/>
        <v/>
      </c>
      <c r="R779" s="15" t="str">
        <f>IFERROR(__xludf.DUMMYFUNCTION("IF($A779="""","""", IFERROR(PERCENTRANK.INC(FILTER(P:P,$E:$E&lt;&gt;""""),P779)*100,""""))"),"")</f>
        <v/>
      </c>
      <c r="S779" s="15" t="str">
        <f>IFERROR(__xludf.DUMMYFUNCTION("IF($A779="""","""",IFERROR(PERCENTRANK.INC(FILTER(Q:Q,$E:$E&lt;&gt;""""),Q779)*100,""""))"),"")</f>
        <v/>
      </c>
    </row>
    <row r="780">
      <c r="B780" t="str">
        <f t="array" ref="B780">IFERROR(INDEX('Player Raw Data'!C:C,Match($A780,'Player Raw Data'!$B:$B,0)),"")</f>
        <v/>
      </c>
      <c r="C780" t="str">
        <f t="array" ref="C780">IFERROR(INDEX('Player Raw Data'!D:D,Match($A780,'Player Raw Data'!$B:$B,0)),"")</f>
        <v/>
      </c>
      <c r="D780" t="str">
        <f t="array" ref="D780">IFERROR(IF(A780=A779, INDEX('Player Raw Data'!E:E,Match($A780,'Player Raw Data'!$B:$B,0)+2),INDEX('Player Raw Data'!E:E,Match($A780,'Player Raw Data'!$B:$B,0))),"")</f>
        <v/>
      </c>
      <c r="E780" s="27" t="str">
        <f>IFERROR(__xludf.DUMMYFUNCTION("IFERROR(ARRAY_CONSTRAIN(SPLIT(INDEX('Daily Raw Data'!G:G,Match($A780,'Daily Raw Data'!$B:$B,0)),"":""),1,1),"""")"),"")</f>
        <v/>
      </c>
      <c r="F780" t="str">
        <f t="array" ref="F780">IFERROR(INDEX('Daily Raw Data'!H:H,Match($A780,'Daily Raw Data'!$B:$B,0)),"")</f>
        <v/>
      </c>
      <c r="G780" t="str">
        <f t="array" ref="G780">IFERROR(INDEX('Daily Raw Data'!I:I,Match($A780,'Daily Raw Data'!$B:$B,0)),"")</f>
        <v/>
      </c>
      <c r="H780" t="str">
        <f t="array" ref="H780">IFERROR(INDEX('Daily Raw Data'!N:N,Match($A780,'Daily Raw Data'!$B:$B,0)),"")</f>
        <v/>
      </c>
      <c r="I780" t="str">
        <f t="array" ref="I780">IFERROR(INDEX('Daily Raw Data'!O:O,Match($A780,'Daily Raw Data'!$B:$B,0)),"")</f>
        <v/>
      </c>
      <c r="J780" t="str">
        <f t="array" ref="J780">IFERROR(INDEX('Daily Raw Data'!S:S,Match($A780,'Daily Raw Data'!$B:$B,0)),"")</f>
        <v/>
      </c>
      <c r="K780" t="str">
        <f t="array" ref="K780">IFERROR(INDEX('Daily Raw Data'!T:T,Match($A780,'Daily Raw Data'!$B:$B,0)),"")</f>
        <v/>
      </c>
      <c r="L780" t="str">
        <f t="array" ref="L780">IFERROR(INDEX('Daily Raw Data'!U:U,Match($A780,'Daily Raw Data'!$B:$B,0)),"")</f>
        <v/>
      </c>
      <c r="M780" t="str">
        <f t="array" ref="M780">IFERROR(INDEX('Daily Raw Data'!V:V,Match($A780,'Daily Raw Data'!$B:$B,0)),"")</f>
        <v/>
      </c>
      <c r="N780" t="str">
        <f t="array" ref="N780">IFERROR(INDEX('Daily Raw Data'!W:W,Match($A780,'Daily Raw Data'!$B:$B,0)),"")</f>
        <v/>
      </c>
      <c r="O780" t="str">
        <f t="array" ref="O780">IFERROR(INDEX('Daily Raw Data'!Y:Y,Match($A780,'Daily Raw Data'!$B:$B,0)),"")</f>
        <v/>
      </c>
      <c r="P780" t="str">
        <f t="shared" si="1"/>
        <v/>
      </c>
      <c r="Q780" s="14" t="str">
        <f t="shared" si="2"/>
        <v/>
      </c>
      <c r="R780" s="15" t="str">
        <f>IFERROR(__xludf.DUMMYFUNCTION("IF($A780="""","""", IFERROR(PERCENTRANK.INC(FILTER(P:P,$E:$E&lt;&gt;""""),P780)*100,""""))"),"")</f>
        <v/>
      </c>
      <c r="S780" s="15" t="str">
        <f>IFERROR(__xludf.DUMMYFUNCTION("IF($A780="""","""",IFERROR(PERCENTRANK.INC(FILTER(Q:Q,$E:$E&lt;&gt;""""),Q780)*100,""""))"),"")</f>
        <v/>
      </c>
    </row>
    <row r="781">
      <c r="B781" t="str">
        <f t="array" ref="B781">IFERROR(INDEX('Player Raw Data'!C:C,Match($A781,'Player Raw Data'!$B:$B,0)),"")</f>
        <v/>
      </c>
      <c r="C781" t="str">
        <f t="array" ref="C781">IFERROR(INDEX('Player Raw Data'!D:D,Match($A781,'Player Raw Data'!$B:$B,0)),"")</f>
        <v/>
      </c>
      <c r="D781" t="str">
        <f t="array" ref="D781">IFERROR(IF(A781=A780, INDEX('Player Raw Data'!E:E,Match($A781,'Player Raw Data'!$B:$B,0)+2),INDEX('Player Raw Data'!E:E,Match($A781,'Player Raw Data'!$B:$B,0))),"")</f>
        <v/>
      </c>
      <c r="E781" s="27" t="str">
        <f>IFERROR(__xludf.DUMMYFUNCTION("IFERROR(ARRAY_CONSTRAIN(SPLIT(INDEX('Daily Raw Data'!G:G,Match($A781,'Daily Raw Data'!$B:$B,0)),"":""),1,1),"""")"),"")</f>
        <v/>
      </c>
      <c r="F781" t="str">
        <f t="array" ref="F781">IFERROR(INDEX('Daily Raw Data'!H:H,Match($A781,'Daily Raw Data'!$B:$B,0)),"")</f>
        <v/>
      </c>
      <c r="G781" t="str">
        <f t="array" ref="G781">IFERROR(INDEX('Daily Raw Data'!I:I,Match($A781,'Daily Raw Data'!$B:$B,0)),"")</f>
        <v/>
      </c>
      <c r="H781" t="str">
        <f t="array" ref="H781">IFERROR(INDEX('Daily Raw Data'!N:N,Match($A781,'Daily Raw Data'!$B:$B,0)),"")</f>
        <v/>
      </c>
      <c r="I781" t="str">
        <f t="array" ref="I781">IFERROR(INDEX('Daily Raw Data'!O:O,Match($A781,'Daily Raw Data'!$B:$B,0)),"")</f>
        <v/>
      </c>
      <c r="J781" t="str">
        <f t="array" ref="J781">IFERROR(INDEX('Daily Raw Data'!S:S,Match($A781,'Daily Raw Data'!$B:$B,0)),"")</f>
        <v/>
      </c>
      <c r="K781" t="str">
        <f t="array" ref="K781">IFERROR(INDEX('Daily Raw Data'!T:T,Match($A781,'Daily Raw Data'!$B:$B,0)),"")</f>
        <v/>
      </c>
      <c r="L781" t="str">
        <f t="array" ref="L781">IFERROR(INDEX('Daily Raw Data'!U:U,Match($A781,'Daily Raw Data'!$B:$B,0)),"")</f>
        <v/>
      </c>
      <c r="M781" t="str">
        <f t="array" ref="M781">IFERROR(INDEX('Daily Raw Data'!V:V,Match($A781,'Daily Raw Data'!$B:$B,0)),"")</f>
        <v/>
      </c>
      <c r="N781" t="str">
        <f t="array" ref="N781">IFERROR(INDEX('Daily Raw Data'!W:W,Match($A781,'Daily Raw Data'!$B:$B,0)),"")</f>
        <v/>
      </c>
      <c r="O781" t="str">
        <f t="array" ref="O781">IFERROR(INDEX('Daily Raw Data'!Y:Y,Match($A781,'Daily Raw Data'!$B:$B,0)),"")</f>
        <v/>
      </c>
      <c r="P781" t="str">
        <f t="shared" si="1"/>
        <v/>
      </c>
      <c r="Q781" s="14" t="str">
        <f t="shared" si="2"/>
        <v/>
      </c>
      <c r="R781" s="15" t="str">
        <f>IFERROR(__xludf.DUMMYFUNCTION("IF($A781="""","""", IFERROR(PERCENTRANK.INC(FILTER(P:P,$E:$E&lt;&gt;""""),P781)*100,""""))"),"")</f>
        <v/>
      </c>
      <c r="S781" s="15" t="str">
        <f>IFERROR(__xludf.DUMMYFUNCTION("IF($A781="""","""",IFERROR(PERCENTRANK.INC(FILTER(Q:Q,$E:$E&lt;&gt;""""),Q781)*100,""""))"),"")</f>
        <v/>
      </c>
    </row>
    <row r="782">
      <c r="B782" t="str">
        <f t="array" ref="B782">IFERROR(INDEX('Player Raw Data'!C:C,Match($A782,'Player Raw Data'!$B:$B,0)),"")</f>
        <v/>
      </c>
      <c r="C782" t="str">
        <f t="array" ref="C782">IFERROR(INDEX('Player Raw Data'!D:D,Match($A782,'Player Raw Data'!$B:$B,0)),"")</f>
        <v/>
      </c>
      <c r="D782" t="str">
        <f t="array" ref="D782">IFERROR(IF(A782=A781, INDEX('Player Raw Data'!E:E,Match($A782,'Player Raw Data'!$B:$B,0)+2),INDEX('Player Raw Data'!E:E,Match($A782,'Player Raw Data'!$B:$B,0))),"")</f>
        <v/>
      </c>
      <c r="E782" s="27" t="str">
        <f>IFERROR(__xludf.DUMMYFUNCTION("IFERROR(ARRAY_CONSTRAIN(SPLIT(INDEX('Daily Raw Data'!G:G,Match($A782,'Daily Raw Data'!$B:$B,0)),"":""),1,1),"""")"),"")</f>
        <v/>
      </c>
      <c r="F782" t="str">
        <f t="array" ref="F782">IFERROR(INDEX('Daily Raw Data'!H:H,Match($A782,'Daily Raw Data'!$B:$B,0)),"")</f>
        <v/>
      </c>
      <c r="G782" t="str">
        <f t="array" ref="G782">IFERROR(INDEX('Daily Raw Data'!I:I,Match($A782,'Daily Raw Data'!$B:$B,0)),"")</f>
        <v/>
      </c>
      <c r="H782" t="str">
        <f t="array" ref="H782">IFERROR(INDEX('Daily Raw Data'!N:N,Match($A782,'Daily Raw Data'!$B:$B,0)),"")</f>
        <v/>
      </c>
      <c r="I782" t="str">
        <f t="array" ref="I782">IFERROR(INDEX('Daily Raw Data'!O:O,Match($A782,'Daily Raw Data'!$B:$B,0)),"")</f>
        <v/>
      </c>
      <c r="J782" t="str">
        <f t="array" ref="J782">IFERROR(INDEX('Daily Raw Data'!S:S,Match($A782,'Daily Raw Data'!$B:$B,0)),"")</f>
        <v/>
      </c>
      <c r="K782" t="str">
        <f t="array" ref="K782">IFERROR(INDEX('Daily Raw Data'!T:T,Match($A782,'Daily Raw Data'!$B:$B,0)),"")</f>
        <v/>
      </c>
      <c r="L782" t="str">
        <f t="array" ref="L782">IFERROR(INDEX('Daily Raw Data'!U:U,Match($A782,'Daily Raw Data'!$B:$B,0)),"")</f>
        <v/>
      </c>
      <c r="M782" t="str">
        <f t="array" ref="M782">IFERROR(INDEX('Daily Raw Data'!V:V,Match($A782,'Daily Raw Data'!$B:$B,0)),"")</f>
        <v/>
      </c>
      <c r="N782" t="str">
        <f t="array" ref="N782">IFERROR(INDEX('Daily Raw Data'!W:W,Match($A782,'Daily Raw Data'!$B:$B,0)),"")</f>
        <v/>
      </c>
      <c r="O782" t="str">
        <f t="array" ref="O782">IFERROR(INDEX('Daily Raw Data'!Y:Y,Match($A782,'Daily Raw Data'!$B:$B,0)),"")</f>
        <v/>
      </c>
      <c r="P782" t="str">
        <f t="shared" si="1"/>
        <v/>
      </c>
      <c r="Q782" s="14" t="str">
        <f t="shared" si="2"/>
        <v/>
      </c>
      <c r="R782" s="15" t="str">
        <f>IFERROR(__xludf.DUMMYFUNCTION("IF($A782="""","""", IFERROR(PERCENTRANK.INC(FILTER(P:P,$E:$E&lt;&gt;""""),P782)*100,""""))"),"")</f>
        <v/>
      </c>
      <c r="S782" s="15" t="str">
        <f>IFERROR(__xludf.DUMMYFUNCTION("IF($A782="""","""",IFERROR(PERCENTRANK.INC(FILTER(Q:Q,$E:$E&lt;&gt;""""),Q782)*100,""""))"),"")</f>
        <v/>
      </c>
    </row>
    <row r="783">
      <c r="B783" t="str">
        <f t="array" ref="B783">IFERROR(INDEX('Player Raw Data'!C:C,Match($A783,'Player Raw Data'!$B:$B,0)),"")</f>
        <v/>
      </c>
      <c r="C783" t="str">
        <f t="array" ref="C783">IFERROR(INDEX('Player Raw Data'!D:D,Match($A783,'Player Raw Data'!$B:$B,0)),"")</f>
        <v/>
      </c>
      <c r="D783" t="str">
        <f t="array" ref="D783">IFERROR(IF(A783=A782, INDEX('Player Raw Data'!E:E,Match($A783,'Player Raw Data'!$B:$B,0)+2),INDEX('Player Raw Data'!E:E,Match($A783,'Player Raw Data'!$B:$B,0))),"")</f>
        <v/>
      </c>
      <c r="E783" s="27" t="str">
        <f>IFERROR(__xludf.DUMMYFUNCTION("IFERROR(ARRAY_CONSTRAIN(SPLIT(INDEX('Daily Raw Data'!G:G,Match($A783,'Daily Raw Data'!$B:$B,0)),"":""),1,1),"""")"),"")</f>
        <v/>
      </c>
      <c r="F783" t="str">
        <f t="array" ref="F783">IFERROR(INDEX('Daily Raw Data'!H:H,Match($A783,'Daily Raw Data'!$B:$B,0)),"")</f>
        <v/>
      </c>
      <c r="G783" t="str">
        <f t="array" ref="G783">IFERROR(INDEX('Daily Raw Data'!I:I,Match($A783,'Daily Raw Data'!$B:$B,0)),"")</f>
        <v/>
      </c>
      <c r="H783" t="str">
        <f t="array" ref="H783">IFERROR(INDEX('Daily Raw Data'!N:N,Match($A783,'Daily Raw Data'!$B:$B,0)),"")</f>
        <v/>
      </c>
      <c r="I783" t="str">
        <f t="array" ref="I783">IFERROR(INDEX('Daily Raw Data'!O:O,Match($A783,'Daily Raw Data'!$B:$B,0)),"")</f>
        <v/>
      </c>
      <c r="J783" t="str">
        <f t="array" ref="J783">IFERROR(INDEX('Daily Raw Data'!S:S,Match($A783,'Daily Raw Data'!$B:$B,0)),"")</f>
        <v/>
      </c>
      <c r="K783" t="str">
        <f t="array" ref="K783">IFERROR(INDEX('Daily Raw Data'!T:T,Match($A783,'Daily Raw Data'!$B:$B,0)),"")</f>
        <v/>
      </c>
      <c r="L783" t="str">
        <f t="array" ref="L783">IFERROR(INDEX('Daily Raw Data'!U:U,Match($A783,'Daily Raw Data'!$B:$B,0)),"")</f>
        <v/>
      </c>
      <c r="M783" t="str">
        <f t="array" ref="M783">IFERROR(INDEX('Daily Raw Data'!V:V,Match($A783,'Daily Raw Data'!$B:$B,0)),"")</f>
        <v/>
      </c>
      <c r="N783" t="str">
        <f t="array" ref="N783">IFERROR(INDEX('Daily Raw Data'!W:W,Match($A783,'Daily Raw Data'!$B:$B,0)),"")</f>
        <v/>
      </c>
      <c r="O783" t="str">
        <f t="array" ref="O783">IFERROR(INDEX('Daily Raw Data'!Y:Y,Match($A783,'Daily Raw Data'!$B:$B,0)),"")</f>
        <v/>
      </c>
      <c r="P783" t="str">
        <f t="shared" si="1"/>
        <v/>
      </c>
      <c r="Q783" s="14" t="str">
        <f t="shared" si="2"/>
        <v/>
      </c>
      <c r="R783" s="15" t="str">
        <f>IFERROR(__xludf.DUMMYFUNCTION("IF($A783="""","""", IFERROR(PERCENTRANK.INC(FILTER(P:P,$E:$E&lt;&gt;""""),P783)*100,""""))"),"")</f>
        <v/>
      </c>
      <c r="S783" s="15" t="str">
        <f>IFERROR(__xludf.DUMMYFUNCTION("IF($A783="""","""",IFERROR(PERCENTRANK.INC(FILTER(Q:Q,$E:$E&lt;&gt;""""),Q783)*100,""""))"),"")</f>
        <v/>
      </c>
    </row>
    <row r="784">
      <c r="B784" t="str">
        <f t="array" ref="B784">IFERROR(INDEX('Player Raw Data'!C:C,Match($A784,'Player Raw Data'!$B:$B,0)),"")</f>
        <v/>
      </c>
      <c r="C784" t="str">
        <f t="array" ref="C784">IFERROR(INDEX('Player Raw Data'!D:D,Match($A784,'Player Raw Data'!$B:$B,0)),"")</f>
        <v/>
      </c>
      <c r="D784" t="str">
        <f t="array" ref="D784">IFERROR(IF(A784=A783, INDEX('Player Raw Data'!E:E,Match($A784,'Player Raw Data'!$B:$B,0)+2),INDEX('Player Raw Data'!E:E,Match($A784,'Player Raw Data'!$B:$B,0))),"")</f>
        <v/>
      </c>
      <c r="E784" s="27" t="str">
        <f>IFERROR(__xludf.DUMMYFUNCTION("IFERROR(ARRAY_CONSTRAIN(SPLIT(INDEX('Daily Raw Data'!G:G,Match($A784,'Daily Raw Data'!$B:$B,0)),"":""),1,1),"""")"),"")</f>
        <v/>
      </c>
      <c r="F784" t="str">
        <f t="array" ref="F784">IFERROR(INDEX('Daily Raw Data'!H:H,Match($A784,'Daily Raw Data'!$B:$B,0)),"")</f>
        <v/>
      </c>
      <c r="G784" t="str">
        <f t="array" ref="G784">IFERROR(INDEX('Daily Raw Data'!I:I,Match($A784,'Daily Raw Data'!$B:$B,0)),"")</f>
        <v/>
      </c>
      <c r="H784" t="str">
        <f t="array" ref="H784">IFERROR(INDEX('Daily Raw Data'!N:N,Match($A784,'Daily Raw Data'!$B:$B,0)),"")</f>
        <v/>
      </c>
      <c r="I784" t="str">
        <f t="array" ref="I784">IFERROR(INDEX('Daily Raw Data'!O:O,Match($A784,'Daily Raw Data'!$B:$B,0)),"")</f>
        <v/>
      </c>
      <c r="J784" t="str">
        <f t="array" ref="J784">IFERROR(INDEX('Daily Raw Data'!S:S,Match($A784,'Daily Raw Data'!$B:$B,0)),"")</f>
        <v/>
      </c>
      <c r="K784" t="str">
        <f t="array" ref="K784">IFERROR(INDEX('Daily Raw Data'!T:T,Match($A784,'Daily Raw Data'!$B:$B,0)),"")</f>
        <v/>
      </c>
      <c r="L784" t="str">
        <f t="array" ref="L784">IFERROR(INDEX('Daily Raw Data'!U:U,Match($A784,'Daily Raw Data'!$B:$B,0)),"")</f>
        <v/>
      </c>
      <c r="M784" t="str">
        <f t="array" ref="M784">IFERROR(INDEX('Daily Raw Data'!V:V,Match($A784,'Daily Raw Data'!$B:$B,0)),"")</f>
        <v/>
      </c>
      <c r="N784" t="str">
        <f t="array" ref="N784">IFERROR(INDEX('Daily Raw Data'!W:W,Match($A784,'Daily Raw Data'!$B:$B,0)),"")</f>
        <v/>
      </c>
      <c r="O784" t="str">
        <f t="array" ref="O784">IFERROR(INDEX('Daily Raw Data'!Y:Y,Match($A784,'Daily Raw Data'!$B:$B,0)),"")</f>
        <v/>
      </c>
      <c r="P784" t="str">
        <f t="shared" si="1"/>
        <v/>
      </c>
      <c r="Q784" s="14" t="str">
        <f t="shared" si="2"/>
        <v/>
      </c>
      <c r="R784" s="15" t="str">
        <f>IFERROR(__xludf.DUMMYFUNCTION("IF($A784="""","""", IFERROR(PERCENTRANK.INC(FILTER(P:P,$E:$E&lt;&gt;""""),P784)*100,""""))"),"")</f>
        <v/>
      </c>
      <c r="S784" s="15" t="str">
        <f>IFERROR(__xludf.DUMMYFUNCTION("IF($A784="""","""",IFERROR(PERCENTRANK.INC(FILTER(Q:Q,$E:$E&lt;&gt;""""),Q784)*100,""""))"),"")</f>
        <v/>
      </c>
    </row>
    <row r="785">
      <c r="B785" t="str">
        <f t="array" ref="B785">IFERROR(INDEX('Player Raw Data'!C:C,Match($A785,'Player Raw Data'!$B:$B,0)),"")</f>
        <v/>
      </c>
      <c r="C785" t="str">
        <f t="array" ref="C785">IFERROR(INDEX('Player Raw Data'!D:D,Match($A785,'Player Raw Data'!$B:$B,0)),"")</f>
        <v/>
      </c>
      <c r="D785" t="str">
        <f t="array" ref="D785">IFERROR(IF(A785=A784, INDEX('Player Raw Data'!E:E,Match($A785,'Player Raw Data'!$B:$B,0)+2),INDEX('Player Raw Data'!E:E,Match($A785,'Player Raw Data'!$B:$B,0))),"")</f>
        <v/>
      </c>
      <c r="E785" s="27" t="str">
        <f>IFERROR(__xludf.DUMMYFUNCTION("IFERROR(ARRAY_CONSTRAIN(SPLIT(INDEX('Daily Raw Data'!G:G,Match($A785,'Daily Raw Data'!$B:$B,0)),"":""),1,1),"""")"),"")</f>
        <v/>
      </c>
      <c r="F785" t="str">
        <f t="array" ref="F785">IFERROR(INDEX('Daily Raw Data'!H:H,Match($A785,'Daily Raw Data'!$B:$B,0)),"")</f>
        <v/>
      </c>
      <c r="G785" t="str">
        <f t="array" ref="G785">IFERROR(INDEX('Daily Raw Data'!I:I,Match($A785,'Daily Raw Data'!$B:$B,0)),"")</f>
        <v/>
      </c>
      <c r="H785" t="str">
        <f t="array" ref="H785">IFERROR(INDEX('Daily Raw Data'!N:N,Match($A785,'Daily Raw Data'!$B:$B,0)),"")</f>
        <v/>
      </c>
      <c r="I785" t="str">
        <f t="array" ref="I785">IFERROR(INDEX('Daily Raw Data'!O:O,Match($A785,'Daily Raw Data'!$B:$B,0)),"")</f>
        <v/>
      </c>
      <c r="J785" t="str">
        <f t="array" ref="J785">IFERROR(INDEX('Daily Raw Data'!S:S,Match($A785,'Daily Raw Data'!$B:$B,0)),"")</f>
        <v/>
      </c>
      <c r="K785" t="str">
        <f t="array" ref="K785">IFERROR(INDEX('Daily Raw Data'!T:T,Match($A785,'Daily Raw Data'!$B:$B,0)),"")</f>
        <v/>
      </c>
      <c r="L785" t="str">
        <f t="array" ref="L785">IFERROR(INDEX('Daily Raw Data'!U:U,Match($A785,'Daily Raw Data'!$B:$B,0)),"")</f>
        <v/>
      </c>
      <c r="M785" t="str">
        <f t="array" ref="M785">IFERROR(INDEX('Daily Raw Data'!V:V,Match($A785,'Daily Raw Data'!$B:$B,0)),"")</f>
        <v/>
      </c>
      <c r="N785" t="str">
        <f t="array" ref="N785">IFERROR(INDEX('Daily Raw Data'!W:W,Match($A785,'Daily Raw Data'!$B:$B,0)),"")</f>
        <v/>
      </c>
      <c r="O785" t="str">
        <f t="array" ref="O785">IFERROR(INDEX('Daily Raw Data'!Y:Y,Match($A785,'Daily Raw Data'!$B:$B,0)),"")</f>
        <v/>
      </c>
      <c r="P785" t="str">
        <f t="shared" si="1"/>
        <v/>
      </c>
      <c r="Q785" s="14" t="str">
        <f t="shared" si="2"/>
        <v/>
      </c>
      <c r="R785" s="15" t="str">
        <f>IFERROR(__xludf.DUMMYFUNCTION("IF($A785="""","""", IFERROR(PERCENTRANK.INC(FILTER(P:P,$E:$E&lt;&gt;""""),P785)*100,""""))"),"")</f>
        <v/>
      </c>
      <c r="S785" s="15" t="str">
        <f>IFERROR(__xludf.DUMMYFUNCTION("IF($A785="""","""",IFERROR(PERCENTRANK.INC(FILTER(Q:Q,$E:$E&lt;&gt;""""),Q785)*100,""""))"),"")</f>
        <v/>
      </c>
    </row>
    <row r="786">
      <c r="B786" t="str">
        <f t="array" ref="B786">IFERROR(INDEX('Player Raw Data'!C:C,Match($A786,'Player Raw Data'!$B:$B,0)),"")</f>
        <v/>
      </c>
      <c r="C786" t="str">
        <f t="array" ref="C786">IFERROR(INDEX('Player Raw Data'!D:D,Match($A786,'Player Raw Data'!$B:$B,0)),"")</f>
        <v/>
      </c>
      <c r="D786" t="str">
        <f t="array" ref="D786">IFERROR(IF(A786=A785, INDEX('Player Raw Data'!E:E,Match($A786,'Player Raw Data'!$B:$B,0)+2),INDEX('Player Raw Data'!E:E,Match($A786,'Player Raw Data'!$B:$B,0))),"")</f>
        <v/>
      </c>
      <c r="E786" s="27" t="str">
        <f>IFERROR(__xludf.DUMMYFUNCTION("IFERROR(ARRAY_CONSTRAIN(SPLIT(INDEX('Daily Raw Data'!G:G,Match($A786,'Daily Raw Data'!$B:$B,0)),"":""),1,1),"""")"),"")</f>
        <v/>
      </c>
      <c r="F786" t="str">
        <f t="array" ref="F786">IFERROR(INDEX('Daily Raw Data'!H:H,Match($A786,'Daily Raw Data'!$B:$B,0)),"")</f>
        <v/>
      </c>
      <c r="G786" t="str">
        <f t="array" ref="G786">IFERROR(INDEX('Daily Raw Data'!I:I,Match($A786,'Daily Raw Data'!$B:$B,0)),"")</f>
        <v/>
      </c>
      <c r="H786" t="str">
        <f t="array" ref="H786">IFERROR(INDEX('Daily Raw Data'!N:N,Match($A786,'Daily Raw Data'!$B:$B,0)),"")</f>
        <v/>
      </c>
      <c r="I786" t="str">
        <f t="array" ref="I786">IFERROR(INDEX('Daily Raw Data'!O:O,Match($A786,'Daily Raw Data'!$B:$B,0)),"")</f>
        <v/>
      </c>
      <c r="J786" t="str">
        <f t="array" ref="J786">IFERROR(INDEX('Daily Raw Data'!S:S,Match($A786,'Daily Raw Data'!$B:$B,0)),"")</f>
        <v/>
      </c>
      <c r="K786" t="str">
        <f t="array" ref="K786">IFERROR(INDEX('Daily Raw Data'!T:T,Match($A786,'Daily Raw Data'!$B:$B,0)),"")</f>
        <v/>
      </c>
      <c r="L786" t="str">
        <f t="array" ref="L786">IFERROR(INDEX('Daily Raw Data'!U:U,Match($A786,'Daily Raw Data'!$B:$B,0)),"")</f>
        <v/>
      </c>
      <c r="M786" t="str">
        <f t="array" ref="M786">IFERROR(INDEX('Daily Raw Data'!V:V,Match($A786,'Daily Raw Data'!$B:$B,0)),"")</f>
        <v/>
      </c>
      <c r="N786" t="str">
        <f t="array" ref="N786">IFERROR(INDEX('Daily Raw Data'!W:W,Match($A786,'Daily Raw Data'!$B:$B,0)),"")</f>
        <v/>
      </c>
      <c r="O786" t="str">
        <f t="array" ref="O786">IFERROR(INDEX('Daily Raw Data'!Y:Y,Match($A786,'Daily Raw Data'!$B:$B,0)),"")</f>
        <v/>
      </c>
      <c r="P786" t="str">
        <f t="shared" si="1"/>
        <v/>
      </c>
      <c r="Q786" s="14" t="str">
        <f t="shared" si="2"/>
        <v/>
      </c>
      <c r="R786" s="15" t="str">
        <f>IFERROR(__xludf.DUMMYFUNCTION("IF($A786="""","""", IFERROR(PERCENTRANK.INC(FILTER(P:P,$E:$E&lt;&gt;""""),P786)*100,""""))"),"")</f>
        <v/>
      </c>
      <c r="S786" s="15" t="str">
        <f>IFERROR(__xludf.DUMMYFUNCTION("IF($A786="""","""",IFERROR(PERCENTRANK.INC(FILTER(Q:Q,$E:$E&lt;&gt;""""),Q786)*100,""""))"),"")</f>
        <v/>
      </c>
    </row>
    <row r="787">
      <c r="B787" t="str">
        <f t="array" ref="B787">IFERROR(INDEX('Player Raw Data'!C:C,Match($A787,'Player Raw Data'!$B:$B,0)),"")</f>
        <v/>
      </c>
      <c r="C787" t="str">
        <f t="array" ref="C787">IFERROR(INDEX('Player Raw Data'!D:D,Match($A787,'Player Raw Data'!$B:$B,0)),"")</f>
        <v/>
      </c>
      <c r="D787" t="str">
        <f t="array" ref="D787">IFERROR(IF(A787=A786, INDEX('Player Raw Data'!E:E,Match($A787,'Player Raw Data'!$B:$B,0)+2),INDEX('Player Raw Data'!E:E,Match($A787,'Player Raw Data'!$B:$B,0))),"")</f>
        <v/>
      </c>
      <c r="E787" s="27" t="str">
        <f>IFERROR(__xludf.DUMMYFUNCTION("IFERROR(ARRAY_CONSTRAIN(SPLIT(INDEX('Daily Raw Data'!G:G,Match($A787,'Daily Raw Data'!$B:$B,0)),"":""),1,1),"""")"),"")</f>
        <v/>
      </c>
      <c r="F787" t="str">
        <f t="array" ref="F787">IFERROR(INDEX('Daily Raw Data'!H:H,Match($A787,'Daily Raw Data'!$B:$B,0)),"")</f>
        <v/>
      </c>
      <c r="G787" t="str">
        <f t="array" ref="G787">IFERROR(INDEX('Daily Raw Data'!I:I,Match($A787,'Daily Raw Data'!$B:$B,0)),"")</f>
        <v/>
      </c>
      <c r="H787" t="str">
        <f t="array" ref="H787">IFERROR(INDEX('Daily Raw Data'!N:N,Match($A787,'Daily Raw Data'!$B:$B,0)),"")</f>
        <v/>
      </c>
      <c r="I787" t="str">
        <f t="array" ref="I787">IFERROR(INDEX('Daily Raw Data'!O:O,Match($A787,'Daily Raw Data'!$B:$B,0)),"")</f>
        <v/>
      </c>
      <c r="J787" t="str">
        <f t="array" ref="J787">IFERROR(INDEX('Daily Raw Data'!S:S,Match($A787,'Daily Raw Data'!$B:$B,0)),"")</f>
        <v/>
      </c>
      <c r="K787" t="str">
        <f t="array" ref="K787">IFERROR(INDEX('Daily Raw Data'!T:T,Match($A787,'Daily Raw Data'!$B:$B,0)),"")</f>
        <v/>
      </c>
      <c r="L787" t="str">
        <f t="array" ref="L787">IFERROR(INDEX('Daily Raw Data'!U:U,Match($A787,'Daily Raw Data'!$B:$B,0)),"")</f>
        <v/>
      </c>
      <c r="M787" t="str">
        <f t="array" ref="M787">IFERROR(INDEX('Daily Raw Data'!V:V,Match($A787,'Daily Raw Data'!$B:$B,0)),"")</f>
        <v/>
      </c>
      <c r="N787" t="str">
        <f t="array" ref="N787">IFERROR(INDEX('Daily Raw Data'!W:W,Match($A787,'Daily Raw Data'!$B:$B,0)),"")</f>
        <v/>
      </c>
      <c r="O787" t="str">
        <f t="array" ref="O787">IFERROR(INDEX('Daily Raw Data'!Y:Y,Match($A787,'Daily Raw Data'!$B:$B,0)),"")</f>
        <v/>
      </c>
      <c r="P787" t="str">
        <f t="shared" si="1"/>
        <v/>
      </c>
      <c r="Q787" s="14" t="str">
        <f t="shared" si="2"/>
        <v/>
      </c>
      <c r="R787" s="15" t="str">
        <f>IFERROR(__xludf.DUMMYFUNCTION("IF($A787="""","""", IFERROR(PERCENTRANK.INC(FILTER(P:P,$E:$E&lt;&gt;""""),P787)*100,""""))"),"")</f>
        <v/>
      </c>
      <c r="S787" s="15" t="str">
        <f>IFERROR(__xludf.DUMMYFUNCTION("IF($A787="""","""",IFERROR(PERCENTRANK.INC(FILTER(Q:Q,$E:$E&lt;&gt;""""),Q787)*100,""""))"),"")</f>
        <v/>
      </c>
    </row>
    <row r="788">
      <c r="B788" t="str">
        <f t="array" ref="B788">IFERROR(INDEX('Player Raw Data'!C:C,Match($A788,'Player Raw Data'!$B:$B,0)),"")</f>
        <v/>
      </c>
      <c r="C788" t="str">
        <f t="array" ref="C788">IFERROR(INDEX('Player Raw Data'!D:D,Match($A788,'Player Raw Data'!$B:$B,0)),"")</f>
        <v/>
      </c>
      <c r="D788" t="str">
        <f t="array" ref="D788">IFERROR(IF(A788=A787, INDEX('Player Raw Data'!E:E,Match($A788,'Player Raw Data'!$B:$B,0)+2),INDEX('Player Raw Data'!E:E,Match($A788,'Player Raw Data'!$B:$B,0))),"")</f>
        <v/>
      </c>
      <c r="E788" s="27" t="str">
        <f>IFERROR(__xludf.DUMMYFUNCTION("IFERROR(ARRAY_CONSTRAIN(SPLIT(INDEX('Daily Raw Data'!G:G,Match($A788,'Daily Raw Data'!$B:$B,0)),"":""),1,1),"""")"),"")</f>
        <v/>
      </c>
      <c r="F788" t="str">
        <f t="array" ref="F788">IFERROR(INDEX('Daily Raw Data'!H:H,Match($A788,'Daily Raw Data'!$B:$B,0)),"")</f>
        <v/>
      </c>
      <c r="G788" t="str">
        <f t="array" ref="G788">IFERROR(INDEX('Daily Raw Data'!I:I,Match($A788,'Daily Raw Data'!$B:$B,0)),"")</f>
        <v/>
      </c>
      <c r="H788" t="str">
        <f t="array" ref="H788">IFERROR(INDEX('Daily Raw Data'!N:N,Match($A788,'Daily Raw Data'!$B:$B,0)),"")</f>
        <v/>
      </c>
      <c r="I788" t="str">
        <f t="array" ref="I788">IFERROR(INDEX('Daily Raw Data'!O:O,Match($A788,'Daily Raw Data'!$B:$B,0)),"")</f>
        <v/>
      </c>
      <c r="J788" t="str">
        <f t="array" ref="J788">IFERROR(INDEX('Daily Raw Data'!S:S,Match($A788,'Daily Raw Data'!$B:$B,0)),"")</f>
        <v/>
      </c>
      <c r="K788" t="str">
        <f t="array" ref="K788">IFERROR(INDEX('Daily Raw Data'!T:T,Match($A788,'Daily Raw Data'!$B:$B,0)),"")</f>
        <v/>
      </c>
      <c r="L788" t="str">
        <f t="array" ref="L788">IFERROR(INDEX('Daily Raw Data'!U:U,Match($A788,'Daily Raw Data'!$B:$B,0)),"")</f>
        <v/>
      </c>
      <c r="M788" t="str">
        <f t="array" ref="M788">IFERROR(INDEX('Daily Raw Data'!V:V,Match($A788,'Daily Raw Data'!$B:$B,0)),"")</f>
        <v/>
      </c>
      <c r="N788" t="str">
        <f t="array" ref="N788">IFERROR(INDEX('Daily Raw Data'!W:W,Match($A788,'Daily Raw Data'!$B:$B,0)),"")</f>
        <v/>
      </c>
      <c r="O788" t="str">
        <f t="array" ref="O788">IFERROR(INDEX('Daily Raw Data'!Y:Y,Match($A788,'Daily Raw Data'!$B:$B,0)),"")</f>
        <v/>
      </c>
      <c r="P788" t="str">
        <f t="shared" si="1"/>
        <v/>
      </c>
      <c r="Q788" s="14" t="str">
        <f t="shared" si="2"/>
        <v/>
      </c>
      <c r="R788" s="15" t="str">
        <f>IFERROR(__xludf.DUMMYFUNCTION("IF($A788="""","""", IFERROR(PERCENTRANK.INC(FILTER(P:P,$E:$E&lt;&gt;""""),P788)*100,""""))"),"")</f>
        <v/>
      </c>
      <c r="S788" s="15" t="str">
        <f>IFERROR(__xludf.DUMMYFUNCTION("IF($A788="""","""",IFERROR(PERCENTRANK.INC(FILTER(Q:Q,$E:$E&lt;&gt;""""),Q788)*100,""""))"),"")</f>
        <v/>
      </c>
    </row>
    <row r="789">
      <c r="B789" t="str">
        <f t="array" ref="B789">IFERROR(INDEX('Player Raw Data'!C:C,Match($A789,'Player Raw Data'!$B:$B,0)),"")</f>
        <v/>
      </c>
      <c r="C789" t="str">
        <f t="array" ref="C789">IFERROR(INDEX('Player Raw Data'!D:D,Match($A789,'Player Raw Data'!$B:$B,0)),"")</f>
        <v/>
      </c>
      <c r="D789" t="str">
        <f t="array" ref="D789">IFERROR(IF(A789=A788, INDEX('Player Raw Data'!E:E,Match($A789,'Player Raw Data'!$B:$B,0)+2),INDEX('Player Raw Data'!E:E,Match($A789,'Player Raw Data'!$B:$B,0))),"")</f>
        <v/>
      </c>
      <c r="E789" s="27" t="str">
        <f>IFERROR(__xludf.DUMMYFUNCTION("IFERROR(ARRAY_CONSTRAIN(SPLIT(INDEX('Daily Raw Data'!G:G,Match($A789,'Daily Raw Data'!$B:$B,0)),"":""),1,1),"""")"),"")</f>
        <v/>
      </c>
      <c r="F789" t="str">
        <f t="array" ref="F789">IFERROR(INDEX('Daily Raw Data'!H:H,Match($A789,'Daily Raw Data'!$B:$B,0)),"")</f>
        <v/>
      </c>
      <c r="G789" t="str">
        <f t="array" ref="G789">IFERROR(INDEX('Daily Raw Data'!I:I,Match($A789,'Daily Raw Data'!$B:$B,0)),"")</f>
        <v/>
      </c>
      <c r="H789" t="str">
        <f t="array" ref="H789">IFERROR(INDEX('Daily Raw Data'!N:N,Match($A789,'Daily Raw Data'!$B:$B,0)),"")</f>
        <v/>
      </c>
      <c r="I789" t="str">
        <f t="array" ref="I789">IFERROR(INDEX('Daily Raw Data'!O:O,Match($A789,'Daily Raw Data'!$B:$B,0)),"")</f>
        <v/>
      </c>
      <c r="J789" t="str">
        <f t="array" ref="J789">IFERROR(INDEX('Daily Raw Data'!S:S,Match($A789,'Daily Raw Data'!$B:$B,0)),"")</f>
        <v/>
      </c>
      <c r="K789" t="str">
        <f t="array" ref="K789">IFERROR(INDEX('Daily Raw Data'!T:T,Match($A789,'Daily Raw Data'!$B:$B,0)),"")</f>
        <v/>
      </c>
      <c r="L789" t="str">
        <f t="array" ref="L789">IFERROR(INDEX('Daily Raw Data'!U:U,Match($A789,'Daily Raw Data'!$B:$B,0)),"")</f>
        <v/>
      </c>
      <c r="M789" t="str">
        <f t="array" ref="M789">IFERROR(INDEX('Daily Raw Data'!V:V,Match($A789,'Daily Raw Data'!$B:$B,0)),"")</f>
        <v/>
      </c>
      <c r="N789" t="str">
        <f t="array" ref="N789">IFERROR(INDEX('Daily Raw Data'!W:W,Match($A789,'Daily Raw Data'!$B:$B,0)),"")</f>
        <v/>
      </c>
      <c r="O789" t="str">
        <f t="array" ref="O789">IFERROR(INDEX('Daily Raw Data'!Y:Y,Match($A789,'Daily Raw Data'!$B:$B,0)),"")</f>
        <v/>
      </c>
      <c r="P789" t="str">
        <f t="shared" si="1"/>
        <v/>
      </c>
      <c r="Q789" s="14" t="str">
        <f t="shared" si="2"/>
        <v/>
      </c>
      <c r="R789" s="15" t="str">
        <f>IFERROR(__xludf.DUMMYFUNCTION("IF($A789="""","""", IFERROR(PERCENTRANK.INC(FILTER(P:P,$E:$E&lt;&gt;""""),P789)*100,""""))"),"")</f>
        <v/>
      </c>
      <c r="S789" s="15" t="str">
        <f>IFERROR(__xludf.DUMMYFUNCTION("IF($A789="""","""",IFERROR(PERCENTRANK.INC(FILTER(Q:Q,$E:$E&lt;&gt;""""),Q789)*100,""""))"),"")</f>
        <v/>
      </c>
    </row>
    <row r="790">
      <c r="B790" t="str">
        <f t="array" ref="B790">IFERROR(INDEX('Player Raw Data'!C:C,Match($A790,'Player Raw Data'!$B:$B,0)),"")</f>
        <v/>
      </c>
      <c r="C790" t="str">
        <f t="array" ref="C790">IFERROR(INDEX('Player Raw Data'!D:D,Match($A790,'Player Raw Data'!$B:$B,0)),"")</f>
        <v/>
      </c>
      <c r="D790" t="str">
        <f t="array" ref="D790">IFERROR(IF(A790=A789, INDEX('Player Raw Data'!E:E,Match($A790,'Player Raw Data'!$B:$B,0)+2),INDEX('Player Raw Data'!E:E,Match($A790,'Player Raw Data'!$B:$B,0))),"")</f>
        <v/>
      </c>
      <c r="E790" s="27" t="str">
        <f>IFERROR(__xludf.DUMMYFUNCTION("IFERROR(ARRAY_CONSTRAIN(SPLIT(INDEX('Daily Raw Data'!G:G,Match($A790,'Daily Raw Data'!$B:$B,0)),"":""),1,1),"""")"),"")</f>
        <v/>
      </c>
      <c r="F790" t="str">
        <f t="array" ref="F790">IFERROR(INDEX('Daily Raw Data'!H:H,Match($A790,'Daily Raw Data'!$B:$B,0)),"")</f>
        <v/>
      </c>
      <c r="G790" t="str">
        <f t="array" ref="G790">IFERROR(INDEX('Daily Raw Data'!I:I,Match($A790,'Daily Raw Data'!$B:$B,0)),"")</f>
        <v/>
      </c>
      <c r="H790" t="str">
        <f t="array" ref="H790">IFERROR(INDEX('Daily Raw Data'!N:N,Match($A790,'Daily Raw Data'!$B:$B,0)),"")</f>
        <v/>
      </c>
      <c r="I790" t="str">
        <f t="array" ref="I790">IFERROR(INDEX('Daily Raw Data'!O:O,Match($A790,'Daily Raw Data'!$B:$B,0)),"")</f>
        <v/>
      </c>
      <c r="J790" t="str">
        <f t="array" ref="J790">IFERROR(INDEX('Daily Raw Data'!S:S,Match($A790,'Daily Raw Data'!$B:$B,0)),"")</f>
        <v/>
      </c>
      <c r="K790" t="str">
        <f t="array" ref="K790">IFERROR(INDEX('Daily Raw Data'!T:T,Match($A790,'Daily Raw Data'!$B:$B,0)),"")</f>
        <v/>
      </c>
      <c r="L790" t="str">
        <f t="array" ref="L790">IFERROR(INDEX('Daily Raw Data'!U:U,Match($A790,'Daily Raw Data'!$B:$B,0)),"")</f>
        <v/>
      </c>
      <c r="M790" t="str">
        <f t="array" ref="M790">IFERROR(INDEX('Daily Raw Data'!V:V,Match($A790,'Daily Raw Data'!$B:$B,0)),"")</f>
        <v/>
      </c>
      <c r="N790" t="str">
        <f t="array" ref="N790">IFERROR(INDEX('Daily Raw Data'!W:W,Match($A790,'Daily Raw Data'!$B:$B,0)),"")</f>
        <v/>
      </c>
      <c r="O790" t="str">
        <f t="array" ref="O790">IFERROR(INDEX('Daily Raw Data'!Y:Y,Match($A790,'Daily Raw Data'!$B:$B,0)),"")</f>
        <v/>
      </c>
      <c r="P790" t="str">
        <f t="shared" si="1"/>
        <v/>
      </c>
      <c r="Q790" s="14" t="str">
        <f t="shared" si="2"/>
        <v/>
      </c>
      <c r="R790" s="15" t="str">
        <f>IFERROR(__xludf.DUMMYFUNCTION("IF($A790="""","""", IFERROR(PERCENTRANK.INC(FILTER(P:P,$E:$E&lt;&gt;""""),P790)*100,""""))"),"")</f>
        <v/>
      </c>
      <c r="S790" s="15" t="str">
        <f>IFERROR(__xludf.DUMMYFUNCTION("IF($A790="""","""",IFERROR(PERCENTRANK.INC(FILTER(Q:Q,$E:$E&lt;&gt;""""),Q790)*100,""""))"),"")</f>
        <v/>
      </c>
    </row>
    <row r="791">
      <c r="B791" t="str">
        <f t="array" ref="B791">IFERROR(INDEX('Player Raw Data'!C:C,Match($A791,'Player Raw Data'!$B:$B,0)),"")</f>
        <v/>
      </c>
      <c r="C791" t="str">
        <f t="array" ref="C791">IFERROR(INDEX('Player Raw Data'!D:D,Match($A791,'Player Raw Data'!$B:$B,0)),"")</f>
        <v/>
      </c>
      <c r="D791" t="str">
        <f t="array" ref="D791">IFERROR(IF(A791=A790, INDEX('Player Raw Data'!E:E,Match($A791,'Player Raw Data'!$B:$B,0)+2),INDEX('Player Raw Data'!E:E,Match($A791,'Player Raw Data'!$B:$B,0))),"")</f>
        <v/>
      </c>
      <c r="E791" s="27" t="str">
        <f>IFERROR(__xludf.DUMMYFUNCTION("IFERROR(ARRAY_CONSTRAIN(SPLIT(INDEX('Daily Raw Data'!G:G,Match($A791,'Daily Raw Data'!$B:$B,0)),"":""),1,1),"""")"),"")</f>
        <v/>
      </c>
      <c r="F791" t="str">
        <f t="array" ref="F791">IFERROR(INDEX('Daily Raw Data'!H:H,Match($A791,'Daily Raw Data'!$B:$B,0)),"")</f>
        <v/>
      </c>
      <c r="G791" t="str">
        <f t="array" ref="G791">IFERROR(INDEX('Daily Raw Data'!I:I,Match($A791,'Daily Raw Data'!$B:$B,0)),"")</f>
        <v/>
      </c>
      <c r="H791" t="str">
        <f t="array" ref="H791">IFERROR(INDEX('Daily Raw Data'!N:N,Match($A791,'Daily Raw Data'!$B:$B,0)),"")</f>
        <v/>
      </c>
      <c r="I791" t="str">
        <f t="array" ref="I791">IFERROR(INDEX('Daily Raw Data'!O:O,Match($A791,'Daily Raw Data'!$B:$B,0)),"")</f>
        <v/>
      </c>
      <c r="J791" t="str">
        <f t="array" ref="J791">IFERROR(INDEX('Daily Raw Data'!S:S,Match($A791,'Daily Raw Data'!$B:$B,0)),"")</f>
        <v/>
      </c>
      <c r="K791" t="str">
        <f t="array" ref="K791">IFERROR(INDEX('Daily Raw Data'!T:T,Match($A791,'Daily Raw Data'!$B:$B,0)),"")</f>
        <v/>
      </c>
      <c r="L791" t="str">
        <f t="array" ref="L791">IFERROR(INDEX('Daily Raw Data'!U:U,Match($A791,'Daily Raw Data'!$B:$B,0)),"")</f>
        <v/>
      </c>
      <c r="M791" t="str">
        <f t="array" ref="M791">IFERROR(INDEX('Daily Raw Data'!V:V,Match($A791,'Daily Raw Data'!$B:$B,0)),"")</f>
        <v/>
      </c>
      <c r="N791" t="str">
        <f t="array" ref="N791">IFERROR(INDEX('Daily Raw Data'!W:W,Match($A791,'Daily Raw Data'!$B:$B,0)),"")</f>
        <v/>
      </c>
      <c r="O791" t="str">
        <f t="array" ref="O791">IFERROR(INDEX('Daily Raw Data'!Y:Y,Match($A791,'Daily Raw Data'!$B:$B,0)),"")</f>
        <v/>
      </c>
      <c r="P791" t="str">
        <f t="shared" si="1"/>
        <v/>
      </c>
      <c r="Q791" s="14" t="str">
        <f t="shared" si="2"/>
        <v/>
      </c>
      <c r="R791" s="15" t="str">
        <f>IFERROR(__xludf.DUMMYFUNCTION("IF($A791="""","""", IFERROR(PERCENTRANK.INC(FILTER(P:P,$E:$E&lt;&gt;""""),P791)*100,""""))"),"")</f>
        <v/>
      </c>
      <c r="S791" s="15" t="str">
        <f>IFERROR(__xludf.DUMMYFUNCTION("IF($A791="""","""",IFERROR(PERCENTRANK.INC(FILTER(Q:Q,$E:$E&lt;&gt;""""),Q791)*100,""""))"),"")</f>
        <v/>
      </c>
    </row>
    <row r="792">
      <c r="B792" t="str">
        <f t="array" ref="B792">IFERROR(INDEX('Player Raw Data'!C:C,Match($A792,'Player Raw Data'!$B:$B,0)),"")</f>
        <v/>
      </c>
      <c r="C792" t="str">
        <f t="array" ref="C792">IFERROR(INDEX('Player Raw Data'!D:D,Match($A792,'Player Raw Data'!$B:$B,0)),"")</f>
        <v/>
      </c>
      <c r="D792" t="str">
        <f t="array" ref="D792">IFERROR(IF(A792=A791, INDEX('Player Raw Data'!E:E,Match($A792,'Player Raw Data'!$B:$B,0)+2),INDEX('Player Raw Data'!E:E,Match($A792,'Player Raw Data'!$B:$B,0))),"")</f>
        <v/>
      </c>
      <c r="E792" s="27" t="str">
        <f>IFERROR(__xludf.DUMMYFUNCTION("IFERROR(ARRAY_CONSTRAIN(SPLIT(INDEX('Daily Raw Data'!G:G,Match($A792,'Daily Raw Data'!$B:$B,0)),"":""),1,1),"""")"),"")</f>
        <v/>
      </c>
      <c r="F792" t="str">
        <f t="array" ref="F792">IFERROR(INDEX('Daily Raw Data'!H:H,Match($A792,'Daily Raw Data'!$B:$B,0)),"")</f>
        <v/>
      </c>
      <c r="G792" t="str">
        <f t="array" ref="G792">IFERROR(INDEX('Daily Raw Data'!I:I,Match($A792,'Daily Raw Data'!$B:$B,0)),"")</f>
        <v/>
      </c>
      <c r="H792" t="str">
        <f t="array" ref="H792">IFERROR(INDEX('Daily Raw Data'!N:N,Match($A792,'Daily Raw Data'!$B:$B,0)),"")</f>
        <v/>
      </c>
      <c r="I792" t="str">
        <f t="array" ref="I792">IFERROR(INDEX('Daily Raw Data'!O:O,Match($A792,'Daily Raw Data'!$B:$B,0)),"")</f>
        <v/>
      </c>
      <c r="J792" t="str">
        <f t="array" ref="J792">IFERROR(INDEX('Daily Raw Data'!S:S,Match($A792,'Daily Raw Data'!$B:$B,0)),"")</f>
        <v/>
      </c>
      <c r="K792" t="str">
        <f t="array" ref="K792">IFERROR(INDEX('Daily Raw Data'!T:T,Match($A792,'Daily Raw Data'!$B:$B,0)),"")</f>
        <v/>
      </c>
      <c r="L792" t="str">
        <f t="array" ref="L792">IFERROR(INDEX('Daily Raw Data'!U:U,Match($A792,'Daily Raw Data'!$B:$B,0)),"")</f>
        <v/>
      </c>
      <c r="M792" t="str">
        <f t="array" ref="M792">IFERROR(INDEX('Daily Raw Data'!V:V,Match($A792,'Daily Raw Data'!$B:$B,0)),"")</f>
        <v/>
      </c>
      <c r="N792" t="str">
        <f t="array" ref="N792">IFERROR(INDEX('Daily Raw Data'!W:W,Match($A792,'Daily Raw Data'!$B:$B,0)),"")</f>
        <v/>
      </c>
      <c r="O792" t="str">
        <f t="array" ref="O792">IFERROR(INDEX('Daily Raw Data'!Y:Y,Match($A792,'Daily Raw Data'!$B:$B,0)),"")</f>
        <v/>
      </c>
      <c r="P792" t="str">
        <f t="shared" si="1"/>
        <v/>
      </c>
      <c r="Q792" s="14" t="str">
        <f t="shared" si="2"/>
        <v/>
      </c>
      <c r="R792" s="15" t="str">
        <f>IFERROR(__xludf.DUMMYFUNCTION("IF($A792="""","""", IFERROR(PERCENTRANK.INC(FILTER(P:P,$E:$E&lt;&gt;""""),P792)*100,""""))"),"")</f>
        <v/>
      </c>
      <c r="S792" s="15" t="str">
        <f>IFERROR(__xludf.DUMMYFUNCTION("IF($A792="""","""",IFERROR(PERCENTRANK.INC(FILTER(Q:Q,$E:$E&lt;&gt;""""),Q792)*100,""""))"),"")</f>
        <v/>
      </c>
    </row>
    <row r="793">
      <c r="B793" t="str">
        <f t="array" ref="B793">IFERROR(INDEX('Player Raw Data'!C:C,Match($A793,'Player Raw Data'!$B:$B,0)),"")</f>
        <v/>
      </c>
      <c r="C793" t="str">
        <f t="array" ref="C793">IFERROR(INDEX('Player Raw Data'!D:D,Match($A793,'Player Raw Data'!$B:$B,0)),"")</f>
        <v/>
      </c>
      <c r="D793" t="str">
        <f t="array" ref="D793">IFERROR(IF(A793=A792, INDEX('Player Raw Data'!E:E,Match($A793,'Player Raw Data'!$B:$B,0)+2),INDEX('Player Raw Data'!E:E,Match($A793,'Player Raw Data'!$B:$B,0))),"")</f>
        <v/>
      </c>
      <c r="E793" s="27" t="str">
        <f>IFERROR(__xludf.DUMMYFUNCTION("IFERROR(ARRAY_CONSTRAIN(SPLIT(INDEX('Daily Raw Data'!G:G,Match($A793,'Daily Raw Data'!$B:$B,0)),"":""),1,1),"""")"),"")</f>
        <v/>
      </c>
      <c r="F793" t="str">
        <f t="array" ref="F793">IFERROR(INDEX('Daily Raw Data'!H:H,Match($A793,'Daily Raw Data'!$B:$B,0)),"")</f>
        <v/>
      </c>
      <c r="G793" t="str">
        <f t="array" ref="G793">IFERROR(INDEX('Daily Raw Data'!I:I,Match($A793,'Daily Raw Data'!$B:$B,0)),"")</f>
        <v/>
      </c>
      <c r="H793" t="str">
        <f t="array" ref="H793">IFERROR(INDEX('Daily Raw Data'!N:N,Match($A793,'Daily Raw Data'!$B:$B,0)),"")</f>
        <v/>
      </c>
      <c r="I793" t="str">
        <f t="array" ref="I793">IFERROR(INDEX('Daily Raw Data'!O:O,Match($A793,'Daily Raw Data'!$B:$B,0)),"")</f>
        <v/>
      </c>
      <c r="J793" t="str">
        <f t="array" ref="J793">IFERROR(INDEX('Daily Raw Data'!S:S,Match($A793,'Daily Raw Data'!$B:$B,0)),"")</f>
        <v/>
      </c>
      <c r="K793" t="str">
        <f t="array" ref="K793">IFERROR(INDEX('Daily Raw Data'!T:T,Match($A793,'Daily Raw Data'!$B:$B,0)),"")</f>
        <v/>
      </c>
      <c r="L793" t="str">
        <f t="array" ref="L793">IFERROR(INDEX('Daily Raw Data'!U:U,Match($A793,'Daily Raw Data'!$B:$B,0)),"")</f>
        <v/>
      </c>
      <c r="M793" t="str">
        <f t="array" ref="M793">IFERROR(INDEX('Daily Raw Data'!V:V,Match($A793,'Daily Raw Data'!$B:$B,0)),"")</f>
        <v/>
      </c>
      <c r="N793" t="str">
        <f t="array" ref="N793">IFERROR(INDEX('Daily Raw Data'!W:W,Match($A793,'Daily Raw Data'!$B:$B,0)),"")</f>
        <v/>
      </c>
      <c r="O793" t="str">
        <f t="array" ref="O793">IFERROR(INDEX('Daily Raw Data'!Y:Y,Match($A793,'Daily Raw Data'!$B:$B,0)),"")</f>
        <v/>
      </c>
      <c r="P793" t="str">
        <f t="shared" si="1"/>
        <v/>
      </c>
      <c r="Q793" s="14" t="str">
        <f t="shared" si="2"/>
        <v/>
      </c>
      <c r="R793" s="15" t="str">
        <f>IFERROR(__xludf.DUMMYFUNCTION("IF($A793="""","""", IFERROR(PERCENTRANK.INC(FILTER(P:P,$E:$E&lt;&gt;""""),P793)*100,""""))"),"")</f>
        <v/>
      </c>
      <c r="S793" s="15" t="str">
        <f>IFERROR(__xludf.DUMMYFUNCTION("IF($A793="""","""",IFERROR(PERCENTRANK.INC(FILTER(Q:Q,$E:$E&lt;&gt;""""),Q793)*100,""""))"),"")</f>
        <v/>
      </c>
    </row>
    <row r="794">
      <c r="B794" t="str">
        <f t="array" ref="B794">IFERROR(INDEX('Player Raw Data'!C:C,Match($A794,'Player Raw Data'!$B:$B,0)),"")</f>
        <v/>
      </c>
      <c r="C794" t="str">
        <f t="array" ref="C794">IFERROR(INDEX('Player Raw Data'!D:D,Match($A794,'Player Raw Data'!$B:$B,0)),"")</f>
        <v/>
      </c>
      <c r="D794" t="str">
        <f t="array" ref="D794">IFERROR(IF(A794=A793, INDEX('Player Raw Data'!E:E,Match($A794,'Player Raw Data'!$B:$B,0)+2),INDEX('Player Raw Data'!E:E,Match($A794,'Player Raw Data'!$B:$B,0))),"")</f>
        <v/>
      </c>
      <c r="E794" s="27" t="str">
        <f>IFERROR(__xludf.DUMMYFUNCTION("IFERROR(ARRAY_CONSTRAIN(SPLIT(INDEX('Daily Raw Data'!G:G,Match($A794,'Daily Raw Data'!$B:$B,0)),"":""),1,1),"""")"),"")</f>
        <v/>
      </c>
      <c r="F794" t="str">
        <f t="array" ref="F794">IFERROR(INDEX('Daily Raw Data'!H:H,Match($A794,'Daily Raw Data'!$B:$B,0)),"")</f>
        <v/>
      </c>
      <c r="G794" t="str">
        <f t="array" ref="G794">IFERROR(INDEX('Daily Raw Data'!I:I,Match($A794,'Daily Raw Data'!$B:$B,0)),"")</f>
        <v/>
      </c>
      <c r="H794" t="str">
        <f t="array" ref="H794">IFERROR(INDEX('Daily Raw Data'!N:N,Match($A794,'Daily Raw Data'!$B:$B,0)),"")</f>
        <v/>
      </c>
      <c r="I794" t="str">
        <f t="array" ref="I794">IFERROR(INDEX('Daily Raw Data'!O:O,Match($A794,'Daily Raw Data'!$B:$B,0)),"")</f>
        <v/>
      </c>
      <c r="J794" t="str">
        <f t="array" ref="J794">IFERROR(INDEX('Daily Raw Data'!S:S,Match($A794,'Daily Raw Data'!$B:$B,0)),"")</f>
        <v/>
      </c>
      <c r="K794" t="str">
        <f t="array" ref="K794">IFERROR(INDEX('Daily Raw Data'!T:T,Match($A794,'Daily Raw Data'!$B:$B,0)),"")</f>
        <v/>
      </c>
      <c r="L794" t="str">
        <f t="array" ref="L794">IFERROR(INDEX('Daily Raw Data'!U:U,Match($A794,'Daily Raw Data'!$B:$B,0)),"")</f>
        <v/>
      </c>
      <c r="M794" t="str">
        <f t="array" ref="M794">IFERROR(INDEX('Daily Raw Data'!V:V,Match($A794,'Daily Raw Data'!$B:$B,0)),"")</f>
        <v/>
      </c>
      <c r="N794" t="str">
        <f t="array" ref="N794">IFERROR(INDEX('Daily Raw Data'!W:W,Match($A794,'Daily Raw Data'!$B:$B,0)),"")</f>
        <v/>
      </c>
      <c r="O794" t="str">
        <f t="array" ref="O794">IFERROR(INDEX('Daily Raw Data'!Y:Y,Match($A794,'Daily Raw Data'!$B:$B,0)),"")</f>
        <v/>
      </c>
      <c r="P794" t="str">
        <f t="shared" si="1"/>
        <v/>
      </c>
      <c r="Q794" s="14" t="str">
        <f t="shared" si="2"/>
        <v/>
      </c>
      <c r="R794" s="15" t="str">
        <f>IFERROR(__xludf.DUMMYFUNCTION("IF($A794="""","""", IFERROR(PERCENTRANK.INC(FILTER(P:P,$E:$E&lt;&gt;""""),P794)*100,""""))"),"")</f>
        <v/>
      </c>
      <c r="S794" s="15" t="str">
        <f>IFERROR(__xludf.DUMMYFUNCTION("IF($A794="""","""",IFERROR(PERCENTRANK.INC(FILTER(Q:Q,$E:$E&lt;&gt;""""),Q794)*100,""""))"),"")</f>
        <v/>
      </c>
    </row>
    <row r="795">
      <c r="B795" t="str">
        <f t="array" ref="B795">IFERROR(INDEX('Player Raw Data'!C:C,Match($A795,'Player Raw Data'!$B:$B,0)),"")</f>
        <v/>
      </c>
      <c r="C795" t="str">
        <f t="array" ref="C795">IFERROR(INDEX('Player Raw Data'!D:D,Match($A795,'Player Raw Data'!$B:$B,0)),"")</f>
        <v/>
      </c>
      <c r="D795" t="str">
        <f t="array" ref="D795">IFERROR(IF(A795=A794, INDEX('Player Raw Data'!E:E,Match($A795,'Player Raw Data'!$B:$B,0)+2),INDEX('Player Raw Data'!E:E,Match($A795,'Player Raw Data'!$B:$B,0))),"")</f>
        <v/>
      </c>
      <c r="E795" s="27" t="str">
        <f>IFERROR(__xludf.DUMMYFUNCTION("IFERROR(ARRAY_CONSTRAIN(SPLIT(INDEX('Daily Raw Data'!G:G,Match($A795,'Daily Raw Data'!$B:$B,0)),"":""),1,1),"""")"),"")</f>
        <v/>
      </c>
      <c r="F795" t="str">
        <f t="array" ref="F795">IFERROR(INDEX('Daily Raw Data'!H:H,Match($A795,'Daily Raw Data'!$B:$B,0)),"")</f>
        <v/>
      </c>
      <c r="G795" t="str">
        <f t="array" ref="G795">IFERROR(INDEX('Daily Raw Data'!I:I,Match($A795,'Daily Raw Data'!$B:$B,0)),"")</f>
        <v/>
      </c>
      <c r="H795" t="str">
        <f t="array" ref="H795">IFERROR(INDEX('Daily Raw Data'!N:N,Match($A795,'Daily Raw Data'!$B:$B,0)),"")</f>
        <v/>
      </c>
      <c r="I795" t="str">
        <f t="array" ref="I795">IFERROR(INDEX('Daily Raw Data'!O:O,Match($A795,'Daily Raw Data'!$B:$B,0)),"")</f>
        <v/>
      </c>
      <c r="J795" t="str">
        <f t="array" ref="J795">IFERROR(INDEX('Daily Raw Data'!S:S,Match($A795,'Daily Raw Data'!$B:$B,0)),"")</f>
        <v/>
      </c>
      <c r="K795" t="str">
        <f t="array" ref="K795">IFERROR(INDEX('Daily Raw Data'!T:T,Match($A795,'Daily Raw Data'!$B:$B,0)),"")</f>
        <v/>
      </c>
      <c r="L795" t="str">
        <f t="array" ref="L795">IFERROR(INDEX('Daily Raw Data'!U:U,Match($A795,'Daily Raw Data'!$B:$B,0)),"")</f>
        <v/>
      </c>
      <c r="M795" t="str">
        <f t="array" ref="M795">IFERROR(INDEX('Daily Raw Data'!V:V,Match($A795,'Daily Raw Data'!$B:$B,0)),"")</f>
        <v/>
      </c>
      <c r="N795" t="str">
        <f t="array" ref="N795">IFERROR(INDEX('Daily Raw Data'!W:W,Match($A795,'Daily Raw Data'!$B:$B,0)),"")</f>
        <v/>
      </c>
      <c r="O795" t="str">
        <f t="array" ref="O795">IFERROR(INDEX('Daily Raw Data'!Y:Y,Match($A795,'Daily Raw Data'!$B:$B,0)),"")</f>
        <v/>
      </c>
      <c r="P795" t="str">
        <f t="shared" si="1"/>
        <v/>
      </c>
      <c r="Q795" s="14" t="str">
        <f t="shared" si="2"/>
        <v/>
      </c>
      <c r="R795" s="15" t="str">
        <f>IFERROR(__xludf.DUMMYFUNCTION("IF($A795="""","""", IFERROR(PERCENTRANK.INC(FILTER(P:P,$E:$E&lt;&gt;""""),P795)*100,""""))"),"")</f>
        <v/>
      </c>
      <c r="S795" s="15" t="str">
        <f>IFERROR(__xludf.DUMMYFUNCTION("IF($A795="""","""",IFERROR(PERCENTRANK.INC(FILTER(Q:Q,$E:$E&lt;&gt;""""),Q795)*100,""""))"),"")</f>
        <v/>
      </c>
    </row>
    <row r="796">
      <c r="B796" t="str">
        <f t="array" ref="B796">IFERROR(INDEX('Player Raw Data'!C:C,Match($A796,'Player Raw Data'!$B:$B,0)),"")</f>
        <v/>
      </c>
      <c r="C796" t="str">
        <f t="array" ref="C796">IFERROR(INDEX('Player Raw Data'!D:D,Match($A796,'Player Raw Data'!$B:$B,0)),"")</f>
        <v/>
      </c>
      <c r="D796" t="str">
        <f t="array" ref="D796">IFERROR(IF(A796=A795, INDEX('Player Raw Data'!E:E,Match($A796,'Player Raw Data'!$B:$B,0)+2),INDEX('Player Raw Data'!E:E,Match($A796,'Player Raw Data'!$B:$B,0))),"")</f>
        <v/>
      </c>
      <c r="E796" s="27" t="str">
        <f>IFERROR(__xludf.DUMMYFUNCTION("IFERROR(ARRAY_CONSTRAIN(SPLIT(INDEX('Daily Raw Data'!G:G,Match($A796,'Daily Raw Data'!$B:$B,0)),"":""),1,1),"""")"),"")</f>
        <v/>
      </c>
      <c r="F796" t="str">
        <f t="array" ref="F796">IFERROR(INDEX('Daily Raw Data'!H:H,Match($A796,'Daily Raw Data'!$B:$B,0)),"")</f>
        <v/>
      </c>
      <c r="G796" t="str">
        <f t="array" ref="G796">IFERROR(INDEX('Daily Raw Data'!I:I,Match($A796,'Daily Raw Data'!$B:$B,0)),"")</f>
        <v/>
      </c>
      <c r="H796" t="str">
        <f t="array" ref="H796">IFERROR(INDEX('Daily Raw Data'!N:N,Match($A796,'Daily Raw Data'!$B:$B,0)),"")</f>
        <v/>
      </c>
      <c r="I796" t="str">
        <f t="array" ref="I796">IFERROR(INDEX('Daily Raw Data'!O:O,Match($A796,'Daily Raw Data'!$B:$B,0)),"")</f>
        <v/>
      </c>
      <c r="J796" t="str">
        <f t="array" ref="J796">IFERROR(INDEX('Daily Raw Data'!S:S,Match($A796,'Daily Raw Data'!$B:$B,0)),"")</f>
        <v/>
      </c>
      <c r="K796" t="str">
        <f t="array" ref="K796">IFERROR(INDEX('Daily Raw Data'!T:T,Match($A796,'Daily Raw Data'!$B:$B,0)),"")</f>
        <v/>
      </c>
      <c r="L796" t="str">
        <f t="array" ref="L796">IFERROR(INDEX('Daily Raw Data'!U:U,Match($A796,'Daily Raw Data'!$B:$B,0)),"")</f>
        <v/>
      </c>
      <c r="M796" t="str">
        <f t="array" ref="M796">IFERROR(INDEX('Daily Raw Data'!V:V,Match($A796,'Daily Raw Data'!$B:$B,0)),"")</f>
        <v/>
      </c>
      <c r="N796" t="str">
        <f t="array" ref="N796">IFERROR(INDEX('Daily Raw Data'!W:W,Match($A796,'Daily Raw Data'!$B:$B,0)),"")</f>
        <v/>
      </c>
      <c r="O796" t="str">
        <f t="array" ref="O796">IFERROR(INDEX('Daily Raw Data'!Y:Y,Match($A796,'Daily Raw Data'!$B:$B,0)),"")</f>
        <v/>
      </c>
      <c r="P796" t="str">
        <f t="shared" si="1"/>
        <v/>
      </c>
      <c r="Q796" s="14" t="str">
        <f t="shared" si="2"/>
        <v/>
      </c>
      <c r="R796" s="15" t="str">
        <f>IFERROR(__xludf.DUMMYFUNCTION("IF($A796="""","""", IFERROR(PERCENTRANK.INC(FILTER(P:P,$E:$E&lt;&gt;""""),P796)*100,""""))"),"")</f>
        <v/>
      </c>
      <c r="S796" s="15" t="str">
        <f>IFERROR(__xludf.DUMMYFUNCTION("IF($A796="""","""",IFERROR(PERCENTRANK.INC(FILTER(Q:Q,$E:$E&lt;&gt;""""),Q796)*100,""""))"),"")</f>
        <v/>
      </c>
    </row>
    <row r="797">
      <c r="B797" t="str">
        <f t="array" ref="B797">IFERROR(INDEX('Player Raw Data'!C:C,Match($A797,'Player Raw Data'!$B:$B,0)),"")</f>
        <v/>
      </c>
      <c r="C797" t="str">
        <f t="array" ref="C797">IFERROR(INDEX('Player Raw Data'!D:D,Match($A797,'Player Raw Data'!$B:$B,0)),"")</f>
        <v/>
      </c>
      <c r="D797" t="str">
        <f t="array" ref="D797">IFERROR(IF(A797=A796, INDEX('Player Raw Data'!E:E,Match($A797,'Player Raw Data'!$B:$B,0)+2),INDEX('Player Raw Data'!E:E,Match($A797,'Player Raw Data'!$B:$B,0))),"")</f>
        <v/>
      </c>
      <c r="E797" s="27" t="str">
        <f>IFERROR(__xludf.DUMMYFUNCTION("IFERROR(ARRAY_CONSTRAIN(SPLIT(INDEX('Daily Raw Data'!G:G,Match($A797,'Daily Raw Data'!$B:$B,0)),"":""),1,1),"""")"),"")</f>
        <v/>
      </c>
      <c r="F797" t="str">
        <f t="array" ref="F797">IFERROR(INDEX('Daily Raw Data'!H:H,Match($A797,'Daily Raw Data'!$B:$B,0)),"")</f>
        <v/>
      </c>
      <c r="G797" t="str">
        <f t="array" ref="G797">IFERROR(INDEX('Daily Raw Data'!I:I,Match($A797,'Daily Raw Data'!$B:$B,0)),"")</f>
        <v/>
      </c>
      <c r="H797" t="str">
        <f t="array" ref="H797">IFERROR(INDEX('Daily Raw Data'!N:N,Match($A797,'Daily Raw Data'!$B:$B,0)),"")</f>
        <v/>
      </c>
      <c r="I797" t="str">
        <f t="array" ref="I797">IFERROR(INDEX('Daily Raw Data'!O:O,Match($A797,'Daily Raw Data'!$B:$B,0)),"")</f>
        <v/>
      </c>
      <c r="J797" t="str">
        <f t="array" ref="J797">IFERROR(INDEX('Daily Raw Data'!S:S,Match($A797,'Daily Raw Data'!$B:$B,0)),"")</f>
        <v/>
      </c>
      <c r="K797" t="str">
        <f t="array" ref="K797">IFERROR(INDEX('Daily Raw Data'!T:T,Match($A797,'Daily Raw Data'!$B:$B,0)),"")</f>
        <v/>
      </c>
      <c r="L797" t="str">
        <f t="array" ref="L797">IFERROR(INDEX('Daily Raw Data'!U:U,Match($A797,'Daily Raw Data'!$B:$B,0)),"")</f>
        <v/>
      </c>
      <c r="M797" t="str">
        <f t="array" ref="M797">IFERROR(INDEX('Daily Raw Data'!V:V,Match($A797,'Daily Raw Data'!$B:$B,0)),"")</f>
        <v/>
      </c>
      <c r="N797" t="str">
        <f t="array" ref="N797">IFERROR(INDEX('Daily Raw Data'!W:W,Match($A797,'Daily Raw Data'!$B:$B,0)),"")</f>
        <v/>
      </c>
      <c r="O797" t="str">
        <f t="array" ref="O797">IFERROR(INDEX('Daily Raw Data'!Y:Y,Match($A797,'Daily Raw Data'!$B:$B,0)),"")</f>
        <v/>
      </c>
      <c r="P797" t="str">
        <f t="shared" si="1"/>
        <v/>
      </c>
      <c r="Q797" s="14" t="str">
        <f t="shared" si="2"/>
        <v/>
      </c>
      <c r="R797" s="15" t="str">
        <f>IFERROR(__xludf.DUMMYFUNCTION("IF($A797="""","""", IFERROR(PERCENTRANK.INC(FILTER(P:P,$E:$E&lt;&gt;""""),P797)*100,""""))"),"")</f>
        <v/>
      </c>
      <c r="S797" s="15" t="str">
        <f>IFERROR(__xludf.DUMMYFUNCTION("IF($A797="""","""",IFERROR(PERCENTRANK.INC(FILTER(Q:Q,$E:$E&lt;&gt;""""),Q797)*100,""""))"),"")</f>
        <v/>
      </c>
    </row>
    <row r="798">
      <c r="B798" t="str">
        <f t="array" ref="B798">IFERROR(INDEX('Player Raw Data'!C:C,Match($A798,'Player Raw Data'!$B:$B,0)),"")</f>
        <v/>
      </c>
      <c r="C798" t="str">
        <f t="array" ref="C798">IFERROR(INDEX('Player Raw Data'!D:D,Match($A798,'Player Raw Data'!$B:$B,0)),"")</f>
        <v/>
      </c>
      <c r="D798" t="str">
        <f t="array" ref="D798">IFERROR(IF(A798=A797, INDEX('Player Raw Data'!E:E,Match($A798,'Player Raw Data'!$B:$B,0)+2),INDEX('Player Raw Data'!E:E,Match($A798,'Player Raw Data'!$B:$B,0))),"")</f>
        <v/>
      </c>
      <c r="E798" s="27" t="str">
        <f>IFERROR(__xludf.DUMMYFUNCTION("IFERROR(ARRAY_CONSTRAIN(SPLIT(INDEX('Daily Raw Data'!G:G,Match($A798,'Daily Raw Data'!$B:$B,0)),"":""),1,1),"""")"),"")</f>
        <v/>
      </c>
      <c r="F798" t="str">
        <f t="array" ref="F798">IFERROR(INDEX('Daily Raw Data'!H:H,Match($A798,'Daily Raw Data'!$B:$B,0)),"")</f>
        <v/>
      </c>
      <c r="G798" t="str">
        <f t="array" ref="G798">IFERROR(INDEX('Daily Raw Data'!I:I,Match($A798,'Daily Raw Data'!$B:$B,0)),"")</f>
        <v/>
      </c>
      <c r="H798" t="str">
        <f t="array" ref="H798">IFERROR(INDEX('Daily Raw Data'!N:N,Match($A798,'Daily Raw Data'!$B:$B,0)),"")</f>
        <v/>
      </c>
      <c r="I798" t="str">
        <f t="array" ref="I798">IFERROR(INDEX('Daily Raw Data'!O:O,Match($A798,'Daily Raw Data'!$B:$B,0)),"")</f>
        <v/>
      </c>
      <c r="J798" t="str">
        <f t="array" ref="J798">IFERROR(INDEX('Daily Raw Data'!S:S,Match($A798,'Daily Raw Data'!$B:$B,0)),"")</f>
        <v/>
      </c>
      <c r="K798" t="str">
        <f t="array" ref="K798">IFERROR(INDEX('Daily Raw Data'!T:T,Match($A798,'Daily Raw Data'!$B:$B,0)),"")</f>
        <v/>
      </c>
      <c r="L798" t="str">
        <f t="array" ref="L798">IFERROR(INDEX('Daily Raw Data'!U:U,Match($A798,'Daily Raw Data'!$B:$B,0)),"")</f>
        <v/>
      </c>
      <c r="M798" t="str">
        <f t="array" ref="M798">IFERROR(INDEX('Daily Raw Data'!V:V,Match($A798,'Daily Raw Data'!$B:$B,0)),"")</f>
        <v/>
      </c>
      <c r="N798" t="str">
        <f t="array" ref="N798">IFERROR(INDEX('Daily Raw Data'!W:W,Match($A798,'Daily Raw Data'!$B:$B,0)),"")</f>
        <v/>
      </c>
      <c r="O798" t="str">
        <f t="array" ref="O798">IFERROR(INDEX('Daily Raw Data'!Y:Y,Match($A798,'Daily Raw Data'!$B:$B,0)),"")</f>
        <v/>
      </c>
      <c r="P798" t="str">
        <f t="shared" si="1"/>
        <v/>
      </c>
      <c r="Q798" s="14" t="str">
        <f t="shared" si="2"/>
        <v/>
      </c>
      <c r="R798" s="15" t="str">
        <f>IFERROR(__xludf.DUMMYFUNCTION("IF($A798="""","""", IFERROR(PERCENTRANK.INC(FILTER(P:P,$E:$E&lt;&gt;""""),P798)*100,""""))"),"")</f>
        <v/>
      </c>
      <c r="S798" s="15" t="str">
        <f>IFERROR(__xludf.DUMMYFUNCTION("IF($A798="""","""",IFERROR(PERCENTRANK.INC(FILTER(Q:Q,$E:$E&lt;&gt;""""),Q798)*100,""""))"),"")</f>
        <v/>
      </c>
    </row>
    <row r="799">
      <c r="B799" t="str">
        <f t="array" ref="B799">IFERROR(INDEX('Player Raw Data'!C:C,Match($A799,'Player Raw Data'!$B:$B,0)),"")</f>
        <v/>
      </c>
      <c r="C799" t="str">
        <f t="array" ref="C799">IFERROR(INDEX('Player Raw Data'!D:D,Match($A799,'Player Raw Data'!$B:$B,0)),"")</f>
        <v/>
      </c>
      <c r="D799" t="str">
        <f t="array" ref="D799">IFERROR(IF(A799=A798, INDEX('Player Raw Data'!E:E,Match($A799,'Player Raw Data'!$B:$B,0)+2),INDEX('Player Raw Data'!E:E,Match($A799,'Player Raw Data'!$B:$B,0))),"")</f>
        <v/>
      </c>
      <c r="E799" s="27" t="str">
        <f>IFERROR(__xludf.DUMMYFUNCTION("IFERROR(ARRAY_CONSTRAIN(SPLIT(INDEX('Daily Raw Data'!G:G,Match($A799,'Daily Raw Data'!$B:$B,0)),"":""),1,1),"""")"),"")</f>
        <v/>
      </c>
      <c r="F799" t="str">
        <f t="array" ref="F799">IFERROR(INDEX('Daily Raw Data'!H:H,Match($A799,'Daily Raw Data'!$B:$B,0)),"")</f>
        <v/>
      </c>
      <c r="G799" t="str">
        <f t="array" ref="G799">IFERROR(INDEX('Daily Raw Data'!I:I,Match($A799,'Daily Raw Data'!$B:$B,0)),"")</f>
        <v/>
      </c>
      <c r="H799" t="str">
        <f t="array" ref="H799">IFERROR(INDEX('Daily Raw Data'!N:N,Match($A799,'Daily Raw Data'!$B:$B,0)),"")</f>
        <v/>
      </c>
      <c r="I799" t="str">
        <f t="array" ref="I799">IFERROR(INDEX('Daily Raw Data'!O:O,Match($A799,'Daily Raw Data'!$B:$B,0)),"")</f>
        <v/>
      </c>
      <c r="J799" t="str">
        <f t="array" ref="J799">IFERROR(INDEX('Daily Raw Data'!S:S,Match($A799,'Daily Raw Data'!$B:$B,0)),"")</f>
        <v/>
      </c>
      <c r="K799" t="str">
        <f t="array" ref="K799">IFERROR(INDEX('Daily Raw Data'!T:T,Match($A799,'Daily Raw Data'!$B:$B,0)),"")</f>
        <v/>
      </c>
      <c r="L799" t="str">
        <f t="array" ref="L799">IFERROR(INDEX('Daily Raw Data'!U:U,Match($A799,'Daily Raw Data'!$B:$B,0)),"")</f>
        <v/>
      </c>
      <c r="M799" t="str">
        <f t="array" ref="M799">IFERROR(INDEX('Daily Raw Data'!V:V,Match($A799,'Daily Raw Data'!$B:$B,0)),"")</f>
        <v/>
      </c>
      <c r="N799" t="str">
        <f t="array" ref="N799">IFERROR(INDEX('Daily Raw Data'!W:W,Match($A799,'Daily Raw Data'!$B:$B,0)),"")</f>
        <v/>
      </c>
      <c r="O799" t="str">
        <f t="array" ref="O799">IFERROR(INDEX('Daily Raw Data'!Y:Y,Match($A799,'Daily Raw Data'!$B:$B,0)),"")</f>
        <v/>
      </c>
      <c r="P799" t="str">
        <f t="shared" si="1"/>
        <v/>
      </c>
      <c r="Q799" s="14" t="str">
        <f t="shared" si="2"/>
        <v/>
      </c>
      <c r="R799" s="15" t="str">
        <f>IFERROR(__xludf.DUMMYFUNCTION("IF($A799="""","""", IFERROR(PERCENTRANK.INC(FILTER(P:P,$E:$E&lt;&gt;""""),P799)*100,""""))"),"")</f>
        <v/>
      </c>
      <c r="S799" s="15" t="str">
        <f>IFERROR(__xludf.DUMMYFUNCTION("IF($A799="""","""",IFERROR(PERCENTRANK.INC(FILTER(Q:Q,$E:$E&lt;&gt;""""),Q799)*100,""""))"),"")</f>
        <v/>
      </c>
    </row>
    <row r="800">
      <c r="B800" t="str">
        <f t="array" ref="B800">IFERROR(INDEX('Player Raw Data'!C:C,Match($A800,'Player Raw Data'!$B:$B,0)),"")</f>
        <v/>
      </c>
      <c r="C800" t="str">
        <f t="array" ref="C800">IFERROR(INDEX('Player Raw Data'!D:D,Match($A800,'Player Raw Data'!$B:$B,0)),"")</f>
        <v/>
      </c>
      <c r="D800" t="str">
        <f t="array" ref="D800">IFERROR(IF(A800=A799, INDEX('Player Raw Data'!E:E,Match($A800,'Player Raw Data'!$B:$B,0)+2),INDEX('Player Raw Data'!E:E,Match($A800,'Player Raw Data'!$B:$B,0))),"")</f>
        <v/>
      </c>
      <c r="E800" s="27" t="str">
        <f>IFERROR(__xludf.DUMMYFUNCTION("IFERROR(ARRAY_CONSTRAIN(SPLIT(INDEX('Daily Raw Data'!G:G,Match($A800,'Daily Raw Data'!$B:$B,0)),"":""),1,1),"""")"),"")</f>
        <v/>
      </c>
      <c r="F800" t="str">
        <f t="array" ref="F800">IFERROR(INDEX('Daily Raw Data'!H:H,Match($A800,'Daily Raw Data'!$B:$B,0)),"")</f>
        <v/>
      </c>
      <c r="G800" t="str">
        <f t="array" ref="G800">IFERROR(INDEX('Daily Raw Data'!I:I,Match($A800,'Daily Raw Data'!$B:$B,0)),"")</f>
        <v/>
      </c>
      <c r="H800" t="str">
        <f t="array" ref="H800">IFERROR(INDEX('Daily Raw Data'!N:N,Match($A800,'Daily Raw Data'!$B:$B,0)),"")</f>
        <v/>
      </c>
      <c r="I800" t="str">
        <f t="array" ref="I800">IFERROR(INDEX('Daily Raw Data'!O:O,Match($A800,'Daily Raw Data'!$B:$B,0)),"")</f>
        <v/>
      </c>
      <c r="J800" t="str">
        <f t="array" ref="J800">IFERROR(INDEX('Daily Raw Data'!S:S,Match($A800,'Daily Raw Data'!$B:$B,0)),"")</f>
        <v/>
      </c>
      <c r="K800" t="str">
        <f t="array" ref="K800">IFERROR(INDEX('Daily Raw Data'!T:T,Match($A800,'Daily Raw Data'!$B:$B,0)),"")</f>
        <v/>
      </c>
      <c r="L800" t="str">
        <f t="array" ref="L800">IFERROR(INDEX('Daily Raw Data'!U:U,Match($A800,'Daily Raw Data'!$B:$B,0)),"")</f>
        <v/>
      </c>
      <c r="M800" t="str">
        <f t="array" ref="M800">IFERROR(INDEX('Daily Raw Data'!V:V,Match($A800,'Daily Raw Data'!$B:$B,0)),"")</f>
        <v/>
      </c>
      <c r="N800" t="str">
        <f t="array" ref="N800">IFERROR(INDEX('Daily Raw Data'!W:W,Match($A800,'Daily Raw Data'!$B:$B,0)),"")</f>
        <v/>
      </c>
      <c r="O800" t="str">
        <f t="array" ref="O800">IFERROR(INDEX('Daily Raw Data'!Y:Y,Match($A800,'Daily Raw Data'!$B:$B,0)),"")</f>
        <v/>
      </c>
      <c r="P800" t="str">
        <f t="shared" si="1"/>
        <v/>
      </c>
      <c r="Q800" s="14" t="str">
        <f t="shared" si="2"/>
        <v/>
      </c>
      <c r="R800" s="15" t="str">
        <f>IFERROR(__xludf.DUMMYFUNCTION("IF($A800="""","""", IFERROR(PERCENTRANK.INC(FILTER(P:P,$E:$E&lt;&gt;""""),P800)*100,""""))"),"")</f>
        <v/>
      </c>
      <c r="S800" s="15" t="str">
        <f>IFERROR(__xludf.DUMMYFUNCTION("IF($A800="""","""",IFERROR(PERCENTRANK.INC(FILTER(Q:Q,$E:$E&lt;&gt;""""),Q800)*100,""""))"),"")</f>
        <v/>
      </c>
    </row>
    <row r="801">
      <c r="B801" t="str">
        <f t="array" ref="B801">IFERROR(INDEX('Player Raw Data'!C:C,Match($A801,'Player Raw Data'!$B:$B,0)),"")</f>
        <v/>
      </c>
      <c r="C801" t="str">
        <f t="array" ref="C801">IFERROR(INDEX('Player Raw Data'!D:D,Match($A801,'Player Raw Data'!$B:$B,0)),"")</f>
        <v/>
      </c>
      <c r="D801" t="str">
        <f t="array" ref="D801">IFERROR(IF(A801=A800, INDEX('Player Raw Data'!E:E,Match($A801,'Player Raw Data'!$B:$B,0)+2),INDEX('Player Raw Data'!E:E,Match($A801,'Player Raw Data'!$B:$B,0))),"")</f>
        <v/>
      </c>
      <c r="E801" s="27" t="str">
        <f>IFERROR(__xludf.DUMMYFUNCTION("IFERROR(ARRAY_CONSTRAIN(SPLIT(INDEX('Daily Raw Data'!G:G,Match($A801,'Daily Raw Data'!$B:$B,0)),"":""),1,1),"""")"),"")</f>
        <v/>
      </c>
      <c r="F801" t="str">
        <f t="array" ref="F801">IFERROR(INDEX('Daily Raw Data'!H:H,Match($A801,'Daily Raw Data'!$B:$B,0)),"")</f>
        <v/>
      </c>
      <c r="G801" t="str">
        <f t="array" ref="G801">IFERROR(INDEX('Daily Raw Data'!I:I,Match($A801,'Daily Raw Data'!$B:$B,0)),"")</f>
        <v/>
      </c>
      <c r="H801" t="str">
        <f t="array" ref="H801">IFERROR(INDEX('Daily Raw Data'!N:N,Match($A801,'Daily Raw Data'!$B:$B,0)),"")</f>
        <v/>
      </c>
      <c r="I801" t="str">
        <f t="array" ref="I801">IFERROR(INDEX('Daily Raw Data'!O:O,Match($A801,'Daily Raw Data'!$B:$B,0)),"")</f>
        <v/>
      </c>
      <c r="J801" t="str">
        <f t="array" ref="J801">IFERROR(INDEX('Daily Raw Data'!S:S,Match($A801,'Daily Raw Data'!$B:$B,0)),"")</f>
        <v/>
      </c>
      <c r="K801" t="str">
        <f t="array" ref="K801">IFERROR(INDEX('Daily Raw Data'!T:T,Match($A801,'Daily Raw Data'!$B:$B,0)),"")</f>
        <v/>
      </c>
      <c r="L801" t="str">
        <f t="array" ref="L801">IFERROR(INDEX('Daily Raw Data'!U:U,Match($A801,'Daily Raw Data'!$B:$B,0)),"")</f>
        <v/>
      </c>
      <c r="M801" t="str">
        <f t="array" ref="M801">IFERROR(INDEX('Daily Raw Data'!V:V,Match($A801,'Daily Raw Data'!$B:$B,0)),"")</f>
        <v/>
      </c>
      <c r="N801" t="str">
        <f t="array" ref="N801">IFERROR(INDEX('Daily Raw Data'!W:W,Match($A801,'Daily Raw Data'!$B:$B,0)),"")</f>
        <v/>
      </c>
      <c r="O801" t="str">
        <f t="array" ref="O801">IFERROR(INDEX('Daily Raw Data'!Y:Y,Match($A801,'Daily Raw Data'!$B:$B,0)),"")</f>
        <v/>
      </c>
      <c r="P801" t="str">
        <f t="shared" si="1"/>
        <v/>
      </c>
      <c r="Q801" s="14" t="str">
        <f t="shared" si="2"/>
        <v/>
      </c>
      <c r="R801" s="15" t="str">
        <f>IFERROR(__xludf.DUMMYFUNCTION("IF($A801="""","""", IFERROR(PERCENTRANK.INC(FILTER(P:P,$E:$E&lt;&gt;""""),P801)*100,""""))"),"")</f>
        <v/>
      </c>
      <c r="S801" s="15" t="str">
        <f>IFERROR(__xludf.DUMMYFUNCTION("IF($A801="""","""",IFERROR(PERCENTRANK.INC(FILTER(Q:Q,$E:$E&lt;&gt;""""),Q801)*100,""""))"),"")</f>
        <v/>
      </c>
    </row>
    <row r="802">
      <c r="B802" t="str">
        <f t="array" ref="B802">IFERROR(INDEX('Player Raw Data'!C:C,Match($A802,'Player Raw Data'!$B:$B,0)),"")</f>
        <v/>
      </c>
      <c r="C802" t="str">
        <f t="array" ref="C802">IFERROR(INDEX('Player Raw Data'!D:D,Match($A802,'Player Raw Data'!$B:$B,0)),"")</f>
        <v/>
      </c>
      <c r="D802" t="str">
        <f t="array" ref="D802">IFERROR(IF(A802=A801, INDEX('Player Raw Data'!E:E,Match($A802,'Player Raw Data'!$B:$B,0)+2),INDEX('Player Raw Data'!E:E,Match($A802,'Player Raw Data'!$B:$B,0))),"")</f>
        <v/>
      </c>
      <c r="E802" s="27" t="str">
        <f>IFERROR(__xludf.DUMMYFUNCTION("IFERROR(ARRAY_CONSTRAIN(SPLIT(INDEX('Daily Raw Data'!G:G,Match($A802,'Daily Raw Data'!$B:$B,0)),"":""),1,1),"""")"),"")</f>
        <v/>
      </c>
      <c r="F802" t="str">
        <f t="array" ref="F802">IFERROR(INDEX('Daily Raw Data'!H:H,Match($A802,'Daily Raw Data'!$B:$B,0)),"")</f>
        <v/>
      </c>
      <c r="G802" t="str">
        <f t="array" ref="G802">IFERROR(INDEX('Daily Raw Data'!I:I,Match($A802,'Daily Raw Data'!$B:$B,0)),"")</f>
        <v/>
      </c>
      <c r="H802" t="str">
        <f t="array" ref="H802">IFERROR(INDEX('Daily Raw Data'!N:N,Match($A802,'Daily Raw Data'!$B:$B,0)),"")</f>
        <v/>
      </c>
      <c r="I802" t="str">
        <f t="array" ref="I802">IFERROR(INDEX('Daily Raw Data'!O:O,Match($A802,'Daily Raw Data'!$B:$B,0)),"")</f>
        <v/>
      </c>
      <c r="J802" t="str">
        <f t="array" ref="J802">IFERROR(INDEX('Daily Raw Data'!S:S,Match($A802,'Daily Raw Data'!$B:$B,0)),"")</f>
        <v/>
      </c>
      <c r="K802" t="str">
        <f t="array" ref="K802">IFERROR(INDEX('Daily Raw Data'!T:T,Match($A802,'Daily Raw Data'!$B:$B,0)),"")</f>
        <v/>
      </c>
      <c r="L802" t="str">
        <f t="array" ref="L802">IFERROR(INDEX('Daily Raw Data'!U:U,Match($A802,'Daily Raw Data'!$B:$B,0)),"")</f>
        <v/>
      </c>
      <c r="M802" t="str">
        <f t="array" ref="M802">IFERROR(INDEX('Daily Raw Data'!V:V,Match($A802,'Daily Raw Data'!$B:$B,0)),"")</f>
        <v/>
      </c>
      <c r="N802" t="str">
        <f t="array" ref="N802">IFERROR(INDEX('Daily Raw Data'!W:W,Match($A802,'Daily Raw Data'!$B:$B,0)),"")</f>
        <v/>
      </c>
      <c r="O802" t="str">
        <f t="array" ref="O802">IFERROR(INDEX('Daily Raw Data'!Y:Y,Match($A802,'Daily Raw Data'!$B:$B,0)),"")</f>
        <v/>
      </c>
      <c r="P802" t="str">
        <f t="shared" si="1"/>
        <v/>
      </c>
      <c r="Q802" s="14" t="str">
        <f t="shared" si="2"/>
        <v/>
      </c>
      <c r="R802" s="15" t="str">
        <f>IFERROR(__xludf.DUMMYFUNCTION("IF($A802="""","""", IFERROR(PERCENTRANK.INC(FILTER(P:P,$E:$E&lt;&gt;""""),P802)*100,""""))"),"")</f>
        <v/>
      </c>
      <c r="S802" s="15" t="str">
        <f>IFERROR(__xludf.DUMMYFUNCTION("IF($A802="""","""",IFERROR(PERCENTRANK.INC(FILTER(Q:Q,$E:$E&lt;&gt;""""),Q802)*100,""""))"),"")</f>
        <v/>
      </c>
    </row>
    <row r="803">
      <c r="B803" t="str">
        <f t="array" ref="B803">IFERROR(INDEX('Player Raw Data'!C:C,Match($A803,'Player Raw Data'!$B:$B,0)),"")</f>
        <v/>
      </c>
      <c r="C803" t="str">
        <f t="array" ref="C803">IFERROR(INDEX('Player Raw Data'!D:D,Match($A803,'Player Raw Data'!$B:$B,0)),"")</f>
        <v/>
      </c>
      <c r="D803" t="str">
        <f t="array" ref="D803">IFERROR(IF(A803=A802, INDEX('Player Raw Data'!E:E,Match($A803,'Player Raw Data'!$B:$B,0)+2),INDEX('Player Raw Data'!E:E,Match($A803,'Player Raw Data'!$B:$B,0))),"")</f>
        <v/>
      </c>
      <c r="E803" s="27" t="str">
        <f>IFERROR(__xludf.DUMMYFUNCTION("IFERROR(ARRAY_CONSTRAIN(SPLIT(INDEX('Daily Raw Data'!G:G,Match($A803,'Daily Raw Data'!$B:$B,0)),"":""),1,1),"""")"),"")</f>
        <v/>
      </c>
      <c r="F803" t="str">
        <f t="array" ref="F803">IFERROR(INDEX('Daily Raw Data'!H:H,Match($A803,'Daily Raw Data'!$B:$B,0)),"")</f>
        <v/>
      </c>
      <c r="G803" t="str">
        <f t="array" ref="G803">IFERROR(INDEX('Daily Raw Data'!I:I,Match($A803,'Daily Raw Data'!$B:$B,0)),"")</f>
        <v/>
      </c>
      <c r="H803" t="str">
        <f t="array" ref="H803">IFERROR(INDEX('Daily Raw Data'!N:N,Match($A803,'Daily Raw Data'!$B:$B,0)),"")</f>
        <v/>
      </c>
      <c r="I803" t="str">
        <f t="array" ref="I803">IFERROR(INDEX('Daily Raw Data'!O:O,Match($A803,'Daily Raw Data'!$B:$B,0)),"")</f>
        <v/>
      </c>
      <c r="J803" t="str">
        <f t="array" ref="J803">IFERROR(INDEX('Daily Raw Data'!S:S,Match($A803,'Daily Raw Data'!$B:$B,0)),"")</f>
        <v/>
      </c>
      <c r="K803" t="str">
        <f t="array" ref="K803">IFERROR(INDEX('Daily Raw Data'!T:T,Match($A803,'Daily Raw Data'!$B:$B,0)),"")</f>
        <v/>
      </c>
      <c r="L803" t="str">
        <f t="array" ref="L803">IFERROR(INDEX('Daily Raw Data'!U:U,Match($A803,'Daily Raw Data'!$B:$B,0)),"")</f>
        <v/>
      </c>
      <c r="M803" t="str">
        <f t="array" ref="M803">IFERROR(INDEX('Daily Raw Data'!V:V,Match($A803,'Daily Raw Data'!$B:$B,0)),"")</f>
        <v/>
      </c>
      <c r="N803" t="str">
        <f t="array" ref="N803">IFERROR(INDEX('Daily Raw Data'!W:W,Match($A803,'Daily Raw Data'!$B:$B,0)),"")</f>
        <v/>
      </c>
      <c r="O803" t="str">
        <f t="array" ref="O803">IFERROR(INDEX('Daily Raw Data'!Y:Y,Match($A803,'Daily Raw Data'!$B:$B,0)),"")</f>
        <v/>
      </c>
      <c r="P803" t="str">
        <f t="shared" si="1"/>
        <v/>
      </c>
      <c r="Q803" s="14" t="str">
        <f t="shared" si="2"/>
        <v/>
      </c>
      <c r="R803" s="15" t="str">
        <f>IFERROR(__xludf.DUMMYFUNCTION("IF($A803="""","""", IFERROR(PERCENTRANK.INC(FILTER(P:P,$E:$E&lt;&gt;""""),P803)*100,""""))"),"")</f>
        <v/>
      </c>
      <c r="S803" s="15" t="str">
        <f>IFERROR(__xludf.DUMMYFUNCTION("IF($A803="""","""",IFERROR(PERCENTRANK.INC(FILTER(Q:Q,$E:$E&lt;&gt;""""),Q803)*100,""""))"),"")</f>
        <v/>
      </c>
    </row>
    <row r="804">
      <c r="B804" t="str">
        <f t="array" ref="B804">IFERROR(INDEX('Player Raw Data'!C:C,Match($A804,'Player Raw Data'!$B:$B,0)),"")</f>
        <v/>
      </c>
      <c r="C804" t="str">
        <f t="array" ref="C804">IFERROR(INDEX('Player Raw Data'!D:D,Match($A804,'Player Raw Data'!$B:$B,0)),"")</f>
        <v/>
      </c>
      <c r="D804" t="str">
        <f t="array" ref="D804">IFERROR(IF(A804=A803, INDEX('Player Raw Data'!E:E,Match($A804,'Player Raw Data'!$B:$B,0)+2),INDEX('Player Raw Data'!E:E,Match($A804,'Player Raw Data'!$B:$B,0))),"")</f>
        <v/>
      </c>
      <c r="E804" s="27" t="str">
        <f>IFERROR(__xludf.DUMMYFUNCTION("IFERROR(ARRAY_CONSTRAIN(SPLIT(INDEX('Daily Raw Data'!G:G,Match($A804,'Daily Raw Data'!$B:$B,0)),"":""),1,1),"""")"),"")</f>
        <v/>
      </c>
      <c r="F804" t="str">
        <f t="array" ref="F804">IFERROR(INDEX('Daily Raw Data'!H:H,Match($A804,'Daily Raw Data'!$B:$B,0)),"")</f>
        <v/>
      </c>
      <c r="G804" t="str">
        <f t="array" ref="G804">IFERROR(INDEX('Daily Raw Data'!I:I,Match($A804,'Daily Raw Data'!$B:$B,0)),"")</f>
        <v/>
      </c>
      <c r="H804" t="str">
        <f t="array" ref="H804">IFERROR(INDEX('Daily Raw Data'!N:N,Match($A804,'Daily Raw Data'!$B:$B,0)),"")</f>
        <v/>
      </c>
      <c r="I804" t="str">
        <f t="array" ref="I804">IFERROR(INDEX('Daily Raw Data'!O:O,Match($A804,'Daily Raw Data'!$B:$B,0)),"")</f>
        <v/>
      </c>
      <c r="J804" t="str">
        <f t="array" ref="J804">IFERROR(INDEX('Daily Raw Data'!S:S,Match($A804,'Daily Raw Data'!$B:$B,0)),"")</f>
        <v/>
      </c>
      <c r="K804" t="str">
        <f t="array" ref="K804">IFERROR(INDEX('Daily Raw Data'!T:T,Match($A804,'Daily Raw Data'!$B:$B,0)),"")</f>
        <v/>
      </c>
      <c r="L804" t="str">
        <f t="array" ref="L804">IFERROR(INDEX('Daily Raw Data'!U:U,Match($A804,'Daily Raw Data'!$B:$B,0)),"")</f>
        <v/>
      </c>
      <c r="M804" t="str">
        <f t="array" ref="M804">IFERROR(INDEX('Daily Raw Data'!V:V,Match($A804,'Daily Raw Data'!$B:$B,0)),"")</f>
        <v/>
      </c>
      <c r="N804" t="str">
        <f t="array" ref="N804">IFERROR(INDEX('Daily Raw Data'!W:W,Match($A804,'Daily Raw Data'!$B:$B,0)),"")</f>
        <v/>
      </c>
      <c r="O804" t="str">
        <f t="array" ref="O804">IFERROR(INDEX('Daily Raw Data'!Y:Y,Match($A804,'Daily Raw Data'!$B:$B,0)),"")</f>
        <v/>
      </c>
      <c r="P804" t="str">
        <f t="shared" si="1"/>
        <v/>
      </c>
      <c r="Q804" s="14" t="str">
        <f t="shared" si="2"/>
        <v/>
      </c>
      <c r="R804" s="15" t="str">
        <f>IFERROR(__xludf.DUMMYFUNCTION("IF($A804="""","""", IFERROR(PERCENTRANK.INC(FILTER(P:P,$E:$E&lt;&gt;""""),P804)*100,""""))"),"")</f>
        <v/>
      </c>
      <c r="S804" s="15" t="str">
        <f>IFERROR(__xludf.DUMMYFUNCTION("IF($A804="""","""",IFERROR(PERCENTRANK.INC(FILTER(Q:Q,$E:$E&lt;&gt;""""),Q804)*100,""""))"),"")</f>
        <v/>
      </c>
    </row>
    <row r="805">
      <c r="B805" t="str">
        <f t="array" ref="B805">IFERROR(INDEX('Player Raw Data'!C:C,Match($A805,'Player Raw Data'!$B:$B,0)),"")</f>
        <v/>
      </c>
      <c r="C805" t="str">
        <f t="array" ref="C805">IFERROR(INDEX('Player Raw Data'!D:D,Match($A805,'Player Raw Data'!$B:$B,0)),"")</f>
        <v/>
      </c>
      <c r="D805" t="str">
        <f t="array" ref="D805">IFERROR(IF(A805=A804, INDEX('Player Raw Data'!E:E,Match($A805,'Player Raw Data'!$B:$B,0)+2),INDEX('Player Raw Data'!E:E,Match($A805,'Player Raw Data'!$B:$B,0))),"")</f>
        <v/>
      </c>
      <c r="E805" s="27" t="str">
        <f>IFERROR(__xludf.DUMMYFUNCTION("IFERROR(ARRAY_CONSTRAIN(SPLIT(INDEX('Daily Raw Data'!G:G,Match($A805,'Daily Raw Data'!$B:$B,0)),"":""),1,1),"""")"),"")</f>
        <v/>
      </c>
      <c r="F805" t="str">
        <f t="array" ref="F805">IFERROR(INDEX('Daily Raw Data'!H:H,Match($A805,'Daily Raw Data'!$B:$B,0)),"")</f>
        <v/>
      </c>
      <c r="G805" t="str">
        <f t="array" ref="G805">IFERROR(INDEX('Daily Raw Data'!I:I,Match($A805,'Daily Raw Data'!$B:$B,0)),"")</f>
        <v/>
      </c>
      <c r="H805" t="str">
        <f t="array" ref="H805">IFERROR(INDEX('Daily Raw Data'!N:N,Match($A805,'Daily Raw Data'!$B:$B,0)),"")</f>
        <v/>
      </c>
      <c r="I805" t="str">
        <f t="array" ref="I805">IFERROR(INDEX('Daily Raw Data'!O:O,Match($A805,'Daily Raw Data'!$B:$B,0)),"")</f>
        <v/>
      </c>
      <c r="J805" t="str">
        <f t="array" ref="J805">IFERROR(INDEX('Daily Raw Data'!S:S,Match($A805,'Daily Raw Data'!$B:$B,0)),"")</f>
        <v/>
      </c>
      <c r="K805" t="str">
        <f t="array" ref="K805">IFERROR(INDEX('Daily Raw Data'!T:T,Match($A805,'Daily Raw Data'!$B:$B,0)),"")</f>
        <v/>
      </c>
      <c r="L805" t="str">
        <f t="array" ref="L805">IFERROR(INDEX('Daily Raw Data'!U:U,Match($A805,'Daily Raw Data'!$B:$B,0)),"")</f>
        <v/>
      </c>
      <c r="M805" t="str">
        <f t="array" ref="M805">IFERROR(INDEX('Daily Raw Data'!V:V,Match($A805,'Daily Raw Data'!$B:$B,0)),"")</f>
        <v/>
      </c>
      <c r="N805" t="str">
        <f t="array" ref="N805">IFERROR(INDEX('Daily Raw Data'!W:W,Match($A805,'Daily Raw Data'!$B:$B,0)),"")</f>
        <v/>
      </c>
      <c r="O805" t="str">
        <f t="array" ref="O805">IFERROR(INDEX('Daily Raw Data'!Y:Y,Match($A805,'Daily Raw Data'!$B:$B,0)),"")</f>
        <v/>
      </c>
      <c r="P805" t="str">
        <f t="shared" si="1"/>
        <v/>
      </c>
      <c r="Q805" s="14" t="str">
        <f t="shared" si="2"/>
        <v/>
      </c>
      <c r="R805" s="15" t="str">
        <f>IFERROR(__xludf.DUMMYFUNCTION("IF($A805="""","""", IFERROR(PERCENTRANK.INC(FILTER(P:P,$E:$E&lt;&gt;""""),P805)*100,""""))"),"")</f>
        <v/>
      </c>
      <c r="S805" s="15" t="str">
        <f>IFERROR(__xludf.DUMMYFUNCTION("IF($A805="""","""",IFERROR(PERCENTRANK.INC(FILTER(Q:Q,$E:$E&lt;&gt;""""),Q805)*100,""""))"),"")</f>
        <v/>
      </c>
    </row>
    <row r="806">
      <c r="B806" t="str">
        <f t="array" ref="B806">IFERROR(INDEX('Player Raw Data'!C:C,Match($A806,'Player Raw Data'!$B:$B,0)),"")</f>
        <v/>
      </c>
      <c r="C806" t="str">
        <f t="array" ref="C806">IFERROR(INDEX('Player Raw Data'!D:D,Match($A806,'Player Raw Data'!$B:$B,0)),"")</f>
        <v/>
      </c>
      <c r="D806" t="str">
        <f t="array" ref="D806">IFERROR(IF(A806=A805, INDEX('Player Raw Data'!E:E,Match($A806,'Player Raw Data'!$B:$B,0)+2),INDEX('Player Raw Data'!E:E,Match($A806,'Player Raw Data'!$B:$B,0))),"")</f>
        <v/>
      </c>
      <c r="E806" s="27" t="str">
        <f>IFERROR(__xludf.DUMMYFUNCTION("IFERROR(ARRAY_CONSTRAIN(SPLIT(INDEX('Daily Raw Data'!G:G,Match($A806,'Daily Raw Data'!$B:$B,0)),"":""),1,1),"""")"),"")</f>
        <v/>
      </c>
      <c r="F806" t="str">
        <f t="array" ref="F806">IFERROR(INDEX('Daily Raw Data'!H:H,Match($A806,'Daily Raw Data'!$B:$B,0)),"")</f>
        <v/>
      </c>
      <c r="G806" t="str">
        <f t="array" ref="G806">IFERROR(INDEX('Daily Raw Data'!I:I,Match($A806,'Daily Raw Data'!$B:$B,0)),"")</f>
        <v/>
      </c>
      <c r="H806" t="str">
        <f t="array" ref="H806">IFERROR(INDEX('Daily Raw Data'!N:N,Match($A806,'Daily Raw Data'!$B:$B,0)),"")</f>
        <v/>
      </c>
      <c r="I806" t="str">
        <f t="array" ref="I806">IFERROR(INDEX('Daily Raw Data'!O:O,Match($A806,'Daily Raw Data'!$B:$B,0)),"")</f>
        <v/>
      </c>
      <c r="J806" t="str">
        <f t="array" ref="J806">IFERROR(INDEX('Daily Raw Data'!S:S,Match($A806,'Daily Raw Data'!$B:$B,0)),"")</f>
        <v/>
      </c>
      <c r="K806" t="str">
        <f t="array" ref="K806">IFERROR(INDEX('Daily Raw Data'!T:T,Match($A806,'Daily Raw Data'!$B:$B,0)),"")</f>
        <v/>
      </c>
      <c r="L806" t="str">
        <f t="array" ref="L806">IFERROR(INDEX('Daily Raw Data'!U:U,Match($A806,'Daily Raw Data'!$B:$B,0)),"")</f>
        <v/>
      </c>
      <c r="M806" t="str">
        <f t="array" ref="M806">IFERROR(INDEX('Daily Raw Data'!V:V,Match($A806,'Daily Raw Data'!$B:$B,0)),"")</f>
        <v/>
      </c>
      <c r="N806" t="str">
        <f t="array" ref="N806">IFERROR(INDEX('Daily Raw Data'!W:W,Match($A806,'Daily Raw Data'!$B:$B,0)),"")</f>
        <v/>
      </c>
      <c r="O806" t="str">
        <f t="array" ref="O806">IFERROR(INDEX('Daily Raw Data'!Y:Y,Match($A806,'Daily Raw Data'!$B:$B,0)),"")</f>
        <v/>
      </c>
      <c r="P806" t="str">
        <f t="shared" si="1"/>
        <v/>
      </c>
      <c r="Q806" s="14" t="str">
        <f t="shared" si="2"/>
        <v/>
      </c>
      <c r="R806" s="15" t="str">
        <f>IFERROR(__xludf.DUMMYFUNCTION("IF($A806="""","""", IFERROR(PERCENTRANK.INC(FILTER(P:P,$E:$E&lt;&gt;""""),P806)*100,""""))"),"")</f>
        <v/>
      </c>
      <c r="S806" s="15" t="str">
        <f>IFERROR(__xludf.DUMMYFUNCTION("IF($A806="""","""",IFERROR(PERCENTRANK.INC(FILTER(Q:Q,$E:$E&lt;&gt;""""),Q806)*100,""""))"),"")</f>
        <v/>
      </c>
    </row>
    <row r="807">
      <c r="B807" t="str">
        <f t="array" ref="B807">IFERROR(INDEX('Player Raw Data'!C:C,Match($A807,'Player Raw Data'!$B:$B,0)),"")</f>
        <v/>
      </c>
      <c r="C807" t="str">
        <f t="array" ref="C807">IFERROR(INDEX('Player Raw Data'!D:D,Match($A807,'Player Raw Data'!$B:$B,0)),"")</f>
        <v/>
      </c>
      <c r="D807" t="str">
        <f t="array" ref="D807">IFERROR(IF(A807=A806, INDEX('Player Raw Data'!E:E,Match($A807,'Player Raw Data'!$B:$B,0)+2),INDEX('Player Raw Data'!E:E,Match($A807,'Player Raw Data'!$B:$B,0))),"")</f>
        <v/>
      </c>
      <c r="E807" s="27" t="str">
        <f>IFERROR(__xludf.DUMMYFUNCTION("IFERROR(ARRAY_CONSTRAIN(SPLIT(INDEX('Daily Raw Data'!G:G,Match($A807,'Daily Raw Data'!$B:$B,0)),"":""),1,1),"""")"),"")</f>
        <v/>
      </c>
      <c r="F807" t="str">
        <f t="array" ref="F807">IFERROR(INDEX('Daily Raw Data'!H:H,Match($A807,'Daily Raw Data'!$B:$B,0)),"")</f>
        <v/>
      </c>
      <c r="G807" t="str">
        <f t="array" ref="G807">IFERROR(INDEX('Daily Raw Data'!I:I,Match($A807,'Daily Raw Data'!$B:$B,0)),"")</f>
        <v/>
      </c>
      <c r="H807" t="str">
        <f t="array" ref="H807">IFERROR(INDEX('Daily Raw Data'!N:N,Match($A807,'Daily Raw Data'!$B:$B,0)),"")</f>
        <v/>
      </c>
      <c r="I807" t="str">
        <f t="array" ref="I807">IFERROR(INDEX('Daily Raw Data'!O:O,Match($A807,'Daily Raw Data'!$B:$B,0)),"")</f>
        <v/>
      </c>
      <c r="J807" t="str">
        <f t="array" ref="J807">IFERROR(INDEX('Daily Raw Data'!S:S,Match($A807,'Daily Raw Data'!$B:$B,0)),"")</f>
        <v/>
      </c>
      <c r="K807" t="str">
        <f t="array" ref="K807">IFERROR(INDEX('Daily Raw Data'!T:T,Match($A807,'Daily Raw Data'!$B:$B,0)),"")</f>
        <v/>
      </c>
      <c r="L807" t="str">
        <f t="array" ref="L807">IFERROR(INDEX('Daily Raw Data'!U:U,Match($A807,'Daily Raw Data'!$B:$B,0)),"")</f>
        <v/>
      </c>
      <c r="M807" t="str">
        <f t="array" ref="M807">IFERROR(INDEX('Daily Raw Data'!V:V,Match($A807,'Daily Raw Data'!$B:$B,0)),"")</f>
        <v/>
      </c>
      <c r="N807" t="str">
        <f t="array" ref="N807">IFERROR(INDEX('Daily Raw Data'!W:W,Match($A807,'Daily Raw Data'!$B:$B,0)),"")</f>
        <v/>
      </c>
      <c r="O807" t="str">
        <f t="array" ref="O807">IFERROR(INDEX('Daily Raw Data'!Y:Y,Match($A807,'Daily Raw Data'!$B:$B,0)),"")</f>
        <v/>
      </c>
      <c r="P807" t="str">
        <f t="shared" si="1"/>
        <v/>
      </c>
      <c r="Q807" s="14" t="str">
        <f t="shared" si="2"/>
        <v/>
      </c>
      <c r="R807" s="15" t="str">
        <f>IFERROR(__xludf.DUMMYFUNCTION("IF($A807="""","""", IFERROR(PERCENTRANK.INC(FILTER(P:P,$E:$E&lt;&gt;""""),P807)*100,""""))"),"")</f>
        <v/>
      </c>
      <c r="S807" s="15" t="str">
        <f>IFERROR(__xludf.DUMMYFUNCTION("IF($A807="""","""",IFERROR(PERCENTRANK.INC(FILTER(Q:Q,$E:$E&lt;&gt;""""),Q807)*100,""""))"),"")</f>
        <v/>
      </c>
    </row>
    <row r="808">
      <c r="B808" t="str">
        <f t="array" ref="B808">IFERROR(INDEX('Player Raw Data'!C:C,Match($A808,'Player Raw Data'!$B:$B,0)),"")</f>
        <v/>
      </c>
      <c r="C808" t="str">
        <f t="array" ref="C808">IFERROR(INDEX('Player Raw Data'!D:D,Match($A808,'Player Raw Data'!$B:$B,0)),"")</f>
        <v/>
      </c>
      <c r="D808" t="str">
        <f t="array" ref="D808">IFERROR(IF(A808=A807, INDEX('Player Raw Data'!E:E,Match($A808,'Player Raw Data'!$B:$B,0)+2),INDEX('Player Raw Data'!E:E,Match($A808,'Player Raw Data'!$B:$B,0))),"")</f>
        <v/>
      </c>
      <c r="E808" s="27" t="str">
        <f>IFERROR(__xludf.DUMMYFUNCTION("IFERROR(ARRAY_CONSTRAIN(SPLIT(INDEX('Daily Raw Data'!G:G,Match($A808,'Daily Raw Data'!$B:$B,0)),"":""),1,1),"""")"),"")</f>
        <v/>
      </c>
      <c r="F808" t="str">
        <f t="array" ref="F808">IFERROR(INDEX('Daily Raw Data'!H:H,Match($A808,'Daily Raw Data'!$B:$B,0)),"")</f>
        <v/>
      </c>
      <c r="G808" t="str">
        <f t="array" ref="G808">IFERROR(INDEX('Daily Raw Data'!I:I,Match($A808,'Daily Raw Data'!$B:$B,0)),"")</f>
        <v/>
      </c>
      <c r="H808" t="str">
        <f t="array" ref="H808">IFERROR(INDEX('Daily Raw Data'!N:N,Match($A808,'Daily Raw Data'!$B:$B,0)),"")</f>
        <v/>
      </c>
      <c r="I808" t="str">
        <f t="array" ref="I808">IFERROR(INDEX('Daily Raw Data'!O:O,Match($A808,'Daily Raw Data'!$B:$B,0)),"")</f>
        <v/>
      </c>
      <c r="J808" t="str">
        <f t="array" ref="J808">IFERROR(INDEX('Daily Raw Data'!S:S,Match($A808,'Daily Raw Data'!$B:$B,0)),"")</f>
        <v/>
      </c>
      <c r="K808" t="str">
        <f t="array" ref="K808">IFERROR(INDEX('Daily Raw Data'!T:T,Match($A808,'Daily Raw Data'!$B:$B,0)),"")</f>
        <v/>
      </c>
      <c r="L808" t="str">
        <f t="array" ref="L808">IFERROR(INDEX('Daily Raw Data'!U:U,Match($A808,'Daily Raw Data'!$B:$B,0)),"")</f>
        <v/>
      </c>
      <c r="M808" t="str">
        <f t="array" ref="M808">IFERROR(INDEX('Daily Raw Data'!V:V,Match($A808,'Daily Raw Data'!$B:$B,0)),"")</f>
        <v/>
      </c>
      <c r="N808" t="str">
        <f t="array" ref="N808">IFERROR(INDEX('Daily Raw Data'!W:W,Match($A808,'Daily Raw Data'!$B:$B,0)),"")</f>
        <v/>
      </c>
      <c r="O808" t="str">
        <f t="array" ref="O808">IFERROR(INDEX('Daily Raw Data'!Y:Y,Match($A808,'Daily Raw Data'!$B:$B,0)),"")</f>
        <v/>
      </c>
      <c r="P808" t="str">
        <f t="shared" si="1"/>
        <v/>
      </c>
      <c r="Q808" s="14" t="str">
        <f t="shared" si="2"/>
        <v/>
      </c>
      <c r="R808" s="15" t="str">
        <f>IFERROR(__xludf.DUMMYFUNCTION("IF($A808="""","""", IFERROR(PERCENTRANK.INC(FILTER(P:P,$E:$E&lt;&gt;""""),P808)*100,""""))"),"")</f>
        <v/>
      </c>
      <c r="S808" s="15" t="str">
        <f>IFERROR(__xludf.DUMMYFUNCTION("IF($A808="""","""",IFERROR(PERCENTRANK.INC(FILTER(Q:Q,$E:$E&lt;&gt;""""),Q808)*100,""""))"),"")</f>
        <v/>
      </c>
    </row>
    <row r="809">
      <c r="B809" t="str">
        <f t="array" ref="B809">IFERROR(INDEX('Player Raw Data'!C:C,Match($A809,'Player Raw Data'!$B:$B,0)),"")</f>
        <v/>
      </c>
      <c r="C809" t="str">
        <f t="array" ref="C809">IFERROR(INDEX('Player Raw Data'!D:D,Match($A809,'Player Raw Data'!$B:$B,0)),"")</f>
        <v/>
      </c>
      <c r="D809" t="str">
        <f t="array" ref="D809">IFERROR(IF(A809=A808, INDEX('Player Raw Data'!E:E,Match($A809,'Player Raw Data'!$B:$B,0)+2),INDEX('Player Raw Data'!E:E,Match($A809,'Player Raw Data'!$B:$B,0))),"")</f>
        <v/>
      </c>
      <c r="E809" s="27" t="str">
        <f>IFERROR(__xludf.DUMMYFUNCTION("IFERROR(ARRAY_CONSTRAIN(SPLIT(INDEX('Daily Raw Data'!G:G,Match($A809,'Daily Raw Data'!$B:$B,0)),"":""),1,1),"""")"),"")</f>
        <v/>
      </c>
      <c r="F809" t="str">
        <f t="array" ref="F809">IFERROR(INDEX('Daily Raw Data'!H:H,Match($A809,'Daily Raw Data'!$B:$B,0)),"")</f>
        <v/>
      </c>
      <c r="G809" t="str">
        <f t="array" ref="G809">IFERROR(INDEX('Daily Raw Data'!I:I,Match($A809,'Daily Raw Data'!$B:$B,0)),"")</f>
        <v/>
      </c>
      <c r="H809" t="str">
        <f t="array" ref="H809">IFERROR(INDEX('Daily Raw Data'!N:N,Match($A809,'Daily Raw Data'!$B:$B,0)),"")</f>
        <v/>
      </c>
      <c r="I809" t="str">
        <f t="array" ref="I809">IFERROR(INDEX('Daily Raw Data'!O:O,Match($A809,'Daily Raw Data'!$B:$B,0)),"")</f>
        <v/>
      </c>
      <c r="J809" t="str">
        <f t="array" ref="J809">IFERROR(INDEX('Daily Raw Data'!S:S,Match($A809,'Daily Raw Data'!$B:$B,0)),"")</f>
        <v/>
      </c>
      <c r="K809" t="str">
        <f t="array" ref="K809">IFERROR(INDEX('Daily Raw Data'!T:T,Match($A809,'Daily Raw Data'!$B:$B,0)),"")</f>
        <v/>
      </c>
      <c r="L809" t="str">
        <f t="array" ref="L809">IFERROR(INDEX('Daily Raw Data'!U:U,Match($A809,'Daily Raw Data'!$B:$B,0)),"")</f>
        <v/>
      </c>
      <c r="M809" t="str">
        <f t="array" ref="M809">IFERROR(INDEX('Daily Raw Data'!V:V,Match($A809,'Daily Raw Data'!$B:$B,0)),"")</f>
        <v/>
      </c>
      <c r="N809" t="str">
        <f t="array" ref="N809">IFERROR(INDEX('Daily Raw Data'!W:W,Match($A809,'Daily Raw Data'!$B:$B,0)),"")</f>
        <v/>
      </c>
      <c r="O809" t="str">
        <f t="array" ref="O809">IFERROR(INDEX('Daily Raw Data'!Y:Y,Match($A809,'Daily Raw Data'!$B:$B,0)),"")</f>
        <v/>
      </c>
      <c r="P809" t="str">
        <f t="shared" si="1"/>
        <v/>
      </c>
      <c r="Q809" s="14" t="str">
        <f t="shared" si="2"/>
        <v/>
      </c>
      <c r="R809" s="15" t="str">
        <f>IFERROR(__xludf.DUMMYFUNCTION("IF($A809="""","""", IFERROR(PERCENTRANK.INC(FILTER(P:P,$E:$E&lt;&gt;""""),P809)*100,""""))"),"")</f>
        <v/>
      </c>
      <c r="S809" s="15" t="str">
        <f>IFERROR(__xludf.DUMMYFUNCTION("IF($A809="""","""",IFERROR(PERCENTRANK.INC(FILTER(Q:Q,$E:$E&lt;&gt;""""),Q809)*100,""""))"),"")</f>
        <v/>
      </c>
    </row>
    <row r="810">
      <c r="B810" t="str">
        <f t="array" ref="B810">IFERROR(INDEX('Player Raw Data'!C:C,Match($A810,'Player Raw Data'!$B:$B,0)),"")</f>
        <v/>
      </c>
      <c r="C810" t="str">
        <f t="array" ref="C810">IFERROR(INDEX('Player Raw Data'!D:D,Match($A810,'Player Raw Data'!$B:$B,0)),"")</f>
        <v/>
      </c>
      <c r="D810" t="str">
        <f t="array" ref="D810">IFERROR(IF(A810=A809, INDEX('Player Raw Data'!E:E,Match($A810,'Player Raw Data'!$B:$B,0)+2),INDEX('Player Raw Data'!E:E,Match($A810,'Player Raw Data'!$B:$B,0))),"")</f>
        <v/>
      </c>
      <c r="E810" s="27" t="str">
        <f>IFERROR(__xludf.DUMMYFUNCTION("IFERROR(ARRAY_CONSTRAIN(SPLIT(INDEX('Daily Raw Data'!G:G,Match($A810,'Daily Raw Data'!$B:$B,0)),"":""),1,1),"""")"),"")</f>
        <v/>
      </c>
      <c r="F810" t="str">
        <f t="array" ref="F810">IFERROR(INDEX('Daily Raw Data'!H:H,Match($A810,'Daily Raw Data'!$B:$B,0)),"")</f>
        <v/>
      </c>
      <c r="G810" t="str">
        <f t="array" ref="G810">IFERROR(INDEX('Daily Raw Data'!I:I,Match($A810,'Daily Raw Data'!$B:$B,0)),"")</f>
        <v/>
      </c>
      <c r="H810" t="str">
        <f t="array" ref="H810">IFERROR(INDEX('Daily Raw Data'!N:N,Match($A810,'Daily Raw Data'!$B:$B,0)),"")</f>
        <v/>
      </c>
      <c r="I810" t="str">
        <f t="array" ref="I810">IFERROR(INDEX('Daily Raw Data'!O:O,Match($A810,'Daily Raw Data'!$B:$B,0)),"")</f>
        <v/>
      </c>
      <c r="J810" t="str">
        <f t="array" ref="J810">IFERROR(INDEX('Daily Raw Data'!S:S,Match($A810,'Daily Raw Data'!$B:$B,0)),"")</f>
        <v/>
      </c>
      <c r="K810" t="str">
        <f t="array" ref="K810">IFERROR(INDEX('Daily Raw Data'!T:T,Match($A810,'Daily Raw Data'!$B:$B,0)),"")</f>
        <v/>
      </c>
      <c r="L810" t="str">
        <f t="array" ref="L810">IFERROR(INDEX('Daily Raw Data'!U:U,Match($A810,'Daily Raw Data'!$B:$B,0)),"")</f>
        <v/>
      </c>
      <c r="M810" t="str">
        <f t="array" ref="M810">IFERROR(INDEX('Daily Raw Data'!V:V,Match($A810,'Daily Raw Data'!$B:$B,0)),"")</f>
        <v/>
      </c>
      <c r="N810" t="str">
        <f t="array" ref="N810">IFERROR(INDEX('Daily Raw Data'!W:W,Match($A810,'Daily Raw Data'!$B:$B,0)),"")</f>
        <v/>
      </c>
      <c r="O810" t="str">
        <f t="array" ref="O810">IFERROR(INDEX('Daily Raw Data'!Y:Y,Match($A810,'Daily Raw Data'!$B:$B,0)),"")</f>
        <v/>
      </c>
      <c r="P810" t="str">
        <f t="shared" si="1"/>
        <v/>
      </c>
      <c r="Q810" s="14" t="str">
        <f t="shared" si="2"/>
        <v/>
      </c>
      <c r="R810" s="15" t="str">
        <f>IFERROR(__xludf.DUMMYFUNCTION("IF($A810="""","""", IFERROR(PERCENTRANK.INC(FILTER(P:P,$E:$E&lt;&gt;""""),P810)*100,""""))"),"")</f>
        <v/>
      </c>
      <c r="S810" s="15" t="str">
        <f>IFERROR(__xludf.DUMMYFUNCTION("IF($A810="""","""",IFERROR(PERCENTRANK.INC(FILTER(Q:Q,$E:$E&lt;&gt;""""),Q810)*100,""""))"),"")</f>
        <v/>
      </c>
    </row>
    <row r="811">
      <c r="B811" t="str">
        <f t="array" ref="B811">IFERROR(INDEX('Player Raw Data'!C:C,Match($A811,'Player Raw Data'!$B:$B,0)),"")</f>
        <v/>
      </c>
      <c r="C811" t="str">
        <f t="array" ref="C811">IFERROR(INDEX('Player Raw Data'!D:D,Match($A811,'Player Raw Data'!$B:$B,0)),"")</f>
        <v/>
      </c>
      <c r="D811" t="str">
        <f t="array" ref="D811">IFERROR(IF(A811=A810, INDEX('Player Raw Data'!E:E,Match($A811,'Player Raw Data'!$B:$B,0)+2),INDEX('Player Raw Data'!E:E,Match($A811,'Player Raw Data'!$B:$B,0))),"")</f>
        <v/>
      </c>
      <c r="E811" s="27" t="str">
        <f>IFERROR(__xludf.DUMMYFUNCTION("IFERROR(ARRAY_CONSTRAIN(SPLIT(INDEX('Daily Raw Data'!G:G,Match($A811,'Daily Raw Data'!$B:$B,0)),"":""),1,1),"""")"),"")</f>
        <v/>
      </c>
      <c r="F811" t="str">
        <f t="array" ref="F811">IFERROR(INDEX('Daily Raw Data'!H:H,Match($A811,'Daily Raw Data'!$B:$B,0)),"")</f>
        <v/>
      </c>
      <c r="G811" t="str">
        <f t="array" ref="G811">IFERROR(INDEX('Daily Raw Data'!I:I,Match($A811,'Daily Raw Data'!$B:$B,0)),"")</f>
        <v/>
      </c>
      <c r="H811" t="str">
        <f t="array" ref="H811">IFERROR(INDEX('Daily Raw Data'!N:N,Match($A811,'Daily Raw Data'!$B:$B,0)),"")</f>
        <v/>
      </c>
      <c r="I811" t="str">
        <f t="array" ref="I811">IFERROR(INDEX('Daily Raw Data'!O:O,Match($A811,'Daily Raw Data'!$B:$B,0)),"")</f>
        <v/>
      </c>
      <c r="J811" t="str">
        <f t="array" ref="J811">IFERROR(INDEX('Daily Raw Data'!S:S,Match($A811,'Daily Raw Data'!$B:$B,0)),"")</f>
        <v/>
      </c>
      <c r="K811" t="str">
        <f t="array" ref="K811">IFERROR(INDEX('Daily Raw Data'!T:T,Match($A811,'Daily Raw Data'!$B:$B,0)),"")</f>
        <v/>
      </c>
      <c r="L811" t="str">
        <f t="array" ref="L811">IFERROR(INDEX('Daily Raw Data'!U:U,Match($A811,'Daily Raw Data'!$B:$B,0)),"")</f>
        <v/>
      </c>
      <c r="M811" t="str">
        <f t="array" ref="M811">IFERROR(INDEX('Daily Raw Data'!V:V,Match($A811,'Daily Raw Data'!$B:$B,0)),"")</f>
        <v/>
      </c>
      <c r="N811" t="str">
        <f t="array" ref="N811">IFERROR(INDEX('Daily Raw Data'!W:W,Match($A811,'Daily Raw Data'!$B:$B,0)),"")</f>
        <v/>
      </c>
      <c r="O811" t="str">
        <f t="array" ref="O811">IFERROR(INDEX('Daily Raw Data'!Y:Y,Match($A811,'Daily Raw Data'!$B:$B,0)),"")</f>
        <v/>
      </c>
      <c r="P811" t="str">
        <f t="shared" si="1"/>
        <v/>
      </c>
      <c r="Q811" s="14" t="str">
        <f t="shared" si="2"/>
        <v/>
      </c>
      <c r="R811" s="15" t="str">
        <f>IFERROR(__xludf.DUMMYFUNCTION("IF($A811="""","""", IFERROR(PERCENTRANK.INC(FILTER(P:P,$E:$E&lt;&gt;""""),P811)*100,""""))"),"")</f>
        <v/>
      </c>
      <c r="S811" s="15" t="str">
        <f>IFERROR(__xludf.DUMMYFUNCTION("IF($A811="""","""",IFERROR(PERCENTRANK.INC(FILTER(Q:Q,$E:$E&lt;&gt;""""),Q811)*100,""""))"),"")</f>
        <v/>
      </c>
    </row>
    <row r="812">
      <c r="B812" t="str">
        <f t="array" ref="B812">IFERROR(INDEX('Player Raw Data'!C:C,Match($A812,'Player Raw Data'!$B:$B,0)),"")</f>
        <v/>
      </c>
      <c r="C812" t="str">
        <f t="array" ref="C812">IFERROR(INDEX('Player Raw Data'!D:D,Match($A812,'Player Raw Data'!$B:$B,0)),"")</f>
        <v/>
      </c>
      <c r="D812" t="str">
        <f t="array" ref="D812">IFERROR(IF(A812=A811, INDEX('Player Raw Data'!E:E,Match($A812,'Player Raw Data'!$B:$B,0)+2),INDEX('Player Raw Data'!E:E,Match($A812,'Player Raw Data'!$B:$B,0))),"")</f>
        <v/>
      </c>
      <c r="E812" s="27" t="str">
        <f>IFERROR(__xludf.DUMMYFUNCTION("IFERROR(ARRAY_CONSTRAIN(SPLIT(INDEX('Daily Raw Data'!G:G,Match($A812,'Daily Raw Data'!$B:$B,0)),"":""),1,1),"""")"),"")</f>
        <v/>
      </c>
      <c r="F812" t="str">
        <f t="array" ref="F812">IFERROR(INDEX('Daily Raw Data'!H:H,Match($A812,'Daily Raw Data'!$B:$B,0)),"")</f>
        <v/>
      </c>
      <c r="G812" t="str">
        <f t="array" ref="G812">IFERROR(INDEX('Daily Raw Data'!I:I,Match($A812,'Daily Raw Data'!$B:$B,0)),"")</f>
        <v/>
      </c>
      <c r="H812" t="str">
        <f t="array" ref="H812">IFERROR(INDEX('Daily Raw Data'!N:N,Match($A812,'Daily Raw Data'!$B:$B,0)),"")</f>
        <v/>
      </c>
      <c r="I812" t="str">
        <f t="array" ref="I812">IFERROR(INDEX('Daily Raw Data'!O:O,Match($A812,'Daily Raw Data'!$B:$B,0)),"")</f>
        <v/>
      </c>
      <c r="J812" t="str">
        <f t="array" ref="J812">IFERROR(INDEX('Daily Raw Data'!S:S,Match($A812,'Daily Raw Data'!$B:$B,0)),"")</f>
        <v/>
      </c>
      <c r="K812" t="str">
        <f t="array" ref="K812">IFERROR(INDEX('Daily Raw Data'!T:T,Match($A812,'Daily Raw Data'!$B:$B,0)),"")</f>
        <v/>
      </c>
      <c r="L812" t="str">
        <f t="array" ref="L812">IFERROR(INDEX('Daily Raw Data'!U:U,Match($A812,'Daily Raw Data'!$B:$B,0)),"")</f>
        <v/>
      </c>
      <c r="M812" t="str">
        <f t="array" ref="M812">IFERROR(INDEX('Daily Raw Data'!V:V,Match($A812,'Daily Raw Data'!$B:$B,0)),"")</f>
        <v/>
      </c>
      <c r="N812" t="str">
        <f t="array" ref="N812">IFERROR(INDEX('Daily Raw Data'!W:W,Match($A812,'Daily Raw Data'!$B:$B,0)),"")</f>
        <v/>
      </c>
      <c r="O812" t="str">
        <f t="array" ref="O812">IFERROR(INDEX('Daily Raw Data'!Y:Y,Match($A812,'Daily Raw Data'!$B:$B,0)),"")</f>
        <v/>
      </c>
      <c r="P812" t="str">
        <f t="shared" si="1"/>
        <v/>
      </c>
      <c r="Q812" s="14" t="str">
        <f t="shared" si="2"/>
        <v/>
      </c>
      <c r="R812" s="15" t="str">
        <f>IFERROR(__xludf.DUMMYFUNCTION("IF($A812="""","""", IFERROR(PERCENTRANK.INC(FILTER(P:P,$E:$E&lt;&gt;""""),P812)*100,""""))"),"")</f>
        <v/>
      </c>
      <c r="S812" s="15" t="str">
        <f>IFERROR(__xludf.DUMMYFUNCTION("IF($A812="""","""",IFERROR(PERCENTRANK.INC(FILTER(Q:Q,$E:$E&lt;&gt;""""),Q812)*100,""""))"),"")</f>
        <v/>
      </c>
    </row>
    <row r="813">
      <c r="B813" t="str">
        <f t="array" ref="B813">IFERROR(INDEX('Player Raw Data'!C:C,Match($A813,'Player Raw Data'!$B:$B,0)),"")</f>
        <v/>
      </c>
      <c r="C813" t="str">
        <f t="array" ref="C813">IFERROR(INDEX('Player Raw Data'!D:D,Match($A813,'Player Raw Data'!$B:$B,0)),"")</f>
        <v/>
      </c>
      <c r="D813" t="str">
        <f t="array" ref="D813">IFERROR(IF(A813=A812, INDEX('Player Raw Data'!E:E,Match($A813,'Player Raw Data'!$B:$B,0)+2),INDEX('Player Raw Data'!E:E,Match($A813,'Player Raw Data'!$B:$B,0))),"")</f>
        <v/>
      </c>
      <c r="E813" s="27" t="str">
        <f>IFERROR(__xludf.DUMMYFUNCTION("IFERROR(ARRAY_CONSTRAIN(SPLIT(INDEX('Daily Raw Data'!G:G,Match($A813,'Daily Raw Data'!$B:$B,0)),"":""),1,1),"""")"),"")</f>
        <v/>
      </c>
      <c r="F813" t="str">
        <f t="array" ref="F813">IFERROR(INDEX('Daily Raw Data'!H:H,Match($A813,'Daily Raw Data'!$B:$B,0)),"")</f>
        <v/>
      </c>
      <c r="G813" t="str">
        <f t="array" ref="G813">IFERROR(INDEX('Daily Raw Data'!I:I,Match($A813,'Daily Raw Data'!$B:$B,0)),"")</f>
        <v/>
      </c>
      <c r="H813" t="str">
        <f t="array" ref="H813">IFERROR(INDEX('Daily Raw Data'!N:N,Match($A813,'Daily Raw Data'!$B:$B,0)),"")</f>
        <v/>
      </c>
      <c r="I813" t="str">
        <f t="array" ref="I813">IFERROR(INDEX('Daily Raw Data'!O:O,Match($A813,'Daily Raw Data'!$B:$B,0)),"")</f>
        <v/>
      </c>
      <c r="J813" t="str">
        <f t="array" ref="J813">IFERROR(INDEX('Daily Raw Data'!S:S,Match($A813,'Daily Raw Data'!$B:$B,0)),"")</f>
        <v/>
      </c>
      <c r="K813" t="str">
        <f t="array" ref="K813">IFERROR(INDEX('Daily Raw Data'!T:T,Match($A813,'Daily Raw Data'!$B:$B,0)),"")</f>
        <v/>
      </c>
      <c r="L813" t="str">
        <f t="array" ref="L813">IFERROR(INDEX('Daily Raw Data'!U:U,Match($A813,'Daily Raw Data'!$B:$B,0)),"")</f>
        <v/>
      </c>
      <c r="M813" t="str">
        <f t="array" ref="M813">IFERROR(INDEX('Daily Raw Data'!V:V,Match($A813,'Daily Raw Data'!$B:$B,0)),"")</f>
        <v/>
      </c>
      <c r="N813" t="str">
        <f t="array" ref="N813">IFERROR(INDEX('Daily Raw Data'!W:W,Match($A813,'Daily Raw Data'!$B:$B,0)),"")</f>
        <v/>
      </c>
      <c r="O813" t="str">
        <f t="array" ref="O813">IFERROR(INDEX('Daily Raw Data'!Y:Y,Match($A813,'Daily Raw Data'!$B:$B,0)),"")</f>
        <v/>
      </c>
      <c r="P813" t="str">
        <f t="shared" si="1"/>
        <v/>
      </c>
      <c r="Q813" s="14" t="str">
        <f t="shared" si="2"/>
        <v/>
      </c>
      <c r="R813" s="15" t="str">
        <f>IFERROR(__xludf.DUMMYFUNCTION("IF($A813="""","""", IFERROR(PERCENTRANK.INC(FILTER(P:P,$E:$E&lt;&gt;""""),P813)*100,""""))"),"")</f>
        <v/>
      </c>
      <c r="S813" s="15" t="str">
        <f>IFERROR(__xludf.DUMMYFUNCTION("IF($A813="""","""",IFERROR(PERCENTRANK.INC(FILTER(Q:Q,$E:$E&lt;&gt;""""),Q813)*100,""""))"),"")</f>
        <v/>
      </c>
    </row>
    <row r="814">
      <c r="B814" t="str">
        <f t="array" ref="B814">IFERROR(INDEX('Player Raw Data'!C:C,Match($A814,'Player Raw Data'!$B:$B,0)),"")</f>
        <v/>
      </c>
      <c r="C814" t="str">
        <f t="array" ref="C814">IFERROR(INDEX('Player Raw Data'!D:D,Match($A814,'Player Raw Data'!$B:$B,0)),"")</f>
        <v/>
      </c>
      <c r="D814" t="str">
        <f t="array" ref="D814">IFERROR(IF(A814=A813, INDEX('Player Raw Data'!E:E,Match($A814,'Player Raw Data'!$B:$B,0)+2),INDEX('Player Raw Data'!E:E,Match($A814,'Player Raw Data'!$B:$B,0))),"")</f>
        <v/>
      </c>
      <c r="E814" s="27" t="str">
        <f>IFERROR(__xludf.DUMMYFUNCTION("IFERROR(ARRAY_CONSTRAIN(SPLIT(INDEX('Daily Raw Data'!G:G,Match($A814,'Daily Raw Data'!$B:$B,0)),"":""),1,1),"""")"),"")</f>
        <v/>
      </c>
      <c r="F814" t="str">
        <f t="array" ref="F814">IFERROR(INDEX('Daily Raw Data'!H:H,Match($A814,'Daily Raw Data'!$B:$B,0)),"")</f>
        <v/>
      </c>
      <c r="G814" t="str">
        <f t="array" ref="G814">IFERROR(INDEX('Daily Raw Data'!I:I,Match($A814,'Daily Raw Data'!$B:$B,0)),"")</f>
        <v/>
      </c>
      <c r="H814" t="str">
        <f t="array" ref="H814">IFERROR(INDEX('Daily Raw Data'!N:N,Match($A814,'Daily Raw Data'!$B:$B,0)),"")</f>
        <v/>
      </c>
      <c r="I814" t="str">
        <f t="array" ref="I814">IFERROR(INDEX('Daily Raw Data'!O:O,Match($A814,'Daily Raw Data'!$B:$B,0)),"")</f>
        <v/>
      </c>
      <c r="J814" t="str">
        <f t="array" ref="J814">IFERROR(INDEX('Daily Raw Data'!S:S,Match($A814,'Daily Raw Data'!$B:$B,0)),"")</f>
        <v/>
      </c>
      <c r="K814" t="str">
        <f t="array" ref="K814">IFERROR(INDEX('Daily Raw Data'!T:T,Match($A814,'Daily Raw Data'!$B:$B,0)),"")</f>
        <v/>
      </c>
      <c r="L814" t="str">
        <f t="array" ref="L814">IFERROR(INDEX('Daily Raw Data'!U:U,Match($A814,'Daily Raw Data'!$B:$B,0)),"")</f>
        <v/>
      </c>
      <c r="M814" t="str">
        <f t="array" ref="M814">IFERROR(INDEX('Daily Raw Data'!V:V,Match($A814,'Daily Raw Data'!$B:$B,0)),"")</f>
        <v/>
      </c>
      <c r="N814" t="str">
        <f t="array" ref="N814">IFERROR(INDEX('Daily Raw Data'!W:W,Match($A814,'Daily Raw Data'!$B:$B,0)),"")</f>
        <v/>
      </c>
      <c r="O814" t="str">
        <f t="array" ref="O814">IFERROR(INDEX('Daily Raw Data'!Y:Y,Match($A814,'Daily Raw Data'!$B:$B,0)),"")</f>
        <v/>
      </c>
      <c r="P814" t="str">
        <f t="shared" si="1"/>
        <v/>
      </c>
      <c r="Q814" s="14" t="str">
        <f t="shared" si="2"/>
        <v/>
      </c>
      <c r="R814" s="15" t="str">
        <f>IFERROR(__xludf.DUMMYFUNCTION("IF($A814="""","""", IFERROR(PERCENTRANK.INC(FILTER(P:P,$E:$E&lt;&gt;""""),P814)*100,""""))"),"")</f>
        <v/>
      </c>
      <c r="S814" s="15" t="str">
        <f>IFERROR(__xludf.DUMMYFUNCTION("IF($A814="""","""",IFERROR(PERCENTRANK.INC(FILTER(Q:Q,$E:$E&lt;&gt;""""),Q814)*100,""""))"),"")</f>
        <v/>
      </c>
    </row>
    <row r="815">
      <c r="B815" t="str">
        <f t="array" ref="B815">IFERROR(INDEX('Player Raw Data'!C:C,Match($A815,'Player Raw Data'!$B:$B,0)),"")</f>
        <v/>
      </c>
      <c r="C815" t="str">
        <f t="array" ref="C815">IFERROR(INDEX('Player Raw Data'!D:D,Match($A815,'Player Raw Data'!$B:$B,0)),"")</f>
        <v/>
      </c>
      <c r="D815" t="str">
        <f t="array" ref="D815">IFERROR(IF(A815=A814, INDEX('Player Raw Data'!E:E,Match($A815,'Player Raw Data'!$B:$B,0)+2),INDEX('Player Raw Data'!E:E,Match($A815,'Player Raw Data'!$B:$B,0))),"")</f>
        <v/>
      </c>
      <c r="E815" s="27" t="str">
        <f>IFERROR(__xludf.DUMMYFUNCTION("IFERROR(ARRAY_CONSTRAIN(SPLIT(INDEX('Daily Raw Data'!G:G,Match($A815,'Daily Raw Data'!$B:$B,0)),"":""),1,1),"""")"),"")</f>
        <v/>
      </c>
      <c r="F815" t="str">
        <f t="array" ref="F815">IFERROR(INDEX('Daily Raw Data'!H:H,Match($A815,'Daily Raw Data'!$B:$B,0)),"")</f>
        <v/>
      </c>
      <c r="G815" t="str">
        <f t="array" ref="G815">IFERROR(INDEX('Daily Raw Data'!I:I,Match($A815,'Daily Raw Data'!$B:$B,0)),"")</f>
        <v/>
      </c>
      <c r="H815" t="str">
        <f t="array" ref="H815">IFERROR(INDEX('Daily Raw Data'!N:N,Match($A815,'Daily Raw Data'!$B:$B,0)),"")</f>
        <v/>
      </c>
      <c r="I815" t="str">
        <f t="array" ref="I815">IFERROR(INDEX('Daily Raw Data'!O:O,Match($A815,'Daily Raw Data'!$B:$B,0)),"")</f>
        <v/>
      </c>
      <c r="J815" t="str">
        <f t="array" ref="J815">IFERROR(INDEX('Daily Raw Data'!S:S,Match($A815,'Daily Raw Data'!$B:$B,0)),"")</f>
        <v/>
      </c>
      <c r="K815" t="str">
        <f t="array" ref="K815">IFERROR(INDEX('Daily Raw Data'!T:T,Match($A815,'Daily Raw Data'!$B:$B,0)),"")</f>
        <v/>
      </c>
      <c r="L815" t="str">
        <f t="array" ref="L815">IFERROR(INDEX('Daily Raw Data'!U:U,Match($A815,'Daily Raw Data'!$B:$B,0)),"")</f>
        <v/>
      </c>
      <c r="M815" t="str">
        <f t="array" ref="M815">IFERROR(INDEX('Daily Raw Data'!V:V,Match($A815,'Daily Raw Data'!$B:$B,0)),"")</f>
        <v/>
      </c>
      <c r="N815" t="str">
        <f t="array" ref="N815">IFERROR(INDEX('Daily Raw Data'!W:W,Match($A815,'Daily Raw Data'!$B:$B,0)),"")</f>
        <v/>
      </c>
      <c r="O815" t="str">
        <f t="array" ref="O815">IFERROR(INDEX('Daily Raw Data'!Y:Y,Match($A815,'Daily Raw Data'!$B:$B,0)),"")</f>
        <v/>
      </c>
      <c r="P815" t="str">
        <f t="shared" si="1"/>
        <v/>
      </c>
      <c r="Q815" s="14" t="str">
        <f t="shared" si="2"/>
        <v/>
      </c>
      <c r="R815" s="15" t="str">
        <f>IFERROR(__xludf.DUMMYFUNCTION("IF($A815="""","""", IFERROR(PERCENTRANK.INC(FILTER(P:P,$E:$E&lt;&gt;""""),P815)*100,""""))"),"")</f>
        <v/>
      </c>
      <c r="S815" s="15" t="str">
        <f>IFERROR(__xludf.DUMMYFUNCTION("IF($A815="""","""",IFERROR(PERCENTRANK.INC(FILTER(Q:Q,$E:$E&lt;&gt;""""),Q815)*100,""""))"),"")</f>
        <v/>
      </c>
    </row>
    <row r="816">
      <c r="B816" t="str">
        <f t="array" ref="B816">IFERROR(INDEX('Player Raw Data'!C:C,Match($A816,'Player Raw Data'!$B:$B,0)),"")</f>
        <v/>
      </c>
      <c r="C816" t="str">
        <f t="array" ref="C816">IFERROR(INDEX('Player Raw Data'!D:D,Match($A816,'Player Raw Data'!$B:$B,0)),"")</f>
        <v/>
      </c>
      <c r="D816" t="str">
        <f t="array" ref="D816">IFERROR(IF(A816=A815, INDEX('Player Raw Data'!E:E,Match($A816,'Player Raw Data'!$B:$B,0)+2),INDEX('Player Raw Data'!E:E,Match($A816,'Player Raw Data'!$B:$B,0))),"")</f>
        <v/>
      </c>
      <c r="E816" s="27" t="str">
        <f>IFERROR(__xludf.DUMMYFUNCTION("IFERROR(ARRAY_CONSTRAIN(SPLIT(INDEX('Daily Raw Data'!G:G,Match($A816,'Daily Raw Data'!$B:$B,0)),"":""),1,1),"""")"),"")</f>
        <v/>
      </c>
      <c r="F816" t="str">
        <f t="array" ref="F816">IFERROR(INDEX('Daily Raw Data'!H:H,Match($A816,'Daily Raw Data'!$B:$B,0)),"")</f>
        <v/>
      </c>
      <c r="G816" t="str">
        <f t="array" ref="G816">IFERROR(INDEX('Daily Raw Data'!I:I,Match($A816,'Daily Raw Data'!$B:$B,0)),"")</f>
        <v/>
      </c>
      <c r="H816" t="str">
        <f t="array" ref="H816">IFERROR(INDEX('Daily Raw Data'!N:N,Match($A816,'Daily Raw Data'!$B:$B,0)),"")</f>
        <v/>
      </c>
      <c r="I816" t="str">
        <f t="array" ref="I816">IFERROR(INDEX('Daily Raw Data'!O:O,Match($A816,'Daily Raw Data'!$B:$B,0)),"")</f>
        <v/>
      </c>
      <c r="J816" t="str">
        <f t="array" ref="J816">IFERROR(INDEX('Daily Raw Data'!S:S,Match($A816,'Daily Raw Data'!$B:$B,0)),"")</f>
        <v/>
      </c>
      <c r="K816" t="str">
        <f t="array" ref="K816">IFERROR(INDEX('Daily Raw Data'!T:T,Match($A816,'Daily Raw Data'!$B:$B,0)),"")</f>
        <v/>
      </c>
      <c r="L816" t="str">
        <f t="array" ref="L816">IFERROR(INDEX('Daily Raw Data'!U:U,Match($A816,'Daily Raw Data'!$B:$B,0)),"")</f>
        <v/>
      </c>
      <c r="M816" t="str">
        <f t="array" ref="M816">IFERROR(INDEX('Daily Raw Data'!V:V,Match($A816,'Daily Raw Data'!$B:$B,0)),"")</f>
        <v/>
      </c>
      <c r="N816" t="str">
        <f t="array" ref="N816">IFERROR(INDEX('Daily Raw Data'!W:W,Match($A816,'Daily Raw Data'!$B:$B,0)),"")</f>
        <v/>
      </c>
      <c r="O816" t="str">
        <f t="array" ref="O816">IFERROR(INDEX('Daily Raw Data'!Y:Y,Match($A816,'Daily Raw Data'!$B:$B,0)),"")</f>
        <v/>
      </c>
      <c r="P816" t="str">
        <f t="shared" si="1"/>
        <v/>
      </c>
      <c r="Q816" s="14" t="str">
        <f t="shared" si="2"/>
        <v/>
      </c>
      <c r="R816" s="15" t="str">
        <f>IFERROR(__xludf.DUMMYFUNCTION("IF($A816="""","""", IFERROR(PERCENTRANK.INC(FILTER(P:P,$E:$E&lt;&gt;""""),P816)*100,""""))"),"")</f>
        <v/>
      </c>
      <c r="S816" s="15" t="str">
        <f>IFERROR(__xludf.DUMMYFUNCTION("IF($A816="""","""",IFERROR(PERCENTRANK.INC(FILTER(Q:Q,$E:$E&lt;&gt;""""),Q816)*100,""""))"),"")</f>
        <v/>
      </c>
    </row>
    <row r="817">
      <c r="B817" t="str">
        <f t="array" ref="B817">IFERROR(INDEX('Player Raw Data'!C:C,Match($A817,'Player Raw Data'!$B:$B,0)),"")</f>
        <v/>
      </c>
      <c r="C817" t="str">
        <f t="array" ref="C817">IFERROR(INDEX('Player Raw Data'!D:D,Match($A817,'Player Raw Data'!$B:$B,0)),"")</f>
        <v/>
      </c>
      <c r="D817" t="str">
        <f t="array" ref="D817">IFERROR(IF(A817=A816, INDEX('Player Raw Data'!E:E,Match($A817,'Player Raw Data'!$B:$B,0)+2),INDEX('Player Raw Data'!E:E,Match($A817,'Player Raw Data'!$B:$B,0))),"")</f>
        <v/>
      </c>
      <c r="E817" s="27" t="str">
        <f>IFERROR(__xludf.DUMMYFUNCTION("IFERROR(ARRAY_CONSTRAIN(SPLIT(INDEX('Daily Raw Data'!G:G,Match($A817,'Daily Raw Data'!$B:$B,0)),"":""),1,1),"""")"),"")</f>
        <v/>
      </c>
      <c r="F817" t="str">
        <f t="array" ref="F817">IFERROR(INDEX('Daily Raw Data'!H:H,Match($A817,'Daily Raw Data'!$B:$B,0)),"")</f>
        <v/>
      </c>
      <c r="G817" t="str">
        <f t="array" ref="G817">IFERROR(INDEX('Daily Raw Data'!I:I,Match($A817,'Daily Raw Data'!$B:$B,0)),"")</f>
        <v/>
      </c>
      <c r="H817" t="str">
        <f t="array" ref="H817">IFERROR(INDEX('Daily Raw Data'!N:N,Match($A817,'Daily Raw Data'!$B:$B,0)),"")</f>
        <v/>
      </c>
      <c r="I817" t="str">
        <f t="array" ref="I817">IFERROR(INDEX('Daily Raw Data'!O:O,Match($A817,'Daily Raw Data'!$B:$B,0)),"")</f>
        <v/>
      </c>
      <c r="J817" t="str">
        <f t="array" ref="J817">IFERROR(INDEX('Daily Raw Data'!S:S,Match($A817,'Daily Raw Data'!$B:$B,0)),"")</f>
        <v/>
      </c>
      <c r="K817" t="str">
        <f t="array" ref="K817">IFERROR(INDEX('Daily Raw Data'!T:T,Match($A817,'Daily Raw Data'!$B:$B,0)),"")</f>
        <v/>
      </c>
      <c r="L817" t="str">
        <f t="array" ref="L817">IFERROR(INDEX('Daily Raw Data'!U:U,Match($A817,'Daily Raw Data'!$B:$B,0)),"")</f>
        <v/>
      </c>
      <c r="M817" t="str">
        <f t="array" ref="M817">IFERROR(INDEX('Daily Raw Data'!V:V,Match($A817,'Daily Raw Data'!$B:$B,0)),"")</f>
        <v/>
      </c>
      <c r="N817" t="str">
        <f t="array" ref="N817">IFERROR(INDEX('Daily Raw Data'!W:W,Match($A817,'Daily Raw Data'!$B:$B,0)),"")</f>
        <v/>
      </c>
      <c r="O817" t="str">
        <f t="array" ref="O817">IFERROR(INDEX('Daily Raw Data'!Y:Y,Match($A817,'Daily Raw Data'!$B:$B,0)),"")</f>
        <v/>
      </c>
      <c r="P817" t="str">
        <f t="shared" si="1"/>
        <v/>
      </c>
      <c r="Q817" s="14" t="str">
        <f t="shared" si="2"/>
        <v/>
      </c>
      <c r="R817" s="15" t="str">
        <f>IFERROR(__xludf.DUMMYFUNCTION("IF($A817="""","""", IFERROR(PERCENTRANK.INC(FILTER(P:P,$E:$E&lt;&gt;""""),P817)*100,""""))"),"")</f>
        <v/>
      </c>
      <c r="S817" s="15" t="str">
        <f>IFERROR(__xludf.DUMMYFUNCTION("IF($A817="""","""",IFERROR(PERCENTRANK.INC(FILTER(Q:Q,$E:$E&lt;&gt;""""),Q817)*100,""""))"),"")</f>
        <v/>
      </c>
    </row>
    <row r="818">
      <c r="B818" t="str">
        <f t="array" ref="B818">IFERROR(INDEX('Player Raw Data'!C:C,Match($A818,'Player Raw Data'!$B:$B,0)),"")</f>
        <v/>
      </c>
      <c r="C818" t="str">
        <f t="array" ref="C818">IFERROR(INDEX('Player Raw Data'!D:D,Match($A818,'Player Raw Data'!$B:$B,0)),"")</f>
        <v/>
      </c>
      <c r="D818" t="str">
        <f t="array" ref="D818">IFERROR(IF(A818=A817, INDEX('Player Raw Data'!E:E,Match($A818,'Player Raw Data'!$B:$B,0)+2),INDEX('Player Raw Data'!E:E,Match($A818,'Player Raw Data'!$B:$B,0))),"")</f>
        <v/>
      </c>
      <c r="E818" s="27" t="str">
        <f>IFERROR(__xludf.DUMMYFUNCTION("IFERROR(ARRAY_CONSTRAIN(SPLIT(INDEX('Daily Raw Data'!G:G,Match($A818,'Daily Raw Data'!$B:$B,0)),"":""),1,1),"""")"),"")</f>
        <v/>
      </c>
      <c r="F818" t="str">
        <f t="array" ref="F818">IFERROR(INDEX('Daily Raw Data'!H:H,Match($A818,'Daily Raw Data'!$B:$B,0)),"")</f>
        <v/>
      </c>
      <c r="G818" t="str">
        <f t="array" ref="G818">IFERROR(INDEX('Daily Raw Data'!I:I,Match($A818,'Daily Raw Data'!$B:$B,0)),"")</f>
        <v/>
      </c>
      <c r="H818" t="str">
        <f t="array" ref="H818">IFERROR(INDEX('Daily Raw Data'!N:N,Match($A818,'Daily Raw Data'!$B:$B,0)),"")</f>
        <v/>
      </c>
      <c r="I818" t="str">
        <f t="array" ref="I818">IFERROR(INDEX('Daily Raw Data'!O:O,Match($A818,'Daily Raw Data'!$B:$B,0)),"")</f>
        <v/>
      </c>
      <c r="J818" t="str">
        <f t="array" ref="J818">IFERROR(INDEX('Daily Raw Data'!S:S,Match($A818,'Daily Raw Data'!$B:$B,0)),"")</f>
        <v/>
      </c>
      <c r="K818" t="str">
        <f t="array" ref="K818">IFERROR(INDEX('Daily Raw Data'!T:T,Match($A818,'Daily Raw Data'!$B:$B,0)),"")</f>
        <v/>
      </c>
      <c r="L818" t="str">
        <f t="array" ref="L818">IFERROR(INDEX('Daily Raw Data'!U:U,Match($A818,'Daily Raw Data'!$B:$B,0)),"")</f>
        <v/>
      </c>
      <c r="M818" t="str">
        <f t="array" ref="M818">IFERROR(INDEX('Daily Raw Data'!V:V,Match($A818,'Daily Raw Data'!$B:$B,0)),"")</f>
        <v/>
      </c>
      <c r="N818" t="str">
        <f t="array" ref="N818">IFERROR(INDEX('Daily Raw Data'!W:W,Match($A818,'Daily Raw Data'!$B:$B,0)),"")</f>
        <v/>
      </c>
      <c r="O818" t="str">
        <f t="array" ref="O818">IFERROR(INDEX('Daily Raw Data'!Y:Y,Match($A818,'Daily Raw Data'!$B:$B,0)),"")</f>
        <v/>
      </c>
      <c r="P818" t="str">
        <f t="shared" si="1"/>
        <v/>
      </c>
      <c r="Q818" s="14" t="str">
        <f t="shared" si="2"/>
        <v/>
      </c>
      <c r="R818" s="15" t="str">
        <f>IFERROR(__xludf.DUMMYFUNCTION("IF($A818="""","""", IFERROR(PERCENTRANK.INC(FILTER(P:P,$E:$E&lt;&gt;""""),P818)*100,""""))"),"")</f>
        <v/>
      </c>
      <c r="S818" s="15" t="str">
        <f>IFERROR(__xludf.DUMMYFUNCTION("IF($A818="""","""",IFERROR(PERCENTRANK.INC(FILTER(Q:Q,$E:$E&lt;&gt;""""),Q818)*100,""""))"),"")</f>
        <v/>
      </c>
    </row>
    <row r="819">
      <c r="B819" t="str">
        <f t="array" ref="B819">IFERROR(INDEX('Player Raw Data'!C:C,Match($A819,'Player Raw Data'!$B:$B,0)),"")</f>
        <v/>
      </c>
      <c r="C819" t="str">
        <f t="array" ref="C819">IFERROR(INDEX('Player Raw Data'!D:D,Match($A819,'Player Raw Data'!$B:$B,0)),"")</f>
        <v/>
      </c>
      <c r="D819" t="str">
        <f t="array" ref="D819">IFERROR(IF(A819=A818, INDEX('Player Raw Data'!E:E,Match($A819,'Player Raw Data'!$B:$B,0)+2),INDEX('Player Raw Data'!E:E,Match($A819,'Player Raw Data'!$B:$B,0))),"")</f>
        <v/>
      </c>
      <c r="E819" s="27" t="str">
        <f>IFERROR(__xludf.DUMMYFUNCTION("IFERROR(ARRAY_CONSTRAIN(SPLIT(INDEX('Daily Raw Data'!G:G,Match($A819,'Daily Raw Data'!$B:$B,0)),"":""),1,1),"""")"),"")</f>
        <v/>
      </c>
      <c r="F819" t="str">
        <f t="array" ref="F819">IFERROR(INDEX('Daily Raw Data'!H:H,Match($A819,'Daily Raw Data'!$B:$B,0)),"")</f>
        <v/>
      </c>
      <c r="G819" t="str">
        <f t="array" ref="G819">IFERROR(INDEX('Daily Raw Data'!I:I,Match($A819,'Daily Raw Data'!$B:$B,0)),"")</f>
        <v/>
      </c>
      <c r="H819" t="str">
        <f t="array" ref="H819">IFERROR(INDEX('Daily Raw Data'!N:N,Match($A819,'Daily Raw Data'!$B:$B,0)),"")</f>
        <v/>
      </c>
      <c r="I819" t="str">
        <f t="array" ref="I819">IFERROR(INDEX('Daily Raw Data'!O:O,Match($A819,'Daily Raw Data'!$B:$B,0)),"")</f>
        <v/>
      </c>
      <c r="J819" t="str">
        <f t="array" ref="J819">IFERROR(INDEX('Daily Raw Data'!S:S,Match($A819,'Daily Raw Data'!$B:$B,0)),"")</f>
        <v/>
      </c>
      <c r="K819" t="str">
        <f t="array" ref="K819">IFERROR(INDEX('Daily Raw Data'!T:T,Match($A819,'Daily Raw Data'!$B:$B,0)),"")</f>
        <v/>
      </c>
      <c r="L819" t="str">
        <f t="array" ref="L819">IFERROR(INDEX('Daily Raw Data'!U:U,Match($A819,'Daily Raw Data'!$B:$B,0)),"")</f>
        <v/>
      </c>
      <c r="M819" t="str">
        <f t="array" ref="M819">IFERROR(INDEX('Daily Raw Data'!V:V,Match($A819,'Daily Raw Data'!$B:$B,0)),"")</f>
        <v/>
      </c>
      <c r="N819" t="str">
        <f t="array" ref="N819">IFERROR(INDEX('Daily Raw Data'!W:W,Match($A819,'Daily Raw Data'!$B:$B,0)),"")</f>
        <v/>
      </c>
      <c r="O819" t="str">
        <f t="array" ref="O819">IFERROR(INDEX('Daily Raw Data'!Y:Y,Match($A819,'Daily Raw Data'!$B:$B,0)),"")</f>
        <v/>
      </c>
      <c r="P819" t="str">
        <f t="shared" si="1"/>
        <v/>
      </c>
      <c r="Q819" s="14" t="str">
        <f t="shared" si="2"/>
        <v/>
      </c>
      <c r="R819" s="15" t="str">
        <f>IFERROR(__xludf.DUMMYFUNCTION("IF($A819="""","""", IFERROR(PERCENTRANK.INC(FILTER(P:P,$E:$E&lt;&gt;""""),P819)*100,""""))"),"")</f>
        <v/>
      </c>
      <c r="S819" s="15" t="str">
        <f>IFERROR(__xludf.DUMMYFUNCTION("IF($A819="""","""",IFERROR(PERCENTRANK.INC(FILTER(Q:Q,$E:$E&lt;&gt;""""),Q819)*100,""""))"),"")</f>
        <v/>
      </c>
    </row>
    <row r="820">
      <c r="B820" t="str">
        <f t="array" ref="B820">IFERROR(INDEX('Player Raw Data'!C:C,Match($A820,'Player Raw Data'!$B:$B,0)),"")</f>
        <v/>
      </c>
      <c r="C820" t="str">
        <f t="array" ref="C820">IFERROR(INDEX('Player Raw Data'!D:D,Match($A820,'Player Raw Data'!$B:$B,0)),"")</f>
        <v/>
      </c>
      <c r="D820" t="str">
        <f t="array" ref="D820">IFERROR(IF(A820=A819, INDEX('Player Raw Data'!E:E,Match($A820,'Player Raw Data'!$B:$B,0)+2),INDEX('Player Raw Data'!E:E,Match($A820,'Player Raw Data'!$B:$B,0))),"")</f>
        <v/>
      </c>
      <c r="E820" s="27" t="str">
        <f>IFERROR(__xludf.DUMMYFUNCTION("IFERROR(ARRAY_CONSTRAIN(SPLIT(INDEX('Daily Raw Data'!G:G,Match($A820,'Daily Raw Data'!$B:$B,0)),"":""),1,1),"""")"),"")</f>
        <v/>
      </c>
      <c r="F820" t="str">
        <f t="array" ref="F820">IFERROR(INDEX('Daily Raw Data'!H:H,Match($A820,'Daily Raw Data'!$B:$B,0)),"")</f>
        <v/>
      </c>
      <c r="G820" t="str">
        <f t="array" ref="G820">IFERROR(INDEX('Daily Raw Data'!I:I,Match($A820,'Daily Raw Data'!$B:$B,0)),"")</f>
        <v/>
      </c>
      <c r="H820" t="str">
        <f t="array" ref="H820">IFERROR(INDEX('Daily Raw Data'!N:N,Match($A820,'Daily Raw Data'!$B:$B,0)),"")</f>
        <v/>
      </c>
      <c r="I820" t="str">
        <f t="array" ref="I820">IFERROR(INDEX('Daily Raw Data'!O:O,Match($A820,'Daily Raw Data'!$B:$B,0)),"")</f>
        <v/>
      </c>
      <c r="J820" t="str">
        <f t="array" ref="J820">IFERROR(INDEX('Daily Raw Data'!S:S,Match($A820,'Daily Raw Data'!$B:$B,0)),"")</f>
        <v/>
      </c>
      <c r="K820" t="str">
        <f t="array" ref="K820">IFERROR(INDEX('Daily Raw Data'!T:T,Match($A820,'Daily Raw Data'!$B:$B,0)),"")</f>
        <v/>
      </c>
      <c r="L820" t="str">
        <f t="array" ref="L820">IFERROR(INDEX('Daily Raw Data'!U:U,Match($A820,'Daily Raw Data'!$B:$B,0)),"")</f>
        <v/>
      </c>
      <c r="M820" t="str">
        <f t="array" ref="M820">IFERROR(INDEX('Daily Raw Data'!V:V,Match($A820,'Daily Raw Data'!$B:$B,0)),"")</f>
        <v/>
      </c>
      <c r="N820" t="str">
        <f t="array" ref="N820">IFERROR(INDEX('Daily Raw Data'!W:W,Match($A820,'Daily Raw Data'!$B:$B,0)),"")</f>
        <v/>
      </c>
      <c r="O820" t="str">
        <f t="array" ref="O820">IFERROR(INDEX('Daily Raw Data'!Y:Y,Match($A820,'Daily Raw Data'!$B:$B,0)),"")</f>
        <v/>
      </c>
      <c r="P820" t="str">
        <f t="shared" si="1"/>
        <v/>
      </c>
      <c r="Q820" s="14" t="str">
        <f t="shared" si="2"/>
        <v/>
      </c>
      <c r="R820" s="15" t="str">
        <f>IFERROR(__xludf.DUMMYFUNCTION("IF($A820="""","""", IFERROR(PERCENTRANK.INC(FILTER(P:P,$E:$E&lt;&gt;""""),P820)*100,""""))"),"")</f>
        <v/>
      </c>
      <c r="S820" s="15" t="str">
        <f>IFERROR(__xludf.DUMMYFUNCTION("IF($A820="""","""",IFERROR(PERCENTRANK.INC(FILTER(Q:Q,$E:$E&lt;&gt;""""),Q820)*100,""""))"),"")</f>
        <v/>
      </c>
    </row>
    <row r="821">
      <c r="B821" t="str">
        <f t="array" ref="B821">IFERROR(INDEX('Player Raw Data'!C:C,Match($A821,'Player Raw Data'!$B:$B,0)),"")</f>
        <v/>
      </c>
      <c r="C821" t="str">
        <f t="array" ref="C821">IFERROR(INDEX('Player Raw Data'!D:D,Match($A821,'Player Raw Data'!$B:$B,0)),"")</f>
        <v/>
      </c>
      <c r="D821" t="str">
        <f t="array" ref="D821">IFERROR(IF(A821=A820, INDEX('Player Raw Data'!E:E,Match($A821,'Player Raw Data'!$B:$B,0)+2),INDEX('Player Raw Data'!E:E,Match($A821,'Player Raw Data'!$B:$B,0))),"")</f>
        <v/>
      </c>
      <c r="E821" s="27" t="str">
        <f>IFERROR(__xludf.DUMMYFUNCTION("IFERROR(ARRAY_CONSTRAIN(SPLIT(INDEX('Daily Raw Data'!G:G,Match($A821,'Daily Raw Data'!$B:$B,0)),"":""),1,1),"""")"),"")</f>
        <v/>
      </c>
      <c r="F821" t="str">
        <f t="array" ref="F821">IFERROR(INDEX('Daily Raw Data'!H:H,Match($A821,'Daily Raw Data'!$B:$B,0)),"")</f>
        <v/>
      </c>
      <c r="G821" t="str">
        <f t="array" ref="G821">IFERROR(INDEX('Daily Raw Data'!I:I,Match($A821,'Daily Raw Data'!$B:$B,0)),"")</f>
        <v/>
      </c>
      <c r="H821" t="str">
        <f t="array" ref="H821">IFERROR(INDEX('Daily Raw Data'!N:N,Match($A821,'Daily Raw Data'!$B:$B,0)),"")</f>
        <v/>
      </c>
      <c r="I821" t="str">
        <f t="array" ref="I821">IFERROR(INDEX('Daily Raw Data'!O:O,Match($A821,'Daily Raw Data'!$B:$B,0)),"")</f>
        <v/>
      </c>
      <c r="J821" t="str">
        <f t="array" ref="J821">IFERROR(INDEX('Daily Raw Data'!S:S,Match($A821,'Daily Raw Data'!$B:$B,0)),"")</f>
        <v/>
      </c>
      <c r="K821" t="str">
        <f t="array" ref="K821">IFERROR(INDEX('Daily Raw Data'!T:T,Match($A821,'Daily Raw Data'!$B:$B,0)),"")</f>
        <v/>
      </c>
      <c r="L821" t="str">
        <f t="array" ref="L821">IFERROR(INDEX('Daily Raw Data'!U:U,Match($A821,'Daily Raw Data'!$B:$B,0)),"")</f>
        <v/>
      </c>
      <c r="M821" t="str">
        <f t="array" ref="M821">IFERROR(INDEX('Daily Raw Data'!V:V,Match($A821,'Daily Raw Data'!$B:$B,0)),"")</f>
        <v/>
      </c>
      <c r="N821" t="str">
        <f t="array" ref="N821">IFERROR(INDEX('Daily Raw Data'!W:W,Match($A821,'Daily Raw Data'!$B:$B,0)),"")</f>
        <v/>
      </c>
      <c r="O821" t="str">
        <f t="array" ref="O821">IFERROR(INDEX('Daily Raw Data'!Y:Y,Match($A821,'Daily Raw Data'!$B:$B,0)),"")</f>
        <v/>
      </c>
      <c r="P821" t="str">
        <f t="shared" si="1"/>
        <v/>
      </c>
      <c r="Q821" s="14" t="str">
        <f t="shared" si="2"/>
        <v/>
      </c>
      <c r="R821" s="15" t="str">
        <f>IFERROR(__xludf.DUMMYFUNCTION("IF($A821="""","""", IFERROR(PERCENTRANK.INC(FILTER(P:P,$E:$E&lt;&gt;""""),P821)*100,""""))"),"")</f>
        <v/>
      </c>
      <c r="S821" s="15" t="str">
        <f>IFERROR(__xludf.DUMMYFUNCTION("IF($A821="""","""",IFERROR(PERCENTRANK.INC(FILTER(Q:Q,$E:$E&lt;&gt;""""),Q821)*100,""""))"),"")</f>
        <v/>
      </c>
    </row>
    <row r="822">
      <c r="B822" t="str">
        <f t="array" ref="B822">IFERROR(INDEX('Player Raw Data'!C:C,Match($A822,'Player Raw Data'!$B:$B,0)),"")</f>
        <v/>
      </c>
      <c r="C822" t="str">
        <f t="array" ref="C822">IFERROR(INDEX('Player Raw Data'!D:D,Match($A822,'Player Raw Data'!$B:$B,0)),"")</f>
        <v/>
      </c>
      <c r="D822" t="str">
        <f t="array" ref="D822">IFERROR(IF(A822=A821, INDEX('Player Raw Data'!E:E,Match($A822,'Player Raw Data'!$B:$B,0)+2),INDEX('Player Raw Data'!E:E,Match($A822,'Player Raw Data'!$B:$B,0))),"")</f>
        <v/>
      </c>
      <c r="E822" s="27" t="str">
        <f>IFERROR(__xludf.DUMMYFUNCTION("IFERROR(ARRAY_CONSTRAIN(SPLIT(INDEX('Daily Raw Data'!G:G,Match($A822,'Daily Raw Data'!$B:$B,0)),"":""),1,1),"""")"),"")</f>
        <v/>
      </c>
      <c r="F822" t="str">
        <f t="array" ref="F822">IFERROR(INDEX('Daily Raw Data'!H:H,Match($A822,'Daily Raw Data'!$B:$B,0)),"")</f>
        <v/>
      </c>
      <c r="G822" t="str">
        <f t="array" ref="G822">IFERROR(INDEX('Daily Raw Data'!I:I,Match($A822,'Daily Raw Data'!$B:$B,0)),"")</f>
        <v/>
      </c>
      <c r="H822" t="str">
        <f t="array" ref="H822">IFERROR(INDEX('Daily Raw Data'!N:N,Match($A822,'Daily Raw Data'!$B:$B,0)),"")</f>
        <v/>
      </c>
      <c r="I822" t="str">
        <f t="array" ref="I822">IFERROR(INDEX('Daily Raw Data'!O:O,Match($A822,'Daily Raw Data'!$B:$B,0)),"")</f>
        <v/>
      </c>
      <c r="J822" t="str">
        <f t="array" ref="J822">IFERROR(INDEX('Daily Raw Data'!S:S,Match($A822,'Daily Raw Data'!$B:$B,0)),"")</f>
        <v/>
      </c>
      <c r="K822" t="str">
        <f t="array" ref="K822">IFERROR(INDEX('Daily Raw Data'!T:T,Match($A822,'Daily Raw Data'!$B:$B,0)),"")</f>
        <v/>
      </c>
      <c r="L822" t="str">
        <f t="array" ref="L822">IFERROR(INDEX('Daily Raw Data'!U:U,Match($A822,'Daily Raw Data'!$B:$B,0)),"")</f>
        <v/>
      </c>
      <c r="M822" t="str">
        <f t="array" ref="M822">IFERROR(INDEX('Daily Raw Data'!V:V,Match($A822,'Daily Raw Data'!$B:$B,0)),"")</f>
        <v/>
      </c>
      <c r="N822" t="str">
        <f t="array" ref="N822">IFERROR(INDEX('Daily Raw Data'!W:W,Match($A822,'Daily Raw Data'!$B:$B,0)),"")</f>
        <v/>
      </c>
      <c r="O822" t="str">
        <f t="array" ref="O822">IFERROR(INDEX('Daily Raw Data'!Y:Y,Match($A822,'Daily Raw Data'!$B:$B,0)),"")</f>
        <v/>
      </c>
      <c r="P822" t="str">
        <f t="shared" si="1"/>
        <v/>
      </c>
      <c r="Q822" s="14" t="str">
        <f t="shared" si="2"/>
        <v/>
      </c>
      <c r="R822" s="15" t="str">
        <f>IFERROR(__xludf.DUMMYFUNCTION("IF($A822="""","""", IFERROR(PERCENTRANK.INC(FILTER(P:P,$E:$E&lt;&gt;""""),P822)*100,""""))"),"")</f>
        <v/>
      </c>
      <c r="S822" s="15" t="str">
        <f>IFERROR(__xludf.DUMMYFUNCTION("IF($A822="""","""",IFERROR(PERCENTRANK.INC(FILTER(Q:Q,$E:$E&lt;&gt;""""),Q822)*100,""""))"),"")</f>
        <v/>
      </c>
    </row>
    <row r="823">
      <c r="B823" t="str">
        <f t="array" ref="B823">IFERROR(INDEX('Player Raw Data'!C:C,Match($A823,'Player Raw Data'!$B:$B,0)),"")</f>
        <v/>
      </c>
      <c r="C823" t="str">
        <f t="array" ref="C823">IFERROR(INDEX('Player Raw Data'!D:D,Match($A823,'Player Raw Data'!$B:$B,0)),"")</f>
        <v/>
      </c>
      <c r="D823" t="str">
        <f t="array" ref="D823">IFERROR(IF(A823=A822, INDEX('Player Raw Data'!E:E,Match($A823,'Player Raw Data'!$B:$B,0)+2),INDEX('Player Raw Data'!E:E,Match($A823,'Player Raw Data'!$B:$B,0))),"")</f>
        <v/>
      </c>
      <c r="E823" s="27" t="str">
        <f>IFERROR(__xludf.DUMMYFUNCTION("IFERROR(ARRAY_CONSTRAIN(SPLIT(INDEX('Daily Raw Data'!G:G,Match($A823,'Daily Raw Data'!$B:$B,0)),"":""),1,1),"""")"),"")</f>
        <v/>
      </c>
      <c r="F823" t="str">
        <f t="array" ref="F823">IFERROR(INDEX('Daily Raw Data'!H:H,Match($A823,'Daily Raw Data'!$B:$B,0)),"")</f>
        <v/>
      </c>
      <c r="G823" t="str">
        <f t="array" ref="G823">IFERROR(INDEX('Daily Raw Data'!I:I,Match($A823,'Daily Raw Data'!$B:$B,0)),"")</f>
        <v/>
      </c>
      <c r="H823" t="str">
        <f t="array" ref="H823">IFERROR(INDEX('Daily Raw Data'!N:N,Match($A823,'Daily Raw Data'!$B:$B,0)),"")</f>
        <v/>
      </c>
      <c r="I823" t="str">
        <f t="array" ref="I823">IFERROR(INDEX('Daily Raw Data'!O:O,Match($A823,'Daily Raw Data'!$B:$B,0)),"")</f>
        <v/>
      </c>
      <c r="J823" t="str">
        <f t="array" ref="J823">IFERROR(INDEX('Daily Raw Data'!S:S,Match($A823,'Daily Raw Data'!$B:$B,0)),"")</f>
        <v/>
      </c>
      <c r="K823" t="str">
        <f t="array" ref="K823">IFERROR(INDEX('Daily Raw Data'!T:T,Match($A823,'Daily Raw Data'!$B:$B,0)),"")</f>
        <v/>
      </c>
      <c r="L823" t="str">
        <f t="array" ref="L823">IFERROR(INDEX('Daily Raw Data'!U:U,Match($A823,'Daily Raw Data'!$B:$B,0)),"")</f>
        <v/>
      </c>
      <c r="M823" t="str">
        <f t="array" ref="M823">IFERROR(INDEX('Daily Raw Data'!V:V,Match($A823,'Daily Raw Data'!$B:$B,0)),"")</f>
        <v/>
      </c>
      <c r="N823" t="str">
        <f t="array" ref="N823">IFERROR(INDEX('Daily Raw Data'!W:W,Match($A823,'Daily Raw Data'!$B:$B,0)),"")</f>
        <v/>
      </c>
      <c r="O823" t="str">
        <f t="array" ref="O823">IFERROR(INDEX('Daily Raw Data'!Y:Y,Match($A823,'Daily Raw Data'!$B:$B,0)),"")</f>
        <v/>
      </c>
      <c r="P823" t="str">
        <f t="shared" si="1"/>
        <v/>
      </c>
      <c r="Q823" s="14" t="str">
        <f t="shared" si="2"/>
        <v/>
      </c>
      <c r="R823" s="15" t="str">
        <f>IFERROR(__xludf.DUMMYFUNCTION("IF($A823="""","""", IFERROR(PERCENTRANK.INC(FILTER(P:P,$E:$E&lt;&gt;""""),P823)*100,""""))"),"")</f>
        <v/>
      </c>
      <c r="S823" s="15" t="str">
        <f>IFERROR(__xludf.DUMMYFUNCTION("IF($A823="""","""",IFERROR(PERCENTRANK.INC(FILTER(Q:Q,$E:$E&lt;&gt;""""),Q823)*100,""""))"),"")</f>
        <v/>
      </c>
    </row>
    <row r="824">
      <c r="B824" t="str">
        <f t="array" ref="B824">IFERROR(INDEX('Player Raw Data'!C:C,Match($A824,'Player Raw Data'!$B:$B,0)),"")</f>
        <v/>
      </c>
      <c r="C824" t="str">
        <f t="array" ref="C824">IFERROR(INDEX('Player Raw Data'!D:D,Match($A824,'Player Raw Data'!$B:$B,0)),"")</f>
        <v/>
      </c>
      <c r="D824" t="str">
        <f t="array" ref="D824">IFERROR(IF(A824=A823, INDEX('Player Raw Data'!E:E,Match($A824,'Player Raw Data'!$B:$B,0)+2),INDEX('Player Raw Data'!E:E,Match($A824,'Player Raw Data'!$B:$B,0))),"")</f>
        <v/>
      </c>
      <c r="E824" s="27" t="str">
        <f>IFERROR(__xludf.DUMMYFUNCTION("IFERROR(ARRAY_CONSTRAIN(SPLIT(INDEX('Daily Raw Data'!G:G,Match($A824,'Daily Raw Data'!$B:$B,0)),"":""),1,1),"""")"),"")</f>
        <v/>
      </c>
      <c r="F824" t="str">
        <f t="array" ref="F824">IFERROR(INDEX('Daily Raw Data'!H:H,Match($A824,'Daily Raw Data'!$B:$B,0)),"")</f>
        <v/>
      </c>
      <c r="G824" t="str">
        <f t="array" ref="G824">IFERROR(INDEX('Daily Raw Data'!I:I,Match($A824,'Daily Raw Data'!$B:$B,0)),"")</f>
        <v/>
      </c>
      <c r="H824" t="str">
        <f t="array" ref="H824">IFERROR(INDEX('Daily Raw Data'!N:N,Match($A824,'Daily Raw Data'!$B:$B,0)),"")</f>
        <v/>
      </c>
      <c r="I824" t="str">
        <f t="array" ref="I824">IFERROR(INDEX('Daily Raw Data'!O:O,Match($A824,'Daily Raw Data'!$B:$B,0)),"")</f>
        <v/>
      </c>
      <c r="J824" t="str">
        <f t="array" ref="J824">IFERROR(INDEX('Daily Raw Data'!S:S,Match($A824,'Daily Raw Data'!$B:$B,0)),"")</f>
        <v/>
      </c>
      <c r="K824" t="str">
        <f t="array" ref="K824">IFERROR(INDEX('Daily Raw Data'!T:T,Match($A824,'Daily Raw Data'!$B:$B,0)),"")</f>
        <v/>
      </c>
      <c r="L824" t="str">
        <f t="array" ref="L824">IFERROR(INDEX('Daily Raw Data'!U:U,Match($A824,'Daily Raw Data'!$B:$B,0)),"")</f>
        <v/>
      </c>
      <c r="M824" t="str">
        <f t="array" ref="M824">IFERROR(INDEX('Daily Raw Data'!V:V,Match($A824,'Daily Raw Data'!$B:$B,0)),"")</f>
        <v/>
      </c>
      <c r="N824" t="str">
        <f t="array" ref="N824">IFERROR(INDEX('Daily Raw Data'!W:W,Match($A824,'Daily Raw Data'!$B:$B,0)),"")</f>
        <v/>
      </c>
      <c r="O824" t="str">
        <f t="array" ref="O824">IFERROR(INDEX('Daily Raw Data'!Y:Y,Match($A824,'Daily Raw Data'!$B:$B,0)),"")</f>
        <v/>
      </c>
      <c r="P824" t="str">
        <f t="shared" si="1"/>
        <v/>
      </c>
      <c r="Q824" s="14" t="str">
        <f t="shared" si="2"/>
        <v/>
      </c>
      <c r="R824" s="15" t="str">
        <f>IFERROR(__xludf.DUMMYFUNCTION("IF($A824="""","""", IFERROR(PERCENTRANK.INC(FILTER(P:P,$E:$E&lt;&gt;""""),P824)*100,""""))"),"")</f>
        <v/>
      </c>
      <c r="S824" s="15" t="str">
        <f>IFERROR(__xludf.DUMMYFUNCTION("IF($A824="""","""",IFERROR(PERCENTRANK.INC(FILTER(Q:Q,$E:$E&lt;&gt;""""),Q824)*100,""""))"),"")</f>
        <v/>
      </c>
    </row>
    <row r="825">
      <c r="B825" t="str">
        <f t="array" ref="B825">IFERROR(INDEX('Player Raw Data'!C:C,Match($A825,'Player Raw Data'!$B:$B,0)),"")</f>
        <v/>
      </c>
      <c r="C825" t="str">
        <f t="array" ref="C825">IFERROR(INDEX('Player Raw Data'!D:D,Match($A825,'Player Raw Data'!$B:$B,0)),"")</f>
        <v/>
      </c>
      <c r="D825" t="str">
        <f t="array" ref="D825">IFERROR(IF(A825=A824, INDEX('Player Raw Data'!E:E,Match($A825,'Player Raw Data'!$B:$B,0)+2),INDEX('Player Raw Data'!E:E,Match($A825,'Player Raw Data'!$B:$B,0))),"")</f>
        <v/>
      </c>
      <c r="E825" s="27" t="str">
        <f>IFERROR(__xludf.DUMMYFUNCTION("IFERROR(ARRAY_CONSTRAIN(SPLIT(INDEX('Daily Raw Data'!G:G,Match($A825,'Daily Raw Data'!$B:$B,0)),"":""),1,1),"""")"),"")</f>
        <v/>
      </c>
      <c r="F825" t="str">
        <f t="array" ref="F825">IFERROR(INDEX('Daily Raw Data'!H:H,Match($A825,'Daily Raw Data'!$B:$B,0)),"")</f>
        <v/>
      </c>
      <c r="G825" t="str">
        <f t="array" ref="G825">IFERROR(INDEX('Daily Raw Data'!I:I,Match($A825,'Daily Raw Data'!$B:$B,0)),"")</f>
        <v/>
      </c>
      <c r="H825" t="str">
        <f t="array" ref="H825">IFERROR(INDEX('Daily Raw Data'!N:N,Match($A825,'Daily Raw Data'!$B:$B,0)),"")</f>
        <v/>
      </c>
      <c r="I825" t="str">
        <f t="array" ref="I825">IFERROR(INDEX('Daily Raw Data'!O:O,Match($A825,'Daily Raw Data'!$B:$B,0)),"")</f>
        <v/>
      </c>
      <c r="J825" t="str">
        <f t="array" ref="J825">IFERROR(INDEX('Daily Raw Data'!S:S,Match($A825,'Daily Raw Data'!$B:$B,0)),"")</f>
        <v/>
      </c>
      <c r="K825" t="str">
        <f t="array" ref="K825">IFERROR(INDEX('Daily Raw Data'!T:T,Match($A825,'Daily Raw Data'!$B:$B,0)),"")</f>
        <v/>
      </c>
      <c r="L825" t="str">
        <f t="array" ref="L825">IFERROR(INDEX('Daily Raw Data'!U:U,Match($A825,'Daily Raw Data'!$B:$B,0)),"")</f>
        <v/>
      </c>
      <c r="M825" t="str">
        <f t="array" ref="M825">IFERROR(INDEX('Daily Raw Data'!V:V,Match($A825,'Daily Raw Data'!$B:$B,0)),"")</f>
        <v/>
      </c>
      <c r="N825" t="str">
        <f t="array" ref="N825">IFERROR(INDEX('Daily Raw Data'!W:W,Match($A825,'Daily Raw Data'!$B:$B,0)),"")</f>
        <v/>
      </c>
      <c r="O825" t="str">
        <f t="array" ref="O825">IFERROR(INDEX('Daily Raw Data'!Y:Y,Match($A825,'Daily Raw Data'!$B:$B,0)),"")</f>
        <v/>
      </c>
      <c r="P825" t="str">
        <f t="shared" si="1"/>
        <v/>
      </c>
      <c r="Q825" s="14" t="str">
        <f t="shared" si="2"/>
        <v/>
      </c>
      <c r="R825" s="15" t="str">
        <f>IFERROR(__xludf.DUMMYFUNCTION("IF($A825="""","""", IFERROR(PERCENTRANK.INC(FILTER(P:P,$E:$E&lt;&gt;""""),P825)*100,""""))"),"")</f>
        <v/>
      </c>
      <c r="S825" s="15" t="str">
        <f>IFERROR(__xludf.DUMMYFUNCTION("IF($A825="""","""",IFERROR(PERCENTRANK.INC(FILTER(Q:Q,$E:$E&lt;&gt;""""),Q825)*100,""""))"),"")</f>
        <v/>
      </c>
    </row>
    <row r="826">
      <c r="B826" t="str">
        <f t="array" ref="B826">IFERROR(INDEX('Player Raw Data'!C:C,Match($A826,'Player Raw Data'!$B:$B,0)),"")</f>
        <v/>
      </c>
      <c r="C826" t="str">
        <f t="array" ref="C826">IFERROR(INDEX('Player Raw Data'!D:D,Match($A826,'Player Raw Data'!$B:$B,0)),"")</f>
        <v/>
      </c>
      <c r="D826" t="str">
        <f t="array" ref="D826">IFERROR(IF(A826=A825, INDEX('Player Raw Data'!E:E,Match($A826,'Player Raw Data'!$B:$B,0)+2),INDEX('Player Raw Data'!E:E,Match($A826,'Player Raw Data'!$B:$B,0))),"")</f>
        <v/>
      </c>
      <c r="E826" s="27" t="str">
        <f>IFERROR(__xludf.DUMMYFUNCTION("IFERROR(ARRAY_CONSTRAIN(SPLIT(INDEX('Daily Raw Data'!G:G,Match($A826,'Daily Raw Data'!$B:$B,0)),"":""),1,1),"""")"),"")</f>
        <v/>
      </c>
      <c r="F826" t="str">
        <f t="array" ref="F826">IFERROR(INDEX('Daily Raw Data'!H:H,Match($A826,'Daily Raw Data'!$B:$B,0)),"")</f>
        <v/>
      </c>
      <c r="G826" t="str">
        <f t="array" ref="G826">IFERROR(INDEX('Daily Raw Data'!I:I,Match($A826,'Daily Raw Data'!$B:$B,0)),"")</f>
        <v/>
      </c>
      <c r="H826" t="str">
        <f t="array" ref="H826">IFERROR(INDEX('Daily Raw Data'!N:N,Match($A826,'Daily Raw Data'!$B:$B,0)),"")</f>
        <v/>
      </c>
      <c r="I826" t="str">
        <f t="array" ref="I826">IFERROR(INDEX('Daily Raw Data'!O:O,Match($A826,'Daily Raw Data'!$B:$B,0)),"")</f>
        <v/>
      </c>
      <c r="J826" t="str">
        <f t="array" ref="J826">IFERROR(INDEX('Daily Raw Data'!S:S,Match($A826,'Daily Raw Data'!$B:$B,0)),"")</f>
        <v/>
      </c>
      <c r="K826" t="str">
        <f t="array" ref="K826">IFERROR(INDEX('Daily Raw Data'!T:T,Match($A826,'Daily Raw Data'!$B:$B,0)),"")</f>
        <v/>
      </c>
      <c r="L826" t="str">
        <f t="array" ref="L826">IFERROR(INDEX('Daily Raw Data'!U:U,Match($A826,'Daily Raw Data'!$B:$B,0)),"")</f>
        <v/>
      </c>
      <c r="M826" t="str">
        <f t="array" ref="M826">IFERROR(INDEX('Daily Raw Data'!V:V,Match($A826,'Daily Raw Data'!$B:$B,0)),"")</f>
        <v/>
      </c>
      <c r="N826" t="str">
        <f t="array" ref="N826">IFERROR(INDEX('Daily Raw Data'!W:W,Match($A826,'Daily Raw Data'!$B:$B,0)),"")</f>
        <v/>
      </c>
      <c r="O826" t="str">
        <f t="array" ref="O826">IFERROR(INDEX('Daily Raw Data'!Y:Y,Match($A826,'Daily Raw Data'!$B:$B,0)),"")</f>
        <v/>
      </c>
      <c r="P826" t="str">
        <f t="shared" si="1"/>
        <v/>
      </c>
      <c r="Q826" s="14" t="str">
        <f t="shared" si="2"/>
        <v/>
      </c>
      <c r="R826" s="15" t="str">
        <f>IFERROR(__xludf.DUMMYFUNCTION("IF($A826="""","""", IFERROR(PERCENTRANK.INC(FILTER(P:P,$E:$E&lt;&gt;""""),P826)*100,""""))"),"")</f>
        <v/>
      </c>
      <c r="S826" s="15" t="str">
        <f>IFERROR(__xludf.DUMMYFUNCTION("IF($A826="""","""",IFERROR(PERCENTRANK.INC(FILTER(Q:Q,$E:$E&lt;&gt;""""),Q826)*100,""""))"),"")</f>
        <v/>
      </c>
    </row>
    <row r="827">
      <c r="B827" t="str">
        <f t="array" ref="B827">IFERROR(INDEX('Player Raw Data'!C:C,Match($A827,'Player Raw Data'!$B:$B,0)),"")</f>
        <v/>
      </c>
      <c r="C827" t="str">
        <f t="array" ref="C827">IFERROR(INDEX('Player Raw Data'!D:D,Match($A827,'Player Raw Data'!$B:$B,0)),"")</f>
        <v/>
      </c>
      <c r="D827" t="str">
        <f t="array" ref="D827">IFERROR(IF(A827=A826, INDEX('Player Raw Data'!E:E,Match($A827,'Player Raw Data'!$B:$B,0)+2),INDEX('Player Raw Data'!E:E,Match($A827,'Player Raw Data'!$B:$B,0))),"")</f>
        <v/>
      </c>
      <c r="E827" s="27" t="str">
        <f>IFERROR(__xludf.DUMMYFUNCTION("IFERROR(ARRAY_CONSTRAIN(SPLIT(INDEX('Daily Raw Data'!G:G,Match($A827,'Daily Raw Data'!$B:$B,0)),"":""),1,1),"""")"),"")</f>
        <v/>
      </c>
      <c r="F827" t="str">
        <f t="array" ref="F827">IFERROR(INDEX('Daily Raw Data'!H:H,Match($A827,'Daily Raw Data'!$B:$B,0)),"")</f>
        <v/>
      </c>
      <c r="G827" t="str">
        <f t="array" ref="G827">IFERROR(INDEX('Daily Raw Data'!I:I,Match($A827,'Daily Raw Data'!$B:$B,0)),"")</f>
        <v/>
      </c>
      <c r="H827" t="str">
        <f t="array" ref="H827">IFERROR(INDEX('Daily Raw Data'!N:N,Match($A827,'Daily Raw Data'!$B:$B,0)),"")</f>
        <v/>
      </c>
      <c r="I827" t="str">
        <f t="array" ref="I827">IFERROR(INDEX('Daily Raw Data'!O:O,Match($A827,'Daily Raw Data'!$B:$B,0)),"")</f>
        <v/>
      </c>
      <c r="J827" t="str">
        <f t="array" ref="J827">IFERROR(INDEX('Daily Raw Data'!S:S,Match($A827,'Daily Raw Data'!$B:$B,0)),"")</f>
        <v/>
      </c>
      <c r="K827" t="str">
        <f t="array" ref="K827">IFERROR(INDEX('Daily Raw Data'!T:T,Match($A827,'Daily Raw Data'!$B:$B,0)),"")</f>
        <v/>
      </c>
      <c r="L827" t="str">
        <f t="array" ref="L827">IFERROR(INDEX('Daily Raw Data'!U:U,Match($A827,'Daily Raw Data'!$B:$B,0)),"")</f>
        <v/>
      </c>
      <c r="M827" t="str">
        <f t="array" ref="M827">IFERROR(INDEX('Daily Raw Data'!V:V,Match($A827,'Daily Raw Data'!$B:$B,0)),"")</f>
        <v/>
      </c>
      <c r="N827" t="str">
        <f t="array" ref="N827">IFERROR(INDEX('Daily Raw Data'!W:W,Match($A827,'Daily Raw Data'!$B:$B,0)),"")</f>
        <v/>
      </c>
      <c r="O827" t="str">
        <f t="array" ref="O827">IFERROR(INDEX('Daily Raw Data'!Y:Y,Match($A827,'Daily Raw Data'!$B:$B,0)),"")</f>
        <v/>
      </c>
      <c r="P827" t="str">
        <f t="shared" si="1"/>
        <v/>
      </c>
      <c r="Q827" s="14" t="str">
        <f t="shared" si="2"/>
        <v/>
      </c>
      <c r="R827" s="15" t="str">
        <f>IFERROR(__xludf.DUMMYFUNCTION("IF($A827="""","""", IFERROR(PERCENTRANK.INC(FILTER(P:P,$E:$E&lt;&gt;""""),P827)*100,""""))"),"")</f>
        <v/>
      </c>
      <c r="S827" s="15" t="str">
        <f>IFERROR(__xludf.DUMMYFUNCTION("IF($A827="""","""",IFERROR(PERCENTRANK.INC(FILTER(Q:Q,$E:$E&lt;&gt;""""),Q827)*100,""""))"),"")</f>
        <v/>
      </c>
    </row>
    <row r="828">
      <c r="B828" t="str">
        <f t="array" ref="B828">IFERROR(INDEX('Player Raw Data'!C:C,Match($A828,'Player Raw Data'!$B:$B,0)),"")</f>
        <v/>
      </c>
      <c r="C828" t="str">
        <f t="array" ref="C828">IFERROR(INDEX('Player Raw Data'!D:D,Match($A828,'Player Raw Data'!$B:$B,0)),"")</f>
        <v/>
      </c>
      <c r="D828" t="str">
        <f t="array" ref="D828">IFERROR(IF(A828=A827, INDEX('Player Raw Data'!E:E,Match($A828,'Player Raw Data'!$B:$B,0)+2),INDEX('Player Raw Data'!E:E,Match($A828,'Player Raw Data'!$B:$B,0))),"")</f>
        <v/>
      </c>
      <c r="E828" s="27" t="str">
        <f>IFERROR(__xludf.DUMMYFUNCTION("IFERROR(ARRAY_CONSTRAIN(SPLIT(INDEX('Daily Raw Data'!G:G,Match($A828,'Daily Raw Data'!$B:$B,0)),"":""),1,1),"""")"),"")</f>
        <v/>
      </c>
      <c r="F828" t="str">
        <f t="array" ref="F828">IFERROR(INDEX('Daily Raw Data'!H:H,Match($A828,'Daily Raw Data'!$B:$B,0)),"")</f>
        <v/>
      </c>
      <c r="G828" t="str">
        <f t="array" ref="G828">IFERROR(INDEX('Daily Raw Data'!I:I,Match($A828,'Daily Raw Data'!$B:$B,0)),"")</f>
        <v/>
      </c>
      <c r="H828" t="str">
        <f t="array" ref="H828">IFERROR(INDEX('Daily Raw Data'!N:N,Match($A828,'Daily Raw Data'!$B:$B,0)),"")</f>
        <v/>
      </c>
      <c r="I828" t="str">
        <f t="array" ref="I828">IFERROR(INDEX('Daily Raw Data'!O:O,Match($A828,'Daily Raw Data'!$B:$B,0)),"")</f>
        <v/>
      </c>
      <c r="J828" t="str">
        <f t="array" ref="J828">IFERROR(INDEX('Daily Raw Data'!S:S,Match($A828,'Daily Raw Data'!$B:$B,0)),"")</f>
        <v/>
      </c>
      <c r="K828" t="str">
        <f t="array" ref="K828">IFERROR(INDEX('Daily Raw Data'!T:T,Match($A828,'Daily Raw Data'!$B:$B,0)),"")</f>
        <v/>
      </c>
      <c r="L828" t="str">
        <f t="array" ref="L828">IFERROR(INDEX('Daily Raw Data'!U:U,Match($A828,'Daily Raw Data'!$B:$B,0)),"")</f>
        <v/>
      </c>
      <c r="M828" t="str">
        <f t="array" ref="M828">IFERROR(INDEX('Daily Raw Data'!V:V,Match($A828,'Daily Raw Data'!$B:$B,0)),"")</f>
        <v/>
      </c>
      <c r="N828" t="str">
        <f t="array" ref="N828">IFERROR(INDEX('Daily Raw Data'!W:W,Match($A828,'Daily Raw Data'!$B:$B,0)),"")</f>
        <v/>
      </c>
      <c r="O828" t="str">
        <f t="array" ref="O828">IFERROR(INDEX('Daily Raw Data'!Y:Y,Match($A828,'Daily Raw Data'!$B:$B,0)),"")</f>
        <v/>
      </c>
      <c r="P828" t="str">
        <f t="shared" si="1"/>
        <v/>
      </c>
      <c r="Q828" s="14" t="str">
        <f t="shared" si="2"/>
        <v/>
      </c>
      <c r="R828" s="15" t="str">
        <f>IFERROR(__xludf.DUMMYFUNCTION("IF($A828="""","""", IFERROR(PERCENTRANK.INC(FILTER(P:P,$E:$E&lt;&gt;""""),P828)*100,""""))"),"")</f>
        <v/>
      </c>
      <c r="S828" s="15" t="str">
        <f>IFERROR(__xludf.DUMMYFUNCTION("IF($A828="""","""",IFERROR(PERCENTRANK.INC(FILTER(Q:Q,$E:$E&lt;&gt;""""),Q828)*100,""""))"),"")</f>
        <v/>
      </c>
    </row>
    <row r="829">
      <c r="B829" t="str">
        <f t="array" ref="B829">IFERROR(INDEX('Player Raw Data'!C:C,Match($A829,'Player Raw Data'!$B:$B,0)),"")</f>
        <v/>
      </c>
      <c r="C829" t="str">
        <f t="array" ref="C829">IFERROR(INDEX('Player Raw Data'!D:D,Match($A829,'Player Raw Data'!$B:$B,0)),"")</f>
        <v/>
      </c>
      <c r="D829" t="str">
        <f t="array" ref="D829">IFERROR(IF(A829=A828, INDEX('Player Raw Data'!E:E,Match($A829,'Player Raw Data'!$B:$B,0)+2),INDEX('Player Raw Data'!E:E,Match($A829,'Player Raw Data'!$B:$B,0))),"")</f>
        <v/>
      </c>
      <c r="E829" s="27" t="str">
        <f>IFERROR(__xludf.DUMMYFUNCTION("IFERROR(ARRAY_CONSTRAIN(SPLIT(INDEX('Daily Raw Data'!G:G,Match($A829,'Daily Raw Data'!$B:$B,0)),"":""),1,1),"""")"),"")</f>
        <v/>
      </c>
      <c r="F829" t="str">
        <f t="array" ref="F829">IFERROR(INDEX('Daily Raw Data'!H:H,Match($A829,'Daily Raw Data'!$B:$B,0)),"")</f>
        <v/>
      </c>
      <c r="G829" t="str">
        <f t="array" ref="G829">IFERROR(INDEX('Daily Raw Data'!I:I,Match($A829,'Daily Raw Data'!$B:$B,0)),"")</f>
        <v/>
      </c>
      <c r="H829" t="str">
        <f t="array" ref="H829">IFERROR(INDEX('Daily Raw Data'!N:N,Match($A829,'Daily Raw Data'!$B:$B,0)),"")</f>
        <v/>
      </c>
      <c r="I829" t="str">
        <f t="array" ref="I829">IFERROR(INDEX('Daily Raw Data'!O:O,Match($A829,'Daily Raw Data'!$B:$B,0)),"")</f>
        <v/>
      </c>
      <c r="J829" t="str">
        <f t="array" ref="J829">IFERROR(INDEX('Daily Raw Data'!S:S,Match($A829,'Daily Raw Data'!$B:$B,0)),"")</f>
        <v/>
      </c>
      <c r="K829" t="str">
        <f t="array" ref="K829">IFERROR(INDEX('Daily Raw Data'!T:T,Match($A829,'Daily Raw Data'!$B:$B,0)),"")</f>
        <v/>
      </c>
      <c r="L829" t="str">
        <f t="array" ref="L829">IFERROR(INDEX('Daily Raw Data'!U:U,Match($A829,'Daily Raw Data'!$B:$B,0)),"")</f>
        <v/>
      </c>
      <c r="M829" t="str">
        <f t="array" ref="M829">IFERROR(INDEX('Daily Raw Data'!V:V,Match($A829,'Daily Raw Data'!$B:$B,0)),"")</f>
        <v/>
      </c>
      <c r="N829" t="str">
        <f t="array" ref="N829">IFERROR(INDEX('Daily Raw Data'!W:W,Match($A829,'Daily Raw Data'!$B:$B,0)),"")</f>
        <v/>
      </c>
      <c r="O829" t="str">
        <f t="array" ref="O829">IFERROR(INDEX('Daily Raw Data'!Y:Y,Match($A829,'Daily Raw Data'!$B:$B,0)),"")</f>
        <v/>
      </c>
      <c r="P829" t="str">
        <f t="shared" si="1"/>
        <v/>
      </c>
      <c r="Q829" s="14" t="str">
        <f t="shared" si="2"/>
        <v/>
      </c>
      <c r="R829" s="15" t="str">
        <f>IFERROR(__xludf.DUMMYFUNCTION("IF($A829="""","""", IFERROR(PERCENTRANK.INC(FILTER(P:P,$E:$E&lt;&gt;""""),P829)*100,""""))"),"")</f>
        <v/>
      </c>
      <c r="S829" s="15" t="str">
        <f>IFERROR(__xludf.DUMMYFUNCTION("IF($A829="""","""",IFERROR(PERCENTRANK.INC(FILTER(Q:Q,$E:$E&lt;&gt;""""),Q829)*100,""""))"),"")</f>
        <v/>
      </c>
    </row>
    <row r="830">
      <c r="B830" t="str">
        <f t="array" ref="B830">IFERROR(INDEX('Player Raw Data'!C:C,Match($A830,'Player Raw Data'!$B:$B,0)),"")</f>
        <v/>
      </c>
      <c r="C830" t="str">
        <f t="array" ref="C830">IFERROR(INDEX('Player Raw Data'!D:D,Match($A830,'Player Raw Data'!$B:$B,0)),"")</f>
        <v/>
      </c>
      <c r="D830" t="str">
        <f t="array" ref="D830">IFERROR(IF(A830=A829, INDEX('Player Raw Data'!E:E,Match($A830,'Player Raw Data'!$B:$B,0)+2),INDEX('Player Raw Data'!E:E,Match($A830,'Player Raw Data'!$B:$B,0))),"")</f>
        <v/>
      </c>
      <c r="E830" s="27" t="str">
        <f>IFERROR(__xludf.DUMMYFUNCTION("IFERROR(ARRAY_CONSTRAIN(SPLIT(INDEX('Daily Raw Data'!G:G,Match($A830,'Daily Raw Data'!$B:$B,0)),"":""),1,1),"""")"),"")</f>
        <v/>
      </c>
      <c r="F830" t="str">
        <f t="array" ref="F830">IFERROR(INDEX('Daily Raw Data'!H:H,Match($A830,'Daily Raw Data'!$B:$B,0)),"")</f>
        <v/>
      </c>
      <c r="G830" t="str">
        <f t="array" ref="G830">IFERROR(INDEX('Daily Raw Data'!I:I,Match($A830,'Daily Raw Data'!$B:$B,0)),"")</f>
        <v/>
      </c>
      <c r="H830" t="str">
        <f t="array" ref="H830">IFERROR(INDEX('Daily Raw Data'!N:N,Match($A830,'Daily Raw Data'!$B:$B,0)),"")</f>
        <v/>
      </c>
      <c r="I830" t="str">
        <f t="array" ref="I830">IFERROR(INDEX('Daily Raw Data'!O:O,Match($A830,'Daily Raw Data'!$B:$B,0)),"")</f>
        <v/>
      </c>
      <c r="J830" t="str">
        <f t="array" ref="J830">IFERROR(INDEX('Daily Raw Data'!S:S,Match($A830,'Daily Raw Data'!$B:$B,0)),"")</f>
        <v/>
      </c>
      <c r="K830" t="str">
        <f t="array" ref="K830">IFERROR(INDEX('Daily Raw Data'!T:T,Match($A830,'Daily Raw Data'!$B:$B,0)),"")</f>
        <v/>
      </c>
      <c r="L830" t="str">
        <f t="array" ref="L830">IFERROR(INDEX('Daily Raw Data'!U:U,Match($A830,'Daily Raw Data'!$B:$B,0)),"")</f>
        <v/>
      </c>
      <c r="M830" t="str">
        <f t="array" ref="M830">IFERROR(INDEX('Daily Raw Data'!V:V,Match($A830,'Daily Raw Data'!$B:$B,0)),"")</f>
        <v/>
      </c>
      <c r="N830" t="str">
        <f t="array" ref="N830">IFERROR(INDEX('Daily Raw Data'!W:W,Match($A830,'Daily Raw Data'!$B:$B,0)),"")</f>
        <v/>
      </c>
      <c r="O830" t="str">
        <f t="array" ref="O830">IFERROR(INDEX('Daily Raw Data'!Y:Y,Match($A830,'Daily Raw Data'!$B:$B,0)),"")</f>
        <v/>
      </c>
      <c r="P830" t="str">
        <f t="shared" si="1"/>
        <v/>
      </c>
      <c r="Q830" s="14" t="str">
        <f t="shared" si="2"/>
        <v/>
      </c>
      <c r="R830" s="15" t="str">
        <f>IFERROR(__xludf.DUMMYFUNCTION("IF($A830="""","""", IFERROR(PERCENTRANK.INC(FILTER(P:P,$E:$E&lt;&gt;""""),P830)*100,""""))"),"")</f>
        <v/>
      </c>
      <c r="S830" s="15" t="str">
        <f>IFERROR(__xludf.DUMMYFUNCTION("IF($A830="""","""",IFERROR(PERCENTRANK.INC(FILTER(Q:Q,$E:$E&lt;&gt;""""),Q830)*100,""""))"),"")</f>
        <v/>
      </c>
    </row>
    <row r="831">
      <c r="B831" t="str">
        <f t="array" ref="B831">IFERROR(INDEX('Player Raw Data'!C:C,Match($A831,'Player Raw Data'!$B:$B,0)),"")</f>
        <v/>
      </c>
      <c r="C831" t="str">
        <f t="array" ref="C831">IFERROR(INDEX('Player Raw Data'!D:D,Match($A831,'Player Raw Data'!$B:$B,0)),"")</f>
        <v/>
      </c>
      <c r="D831" t="str">
        <f t="array" ref="D831">IFERROR(IF(A831=A830, INDEX('Player Raw Data'!E:E,Match($A831,'Player Raw Data'!$B:$B,0)+2),INDEX('Player Raw Data'!E:E,Match($A831,'Player Raw Data'!$B:$B,0))),"")</f>
        <v/>
      </c>
      <c r="E831" s="27" t="str">
        <f>IFERROR(__xludf.DUMMYFUNCTION("IFERROR(ARRAY_CONSTRAIN(SPLIT(INDEX('Daily Raw Data'!G:G,Match($A831,'Daily Raw Data'!$B:$B,0)),"":""),1,1),"""")"),"")</f>
        <v/>
      </c>
      <c r="F831" t="str">
        <f t="array" ref="F831">IFERROR(INDEX('Daily Raw Data'!H:H,Match($A831,'Daily Raw Data'!$B:$B,0)),"")</f>
        <v/>
      </c>
      <c r="G831" t="str">
        <f t="array" ref="G831">IFERROR(INDEX('Daily Raw Data'!I:I,Match($A831,'Daily Raw Data'!$B:$B,0)),"")</f>
        <v/>
      </c>
      <c r="H831" t="str">
        <f t="array" ref="H831">IFERROR(INDEX('Daily Raw Data'!N:N,Match($A831,'Daily Raw Data'!$B:$B,0)),"")</f>
        <v/>
      </c>
      <c r="I831" t="str">
        <f t="array" ref="I831">IFERROR(INDEX('Daily Raw Data'!O:O,Match($A831,'Daily Raw Data'!$B:$B,0)),"")</f>
        <v/>
      </c>
      <c r="J831" t="str">
        <f t="array" ref="J831">IFERROR(INDEX('Daily Raw Data'!S:S,Match($A831,'Daily Raw Data'!$B:$B,0)),"")</f>
        <v/>
      </c>
      <c r="K831" t="str">
        <f t="array" ref="K831">IFERROR(INDEX('Daily Raw Data'!T:T,Match($A831,'Daily Raw Data'!$B:$B,0)),"")</f>
        <v/>
      </c>
      <c r="L831" t="str">
        <f t="array" ref="L831">IFERROR(INDEX('Daily Raw Data'!U:U,Match($A831,'Daily Raw Data'!$B:$B,0)),"")</f>
        <v/>
      </c>
      <c r="M831" t="str">
        <f t="array" ref="M831">IFERROR(INDEX('Daily Raw Data'!V:V,Match($A831,'Daily Raw Data'!$B:$B,0)),"")</f>
        <v/>
      </c>
      <c r="N831" t="str">
        <f t="array" ref="N831">IFERROR(INDEX('Daily Raw Data'!W:W,Match($A831,'Daily Raw Data'!$B:$B,0)),"")</f>
        <v/>
      </c>
      <c r="O831" t="str">
        <f t="array" ref="O831">IFERROR(INDEX('Daily Raw Data'!Y:Y,Match($A831,'Daily Raw Data'!$B:$B,0)),"")</f>
        <v/>
      </c>
      <c r="P831" t="str">
        <f t="shared" si="1"/>
        <v/>
      </c>
      <c r="Q831" s="14" t="str">
        <f t="shared" si="2"/>
        <v/>
      </c>
      <c r="R831" s="15" t="str">
        <f>IFERROR(__xludf.DUMMYFUNCTION("IF($A831="""","""", IFERROR(PERCENTRANK.INC(FILTER(P:P,$E:$E&lt;&gt;""""),P831)*100,""""))"),"")</f>
        <v/>
      </c>
      <c r="S831" s="15" t="str">
        <f>IFERROR(__xludf.DUMMYFUNCTION("IF($A831="""","""",IFERROR(PERCENTRANK.INC(FILTER(Q:Q,$E:$E&lt;&gt;""""),Q831)*100,""""))"),"")</f>
        <v/>
      </c>
    </row>
    <row r="832">
      <c r="B832" t="str">
        <f t="array" ref="B832">IFERROR(INDEX('Player Raw Data'!C:C,Match($A832,'Player Raw Data'!$B:$B,0)),"")</f>
        <v/>
      </c>
      <c r="C832" t="str">
        <f t="array" ref="C832">IFERROR(INDEX('Player Raw Data'!D:D,Match($A832,'Player Raw Data'!$B:$B,0)),"")</f>
        <v/>
      </c>
      <c r="D832" t="str">
        <f t="array" ref="D832">IFERROR(IF(A832=A831, INDEX('Player Raw Data'!E:E,Match($A832,'Player Raw Data'!$B:$B,0)+2),INDEX('Player Raw Data'!E:E,Match($A832,'Player Raw Data'!$B:$B,0))),"")</f>
        <v/>
      </c>
      <c r="E832" s="27" t="str">
        <f>IFERROR(__xludf.DUMMYFUNCTION("IFERROR(ARRAY_CONSTRAIN(SPLIT(INDEX('Daily Raw Data'!G:G,Match($A832,'Daily Raw Data'!$B:$B,0)),"":""),1,1),"""")"),"")</f>
        <v/>
      </c>
      <c r="F832" t="str">
        <f t="array" ref="F832">IFERROR(INDEX('Daily Raw Data'!H:H,Match($A832,'Daily Raw Data'!$B:$B,0)),"")</f>
        <v/>
      </c>
      <c r="G832" t="str">
        <f t="array" ref="G832">IFERROR(INDEX('Daily Raw Data'!I:I,Match($A832,'Daily Raw Data'!$B:$B,0)),"")</f>
        <v/>
      </c>
      <c r="H832" t="str">
        <f t="array" ref="H832">IFERROR(INDEX('Daily Raw Data'!N:N,Match($A832,'Daily Raw Data'!$B:$B,0)),"")</f>
        <v/>
      </c>
      <c r="I832" t="str">
        <f t="array" ref="I832">IFERROR(INDEX('Daily Raw Data'!O:O,Match($A832,'Daily Raw Data'!$B:$B,0)),"")</f>
        <v/>
      </c>
      <c r="J832" t="str">
        <f t="array" ref="J832">IFERROR(INDEX('Daily Raw Data'!S:S,Match($A832,'Daily Raw Data'!$B:$B,0)),"")</f>
        <v/>
      </c>
      <c r="K832" t="str">
        <f t="array" ref="K832">IFERROR(INDEX('Daily Raw Data'!T:T,Match($A832,'Daily Raw Data'!$B:$B,0)),"")</f>
        <v/>
      </c>
      <c r="L832" t="str">
        <f t="array" ref="L832">IFERROR(INDEX('Daily Raw Data'!U:U,Match($A832,'Daily Raw Data'!$B:$B,0)),"")</f>
        <v/>
      </c>
      <c r="M832" t="str">
        <f t="array" ref="M832">IFERROR(INDEX('Daily Raw Data'!V:V,Match($A832,'Daily Raw Data'!$B:$B,0)),"")</f>
        <v/>
      </c>
      <c r="N832" t="str">
        <f t="array" ref="N832">IFERROR(INDEX('Daily Raw Data'!W:W,Match($A832,'Daily Raw Data'!$B:$B,0)),"")</f>
        <v/>
      </c>
      <c r="O832" t="str">
        <f t="array" ref="O832">IFERROR(INDEX('Daily Raw Data'!Y:Y,Match($A832,'Daily Raw Data'!$B:$B,0)),"")</f>
        <v/>
      </c>
      <c r="P832" t="str">
        <f t="shared" si="1"/>
        <v/>
      </c>
      <c r="Q832" s="14" t="str">
        <f t="shared" si="2"/>
        <v/>
      </c>
      <c r="R832" s="15" t="str">
        <f>IFERROR(__xludf.DUMMYFUNCTION("IF($A832="""","""", IFERROR(PERCENTRANK.INC(FILTER(P:P,$E:$E&lt;&gt;""""),P832)*100,""""))"),"")</f>
        <v/>
      </c>
      <c r="S832" s="15" t="str">
        <f>IFERROR(__xludf.DUMMYFUNCTION("IF($A832="""","""",IFERROR(PERCENTRANK.INC(FILTER(Q:Q,$E:$E&lt;&gt;""""),Q832)*100,""""))"),"")</f>
        <v/>
      </c>
    </row>
    <row r="833">
      <c r="B833" t="str">
        <f t="array" ref="B833">IFERROR(INDEX('Player Raw Data'!C:C,Match($A833,'Player Raw Data'!$B:$B,0)),"")</f>
        <v/>
      </c>
      <c r="C833" t="str">
        <f t="array" ref="C833">IFERROR(INDEX('Player Raw Data'!D:D,Match($A833,'Player Raw Data'!$B:$B,0)),"")</f>
        <v/>
      </c>
      <c r="D833" t="str">
        <f t="array" ref="D833">IFERROR(IF(A833=A832, INDEX('Player Raw Data'!E:E,Match($A833,'Player Raw Data'!$B:$B,0)+2),INDEX('Player Raw Data'!E:E,Match($A833,'Player Raw Data'!$B:$B,0))),"")</f>
        <v/>
      </c>
      <c r="E833" s="27" t="str">
        <f>IFERROR(__xludf.DUMMYFUNCTION("IFERROR(ARRAY_CONSTRAIN(SPLIT(INDEX('Daily Raw Data'!G:G,Match($A833,'Daily Raw Data'!$B:$B,0)),"":""),1,1),"""")"),"")</f>
        <v/>
      </c>
      <c r="F833" t="str">
        <f t="array" ref="F833">IFERROR(INDEX('Daily Raw Data'!H:H,Match($A833,'Daily Raw Data'!$B:$B,0)),"")</f>
        <v/>
      </c>
      <c r="G833" t="str">
        <f t="array" ref="G833">IFERROR(INDEX('Daily Raw Data'!I:I,Match($A833,'Daily Raw Data'!$B:$B,0)),"")</f>
        <v/>
      </c>
      <c r="H833" t="str">
        <f t="array" ref="H833">IFERROR(INDEX('Daily Raw Data'!N:N,Match($A833,'Daily Raw Data'!$B:$B,0)),"")</f>
        <v/>
      </c>
      <c r="I833" t="str">
        <f t="array" ref="I833">IFERROR(INDEX('Daily Raw Data'!O:O,Match($A833,'Daily Raw Data'!$B:$B,0)),"")</f>
        <v/>
      </c>
      <c r="J833" t="str">
        <f t="array" ref="J833">IFERROR(INDEX('Daily Raw Data'!S:S,Match($A833,'Daily Raw Data'!$B:$B,0)),"")</f>
        <v/>
      </c>
      <c r="K833" t="str">
        <f t="array" ref="K833">IFERROR(INDEX('Daily Raw Data'!T:T,Match($A833,'Daily Raw Data'!$B:$B,0)),"")</f>
        <v/>
      </c>
      <c r="L833" t="str">
        <f t="array" ref="L833">IFERROR(INDEX('Daily Raw Data'!U:U,Match($A833,'Daily Raw Data'!$B:$B,0)),"")</f>
        <v/>
      </c>
      <c r="M833" t="str">
        <f t="array" ref="M833">IFERROR(INDEX('Daily Raw Data'!V:V,Match($A833,'Daily Raw Data'!$B:$B,0)),"")</f>
        <v/>
      </c>
      <c r="N833" t="str">
        <f t="array" ref="N833">IFERROR(INDEX('Daily Raw Data'!W:W,Match($A833,'Daily Raw Data'!$B:$B,0)),"")</f>
        <v/>
      </c>
      <c r="O833" t="str">
        <f t="array" ref="O833">IFERROR(INDEX('Daily Raw Data'!Y:Y,Match($A833,'Daily Raw Data'!$B:$B,0)),"")</f>
        <v/>
      </c>
      <c r="P833" t="str">
        <f t="shared" si="1"/>
        <v/>
      </c>
      <c r="Q833" s="14" t="str">
        <f t="shared" si="2"/>
        <v/>
      </c>
      <c r="R833" s="15" t="str">
        <f>IFERROR(__xludf.DUMMYFUNCTION("IF($A833="""","""", IFERROR(PERCENTRANK.INC(FILTER(P:P,$E:$E&lt;&gt;""""),P833)*100,""""))"),"")</f>
        <v/>
      </c>
      <c r="S833" s="15" t="str">
        <f>IFERROR(__xludf.DUMMYFUNCTION("IF($A833="""","""",IFERROR(PERCENTRANK.INC(FILTER(Q:Q,$E:$E&lt;&gt;""""),Q833)*100,""""))"),"")</f>
        <v/>
      </c>
    </row>
    <row r="834">
      <c r="B834" t="str">
        <f t="array" ref="B834">IFERROR(INDEX('Player Raw Data'!C:C,Match($A834,'Player Raw Data'!$B:$B,0)),"")</f>
        <v/>
      </c>
      <c r="C834" t="str">
        <f t="array" ref="C834">IFERROR(INDEX('Player Raw Data'!D:D,Match($A834,'Player Raw Data'!$B:$B,0)),"")</f>
        <v/>
      </c>
      <c r="D834" t="str">
        <f t="array" ref="D834">IFERROR(IF(A834=A833, INDEX('Player Raw Data'!E:E,Match($A834,'Player Raw Data'!$B:$B,0)+2),INDEX('Player Raw Data'!E:E,Match($A834,'Player Raw Data'!$B:$B,0))),"")</f>
        <v/>
      </c>
      <c r="E834" s="27" t="str">
        <f>IFERROR(__xludf.DUMMYFUNCTION("IFERROR(ARRAY_CONSTRAIN(SPLIT(INDEX('Daily Raw Data'!G:G,Match($A834,'Daily Raw Data'!$B:$B,0)),"":""),1,1),"""")"),"")</f>
        <v/>
      </c>
      <c r="F834" t="str">
        <f t="array" ref="F834">IFERROR(INDEX('Daily Raw Data'!H:H,Match($A834,'Daily Raw Data'!$B:$B,0)),"")</f>
        <v/>
      </c>
      <c r="G834" t="str">
        <f t="array" ref="G834">IFERROR(INDEX('Daily Raw Data'!I:I,Match($A834,'Daily Raw Data'!$B:$B,0)),"")</f>
        <v/>
      </c>
      <c r="H834" t="str">
        <f t="array" ref="H834">IFERROR(INDEX('Daily Raw Data'!N:N,Match($A834,'Daily Raw Data'!$B:$B,0)),"")</f>
        <v/>
      </c>
      <c r="I834" t="str">
        <f t="array" ref="I834">IFERROR(INDEX('Daily Raw Data'!O:O,Match($A834,'Daily Raw Data'!$B:$B,0)),"")</f>
        <v/>
      </c>
      <c r="J834" t="str">
        <f t="array" ref="J834">IFERROR(INDEX('Daily Raw Data'!S:S,Match($A834,'Daily Raw Data'!$B:$B,0)),"")</f>
        <v/>
      </c>
      <c r="K834" t="str">
        <f t="array" ref="K834">IFERROR(INDEX('Daily Raw Data'!T:T,Match($A834,'Daily Raw Data'!$B:$B,0)),"")</f>
        <v/>
      </c>
      <c r="L834" t="str">
        <f t="array" ref="L834">IFERROR(INDEX('Daily Raw Data'!U:U,Match($A834,'Daily Raw Data'!$B:$B,0)),"")</f>
        <v/>
      </c>
      <c r="M834" t="str">
        <f t="array" ref="M834">IFERROR(INDEX('Daily Raw Data'!V:V,Match($A834,'Daily Raw Data'!$B:$B,0)),"")</f>
        <v/>
      </c>
      <c r="N834" t="str">
        <f t="array" ref="N834">IFERROR(INDEX('Daily Raw Data'!W:W,Match($A834,'Daily Raw Data'!$B:$B,0)),"")</f>
        <v/>
      </c>
      <c r="O834" t="str">
        <f t="array" ref="O834">IFERROR(INDEX('Daily Raw Data'!Y:Y,Match($A834,'Daily Raw Data'!$B:$B,0)),"")</f>
        <v/>
      </c>
      <c r="P834" t="str">
        <f t="shared" si="1"/>
        <v/>
      </c>
      <c r="Q834" s="14" t="str">
        <f t="shared" si="2"/>
        <v/>
      </c>
      <c r="R834" s="15" t="str">
        <f>IFERROR(__xludf.DUMMYFUNCTION("IF($A834="""","""", IFERROR(PERCENTRANK.INC(FILTER(P:P,$E:$E&lt;&gt;""""),P834)*100,""""))"),"")</f>
        <v/>
      </c>
      <c r="S834" s="15" t="str">
        <f>IFERROR(__xludf.DUMMYFUNCTION("IF($A834="""","""",IFERROR(PERCENTRANK.INC(FILTER(Q:Q,$E:$E&lt;&gt;""""),Q834)*100,""""))"),"")</f>
        <v/>
      </c>
    </row>
    <row r="835">
      <c r="B835" t="str">
        <f t="array" ref="B835">IFERROR(INDEX('Player Raw Data'!C:C,Match($A835,'Player Raw Data'!$B:$B,0)),"")</f>
        <v/>
      </c>
      <c r="C835" t="str">
        <f t="array" ref="C835">IFERROR(INDEX('Player Raw Data'!D:D,Match($A835,'Player Raw Data'!$B:$B,0)),"")</f>
        <v/>
      </c>
      <c r="D835" t="str">
        <f t="array" ref="D835">IFERROR(IF(A835=A834, INDEX('Player Raw Data'!E:E,Match($A835,'Player Raw Data'!$B:$B,0)+2),INDEX('Player Raw Data'!E:E,Match($A835,'Player Raw Data'!$B:$B,0))),"")</f>
        <v/>
      </c>
      <c r="E835" s="27" t="str">
        <f>IFERROR(__xludf.DUMMYFUNCTION("IFERROR(ARRAY_CONSTRAIN(SPLIT(INDEX('Daily Raw Data'!G:G,Match($A835,'Daily Raw Data'!$B:$B,0)),"":""),1,1),"""")"),"")</f>
        <v/>
      </c>
      <c r="F835" t="str">
        <f t="array" ref="F835">IFERROR(INDEX('Daily Raw Data'!H:H,Match($A835,'Daily Raw Data'!$B:$B,0)),"")</f>
        <v/>
      </c>
      <c r="G835" t="str">
        <f t="array" ref="G835">IFERROR(INDEX('Daily Raw Data'!I:I,Match($A835,'Daily Raw Data'!$B:$B,0)),"")</f>
        <v/>
      </c>
      <c r="H835" t="str">
        <f t="array" ref="H835">IFERROR(INDEX('Daily Raw Data'!N:N,Match($A835,'Daily Raw Data'!$B:$B,0)),"")</f>
        <v/>
      </c>
      <c r="I835" t="str">
        <f t="array" ref="I835">IFERROR(INDEX('Daily Raw Data'!O:O,Match($A835,'Daily Raw Data'!$B:$B,0)),"")</f>
        <v/>
      </c>
      <c r="J835" t="str">
        <f t="array" ref="J835">IFERROR(INDEX('Daily Raw Data'!S:S,Match($A835,'Daily Raw Data'!$B:$B,0)),"")</f>
        <v/>
      </c>
      <c r="K835" t="str">
        <f t="array" ref="K835">IFERROR(INDEX('Daily Raw Data'!T:T,Match($A835,'Daily Raw Data'!$B:$B,0)),"")</f>
        <v/>
      </c>
      <c r="L835" t="str">
        <f t="array" ref="L835">IFERROR(INDEX('Daily Raw Data'!U:U,Match($A835,'Daily Raw Data'!$B:$B,0)),"")</f>
        <v/>
      </c>
      <c r="M835" t="str">
        <f t="array" ref="M835">IFERROR(INDEX('Daily Raw Data'!V:V,Match($A835,'Daily Raw Data'!$B:$B,0)),"")</f>
        <v/>
      </c>
      <c r="N835" t="str">
        <f t="array" ref="N835">IFERROR(INDEX('Daily Raw Data'!W:W,Match($A835,'Daily Raw Data'!$B:$B,0)),"")</f>
        <v/>
      </c>
      <c r="O835" t="str">
        <f t="array" ref="O835">IFERROR(INDEX('Daily Raw Data'!Y:Y,Match($A835,'Daily Raw Data'!$B:$B,0)),"")</f>
        <v/>
      </c>
      <c r="P835" t="str">
        <f t="shared" si="1"/>
        <v/>
      </c>
      <c r="Q835" s="14" t="str">
        <f t="shared" si="2"/>
        <v/>
      </c>
      <c r="R835" s="15" t="str">
        <f>IFERROR(__xludf.DUMMYFUNCTION("IF($A835="""","""", IFERROR(PERCENTRANK.INC(FILTER(P:P,$E:$E&lt;&gt;""""),P835)*100,""""))"),"")</f>
        <v/>
      </c>
      <c r="S835" s="15" t="str">
        <f>IFERROR(__xludf.DUMMYFUNCTION("IF($A835="""","""",IFERROR(PERCENTRANK.INC(FILTER(Q:Q,$E:$E&lt;&gt;""""),Q835)*100,""""))"),"")</f>
        <v/>
      </c>
    </row>
    <row r="836">
      <c r="B836" t="str">
        <f t="array" ref="B836">IFERROR(INDEX('Player Raw Data'!C:C,Match($A836,'Player Raw Data'!$B:$B,0)),"")</f>
        <v/>
      </c>
      <c r="C836" t="str">
        <f t="array" ref="C836">IFERROR(INDEX('Player Raw Data'!D:D,Match($A836,'Player Raw Data'!$B:$B,0)),"")</f>
        <v/>
      </c>
      <c r="D836" t="str">
        <f t="array" ref="D836">IFERROR(IF(A836=A835, INDEX('Player Raw Data'!E:E,Match($A836,'Player Raw Data'!$B:$B,0)+2),INDEX('Player Raw Data'!E:E,Match($A836,'Player Raw Data'!$B:$B,0))),"")</f>
        <v/>
      </c>
      <c r="E836" s="27" t="str">
        <f>IFERROR(__xludf.DUMMYFUNCTION("IFERROR(ARRAY_CONSTRAIN(SPLIT(INDEX('Daily Raw Data'!G:G,Match($A836,'Daily Raw Data'!$B:$B,0)),"":""),1,1),"""")"),"")</f>
        <v/>
      </c>
      <c r="F836" t="str">
        <f t="array" ref="F836">IFERROR(INDEX('Daily Raw Data'!H:H,Match($A836,'Daily Raw Data'!$B:$B,0)),"")</f>
        <v/>
      </c>
      <c r="G836" t="str">
        <f t="array" ref="G836">IFERROR(INDEX('Daily Raw Data'!I:I,Match($A836,'Daily Raw Data'!$B:$B,0)),"")</f>
        <v/>
      </c>
      <c r="H836" t="str">
        <f t="array" ref="H836">IFERROR(INDEX('Daily Raw Data'!N:N,Match($A836,'Daily Raw Data'!$B:$B,0)),"")</f>
        <v/>
      </c>
      <c r="I836" t="str">
        <f t="array" ref="I836">IFERROR(INDEX('Daily Raw Data'!O:O,Match($A836,'Daily Raw Data'!$B:$B,0)),"")</f>
        <v/>
      </c>
      <c r="J836" t="str">
        <f t="array" ref="J836">IFERROR(INDEX('Daily Raw Data'!S:S,Match($A836,'Daily Raw Data'!$B:$B,0)),"")</f>
        <v/>
      </c>
      <c r="K836" t="str">
        <f t="array" ref="K836">IFERROR(INDEX('Daily Raw Data'!T:T,Match($A836,'Daily Raw Data'!$B:$B,0)),"")</f>
        <v/>
      </c>
      <c r="L836" t="str">
        <f t="array" ref="L836">IFERROR(INDEX('Daily Raw Data'!U:U,Match($A836,'Daily Raw Data'!$B:$B,0)),"")</f>
        <v/>
      </c>
      <c r="M836" t="str">
        <f t="array" ref="M836">IFERROR(INDEX('Daily Raw Data'!V:V,Match($A836,'Daily Raw Data'!$B:$B,0)),"")</f>
        <v/>
      </c>
      <c r="N836" t="str">
        <f t="array" ref="N836">IFERROR(INDEX('Daily Raw Data'!W:W,Match($A836,'Daily Raw Data'!$B:$B,0)),"")</f>
        <v/>
      </c>
      <c r="O836" t="str">
        <f t="array" ref="O836">IFERROR(INDEX('Daily Raw Data'!Y:Y,Match($A836,'Daily Raw Data'!$B:$B,0)),"")</f>
        <v/>
      </c>
      <c r="P836" t="str">
        <f t="shared" si="1"/>
        <v/>
      </c>
      <c r="Q836" s="14" t="str">
        <f t="shared" si="2"/>
        <v/>
      </c>
      <c r="R836" s="15" t="str">
        <f>IFERROR(__xludf.DUMMYFUNCTION("IF($A836="""","""", IFERROR(PERCENTRANK.INC(FILTER(P:P,$E:$E&lt;&gt;""""),P836)*100,""""))"),"")</f>
        <v/>
      </c>
      <c r="S836" s="15" t="str">
        <f>IFERROR(__xludf.DUMMYFUNCTION("IF($A836="""","""",IFERROR(PERCENTRANK.INC(FILTER(Q:Q,$E:$E&lt;&gt;""""),Q836)*100,""""))"),"")</f>
        <v/>
      </c>
    </row>
    <row r="837">
      <c r="B837" t="str">
        <f t="array" ref="B837">IFERROR(INDEX('Player Raw Data'!C:C,Match($A837,'Player Raw Data'!$B:$B,0)),"")</f>
        <v/>
      </c>
      <c r="C837" t="str">
        <f t="array" ref="C837">IFERROR(INDEX('Player Raw Data'!D:D,Match($A837,'Player Raw Data'!$B:$B,0)),"")</f>
        <v/>
      </c>
      <c r="D837" t="str">
        <f t="array" ref="D837">IFERROR(IF(A837=A836, INDEX('Player Raw Data'!E:E,Match($A837,'Player Raw Data'!$B:$B,0)+2),INDEX('Player Raw Data'!E:E,Match($A837,'Player Raw Data'!$B:$B,0))),"")</f>
        <v/>
      </c>
      <c r="E837" s="27" t="str">
        <f>IFERROR(__xludf.DUMMYFUNCTION("IFERROR(ARRAY_CONSTRAIN(SPLIT(INDEX('Daily Raw Data'!G:G,Match($A837,'Daily Raw Data'!$B:$B,0)),"":""),1,1),"""")"),"")</f>
        <v/>
      </c>
      <c r="F837" t="str">
        <f t="array" ref="F837">IFERROR(INDEX('Daily Raw Data'!H:H,Match($A837,'Daily Raw Data'!$B:$B,0)),"")</f>
        <v/>
      </c>
      <c r="G837" t="str">
        <f t="array" ref="G837">IFERROR(INDEX('Daily Raw Data'!I:I,Match($A837,'Daily Raw Data'!$B:$B,0)),"")</f>
        <v/>
      </c>
      <c r="H837" t="str">
        <f t="array" ref="H837">IFERROR(INDEX('Daily Raw Data'!N:N,Match($A837,'Daily Raw Data'!$B:$B,0)),"")</f>
        <v/>
      </c>
      <c r="I837" t="str">
        <f t="array" ref="I837">IFERROR(INDEX('Daily Raw Data'!O:O,Match($A837,'Daily Raw Data'!$B:$B,0)),"")</f>
        <v/>
      </c>
      <c r="J837" t="str">
        <f t="array" ref="J837">IFERROR(INDEX('Daily Raw Data'!S:S,Match($A837,'Daily Raw Data'!$B:$B,0)),"")</f>
        <v/>
      </c>
      <c r="K837" t="str">
        <f t="array" ref="K837">IFERROR(INDEX('Daily Raw Data'!T:T,Match($A837,'Daily Raw Data'!$B:$B,0)),"")</f>
        <v/>
      </c>
      <c r="L837" t="str">
        <f t="array" ref="L837">IFERROR(INDEX('Daily Raw Data'!U:U,Match($A837,'Daily Raw Data'!$B:$B,0)),"")</f>
        <v/>
      </c>
      <c r="M837" t="str">
        <f t="array" ref="M837">IFERROR(INDEX('Daily Raw Data'!V:V,Match($A837,'Daily Raw Data'!$B:$B,0)),"")</f>
        <v/>
      </c>
      <c r="N837" t="str">
        <f t="array" ref="N837">IFERROR(INDEX('Daily Raw Data'!W:W,Match($A837,'Daily Raw Data'!$B:$B,0)),"")</f>
        <v/>
      </c>
      <c r="O837" t="str">
        <f t="array" ref="O837">IFERROR(INDEX('Daily Raw Data'!Y:Y,Match($A837,'Daily Raw Data'!$B:$B,0)),"")</f>
        <v/>
      </c>
      <c r="P837" t="str">
        <f t="shared" si="1"/>
        <v/>
      </c>
      <c r="Q837" s="14" t="str">
        <f t="shared" si="2"/>
        <v/>
      </c>
      <c r="R837" s="15" t="str">
        <f>IFERROR(__xludf.DUMMYFUNCTION("IF($A837="""","""", IFERROR(PERCENTRANK.INC(FILTER(P:P,$E:$E&lt;&gt;""""),P837)*100,""""))"),"")</f>
        <v/>
      </c>
      <c r="S837" s="15" t="str">
        <f>IFERROR(__xludf.DUMMYFUNCTION("IF($A837="""","""",IFERROR(PERCENTRANK.INC(FILTER(Q:Q,$E:$E&lt;&gt;""""),Q837)*100,""""))"),"")</f>
        <v/>
      </c>
    </row>
    <row r="838">
      <c r="B838" t="str">
        <f t="array" ref="B838">IFERROR(INDEX('Player Raw Data'!C:C,Match($A838,'Player Raw Data'!$B:$B,0)),"")</f>
        <v/>
      </c>
      <c r="C838" t="str">
        <f t="array" ref="C838">IFERROR(INDEX('Player Raw Data'!D:D,Match($A838,'Player Raw Data'!$B:$B,0)),"")</f>
        <v/>
      </c>
      <c r="D838" t="str">
        <f t="array" ref="D838">IFERROR(IF(A838=A837, INDEX('Player Raw Data'!E:E,Match($A838,'Player Raw Data'!$B:$B,0)+2),INDEX('Player Raw Data'!E:E,Match($A838,'Player Raw Data'!$B:$B,0))),"")</f>
        <v/>
      </c>
      <c r="E838" s="27" t="str">
        <f>IFERROR(__xludf.DUMMYFUNCTION("IFERROR(ARRAY_CONSTRAIN(SPLIT(INDEX('Daily Raw Data'!G:G,Match($A838,'Daily Raw Data'!$B:$B,0)),"":""),1,1),"""")"),"")</f>
        <v/>
      </c>
      <c r="F838" t="str">
        <f t="array" ref="F838">IFERROR(INDEX('Daily Raw Data'!H:H,Match($A838,'Daily Raw Data'!$B:$B,0)),"")</f>
        <v/>
      </c>
      <c r="G838" t="str">
        <f t="array" ref="G838">IFERROR(INDEX('Daily Raw Data'!I:I,Match($A838,'Daily Raw Data'!$B:$B,0)),"")</f>
        <v/>
      </c>
      <c r="H838" t="str">
        <f t="array" ref="H838">IFERROR(INDEX('Daily Raw Data'!N:N,Match($A838,'Daily Raw Data'!$B:$B,0)),"")</f>
        <v/>
      </c>
      <c r="I838" t="str">
        <f t="array" ref="I838">IFERROR(INDEX('Daily Raw Data'!O:O,Match($A838,'Daily Raw Data'!$B:$B,0)),"")</f>
        <v/>
      </c>
      <c r="J838" t="str">
        <f t="array" ref="J838">IFERROR(INDEX('Daily Raw Data'!S:S,Match($A838,'Daily Raw Data'!$B:$B,0)),"")</f>
        <v/>
      </c>
      <c r="K838" t="str">
        <f t="array" ref="K838">IFERROR(INDEX('Daily Raw Data'!T:T,Match($A838,'Daily Raw Data'!$B:$B,0)),"")</f>
        <v/>
      </c>
      <c r="L838" t="str">
        <f t="array" ref="L838">IFERROR(INDEX('Daily Raw Data'!U:U,Match($A838,'Daily Raw Data'!$B:$B,0)),"")</f>
        <v/>
      </c>
      <c r="M838" t="str">
        <f t="array" ref="M838">IFERROR(INDEX('Daily Raw Data'!V:V,Match($A838,'Daily Raw Data'!$B:$B,0)),"")</f>
        <v/>
      </c>
      <c r="N838" t="str">
        <f t="array" ref="N838">IFERROR(INDEX('Daily Raw Data'!W:W,Match($A838,'Daily Raw Data'!$B:$B,0)),"")</f>
        <v/>
      </c>
      <c r="O838" t="str">
        <f t="array" ref="O838">IFERROR(INDEX('Daily Raw Data'!Y:Y,Match($A838,'Daily Raw Data'!$B:$B,0)),"")</f>
        <v/>
      </c>
      <c r="P838" t="str">
        <f t="shared" si="1"/>
        <v/>
      </c>
      <c r="Q838" s="14" t="str">
        <f t="shared" si="2"/>
        <v/>
      </c>
      <c r="R838" s="15" t="str">
        <f>IFERROR(__xludf.DUMMYFUNCTION("IF($A838="""","""", IFERROR(PERCENTRANK.INC(FILTER(P:P,$E:$E&lt;&gt;""""),P838)*100,""""))"),"")</f>
        <v/>
      </c>
      <c r="S838" s="15" t="str">
        <f>IFERROR(__xludf.DUMMYFUNCTION("IF($A838="""","""",IFERROR(PERCENTRANK.INC(FILTER(Q:Q,$E:$E&lt;&gt;""""),Q838)*100,""""))"),"")</f>
        <v/>
      </c>
    </row>
    <row r="839">
      <c r="B839" t="str">
        <f t="array" ref="B839">IFERROR(INDEX('Player Raw Data'!C:C,Match($A839,'Player Raw Data'!$B:$B,0)),"")</f>
        <v/>
      </c>
      <c r="C839" t="str">
        <f t="array" ref="C839">IFERROR(INDEX('Player Raw Data'!D:D,Match($A839,'Player Raw Data'!$B:$B,0)),"")</f>
        <v/>
      </c>
      <c r="D839" t="str">
        <f t="array" ref="D839">IFERROR(IF(A839=A838, INDEX('Player Raw Data'!E:E,Match($A839,'Player Raw Data'!$B:$B,0)+2),INDEX('Player Raw Data'!E:E,Match($A839,'Player Raw Data'!$B:$B,0))),"")</f>
        <v/>
      </c>
      <c r="E839" s="27" t="str">
        <f>IFERROR(__xludf.DUMMYFUNCTION("IFERROR(ARRAY_CONSTRAIN(SPLIT(INDEX('Daily Raw Data'!G:G,Match($A839,'Daily Raw Data'!$B:$B,0)),"":""),1,1),"""")"),"")</f>
        <v/>
      </c>
      <c r="F839" t="str">
        <f t="array" ref="F839">IFERROR(INDEX('Daily Raw Data'!H:H,Match($A839,'Daily Raw Data'!$B:$B,0)),"")</f>
        <v/>
      </c>
      <c r="G839" t="str">
        <f t="array" ref="G839">IFERROR(INDEX('Daily Raw Data'!I:I,Match($A839,'Daily Raw Data'!$B:$B,0)),"")</f>
        <v/>
      </c>
      <c r="H839" t="str">
        <f t="array" ref="H839">IFERROR(INDEX('Daily Raw Data'!N:N,Match($A839,'Daily Raw Data'!$B:$B,0)),"")</f>
        <v/>
      </c>
      <c r="I839" t="str">
        <f t="array" ref="I839">IFERROR(INDEX('Daily Raw Data'!O:O,Match($A839,'Daily Raw Data'!$B:$B,0)),"")</f>
        <v/>
      </c>
      <c r="J839" t="str">
        <f t="array" ref="J839">IFERROR(INDEX('Daily Raw Data'!S:S,Match($A839,'Daily Raw Data'!$B:$B,0)),"")</f>
        <v/>
      </c>
      <c r="K839" t="str">
        <f t="array" ref="K839">IFERROR(INDEX('Daily Raw Data'!T:T,Match($A839,'Daily Raw Data'!$B:$B,0)),"")</f>
        <v/>
      </c>
      <c r="L839" t="str">
        <f t="array" ref="L839">IFERROR(INDEX('Daily Raw Data'!U:U,Match($A839,'Daily Raw Data'!$B:$B,0)),"")</f>
        <v/>
      </c>
      <c r="M839" t="str">
        <f t="array" ref="M839">IFERROR(INDEX('Daily Raw Data'!V:V,Match($A839,'Daily Raw Data'!$B:$B,0)),"")</f>
        <v/>
      </c>
      <c r="N839" t="str">
        <f t="array" ref="N839">IFERROR(INDEX('Daily Raw Data'!W:W,Match($A839,'Daily Raw Data'!$B:$B,0)),"")</f>
        <v/>
      </c>
      <c r="O839" t="str">
        <f t="array" ref="O839">IFERROR(INDEX('Daily Raw Data'!Y:Y,Match($A839,'Daily Raw Data'!$B:$B,0)),"")</f>
        <v/>
      </c>
      <c r="P839" t="str">
        <f t="shared" si="1"/>
        <v/>
      </c>
      <c r="Q839" s="14" t="str">
        <f t="shared" si="2"/>
        <v/>
      </c>
      <c r="R839" s="15" t="str">
        <f>IFERROR(__xludf.DUMMYFUNCTION("IF($A839="""","""", IFERROR(PERCENTRANK.INC(FILTER(P:P,$E:$E&lt;&gt;""""),P839)*100,""""))"),"")</f>
        <v/>
      </c>
      <c r="S839" s="15" t="str">
        <f>IFERROR(__xludf.DUMMYFUNCTION("IF($A839="""","""",IFERROR(PERCENTRANK.INC(FILTER(Q:Q,$E:$E&lt;&gt;""""),Q839)*100,""""))"),"")</f>
        <v/>
      </c>
    </row>
    <row r="840">
      <c r="B840" t="str">
        <f t="array" ref="B840">IFERROR(INDEX('Player Raw Data'!C:C,Match($A840,'Player Raw Data'!$B:$B,0)),"")</f>
        <v/>
      </c>
      <c r="C840" t="str">
        <f t="array" ref="C840">IFERROR(INDEX('Player Raw Data'!D:D,Match($A840,'Player Raw Data'!$B:$B,0)),"")</f>
        <v/>
      </c>
      <c r="D840" t="str">
        <f t="array" ref="D840">IFERROR(IF(A840=A839, INDEX('Player Raw Data'!E:E,Match($A840,'Player Raw Data'!$B:$B,0)+2),INDEX('Player Raw Data'!E:E,Match($A840,'Player Raw Data'!$B:$B,0))),"")</f>
        <v/>
      </c>
      <c r="E840" s="27" t="str">
        <f>IFERROR(__xludf.DUMMYFUNCTION("IFERROR(ARRAY_CONSTRAIN(SPLIT(INDEX('Daily Raw Data'!G:G,Match($A840,'Daily Raw Data'!$B:$B,0)),"":""),1,1),"""")"),"")</f>
        <v/>
      </c>
      <c r="F840" t="str">
        <f t="array" ref="F840">IFERROR(INDEX('Daily Raw Data'!H:H,Match($A840,'Daily Raw Data'!$B:$B,0)),"")</f>
        <v/>
      </c>
      <c r="G840" t="str">
        <f t="array" ref="G840">IFERROR(INDEX('Daily Raw Data'!I:I,Match($A840,'Daily Raw Data'!$B:$B,0)),"")</f>
        <v/>
      </c>
      <c r="H840" t="str">
        <f t="array" ref="H840">IFERROR(INDEX('Daily Raw Data'!N:N,Match($A840,'Daily Raw Data'!$B:$B,0)),"")</f>
        <v/>
      </c>
      <c r="I840" t="str">
        <f t="array" ref="I840">IFERROR(INDEX('Daily Raw Data'!O:O,Match($A840,'Daily Raw Data'!$B:$B,0)),"")</f>
        <v/>
      </c>
      <c r="J840" t="str">
        <f t="array" ref="J840">IFERROR(INDEX('Daily Raw Data'!S:S,Match($A840,'Daily Raw Data'!$B:$B,0)),"")</f>
        <v/>
      </c>
      <c r="K840" t="str">
        <f t="array" ref="K840">IFERROR(INDEX('Daily Raw Data'!T:T,Match($A840,'Daily Raw Data'!$B:$B,0)),"")</f>
        <v/>
      </c>
      <c r="L840" t="str">
        <f t="array" ref="L840">IFERROR(INDEX('Daily Raw Data'!U:U,Match($A840,'Daily Raw Data'!$B:$B,0)),"")</f>
        <v/>
      </c>
      <c r="M840" t="str">
        <f t="array" ref="M840">IFERROR(INDEX('Daily Raw Data'!V:V,Match($A840,'Daily Raw Data'!$B:$B,0)),"")</f>
        <v/>
      </c>
      <c r="N840" t="str">
        <f t="array" ref="N840">IFERROR(INDEX('Daily Raw Data'!W:W,Match($A840,'Daily Raw Data'!$B:$B,0)),"")</f>
        <v/>
      </c>
      <c r="O840" t="str">
        <f t="array" ref="O840">IFERROR(INDEX('Daily Raw Data'!Y:Y,Match($A840,'Daily Raw Data'!$B:$B,0)),"")</f>
        <v/>
      </c>
      <c r="P840" t="str">
        <f t="shared" si="1"/>
        <v/>
      </c>
      <c r="Q840" s="14" t="str">
        <f t="shared" si="2"/>
        <v/>
      </c>
      <c r="R840" s="15" t="str">
        <f>IFERROR(__xludf.DUMMYFUNCTION("IF($A840="""","""", IFERROR(PERCENTRANK.INC(FILTER(P:P,$E:$E&lt;&gt;""""),P840)*100,""""))"),"")</f>
        <v/>
      </c>
      <c r="S840" s="15" t="str">
        <f>IFERROR(__xludf.DUMMYFUNCTION("IF($A840="""","""",IFERROR(PERCENTRANK.INC(FILTER(Q:Q,$E:$E&lt;&gt;""""),Q840)*100,""""))"),"")</f>
        <v/>
      </c>
    </row>
    <row r="841">
      <c r="B841" t="str">
        <f t="array" ref="B841">IFERROR(INDEX('Player Raw Data'!C:C,Match($A841,'Player Raw Data'!$B:$B,0)),"")</f>
        <v/>
      </c>
      <c r="C841" t="str">
        <f t="array" ref="C841">IFERROR(INDEX('Player Raw Data'!D:D,Match($A841,'Player Raw Data'!$B:$B,0)),"")</f>
        <v/>
      </c>
      <c r="D841" t="str">
        <f t="array" ref="D841">IFERROR(IF(A841=A840, INDEX('Player Raw Data'!E:E,Match($A841,'Player Raw Data'!$B:$B,0)+2),INDEX('Player Raw Data'!E:E,Match($A841,'Player Raw Data'!$B:$B,0))),"")</f>
        <v/>
      </c>
      <c r="E841" s="27" t="str">
        <f>IFERROR(__xludf.DUMMYFUNCTION("IFERROR(ARRAY_CONSTRAIN(SPLIT(INDEX('Daily Raw Data'!G:G,Match($A841,'Daily Raw Data'!$B:$B,0)),"":""),1,1),"""")"),"")</f>
        <v/>
      </c>
      <c r="F841" t="str">
        <f t="array" ref="F841">IFERROR(INDEX('Daily Raw Data'!H:H,Match($A841,'Daily Raw Data'!$B:$B,0)),"")</f>
        <v/>
      </c>
      <c r="G841" t="str">
        <f t="array" ref="G841">IFERROR(INDEX('Daily Raw Data'!I:I,Match($A841,'Daily Raw Data'!$B:$B,0)),"")</f>
        <v/>
      </c>
      <c r="H841" t="str">
        <f t="array" ref="H841">IFERROR(INDEX('Daily Raw Data'!N:N,Match($A841,'Daily Raw Data'!$B:$B,0)),"")</f>
        <v/>
      </c>
      <c r="I841" t="str">
        <f t="array" ref="I841">IFERROR(INDEX('Daily Raw Data'!O:O,Match($A841,'Daily Raw Data'!$B:$B,0)),"")</f>
        <v/>
      </c>
      <c r="J841" t="str">
        <f t="array" ref="J841">IFERROR(INDEX('Daily Raw Data'!S:S,Match($A841,'Daily Raw Data'!$B:$B,0)),"")</f>
        <v/>
      </c>
      <c r="K841" t="str">
        <f t="array" ref="K841">IFERROR(INDEX('Daily Raw Data'!T:T,Match($A841,'Daily Raw Data'!$B:$B,0)),"")</f>
        <v/>
      </c>
      <c r="L841" t="str">
        <f t="array" ref="L841">IFERROR(INDEX('Daily Raw Data'!U:U,Match($A841,'Daily Raw Data'!$B:$B,0)),"")</f>
        <v/>
      </c>
      <c r="M841" t="str">
        <f t="array" ref="M841">IFERROR(INDEX('Daily Raw Data'!V:V,Match($A841,'Daily Raw Data'!$B:$B,0)),"")</f>
        <v/>
      </c>
      <c r="N841" t="str">
        <f t="array" ref="N841">IFERROR(INDEX('Daily Raw Data'!W:W,Match($A841,'Daily Raw Data'!$B:$B,0)),"")</f>
        <v/>
      </c>
      <c r="O841" t="str">
        <f t="array" ref="O841">IFERROR(INDEX('Daily Raw Data'!Y:Y,Match($A841,'Daily Raw Data'!$B:$B,0)),"")</f>
        <v/>
      </c>
      <c r="P841" t="str">
        <f t="shared" si="1"/>
        <v/>
      </c>
      <c r="Q841" s="14" t="str">
        <f t="shared" si="2"/>
        <v/>
      </c>
      <c r="R841" s="15" t="str">
        <f>IFERROR(__xludf.DUMMYFUNCTION("IF($A841="""","""", IFERROR(PERCENTRANK.INC(FILTER(P:P,$E:$E&lt;&gt;""""),P841)*100,""""))"),"")</f>
        <v/>
      </c>
      <c r="S841" s="15" t="str">
        <f>IFERROR(__xludf.DUMMYFUNCTION("IF($A841="""","""",IFERROR(PERCENTRANK.INC(FILTER(Q:Q,$E:$E&lt;&gt;""""),Q841)*100,""""))"),"")</f>
        <v/>
      </c>
    </row>
    <row r="842">
      <c r="B842" t="str">
        <f t="array" ref="B842">IFERROR(INDEX('Player Raw Data'!C:C,Match($A842,'Player Raw Data'!$B:$B,0)),"")</f>
        <v/>
      </c>
      <c r="C842" t="str">
        <f t="array" ref="C842">IFERROR(INDEX('Player Raw Data'!D:D,Match($A842,'Player Raw Data'!$B:$B,0)),"")</f>
        <v/>
      </c>
      <c r="D842" t="str">
        <f t="array" ref="D842">IFERROR(IF(A842=A841, INDEX('Player Raw Data'!E:E,Match($A842,'Player Raw Data'!$B:$B,0)+2),INDEX('Player Raw Data'!E:E,Match($A842,'Player Raw Data'!$B:$B,0))),"")</f>
        <v/>
      </c>
      <c r="E842" s="27" t="str">
        <f>IFERROR(__xludf.DUMMYFUNCTION("IFERROR(ARRAY_CONSTRAIN(SPLIT(INDEX('Daily Raw Data'!G:G,Match($A842,'Daily Raw Data'!$B:$B,0)),"":""),1,1),"""")"),"")</f>
        <v/>
      </c>
      <c r="F842" t="str">
        <f t="array" ref="F842">IFERROR(INDEX('Daily Raw Data'!H:H,Match($A842,'Daily Raw Data'!$B:$B,0)),"")</f>
        <v/>
      </c>
      <c r="G842" t="str">
        <f t="array" ref="G842">IFERROR(INDEX('Daily Raw Data'!I:I,Match($A842,'Daily Raw Data'!$B:$B,0)),"")</f>
        <v/>
      </c>
      <c r="H842" t="str">
        <f t="array" ref="H842">IFERROR(INDEX('Daily Raw Data'!N:N,Match($A842,'Daily Raw Data'!$B:$B,0)),"")</f>
        <v/>
      </c>
      <c r="I842" t="str">
        <f t="array" ref="I842">IFERROR(INDEX('Daily Raw Data'!O:O,Match($A842,'Daily Raw Data'!$B:$B,0)),"")</f>
        <v/>
      </c>
      <c r="J842" t="str">
        <f t="array" ref="J842">IFERROR(INDEX('Daily Raw Data'!S:S,Match($A842,'Daily Raw Data'!$B:$B,0)),"")</f>
        <v/>
      </c>
      <c r="K842" t="str">
        <f t="array" ref="K842">IFERROR(INDEX('Daily Raw Data'!T:T,Match($A842,'Daily Raw Data'!$B:$B,0)),"")</f>
        <v/>
      </c>
      <c r="L842" t="str">
        <f t="array" ref="L842">IFERROR(INDEX('Daily Raw Data'!U:U,Match($A842,'Daily Raw Data'!$B:$B,0)),"")</f>
        <v/>
      </c>
      <c r="M842" t="str">
        <f t="array" ref="M842">IFERROR(INDEX('Daily Raw Data'!V:V,Match($A842,'Daily Raw Data'!$B:$B,0)),"")</f>
        <v/>
      </c>
      <c r="N842" t="str">
        <f t="array" ref="N842">IFERROR(INDEX('Daily Raw Data'!W:W,Match($A842,'Daily Raw Data'!$B:$B,0)),"")</f>
        <v/>
      </c>
      <c r="O842" t="str">
        <f t="array" ref="O842">IFERROR(INDEX('Daily Raw Data'!Y:Y,Match($A842,'Daily Raw Data'!$B:$B,0)),"")</f>
        <v/>
      </c>
      <c r="P842" t="str">
        <f t="shared" si="1"/>
        <v/>
      </c>
      <c r="Q842" s="14" t="str">
        <f t="shared" si="2"/>
        <v/>
      </c>
      <c r="R842" s="15" t="str">
        <f>IFERROR(__xludf.DUMMYFUNCTION("IF($A842="""","""", IFERROR(PERCENTRANK.INC(FILTER(P:P,$E:$E&lt;&gt;""""),P842)*100,""""))"),"")</f>
        <v/>
      </c>
      <c r="S842" s="15" t="str">
        <f>IFERROR(__xludf.DUMMYFUNCTION("IF($A842="""","""",IFERROR(PERCENTRANK.INC(FILTER(Q:Q,$E:$E&lt;&gt;""""),Q842)*100,""""))"),"")</f>
        <v/>
      </c>
    </row>
    <row r="843">
      <c r="B843" t="str">
        <f t="array" ref="B843">IFERROR(INDEX('Player Raw Data'!C:C,Match($A843,'Player Raw Data'!$B:$B,0)),"")</f>
        <v/>
      </c>
      <c r="C843" t="str">
        <f t="array" ref="C843">IFERROR(INDEX('Player Raw Data'!D:D,Match($A843,'Player Raw Data'!$B:$B,0)),"")</f>
        <v/>
      </c>
      <c r="D843" t="str">
        <f t="array" ref="D843">IFERROR(IF(A843=A842, INDEX('Player Raw Data'!E:E,Match($A843,'Player Raw Data'!$B:$B,0)+2),INDEX('Player Raw Data'!E:E,Match($A843,'Player Raw Data'!$B:$B,0))),"")</f>
        <v/>
      </c>
      <c r="E843" s="27" t="str">
        <f>IFERROR(__xludf.DUMMYFUNCTION("IFERROR(ARRAY_CONSTRAIN(SPLIT(INDEX('Daily Raw Data'!G:G,Match($A843,'Daily Raw Data'!$B:$B,0)),"":""),1,1),"""")"),"")</f>
        <v/>
      </c>
      <c r="F843" t="str">
        <f t="array" ref="F843">IFERROR(INDEX('Daily Raw Data'!H:H,Match($A843,'Daily Raw Data'!$B:$B,0)),"")</f>
        <v/>
      </c>
      <c r="G843" t="str">
        <f t="array" ref="G843">IFERROR(INDEX('Daily Raw Data'!I:I,Match($A843,'Daily Raw Data'!$B:$B,0)),"")</f>
        <v/>
      </c>
      <c r="H843" t="str">
        <f t="array" ref="H843">IFERROR(INDEX('Daily Raw Data'!N:N,Match($A843,'Daily Raw Data'!$B:$B,0)),"")</f>
        <v/>
      </c>
      <c r="I843" t="str">
        <f t="array" ref="I843">IFERROR(INDEX('Daily Raw Data'!O:O,Match($A843,'Daily Raw Data'!$B:$B,0)),"")</f>
        <v/>
      </c>
      <c r="J843" t="str">
        <f t="array" ref="J843">IFERROR(INDEX('Daily Raw Data'!S:S,Match($A843,'Daily Raw Data'!$B:$B,0)),"")</f>
        <v/>
      </c>
      <c r="K843" t="str">
        <f t="array" ref="K843">IFERROR(INDEX('Daily Raw Data'!T:T,Match($A843,'Daily Raw Data'!$B:$B,0)),"")</f>
        <v/>
      </c>
      <c r="L843" t="str">
        <f t="array" ref="L843">IFERROR(INDEX('Daily Raw Data'!U:U,Match($A843,'Daily Raw Data'!$B:$B,0)),"")</f>
        <v/>
      </c>
      <c r="M843" t="str">
        <f t="array" ref="M843">IFERROR(INDEX('Daily Raw Data'!V:V,Match($A843,'Daily Raw Data'!$B:$B,0)),"")</f>
        <v/>
      </c>
      <c r="N843" t="str">
        <f t="array" ref="N843">IFERROR(INDEX('Daily Raw Data'!W:W,Match($A843,'Daily Raw Data'!$B:$B,0)),"")</f>
        <v/>
      </c>
      <c r="O843" t="str">
        <f t="array" ref="O843">IFERROR(INDEX('Daily Raw Data'!Y:Y,Match($A843,'Daily Raw Data'!$B:$B,0)),"")</f>
        <v/>
      </c>
      <c r="P843" t="str">
        <f t="shared" si="1"/>
        <v/>
      </c>
      <c r="Q843" s="14" t="str">
        <f t="shared" si="2"/>
        <v/>
      </c>
      <c r="R843" s="15" t="str">
        <f>IFERROR(__xludf.DUMMYFUNCTION("IF($A843="""","""", IFERROR(PERCENTRANK.INC(FILTER(P:P,$E:$E&lt;&gt;""""),P843)*100,""""))"),"")</f>
        <v/>
      </c>
      <c r="S843" s="15" t="str">
        <f>IFERROR(__xludf.DUMMYFUNCTION("IF($A843="""","""",IFERROR(PERCENTRANK.INC(FILTER(Q:Q,$E:$E&lt;&gt;""""),Q843)*100,""""))"),"")</f>
        <v/>
      </c>
    </row>
    <row r="844">
      <c r="B844" t="str">
        <f t="array" ref="B844">IFERROR(INDEX('Player Raw Data'!C:C,Match($A844,'Player Raw Data'!$B:$B,0)),"")</f>
        <v/>
      </c>
      <c r="C844" t="str">
        <f t="array" ref="C844">IFERROR(INDEX('Player Raw Data'!D:D,Match($A844,'Player Raw Data'!$B:$B,0)),"")</f>
        <v/>
      </c>
      <c r="D844" t="str">
        <f t="array" ref="D844">IFERROR(IF(A844=A843, INDEX('Player Raw Data'!E:E,Match($A844,'Player Raw Data'!$B:$B,0)+2),INDEX('Player Raw Data'!E:E,Match($A844,'Player Raw Data'!$B:$B,0))),"")</f>
        <v/>
      </c>
      <c r="E844" s="27" t="str">
        <f>IFERROR(__xludf.DUMMYFUNCTION("IFERROR(ARRAY_CONSTRAIN(SPLIT(INDEX('Daily Raw Data'!G:G,Match($A844,'Daily Raw Data'!$B:$B,0)),"":""),1,1),"""")"),"")</f>
        <v/>
      </c>
      <c r="F844" t="str">
        <f t="array" ref="F844">IFERROR(INDEX('Daily Raw Data'!H:H,Match($A844,'Daily Raw Data'!$B:$B,0)),"")</f>
        <v/>
      </c>
      <c r="G844" t="str">
        <f t="array" ref="G844">IFERROR(INDEX('Daily Raw Data'!I:I,Match($A844,'Daily Raw Data'!$B:$B,0)),"")</f>
        <v/>
      </c>
      <c r="H844" t="str">
        <f t="array" ref="H844">IFERROR(INDEX('Daily Raw Data'!N:N,Match($A844,'Daily Raw Data'!$B:$B,0)),"")</f>
        <v/>
      </c>
      <c r="I844" t="str">
        <f t="array" ref="I844">IFERROR(INDEX('Daily Raw Data'!O:O,Match($A844,'Daily Raw Data'!$B:$B,0)),"")</f>
        <v/>
      </c>
      <c r="J844" t="str">
        <f t="array" ref="J844">IFERROR(INDEX('Daily Raw Data'!S:S,Match($A844,'Daily Raw Data'!$B:$B,0)),"")</f>
        <v/>
      </c>
      <c r="K844" t="str">
        <f t="array" ref="K844">IFERROR(INDEX('Daily Raw Data'!T:T,Match($A844,'Daily Raw Data'!$B:$B,0)),"")</f>
        <v/>
      </c>
      <c r="L844" t="str">
        <f t="array" ref="L844">IFERROR(INDEX('Daily Raw Data'!U:U,Match($A844,'Daily Raw Data'!$B:$B,0)),"")</f>
        <v/>
      </c>
      <c r="M844" t="str">
        <f t="array" ref="M844">IFERROR(INDEX('Daily Raw Data'!V:V,Match($A844,'Daily Raw Data'!$B:$B,0)),"")</f>
        <v/>
      </c>
      <c r="N844" t="str">
        <f t="array" ref="N844">IFERROR(INDEX('Daily Raw Data'!W:W,Match($A844,'Daily Raw Data'!$B:$B,0)),"")</f>
        <v/>
      </c>
      <c r="O844" t="str">
        <f t="array" ref="O844">IFERROR(INDEX('Daily Raw Data'!Y:Y,Match($A844,'Daily Raw Data'!$B:$B,0)),"")</f>
        <v/>
      </c>
      <c r="P844" t="str">
        <f t="shared" si="1"/>
        <v/>
      </c>
      <c r="Q844" s="14" t="str">
        <f t="shared" si="2"/>
        <v/>
      </c>
      <c r="R844" s="15" t="str">
        <f>IFERROR(__xludf.DUMMYFUNCTION("IF($A844="""","""", IFERROR(PERCENTRANK.INC(FILTER(P:P,$E:$E&lt;&gt;""""),P844)*100,""""))"),"")</f>
        <v/>
      </c>
      <c r="S844" s="15" t="str">
        <f>IFERROR(__xludf.DUMMYFUNCTION("IF($A844="""","""",IFERROR(PERCENTRANK.INC(FILTER(Q:Q,$E:$E&lt;&gt;""""),Q844)*100,""""))"),"")</f>
        <v/>
      </c>
    </row>
    <row r="845">
      <c r="B845" t="str">
        <f t="array" ref="B845">IFERROR(INDEX('Player Raw Data'!C:C,Match($A845,'Player Raw Data'!$B:$B,0)),"")</f>
        <v/>
      </c>
      <c r="C845" t="str">
        <f t="array" ref="C845">IFERROR(INDEX('Player Raw Data'!D:D,Match($A845,'Player Raw Data'!$B:$B,0)),"")</f>
        <v/>
      </c>
      <c r="D845" t="str">
        <f t="array" ref="D845">IFERROR(IF(A845=A844, INDEX('Player Raw Data'!E:E,Match($A845,'Player Raw Data'!$B:$B,0)+2),INDEX('Player Raw Data'!E:E,Match($A845,'Player Raw Data'!$B:$B,0))),"")</f>
        <v/>
      </c>
      <c r="E845" s="27" t="str">
        <f>IFERROR(__xludf.DUMMYFUNCTION("IFERROR(ARRAY_CONSTRAIN(SPLIT(INDEX('Daily Raw Data'!G:G,Match($A845,'Daily Raw Data'!$B:$B,0)),"":""),1,1),"""")"),"")</f>
        <v/>
      </c>
      <c r="F845" t="str">
        <f t="array" ref="F845">IFERROR(INDEX('Daily Raw Data'!H:H,Match($A845,'Daily Raw Data'!$B:$B,0)),"")</f>
        <v/>
      </c>
      <c r="G845" t="str">
        <f t="array" ref="G845">IFERROR(INDEX('Daily Raw Data'!I:I,Match($A845,'Daily Raw Data'!$B:$B,0)),"")</f>
        <v/>
      </c>
      <c r="H845" t="str">
        <f t="array" ref="H845">IFERROR(INDEX('Daily Raw Data'!N:N,Match($A845,'Daily Raw Data'!$B:$B,0)),"")</f>
        <v/>
      </c>
      <c r="I845" t="str">
        <f t="array" ref="I845">IFERROR(INDEX('Daily Raw Data'!O:O,Match($A845,'Daily Raw Data'!$B:$B,0)),"")</f>
        <v/>
      </c>
      <c r="J845" t="str">
        <f t="array" ref="J845">IFERROR(INDEX('Daily Raw Data'!S:S,Match($A845,'Daily Raw Data'!$B:$B,0)),"")</f>
        <v/>
      </c>
      <c r="K845" t="str">
        <f t="array" ref="K845">IFERROR(INDEX('Daily Raw Data'!T:T,Match($A845,'Daily Raw Data'!$B:$B,0)),"")</f>
        <v/>
      </c>
      <c r="L845" t="str">
        <f t="array" ref="L845">IFERROR(INDEX('Daily Raw Data'!U:U,Match($A845,'Daily Raw Data'!$B:$B,0)),"")</f>
        <v/>
      </c>
      <c r="M845" t="str">
        <f t="array" ref="M845">IFERROR(INDEX('Daily Raw Data'!V:V,Match($A845,'Daily Raw Data'!$B:$B,0)),"")</f>
        <v/>
      </c>
      <c r="N845" t="str">
        <f t="array" ref="N845">IFERROR(INDEX('Daily Raw Data'!W:W,Match($A845,'Daily Raw Data'!$B:$B,0)),"")</f>
        <v/>
      </c>
      <c r="O845" t="str">
        <f t="array" ref="O845">IFERROR(INDEX('Daily Raw Data'!Y:Y,Match($A845,'Daily Raw Data'!$B:$B,0)),"")</f>
        <v/>
      </c>
      <c r="P845" t="str">
        <f t="shared" si="1"/>
        <v/>
      </c>
      <c r="Q845" s="14" t="str">
        <f t="shared" si="2"/>
        <v/>
      </c>
      <c r="R845" s="15" t="str">
        <f>IFERROR(__xludf.DUMMYFUNCTION("IF($A845="""","""", IFERROR(PERCENTRANK.INC(FILTER(P:P,$E:$E&lt;&gt;""""),P845)*100,""""))"),"")</f>
        <v/>
      </c>
      <c r="S845" s="15" t="str">
        <f>IFERROR(__xludf.DUMMYFUNCTION("IF($A845="""","""",IFERROR(PERCENTRANK.INC(FILTER(Q:Q,$E:$E&lt;&gt;""""),Q845)*100,""""))"),"")</f>
        <v/>
      </c>
    </row>
    <row r="846">
      <c r="B846" t="str">
        <f t="array" ref="B846">IFERROR(INDEX('Player Raw Data'!C:C,Match($A846,'Player Raw Data'!$B:$B,0)),"")</f>
        <v/>
      </c>
      <c r="C846" t="str">
        <f t="array" ref="C846">IFERROR(INDEX('Player Raw Data'!D:D,Match($A846,'Player Raw Data'!$B:$B,0)),"")</f>
        <v/>
      </c>
      <c r="D846" t="str">
        <f t="array" ref="D846">IFERROR(IF(A846=A845, INDEX('Player Raw Data'!E:E,Match($A846,'Player Raw Data'!$B:$B,0)+2),INDEX('Player Raw Data'!E:E,Match($A846,'Player Raw Data'!$B:$B,0))),"")</f>
        <v/>
      </c>
      <c r="E846" s="27" t="str">
        <f>IFERROR(__xludf.DUMMYFUNCTION("IFERROR(ARRAY_CONSTRAIN(SPLIT(INDEX('Daily Raw Data'!G:G,Match($A846,'Daily Raw Data'!$B:$B,0)),"":""),1,1),"""")"),"")</f>
        <v/>
      </c>
      <c r="F846" t="str">
        <f t="array" ref="F846">IFERROR(INDEX('Daily Raw Data'!H:H,Match($A846,'Daily Raw Data'!$B:$B,0)),"")</f>
        <v/>
      </c>
      <c r="G846" t="str">
        <f t="array" ref="G846">IFERROR(INDEX('Daily Raw Data'!I:I,Match($A846,'Daily Raw Data'!$B:$B,0)),"")</f>
        <v/>
      </c>
      <c r="H846" t="str">
        <f t="array" ref="H846">IFERROR(INDEX('Daily Raw Data'!N:N,Match($A846,'Daily Raw Data'!$B:$B,0)),"")</f>
        <v/>
      </c>
      <c r="I846" t="str">
        <f t="array" ref="I846">IFERROR(INDEX('Daily Raw Data'!O:O,Match($A846,'Daily Raw Data'!$B:$B,0)),"")</f>
        <v/>
      </c>
      <c r="J846" t="str">
        <f t="array" ref="J846">IFERROR(INDEX('Daily Raw Data'!S:S,Match($A846,'Daily Raw Data'!$B:$B,0)),"")</f>
        <v/>
      </c>
      <c r="K846" t="str">
        <f t="array" ref="K846">IFERROR(INDEX('Daily Raw Data'!T:T,Match($A846,'Daily Raw Data'!$B:$B,0)),"")</f>
        <v/>
      </c>
      <c r="L846" t="str">
        <f t="array" ref="L846">IFERROR(INDEX('Daily Raw Data'!U:U,Match($A846,'Daily Raw Data'!$B:$B,0)),"")</f>
        <v/>
      </c>
      <c r="M846" t="str">
        <f t="array" ref="M846">IFERROR(INDEX('Daily Raw Data'!V:V,Match($A846,'Daily Raw Data'!$B:$B,0)),"")</f>
        <v/>
      </c>
      <c r="N846" t="str">
        <f t="array" ref="N846">IFERROR(INDEX('Daily Raw Data'!W:W,Match($A846,'Daily Raw Data'!$B:$B,0)),"")</f>
        <v/>
      </c>
      <c r="O846" t="str">
        <f t="array" ref="O846">IFERROR(INDEX('Daily Raw Data'!Y:Y,Match($A846,'Daily Raw Data'!$B:$B,0)),"")</f>
        <v/>
      </c>
      <c r="P846" t="str">
        <f t="shared" si="1"/>
        <v/>
      </c>
      <c r="Q846" s="14" t="str">
        <f t="shared" si="2"/>
        <v/>
      </c>
      <c r="R846" s="15" t="str">
        <f>IFERROR(__xludf.DUMMYFUNCTION("IF($A846="""","""", IFERROR(PERCENTRANK.INC(FILTER(P:P,$E:$E&lt;&gt;""""),P846)*100,""""))"),"")</f>
        <v/>
      </c>
      <c r="S846" s="15" t="str">
        <f>IFERROR(__xludf.DUMMYFUNCTION("IF($A846="""","""",IFERROR(PERCENTRANK.INC(FILTER(Q:Q,$E:$E&lt;&gt;""""),Q846)*100,""""))"),"")</f>
        <v/>
      </c>
    </row>
    <row r="847">
      <c r="B847" t="str">
        <f t="array" ref="B847">IFERROR(INDEX('Player Raw Data'!C:C,Match($A847,'Player Raw Data'!$B:$B,0)),"")</f>
        <v/>
      </c>
      <c r="C847" t="str">
        <f t="array" ref="C847">IFERROR(INDEX('Player Raw Data'!D:D,Match($A847,'Player Raw Data'!$B:$B,0)),"")</f>
        <v/>
      </c>
      <c r="D847" t="str">
        <f t="array" ref="D847">IFERROR(IF(A847=A846, INDEX('Player Raw Data'!E:E,Match($A847,'Player Raw Data'!$B:$B,0)+2),INDEX('Player Raw Data'!E:E,Match($A847,'Player Raw Data'!$B:$B,0))),"")</f>
        <v/>
      </c>
      <c r="E847" s="27" t="str">
        <f>IFERROR(__xludf.DUMMYFUNCTION("IFERROR(ARRAY_CONSTRAIN(SPLIT(INDEX('Daily Raw Data'!G:G,Match($A847,'Daily Raw Data'!$B:$B,0)),"":""),1,1),"""")"),"")</f>
        <v/>
      </c>
      <c r="F847" t="str">
        <f t="array" ref="F847">IFERROR(INDEX('Daily Raw Data'!H:H,Match($A847,'Daily Raw Data'!$B:$B,0)),"")</f>
        <v/>
      </c>
      <c r="G847" t="str">
        <f t="array" ref="G847">IFERROR(INDEX('Daily Raw Data'!I:I,Match($A847,'Daily Raw Data'!$B:$B,0)),"")</f>
        <v/>
      </c>
      <c r="H847" t="str">
        <f t="array" ref="H847">IFERROR(INDEX('Daily Raw Data'!N:N,Match($A847,'Daily Raw Data'!$B:$B,0)),"")</f>
        <v/>
      </c>
      <c r="I847" t="str">
        <f t="array" ref="I847">IFERROR(INDEX('Daily Raw Data'!O:O,Match($A847,'Daily Raw Data'!$B:$B,0)),"")</f>
        <v/>
      </c>
      <c r="J847" t="str">
        <f t="array" ref="J847">IFERROR(INDEX('Daily Raw Data'!S:S,Match($A847,'Daily Raw Data'!$B:$B,0)),"")</f>
        <v/>
      </c>
      <c r="K847" t="str">
        <f t="array" ref="K847">IFERROR(INDEX('Daily Raw Data'!T:T,Match($A847,'Daily Raw Data'!$B:$B,0)),"")</f>
        <v/>
      </c>
      <c r="L847" t="str">
        <f t="array" ref="L847">IFERROR(INDEX('Daily Raw Data'!U:U,Match($A847,'Daily Raw Data'!$B:$B,0)),"")</f>
        <v/>
      </c>
      <c r="M847" t="str">
        <f t="array" ref="M847">IFERROR(INDEX('Daily Raw Data'!V:V,Match($A847,'Daily Raw Data'!$B:$B,0)),"")</f>
        <v/>
      </c>
      <c r="N847" t="str">
        <f t="array" ref="N847">IFERROR(INDEX('Daily Raw Data'!W:W,Match($A847,'Daily Raw Data'!$B:$B,0)),"")</f>
        <v/>
      </c>
      <c r="O847" t="str">
        <f t="array" ref="O847">IFERROR(INDEX('Daily Raw Data'!Y:Y,Match($A847,'Daily Raw Data'!$B:$B,0)),"")</f>
        <v/>
      </c>
      <c r="P847" t="str">
        <f t="shared" si="1"/>
        <v/>
      </c>
      <c r="Q847" s="14" t="str">
        <f t="shared" si="2"/>
        <v/>
      </c>
      <c r="R847" s="15" t="str">
        <f>IFERROR(__xludf.DUMMYFUNCTION("IF($A847="""","""", IFERROR(PERCENTRANK.INC(FILTER(P:P,$E:$E&lt;&gt;""""),P847)*100,""""))"),"")</f>
        <v/>
      </c>
      <c r="S847" s="15" t="str">
        <f>IFERROR(__xludf.DUMMYFUNCTION("IF($A847="""","""",IFERROR(PERCENTRANK.INC(FILTER(Q:Q,$E:$E&lt;&gt;""""),Q847)*100,""""))"),"")</f>
        <v/>
      </c>
    </row>
    <row r="848">
      <c r="B848" t="str">
        <f t="array" ref="B848">IFERROR(INDEX('Player Raw Data'!C:C,Match($A848,'Player Raw Data'!$B:$B,0)),"")</f>
        <v/>
      </c>
      <c r="C848" t="str">
        <f t="array" ref="C848">IFERROR(INDEX('Player Raw Data'!D:D,Match($A848,'Player Raw Data'!$B:$B,0)),"")</f>
        <v/>
      </c>
      <c r="D848" t="str">
        <f t="array" ref="D848">IFERROR(IF(A848=A847, INDEX('Player Raw Data'!E:E,Match($A848,'Player Raw Data'!$B:$B,0)+2),INDEX('Player Raw Data'!E:E,Match($A848,'Player Raw Data'!$B:$B,0))),"")</f>
        <v/>
      </c>
      <c r="E848" s="27" t="str">
        <f>IFERROR(__xludf.DUMMYFUNCTION("IFERROR(ARRAY_CONSTRAIN(SPLIT(INDEX('Daily Raw Data'!G:G,Match($A848,'Daily Raw Data'!$B:$B,0)),"":""),1,1),"""")"),"")</f>
        <v/>
      </c>
      <c r="F848" t="str">
        <f t="array" ref="F848">IFERROR(INDEX('Daily Raw Data'!H:H,Match($A848,'Daily Raw Data'!$B:$B,0)),"")</f>
        <v/>
      </c>
      <c r="G848" t="str">
        <f t="array" ref="G848">IFERROR(INDEX('Daily Raw Data'!I:I,Match($A848,'Daily Raw Data'!$B:$B,0)),"")</f>
        <v/>
      </c>
      <c r="H848" t="str">
        <f t="array" ref="H848">IFERROR(INDEX('Daily Raw Data'!N:N,Match($A848,'Daily Raw Data'!$B:$B,0)),"")</f>
        <v/>
      </c>
      <c r="I848" t="str">
        <f t="array" ref="I848">IFERROR(INDEX('Daily Raw Data'!O:O,Match($A848,'Daily Raw Data'!$B:$B,0)),"")</f>
        <v/>
      </c>
      <c r="J848" t="str">
        <f t="array" ref="J848">IFERROR(INDEX('Daily Raw Data'!S:S,Match($A848,'Daily Raw Data'!$B:$B,0)),"")</f>
        <v/>
      </c>
      <c r="K848" t="str">
        <f t="array" ref="K848">IFERROR(INDEX('Daily Raw Data'!T:T,Match($A848,'Daily Raw Data'!$B:$B,0)),"")</f>
        <v/>
      </c>
      <c r="L848" t="str">
        <f t="array" ref="L848">IFERROR(INDEX('Daily Raw Data'!U:U,Match($A848,'Daily Raw Data'!$B:$B,0)),"")</f>
        <v/>
      </c>
      <c r="M848" t="str">
        <f t="array" ref="M848">IFERROR(INDEX('Daily Raw Data'!V:V,Match($A848,'Daily Raw Data'!$B:$B,0)),"")</f>
        <v/>
      </c>
      <c r="N848" t="str">
        <f t="array" ref="N848">IFERROR(INDEX('Daily Raw Data'!W:W,Match($A848,'Daily Raw Data'!$B:$B,0)),"")</f>
        <v/>
      </c>
      <c r="O848" t="str">
        <f t="array" ref="O848">IFERROR(INDEX('Daily Raw Data'!Y:Y,Match($A848,'Daily Raw Data'!$B:$B,0)),"")</f>
        <v/>
      </c>
      <c r="P848" t="str">
        <f t="shared" si="1"/>
        <v/>
      </c>
      <c r="Q848" s="14" t="str">
        <f t="shared" si="2"/>
        <v/>
      </c>
      <c r="R848" s="15" t="str">
        <f>IFERROR(__xludf.DUMMYFUNCTION("IF($A848="""","""", IFERROR(PERCENTRANK.INC(FILTER(P:P,$E:$E&lt;&gt;""""),P848)*100,""""))"),"")</f>
        <v/>
      </c>
      <c r="S848" s="15" t="str">
        <f>IFERROR(__xludf.DUMMYFUNCTION("IF($A848="""","""",IFERROR(PERCENTRANK.INC(FILTER(Q:Q,$E:$E&lt;&gt;""""),Q848)*100,""""))"),"")</f>
        <v/>
      </c>
    </row>
    <row r="849">
      <c r="B849" t="str">
        <f t="array" ref="B849">IFERROR(INDEX('Player Raw Data'!C:C,Match($A849,'Player Raw Data'!$B:$B,0)),"")</f>
        <v/>
      </c>
      <c r="C849" t="str">
        <f t="array" ref="C849">IFERROR(INDEX('Player Raw Data'!D:D,Match($A849,'Player Raw Data'!$B:$B,0)),"")</f>
        <v/>
      </c>
      <c r="D849" t="str">
        <f t="array" ref="D849">IFERROR(IF(A849=A848, INDEX('Player Raw Data'!E:E,Match($A849,'Player Raw Data'!$B:$B,0)+2),INDEX('Player Raw Data'!E:E,Match($A849,'Player Raw Data'!$B:$B,0))),"")</f>
        <v/>
      </c>
      <c r="E849" s="27" t="str">
        <f>IFERROR(__xludf.DUMMYFUNCTION("IFERROR(ARRAY_CONSTRAIN(SPLIT(INDEX('Daily Raw Data'!G:G,Match($A849,'Daily Raw Data'!$B:$B,0)),"":""),1,1),"""")"),"")</f>
        <v/>
      </c>
      <c r="F849" t="str">
        <f t="array" ref="F849">IFERROR(INDEX('Daily Raw Data'!H:H,Match($A849,'Daily Raw Data'!$B:$B,0)),"")</f>
        <v/>
      </c>
      <c r="G849" t="str">
        <f t="array" ref="G849">IFERROR(INDEX('Daily Raw Data'!I:I,Match($A849,'Daily Raw Data'!$B:$B,0)),"")</f>
        <v/>
      </c>
      <c r="H849" t="str">
        <f t="array" ref="H849">IFERROR(INDEX('Daily Raw Data'!N:N,Match($A849,'Daily Raw Data'!$B:$B,0)),"")</f>
        <v/>
      </c>
      <c r="I849" t="str">
        <f t="array" ref="I849">IFERROR(INDEX('Daily Raw Data'!O:O,Match($A849,'Daily Raw Data'!$B:$B,0)),"")</f>
        <v/>
      </c>
      <c r="J849" t="str">
        <f t="array" ref="J849">IFERROR(INDEX('Daily Raw Data'!S:S,Match($A849,'Daily Raw Data'!$B:$B,0)),"")</f>
        <v/>
      </c>
      <c r="K849" t="str">
        <f t="array" ref="K849">IFERROR(INDEX('Daily Raw Data'!T:T,Match($A849,'Daily Raw Data'!$B:$B,0)),"")</f>
        <v/>
      </c>
      <c r="L849" t="str">
        <f t="array" ref="L849">IFERROR(INDEX('Daily Raw Data'!U:U,Match($A849,'Daily Raw Data'!$B:$B,0)),"")</f>
        <v/>
      </c>
      <c r="M849" t="str">
        <f t="array" ref="M849">IFERROR(INDEX('Daily Raw Data'!V:V,Match($A849,'Daily Raw Data'!$B:$B,0)),"")</f>
        <v/>
      </c>
      <c r="N849" t="str">
        <f t="array" ref="N849">IFERROR(INDEX('Daily Raw Data'!W:W,Match($A849,'Daily Raw Data'!$B:$B,0)),"")</f>
        <v/>
      </c>
      <c r="O849" t="str">
        <f t="array" ref="O849">IFERROR(INDEX('Daily Raw Data'!Y:Y,Match($A849,'Daily Raw Data'!$B:$B,0)),"")</f>
        <v/>
      </c>
      <c r="P849" t="str">
        <f t="shared" si="1"/>
        <v/>
      </c>
      <c r="Q849" s="14" t="str">
        <f t="shared" si="2"/>
        <v/>
      </c>
      <c r="R849" s="15" t="str">
        <f>IFERROR(__xludf.DUMMYFUNCTION("IF($A849="""","""", IFERROR(PERCENTRANK.INC(FILTER(P:P,$E:$E&lt;&gt;""""),P849)*100,""""))"),"")</f>
        <v/>
      </c>
      <c r="S849" s="15" t="str">
        <f>IFERROR(__xludf.DUMMYFUNCTION("IF($A849="""","""",IFERROR(PERCENTRANK.INC(FILTER(Q:Q,$E:$E&lt;&gt;""""),Q849)*100,""""))"),"")</f>
        <v/>
      </c>
    </row>
    <row r="850">
      <c r="B850" t="str">
        <f t="array" ref="B850">IFERROR(INDEX('Player Raw Data'!C:C,Match($A850,'Player Raw Data'!$B:$B,0)),"")</f>
        <v/>
      </c>
      <c r="C850" t="str">
        <f t="array" ref="C850">IFERROR(INDEX('Player Raw Data'!D:D,Match($A850,'Player Raw Data'!$B:$B,0)),"")</f>
        <v/>
      </c>
      <c r="D850" t="str">
        <f t="array" ref="D850">IFERROR(IF(A850=A849, INDEX('Player Raw Data'!E:E,Match($A850,'Player Raw Data'!$B:$B,0)+2),INDEX('Player Raw Data'!E:E,Match($A850,'Player Raw Data'!$B:$B,0))),"")</f>
        <v/>
      </c>
      <c r="E850" s="27" t="str">
        <f>IFERROR(__xludf.DUMMYFUNCTION("IFERROR(ARRAY_CONSTRAIN(SPLIT(INDEX('Daily Raw Data'!G:G,Match($A850,'Daily Raw Data'!$B:$B,0)),"":""),1,1),"""")"),"")</f>
        <v/>
      </c>
      <c r="F850" t="str">
        <f t="array" ref="F850">IFERROR(INDEX('Daily Raw Data'!H:H,Match($A850,'Daily Raw Data'!$B:$B,0)),"")</f>
        <v/>
      </c>
      <c r="G850" t="str">
        <f t="array" ref="G850">IFERROR(INDEX('Daily Raw Data'!I:I,Match($A850,'Daily Raw Data'!$B:$B,0)),"")</f>
        <v/>
      </c>
      <c r="H850" t="str">
        <f t="array" ref="H850">IFERROR(INDEX('Daily Raw Data'!N:N,Match($A850,'Daily Raw Data'!$B:$B,0)),"")</f>
        <v/>
      </c>
      <c r="I850" t="str">
        <f t="array" ref="I850">IFERROR(INDEX('Daily Raw Data'!O:O,Match($A850,'Daily Raw Data'!$B:$B,0)),"")</f>
        <v/>
      </c>
      <c r="J850" t="str">
        <f t="array" ref="J850">IFERROR(INDEX('Daily Raw Data'!S:S,Match($A850,'Daily Raw Data'!$B:$B,0)),"")</f>
        <v/>
      </c>
      <c r="K850" t="str">
        <f t="array" ref="K850">IFERROR(INDEX('Daily Raw Data'!T:T,Match($A850,'Daily Raw Data'!$B:$B,0)),"")</f>
        <v/>
      </c>
      <c r="L850" t="str">
        <f t="array" ref="L850">IFERROR(INDEX('Daily Raw Data'!U:U,Match($A850,'Daily Raw Data'!$B:$B,0)),"")</f>
        <v/>
      </c>
      <c r="M850" t="str">
        <f t="array" ref="M850">IFERROR(INDEX('Daily Raw Data'!V:V,Match($A850,'Daily Raw Data'!$B:$B,0)),"")</f>
        <v/>
      </c>
      <c r="N850" t="str">
        <f t="array" ref="N850">IFERROR(INDEX('Daily Raw Data'!W:W,Match($A850,'Daily Raw Data'!$B:$B,0)),"")</f>
        <v/>
      </c>
      <c r="O850" t="str">
        <f t="array" ref="O850">IFERROR(INDEX('Daily Raw Data'!Y:Y,Match($A850,'Daily Raw Data'!$B:$B,0)),"")</f>
        <v/>
      </c>
      <c r="P850" t="str">
        <f t="shared" si="1"/>
        <v/>
      </c>
      <c r="Q850" s="14" t="str">
        <f t="shared" si="2"/>
        <v/>
      </c>
      <c r="R850" s="15" t="str">
        <f>IFERROR(__xludf.DUMMYFUNCTION("IF($A850="""","""", IFERROR(PERCENTRANK.INC(FILTER(P:P,$E:$E&lt;&gt;""""),P850)*100,""""))"),"")</f>
        <v/>
      </c>
      <c r="S850" s="15" t="str">
        <f>IFERROR(__xludf.DUMMYFUNCTION("IF($A850="""","""",IFERROR(PERCENTRANK.INC(FILTER(Q:Q,$E:$E&lt;&gt;""""),Q850)*100,""""))"),"")</f>
        <v/>
      </c>
    </row>
    <row r="851">
      <c r="B851" t="str">
        <f t="array" ref="B851">IFERROR(INDEX('Player Raw Data'!C:C,Match($A851,'Player Raw Data'!$B:$B,0)),"")</f>
        <v/>
      </c>
      <c r="C851" t="str">
        <f t="array" ref="C851">IFERROR(INDEX('Player Raw Data'!D:D,Match($A851,'Player Raw Data'!$B:$B,0)),"")</f>
        <v/>
      </c>
      <c r="D851" t="str">
        <f t="array" ref="D851">IFERROR(IF(A851=A850, INDEX('Player Raw Data'!E:E,Match($A851,'Player Raw Data'!$B:$B,0)+2),INDEX('Player Raw Data'!E:E,Match($A851,'Player Raw Data'!$B:$B,0))),"")</f>
        <v/>
      </c>
      <c r="E851" s="27" t="str">
        <f>IFERROR(__xludf.DUMMYFUNCTION("IFERROR(ARRAY_CONSTRAIN(SPLIT(INDEX('Daily Raw Data'!G:G,Match($A851,'Daily Raw Data'!$B:$B,0)),"":""),1,1),"""")"),"")</f>
        <v/>
      </c>
      <c r="F851" t="str">
        <f t="array" ref="F851">IFERROR(INDEX('Daily Raw Data'!H:H,Match($A851,'Daily Raw Data'!$B:$B,0)),"")</f>
        <v/>
      </c>
      <c r="G851" t="str">
        <f t="array" ref="G851">IFERROR(INDEX('Daily Raw Data'!I:I,Match($A851,'Daily Raw Data'!$B:$B,0)),"")</f>
        <v/>
      </c>
      <c r="H851" t="str">
        <f t="array" ref="H851">IFERROR(INDEX('Daily Raw Data'!N:N,Match($A851,'Daily Raw Data'!$B:$B,0)),"")</f>
        <v/>
      </c>
      <c r="I851" t="str">
        <f t="array" ref="I851">IFERROR(INDEX('Daily Raw Data'!O:O,Match($A851,'Daily Raw Data'!$B:$B,0)),"")</f>
        <v/>
      </c>
      <c r="J851" t="str">
        <f t="array" ref="J851">IFERROR(INDEX('Daily Raw Data'!S:S,Match($A851,'Daily Raw Data'!$B:$B,0)),"")</f>
        <v/>
      </c>
      <c r="K851" t="str">
        <f t="array" ref="K851">IFERROR(INDEX('Daily Raw Data'!T:T,Match($A851,'Daily Raw Data'!$B:$B,0)),"")</f>
        <v/>
      </c>
      <c r="L851" t="str">
        <f t="array" ref="L851">IFERROR(INDEX('Daily Raw Data'!U:U,Match($A851,'Daily Raw Data'!$B:$B,0)),"")</f>
        <v/>
      </c>
      <c r="M851" t="str">
        <f t="array" ref="M851">IFERROR(INDEX('Daily Raw Data'!V:V,Match($A851,'Daily Raw Data'!$B:$B,0)),"")</f>
        <v/>
      </c>
      <c r="N851" t="str">
        <f t="array" ref="N851">IFERROR(INDEX('Daily Raw Data'!W:W,Match($A851,'Daily Raw Data'!$B:$B,0)),"")</f>
        <v/>
      </c>
      <c r="O851" t="str">
        <f t="array" ref="O851">IFERROR(INDEX('Daily Raw Data'!Y:Y,Match($A851,'Daily Raw Data'!$B:$B,0)),"")</f>
        <v/>
      </c>
      <c r="P851" t="str">
        <f t="shared" si="1"/>
        <v/>
      </c>
      <c r="Q851" s="14" t="str">
        <f t="shared" si="2"/>
        <v/>
      </c>
      <c r="R851" s="15" t="str">
        <f>IFERROR(__xludf.DUMMYFUNCTION("IF($A851="""","""", IFERROR(PERCENTRANK.INC(FILTER(P:P,$E:$E&lt;&gt;""""),P851)*100,""""))"),"")</f>
        <v/>
      </c>
      <c r="S851" s="15" t="str">
        <f>IFERROR(__xludf.DUMMYFUNCTION("IF($A851="""","""",IFERROR(PERCENTRANK.INC(FILTER(Q:Q,$E:$E&lt;&gt;""""),Q851)*100,""""))"),"")</f>
        <v/>
      </c>
    </row>
    <row r="852">
      <c r="B852" t="str">
        <f t="array" ref="B852">IFERROR(INDEX('Player Raw Data'!C:C,Match($A852,'Player Raw Data'!$B:$B,0)),"")</f>
        <v/>
      </c>
      <c r="C852" t="str">
        <f t="array" ref="C852">IFERROR(INDEX('Player Raw Data'!D:D,Match($A852,'Player Raw Data'!$B:$B,0)),"")</f>
        <v/>
      </c>
      <c r="D852" t="str">
        <f t="array" ref="D852">IFERROR(IF(A852=A851, INDEX('Player Raw Data'!E:E,Match($A852,'Player Raw Data'!$B:$B,0)+2),INDEX('Player Raw Data'!E:E,Match($A852,'Player Raw Data'!$B:$B,0))),"")</f>
        <v/>
      </c>
      <c r="E852" s="27" t="str">
        <f>IFERROR(__xludf.DUMMYFUNCTION("IFERROR(ARRAY_CONSTRAIN(SPLIT(INDEX('Daily Raw Data'!G:G,Match($A852,'Daily Raw Data'!$B:$B,0)),"":""),1,1),"""")"),"")</f>
        <v/>
      </c>
      <c r="F852" t="str">
        <f t="array" ref="F852">IFERROR(INDEX('Daily Raw Data'!H:H,Match($A852,'Daily Raw Data'!$B:$B,0)),"")</f>
        <v/>
      </c>
      <c r="G852" t="str">
        <f t="array" ref="G852">IFERROR(INDEX('Daily Raw Data'!I:I,Match($A852,'Daily Raw Data'!$B:$B,0)),"")</f>
        <v/>
      </c>
      <c r="H852" t="str">
        <f t="array" ref="H852">IFERROR(INDEX('Daily Raw Data'!N:N,Match($A852,'Daily Raw Data'!$B:$B,0)),"")</f>
        <v/>
      </c>
      <c r="I852" t="str">
        <f t="array" ref="I852">IFERROR(INDEX('Daily Raw Data'!O:O,Match($A852,'Daily Raw Data'!$B:$B,0)),"")</f>
        <v/>
      </c>
      <c r="J852" t="str">
        <f t="array" ref="J852">IFERROR(INDEX('Daily Raw Data'!S:S,Match($A852,'Daily Raw Data'!$B:$B,0)),"")</f>
        <v/>
      </c>
      <c r="K852" t="str">
        <f t="array" ref="K852">IFERROR(INDEX('Daily Raw Data'!T:T,Match($A852,'Daily Raw Data'!$B:$B,0)),"")</f>
        <v/>
      </c>
      <c r="L852" t="str">
        <f t="array" ref="L852">IFERROR(INDEX('Daily Raw Data'!U:U,Match($A852,'Daily Raw Data'!$B:$B,0)),"")</f>
        <v/>
      </c>
      <c r="M852" t="str">
        <f t="array" ref="M852">IFERROR(INDEX('Daily Raw Data'!V:V,Match($A852,'Daily Raw Data'!$B:$B,0)),"")</f>
        <v/>
      </c>
      <c r="N852" t="str">
        <f t="array" ref="N852">IFERROR(INDEX('Daily Raw Data'!W:W,Match($A852,'Daily Raw Data'!$B:$B,0)),"")</f>
        <v/>
      </c>
      <c r="O852" t="str">
        <f t="array" ref="O852">IFERROR(INDEX('Daily Raw Data'!Y:Y,Match($A852,'Daily Raw Data'!$B:$B,0)),"")</f>
        <v/>
      </c>
      <c r="P852" t="str">
        <f t="shared" si="1"/>
        <v/>
      </c>
      <c r="Q852" s="14" t="str">
        <f t="shared" si="2"/>
        <v/>
      </c>
      <c r="R852" s="15" t="str">
        <f>IFERROR(__xludf.DUMMYFUNCTION("IF($A852="""","""", IFERROR(PERCENTRANK.INC(FILTER(P:P,$E:$E&lt;&gt;""""),P852)*100,""""))"),"")</f>
        <v/>
      </c>
      <c r="S852" s="15" t="str">
        <f>IFERROR(__xludf.DUMMYFUNCTION("IF($A852="""","""",IFERROR(PERCENTRANK.INC(FILTER(Q:Q,$E:$E&lt;&gt;""""),Q852)*100,""""))"),"")</f>
        <v/>
      </c>
    </row>
    <row r="853">
      <c r="B853" t="str">
        <f t="array" ref="B853">IFERROR(INDEX('Player Raw Data'!C:C,Match($A853,'Player Raw Data'!$B:$B,0)),"")</f>
        <v/>
      </c>
      <c r="C853" t="str">
        <f t="array" ref="C853">IFERROR(INDEX('Player Raw Data'!D:D,Match($A853,'Player Raw Data'!$B:$B,0)),"")</f>
        <v/>
      </c>
      <c r="D853" t="str">
        <f t="array" ref="D853">IFERROR(IF(A853=A852, INDEX('Player Raw Data'!E:E,Match($A853,'Player Raw Data'!$B:$B,0)+2),INDEX('Player Raw Data'!E:E,Match($A853,'Player Raw Data'!$B:$B,0))),"")</f>
        <v/>
      </c>
      <c r="E853" s="27" t="str">
        <f>IFERROR(__xludf.DUMMYFUNCTION("IFERROR(ARRAY_CONSTRAIN(SPLIT(INDEX('Daily Raw Data'!G:G,Match($A853,'Daily Raw Data'!$B:$B,0)),"":""),1,1),"""")"),"")</f>
        <v/>
      </c>
      <c r="F853" t="str">
        <f t="array" ref="F853">IFERROR(INDEX('Daily Raw Data'!H:H,Match($A853,'Daily Raw Data'!$B:$B,0)),"")</f>
        <v/>
      </c>
      <c r="G853" t="str">
        <f t="array" ref="G853">IFERROR(INDEX('Daily Raw Data'!I:I,Match($A853,'Daily Raw Data'!$B:$B,0)),"")</f>
        <v/>
      </c>
      <c r="H853" t="str">
        <f t="array" ref="H853">IFERROR(INDEX('Daily Raw Data'!N:N,Match($A853,'Daily Raw Data'!$B:$B,0)),"")</f>
        <v/>
      </c>
      <c r="I853" t="str">
        <f t="array" ref="I853">IFERROR(INDEX('Daily Raw Data'!O:O,Match($A853,'Daily Raw Data'!$B:$B,0)),"")</f>
        <v/>
      </c>
      <c r="J853" t="str">
        <f t="array" ref="J853">IFERROR(INDEX('Daily Raw Data'!S:S,Match($A853,'Daily Raw Data'!$B:$B,0)),"")</f>
        <v/>
      </c>
      <c r="K853" t="str">
        <f t="array" ref="K853">IFERROR(INDEX('Daily Raw Data'!T:T,Match($A853,'Daily Raw Data'!$B:$B,0)),"")</f>
        <v/>
      </c>
      <c r="L853" t="str">
        <f t="array" ref="L853">IFERROR(INDEX('Daily Raw Data'!U:U,Match($A853,'Daily Raw Data'!$B:$B,0)),"")</f>
        <v/>
      </c>
      <c r="M853" t="str">
        <f t="array" ref="M853">IFERROR(INDEX('Daily Raw Data'!V:V,Match($A853,'Daily Raw Data'!$B:$B,0)),"")</f>
        <v/>
      </c>
      <c r="N853" t="str">
        <f t="array" ref="N853">IFERROR(INDEX('Daily Raw Data'!W:W,Match($A853,'Daily Raw Data'!$B:$B,0)),"")</f>
        <v/>
      </c>
      <c r="O853" t="str">
        <f t="array" ref="O853">IFERROR(INDEX('Daily Raw Data'!Y:Y,Match($A853,'Daily Raw Data'!$B:$B,0)),"")</f>
        <v/>
      </c>
      <c r="P853" t="str">
        <f t="shared" si="1"/>
        <v/>
      </c>
      <c r="Q853" s="14" t="str">
        <f t="shared" si="2"/>
        <v/>
      </c>
      <c r="R853" s="15" t="str">
        <f>IFERROR(__xludf.DUMMYFUNCTION("IF($A853="""","""", IFERROR(PERCENTRANK.INC(FILTER(P:P,$E:$E&lt;&gt;""""),P853)*100,""""))"),"")</f>
        <v/>
      </c>
      <c r="S853" s="15" t="str">
        <f>IFERROR(__xludf.DUMMYFUNCTION("IF($A853="""","""",IFERROR(PERCENTRANK.INC(FILTER(Q:Q,$E:$E&lt;&gt;""""),Q853)*100,""""))"),"")</f>
        <v/>
      </c>
    </row>
    <row r="854">
      <c r="B854" t="str">
        <f t="array" ref="B854">IFERROR(INDEX('Player Raw Data'!C:C,Match($A854,'Player Raw Data'!$B:$B,0)),"")</f>
        <v/>
      </c>
      <c r="C854" t="str">
        <f t="array" ref="C854">IFERROR(INDEX('Player Raw Data'!D:D,Match($A854,'Player Raw Data'!$B:$B,0)),"")</f>
        <v/>
      </c>
      <c r="D854" t="str">
        <f t="array" ref="D854">IFERROR(IF(A854=A853, INDEX('Player Raw Data'!E:E,Match($A854,'Player Raw Data'!$B:$B,0)+2),INDEX('Player Raw Data'!E:E,Match($A854,'Player Raw Data'!$B:$B,0))),"")</f>
        <v/>
      </c>
      <c r="E854" s="27" t="str">
        <f>IFERROR(__xludf.DUMMYFUNCTION("IFERROR(ARRAY_CONSTRAIN(SPLIT(INDEX('Daily Raw Data'!G:G,Match($A854,'Daily Raw Data'!$B:$B,0)),"":""),1,1),"""")"),"")</f>
        <v/>
      </c>
      <c r="F854" t="str">
        <f t="array" ref="F854">IFERROR(INDEX('Daily Raw Data'!H:H,Match($A854,'Daily Raw Data'!$B:$B,0)),"")</f>
        <v/>
      </c>
      <c r="G854" t="str">
        <f t="array" ref="G854">IFERROR(INDEX('Daily Raw Data'!I:I,Match($A854,'Daily Raw Data'!$B:$B,0)),"")</f>
        <v/>
      </c>
      <c r="H854" t="str">
        <f t="array" ref="H854">IFERROR(INDEX('Daily Raw Data'!N:N,Match($A854,'Daily Raw Data'!$B:$B,0)),"")</f>
        <v/>
      </c>
      <c r="I854" t="str">
        <f t="array" ref="I854">IFERROR(INDEX('Daily Raw Data'!O:O,Match($A854,'Daily Raw Data'!$B:$B,0)),"")</f>
        <v/>
      </c>
      <c r="J854" t="str">
        <f t="array" ref="J854">IFERROR(INDEX('Daily Raw Data'!S:S,Match($A854,'Daily Raw Data'!$B:$B,0)),"")</f>
        <v/>
      </c>
      <c r="K854" t="str">
        <f t="array" ref="K854">IFERROR(INDEX('Daily Raw Data'!T:T,Match($A854,'Daily Raw Data'!$B:$B,0)),"")</f>
        <v/>
      </c>
      <c r="L854" t="str">
        <f t="array" ref="L854">IFERROR(INDEX('Daily Raw Data'!U:U,Match($A854,'Daily Raw Data'!$B:$B,0)),"")</f>
        <v/>
      </c>
      <c r="M854" t="str">
        <f t="array" ref="M854">IFERROR(INDEX('Daily Raw Data'!V:V,Match($A854,'Daily Raw Data'!$B:$B,0)),"")</f>
        <v/>
      </c>
      <c r="N854" t="str">
        <f t="array" ref="N854">IFERROR(INDEX('Daily Raw Data'!W:W,Match($A854,'Daily Raw Data'!$B:$B,0)),"")</f>
        <v/>
      </c>
      <c r="O854" t="str">
        <f t="array" ref="O854">IFERROR(INDEX('Daily Raw Data'!Y:Y,Match($A854,'Daily Raw Data'!$B:$B,0)),"")</f>
        <v/>
      </c>
      <c r="P854" t="str">
        <f t="shared" si="1"/>
        <v/>
      </c>
      <c r="Q854" s="14" t="str">
        <f t="shared" si="2"/>
        <v/>
      </c>
      <c r="R854" s="15" t="str">
        <f>IFERROR(__xludf.DUMMYFUNCTION("IF($A854="""","""", IFERROR(PERCENTRANK.INC(FILTER(P:P,$E:$E&lt;&gt;""""),P854)*100,""""))"),"")</f>
        <v/>
      </c>
      <c r="S854" s="15" t="str">
        <f>IFERROR(__xludf.DUMMYFUNCTION("IF($A854="""","""",IFERROR(PERCENTRANK.INC(FILTER(Q:Q,$E:$E&lt;&gt;""""),Q854)*100,""""))"),"")</f>
        <v/>
      </c>
    </row>
    <row r="855">
      <c r="B855" t="str">
        <f t="array" ref="B855">IFERROR(INDEX('Player Raw Data'!C:C,Match($A855,'Player Raw Data'!$B:$B,0)),"")</f>
        <v/>
      </c>
      <c r="C855" t="str">
        <f t="array" ref="C855">IFERROR(INDEX('Player Raw Data'!D:D,Match($A855,'Player Raw Data'!$B:$B,0)),"")</f>
        <v/>
      </c>
      <c r="D855" t="str">
        <f t="array" ref="D855">IFERROR(IF(A855=A854, INDEX('Player Raw Data'!E:E,Match($A855,'Player Raw Data'!$B:$B,0)+2),INDEX('Player Raw Data'!E:E,Match($A855,'Player Raw Data'!$B:$B,0))),"")</f>
        <v/>
      </c>
      <c r="E855" s="27" t="str">
        <f>IFERROR(__xludf.DUMMYFUNCTION("IFERROR(ARRAY_CONSTRAIN(SPLIT(INDEX('Daily Raw Data'!G:G,Match($A855,'Daily Raw Data'!$B:$B,0)),"":""),1,1),"""")"),"")</f>
        <v/>
      </c>
      <c r="F855" t="str">
        <f t="array" ref="F855">IFERROR(INDEX('Daily Raw Data'!H:H,Match($A855,'Daily Raw Data'!$B:$B,0)),"")</f>
        <v/>
      </c>
      <c r="G855" t="str">
        <f t="array" ref="G855">IFERROR(INDEX('Daily Raw Data'!I:I,Match($A855,'Daily Raw Data'!$B:$B,0)),"")</f>
        <v/>
      </c>
      <c r="H855" t="str">
        <f t="array" ref="H855">IFERROR(INDEX('Daily Raw Data'!N:N,Match($A855,'Daily Raw Data'!$B:$B,0)),"")</f>
        <v/>
      </c>
      <c r="I855" t="str">
        <f t="array" ref="I855">IFERROR(INDEX('Daily Raw Data'!O:O,Match($A855,'Daily Raw Data'!$B:$B,0)),"")</f>
        <v/>
      </c>
      <c r="J855" t="str">
        <f t="array" ref="J855">IFERROR(INDEX('Daily Raw Data'!S:S,Match($A855,'Daily Raw Data'!$B:$B,0)),"")</f>
        <v/>
      </c>
      <c r="K855" t="str">
        <f t="array" ref="K855">IFERROR(INDEX('Daily Raw Data'!T:T,Match($A855,'Daily Raw Data'!$B:$B,0)),"")</f>
        <v/>
      </c>
      <c r="L855" t="str">
        <f t="array" ref="L855">IFERROR(INDEX('Daily Raw Data'!U:U,Match($A855,'Daily Raw Data'!$B:$B,0)),"")</f>
        <v/>
      </c>
      <c r="M855" t="str">
        <f t="array" ref="M855">IFERROR(INDEX('Daily Raw Data'!V:V,Match($A855,'Daily Raw Data'!$B:$B,0)),"")</f>
        <v/>
      </c>
      <c r="N855" t="str">
        <f t="array" ref="N855">IFERROR(INDEX('Daily Raw Data'!W:W,Match($A855,'Daily Raw Data'!$B:$B,0)),"")</f>
        <v/>
      </c>
      <c r="O855" t="str">
        <f t="array" ref="O855">IFERROR(INDEX('Daily Raw Data'!Y:Y,Match($A855,'Daily Raw Data'!$B:$B,0)),"")</f>
        <v/>
      </c>
      <c r="P855" t="str">
        <f t="shared" si="1"/>
        <v/>
      </c>
      <c r="Q855" s="14" t="str">
        <f t="shared" si="2"/>
        <v/>
      </c>
      <c r="R855" s="15" t="str">
        <f>IFERROR(__xludf.DUMMYFUNCTION("IF($A855="""","""", IFERROR(PERCENTRANK.INC(FILTER(P:P,$E:$E&lt;&gt;""""),P855)*100,""""))"),"")</f>
        <v/>
      </c>
      <c r="S855" s="15" t="str">
        <f>IFERROR(__xludf.DUMMYFUNCTION("IF($A855="""","""",IFERROR(PERCENTRANK.INC(FILTER(Q:Q,$E:$E&lt;&gt;""""),Q855)*100,""""))"),"")</f>
        <v/>
      </c>
    </row>
    <row r="856">
      <c r="B856" t="str">
        <f t="array" ref="B856">IFERROR(INDEX('Player Raw Data'!C:C,Match($A856,'Player Raw Data'!$B:$B,0)),"")</f>
        <v/>
      </c>
      <c r="C856" t="str">
        <f t="array" ref="C856">IFERROR(INDEX('Player Raw Data'!D:D,Match($A856,'Player Raw Data'!$B:$B,0)),"")</f>
        <v/>
      </c>
      <c r="D856" t="str">
        <f t="array" ref="D856">IFERROR(IF(A856=A855, INDEX('Player Raw Data'!E:E,Match($A856,'Player Raw Data'!$B:$B,0)+2),INDEX('Player Raw Data'!E:E,Match($A856,'Player Raw Data'!$B:$B,0))),"")</f>
        <v/>
      </c>
      <c r="E856" s="27" t="str">
        <f>IFERROR(__xludf.DUMMYFUNCTION("IFERROR(ARRAY_CONSTRAIN(SPLIT(INDEX('Daily Raw Data'!G:G,Match($A856,'Daily Raw Data'!$B:$B,0)),"":""),1,1),"""")"),"")</f>
        <v/>
      </c>
      <c r="F856" t="str">
        <f t="array" ref="F856">IFERROR(INDEX('Daily Raw Data'!H:H,Match($A856,'Daily Raw Data'!$B:$B,0)),"")</f>
        <v/>
      </c>
      <c r="G856" t="str">
        <f t="array" ref="G856">IFERROR(INDEX('Daily Raw Data'!I:I,Match($A856,'Daily Raw Data'!$B:$B,0)),"")</f>
        <v/>
      </c>
      <c r="H856" t="str">
        <f t="array" ref="H856">IFERROR(INDEX('Daily Raw Data'!N:N,Match($A856,'Daily Raw Data'!$B:$B,0)),"")</f>
        <v/>
      </c>
      <c r="I856" t="str">
        <f t="array" ref="I856">IFERROR(INDEX('Daily Raw Data'!O:O,Match($A856,'Daily Raw Data'!$B:$B,0)),"")</f>
        <v/>
      </c>
      <c r="J856" t="str">
        <f t="array" ref="J856">IFERROR(INDEX('Daily Raw Data'!S:S,Match($A856,'Daily Raw Data'!$B:$B,0)),"")</f>
        <v/>
      </c>
      <c r="K856" t="str">
        <f t="array" ref="K856">IFERROR(INDEX('Daily Raw Data'!T:T,Match($A856,'Daily Raw Data'!$B:$B,0)),"")</f>
        <v/>
      </c>
      <c r="L856" t="str">
        <f t="array" ref="L856">IFERROR(INDEX('Daily Raw Data'!U:U,Match($A856,'Daily Raw Data'!$B:$B,0)),"")</f>
        <v/>
      </c>
      <c r="M856" t="str">
        <f t="array" ref="M856">IFERROR(INDEX('Daily Raw Data'!V:V,Match($A856,'Daily Raw Data'!$B:$B,0)),"")</f>
        <v/>
      </c>
      <c r="N856" t="str">
        <f t="array" ref="N856">IFERROR(INDEX('Daily Raw Data'!W:W,Match($A856,'Daily Raw Data'!$B:$B,0)),"")</f>
        <v/>
      </c>
      <c r="O856" t="str">
        <f t="array" ref="O856">IFERROR(INDEX('Daily Raw Data'!Y:Y,Match($A856,'Daily Raw Data'!$B:$B,0)),"")</f>
        <v/>
      </c>
      <c r="P856" t="str">
        <f t="shared" si="1"/>
        <v/>
      </c>
      <c r="Q856" s="14" t="str">
        <f t="shared" si="2"/>
        <v/>
      </c>
      <c r="R856" s="15" t="str">
        <f>IFERROR(__xludf.DUMMYFUNCTION("IF($A856="""","""", IFERROR(PERCENTRANK.INC(FILTER(P:P,$E:$E&lt;&gt;""""),P856)*100,""""))"),"")</f>
        <v/>
      </c>
      <c r="S856" s="15" t="str">
        <f>IFERROR(__xludf.DUMMYFUNCTION("IF($A856="""","""",IFERROR(PERCENTRANK.INC(FILTER(Q:Q,$E:$E&lt;&gt;""""),Q856)*100,""""))"),"")</f>
        <v/>
      </c>
    </row>
    <row r="857">
      <c r="B857" t="str">
        <f t="array" ref="B857">IFERROR(INDEX('Player Raw Data'!C:C,Match($A857,'Player Raw Data'!$B:$B,0)),"")</f>
        <v/>
      </c>
      <c r="C857" t="str">
        <f t="array" ref="C857">IFERROR(INDEX('Player Raw Data'!D:D,Match($A857,'Player Raw Data'!$B:$B,0)),"")</f>
        <v/>
      </c>
      <c r="D857" t="str">
        <f t="array" ref="D857">IFERROR(IF(A857=A856, INDEX('Player Raw Data'!E:E,Match($A857,'Player Raw Data'!$B:$B,0)+2),INDEX('Player Raw Data'!E:E,Match($A857,'Player Raw Data'!$B:$B,0))),"")</f>
        <v/>
      </c>
      <c r="E857" s="27" t="str">
        <f>IFERROR(__xludf.DUMMYFUNCTION("IFERROR(ARRAY_CONSTRAIN(SPLIT(INDEX('Daily Raw Data'!G:G,Match($A857,'Daily Raw Data'!$B:$B,0)),"":""),1,1),"""")"),"")</f>
        <v/>
      </c>
      <c r="F857" t="str">
        <f t="array" ref="F857">IFERROR(INDEX('Daily Raw Data'!H:H,Match($A857,'Daily Raw Data'!$B:$B,0)),"")</f>
        <v/>
      </c>
      <c r="G857" t="str">
        <f t="array" ref="G857">IFERROR(INDEX('Daily Raw Data'!I:I,Match($A857,'Daily Raw Data'!$B:$B,0)),"")</f>
        <v/>
      </c>
      <c r="H857" t="str">
        <f t="array" ref="H857">IFERROR(INDEX('Daily Raw Data'!N:N,Match($A857,'Daily Raw Data'!$B:$B,0)),"")</f>
        <v/>
      </c>
      <c r="I857" t="str">
        <f t="array" ref="I857">IFERROR(INDEX('Daily Raw Data'!O:O,Match($A857,'Daily Raw Data'!$B:$B,0)),"")</f>
        <v/>
      </c>
      <c r="J857" t="str">
        <f t="array" ref="J857">IFERROR(INDEX('Daily Raw Data'!S:S,Match($A857,'Daily Raw Data'!$B:$B,0)),"")</f>
        <v/>
      </c>
      <c r="K857" t="str">
        <f t="array" ref="K857">IFERROR(INDEX('Daily Raw Data'!T:T,Match($A857,'Daily Raw Data'!$B:$B,0)),"")</f>
        <v/>
      </c>
      <c r="L857" t="str">
        <f t="array" ref="L857">IFERROR(INDEX('Daily Raw Data'!U:U,Match($A857,'Daily Raw Data'!$B:$B,0)),"")</f>
        <v/>
      </c>
      <c r="M857" t="str">
        <f t="array" ref="M857">IFERROR(INDEX('Daily Raw Data'!V:V,Match($A857,'Daily Raw Data'!$B:$B,0)),"")</f>
        <v/>
      </c>
      <c r="N857" t="str">
        <f t="array" ref="N857">IFERROR(INDEX('Daily Raw Data'!W:W,Match($A857,'Daily Raw Data'!$B:$B,0)),"")</f>
        <v/>
      </c>
      <c r="O857" t="str">
        <f t="array" ref="O857">IFERROR(INDEX('Daily Raw Data'!Y:Y,Match($A857,'Daily Raw Data'!$B:$B,0)),"")</f>
        <v/>
      </c>
      <c r="P857" t="str">
        <f t="shared" si="1"/>
        <v/>
      </c>
      <c r="Q857" s="14" t="str">
        <f t="shared" si="2"/>
        <v/>
      </c>
      <c r="R857" s="15" t="str">
        <f>IFERROR(__xludf.DUMMYFUNCTION("IF($A857="""","""", IFERROR(PERCENTRANK.INC(FILTER(P:P,$E:$E&lt;&gt;""""),P857)*100,""""))"),"")</f>
        <v/>
      </c>
      <c r="S857" s="15" t="str">
        <f>IFERROR(__xludf.DUMMYFUNCTION("IF($A857="""","""",IFERROR(PERCENTRANK.INC(FILTER(Q:Q,$E:$E&lt;&gt;""""),Q857)*100,""""))"),"")</f>
        <v/>
      </c>
    </row>
    <row r="858">
      <c r="B858" t="str">
        <f t="array" ref="B858">IFERROR(INDEX('Player Raw Data'!C:C,Match($A858,'Player Raw Data'!$B:$B,0)),"")</f>
        <v/>
      </c>
      <c r="C858" t="str">
        <f t="array" ref="C858">IFERROR(INDEX('Player Raw Data'!D:D,Match($A858,'Player Raw Data'!$B:$B,0)),"")</f>
        <v/>
      </c>
      <c r="D858" t="str">
        <f t="array" ref="D858">IFERROR(IF(A858=A857, INDEX('Player Raw Data'!E:E,Match($A858,'Player Raw Data'!$B:$B,0)+2),INDEX('Player Raw Data'!E:E,Match($A858,'Player Raw Data'!$B:$B,0))),"")</f>
        <v/>
      </c>
      <c r="E858" s="27" t="str">
        <f>IFERROR(__xludf.DUMMYFUNCTION("IFERROR(ARRAY_CONSTRAIN(SPLIT(INDEX('Daily Raw Data'!G:G,Match($A858,'Daily Raw Data'!$B:$B,0)),"":""),1,1),"""")"),"")</f>
        <v/>
      </c>
      <c r="F858" t="str">
        <f t="array" ref="F858">IFERROR(INDEX('Daily Raw Data'!H:H,Match($A858,'Daily Raw Data'!$B:$B,0)),"")</f>
        <v/>
      </c>
      <c r="G858" t="str">
        <f t="array" ref="G858">IFERROR(INDEX('Daily Raw Data'!I:I,Match($A858,'Daily Raw Data'!$B:$B,0)),"")</f>
        <v/>
      </c>
      <c r="H858" t="str">
        <f t="array" ref="H858">IFERROR(INDEX('Daily Raw Data'!N:N,Match($A858,'Daily Raw Data'!$B:$B,0)),"")</f>
        <v/>
      </c>
      <c r="I858" t="str">
        <f t="array" ref="I858">IFERROR(INDEX('Daily Raw Data'!O:O,Match($A858,'Daily Raw Data'!$B:$B,0)),"")</f>
        <v/>
      </c>
      <c r="J858" t="str">
        <f t="array" ref="J858">IFERROR(INDEX('Daily Raw Data'!S:S,Match($A858,'Daily Raw Data'!$B:$B,0)),"")</f>
        <v/>
      </c>
      <c r="K858" t="str">
        <f t="array" ref="K858">IFERROR(INDEX('Daily Raw Data'!T:T,Match($A858,'Daily Raw Data'!$B:$B,0)),"")</f>
        <v/>
      </c>
      <c r="L858" t="str">
        <f t="array" ref="L858">IFERROR(INDEX('Daily Raw Data'!U:U,Match($A858,'Daily Raw Data'!$B:$B,0)),"")</f>
        <v/>
      </c>
      <c r="M858" t="str">
        <f t="array" ref="M858">IFERROR(INDEX('Daily Raw Data'!V:V,Match($A858,'Daily Raw Data'!$B:$B,0)),"")</f>
        <v/>
      </c>
      <c r="N858" t="str">
        <f t="array" ref="N858">IFERROR(INDEX('Daily Raw Data'!W:W,Match($A858,'Daily Raw Data'!$B:$B,0)),"")</f>
        <v/>
      </c>
      <c r="O858" t="str">
        <f t="array" ref="O858">IFERROR(INDEX('Daily Raw Data'!Y:Y,Match($A858,'Daily Raw Data'!$B:$B,0)),"")</f>
        <v/>
      </c>
      <c r="P858" t="str">
        <f t="shared" si="1"/>
        <v/>
      </c>
      <c r="Q858" s="14" t="str">
        <f t="shared" si="2"/>
        <v/>
      </c>
      <c r="R858" s="15" t="str">
        <f>IFERROR(__xludf.DUMMYFUNCTION("IF($A858="""","""", IFERROR(PERCENTRANK.INC(FILTER(P:P,$E:$E&lt;&gt;""""),P858)*100,""""))"),"")</f>
        <v/>
      </c>
      <c r="S858" s="15" t="str">
        <f>IFERROR(__xludf.DUMMYFUNCTION("IF($A858="""","""",IFERROR(PERCENTRANK.INC(FILTER(Q:Q,$E:$E&lt;&gt;""""),Q858)*100,""""))"),"")</f>
        <v/>
      </c>
    </row>
    <row r="859">
      <c r="B859" t="str">
        <f t="array" ref="B859">IFERROR(INDEX('Player Raw Data'!C:C,Match($A859,'Player Raw Data'!$B:$B,0)),"")</f>
        <v/>
      </c>
      <c r="C859" t="str">
        <f t="array" ref="C859">IFERROR(INDEX('Player Raw Data'!D:D,Match($A859,'Player Raw Data'!$B:$B,0)),"")</f>
        <v/>
      </c>
      <c r="D859" t="str">
        <f t="array" ref="D859">IFERROR(IF(A859=A858, INDEX('Player Raw Data'!E:E,Match($A859,'Player Raw Data'!$B:$B,0)+2),INDEX('Player Raw Data'!E:E,Match($A859,'Player Raw Data'!$B:$B,0))),"")</f>
        <v/>
      </c>
      <c r="E859" s="27" t="str">
        <f>IFERROR(__xludf.DUMMYFUNCTION("IFERROR(ARRAY_CONSTRAIN(SPLIT(INDEX('Daily Raw Data'!G:G,Match($A859,'Daily Raw Data'!$B:$B,0)),"":""),1,1),"""")"),"")</f>
        <v/>
      </c>
      <c r="F859" t="str">
        <f t="array" ref="F859">IFERROR(INDEX('Daily Raw Data'!H:H,Match($A859,'Daily Raw Data'!$B:$B,0)),"")</f>
        <v/>
      </c>
      <c r="G859" t="str">
        <f t="array" ref="G859">IFERROR(INDEX('Daily Raw Data'!I:I,Match($A859,'Daily Raw Data'!$B:$B,0)),"")</f>
        <v/>
      </c>
      <c r="H859" t="str">
        <f t="array" ref="H859">IFERROR(INDEX('Daily Raw Data'!N:N,Match($A859,'Daily Raw Data'!$B:$B,0)),"")</f>
        <v/>
      </c>
      <c r="I859" t="str">
        <f t="array" ref="I859">IFERROR(INDEX('Daily Raw Data'!O:O,Match($A859,'Daily Raw Data'!$B:$B,0)),"")</f>
        <v/>
      </c>
      <c r="J859" t="str">
        <f t="array" ref="J859">IFERROR(INDEX('Daily Raw Data'!S:S,Match($A859,'Daily Raw Data'!$B:$B,0)),"")</f>
        <v/>
      </c>
      <c r="K859" t="str">
        <f t="array" ref="K859">IFERROR(INDEX('Daily Raw Data'!T:T,Match($A859,'Daily Raw Data'!$B:$B,0)),"")</f>
        <v/>
      </c>
      <c r="L859" t="str">
        <f t="array" ref="L859">IFERROR(INDEX('Daily Raw Data'!U:U,Match($A859,'Daily Raw Data'!$B:$B,0)),"")</f>
        <v/>
      </c>
      <c r="M859" t="str">
        <f t="array" ref="M859">IFERROR(INDEX('Daily Raw Data'!V:V,Match($A859,'Daily Raw Data'!$B:$B,0)),"")</f>
        <v/>
      </c>
      <c r="N859" t="str">
        <f t="array" ref="N859">IFERROR(INDEX('Daily Raw Data'!W:W,Match($A859,'Daily Raw Data'!$B:$B,0)),"")</f>
        <v/>
      </c>
      <c r="O859" t="str">
        <f t="array" ref="O859">IFERROR(INDEX('Daily Raw Data'!Y:Y,Match($A859,'Daily Raw Data'!$B:$B,0)),"")</f>
        <v/>
      </c>
      <c r="P859" t="str">
        <f t="shared" si="1"/>
        <v/>
      </c>
      <c r="Q859" s="14" t="str">
        <f t="shared" si="2"/>
        <v/>
      </c>
      <c r="R859" s="15" t="str">
        <f>IFERROR(__xludf.DUMMYFUNCTION("IF($A859="""","""", IFERROR(PERCENTRANK.INC(FILTER(P:P,$E:$E&lt;&gt;""""),P859)*100,""""))"),"")</f>
        <v/>
      </c>
      <c r="S859" s="15" t="str">
        <f>IFERROR(__xludf.DUMMYFUNCTION("IF($A859="""","""",IFERROR(PERCENTRANK.INC(FILTER(Q:Q,$E:$E&lt;&gt;""""),Q859)*100,""""))"),"")</f>
        <v/>
      </c>
    </row>
    <row r="860">
      <c r="B860" t="str">
        <f t="array" ref="B860">IFERROR(INDEX('Player Raw Data'!C:C,Match($A860,'Player Raw Data'!$B:$B,0)),"")</f>
        <v/>
      </c>
      <c r="C860" t="str">
        <f t="array" ref="C860">IFERROR(INDEX('Player Raw Data'!D:D,Match($A860,'Player Raw Data'!$B:$B,0)),"")</f>
        <v/>
      </c>
      <c r="D860" t="str">
        <f t="array" ref="D860">IFERROR(IF(A860=A859, INDEX('Player Raw Data'!E:E,Match($A860,'Player Raw Data'!$B:$B,0)+2),INDEX('Player Raw Data'!E:E,Match($A860,'Player Raw Data'!$B:$B,0))),"")</f>
        <v/>
      </c>
      <c r="E860" s="27" t="str">
        <f>IFERROR(__xludf.DUMMYFUNCTION("IFERROR(ARRAY_CONSTRAIN(SPLIT(INDEX('Daily Raw Data'!G:G,Match($A860,'Daily Raw Data'!$B:$B,0)),"":""),1,1),"""")"),"")</f>
        <v/>
      </c>
      <c r="F860" t="str">
        <f t="array" ref="F860">IFERROR(INDEX('Daily Raw Data'!H:H,Match($A860,'Daily Raw Data'!$B:$B,0)),"")</f>
        <v/>
      </c>
      <c r="G860" t="str">
        <f t="array" ref="G860">IFERROR(INDEX('Daily Raw Data'!I:I,Match($A860,'Daily Raw Data'!$B:$B,0)),"")</f>
        <v/>
      </c>
      <c r="H860" t="str">
        <f t="array" ref="H860">IFERROR(INDEX('Daily Raw Data'!N:N,Match($A860,'Daily Raw Data'!$B:$B,0)),"")</f>
        <v/>
      </c>
      <c r="I860" t="str">
        <f t="array" ref="I860">IFERROR(INDEX('Daily Raw Data'!O:O,Match($A860,'Daily Raw Data'!$B:$B,0)),"")</f>
        <v/>
      </c>
      <c r="J860" t="str">
        <f t="array" ref="J860">IFERROR(INDEX('Daily Raw Data'!S:S,Match($A860,'Daily Raw Data'!$B:$B,0)),"")</f>
        <v/>
      </c>
      <c r="K860" t="str">
        <f t="array" ref="K860">IFERROR(INDEX('Daily Raw Data'!T:T,Match($A860,'Daily Raw Data'!$B:$B,0)),"")</f>
        <v/>
      </c>
      <c r="L860" t="str">
        <f t="array" ref="L860">IFERROR(INDEX('Daily Raw Data'!U:U,Match($A860,'Daily Raw Data'!$B:$B,0)),"")</f>
        <v/>
      </c>
      <c r="M860" t="str">
        <f t="array" ref="M860">IFERROR(INDEX('Daily Raw Data'!V:V,Match($A860,'Daily Raw Data'!$B:$B,0)),"")</f>
        <v/>
      </c>
      <c r="N860" t="str">
        <f t="array" ref="N860">IFERROR(INDEX('Daily Raw Data'!W:W,Match($A860,'Daily Raw Data'!$B:$B,0)),"")</f>
        <v/>
      </c>
      <c r="O860" t="str">
        <f t="array" ref="O860">IFERROR(INDEX('Daily Raw Data'!Y:Y,Match($A860,'Daily Raw Data'!$B:$B,0)),"")</f>
        <v/>
      </c>
      <c r="P860" t="str">
        <f t="shared" si="1"/>
        <v/>
      </c>
      <c r="Q860" s="14" t="str">
        <f t="shared" si="2"/>
        <v/>
      </c>
      <c r="R860" s="15" t="str">
        <f>IFERROR(__xludf.DUMMYFUNCTION("IF($A860="""","""", IFERROR(PERCENTRANK.INC(FILTER(P:P,$E:$E&lt;&gt;""""),P860)*100,""""))"),"")</f>
        <v/>
      </c>
      <c r="S860" s="15" t="str">
        <f>IFERROR(__xludf.DUMMYFUNCTION("IF($A860="""","""",IFERROR(PERCENTRANK.INC(FILTER(Q:Q,$E:$E&lt;&gt;""""),Q860)*100,""""))"),"")</f>
        <v/>
      </c>
    </row>
    <row r="861">
      <c r="B861" t="str">
        <f t="array" ref="B861">IFERROR(INDEX('Player Raw Data'!C:C,Match($A861,'Player Raw Data'!$B:$B,0)),"")</f>
        <v/>
      </c>
      <c r="C861" t="str">
        <f t="array" ref="C861">IFERROR(INDEX('Player Raw Data'!D:D,Match($A861,'Player Raw Data'!$B:$B,0)),"")</f>
        <v/>
      </c>
      <c r="D861" t="str">
        <f t="array" ref="D861">IFERROR(IF(A861=A860, INDEX('Player Raw Data'!E:E,Match($A861,'Player Raw Data'!$B:$B,0)+2),INDEX('Player Raw Data'!E:E,Match($A861,'Player Raw Data'!$B:$B,0))),"")</f>
        <v/>
      </c>
      <c r="E861" s="27" t="str">
        <f>IFERROR(__xludf.DUMMYFUNCTION("IFERROR(ARRAY_CONSTRAIN(SPLIT(INDEX('Daily Raw Data'!G:G,Match($A861,'Daily Raw Data'!$B:$B,0)),"":""),1,1),"""")"),"")</f>
        <v/>
      </c>
      <c r="F861" t="str">
        <f t="array" ref="F861">IFERROR(INDEX('Daily Raw Data'!H:H,Match($A861,'Daily Raw Data'!$B:$B,0)),"")</f>
        <v/>
      </c>
      <c r="G861" t="str">
        <f t="array" ref="G861">IFERROR(INDEX('Daily Raw Data'!I:I,Match($A861,'Daily Raw Data'!$B:$B,0)),"")</f>
        <v/>
      </c>
      <c r="H861" t="str">
        <f t="array" ref="H861">IFERROR(INDEX('Daily Raw Data'!N:N,Match($A861,'Daily Raw Data'!$B:$B,0)),"")</f>
        <v/>
      </c>
      <c r="I861" t="str">
        <f t="array" ref="I861">IFERROR(INDEX('Daily Raw Data'!O:O,Match($A861,'Daily Raw Data'!$B:$B,0)),"")</f>
        <v/>
      </c>
      <c r="J861" t="str">
        <f t="array" ref="J861">IFERROR(INDEX('Daily Raw Data'!S:S,Match($A861,'Daily Raw Data'!$B:$B,0)),"")</f>
        <v/>
      </c>
      <c r="K861" t="str">
        <f t="array" ref="K861">IFERROR(INDEX('Daily Raw Data'!T:T,Match($A861,'Daily Raw Data'!$B:$B,0)),"")</f>
        <v/>
      </c>
      <c r="L861" t="str">
        <f t="array" ref="L861">IFERROR(INDEX('Daily Raw Data'!U:U,Match($A861,'Daily Raw Data'!$B:$B,0)),"")</f>
        <v/>
      </c>
      <c r="M861" t="str">
        <f t="array" ref="M861">IFERROR(INDEX('Daily Raw Data'!V:V,Match($A861,'Daily Raw Data'!$B:$B,0)),"")</f>
        <v/>
      </c>
      <c r="N861" t="str">
        <f t="array" ref="N861">IFERROR(INDEX('Daily Raw Data'!W:W,Match($A861,'Daily Raw Data'!$B:$B,0)),"")</f>
        <v/>
      </c>
      <c r="O861" t="str">
        <f t="array" ref="O861">IFERROR(INDEX('Daily Raw Data'!Y:Y,Match($A861,'Daily Raw Data'!$B:$B,0)),"")</f>
        <v/>
      </c>
      <c r="P861" t="str">
        <f t="shared" si="1"/>
        <v/>
      </c>
      <c r="Q861" s="14" t="str">
        <f t="shared" si="2"/>
        <v/>
      </c>
      <c r="R861" s="15" t="str">
        <f>IFERROR(__xludf.DUMMYFUNCTION("IF($A861="""","""", IFERROR(PERCENTRANK.INC(FILTER(P:P,$E:$E&lt;&gt;""""),P861)*100,""""))"),"")</f>
        <v/>
      </c>
      <c r="S861" s="15" t="str">
        <f>IFERROR(__xludf.DUMMYFUNCTION("IF($A861="""","""",IFERROR(PERCENTRANK.INC(FILTER(Q:Q,$E:$E&lt;&gt;""""),Q861)*100,""""))"),"")</f>
        <v/>
      </c>
    </row>
    <row r="862">
      <c r="B862" t="str">
        <f t="array" ref="B862">IFERROR(INDEX('Player Raw Data'!C:C,Match($A862,'Player Raw Data'!$B:$B,0)),"")</f>
        <v/>
      </c>
      <c r="C862" t="str">
        <f t="array" ref="C862">IFERROR(INDEX('Player Raw Data'!D:D,Match($A862,'Player Raw Data'!$B:$B,0)),"")</f>
        <v/>
      </c>
      <c r="D862" t="str">
        <f t="array" ref="D862">IFERROR(IF(A862=A861, INDEX('Player Raw Data'!E:E,Match($A862,'Player Raw Data'!$B:$B,0)+2),INDEX('Player Raw Data'!E:E,Match($A862,'Player Raw Data'!$B:$B,0))),"")</f>
        <v/>
      </c>
      <c r="E862" s="27" t="str">
        <f>IFERROR(__xludf.DUMMYFUNCTION("IFERROR(ARRAY_CONSTRAIN(SPLIT(INDEX('Daily Raw Data'!G:G,Match($A862,'Daily Raw Data'!$B:$B,0)),"":""),1,1),"""")"),"")</f>
        <v/>
      </c>
      <c r="F862" t="str">
        <f t="array" ref="F862">IFERROR(INDEX('Daily Raw Data'!H:H,Match($A862,'Daily Raw Data'!$B:$B,0)),"")</f>
        <v/>
      </c>
      <c r="G862" t="str">
        <f t="array" ref="G862">IFERROR(INDEX('Daily Raw Data'!I:I,Match($A862,'Daily Raw Data'!$B:$B,0)),"")</f>
        <v/>
      </c>
      <c r="H862" t="str">
        <f t="array" ref="H862">IFERROR(INDEX('Daily Raw Data'!N:N,Match($A862,'Daily Raw Data'!$B:$B,0)),"")</f>
        <v/>
      </c>
      <c r="I862" t="str">
        <f t="array" ref="I862">IFERROR(INDEX('Daily Raw Data'!O:O,Match($A862,'Daily Raw Data'!$B:$B,0)),"")</f>
        <v/>
      </c>
      <c r="J862" t="str">
        <f t="array" ref="J862">IFERROR(INDEX('Daily Raw Data'!S:S,Match($A862,'Daily Raw Data'!$B:$B,0)),"")</f>
        <v/>
      </c>
      <c r="K862" t="str">
        <f t="array" ref="K862">IFERROR(INDEX('Daily Raw Data'!T:T,Match($A862,'Daily Raw Data'!$B:$B,0)),"")</f>
        <v/>
      </c>
      <c r="L862" t="str">
        <f t="array" ref="L862">IFERROR(INDEX('Daily Raw Data'!U:U,Match($A862,'Daily Raw Data'!$B:$B,0)),"")</f>
        <v/>
      </c>
      <c r="M862" t="str">
        <f t="array" ref="M862">IFERROR(INDEX('Daily Raw Data'!V:V,Match($A862,'Daily Raw Data'!$B:$B,0)),"")</f>
        <v/>
      </c>
      <c r="N862" t="str">
        <f t="array" ref="N862">IFERROR(INDEX('Daily Raw Data'!W:W,Match($A862,'Daily Raw Data'!$B:$B,0)),"")</f>
        <v/>
      </c>
      <c r="O862" t="str">
        <f t="array" ref="O862">IFERROR(INDEX('Daily Raw Data'!Y:Y,Match($A862,'Daily Raw Data'!$B:$B,0)),"")</f>
        <v/>
      </c>
      <c r="P862" t="str">
        <f t="shared" si="1"/>
        <v/>
      </c>
      <c r="Q862" s="14" t="str">
        <f t="shared" si="2"/>
        <v/>
      </c>
      <c r="R862" s="15" t="str">
        <f>IFERROR(__xludf.DUMMYFUNCTION("IF($A862="""","""", IFERROR(PERCENTRANK.INC(FILTER(P:P,$E:$E&lt;&gt;""""),P862)*100,""""))"),"")</f>
        <v/>
      </c>
      <c r="S862" s="15" t="str">
        <f>IFERROR(__xludf.DUMMYFUNCTION("IF($A862="""","""",IFERROR(PERCENTRANK.INC(FILTER(Q:Q,$E:$E&lt;&gt;""""),Q862)*100,""""))"),"")</f>
        <v/>
      </c>
    </row>
    <row r="863">
      <c r="B863" t="str">
        <f t="array" ref="B863">IFERROR(INDEX('Player Raw Data'!C:C,Match($A863,'Player Raw Data'!$B:$B,0)),"")</f>
        <v/>
      </c>
      <c r="C863" t="str">
        <f t="array" ref="C863">IFERROR(INDEX('Player Raw Data'!D:D,Match($A863,'Player Raw Data'!$B:$B,0)),"")</f>
        <v/>
      </c>
      <c r="D863" t="str">
        <f t="array" ref="D863">IFERROR(IF(A863=A862, INDEX('Player Raw Data'!E:E,Match($A863,'Player Raw Data'!$B:$B,0)+2),INDEX('Player Raw Data'!E:E,Match($A863,'Player Raw Data'!$B:$B,0))),"")</f>
        <v/>
      </c>
      <c r="E863" s="27" t="str">
        <f>IFERROR(__xludf.DUMMYFUNCTION("IFERROR(ARRAY_CONSTRAIN(SPLIT(INDEX('Daily Raw Data'!G:G,Match($A863,'Daily Raw Data'!$B:$B,0)),"":""),1,1),"""")"),"")</f>
        <v/>
      </c>
      <c r="F863" t="str">
        <f t="array" ref="F863">IFERROR(INDEX('Daily Raw Data'!H:H,Match($A863,'Daily Raw Data'!$B:$B,0)),"")</f>
        <v/>
      </c>
      <c r="G863" t="str">
        <f t="array" ref="G863">IFERROR(INDEX('Daily Raw Data'!I:I,Match($A863,'Daily Raw Data'!$B:$B,0)),"")</f>
        <v/>
      </c>
      <c r="H863" t="str">
        <f t="array" ref="H863">IFERROR(INDEX('Daily Raw Data'!N:N,Match($A863,'Daily Raw Data'!$B:$B,0)),"")</f>
        <v/>
      </c>
      <c r="I863" t="str">
        <f t="array" ref="I863">IFERROR(INDEX('Daily Raw Data'!O:O,Match($A863,'Daily Raw Data'!$B:$B,0)),"")</f>
        <v/>
      </c>
      <c r="J863" t="str">
        <f t="array" ref="J863">IFERROR(INDEX('Daily Raw Data'!S:S,Match($A863,'Daily Raw Data'!$B:$B,0)),"")</f>
        <v/>
      </c>
      <c r="K863" t="str">
        <f t="array" ref="K863">IFERROR(INDEX('Daily Raw Data'!T:T,Match($A863,'Daily Raw Data'!$B:$B,0)),"")</f>
        <v/>
      </c>
      <c r="L863" t="str">
        <f t="array" ref="L863">IFERROR(INDEX('Daily Raw Data'!U:U,Match($A863,'Daily Raw Data'!$B:$B,0)),"")</f>
        <v/>
      </c>
      <c r="M863" t="str">
        <f t="array" ref="M863">IFERROR(INDEX('Daily Raw Data'!V:V,Match($A863,'Daily Raw Data'!$B:$B,0)),"")</f>
        <v/>
      </c>
      <c r="N863" t="str">
        <f t="array" ref="N863">IFERROR(INDEX('Daily Raw Data'!W:W,Match($A863,'Daily Raw Data'!$B:$B,0)),"")</f>
        <v/>
      </c>
      <c r="O863" t="str">
        <f t="array" ref="O863">IFERROR(INDEX('Daily Raw Data'!Y:Y,Match($A863,'Daily Raw Data'!$B:$B,0)),"")</f>
        <v/>
      </c>
      <c r="P863" t="str">
        <f t="shared" si="1"/>
        <v/>
      </c>
      <c r="Q863" s="14" t="str">
        <f t="shared" si="2"/>
        <v/>
      </c>
      <c r="R863" s="15" t="str">
        <f>IFERROR(__xludf.DUMMYFUNCTION("IF($A863="""","""", IFERROR(PERCENTRANK.INC(FILTER(P:P,$E:$E&lt;&gt;""""),P863)*100,""""))"),"")</f>
        <v/>
      </c>
      <c r="S863" s="15" t="str">
        <f>IFERROR(__xludf.DUMMYFUNCTION("IF($A863="""","""",IFERROR(PERCENTRANK.INC(FILTER(Q:Q,$E:$E&lt;&gt;""""),Q863)*100,""""))"),"")</f>
        <v/>
      </c>
    </row>
    <row r="864">
      <c r="B864" t="str">
        <f t="array" ref="B864">IFERROR(INDEX('Player Raw Data'!C:C,Match($A864,'Player Raw Data'!$B:$B,0)),"")</f>
        <v/>
      </c>
      <c r="C864" t="str">
        <f t="array" ref="C864">IFERROR(INDEX('Player Raw Data'!D:D,Match($A864,'Player Raw Data'!$B:$B,0)),"")</f>
        <v/>
      </c>
      <c r="D864" t="str">
        <f t="array" ref="D864">IFERROR(IF(A864=A863, INDEX('Player Raw Data'!E:E,Match($A864,'Player Raw Data'!$B:$B,0)+2),INDEX('Player Raw Data'!E:E,Match($A864,'Player Raw Data'!$B:$B,0))),"")</f>
        <v/>
      </c>
      <c r="E864" s="27" t="str">
        <f>IFERROR(__xludf.DUMMYFUNCTION("IFERROR(ARRAY_CONSTRAIN(SPLIT(INDEX('Daily Raw Data'!G:G,Match($A864,'Daily Raw Data'!$B:$B,0)),"":""),1,1),"""")"),"")</f>
        <v/>
      </c>
      <c r="F864" t="str">
        <f t="array" ref="F864">IFERROR(INDEX('Daily Raw Data'!H:H,Match($A864,'Daily Raw Data'!$B:$B,0)),"")</f>
        <v/>
      </c>
      <c r="G864" t="str">
        <f t="array" ref="G864">IFERROR(INDEX('Daily Raw Data'!I:I,Match($A864,'Daily Raw Data'!$B:$B,0)),"")</f>
        <v/>
      </c>
      <c r="H864" t="str">
        <f t="array" ref="H864">IFERROR(INDEX('Daily Raw Data'!N:N,Match($A864,'Daily Raw Data'!$B:$B,0)),"")</f>
        <v/>
      </c>
      <c r="I864" t="str">
        <f t="array" ref="I864">IFERROR(INDEX('Daily Raw Data'!O:O,Match($A864,'Daily Raw Data'!$B:$B,0)),"")</f>
        <v/>
      </c>
      <c r="J864" t="str">
        <f t="array" ref="J864">IFERROR(INDEX('Daily Raw Data'!S:S,Match($A864,'Daily Raw Data'!$B:$B,0)),"")</f>
        <v/>
      </c>
      <c r="K864" t="str">
        <f t="array" ref="K864">IFERROR(INDEX('Daily Raw Data'!T:T,Match($A864,'Daily Raw Data'!$B:$B,0)),"")</f>
        <v/>
      </c>
      <c r="L864" t="str">
        <f t="array" ref="L864">IFERROR(INDEX('Daily Raw Data'!U:U,Match($A864,'Daily Raw Data'!$B:$B,0)),"")</f>
        <v/>
      </c>
      <c r="M864" t="str">
        <f t="array" ref="M864">IFERROR(INDEX('Daily Raw Data'!V:V,Match($A864,'Daily Raw Data'!$B:$B,0)),"")</f>
        <v/>
      </c>
      <c r="N864" t="str">
        <f t="array" ref="N864">IFERROR(INDEX('Daily Raw Data'!W:W,Match($A864,'Daily Raw Data'!$B:$B,0)),"")</f>
        <v/>
      </c>
      <c r="O864" t="str">
        <f t="array" ref="O864">IFERROR(INDEX('Daily Raw Data'!Y:Y,Match($A864,'Daily Raw Data'!$B:$B,0)),"")</f>
        <v/>
      </c>
      <c r="P864" t="str">
        <f t="shared" si="1"/>
        <v/>
      </c>
      <c r="Q864" s="14" t="str">
        <f t="shared" si="2"/>
        <v/>
      </c>
      <c r="R864" s="15" t="str">
        <f>IFERROR(__xludf.DUMMYFUNCTION("IF($A864="""","""", IFERROR(PERCENTRANK.INC(FILTER(P:P,$E:$E&lt;&gt;""""),P864)*100,""""))"),"")</f>
        <v/>
      </c>
      <c r="S864" s="15" t="str">
        <f>IFERROR(__xludf.DUMMYFUNCTION("IF($A864="""","""",IFERROR(PERCENTRANK.INC(FILTER(Q:Q,$E:$E&lt;&gt;""""),Q864)*100,""""))"),"")</f>
        <v/>
      </c>
    </row>
    <row r="865">
      <c r="B865" t="str">
        <f t="array" ref="B865">IFERROR(INDEX('Player Raw Data'!C:C,Match($A865,'Player Raw Data'!$B:$B,0)),"")</f>
        <v/>
      </c>
      <c r="C865" t="str">
        <f t="array" ref="C865">IFERROR(INDEX('Player Raw Data'!D:D,Match($A865,'Player Raw Data'!$B:$B,0)),"")</f>
        <v/>
      </c>
      <c r="D865" t="str">
        <f t="array" ref="D865">IFERROR(IF(A865=A864, INDEX('Player Raw Data'!E:E,Match($A865,'Player Raw Data'!$B:$B,0)+2),INDEX('Player Raw Data'!E:E,Match($A865,'Player Raw Data'!$B:$B,0))),"")</f>
        <v/>
      </c>
      <c r="E865" s="27" t="str">
        <f>IFERROR(__xludf.DUMMYFUNCTION("IFERROR(ARRAY_CONSTRAIN(SPLIT(INDEX('Daily Raw Data'!G:G,Match($A865,'Daily Raw Data'!$B:$B,0)),"":""),1,1),"""")"),"")</f>
        <v/>
      </c>
      <c r="F865" t="str">
        <f t="array" ref="F865">IFERROR(INDEX('Daily Raw Data'!H:H,Match($A865,'Daily Raw Data'!$B:$B,0)),"")</f>
        <v/>
      </c>
      <c r="G865" t="str">
        <f t="array" ref="G865">IFERROR(INDEX('Daily Raw Data'!I:I,Match($A865,'Daily Raw Data'!$B:$B,0)),"")</f>
        <v/>
      </c>
      <c r="H865" t="str">
        <f t="array" ref="H865">IFERROR(INDEX('Daily Raw Data'!N:N,Match($A865,'Daily Raw Data'!$B:$B,0)),"")</f>
        <v/>
      </c>
      <c r="I865" t="str">
        <f t="array" ref="I865">IFERROR(INDEX('Daily Raw Data'!O:O,Match($A865,'Daily Raw Data'!$B:$B,0)),"")</f>
        <v/>
      </c>
      <c r="J865" t="str">
        <f t="array" ref="J865">IFERROR(INDEX('Daily Raw Data'!S:S,Match($A865,'Daily Raw Data'!$B:$B,0)),"")</f>
        <v/>
      </c>
      <c r="K865" t="str">
        <f t="array" ref="K865">IFERROR(INDEX('Daily Raw Data'!T:T,Match($A865,'Daily Raw Data'!$B:$B,0)),"")</f>
        <v/>
      </c>
      <c r="L865" t="str">
        <f t="array" ref="L865">IFERROR(INDEX('Daily Raw Data'!U:U,Match($A865,'Daily Raw Data'!$B:$B,0)),"")</f>
        <v/>
      </c>
      <c r="M865" t="str">
        <f t="array" ref="M865">IFERROR(INDEX('Daily Raw Data'!V:V,Match($A865,'Daily Raw Data'!$B:$B,0)),"")</f>
        <v/>
      </c>
      <c r="N865" t="str">
        <f t="array" ref="N865">IFERROR(INDEX('Daily Raw Data'!W:W,Match($A865,'Daily Raw Data'!$B:$B,0)),"")</f>
        <v/>
      </c>
      <c r="O865" t="str">
        <f t="array" ref="O865">IFERROR(INDEX('Daily Raw Data'!Y:Y,Match($A865,'Daily Raw Data'!$B:$B,0)),"")</f>
        <v/>
      </c>
      <c r="P865" t="str">
        <f t="shared" si="1"/>
        <v/>
      </c>
      <c r="Q865" s="14" t="str">
        <f t="shared" si="2"/>
        <v/>
      </c>
      <c r="R865" s="15" t="str">
        <f>IFERROR(__xludf.DUMMYFUNCTION("IF($A865="""","""", IFERROR(PERCENTRANK.INC(FILTER(P:P,$E:$E&lt;&gt;""""),P865)*100,""""))"),"")</f>
        <v/>
      </c>
      <c r="S865" s="15" t="str">
        <f>IFERROR(__xludf.DUMMYFUNCTION("IF($A865="""","""",IFERROR(PERCENTRANK.INC(FILTER(Q:Q,$E:$E&lt;&gt;""""),Q865)*100,""""))"),"")</f>
        <v/>
      </c>
    </row>
    <row r="866">
      <c r="B866" t="str">
        <f t="array" ref="B866">IFERROR(INDEX('Player Raw Data'!C:C,Match($A866,'Player Raw Data'!$B:$B,0)),"")</f>
        <v/>
      </c>
      <c r="C866" t="str">
        <f t="array" ref="C866">IFERROR(INDEX('Player Raw Data'!D:D,Match($A866,'Player Raw Data'!$B:$B,0)),"")</f>
        <v/>
      </c>
      <c r="D866" t="str">
        <f t="array" ref="D866">IFERROR(IF(A866=A865, INDEX('Player Raw Data'!E:E,Match($A866,'Player Raw Data'!$B:$B,0)+2),INDEX('Player Raw Data'!E:E,Match($A866,'Player Raw Data'!$B:$B,0))),"")</f>
        <v/>
      </c>
      <c r="E866" s="27" t="str">
        <f>IFERROR(__xludf.DUMMYFUNCTION("IFERROR(ARRAY_CONSTRAIN(SPLIT(INDEX('Daily Raw Data'!G:G,Match($A866,'Daily Raw Data'!$B:$B,0)),"":""),1,1),"""")"),"")</f>
        <v/>
      </c>
      <c r="F866" t="str">
        <f t="array" ref="F866">IFERROR(INDEX('Daily Raw Data'!H:H,Match($A866,'Daily Raw Data'!$B:$B,0)),"")</f>
        <v/>
      </c>
      <c r="G866" t="str">
        <f t="array" ref="G866">IFERROR(INDEX('Daily Raw Data'!I:I,Match($A866,'Daily Raw Data'!$B:$B,0)),"")</f>
        <v/>
      </c>
      <c r="H866" t="str">
        <f t="array" ref="H866">IFERROR(INDEX('Daily Raw Data'!N:N,Match($A866,'Daily Raw Data'!$B:$B,0)),"")</f>
        <v/>
      </c>
      <c r="I866" t="str">
        <f t="array" ref="I866">IFERROR(INDEX('Daily Raw Data'!O:O,Match($A866,'Daily Raw Data'!$B:$B,0)),"")</f>
        <v/>
      </c>
      <c r="J866" t="str">
        <f t="array" ref="J866">IFERROR(INDEX('Daily Raw Data'!S:S,Match($A866,'Daily Raw Data'!$B:$B,0)),"")</f>
        <v/>
      </c>
      <c r="K866" t="str">
        <f t="array" ref="K866">IFERROR(INDEX('Daily Raw Data'!T:T,Match($A866,'Daily Raw Data'!$B:$B,0)),"")</f>
        <v/>
      </c>
      <c r="L866" t="str">
        <f t="array" ref="L866">IFERROR(INDEX('Daily Raw Data'!U:U,Match($A866,'Daily Raw Data'!$B:$B,0)),"")</f>
        <v/>
      </c>
      <c r="M866" t="str">
        <f t="array" ref="M866">IFERROR(INDEX('Daily Raw Data'!V:V,Match($A866,'Daily Raw Data'!$B:$B,0)),"")</f>
        <v/>
      </c>
      <c r="N866" t="str">
        <f t="array" ref="N866">IFERROR(INDEX('Daily Raw Data'!W:W,Match($A866,'Daily Raw Data'!$B:$B,0)),"")</f>
        <v/>
      </c>
      <c r="O866" t="str">
        <f t="array" ref="O866">IFERROR(INDEX('Daily Raw Data'!Y:Y,Match($A866,'Daily Raw Data'!$B:$B,0)),"")</f>
        <v/>
      </c>
      <c r="P866" t="str">
        <f t="shared" si="1"/>
        <v/>
      </c>
      <c r="Q866" s="14" t="str">
        <f t="shared" si="2"/>
        <v/>
      </c>
      <c r="R866" s="15" t="str">
        <f>IFERROR(__xludf.DUMMYFUNCTION("IF($A866="""","""", IFERROR(PERCENTRANK.INC(FILTER(P:P,$E:$E&lt;&gt;""""),P866)*100,""""))"),"")</f>
        <v/>
      </c>
      <c r="S866" s="15" t="str">
        <f>IFERROR(__xludf.DUMMYFUNCTION("IF($A866="""","""",IFERROR(PERCENTRANK.INC(FILTER(Q:Q,$E:$E&lt;&gt;""""),Q866)*100,""""))"),"")</f>
        <v/>
      </c>
    </row>
    <row r="867">
      <c r="B867" t="str">
        <f t="array" ref="B867">IFERROR(INDEX('Player Raw Data'!C:C,Match($A867,'Player Raw Data'!$B:$B,0)),"")</f>
        <v/>
      </c>
      <c r="C867" t="str">
        <f t="array" ref="C867">IFERROR(INDEX('Player Raw Data'!D:D,Match($A867,'Player Raw Data'!$B:$B,0)),"")</f>
        <v/>
      </c>
      <c r="D867" t="str">
        <f t="array" ref="D867">IFERROR(IF(A867=A866, INDEX('Player Raw Data'!E:E,Match($A867,'Player Raw Data'!$B:$B,0)+2),INDEX('Player Raw Data'!E:E,Match($A867,'Player Raw Data'!$B:$B,0))),"")</f>
        <v/>
      </c>
      <c r="E867" s="27" t="str">
        <f>IFERROR(__xludf.DUMMYFUNCTION("IFERROR(ARRAY_CONSTRAIN(SPLIT(INDEX('Daily Raw Data'!G:G,Match($A867,'Daily Raw Data'!$B:$B,0)),"":""),1,1),"""")"),"")</f>
        <v/>
      </c>
      <c r="F867" t="str">
        <f t="array" ref="F867">IFERROR(INDEX('Daily Raw Data'!H:H,Match($A867,'Daily Raw Data'!$B:$B,0)),"")</f>
        <v/>
      </c>
      <c r="G867" t="str">
        <f t="array" ref="G867">IFERROR(INDEX('Daily Raw Data'!I:I,Match($A867,'Daily Raw Data'!$B:$B,0)),"")</f>
        <v/>
      </c>
      <c r="H867" t="str">
        <f t="array" ref="H867">IFERROR(INDEX('Daily Raw Data'!N:N,Match($A867,'Daily Raw Data'!$B:$B,0)),"")</f>
        <v/>
      </c>
      <c r="I867" t="str">
        <f t="array" ref="I867">IFERROR(INDEX('Daily Raw Data'!O:O,Match($A867,'Daily Raw Data'!$B:$B,0)),"")</f>
        <v/>
      </c>
      <c r="J867" t="str">
        <f t="array" ref="J867">IFERROR(INDEX('Daily Raw Data'!S:S,Match($A867,'Daily Raw Data'!$B:$B,0)),"")</f>
        <v/>
      </c>
      <c r="K867" t="str">
        <f t="array" ref="K867">IFERROR(INDEX('Daily Raw Data'!T:T,Match($A867,'Daily Raw Data'!$B:$B,0)),"")</f>
        <v/>
      </c>
      <c r="L867" t="str">
        <f t="array" ref="L867">IFERROR(INDEX('Daily Raw Data'!U:U,Match($A867,'Daily Raw Data'!$B:$B,0)),"")</f>
        <v/>
      </c>
      <c r="M867" t="str">
        <f t="array" ref="M867">IFERROR(INDEX('Daily Raw Data'!V:V,Match($A867,'Daily Raw Data'!$B:$B,0)),"")</f>
        <v/>
      </c>
      <c r="N867" t="str">
        <f t="array" ref="N867">IFERROR(INDEX('Daily Raw Data'!W:W,Match($A867,'Daily Raw Data'!$B:$B,0)),"")</f>
        <v/>
      </c>
      <c r="O867" t="str">
        <f t="array" ref="O867">IFERROR(INDEX('Daily Raw Data'!Y:Y,Match($A867,'Daily Raw Data'!$B:$B,0)),"")</f>
        <v/>
      </c>
      <c r="P867" t="str">
        <f t="shared" si="1"/>
        <v/>
      </c>
      <c r="Q867" s="14" t="str">
        <f t="shared" si="2"/>
        <v/>
      </c>
      <c r="R867" s="15" t="str">
        <f>IFERROR(__xludf.DUMMYFUNCTION("IF($A867="""","""", IFERROR(PERCENTRANK.INC(FILTER(P:P,$E:$E&lt;&gt;""""),P867)*100,""""))"),"")</f>
        <v/>
      </c>
      <c r="S867" s="15" t="str">
        <f>IFERROR(__xludf.DUMMYFUNCTION("IF($A867="""","""",IFERROR(PERCENTRANK.INC(FILTER(Q:Q,$E:$E&lt;&gt;""""),Q867)*100,""""))"),"")</f>
        <v/>
      </c>
    </row>
    <row r="868">
      <c r="B868" t="str">
        <f t="array" ref="B868">IFERROR(INDEX('Player Raw Data'!C:C,Match($A868,'Player Raw Data'!$B:$B,0)),"")</f>
        <v/>
      </c>
      <c r="C868" t="str">
        <f t="array" ref="C868">IFERROR(INDEX('Player Raw Data'!D:D,Match($A868,'Player Raw Data'!$B:$B,0)),"")</f>
        <v/>
      </c>
      <c r="D868" t="str">
        <f t="array" ref="D868">IFERROR(IF(A868=A867, INDEX('Player Raw Data'!E:E,Match($A868,'Player Raw Data'!$B:$B,0)+2),INDEX('Player Raw Data'!E:E,Match($A868,'Player Raw Data'!$B:$B,0))),"")</f>
        <v/>
      </c>
      <c r="E868" s="27" t="str">
        <f>IFERROR(__xludf.DUMMYFUNCTION("IFERROR(ARRAY_CONSTRAIN(SPLIT(INDEX('Daily Raw Data'!G:G,Match($A868,'Daily Raw Data'!$B:$B,0)),"":""),1,1),"""")"),"")</f>
        <v/>
      </c>
      <c r="F868" t="str">
        <f t="array" ref="F868">IFERROR(INDEX('Daily Raw Data'!H:H,Match($A868,'Daily Raw Data'!$B:$B,0)),"")</f>
        <v/>
      </c>
      <c r="G868" t="str">
        <f t="array" ref="G868">IFERROR(INDEX('Daily Raw Data'!I:I,Match($A868,'Daily Raw Data'!$B:$B,0)),"")</f>
        <v/>
      </c>
      <c r="H868" t="str">
        <f t="array" ref="H868">IFERROR(INDEX('Daily Raw Data'!N:N,Match($A868,'Daily Raw Data'!$B:$B,0)),"")</f>
        <v/>
      </c>
      <c r="I868" t="str">
        <f t="array" ref="I868">IFERROR(INDEX('Daily Raw Data'!O:O,Match($A868,'Daily Raw Data'!$B:$B,0)),"")</f>
        <v/>
      </c>
      <c r="J868" t="str">
        <f t="array" ref="J868">IFERROR(INDEX('Daily Raw Data'!S:S,Match($A868,'Daily Raw Data'!$B:$B,0)),"")</f>
        <v/>
      </c>
      <c r="K868" t="str">
        <f t="array" ref="K868">IFERROR(INDEX('Daily Raw Data'!T:T,Match($A868,'Daily Raw Data'!$B:$B,0)),"")</f>
        <v/>
      </c>
      <c r="L868" t="str">
        <f t="array" ref="L868">IFERROR(INDEX('Daily Raw Data'!U:U,Match($A868,'Daily Raw Data'!$B:$B,0)),"")</f>
        <v/>
      </c>
      <c r="M868" t="str">
        <f t="array" ref="M868">IFERROR(INDEX('Daily Raw Data'!V:V,Match($A868,'Daily Raw Data'!$B:$B,0)),"")</f>
        <v/>
      </c>
      <c r="N868" t="str">
        <f t="array" ref="N868">IFERROR(INDEX('Daily Raw Data'!W:W,Match($A868,'Daily Raw Data'!$B:$B,0)),"")</f>
        <v/>
      </c>
      <c r="O868" t="str">
        <f t="array" ref="O868">IFERROR(INDEX('Daily Raw Data'!Y:Y,Match($A868,'Daily Raw Data'!$B:$B,0)),"")</f>
        <v/>
      </c>
      <c r="P868" t="str">
        <f t="shared" si="1"/>
        <v/>
      </c>
      <c r="Q868" s="14" t="str">
        <f t="shared" si="2"/>
        <v/>
      </c>
      <c r="R868" s="15" t="str">
        <f>IFERROR(__xludf.DUMMYFUNCTION("IF($A868="""","""", IFERROR(PERCENTRANK.INC(FILTER(P:P,$E:$E&lt;&gt;""""),P868)*100,""""))"),"")</f>
        <v/>
      </c>
      <c r="S868" s="15" t="str">
        <f>IFERROR(__xludf.DUMMYFUNCTION("IF($A868="""","""",IFERROR(PERCENTRANK.INC(FILTER(Q:Q,$E:$E&lt;&gt;""""),Q868)*100,""""))"),"")</f>
        <v/>
      </c>
    </row>
    <row r="869">
      <c r="B869" t="str">
        <f t="array" ref="B869">IFERROR(INDEX('Player Raw Data'!C:C,Match($A869,'Player Raw Data'!$B:$B,0)),"")</f>
        <v/>
      </c>
      <c r="C869" t="str">
        <f t="array" ref="C869">IFERROR(INDEX('Player Raw Data'!D:D,Match($A869,'Player Raw Data'!$B:$B,0)),"")</f>
        <v/>
      </c>
      <c r="D869" t="str">
        <f t="array" ref="D869">IFERROR(IF(A869=A868, INDEX('Player Raw Data'!E:E,Match($A869,'Player Raw Data'!$B:$B,0)+2),INDEX('Player Raw Data'!E:E,Match($A869,'Player Raw Data'!$B:$B,0))),"")</f>
        <v/>
      </c>
      <c r="E869" s="27" t="str">
        <f>IFERROR(__xludf.DUMMYFUNCTION("IFERROR(ARRAY_CONSTRAIN(SPLIT(INDEX('Daily Raw Data'!G:G,Match($A869,'Daily Raw Data'!$B:$B,0)),"":""),1,1),"""")"),"")</f>
        <v/>
      </c>
      <c r="F869" t="str">
        <f t="array" ref="F869">IFERROR(INDEX('Daily Raw Data'!H:H,Match($A869,'Daily Raw Data'!$B:$B,0)),"")</f>
        <v/>
      </c>
      <c r="G869" t="str">
        <f t="array" ref="G869">IFERROR(INDEX('Daily Raw Data'!I:I,Match($A869,'Daily Raw Data'!$B:$B,0)),"")</f>
        <v/>
      </c>
      <c r="H869" t="str">
        <f t="array" ref="H869">IFERROR(INDEX('Daily Raw Data'!N:N,Match($A869,'Daily Raw Data'!$B:$B,0)),"")</f>
        <v/>
      </c>
      <c r="I869" t="str">
        <f t="array" ref="I869">IFERROR(INDEX('Daily Raw Data'!O:O,Match($A869,'Daily Raw Data'!$B:$B,0)),"")</f>
        <v/>
      </c>
      <c r="J869" t="str">
        <f t="array" ref="J869">IFERROR(INDEX('Daily Raw Data'!S:S,Match($A869,'Daily Raw Data'!$B:$B,0)),"")</f>
        <v/>
      </c>
      <c r="K869" t="str">
        <f t="array" ref="K869">IFERROR(INDEX('Daily Raw Data'!T:T,Match($A869,'Daily Raw Data'!$B:$B,0)),"")</f>
        <v/>
      </c>
      <c r="L869" t="str">
        <f t="array" ref="L869">IFERROR(INDEX('Daily Raw Data'!U:U,Match($A869,'Daily Raw Data'!$B:$B,0)),"")</f>
        <v/>
      </c>
      <c r="M869" t="str">
        <f t="array" ref="M869">IFERROR(INDEX('Daily Raw Data'!V:V,Match($A869,'Daily Raw Data'!$B:$B,0)),"")</f>
        <v/>
      </c>
      <c r="N869" t="str">
        <f t="array" ref="N869">IFERROR(INDEX('Daily Raw Data'!W:W,Match($A869,'Daily Raw Data'!$B:$B,0)),"")</f>
        <v/>
      </c>
      <c r="O869" t="str">
        <f t="array" ref="O869">IFERROR(INDEX('Daily Raw Data'!Y:Y,Match($A869,'Daily Raw Data'!$B:$B,0)),"")</f>
        <v/>
      </c>
      <c r="P869" t="str">
        <f t="shared" si="1"/>
        <v/>
      </c>
      <c r="Q869" s="14" t="str">
        <f t="shared" si="2"/>
        <v/>
      </c>
      <c r="R869" s="15" t="str">
        <f>IFERROR(__xludf.DUMMYFUNCTION("IF($A869="""","""", IFERROR(PERCENTRANK.INC(FILTER(P:P,$E:$E&lt;&gt;""""),P869)*100,""""))"),"")</f>
        <v/>
      </c>
      <c r="S869" s="15" t="str">
        <f>IFERROR(__xludf.DUMMYFUNCTION("IF($A869="""","""",IFERROR(PERCENTRANK.INC(FILTER(Q:Q,$E:$E&lt;&gt;""""),Q869)*100,""""))"),"")</f>
        <v/>
      </c>
    </row>
    <row r="870">
      <c r="B870" t="str">
        <f t="array" ref="B870">IFERROR(INDEX('Player Raw Data'!C:C,Match($A870,'Player Raw Data'!$B:$B,0)),"")</f>
        <v/>
      </c>
      <c r="C870" t="str">
        <f t="array" ref="C870">IFERROR(INDEX('Player Raw Data'!D:D,Match($A870,'Player Raw Data'!$B:$B,0)),"")</f>
        <v/>
      </c>
      <c r="D870" t="str">
        <f t="array" ref="D870">IFERROR(IF(A870=A869, INDEX('Player Raw Data'!E:E,Match($A870,'Player Raw Data'!$B:$B,0)+2),INDEX('Player Raw Data'!E:E,Match($A870,'Player Raw Data'!$B:$B,0))),"")</f>
        <v/>
      </c>
      <c r="E870" s="27" t="str">
        <f>IFERROR(__xludf.DUMMYFUNCTION("IFERROR(ARRAY_CONSTRAIN(SPLIT(INDEX('Daily Raw Data'!G:G,Match($A870,'Daily Raw Data'!$B:$B,0)),"":""),1,1),"""")"),"")</f>
        <v/>
      </c>
      <c r="F870" t="str">
        <f t="array" ref="F870">IFERROR(INDEX('Daily Raw Data'!H:H,Match($A870,'Daily Raw Data'!$B:$B,0)),"")</f>
        <v/>
      </c>
      <c r="G870" t="str">
        <f t="array" ref="G870">IFERROR(INDEX('Daily Raw Data'!I:I,Match($A870,'Daily Raw Data'!$B:$B,0)),"")</f>
        <v/>
      </c>
      <c r="H870" t="str">
        <f t="array" ref="H870">IFERROR(INDEX('Daily Raw Data'!N:N,Match($A870,'Daily Raw Data'!$B:$B,0)),"")</f>
        <v/>
      </c>
      <c r="I870" t="str">
        <f t="array" ref="I870">IFERROR(INDEX('Daily Raw Data'!O:O,Match($A870,'Daily Raw Data'!$B:$B,0)),"")</f>
        <v/>
      </c>
      <c r="J870" t="str">
        <f t="array" ref="J870">IFERROR(INDEX('Daily Raw Data'!S:S,Match($A870,'Daily Raw Data'!$B:$B,0)),"")</f>
        <v/>
      </c>
      <c r="K870" t="str">
        <f t="array" ref="K870">IFERROR(INDEX('Daily Raw Data'!T:T,Match($A870,'Daily Raw Data'!$B:$B,0)),"")</f>
        <v/>
      </c>
      <c r="L870" t="str">
        <f t="array" ref="L870">IFERROR(INDEX('Daily Raw Data'!U:U,Match($A870,'Daily Raw Data'!$B:$B,0)),"")</f>
        <v/>
      </c>
      <c r="M870" t="str">
        <f t="array" ref="M870">IFERROR(INDEX('Daily Raw Data'!V:V,Match($A870,'Daily Raw Data'!$B:$B,0)),"")</f>
        <v/>
      </c>
      <c r="N870" t="str">
        <f t="array" ref="N870">IFERROR(INDEX('Daily Raw Data'!W:W,Match($A870,'Daily Raw Data'!$B:$B,0)),"")</f>
        <v/>
      </c>
      <c r="O870" t="str">
        <f t="array" ref="O870">IFERROR(INDEX('Daily Raw Data'!Y:Y,Match($A870,'Daily Raw Data'!$B:$B,0)),"")</f>
        <v/>
      </c>
      <c r="P870" t="str">
        <f t="shared" si="1"/>
        <v/>
      </c>
      <c r="Q870" s="14" t="str">
        <f t="shared" si="2"/>
        <v/>
      </c>
      <c r="R870" s="15" t="str">
        <f>IFERROR(__xludf.DUMMYFUNCTION("IF($A870="""","""", IFERROR(PERCENTRANK.INC(FILTER(P:P,$E:$E&lt;&gt;""""),P870)*100,""""))"),"")</f>
        <v/>
      </c>
      <c r="S870" s="15" t="str">
        <f>IFERROR(__xludf.DUMMYFUNCTION("IF($A870="""","""",IFERROR(PERCENTRANK.INC(FILTER(Q:Q,$E:$E&lt;&gt;""""),Q870)*100,""""))"),"")</f>
        <v/>
      </c>
    </row>
    <row r="871">
      <c r="B871" t="str">
        <f t="array" ref="B871">IFERROR(INDEX('Player Raw Data'!C:C,Match($A871,'Player Raw Data'!$B:$B,0)),"")</f>
        <v/>
      </c>
      <c r="C871" t="str">
        <f t="array" ref="C871">IFERROR(INDEX('Player Raw Data'!D:D,Match($A871,'Player Raw Data'!$B:$B,0)),"")</f>
        <v/>
      </c>
      <c r="D871" t="str">
        <f t="array" ref="D871">IFERROR(IF(A871=A870, INDEX('Player Raw Data'!E:E,Match($A871,'Player Raw Data'!$B:$B,0)+2),INDEX('Player Raw Data'!E:E,Match($A871,'Player Raw Data'!$B:$B,0))),"")</f>
        <v/>
      </c>
      <c r="E871" s="27" t="str">
        <f>IFERROR(__xludf.DUMMYFUNCTION("IFERROR(ARRAY_CONSTRAIN(SPLIT(INDEX('Daily Raw Data'!G:G,Match($A871,'Daily Raw Data'!$B:$B,0)),"":""),1,1),"""")"),"")</f>
        <v/>
      </c>
      <c r="F871" t="str">
        <f t="array" ref="F871">IFERROR(INDEX('Daily Raw Data'!H:H,Match($A871,'Daily Raw Data'!$B:$B,0)),"")</f>
        <v/>
      </c>
      <c r="G871" t="str">
        <f t="array" ref="G871">IFERROR(INDEX('Daily Raw Data'!I:I,Match($A871,'Daily Raw Data'!$B:$B,0)),"")</f>
        <v/>
      </c>
      <c r="H871" t="str">
        <f t="array" ref="H871">IFERROR(INDEX('Daily Raw Data'!N:N,Match($A871,'Daily Raw Data'!$B:$B,0)),"")</f>
        <v/>
      </c>
      <c r="I871" t="str">
        <f t="array" ref="I871">IFERROR(INDEX('Daily Raw Data'!O:O,Match($A871,'Daily Raw Data'!$B:$B,0)),"")</f>
        <v/>
      </c>
      <c r="J871" t="str">
        <f t="array" ref="J871">IFERROR(INDEX('Daily Raw Data'!S:S,Match($A871,'Daily Raw Data'!$B:$B,0)),"")</f>
        <v/>
      </c>
      <c r="K871" t="str">
        <f t="array" ref="K871">IFERROR(INDEX('Daily Raw Data'!T:T,Match($A871,'Daily Raw Data'!$B:$B,0)),"")</f>
        <v/>
      </c>
      <c r="L871" t="str">
        <f t="array" ref="L871">IFERROR(INDEX('Daily Raw Data'!U:U,Match($A871,'Daily Raw Data'!$B:$B,0)),"")</f>
        <v/>
      </c>
      <c r="M871" t="str">
        <f t="array" ref="M871">IFERROR(INDEX('Daily Raw Data'!V:V,Match($A871,'Daily Raw Data'!$B:$B,0)),"")</f>
        <v/>
      </c>
      <c r="N871" t="str">
        <f t="array" ref="N871">IFERROR(INDEX('Daily Raw Data'!W:W,Match($A871,'Daily Raw Data'!$B:$B,0)),"")</f>
        <v/>
      </c>
      <c r="O871" t="str">
        <f t="array" ref="O871">IFERROR(INDEX('Daily Raw Data'!Y:Y,Match($A871,'Daily Raw Data'!$B:$B,0)),"")</f>
        <v/>
      </c>
      <c r="P871" t="str">
        <f t="shared" si="1"/>
        <v/>
      </c>
      <c r="Q871" s="14" t="str">
        <f t="shared" si="2"/>
        <v/>
      </c>
      <c r="R871" s="15" t="str">
        <f>IFERROR(__xludf.DUMMYFUNCTION("IF($A871="""","""", IFERROR(PERCENTRANK.INC(FILTER(P:P,$E:$E&lt;&gt;""""),P871)*100,""""))"),"")</f>
        <v/>
      </c>
      <c r="S871" s="15" t="str">
        <f>IFERROR(__xludf.DUMMYFUNCTION("IF($A871="""","""",IFERROR(PERCENTRANK.INC(FILTER(Q:Q,$E:$E&lt;&gt;""""),Q871)*100,""""))"),"")</f>
        <v/>
      </c>
    </row>
    <row r="872">
      <c r="B872" t="str">
        <f t="array" ref="B872">IFERROR(INDEX('Player Raw Data'!C:C,Match($A872,'Player Raw Data'!$B:$B,0)),"")</f>
        <v/>
      </c>
      <c r="C872" t="str">
        <f t="array" ref="C872">IFERROR(INDEX('Player Raw Data'!D:D,Match($A872,'Player Raw Data'!$B:$B,0)),"")</f>
        <v/>
      </c>
      <c r="D872" t="str">
        <f t="array" ref="D872">IFERROR(IF(A872=A871, INDEX('Player Raw Data'!E:E,Match($A872,'Player Raw Data'!$B:$B,0)+2),INDEX('Player Raw Data'!E:E,Match($A872,'Player Raw Data'!$B:$B,0))),"")</f>
        <v/>
      </c>
      <c r="E872" s="27" t="str">
        <f>IFERROR(__xludf.DUMMYFUNCTION("IFERROR(ARRAY_CONSTRAIN(SPLIT(INDEX('Daily Raw Data'!G:G,Match($A872,'Daily Raw Data'!$B:$B,0)),"":""),1,1),"""")"),"")</f>
        <v/>
      </c>
      <c r="F872" t="str">
        <f t="array" ref="F872">IFERROR(INDEX('Daily Raw Data'!H:H,Match($A872,'Daily Raw Data'!$B:$B,0)),"")</f>
        <v/>
      </c>
      <c r="G872" t="str">
        <f t="array" ref="G872">IFERROR(INDEX('Daily Raw Data'!I:I,Match($A872,'Daily Raw Data'!$B:$B,0)),"")</f>
        <v/>
      </c>
      <c r="H872" t="str">
        <f t="array" ref="H872">IFERROR(INDEX('Daily Raw Data'!N:N,Match($A872,'Daily Raw Data'!$B:$B,0)),"")</f>
        <v/>
      </c>
      <c r="I872" t="str">
        <f t="array" ref="I872">IFERROR(INDEX('Daily Raw Data'!O:O,Match($A872,'Daily Raw Data'!$B:$B,0)),"")</f>
        <v/>
      </c>
      <c r="J872" t="str">
        <f t="array" ref="J872">IFERROR(INDEX('Daily Raw Data'!S:S,Match($A872,'Daily Raw Data'!$B:$B,0)),"")</f>
        <v/>
      </c>
      <c r="K872" t="str">
        <f t="array" ref="K872">IFERROR(INDEX('Daily Raw Data'!T:T,Match($A872,'Daily Raw Data'!$B:$B,0)),"")</f>
        <v/>
      </c>
      <c r="L872" t="str">
        <f t="array" ref="L872">IFERROR(INDEX('Daily Raw Data'!U:U,Match($A872,'Daily Raw Data'!$B:$B,0)),"")</f>
        <v/>
      </c>
      <c r="M872" t="str">
        <f t="array" ref="M872">IFERROR(INDEX('Daily Raw Data'!V:V,Match($A872,'Daily Raw Data'!$B:$B,0)),"")</f>
        <v/>
      </c>
      <c r="N872" t="str">
        <f t="array" ref="N872">IFERROR(INDEX('Daily Raw Data'!W:W,Match($A872,'Daily Raw Data'!$B:$B,0)),"")</f>
        <v/>
      </c>
      <c r="O872" t="str">
        <f t="array" ref="O872">IFERROR(INDEX('Daily Raw Data'!Y:Y,Match($A872,'Daily Raw Data'!$B:$B,0)),"")</f>
        <v/>
      </c>
      <c r="P872" t="str">
        <f t="shared" si="1"/>
        <v/>
      </c>
      <c r="Q872" s="14" t="str">
        <f t="shared" si="2"/>
        <v/>
      </c>
      <c r="R872" s="15" t="str">
        <f>IFERROR(__xludf.DUMMYFUNCTION("IF($A872="""","""", IFERROR(PERCENTRANK.INC(FILTER(P:P,$E:$E&lt;&gt;""""),P872)*100,""""))"),"")</f>
        <v/>
      </c>
      <c r="S872" s="15" t="str">
        <f>IFERROR(__xludf.DUMMYFUNCTION("IF($A872="""","""",IFERROR(PERCENTRANK.INC(FILTER(Q:Q,$E:$E&lt;&gt;""""),Q872)*100,""""))"),"")</f>
        <v/>
      </c>
    </row>
    <row r="873">
      <c r="B873" t="str">
        <f t="array" ref="B873">IFERROR(INDEX('Player Raw Data'!C:C,Match($A873,'Player Raw Data'!$B:$B,0)),"")</f>
        <v/>
      </c>
      <c r="C873" t="str">
        <f t="array" ref="C873">IFERROR(INDEX('Player Raw Data'!D:D,Match($A873,'Player Raw Data'!$B:$B,0)),"")</f>
        <v/>
      </c>
      <c r="D873" t="str">
        <f t="array" ref="D873">IFERROR(IF(A873=A872, INDEX('Player Raw Data'!E:E,Match($A873,'Player Raw Data'!$B:$B,0)+2),INDEX('Player Raw Data'!E:E,Match($A873,'Player Raw Data'!$B:$B,0))),"")</f>
        <v/>
      </c>
      <c r="E873" s="27" t="str">
        <f>IFERROR(__xludf.DUMMYFUNCTION("IFERROR(ARRAY_CONSTRAIN(SPLIT(INDEX('Daily Raw Data'!G:G,Match($A873,'Daily Raw Data'!$B:$B,0)),"":""),1,1),"""")"),"")</f>
        <v/>
      </c>
      <c r="F873" t="str">
        <f t="array" ref="F873">IFERROR(INDEX('Daily Raw Data'!H:H,Match($A873,'Daily Raw Data'!$B:$B,0)),"")</f>
        <v/>
      </c>
      <c r="G873" t="str">
        <f t="array" ref="G873">IFERROR(INDEX('Daily Raw Data'!I:I,Match($A873,'Daily Raw Data'!$B:$B,0)),"")</f>
        <v/>
      </c>
      <c r="H873" t="str">
        <f t="array" ref="H873">IFERROR(INDEX('Daily Raw Data'!N:N,Match($A873,'Daily Raw Data'!$B:$B,0)),"")</f>
        <v/>
      </c>
      <c r="I873" t="str">
        <f t="array" ref="I873">IFERROR(INDEX('Daily Raw Data'!O:O,Match($A873,'Daily Raw Data'!$B:$B,0)),"")</f>
        <v/>
      </c>
      <c r="J873" t="str">
        <f t="array" ref="J873">IFERROR(INDEX('Daily Raw Data'!S:S,Match($A873,'Daily Raw Data'!$B:$B,0)),"")</f>
        <v/>
      </c>
      <c r="K873" t="str">
        <f t="array" ref="K873">IFERROR(INDEX('Daily Raw Data'!T:T,Match($A873,'Daily Raw Data'!$B:$B,0)),"")</f>
        <v/>
      </c>
      <c r="L873" t="str">
        <f t="array" ref="L873">IFERROR(INDEX('Daily Raw Data'!U:U,Match($A873,'Daily Raw Data'!$B:$B,0)),"")</f>
        <v/>
      </c>
      <c r="M873" t="str">
        <f t="array" ref="M873">IFERROR(INDEX('Daily Raw Data'!V:V,Match($A873,'Daily Raw Data'!$B:$B,0)),"")</f>
        <v/>
      </c>
      <c r="N873" t="str">
        <f t="array" ref="N873">IFERROR(INDEX('Daily Raw Data'!W:W,Match($A873,'Daily Raw Data'!$B:$B,0)),"")</f>
        <v/>
      </c>
      <c r="O873" t="str">
        <f t="array" ref="O873">IFERROR(INDEX('Daily Raw Data'!Y:Y,Match($A873,'Daily Raw Data'!$B:$B,0)),"")</f>
        <v/>
      </c>
      <c r="P873" t="str">
        <f t="shared" si="1"/>
        <v/>
      </c>
      <c r="Q873" s="14" t="str">
        <f t="shared" si="2"/>
        <v/>
      </c>
      <c r="R873" s="15" t="str">
        <f>IFERROR(__xludf.DUMMYFUNCTION("IF($A873="""","""", IFERROR(PERCENTRANK.INC(FILTER(P:P,$E:$E&lt;&gt;""""),P873)*100,""""))"),"")</f>
        <v/>
      </c>
      <c r="S873" s="15" t="str">
        <f>IFERROR(__xludf.DUMMYFUNCTION("IF($A873="""","""",IFERROR(PERCENTRANK.INC(FILTER(Q:Q,$E:$E&lt;&gt;""""),Q873)*100,""""))"),"")</f>
        <v/>
      </c>
    </row>
    <row r="874">
      <c r="B874" t="str">
        <f t="array" ref="B874">IFERROR(INDEX('Player Raw Data'!C:C,Match($A874,'Player Raw Data'!$B:$B,0)),"")</f>
        <v/>
      </c>
      <c r="C874" t="str">
        <f t="array" ref="C874">IFERROR(INDEX('Player Raw Data'!D:D,Match($A874,'Player Raw Data'!$B:$B,0)),"")</f>
        <v/>
      </c>
      <c r="D874" t="str">
        <f t="array" ref="D874">IFERROR(IF(A874=A873, INDEX('Player Raw Data'!E:E,Match($A874,'Player Raw Data'!$B:$B,0)+2),INDEX('Player Raw Data'!E:E,Match($A874,'Player Raw Data'!$B:$B,0))),"")</f>
        <v/>
      </c>
      <c r="E874" s="27" t="str">
        <f>IFERROR(__xludf.DUMMYFUNCTION("IFERROR(ARRAY_CONSTRAIN(SPLIT(INDEX('Daily Raw Data'!G:G,Match($A874,'Daily Raw Data'!$B:$B,0)),"":""),1,1),"""")"),"")</f>
        <v/>
      </c>
      <c r="F874" t="str">
        <f t="array" ref="F874">IFERROR(INDEX('Daily Raw Data'!H:H,Match($A874,'Daily Raw Data'!$B:$B,0)),"")</f>
        <v/>
      </c>
      <c r="G874" t="str">
        <f t="array" ref="G874">IFERROR(INDEX('Daily Raw Data'!I:I,Match($A874,'Daily Raw Data'!$B:$B,0)),"")</f>
        <v/>
      </c>
      <c r="H874" t="str">
        <f t="array" ref="H874">IFERROR(INDEX('Daily Raw Data'!N:N,Match($A874,'Daily Raw Data'!$B:$B,0)),"")</f>
        <v/>
      </c>
      <c r="I874" t="str">
        <f t="array" ref="I874">IFERROR(INDEX('Daily Raw Data'!O:O,Match($A874,'Daily Raw Data'!$B:$B,0)),"")</f>
        <v/>
      </c>
      <c r="J874" t="str">
        <f t="array" ref="J874">IFERROR(INDEX('Daily Raw Data'!S:S,Match($A874,'Daily Raw Data'!$B:$B,0)),"")</f>
        <v/>
      </c>
      <c r="K874" t="str">
        <f t="array" ref="K874">IFERROR(INDEX('Daily Raw Data'!T:T,Match($A874,'Daily Raw Data'!$B:$B,0)),"")</f>
        <v/>
      </c>
      <c r="L874" t="str">
        <f t="array" ref="L874">IFERROR(INDEX('Daily Raw Data'!U:U,Match($A874,'Daily Raw Data'!$B:$B,0)),"")</f>
        <v/>
      </c>
      <c r="M874" t="str">
        <f t="array" ref="M874">IFERROR(INDEX('Daily Raw Data'!V:V,Match($A874,'Daily Raw Data'!$B:$B,0)),"")</f>
        <v/>
      </c>
      <c r="N874" t="str">
        <f t="array" ref="N874">IFERROR(INDEX('Daily Raw Data'!W:W,Match($A874,'Daily Raw Data'!$B:$B,0)),"")</f>
        <v/>
      </c>
      <c r="O874" t="str">
        <f t="array" ref="O874">IFERROR(INDEX('Daily Raw Data'!Y:Y,Match($A874,'Daily Raw Data'!$B:$B,0)),"")</f>
        <v/>
      </c>
      <c r="P874" t="str">
        <f t="shared" si="1"/>
        <v/>
      </c>
      <c r="Q874" s="14" t="str">
        <f t="shared" si="2"/>
        <v/>
      </c>
      <c r="R874" s="15" t="str">
        <f>IFERROR(__xludf.DUMMYFUNCTION("IF($A874="""","""", IFERROR(PERCENTRANK.INC(FILTER(P:P,$E:$E&lt;&gt;""""),P874)*100,""""))"),"")</f>
        <v/>
      </c>
      <c r="S874" s="15" t="str">
        <f>IFERROR(__xludf.DUMMYFUNCTION("IF($A874="""","""",IFERROR(PERCENTRANK.INC(FILTER(Q:Q,$E:$E&lt;&gt;""""),Q874)*100,""""))"),"")</f>
        <v/>
      </c>
    </row>
    <row r="875">
      <c r="B875" t="str">
        <f t="array" ref="B875">IFERROR(INDEX('Player Raw Data'!C:C,Match($A875,'Player Raw Data'!$B:$B,0)),"")</f>
        <v/>
      </c>
      <c r="C875" t="str">
        <f t="array" ref="C875">IFERROR(INDEX('Player Raw Data'!D:D,Match($A875,'Player Raw Data'!$B:$B,0)),"")</f>
        <v/>
      </c>
      <c r="D875" t="str">
        <f t="array" ref="D875">IFERROR(IF(A875=A874, INDEX('Player Raw Data'!E:E,Match($A875,'Player Raw Data'!$B:$B,0)+2),INDEX('Player Raw Data'!E:E,Match($A875,'Player Raw Data'!$B:$B,0))),"")</f>
        <v/>
      </c>
      <c r="E875" s="27" t="str">
        <f>IFERROR(__xludf.DUMMYFUNCTION("IFERROR(ARRAY_CONSTRAIN(SPLIT(INDEX('Daily Raw Data'!G:G,Match($A875,'Daily Raw Data'!$B:$B,0)),"":""),1,1),"""")"),"")</f>
        <v/>
      </c>
      <c r="F875" t="str">
        <f t="array" ref="F875">IFERROR(INDEX('Daily Raw Data'!H:H,Match($A875,'Daily Raw Data'!$B:$B,0)),"")</f>
        <v/>
      </c>
      <c r="G875" t="str">
        <f t="array" ref="G875">IFERROR(INDEX('Daily Raw Data'!I:I,Match($A875,'Daily Raw Data'!$B:$B,0)),"")</f>
        <v/>
      </c>
      <c r="H875" t="str">
        <f t="array" ref="H875">IFERROR(INDEX('Daily Raw Data'!N:N,Match($A875,'Daily Raw Data'!$B:$B,0)),"")</f>
        <v/>
      </c>
      <c r="I875" t="str">
        <f t="array" ref="I875">IFERROR(INDEX('Daily Raw Data'!O:O,Match($A875,'Daily Raw Data'!$B:$B,0)),"")</f>
        <v/>
      </c>
      <c r="J875" t="str">
        <f t="array" ref="J875">IFERROR(INDEX('Daily Raw Data'!S:S,Match($A875,'Daily Raw Data'!$B:$B,0)),"")</f>
        <v/>
      </c>
      <c r="K875" t="str">
        <f t="array" ref="K875">IFERROR(INDEX('Daily Raw Data'!T:T,Match($A875,'Daily Raw Data'!$B:$B,0)),"")</f>
        <v/>
      </c>
      <c r="L875" t="str">
        <f t="array" ref="L875">IFERROR(INDEX('Daily Raw Data'!U:U,Match($A875,'Daily Raw Data'!$B:$B,0)),"")</f>
        <v/>
      </c>
      <c r="M875" t="str">
        <f t="array" ref="M875">IFERROR(INDEX('Daily Raw Data'!V:V,Match($A875,'Daily Raw Data'!$B:$B,0)),"")</f>
        <v/>
      </c>
      <c r="N875" t="str">
        <f t="array" ref="N875">IFERROR(INDEX('Daily Raw Data'!W:W,Match($A875,'Daily Raw Data'!$B:$B,0)),"")</f>
        <v/>
      </c>
      <c r="O875" t="str">
        <f t="array" ref="O875">IFERROR(INDEX('Daily Raw Data'!Y:Y,Match($A875,'Daily Raw Data'!$B:$B,0)),"")</f>
        <v/>
      </c>
      <c r="P875" t="str">
        <f t="shared" si="1"/>
        <v/>
      </c>
      <c r="Q875" s="14" t="str">
        <f t="shared" si="2"/>
        <v/>
      </c>
      <c r="R875" s="15" t="str">
        <f>IFERROR(__xludf.DUMMYFUNCTION("IF($A875="""","""", IFERROR(PERCENTRANK.INC(FILTER(P:P,$E:$E&lt;&gt;""""),P875)*100,""""))"),"")</f>
        <v/>
      </c>
      <c r="S875" s="15" t="str">
        <f>IFERROR(__xludf.DUMMYFUNCTION("IF($A875="""","""",IFERROR(PERCENTRANK.INC(FILTER(Q:Q,$E:$E&lt;&gt;""""),Q875)*100,""""))"),"")</f>
        <v/>
      </c>
    </row>
    <row r="876">
      <c r="B876" t="str">
        <f t="array" ref="B876">IFERROR(INDEX('Player Raw Data'!C:C,Match($A876,'Player Raw Data'!$B:$B,0)),"")</f>
        <v/>
      </c>
      <c r="C876" t="str">
        <f t="array" ref="C876">IFERROR(INDEX('Player Raw Data'!D:D,Match($A876,'Player Raw Data'!$B:$B,0)),"")</f>
        <v/>
      </c>
      <c r="D876" t="str">
        <f t="array" ref="D876">IFERROR(IF(A876=A875, INDEX('Player Raw Data'!E:E,Match($A876,'Player Raw Data'!$B:$B,0)+2),INDEX('Player Raw Data'!E:E,Match($A876,'Player Raw Data'!$B:$B,0))),"")</f>
        <v/>
      </c>
      <c r="E876" s="27" t="str">
        <f>IFERROR(__xludf.DUMMYFUNCTION("IFERROR(ARRAY_CONSTRAIN(SPLIT(INDEX('Daily Raw Data'!G:G,Match($A876,'Daily Raw Data'!$B:$B,0)),"":""),1,1),"""")"),"")</f>
        <v/>
      </c>
      <c r="F876" t="str">
        <f t="array" ref="F876">IFERROR(INDEX('Daily Raw Data'!H:H,Match($A876,'Daily Raw Data'!$B:$B,0)),"")</f>
        <v/>
      </c>
      <c r="G876" t="str">
        <f t="array" ref="G876">IFERROR(INDEX('Daily Raw Data'!I:I,Match($A876,'Daily Raw Data'!$B:$B,0)),"")</f>
        <v/>
      </c>
      <c r="H876" t="str">
        <f t="array" ref="H876">IFERROR(INDEX('Daily Raw Data'!N:N,Match($A876,'Daily Raw Data'!$B:$B,0)),"")</f>
        <v/>
      </c>
      <c r="I876" t="str">
        <f t="array" ref="I876">IFERROR(INDEX('Daily Raw Data'!O:O,Match($A876,'Daily Raw Data'!$B:$B,0)),"")</f>
        <v/>
      </c>
      <c r="J876" t="str">
        <f t="array" ref="J876">IFERROR(INDEX('Daily Raw Data'!S:S,Match($A876,'Daily Raw Data'!$B:$B,0)),"")</f>
        <v/>
      </c>
      <c r="K876" t="str">
        <f t="array" ref="K876">IFERROR(INDEX('Daily Raw Data'!T:T,Match($A876,'Daily Raw Data'!$B:$B,0)),"")</f>
        <v/>
      </c>
      <c r="L876" t="str">
        <f t="array" ref="L876">IFERROR(INDEX('Daily Raw Data'!U:U,Match($A876,'Daily Raw Data'!$B:$B,0)),"")</f>
        <v/>
      </c>
      <c r="M876" t="str">
        <f t="array" ref="M876">IFERROR(INDEX('Daily Raw Data'!V:V,Match($A876,'Daily Raw Data'!$B:$B,0)),"")</f>
        <v/>
      </c>
      <c r="N876" t="str">
        <f t="array" ref="N876">IFERROR(INDEX('Daily Raw Data'!W:W,Match($A876,'Daily Raw Data'!$B:$B,0)),"")</f>
        <v/>
      </c>
      <c r="O876" t="str">
        <f t="array" ref="O876">IFERROR(INDEX('Daily Raw Data'!Y:Y,Match($A876,'Daily Raw Data'!$B:$B,0)),"")</f>
        <v/>
      </c>
      <c r="P876" t="str">
        <f t="shared" si="1"/>
        <v/>
      </c>
      <c r="Q876" s="14" t="str">
        <f t="shared" si="2"/>
        <v/>
      </c>
      <c r="R876" s="15" t="str">
        <f>IFERROR(__xludf.DUMMYFUNCTION("IF($A876="""","""", IFERROR(PERCENTRANK.INC(FILTER(P:P,$E:$E&lt;&gt;""""),P876)*100,""""))"),"")</f>
        <v/>
      </c>
      <c r="S876" s="15" t="str">
        <f>IFERROR(__xludf.DUMMYFUNCTION("IF($A876="""","""",IFERROR(PERCENTRANK.INC(FILTER(Q:Q,$E:$E&lt;&gt;""""),Q876)*100,""""))"),"")</f>
        <v/>
      </c>
    </row>
    <row r="877">
      <c r="B877" t="str">
        <f t="array" ref="B877">IFERROR(INDEX('Player Raw Data'!C:C,Match($A877,'Player Raw Data'!$B:$B,0)),"")</f>
        <v/>
      </c>
      <c r="C877" t="str">
        <f t="array" ref="C877">IFERROR(INDEX('Player Raw Data'!D:D,Match($A877,'Player Raw Data'!$B:$B,0)),"")</f>
        <v/>
      </c>
      <c r="D877" t="str">
        <f t="array" ref="D877">IFERROR(IF(A877=A876, INDEX('Player Raw Data'!E:E,Match($A877,'Player Raw Data'!$B:$B,0)+2),INDEX('Player Raw Data'!E:E,Match($A877,'Player Raw Data'!$B:$B,0))),"")</f>
        <v/>
      </c>
      <c r="E877" s="27" t="str">
        <f>IFERROR(__xludf.DUMMYFUNCTION("IFERROR(ARRAY_CONSTRAIN(SPLIT(INDEX('Daily Raw Data'!G:G,Match($A877,'Daily Raw Data'!$B:$B,0)),"":""),1,1),"""")"),"")</f>
        <v/>
      </c>
      <c r="F877" t="str">
        <f t="array" ref="F877">IFERROR(INDEX('Daily Raw Data'!H:H,Match($A877,'Daily Raw Data'!$B:$B,0)),"")</f>
        <v/>
      </c>
      <c r="G877" t="str">
        <f t="array" ref="G877">IFERROR(INDEX('Daily Raw Data'!I:I,Match($A877,'Daily Raw Data'!$B:$B,0)),"")</f>
        <v/>
      </c>
      <c r="H877" t="str">
        <f t="array" ref="H877">IFERROR(INDEX('Daily Raw Data'!N:N,Match($A877,'Daily Raw Data'!$B:$B,0)),"")</f>
        <v/>
      </c>
      <c r="I877" t="str">
        <f t="array" ref="I877">IFERROR(INDEX('Daily Raw Data'!O:O,Match($A877,'Daily Raw Data'!$B:$B,0)),"")</f>
        <v/>
      </c>
      <c r="J877" t="str">
        <f t="array" ref="J877">IFERROR(INDEX('Daily Raw Data'!S:S,Match($A877,'Daily Raw Data'!$B:$B,0)),"")</f>
        <v/>
      </c>
      <c r="K877" t="str">
        <f t="array" ref="K877">IFERROR(INDEX('Daily Raw Data'!T:T,Match($A877,'Daily Raw Data'!$B:$B,0)),"")</f>
        <v/>
      </c>
      <c r="L877" t="str">
        <f t="array" ref="L877">IFERROR(INDEX('Daily Raw Data'!U:U,Match($A877,'Daily Raw Data'!$B:$B,0)),"")</f>
        <v/>
      </c>
      <c r="M877" t="str">
        <f t="array" ref="M877">IFERROR(INDEX('Daily Raw Data'!V:V,Match($A877,'Daily Raw Data'!$B:$B,0)),"")</f>
        <v/>
      </c>
      <c r="N877" t="str">
        <f t="array" ref="N877">IFERROR(INDEX('Daily Raw Data'!W:W,Match($A877,'Daily Raw Data'!$B:$B,0)),"")</f>
        <v/>
      </c>
      <c r="O877" t="str">
        <f t="array" ref="O877">IFERROR(INDEX('Daily Raw Data'!Y:Y,Match($A877,'Daily Raw Data'!$B:$B,0)),"")</f>
        <v/>
      </c>
      <c r="P877" t="str">
        <f t="shared" si="1"/>
        <v/>
      </c>
      <c r="Q877" s="14" t="str">
        <f t="shared" si="2"/>
        <v/>
      </c>
      <c r="R877" s="15" t="str">
        <f>IFERROR(__xludf.DUMMYFUNCTION("IF($A877="""","""", IFERROR(PERCENTRANK.INC(FILTER(P:P,$E:$E&lt;&gt;""""),P877)*100,""""))"),"")</f>
        <v/>
      </c>
      <c r="S877" s="15" t="str">
        <f>IFERROR(__xludf.DUMMYFUNCTION("IF($A877="""","""",IFERROR(PERCENTRANK.INC(FILTER(Q:Q,$E:$E&lt;&gt;""""),Q877)*100,""""))"),"")</f>
        <v/>
      </c>
    </row>
    <row r="878">
      <c r="B878" t="str">
        <f t="array" ref="B878">IFERROR(INDEX('Player Raw Data'!C:C,Match($A878,'Player Raw Data'!$B:$B,0)),"")</f>
        <v/>
      </c>
      <c r="C878" t="str">
        <f t="array" ref="C878">IFERROR(INDEX('Player Raw Data'!D:D,Match($A878,'Player Raw Data'!$B:$B,0)),"")</f>
        <v/>
      </c>
      <c r="D878" t="str">
        <f t="array" ref="D878">IFERROR(IF(A878=A877, INDEX('Player Raw Data'!E:E,Match($A878,'Player Raw Data'!$B:$B,0)+2),INDEX('Player Raw Data'!E:E,Match($A878,'Player Raw Data'!$B:$B,0))),"")</f>
        <v/>
      </c>
      <c r="E878" s="27" t="str">
        <f>IFERROR(__xludf.DUMMYFUNCTION("IFERROR(ARRAY_CONSTRAIN(SPLIT(INDEX('Daily Raw Data'!G:G,Match($A878,'Daily Raw Data'!$B:$B,0)),"":""),1,1),"""")"),"")</f>
        <v/>
      </c>
      <c r="F878" t="str">
        <f t="array" ref="F878">IFERROR(INDEX('Daily Raw Data'!H:H,Match($A878,'Daily Raw Data'!$B:$B,0)),"")</f>
        <v/>
      </c>
      <c r="G878" t="str">
        <f t="array" ref="G878">IFERROR(INDEX('Daily Raw Data'!I:I,Match($A878,'Daily Raw Data'!$B:$B,0)),"")</f>
        <v/>
      </c>
      <c r="H878" t="str">
        <f t="array" ref="H878">IFERROR(INDEX('Daily Raw Data'!N:N,Match($A878,'Daily Raw Data'!$B:$B,0)),"")</f>
        <v/>
      </c>
      <c r="I878" t="str">
        <f t="array" ref="I878">IFERROR(INDEX('Daily Raw Data'!O:O,Match($A878,'Daily Raw Data'!$B:$B,0)),"")</f>
        <v/>
      </c>
      <c r="J878" t="str">
        <f t="array" ref="J878">IFERROR(INDEX('Daily Raw Data'!S:S,Match($A878,'Daily Raw Data'!$B:$B,0)),"")</f>
        <v/>
      </c>
      <c r="K878" t="str">
        <f t="array" ref="K878">IFERROR(INDEX('Daily Raw Data'!T:T,Match($A878,'Daily Raw Data'!$B:$B,0)),"")</f>
        <v/>
      </c>
      <c r="L878" t="str">
        <f t="array" ref="L878">IFERROR(INDEX('Daily Raw Data'!U:U,Match($A878,'Daily Raw Data'!$B:$B,0)),"")</f>
        <v/>
      </c>
      <c r="M878" t="str">
        <f t="array" ref="M878">IFERROR(INDEX('Daily Raw Data'!V:V,Match($A878,'Daily Raw Data'!$B:$B,0)),"")</f>
        <v/>
      </c>
      <c r="N878" t="str">
        <f t="array" ref="N878">IFERROR(INDEX('Daily Raw Data'!W:W,Match($A878,'Daily Raw Data'!$B:$B,0)),"")</f>
        <v/>
      </c>
      <c r="O878" t="str">
        <f t="array" ref="O878">IFERROR(INDEX('Daily Raw Data'!Y:Y,Match($A878,'Daily Raw Data'!$B:$B,0)),"")</f>
        <v/>
      </c>
      <c r="P878" t="str">
        <f t="shared" si="1"/>
        <v/>
      </c>
      <c r="Q878" s="14" t="str">
        <f t="shared" si="2"/>
        <v/>
      </c>
      <c r="R878" s="15" t="str">
        <f>IFERROR(__xludf.DUMMYFUNCTION("IF($A878="""","""", IFERROR(PERCENTRANK.INC(FILTER(P:P,$E:$E&lt;&gt;""""),P878)*100,""""))"),"")</f>
        <v/>
      </c>
      <c r="S878" s="15" t="str">
        <f>IFERROR(__xludf.DUMMYFUNCTION("IF($A878="""","""",IFERROR(PERCENTRANK.INC(FILTER(Q:Q,$E:$E&lt;&gt;""""),Q878)*100,""""))"),"")</f>
        <v/>
      </c>
    </row>
    <row r="879">
      <c r="B879" t="str">
        <f t="array" ref="B879">IFERROR(INDEX('Player Raw Data'!C:C,Match($A879,'Player Raw Data'!$B:$B,0)),"")</f>
        <v/>
      </c>
      <c r="C879" t="str">
        <f t="array" ref="C879">IFERROR(INDEX('Player Raw Data'!D:D,Match($A879,'Player Raw Data'!$B:$B,0)),"")</f>
        <v/>
      </c>
      <c r="D879" t="str">
        <f t="array" ref="D879">IFERROR(IF(A879=A878, INDEX('Player Raw Data'!E:E,Match($A879,'Player Raw Data'!$B:$B,0)+2),INDEX('Player Raw Data'!E:E,Match($A879,'Player Raw Data'!$B:$B,0))),"")</f>
        <v/>
      </c>
      <c r="E879" s="27" t="str">
        <f>IFERROR(__xludf.DUMMYFUNCTION("IFERROR(ARRAY_CONSTRAIN(SPLIT(INDEX('Daily Raw Data'!G:G,Match($A879,'Daily Raw Data'!$B:$B,0)),"":""),1,1),"""")"),"")</f>
        <v/>
      </c>
      <c r="F879" t="str">
        <f t="array" ref="F879">IFERROR(INDEX('Daily Raw Data'!H:H,Match($A879,'Daily Raw Data'!$B:$B,0)),"")</f>
        <v/>
      </c>
      <c r="G879" t="str">
        <f t="array" ref="G879">IFERROR(INDEX('Daily Raw Data'!I:I,Match($A879,'Daily Raw Data'!$B:$B,0)),"")</f>
        <v/>
      </c>
      <c r="H879" t="str">
        <f t="array" ref="H879">IFERROR(INDEX('Daily Raw Data'!N:N,Match($A879,'Daily Raw Data'!$B:$B,0)),"")</f>
        <v/>
      </c>
      <c r="I879" t="str">
        <f t="array" ref="I879">IFERROR(INDEX('Daily Raw Data'!O:O,Match($A879,'Daily Raw Data'!$B:$B,0)),"")</f>
        <v/>
      </c>
      <c r="J879" t="str">
        <f t="array" ref="J879">IFERROR(INDEX('Daily Raw Data'!S:S,Match($A879,'Daily Raw Data'!$B:$B,0)),"")</f>
        <v/>
      </c>
      <c r="K879" t="str">
        <f t="array" ref="K879">IFERROR(INDEX('Daily Raw Data'!T:T,Match($A879,'Daily Raw Data'!$B:$B,0)),"")</f>
        <v/>
      </c>
      <c r="L879" t="str">
        <f t="array" ref="L879">IFERROR(INDEX('Daily Raw Data'!U:U,Match($A879,'Daily Raw Data'!$B:$B,0)),"")</f>
        <v/>
      </c>
      <c r="M879" t="str">
        <f t="array" ref="M879">IFERROR(INDEX('Daily Raw Data'!V:V,Match($A879,'Daily Raw Data'!$B:$B,0)),"")</f>
        <v/>
      </c>
      <c r="N879" t="str">
        <f t="array" ref="N879">IFERROR(INDEX('Daily Raw Data'!W:W,Match($A879,'Daily Raw Data'!$B:$B,0)),"")</f>
        <v/>
      </c>
      <c r="O879" t="str">
        <f t="array" ref="O879">IFERROR(INDEX('Daily Raw Data'!Y:Y,Match($A879,'Daily Raw Data'!$B:$B,0)),"")</f>
        <v/>
      </c>
      <c r="P879" t="str">
        <f t="shared" si="1"/>
        <v/>
      </c>
      <c r="Q879" s="14" t="str">
        <f t="shared" si="2"/>
        <v/>
      </c>
      <c r="R879" s="15" t="str">
        <f>IFERROR(__xludf.DUMMYFUNCTION("IF($A879="""","""", IFERROR(PERCENTRANK.INC(FILTER(P:P,$E:$E&lt;&gt;""""),P879)*100,""""))"),"")</f>
        <v/>
      </c>
      <c r="S879" s="15" t="str">
        <f>IFERROR(__xludf.DUMMYFUNCTION("IF($A879="""","""",IFERROR(PERCENTRANK.INC(FILTER(Q:Q,$E:$E&lt;&gt;""""),Q879)*100,""""))"),"")</f>
        <v/>
      </c>
    </row>
    <row r="880">
      <c r="B880" t="str">
        <f t="array" ref="B880">IFERROR(INDEX('Player Raw Data'!C:C,Match($A880,'Player Raw Data'!$B:$B,0)),"")</f>
        <v/>
      </c>
      <c r="C880" t="str">
        <f t="array" ref="C880">IFERROR(INDEX('Player Raw Data'!D:D,Match($A880,'Player Raw Data'!$B:$B,0)),"")</f>
        <v/>
      </c>
      <c r="D880" t="str">
        <f t="array" ref="D880">IFERROR(IF(A880=A879, INDEX('Player Raw Data'!E:E,Match($A880,'Player Raw Data'!$B:$B,0)+2),INDEX('Player Raw Data'!E:E,Match($A880,'Player Raw Data'!$B:$B,0))),"")</f>
        <v/>
      </c>
      <c r="E880" s="27" t="str">
        <f>IFERROR(__xludf.DUMMYFUNCTION("IFERROR(ARRAY_CONSTRAIN(SPLIT(INDEX('Daily Raw Data'!G:G,Match($A880,'Daily Raw Data'!$B:$B,0)),"":""),1,1),"""")"),"")</f>
        <v/>
      </c>
      <c r="F880" t="str">
        <f t="array" ref="F880">IFERROR(INDEX('Daily Raw Data'!H:H,Match($A880,'Daily Raw Data'!$B:$B,0)),"")</f>
        <v/>
      </c>
      <c r="G880" t="str">
        <f t="array" ref="G880">IFERROR(INDEX('Daily Raw Data'!I:I,Match($A880,'Daily Raw Data'!$B:$B,0)),"")</f>
        <v/>
      </c>
      <c r="H880" t="str">
        <f t="array" ref="H880">IFERROR(INDEX('Daily Raw Data'!N:N,Match($A880,'Daily Raw Data'!$B:$B,0)),"")</f>
        <v/>
      </c>
      <c r="I880" t="str">
        <f t="array" ref="I880">IFERROR(INDEX('Daily Raw Data'!O:O,Match($A880,'Daily Raw Data'!$B:$B,0)),"")</f>
        <v/>
      </c>
      <c r="J880" t="str">
        <f t="array" ref="J880">IFERROR(INDEX('Daily Raw Data'!S:S,Match($A880,'Daily Raw Data'!$B:$B,0)),"")</f>
        <v/>
      </c>
      <c r="K880" t="str">
        <f t="array" ref="K880">IFERROR(INDEX('Daily Raw Data'!T:T,Match($A880,'Daily Raw Data'!$B:$B,0)),"")</f>
        <v/>
      </c>
      <c r="L880" t="str">
        <f t="array" ref="L880">IFERROR(INDEX('Daily Raw Data'!U:U,Match($A880,'Daily Raw Data'!$B:$B,0)),"")</f>
        <v/>
      </c>
      <c r="M880" t="str">
        <f t="array" ref="M880">IFERROR(INDEX('Daily Raw Data'!V:V,Match($A880,'Daily Raw Data'!$B:$B,0)),"")</f>
        <v/>
      </c>
      <c r="N880" t="str">
        <f t="array" ref="N880">IFERROR(INDEX('Daily Raw Data'!W:W,Match($A880,'Daily Raw Data'!$B:$B,0)),"")</f>
        <v/>
      </c>
      <c r="O880" t="str">
        <f t="array" ref="O880">IFERROR(INDEX('Daily Raw Data'!Y:Y,Match($A880,'Daily Raw Data'!$B:$B,0)),"")</f>
        <v/>
      </c>
      <c r="P880" t="str">
        <f t="shared" si="1"/>
        <v/>
      </c>
      <c r="Q880" s="14" t="str">
        <f t="shared" si="2"/>
        <v/>
      </c>
      <c r="R880" s="15" t="str">
        <f>IFERROR(__xludf.DUMMYFUNCTION("IF($A880="""","""", IFERROR(PERCENTRANK.INC(FILTER(P:P,$E:$E&lt;&gt;""""),P880)*100,""""))"),"")</f>
        <v/>
      </c>
      <c r="S880" s="15" t="str">
        <f>IFERROR(__xludf.DUMMYFUNCTION("IF($A880="""","""",IFERROR(PERCENTRANK.INC(FILTER(Q:Q,$E:$E&lt;&gt;""""),Q880)*100,""""))"),"")</f>
        <v/>
      </c>
    </row>
    <row r="881">
      <c r="B881" t="str">
        <f t="array" ref="B881">IFERROR(INDEX('Player Raw Data'!C:C,Match($A881,'Player Raw Data'!$B:$B,0)),"")</f>
        <v/>
      </c>
      <c r="C881" t="str">
        <f t="array" ref="C881">IFERROR(INDEX('Player Raw Data'!D:D,Match($A881,'Player Raw Data'!$B:$B,0)),"")</f>
        <v/>
      </c>
      <c r="D881" t="str">
        <f t="array" ref="D881">IFERROR(IF(A881=A880, INDEX('Player Raw Data'!E:E,Match($A881,'Player Raw Data'!$B:$B,0)+2),INDEX('Player Raw Data'!E:E,Match($A881,'Player Raw Data'!$B:$B,0))),"")</f>
        <v/>
      </c>
      <c r="E881" s="27" t="str">
        <f>IFERROR(__xludf.DUMMYFUNCTION("IFERROR(ARRAY_CONSTRAIN(SPLIT(INDEX('Daily Raw Data'!G:G,Match($A881,'Daily Raw Data'!$B:$B,0)),"":""),1,1),"""")"),"")</f>
        <v/>
      </c>
      <c r="F881" t="str">
        <f t="array" ref="F881">IFERROR(INDEX('Daily Raw Data'!H:H,Match($A881,'Daily Raw Data'!$B:$B,0)),"")</f>
        <v/>
      </c>
      <c r="G881" t="str">
        <f t="array" ref="G881">IFERROR(INDEX('Daily Raw Data'!I:I,Match($A881,'Daily Raw Data'!$B:$B,0)),"")</f>
        <v/>
      </c>
      <c r="H881" t="str">
        <f t="array" ref="H881">IFERROR(INDEX('Daily Raw Data'!N:N,Match($A881,'Daily Raw Data'!$B:$B,0)),"")</f>
        <v/>
      </c>
      <c r="I881" t="str">
        <f t="array" ref="I881">IFERROR(INDEX('Daily Raw Data'!O:O,Match($A881,'Daily Raw Data'!$B:$B,0)),"")</f>
        <v/>
      </c>
      <c r="J881" t="str">
        <f t="array" ref="J881">IFERROR(INDEX('Daily Raw Data'!S:S,Match($A881,'Daily Raw Data'!$B:$B,0)),"")</f>
        <v/>
      </c>
      <c r="K881" t="str">
        <f t="array" ref="K881">IFERROR(INDEX('Daily Raw Data'!T:T,Match($A881,'Daily Raw Data'!$B:$B,0)),"")</f>
        <v/>
      </c>
      <c r="L881" t="str">
        <f t="array" ref="L881">IFERROR(INDEX('Daily Raw Data'!U:U,Match($A881,'Daily Raw Data'!$B:$B,0)),"")</f>
        <v/>
      </c>
      <c r="M881" t="str">
        <f t="array" ref="M881">IFERROR(INDEX('Daily Raw Data'!V:V,Match($A881,'Daily Raw Data'!$B:$B,0)),"")</f>
        <v/>
      </c>
      <c r="N881" t="str">
        <f t="array" ref="N881">IFERROR(INDEX('Daily Raw Data'!W:W,Match($A881,'Daily Raw Data'!$B:$B,0)),"")</f>
        <v/>
      </c>
      <c r="O881" t="str">
        <f t="array" ref="O881">IFERROR(INDEX('Daily Raw Data'!Y:Y,Match($A881,'Daily Raw Data'!$B:$B,0)),"")</f>
        <v/>
      </c>
      <c r="P881" t="str">
        <f t="shared" si="1"/>
        <v/>
      </c>
      <c r="Q881" s="14" t="str">
        <f t="shared" si="2"/>
        <v/>
      </c>
      <c r="R881" s="15" t="str">
        <f>IFERROR(__xludf.DUMMYFUNCTION("IF($A881="""","""", IFERROR(PERCENTRANK.INC(FILTER(P:P,$E:$E&lt;&gt;""""),P881)*100,""""))"),"")</f>
        <v/>
      </c>
      <c r="S881" s="15" t="str">
        <f>IFERROR(__xludf.DUMMYFUNCTION("IF($A881="""","""",IFERROR(PERCENTRANK.INC(FILTER(Q:Q,$E:$E&lt;&gt;""""),Q881)*100,""""))"),"")</f>
        <v/>
      </c>
    </row>
    <row r="882">
      <c r="B882" t="str">
        <f t="array" ref="B882">IFERROR(INDEX('Player Raw Data'!C:C,Match($A882,'Player Raw Data'!$B:$B,0)),"")</f>
        <v/>
      </c>
      <c r="C882" t="str">
        <f t="array" ref="C882">IFERROR(INDEX('Player Raw Data'!D:D,Match($A882,'Player Raw Data'!$B:$B,0)),"")</f>
        <v/>
      </c>
      <c r="D882" t="str">
        <f t="array" ref="D882">IFERROR(IF(A882=A881, INDEX('Player Raw Data'!E:E,Match($A882,'Player Raw Data'!$B:$B,0)+2),INDEX('Player Raw Data'!E:E,Match($A882,'Player Raw Data'!$B:$B,0))),"")</f>
        <v/>
      </c>
      <c r="E882" s="27" t="str">
        <f>IFERROR(__xludf.DUMMYFUNCTION("IFERROR(ARRAY_CONSTRAIN(SPLIT(INDEX('Daily Raw Data'!G:G,Match($A882,'Daily Raw Data'!$B:$B,0)),"":""),1,1),"""")"),"")</f>
        <v/>
      </c>
      <c r="F882" t="str">
        <f t="array" ref="F882">IFERROR(INDEX('Daily Raw Data'!H:H,Match($A882,'Daily Raw Data'!$B:$B,0)),"")</f>
        <v/>
      </c>
      <c r="G882" t="str">
        <f t="array" ref="G882">IFERROR(INDEX('Daily Raw Data'!I:I,Match($A882,'Daily Raw Data'!$B:$B,0)),"")</f>
        <v/>
      </c>
      <c r="H882" t="str">
        <f t="array" ref="H882">IFERROR(INDEX('Daily Raw Data'!N:N,Match($A882,'Daily Raw Data'!$B:$B,0)),"")</f>
        <v/>
      </c>
      <c r="I882" t="str">
        <f t="array" ref="I882">IFERROR(INDEX('Daily Raw Data'!O:O,Match($A882,'Daily Raw Data'!$B:$B,0)),"")</f>
        <v/>
      </c>
      <c r="J882" t="str">
        <f t="array" ref="J882">IFERROR(INDEX('Daily Raw Data'!S:S,Match($A882,'Daily Raw Data'!$B:$B,0)),"")</f>
        <v/>
      </c>
      <c r="K882" t="str">
        <f t="array" ref="K882">IFERROR(INDEX('Daily Raw Data'!T:T,Match($A882,'Daily Raw Data'!$B:$B,0)),"")</f>
        <v/>
      </c>
      <c r="L882" t="str">
        <f t="array" ref="L882">IFERROR(INDEX('Daily Raw Data'!U:U,Match($A882,'Daily Raw Data'!$B:$B,0)),"")</f>
        <v/>
      </c>
      <c r="M882" t="str">
        <f t="array" ref="M882">IFERROR(INDEX('Daily Raw Data'!V:V,Match($A882,'Daily Raw Data'!$B:$B,0)),"")</f>
        <v/>
      </c>
      <c r="N882" t="str">
        <f t="array" ref="N882">IFERROR(INDEX('Daily Raw Data'!W:W,Match($A882,'Daily Raw Data'!$B:$B,0)),"")</f>
        <v/>
      </c>
      <c r="O882" t="str">
        <f t="array" ref="O882">IFERROR(INDEX('Daily Raw Data'!Y:Y,Match($A882,'Daily Raw Data'!$B:$B,0)),"")</f>
        <v/>
      </c>
      <c r="P882" t="str">
        <f t="shared" si="1"/>
        <v/>
      </c>
      <c r="Q882" s="14" t="str">
        <f t="shared" si="2"/>
        <v/>
      </c>
      <c r="R882" s="15" t="str">
        <f>IFERROR(__xludf.DUMMYFUNCTION("IF($A882="""","""", IFERROR(PERCENTRANK.INC(FILTER(P:P,$E:$E&lt;&gt;""""),P882)*100,""""))"),"")</f>
        <v/>
      </c>
      <c r="S882" s="15" t="str">
        <f>IFERROR(__xludf.DUMMYFUNCTION("IF($A882="""","""",IFERROR(PERCENTRANK.INC(FILTER(Q:Q,$E:$E&lt;&gt;""""),Q882)*100,""""))"),"")</f>
        <v/>
      </c>
    </row>
    <row r="883">
      <c r="B883" t="str">
        <f t="array" ref="B883">IFERROR(INDEX('Player Raw Data'!C:C,Match($A883,'Player Raw Data'!$B:$B,0)),"")</f>
        <v/>
      </c>
      <c r="C883" t="str">
        <f t="array" ref="C883">IFERROR(INDEX('Player Raw Data'!D:D,Match($A883,'Player Raw Data'!$B:$B,0)),"")</f>
        <v/>
      </c>
      <c r="D883" t="str">
        <f t="array" ref="D883">IFERROR(IF(A883=A882, INDEX('Player Raw Data'!E:E,Match($A883,'Player Raw Data'!$B:$B,0)+2),INDEX('Player Raw Data'!E:E,Match($A883,'Player Raw Data'!$B:$B,0))),"")</f>
        <v/>
      </c>
      <c r="E883" s="27" t="str">
        <f>IFERROR(__xludf.DUMMYFUNCTION("IFERROR(ARRAY_CONSTRAIN(SPLIT(INDEX('Daily Raw Data'!G:G,Match($A883,'Daily Raw Data'!$B:$B,0)),"":""),1,1),"""")"),"")</f>
        <v/>
      </c>
      <c r="F883" t="str">
        <f t="array" ref="F883">IFERROR(INDEX('Daily Raw Data'!H:H,Match($A883,'Daily Raw Data'!$B:$B,0)),"")</f>
        <v/>
      </c>
      <c r="G883" t="str">
        <f t="array" ref="G883">IFERROR(INDEX('Daily Raw Data'!I:I,Match($A883,'Daily Raw Data'!$B:$B,0)),"")</f>
        <v/>
      </c>
      <c r="H883" t="str">
        <f t="array" ref="H883">IFERROR(INDEX('Daily Raw Data'!N:N,Match($A883,'Daily Raw Data'!$B:$B,0)),"")</f>
        <v/>
      </c>
      <c r="I883" t="str">
        <f t="array" ref="I883">IFERROR(INDEX('Daily Raw Data'!O:O,Match($A883,'Daily Raw Data'!$B:$B,0)),"")</f>
        <v/>
      </c>
      <c r="J883" t="str">
        <f t="array" ref="J883">IFERROR(INDEX('Daily Raw Data'!S:S,Match($A883,'Daily Raw Data'!$B:$B,0)),"")</f>
        <v/>
      </c>
      <c r="K883" t="str">
        <f t="array" ref="K883">IFERROR(INDEX('Daily Raw Data'!T:T,Match($A883,'Daily Raw Data'!$B:$B,0)),"")</f>
        <v/>
      </c>
      <c r="L883" t="str">
        <f t="array" ref="L883">IFERROR(INDEX('Daily Raw Data'!U:U,Match($A883,'Daily Raw Data'!$B:$B,0)),"")</f>
        <v/>
      </c>
      <c r="M883" t="str">
        <f t="array" ref="M883">IFERROR(INDEX('Daily Raw Data'!V:V,Match($A883,'Daily Raw Data'!$B:$B,0)),"")</f>
        <v/>
      </c>
      <c r="N883" t="str">
        <f t="array" ref="N883">IFERROR(INDEX('Daily Raw Data'!W:W,Match($A883,'Daily Raw Data'!$B:$B,0)),"")</f>
        <v/>
      </c>
      <c r="O883" t="str">
        <f t="array" ref="O883">IFERROR(INDEX('Daily Raw Data'!Y:Y,Match($A883,'Daily Raw Data'!$B:$B,0)),"")</f>
        <v/>
      </c>
      <c r="P883" t="str">
        <f t="shared" si="1"/>
        <v/>
      </c>
      <c r="Q883" s="14" t="str">
        <f t="shared" si="2"/>
        <v/>
      </c>
      <c r="R883" s="15" t="str">
        <f>IFERROR(__xludf.DUMMYFUNCTION("IF($A883="""","""", IFERROR(PERCENTRANK.INC(FILTER(P:P,$E:$E&lt;&gt;""""),P883)*100,""""))"),"")</f>
        <v/>
      </c>
      <c r="S883" s="15" t="str">
        <f>IFERROR(__xludf.DUMMYFUNCTION("IF($A883="""","""",IFERROR(PERCENTRANK.INC(FILTER(Q:Q,$E:$E&lt;&gt;""""),Q883)*100,""""))"),"")</f>
        <v/>
      </c>
    </row>
    <row r="884">
      <c r="B884" t="str">
        <f t="array" ref="B884">IFERROR(INDEX('Player Raw Data'!C:C,Match($A884,'Player Raw Data'!$B:$B,0)),"")</f>
        <v/>
      </c>
      <c r="C884" t="str">
        <f t="array" ref="C884">IFERROR(INDEX('Player Raw Data'!D:D,Match($A884,'Player Raw Data'!$B:$B,0)),"")</f>
        <v/>
      </c>
      <c r="D884" t="str">
        <f t="array" ref="D884">IFERROR(IF(A884=A883, INDEX('Player Raw Data'!E:E,Match($A884,'Player Raw Data'!$B:$B,0)+2),INDEX('Player Raw Data'!E:E,Match($A884,'Player Raw Data'!$B:$B,0))),"")</f>
        <v/>
      </c>
      <c r="E884" s="27" t="str">
        <f>IFERROR(__xludf.DUMMYFUNCTION("IFERROR(ARRAY_CONSTRAIN(SPLIT(INDEX('Daily Raw Data'!G:G,Match($A884,'Daily Raw Data'!$B:$B,0)),"":""),1,1),"""")"),"")</f>
        <v/>
      </c>
      <c r="F884" t="str">
        <f t="array" ref="F884">IFERROR(INDEX('Daily Raw Data'!H:H,Match($A884,'Daily Raw Data'!$B:$B,0)),"")</f>
        <v/>
      </c>
      <c r="G884" t="str">
        <f t="array" ref="G884">IFERROR(INDEX('Daily Raw Data'!I:I,Match($A884,'Daily Raw Data'!$B:$B,0)),"")</f>
        <v/>
      </c>
      <c r="H884" t="str">
        <f t="array" ref="H884">IFERROR(INDEX('Daily Raw Data'!N:N,Match($A884,'Daily Raw Data'!$B:$B,0)),"")</f>
        <v/>
      </c>
      <c r="I884" t="str">
        <f t="array" ref="I884">IFERROR(INDEX('Daily Raw Data'!O:O,Match($A884,'Daily Raw Data'!$B:$B,0)),"")</f>
        <v/>
      </c>
      <c r="J884" t="str">
        <f t="array" ref="J884">IFERROR(INDEX('Daily Raw Data'!S:S,Match($A884,'Daily Raw Data'!$B:$B,0)),"")</f>
        <v/>
      </c>
      <c r="K884" t="str">
        <f t="array" ref="K884">IFERROR(INDEX('Daily Raw Data'!T:T,Match($A884,'Daily Raw Data'!$B:$B,0)),"")</f>
        <v/>
      </c>
      <c r="L884" t="str">
        <f t="array" ref="L884">IFERROR(INDEX('Daily Raw Data'!U:U,Match($A884,'Daily Raw Data'!$B:$B,0)),"")</f>
        <v/>
      </c>
      <c r="M884" t="str">
        <f t="array" ref="M884">IFERROR(INDEX('Daily Raw Data'!V:V,Match($A884,'Daily Raw Data'!$B:$B,0)),"")</f>
        <v/>
      </c>
      <c r="N884" t="str">
        <f t="array" ref="N884">IFERROR(INDEX('Daily Raw Data'!W:W,Match($A884,'Daily Raw Data'!$B:$B,0)),"")</f>
        <v/>
      </c>
      <c r="O884" t="str">
        <f t="array" ref="O884">IFERROR(INDEX('Daily Raw Data'!Y:Y,Match($A884,'Daily Raw Data'!$B:$B,0)),"")</f>
        <v/>
      </c>
      <c r="P884" t="str">
        <f t="shared" si="1"/>
        <v/>
      </c>
      <c r="Q884" s="14" t="str">
        <f t="shared" si="2"/>
        <v/>
      </c>
      <c r="R884" s="15" t="str">
        <f>IFERROR(__xludf.DUMMYFUNCTION("IF($A884="""","""", IFERROR(PERCENTRANK.INC(FILTER(P:P,$E:$E&lt;&gt;""""),P884)*100,""""))"),"")</f>
        <v/>
      </c>
      <c r="S884" s="15" t="str">
        <f>IFERROR(__xludf.DUMMYFUNCTION("IF($A884="""","""",IFERROR(PERCENTRANK.INC(FILTER(Q:Q,$E:$E&lt;&gt;""""),Q884)*100,""""))"),"")</f>
        <v/>
      </c>
    </row>
    <row r="885">
      <c r="B885" t="str">
        <f t="array" ref="B885">IFERROR(INDEX('Player Raw Data'!C:C,Match($A885,'Player Raw Data'!$B:$B,0)),"")</f>
        <v/>
      </c>
      <c r="C885" t="str">
        <f t="array" ref="C885">IFERROR(INDEX('Player Raw Data'!D:D,Match($A885,'Player Raw Data'!$B:$B,0)),"")</f>
        <v/>
      </c>
      <c r="D885" t="str">
        <f t="array" ref="D885">IFERROR(IF(A885=A884, INDEX('Player Raw Data'!E:E,Match($A885,'Player Raw Data'!$B:$B,0)+2),INDEX('Player Raw Data'!E:E,Match($A885,'Player Raw Data'!$B:$B,0))),"")</f>
        <v/>
      </c>
      <c r="E885" s="27" t="str">
        <f>IFERROR(__xludf.DUMMYFUNCTION("IFERROR(ARRAY_CONSTRAIN(SPLIT(INDEX('Daily Raw Data'!G:G,Match($A885,'Daily Raw Data'!$B:$B,0)),"":""),1,1),"""")"),"")</f>
        <v/>
      </c>
      <c r="F885" t="str">
        <f t="array" ref="F885">IFERROR(INDEX('Daily Raw Data'!H:H,Match($A885,'Daily Raw Data'!$B:$B,0)),"")</f>
        <v/>
      </c>
      <c r="G885" t="str">
        <f t="array" ref="G885">IFERROR(INDEX('Daily Raw Data'!I:I,Match($A885,'Daily Raw Data'!$B:$B,0)),"")</f>
        <v/>
      </c>
      <c r="H885" t="str">
        <f t="array" ref="H885">IFERROR(INDEX('Daily Raw Data'!N:N,Match($A885,'Daily Raw Data'!$B:$B,0)),"")</f>
        <v/>
      </c>
      <c r="I885" t="str">
        <f t="array" ref="I885">IFERROR(INDEX('Daily Raw Data'!O:O,Match($A885,'Daily Raw Data'!$B:$B,0)),"")</f>
        <v/>
      </c>
      <c r="J885" t="str">
        <f t="array" ref="J885">IFERROR(INDEX('Daily Raw Data'!S:S,Match($A885,'Daily Raw Data'!$B:$B,0)),"")</f>
        <v/>
      </c>
      <c r="K885" t="str">
        <f t="array" ref="K885">IFERROR(INDEX('Daily Raw Data'!T:T,Match($A885,'Daily Raw Data'!$B:$B,0)),"")</f>
        <v/>
      </c>
      <c r="L885" t="str">
        <f t="array" ref="L885">IFERROR(INDEX('Daily Raw Data'!U:U,Match($A885,'Daily Raw Data'!$B:$B,0)),"")</f>
        <v/>
      </c>
      <c r="M885" t="str">
        <f t="array" ref="M885">IFERROR(INDEX('Daily Raw Data'!V:V,Match($A885,'Daily Raw Data'!$B:$B,0)),"")</f>
        <v/>
      </c>
      <c r="N885" t="str">
        <f t="array" ref="N885">IFERROR(INDEX('Daily Raw Data'!W:W,Match($A885,'Daily Raw Data'!$B:$B,0)),"")</f>
        <v/>
      </c>
      <c r="O885" t="str">
        <f t="array" ref="O885">IFERROR(INDEX('Daily Raw Data'!Y:Y,Match($A885,'Daily Raw Data'!$B:$B,0)),"")</f>
        <v/>
      </c>
      <c r="P885" t="str">
        <f t="shared" si="1"/>
        <v/>
      </c>
      <c r="Q885" s="14" t="str">
        <f t="shared" si="2"/>
        <v/>
      </c>
      <c r="R885" s="15" t="str">
        <f>IFERROR(__xludf.DUMMYFUNCTION("IF($A885="""","""", IFERROR(PERCENTRANK.INC(FILTER(P:P,$E:$E&lt;&gt;""""),P885)*100,""""))"),"")</f>
        <v/>
      </c>
      <c r="S885" s="15" t="str">
        <f>IFERROR(__xludf.DUMMYFUNCTION("IF($A885="""","""",IFERROR(PERCENTRANK.INC(FILTER(Q:Q,$E:$E&lt;&gt;""""),Q885)*100,""""))"),"")</f>
        <v/>
      </c>
    </row>
    <row r="886">
      <c r="B886" t="str">
        <f t="array" ref="B886">IFERROR(INDEX('Player Raw Data'!C:C,Match($A886,'Player Raw Data'!$B:$B,0)),"")</f>
        <v/>
      </c>
      <c r="C886" t="str">
        <f t="array" ref="C886">IFERROR(INDEX('Player Raw Data'!D:D,Match($A886,'Player Raw Data'!$B:$B,0)),"")</f>
        <v/>
      </c>
      <c r="D886" t="str">
        <f t="array" ref="D886">IFERROR(IF(A886=A885, INDEX('Player Raw Data'!E:E,Match($A886,'Player Raw Data'!$B:$B,0)+2),INDEX('Player Raw Data'!E:E,Match($A886,'Player Raw Data'!$B:$B,0))),"")</f>
        <v/>
      </c>
      <c r="E886" s="27" t="str">
        <f>IFERROR(__xludf.DUMMYFUNCTION("IFERROR(ARRAY_CONSTRAIN(SPLIT(INDEX('Daily Raw Data'!G:G,Match($A886,'Daily Raw Data'!$B:$B,0)),"":""),1,1),"""")"),"")</f>
        <v/>
      </c>
      <c r="F886" t="str">
        <f t="array" ref="F886">IFERROR(INDEX('Daily Raw Data'!H:H,Match($A886,'Daily Raw Data'!$B:$B,0)),"")</f>
        <v/>
      </c>
      <c r="G886" t="str">
        <f t="array" ref="G886">IFERROR(INDEX('Daily Raw Data'!I:I,Match($A886,'Daily Raw Data'!$B:$B,0)),"")</f>
        <v/>
      </c>
      <c r="H886" t="str">
        <f t="array" ref="H886">IFERROR(INDEX('Daily Raw Data'!N:N,Match($A886,'Daily Raw Data'!$B:$B,0)),"")</f>
        <v/>
      </c>
      <c r="I886" t="str">
        <f t="array" ref="I886">IFERROR(INDEX('Daily Raw Data'!O:O,Match($A886,'Daily Raw Data'!$B:$B,0)),"")</f>
        <v/>
      </c>
      <c r="J886" t="str">
        <f t="array" ref="J886">IFERROR(INDEX('Daily Raw Data'!S:S,Match($A886,'Daily Raw Data'!$B:$B,0)),"")</f>
        <v/>
      </c>
      <c r="K886" t="str">
        <f t="array" ref="K886">IFERROR(INDEX('Daily Raw Data'!T:T,Match($A886,'Daily Raw Data'!$B:$B,0)),"")</f>
        <v/>
      </c>
      <c r="L886" t="str">
        <f t="array" ref="L886">IFERROR(INDEX('Daily Raw Data'!U:U,Match($A886,'Daily Raw Data'!$B:$B,0)),"")</f>
        <v/>
      </c>
      <c r="M886" t="str">
        <f t="array" ref="M886">IFERROR(INDEX('Daily Raw Data'!V:V,Match($A886,'Daily Raw Data'!$B:$B,0)),"")</f>
        <v/>
      </c>
      <c r="N886" t="str">
        <f t="array" ref="N886">IFERROR(INDEX('Daily Raw Data'!W:W,Match($A886,'Daily Raw Data'!$B:$B,0)),"")</f>
        <v/>
      </c>
      <c r="O886" t="str">
        <f t="array" ref="O886">IFERROR(INDEX('Daily Raw Data'!Y:Y,Match($A886,'Daily Raw Data'!$B:$B,0)),"")</f>
        <v/>
      </c>
      <c r="P886" t="str">
        <f t="shared" si="1"/>
        <v/>
      </c>
      <c r="Q886" s="14" t="str">
        <f t="shared" si="2"/>
        <v/>
      </c>
      <c r="R886" s="15" t="str">
        <f>IFERROR(__xludf.DUMMYFUNCTION("IF($A886="""","""", IFERROR(PERCENTRANK.INC(FILTER(P:P,$E:$E&lt;&gt;""""),P886)*100,""""))"),"")</f>
        <v/>
      </c>
      <c r="S886" s="15" t="str">
        <f>IFERROR(__xludf.DUMMYFUNCTION("IF($A886="""","""",IFERROR(PERCENTRANK.INC(FILTER(Q:Q,$E:$E&lt;&gt;""""),Q886)*100,""""))"),"")</f>
        <v/>
      </c>
    </row>
    <row r="887">
      <c r="B887" t="str">
        <f t="array" ref="B887">IFERROR(INDEX('Player Raw Data'!C:C,Match($A887,'Player Raw Data'!$B:$B,0)),"")</f>
        <v/>
      </c>
      <c r="C887" t="str">
        <f t="array" ref="C887">IFERROR(INDEX('Player Raw Data'!D:D,Match($A887,'Player Raw Data'!$B:$B,0)),"")</f>
        <v/>
      </c>
      <c r="D887" t="str">
        <f t="array" ref="D887">IFERROR(IF(A887=A886, INDEX('Player Raw Data'!E:E,Match($A887,'Player Raw Data'!$B:$B,0)+2),INDEX('Player Raw Data'!E:E,Match($A887,'Player Raw Data'!$B:$B,0))),"")</f>
        <v/>
      </c>
      <c r="E887" s="27" t="str">
        <f>IFERROR(__xludf.DUMMYFUNCTION("IFERROR(ARRAY_CONSTRAIN(SPLIT(INDEX('Daily Raw Data'!G:G,Match($A887,'Daily Raw Data'!$B:$B,0)),"":""),1,1),"""")"),"")</f>
        <v/>
      </c>
      <c r="F887" t="str">
        <f t="array" ref="F887">IFERROR(INDEX('Daily Raw Data'!H:H,Match($A887,'Daily Raw Data'!$B:$B,0)),"")</f>
        <v/>
      </c>
      <c r="G887" t="str">
        <f t="array" ref="G887">IFERROR(INDEX('Daily Raw Data'!I:I,Match($A887,'Daily Raw Data'!$B:$B,0)),"")</f>
        <v/>
      </c>
      <c r="H887" t="str">
        <f t="array" ref="H887">IFERROR(INDEX('Daily Raw Data'!N:N,Match($A887,'Daily Raw Data'!$B:$B,0)),"")</f>
        <v/>
      </c>
      <c r="I887" t="str">
        <f t="array" ref="I887">IFERROR(INDEX('Daily Raw Data'!O:O,Match($A887,'Daily Raw Data'!$B:$B,0)),"")</f>
        <v/>
      </c>
      <c r="J887" t="str">
        <f t="array" ref="J887">IFERROR(INDEX('Daily Raw Data'!S:S,Match($A887,'Daily Raw Data'!$B:$B,0)),"")</f>
        <v/>
      </c>
      <c r="K887" t="str">
        <f t="array" ref="K887">IFERROR(INDEX('Daily Raw Data'!T:T,Match($A887,'Daily Raw Data'!$B:$B,0)),"")</f>
        <v/>
      </c>
      <c r="L887" t="str">
        <f t="array" ref="L887">IFERROR(INDEX('Daily Raw Data'!U:U,Match($A887,'Daily Raw Data'!$B:$B,0)),"")</f>
        <v/>
      </c>
      <c r="M887" t="str">
        <f t="array" ref="M887">IFERROR(INDEX('Daily Raw Data'!V:V,Match($A887,'Daily Raw Data'!$B:$B,0)),"")</f>
        <v/>
      </c>
      <c r="N887" t="str">
        <f t="array" ref="N887">IFERROR(INDEX('Daily Raw Data'!W:W,Match($A887,'Daily Raw Data'!$B:$B,0)),"")</f>
        <v/>
      </c>
      <c r="O887" t="str">
        <f t="array" ref="O887">IFERROR(INDEX('Daily Raw Data'!Y:Y,Match($A887,'Daily Raw Data'!$B:$B,0)),"")</f>
        <v/>
      </c>
      <c r="P887" t="str">
        <f t="shared" si="1"/>
        <v/>
      </c>
      <c r="Q887" s="14" t="str">
        <f t="shared" si="2"/>
        <v/>
      </c>
      <c r="R887" s="15" t="str">
        <f>IFERROR(__xludf.DUMMYFUNCTION("IF($A887="""","""", IFERROR(PERCENTRANK.INC(FILTER(P:P,$E:$E&lt;&gt;""""),P887)*100,""""))"),"")</f>
        <v/>
      </c>
      <c r="S887" s="15" t="str">
        <f>IFERROR(__xludf.DUMMYFUNCTION("IF($A887="""","""",IFERROR(PERCENTRANK.INC(FILTER(Q:Q,$E:$E&lt;&gt;""""),Q887)*100,""""))"),"")</f>
        <v/>
      </c>
    </row>
    <row r="888">
      <c r="B888" t="str">
        <f t="array" ref="B888">IFERROR(INDEX('Player Raw Data'!C:C,Match($A888,'Player Raw Data'!$B:$B,0)),"")</f>
        <v/>
      </c>
      <c r="C888" t="str">
        <f t="array" ref="C888">IFERROR(INDEX('Player Raw Data'!D:D,Match($A888,'Player Raw Data'!$B:$B,0)),"")</f>
        <v/>
      </c>
      <c r="D888" t="str">
        <f t="array" ref="D888">IFERROR(IF(A888=A887, INDEX('Player Raw Data'!E:E,Match($A888,'Player Raw Data'!$B:$B,0)+2),INDEX('Player Raw Data'!E:E,Match($A888,'Player Raw Data'!$B:$B,0))),"")</f>
        <v/>
      </c>
      <c r="E888" s="27" t="str">
        <f>IFERROR(__xludf.DUMMYFUNCTION("IFERROR(ARRAY_CONSTRAIN(SPLIT(INDEX('Daily Raw Data'!G:G,Match($A888,'Daily Raw Data'!$B:$B,0)),"":""),1,1),"""")"),"")</f>
        <v/>
      </c>
      <c r="F888" t="str">
        <f t="array" ref="F888">IFERROR(INDEX('Daily Raw Data'!H:H,Match($A888,'Daily Raw Data'!$B:$B,0)),"")</f>
        <v/>
      </c>
      <c r="G888" t="str">
        <f t="array" ref="G888">IFERROR(INDEX('Daily Raw Data'!I:I,Match($A888,'Daily Raw Data'!$B:$B,0)),"")</f>
        <v/>
      </c>
      <c r="H888" t="str">
        <f t="array" ref="H888">IFERROR(INDEX('Daily Raw Data'!N:N,Match($A888,'Daily Raw Data'!$B:$B,0)),"")</f>
        <v/>
      </c>
      <c r="I888" t="str">
        <f t="array" ref="I888">IFERROR(INDEX('Daily Raw Data'!O:O,Match($A888,'Daily Raw Data'!$B:$B,0)),"")</f>
        <v/>
      </c>
      <c r="J888" t="str">
        <f t="array" ref="J888">IFERROR(INDEX('Daily Raw Data'!S:S,Match($A888,'Daily Raw Data'!$B:$B,0)),"")</f>
        <v/>
      </c>
      <c r="K888" t="str">
        <f t="array" ref="K888">IFERROR(INDEX('Daily Raw Data'!T:T,Match($A888,'Daily Raw Data'!$B:$B,0)),"")</f>
        <v/>
      </c>
      <c r="L888" t="str">
        <f t="array" ref="L888">IFERROR(INDEX('Daily Raw Data'!U:U,Match($A888,'Daily Raw Data'!$B:$B,0)),"")</f>
        <v/>
      </c>
      <c r="M888" t="str">
        <f t="array" ref="M888">IFERROR(INDEX('Daily Raw Data'!V:V,Match($A888,'Daily Raw Data'!$B:$B,0)),"")</f>
        <v/>
      </c>
      <c r="N888" t="str">
        <f t="array" ref="N888">IFERROR(INDEX('Daily Raw Data'!W:W,Match($A888,'Daily Raw Data'!$B:$B,0)),"")</f>
        <v/>
      </c>
      <c r="O888" t="str">
        <f t="array" ref="O888">IFERROR(INDEX('Daily Raw Data'!Y:Y,Match($A888,'Daily Raw Data'!$B:$B,0)),"")</f>
        <v/>
      </c>
      <c r="P888" t="str">
        <f t="shared" si="1"/>
        <v/>
      </c>
      <c r="Q888" s="14" t="str">
        <f t="shared" si="2"/>
        <v/>
      </c>
      <c r="R888" s="15" t="str">
        <f>IFERROR(__xludf.DUMMYFUNCTION("IF($A888="""","""", IFERROR(PERCENTRANK.INC(FILTER(P:P,$E:$E&lt;&gt;""""),P888)*100,""""))"),"")</f>
        <v/>
      </c>
      <c r="S888" s="15" t="str">
        <f>IFERROR(__xludf.DUMMYFUNCTION("IF($A888="""","""",IFERROR(PERCENTRANK.INC(FILTER(Q:Q,$E:$E&lt;&gt;""""),Q888)*100,""""))"),"")</f>
        <v/>
      </c>
    </row>
    <row r="889">
      <c r="B889" t="str">
        <f t="array" ref="B889">IFERROR(INDEX('Player Raw Data'!C:C,Match($A889,'Player Raw Data'!$B:$B,0)),"")</f>
        <v/>
      </c>
      <c r="C889" t="str">
        <f t="array" ref="C889">IFERROR(INDEX('Player Raw Data'!D:D,Match($A889,'Player Raw Data'!$B:$B,0)),"")</f>
        <v/>
      </c>
      <c r="D889" t="str">
        <f t="array" ref="D889">IFERROR(IF(A889=A888, INDEX('Player Raw Data'!E:E,Match($A889,'Player Raw Data'!$B:$B,0)+2),INDEX('Player Raw Data'!E:E,Match($A889,'Player Raw Data'!$B:$B,0))),"")</f>
        <v/>
      </c>
      <c r="E889" s="27" t="str">
        <f>IFERROR(__xludf.DUMMYFUNCTION("IFERROR(ARRAY_CONSTRAIN(SPLIT(INDEX('Daily Raw Data'!G:G,Match($A889,'Daily Raw Data'!$B:$B,0)),"":""),1,1),"""")"),"")</f>
        <v/>
      </c>
      <c r="F889" t="str">
        <f t="array" ref="F889">IFERROR(INDEX('Daily Raw Data'!H:H,Match($A889,'Daily Raw Data'!$B:$B,0)),"")</f>
        <v/>
      </c>
      <c r="G889" t="str">
        <f t="array" ref="G889">IFERROR(INDEX('Daily Raw Data'!I:I,Match($A889,'Daily Raw Data'!$B:$B,0)),"")</f>
        <v/>
      </c>
      <c r="H889" t="str">
        <f t="array" ref="H889">IFERROR(INDEX('Daily Raw Data'!N:N,Match($A889,'Daily Raw Data'!$B:$B,0)),"")</f>
        <v/>
      </c>
      <c r="I889" t="str">
        <f t="array" ref="I889">IFERROR(INDEX('Daily Raw Data'!O:O,Match($A889,'Daily Raw Data'!$B:$B,0)),"")</f>
        <v/>
      </c>
      <c r="J889" t="str">
        <f t="array" ref="J889">IFERROR(INDEX('Daily Raw Data'!S:S,Match($A889,'Daily Raw Data'!$B:$B,0)),"")</f>
        <v/>
      </c>
      <c r="K889" t="str">
        <f t="array" ref="K889">IFERROR(INDEX('Daily Raw Data'!T:T,Match($A889,'Daily Raw Data'!$B:$B,0)),"")</f>
        <v/>
      </c>
      <c r="L889" t="str">
        <f t="array" ref="L889">IFERROR(INDEX('Daily Raw Data'!U:U,Match($A889,'Daily Raw Data'!$B:$B,0)),"")</f>
        <v/>
      </c>
      <c r="M889" t="str">
        <f t="array" ref="M889">IFERROR(INDEX('Daily Raw Data'!V:V,Match($A889,'Daily Raw Data'!$B:$B,0)),"")</f>
        <v/>
      </c>
      <c r="N889" t="str">
        <f t="array" ref="N889">IFERROR(INDEX('Daily Raw Data'!W:W,Match($A889,'Daily Raw Data'!$B:$B,0)),"")</f>
        <v/>
      </c>
      <c r="O889" t="str">
        <f t="array" ref="O889">IFERROR(INDEX('Daily Raw Data'!Y:Y,Match($A889,'Daily Raw Data'!$B:$B,0)),"")</f>
        <v/>
      </c>
      <c r="P889" t="str">
        <f t="shared" si="1"/>
        <v/>
      </c>
      <c r="Q889" s="14" t="str">
        <f t="shared" si="2"/>
        <v/>
      </c>
      <c r="R889" s="15" t="str">
        <f>IFERROR(__xludf.DUMMYFUNCTION("IF($A889="""","""", IFERROR(PERCENTRANK.INC(FILTER(P:P,$E:$E&lt;&gt;""""),P889)*100,""""))"),"")</f>
        <v/>
      </c>
      <c r="S889" s="15" t="str">
        <f>IFERROR(__xludf.DUMMYFUNCTION("IF($A889="""","""",IFERROR(PERCENTRANK.INC(FILTER(Q:Q,$E:$E&lt;&gt;""""),Q889)*100,""""))"),"")</f>
        <v/>
      </c>
    </row>
    <row r="890">
      <c r="B890" t="str">
        <f t="array" ref="B890">IFERROR(INDEX('Player Raw Data'!C:C,Match($A890,'Player Raw Data'!$B:$B,0)),"")</f>
        <v/>
      </c>
      <c r="C890" t="str">
        <f t="array" ref="C890">IFERROR(INDEX('Player Raw Data'!D:D,Match($A890,'Player Raw Data'!$B:$B,0)),"")</f>
        <v/>
      </c>
      <c r="D890" t="str">
        <f t="array" ref="D890">IFERROR(IF(A890=A889, INDEX('Player Raw Data'!E:E,Match($A890,'Player Raw Data'!$B:$B,0)+2),INDEX('Player Raw Data'!E:E,Match($A890,'Player Raw Data'!$B:$B,0))),"")</f>
        <v/>
      </c>
      <c r="E890" s="27" t="str">
        <f>IFERROR(__xludf.DUMMYFUNCTION("IFERROR(ARRAY_CONSTRAIN(SPLIT(INDEX('Daily Raw Data'!G:G,Match($A890,'Daily Raw Data'!$B:$B,0)),"":""),1,1),"""")"),"")</f>
        <v/>
      </c>
      <c r="F890" t="str">
        <f t="array" ref="F890">IFERROR(INDEX('Daily Raw Data'!H:H,Match($A890,'Daily Raw Data'!$B:$B,0)),"")</f>
        <v/>
      </c>
      <c r="G890" t="str">
        <f t="array" ref="G890">IFERROR(INDEX('Daily Raw Data'!I:I,Match($A890,'Daily Raw Data'!$B:$B,0)),"")</f>
        <v/>
      </c>
      <c r="H890" t="str">
        <f t="array" ref="H890">IFERROR(INDEX('Daily Raw Data'!N:N,Match($A890,'Daily Raw Data'!$B:$B,0)),"")</f>
        <v/>
      </c>
      <c r="I890" t="str">
        <f t="array" ref="I890">IFERROR(INDEX('Daily Raw Data'!O:O,Match($A890,'Daily Raw Data'!$B:$B,0)),"")</f>
        <v/>
      </c>
      <c r="J890" t="str">
        <f t="array" ref="J890">IFERROR(INDEX('Daily Raw Data'!S:S,Match($A890,'Daily Raw Data'!$B:$B,0)),"")</f>
        <v/>
      </c>
      <c r="K890" t="str">
        <f t="array" ref="K890">IFERROR(INDEX('Daily Raw Data'!T:T,Match($A890,'Daily Raw Data'!$B:$B,0)),"")</f>
        <v/>
      </c>
      <c r="L890" t="str">
        <f t="array" ref="L890">IFERROR(INDEX('Daily Raw Data'!U:U,Match($A890,'Daily Raw Data'!$B:$B,0)),"")</f>
        <v/>
      </c>
      <c r="M890" t="str">
        <f t="array" ref="M890">IFERROR(INDEX('Daily Raw Data'!V:V,Match($A890,'Daily Raw Data'!$B:$B,0)),"")</f>
        <v/>
      </c>
      <c r="N890" t="str">
        <f t="array" ref="N890">IFERROR(INDEX('Daily Raw Data'!W:W,Match($A890,'Daily Raw Data'!$B:$B,0)),"")</f>
        <v/>
      </c>
      <c r="O890" t="str">
        <f t="array" ref="O890">IFERROR(INDEX('Daily Raw Data'!Y:Y,Match($A890,'Daily Raw Data'!$B:$B,0)),"")</f>
        <v/>
      </c>
      <c r="P890" t="str">
        <f t="shared" si="1"/>
        <v/>
      </c>
      <c r="Q890" s="14" t="str">
        <f t="shared" si="2"/>
        <v/>
      </c>
      <c r="R890" s="15" t="str">
        <f>IFERROR(__xludf.DUMMYFUNCTION("IF($A890="""","""", IFERROR(PERCENTRANK.INC(FILTER(P:P,$E:$E&lt;&gt;""""),P890)*100,""""))"),"")</f>
        <v/>
      </c>
      <c r="S890" s="15" t="str">
        <f>IFERROR(__xludf.DUMMYFUNCTION("IF($A890="""","""",IFERROR(PERCENTRANK.INC(FILTER(Q:Q,$E:$E&lt;&gt;""""),Q890)*100,""""))"),"")</f>
        <v/>
      </c>
    </row>
    <row r="891">
      <c r="B891" t="str">
        <f t="array" ref="B891">IFERROR(INDEX('Player Raw Data'!C:C,Match($A891,'Player Raw Data'!$B:$B,0)),"")</f>
        <v/>
      </c>
      <c r="C891" t="str">
        <f t="array" ref="C891">IFERROR(INDEX('Player Raw Data'!D:D,Match($A891,'Player Raw Data'!$B:$B,0)),"")</f>
        <v/>
      </c>
      <c r="D891" t="str">
        <f t="array" ref="D891">IFERROR(IF(A891=A890, INDEX('Player Raw Data'!E:E,Match($A891,'Player Raw Data'!$B:$B,0)+2),INDEX('Player Raw Data'!E:E,Match($A891,'Player Raw Data'!$B:$B,0))),"")</f>
        <v/>
      </c>
      <c r="E891" s="27" t="str">
        <f>IFERROR(__xludf.DUMMYFUNCTION("IFERROR(ARRAY_CONSTRAIN(SPLIT(INDEX('Daily Raw Data'!G:G,Match($A891,'Daily Raw Data'!$B:$B,0)),"":""),1,1),"""")"),"")</f>
        <v/>
      </c>
      <c r="F891" t="str">
        <f t="array" ref="F891">IFERROR(INDEX('Daily Raw Data'!H:H,Match($A891,'Daily Raw Data'!$B:$B,0)),"")</f>
        <v/>
      </c>
      <c r="G891" t="str">
        <f t="array" ref="G891">IFERROR(INDEX('Daily Raw Data'!I:I,Match($A891,'Daily Raw Data'!$B:$B,0)),"")</f>
        <v/>
      </c>
      <c r="H891" t="str">
        <f t="array" ref="H891">IFERROR(INDEX('Daily Raw Data'!N:N,Match($A891,'Daily Raw Data'!$B:$B,0)),"")</f>
        <v/>
      </c>
      <c r="I891" t="str">
        <f t="array" ref="I891">IFERROR(INDEX('Daily Raw Data'!O:O,Match($A891,'Daily Raw Data'!$B:$B,0)),"")</f>
        <v/>
      </c>
      <c r="J891" t="str">
        <f t="array" ref="J891">IFERROR(INDEX('Daily Raw Data'!S:S,Match($A891,'Daily Raw Data'!$B:$B,0)),"")</f>
        <v/>
      </c>
      <c r="K891" t="str">
        <f t="array" ref="K891">IFERROR(INDEX('Daily Raw Data'!T:T,Match($A891,'Daily Raw Data'!$B:$B,0)),"")</f>
        <v/>
      </c>
      <c r="L891" t="str">
        <f t="array" ref="L891">IFERROR(INDEX('Daily Raw Data'!U:U,Match($A891,'Daily Raw Data'!$B:$B,0)),"")</f>
        <v/>
      </c>
      <c r="M891" t="str">
        <f t="array" ref="M891">IFERROR(INDEX('Daily Raw Data'!V:V,Match($A891,'Daily Raw Data'!$B:$B,0)),"")</f>
        <v/>
      </c>
      <c r="N891" t="str">
        <f t="array" ref="N891">IFERROR(INDEX('Daily Raw Data'!W:W,Match($A891,'Daily Raw Data'!$B:$B,0)),"")</f>
        <v/>
      </c>
      <c r="O891" t="str">
        <f t="array" ref="O891">IFERROR(INDEX('Daily Raw Data'!Y:Y,Match($A891,'Daily Raw Data'!$B:$B,0)),"")</f>
        <v/>
      </c>
      <c r="P891" t="str">
        <f t="shared" si="1"/>
        <v/>
      </c>
      <c r="Q891" s="14" t="str">
        <f t="shared" si="2"/>
        <v/>
      </c>
      <c r="R891" s="15" t="str">
        <f>IFERROR(__xludf.DUMMYFUNCTION("IF($A891="""","""", IFERROR(PERCENTRANK.INC(FILTER(P:P,$E:$E&lt;&gt;""""),P891)*100,""""))"),"")</f>
        <v/>
      </c>
      <c r="S891" s="15" t="str">
        <f>IFERROR(__xludf.DUMMYFUNCTION("IF($A891="""","""",IFERROR(PERCENTRANK.INC(FILTER(Q:Q,$E:$E&lt;&gt;""""),Q891)*100,""""))"),"")</f>
        <v/>
      </c>
    </row>
    <row r="892">
      <c r="B892" t="str">
        <f t="array" ref="B892">IFERROR(INDEX('Player Raw Data'!C:C,Match($A892,'Player Raw Data'!$B:$B,0)),"")</f>
        <v/>
      </c>
      <c r="C892" t="str">
        <f t="array" ref="C892">IFERROR(INDEX('Player Raw Data'!D:D,Match($A892,'Player Raw Data'!$B:$B,0)),"")</f>
        <v/>
      </c>
      <c r="D892" t="str">
        <f t="array" ref="D892">IFERROR(IF(A892=A891, INDEX('Player Raw Data'!E:E,Match($A892,'Player Raw Data'!$B:$B,0)+2),INDEX('Player Raw Data'!E:E,Match($A892,'Player Raw Data'!$B:$B,0))),"")</f>
        <v/>
      </c>
      <c r="E892" s="27" t="str">
        <f>IFERROR(__xludf.DUMMYFUNCTION("IFERROR(ARRAY_CONSTRAIN(SPLIT(INDEX('Daily Raw Data'!G:G,Match($A892,'Daily Raw Data'!$B:$B,0)),"":""),1,1),"""")"),"")</f>
        <v/>
      </c>
      <c r="F892" t="str">
        <f t="array" ref="F892">IFERROR(INDEX('Daily Raw Data'!H:H,Match($A892,'Daily Raw Data'!$B:$B,0)),"")</f>
        <v/>
      </c>
      <c r="G892" t="str">
        <f t="array" ref="G892">IFERROR(INDEX('Daily Raw Data'!I:I,Match($A892,'Daily Raw Data'!$B:$B,0)),"")</f>
        <v/>
      </c>
      <c r="H892" t="str">
        <f t="array" ref="H892">IFERROR(INDEX('Daily Raw Data'!N:N,Match($A892,'Daily Raw Data'!$B:$B,0)),"")</f>
        <v/>
      </c>
      <c r="I892" t="str">
        <f t="array" ref="I892">IFERROR(INDEX('Daily Raw Data'!O:O,Match($A892,'Daily Raw Data'!$B:$B,0)),"")</f>
        <v/>
      </c>
      <c r="J892" t="str">
        <f t="array" ref="J892">IFERROR(INDEX('Daily Raw Data'!S:S,Match($A892,'Daily Raw Data'!$B:$B,0)),"")</f>
        <v/>
      </c>
      <c r="K892" t="str">
        <f t="array" ref="K892">IFERROR(INDEX('Daily Raw Data'!T:T,Match($A892,'Daily Raw Data'!$B:$B,0)),"")</f>
        <v/>
      </c>
      <c r="L892" t="str">
        <f t="array" ref="L892">IFERROR(INDEX('Daily Raw Data'!U:U,Match($A892,'Daily Raw Data'!$B:$B,0)),"")</f>
        <v/>
      </c>
      <c r="M892" t="str">
        <f t="array" ref="M892">IFERROR(INDEX('Daily Raw Data'!V:V,Match($A892,'Daily Raw Data'!$B:$B,0)),"")</f>
        <v/>
      </c>
      <c r="N892" t="str">
        <f t="array" ref="N892">IFERROR(INDEX('Daily Raw Data'!W:W,Match($A892,'Daily Raw Data'!$B:$B,0)),"")</f>
        <v/>
      </c>
      <c r="O892" t="str">
        <f t="array" ref="O892">IFERROR(INDEX('Daily Raw Data'!Y:Y,Match($A892,'Daily Raw Data'!$B:$B,0)),"")</f>
        <v/>
      </c>
      <c r="P892" t="str">
        <f t="shared" si="1"/>
        <v/>
      </c>
      <c r="Q892" s="14" t="str">
        <f t="shared" si="2"/>
        <v/>
      </c>
      <c r="R892" s="15" t="str">
        <f>IFERROR(__xludf.DUMMYFUNCTION("IF($A892="""","""", IFERROR(PERCENTRANK.INC(FILTER(P:P,$E:$E&lt;&gt;""""),P892)*100,""""))"),"")</f>
        <v/>
      </c>
      <c r="S892" s="15" t="str">
        <f>IFERROR(__xludf.DUMMYFUNCTION("IF($A892="""","""",IFERROR(PERCENTRANK.INC(FILTER(Q:Q,$E:$E&lt;&gt;""""),Q892)*100,""""))"),"")</f>
        <v/>
      </c>
    </row>
    <row r="893">
      <c r="B893" t="str">
        <f t="array" ref="B893">IFERROR(INDEX('Player Raw Data'!C:C,Match($A893,'Player Raw Data'!$B:$B,0)),"")</f>
        <v/>
      </c>
      <c r="C893" t="str">
        <f t="array" ref="C893">IFERROR(INDEX('Player Raw Data'!D:D,Match($A893,'Player Raw Data'!$B:$B,0)),"")</f>
        <v/>
      </c>
      <c r="D893" t="str">
        <f t="array" ref="D893">IFERROR(IF(A893=A892, INDEX('Player Raw Data'!E:E,Match($A893,'Player Raw Data'!$B:$B,0)+2),INDEX('Player Raw Data'!E:E,Match($A893,'Player Raw Data'!$B:$B,0))),"")</f>
        <v/>
      </c>
      <c r="E893" s="27" t="str">
        <f>IFERROR(__xludf.DUMMYFUNCTION("IFERROR(ARRAY_CONSTRAIN(SPLIT(INDEX('Daily Raw Data'!G:G,Match($A893,'Daily Raw Data'!$B:$B,0)),"":""),1,1),"""")"),"")</f>
        <v/>
      </c>
      <c r="F893" t="str">
        <f t="array" ref="F893">IFERROR(INDEX('Daily Raw Data'!H:H,Match($A893,'Daily Raw Data'!$B:$B,0)),"")</f>
        <v/>
      </c>
      <c r="G893" t="str">
        <f t="array" ref="G893">IFERROR(INDEX('Daily Raw Data'!I:I,Match($A893,'Daily Raw Data'!$B:$B,0)),"")</f>
        <v/>
      </c>
      <c r="H893" t="str">
        <f t="array" ref="H893">IFERROR(INDEX('Daily Raw Data'!N:N,Match($A893,'Daily Raw Data'!$B:$B,0)),"")</f>
        <v/>
      </c>
      <c r="I893" t="str">
        <f t="array" ref="I893">IFERROR(INDEX('Daily Raw Data'!O:O,Match($A893,'Daily Raw Data'!$B:$B,0)),"")</f>
        <v/>
      </c>
      <c r="J893" t="str">
        <f t="array" ref="J893">IFERROR(INDEX('Daily Raw Data'!S:S,Match($A893,'Daily Raw Data'!$B:$B,0)),"")</f>
        <v/>
      </c>
      <c r="K893" t="str">
        <f t="array" ref="K893">IFERROR(INDEX('Daily Raw Data'!T:T,Match($A893,'Daily Raw Data'!$B:$B,0)),"")</f>
        <v/>
      </c>
      <c r="L893" t="str">
        <f t="array" ref="L893">IFERROR(INDEX('Daily Raw Data'!U:U,Match($A893,'Daily Raw Data'!$B:$B,0)),"")</f>
        <v/>
      </c>
      <c r="M893" t="str">
        <f t="array" ref="M893">IFERROR(INDEX('Daily Raw Data'!V:V,Match($A893,'Daily Raw Data'!$B:$B,0)),"")</f>
        <v/>
      </c>
      <c r="N893" t="str">
        <f t="array" ref="N893">IFERROR(INDEX('Daily Raw Data'!W:W,Match($A893,'Daily Raw Data'!$B:$B,0)),"")</f>
        <v/>
      </c>
      <c r="O893" t="str">
        <f t="array" ref="O893">IFERROR(INDEX('Daily Raw Data'!Y:Y,Match($A893,'Daily Raw Data'!$B:$B,0)),"")</f>
        <v/>
      </c>
      <c r="P893" t="str">
        <f t="shared" si="1"/>
        <v/>
      </c>
      <c r="Q893" s="14" t="str">
        <f t="shared" si="2"/>
        <v/>
      </c>
      <c r="R893" s="15" t="str">
        <f>IFERROR(__xludf.DUMMYFUNCTION("IF($A893="""","""", IFERROR(PERCENTRANK.INC(FILTER(P:P,$E:$E&lt;&gt;""""),P893)*100,""""))"),"")</f>
        <v/>
      </c>
      <c r="S893" s="15" t="str">
        <f>IFERROR(__xludf.DUMMYFUNCTION("IF($A893="""","""",IFERROR(PERCENTRANK.INC(FILTER(Q:Q,$E:$E&lt;&gt;""""),Q893)*100,""""))"),"")</f>
        <v/>
      </c>
    </row>
    <row r="894">
      <c r="B894" t="str">
        <f t="array" ref="B894">IFERROR(INDEX('Player Raw Data'!C:C,Match($A894,'Player Raw Data'!$B:$B,0)),"")</f>
        <v/>
      </c>
      <c r="C894" t="str">
        <f t="array" ref="C894">IFERROR(INDEX('Player Raw Data'!D:D,Match($A894,'Player Raw Data'!$B:$B,0)),"")</f>
        <v/>
      </c>
      <c r="D894" t="str">
        <f t="array" ref="D894">IFERROR(IF(A894=A893, INDEX('Player Raw Data'!E:E,Match($A894,'Player Raw Data'!$B:$B,0)+2),INDEX('Player Raw Data'!E:E,Match($A894,'Player Raw Data'!$B:$B,0))),"")</f>
        <v/>
      </c>
      <c r="E894" s="27" t="str">
        <f>IFERROR(__xludf.DUMMYFUNCTION("IFERROR(ARRAY_CONSTRAIN(SPLIT(INDEX('Daily Raw Data'!G:G,Match($A894,'Daily Raw Data'!$B:$B,0)),"":""),1,1),"""")"),"")</f>
        <v/>
      </c>
      <c r="F894" t="str">
        <f t="array" ref="F894">IFERROR(INDEX('Daily Raw Data'!H:H,Match($A894,'Daily Raw Data'!$B:$B,0)),"")</f>
        <v/>
      </c>
      <c r="G894" t="str">
        <f t="array" ref="G894">IFERROR(INDEX('Daily Raw Data'!I:I,Match($A894,'Daily Raw Data'!$B:$B,0)),"")</f>
        <v/>
      </c>
      <c r="H894" t="str">
        <f t="array" ref="H894">IFERROR(INDEX('Daily Raw Data'!N:N,Match($A894,'Daily Raw Data'!$B:$B,0)),"")</f>
        <v/>
      </c>
      <c r="I894" t="str">
        <f t="array" ref="I894">IFERROR(INDEX('Daily Raw Data'!O:O,Match($A894,'Daily Raw Data'!$B:$B,0)),"")</f>
        <v/>
      </c>
      <c r="J894" t="str">
        <f t="array" ref="J894">IFERROR(INDEX('Daily Raw Data'!S:S,Match($A894,'Daily Raw Data'!$B:$B,0)),"")</f>
        <v/>
      </c>
      <c r="K894" t="str">
        <f t="array" ref="K894">IFERROR(INDEX('Daily Raw Data'!T:T,Match($A894,'Daily Raw Data'!$B:$B,0)),"")</f>
        <v/>
      </c>
      <c r="L894" t="str">
        <f t="array" ref="L894">IFERROR(INDEX('Daily Raw Data'!U:U,Match($A894,'Daily Raw Data'!$B:$B,0)),"")</f>
        <v/>
      </c>
      <c r="M894" t="str">
        <f t="array" ref="M894">IFERROR(INDEX('Daily Raw Data'!V:V,Match($A894,'Daily Raw Data'!$B:$B,0)),"")</f>
        <v/>
      </c>
      <c r="N894" t="str">
        <f t="array" ref="N894">IFERROR(INDEX('Daily Raw Data'!W:W,Match($A894,'Daily Raw Data'!$B:$B,0)),"")</f>
        <v/>
      </c>
      <c r="O894" t="str">
        <f t="array" ref="O894">IFERROR(INDEX('Daily Raw Data'!Y:Y,Match($A894,'Daily Raw Data'!$B:$B,0)),"")</f>
        <v/>
      </c>
      <c r="P894" t="str">
        <f t="shared" si="1"/>
        <v/>
      </c>
      <c r="Q894" s="14" t="str">
        <f t="shared" si="2"/>
        <v/>
      </c>
      <c r="R894" s="15" t="str">
        <f>IFERROR(__xludf.DUMMYFUNCTION("IF($A894="""","""", IFERROR(PERCENTRANK.INC(FILTER(P:P,$E:$E&lt;&gt;""""),P894)*100,""""))"),"")</f>
        <v/>
      </c>
      <c r="S894" s="15" t="str">
        <f>IFERROR(__xludf.DUMMYFUNCTION("IF($A894="""","""",IFERROR(PERCENTRANK.INC(FILTER(Q:Q,$E:$E&lt;&gt;""""),Q894)*100,""""))"),"")</f>
        <v/>
      </c>
    </row>
    <row r="895">
      <c r="B895" t="str">
        <f t="array" ref="B895">IFERROR(INDEX('Player Raw Data'!C:C,Match($A895,'Player Raw Data'!$B:$B,0)),"")</f>
        <v/>
      </c>
      <c r="C895" t="str">
        <f t="array" ref="C895">IFERROR(INDEX('Player Raw Data'!D:D,Match($A895,'Player Raw Data'!$B:$B,0)),"")</f>
        <v/>
      </c>
      <c r="D895" t="str">
        <f t="array" ref="D895">IFERROR(IF(A895=A894, INDEX('Player Raw Data'!E:E,Match($A895,'Player Raw Data'!$B:$B,0)+2),INDEX('Player Raw Data'!E:E,Match($A895,'Player Raw Data'!$B:$B,0))),"")</f>
        <v/>
      </c>
      <c r="E895" s="27" t="str">
        <f>IFERROR(__xludf.DUMMYFUNCTION("IFERROR(ARRAY_CONSTRAIN(SPLIT(INDEX('Daily Raw Data'!G:G,Match($A895,'Daily Raw Data'!$B:$B,0)),"":""),1,1),"""")"),"")</f>
        <v/>
      </c>
      <c r="F895" t="str">
        <f t="array" ref="F895">IFERROR(INDEX('Daily Raw Data'!H:H,Match($A895,'Daily Raw Data'!$B:$B,0)),"")</f>
        <v/>
      </c>
      <c r="G895" t="str">
        <f t="array" ref="G895">IFERROR(INDEX('Daily Raw Data'!I:I,Match($A895,'Daily Raw Data'!$B:$B,0)),"")</f>
        <v/>
      </c>
      <c r="H895" t="str">
        <f t="array" ref="H895">IFERROR(INDEX('Daily Raw Data'!N:N,Match($A895,'Daily Raw Data'!$B:$B,0)),"")</f>
        <v/>
      </c>
      <c r="I895" t="str">
        <f t="array" ref="I895">IFERROR(INDEX('Daily Raw Data'!O:O,Match($A895,'Daily Raw Data'!$B:$B,0)),"")</f>
        <v/>
      </c>
      <c r="J895" t="str">
        <f t="array" ref="J895">IFERROR(INDEX('Daily Raw Data'!S:S,Match($A895,'Daily Raw Data'!$B:$B,0)),"")</f>
        <v/>
      </c>
      <c r="K895" t="str">
        <f t="array" ref="K895">IFERROR(INDEX('Daily Raw Data'!T:T,Match($A895,'Daily Raw Data'!$B:$B,0)),"")</f>
        <v/>
      </c>
      <c r="L895" t="str">
        <f t="array" ref="L895">IFERROR(INDEX('Daily Raw Data'!U:U,Match($A895,'Daily Raw Data'!$B:$B,0)),"")</f>
        <v/>
      </c>
      <c r="M895" t="str">
        <f t="array" ref="M895">IFERROR(INDEX('Daily Raw Data'!V:V,Match($A895,'Daily Raw Data'!$B:$B,0)),"")</f>
        <v/>
      </c>
      <c r="N895" t="str">
        <f t="array" ref="N895">IFERROR(INDEX('Daily Raw Data'!W:W,Match($A895,'Daily Raw Data'!$B:$B,0)),"")</f>
        <v/>
      </c>
      <c r="O895" t="str">
        <f t="array" ref="O895">IFERROR(INDEX('Daily Raw Data'!Y:Y,Match($A895,'Daily Raw Data'!$B:$B,0)),"")</f>
        <v/>
      </c>
      <c r="P895" t="str">
        <f t="shared" si="1"/>
        <v/>
      </c>
      <c r="Q895" s="14" t="str">
        <f t="shared" si="2"/>
        <v/>
      </c>
      <c r="R895" s="15" t="str">
        <f>IFERROR(__xludf.DUMMYFUNCTION("IF($A895="""","""", IFERROR(PERCENTRANK.INC(FILTER(P:P,$E:$E&lt;&gt;""""),P895)*100,""""))"),"")</f>
        <v/>
      </c>
      <c r="S895" s="15" t="str">
        <f>IFERROR(__xludf.DUMMYFUNCTION("IF($A895="""","""",IFERROR(PERCENTRANK.INC(FILTER(Q:Q,$E:$E&lt;&gt;""""),Q895)*100,""""))"),"")</f>
        <v/>
      </c>
    </row>
    <row r="896">
      <c r="B896" t="str">
        <f t="array" ref="B896">IFERROR(INDEX('Player Raw Data'!C:C,Match($A896,'Player Raw Data'!$B:$B,0)),"")</f>
        <v/>
      </c>
      <c r="C896" t="str">
        <f t="array" ref="C896">IFERROR(INDEX('Player Raw Data'!D:D,Match($A896,'Player Raw Data'!$B:$B,0)),"")</f>
        <v/>
      </c>
      <c r="D896" t="str">
        <f t="array" ref="D896">IFERROR(IF(A896=A895, INDEX('Player Raw Data'!E:E,Match($A896,'Player Raw Data'!$B:$B,0)+2),INDEX('Player Raw Data'!E:E,Match($A896,'Player Raw Data'!$B:$B,0))),"")</f>
        <v/>
      </c>
      <c r="E896" s="27" t="str">
        <f>IFERROR(__xludf.DUMMYFUNCTION("IFERROR(ARRAY_CONSTRAIN(SPLIT(INDEX('Daily Raw Data'!G:G,Match($A896,'Daily Raw Data'!$B:$B,0)),"":""),1,1),"""")"),"")</f>
        <v/>
      </c>
      <c r="F896" t="str">
        <f t="array" ref="F896">IFERROR(INDEX('Daily Raw Data'!H:H,Match($A896,'Daily Raw Data'!$B:$B,0)),"")</f>
        <v/>
      </c>
      <c r="G896" t="str">
        <f t="array" ref="G896">IFERROR(INDEX('Daily Raw Data'!I:I,Match($A896,'Daily Raw Data'!$B:$B,0)),"")</f>
        <v/>
      </c>
      <c r="H896" t="str">
        <f t="array" ref="H896">IFERROR(INDEX('Daily Raw Data'!N:N,Match($A896,'Daily Raw Data'!$B:$B,0)),"")</f>
        <v/>
      </c>
      <c r="I896" t="str">
        <f t="array" ref="I896">IFERROR(INDEX('Daily Raw Data'!O:O,Match($A896,'Daily Raw Data'!$B:$B,0)),"")</f>
        <v/>
      </c>
      <c r="J896" t="str">
        <f t="array" ref="J896">IFERROR(INDEX('Daily Raw Data'!S:S,Match($A896,'Daily Raw Data'!$B:$B,0)),"")</f>
        <v/>
      </c>
      <c r="K896" t="str">
        <f t="array" ref="K896">IFERROR(INDEX('Daily Raw Data'!T:T,Match($A896,'Daily Raw Data'!$B:$B,0)),"")</f>
        <v/>
      </c>
      <c r="L896" t="str">
        <f t="array" ref="L896">IFERROR(INDEX('Daily Raw Data'!U:U,Match($A896,'Daily Raw Data'!$B:$B,0)),"")</f>
        <v/>
      </c>
      <c r="M896" t="str">
        <f t="array" ref="M896">IFERROR(INDEX('Daily Raw Data'!V:V,Match($A896,'Daily Raw Data'!$B:$B,0)),"")</f>
        <v/>
      </c>
      <c r="N896" t="str">
        <f t="array" ref="N896">IFERROR(INDEX('Daily Raw Data'!W:W,Match($A896,'Daily Raw Data'!$B:$B,0)),"")</f>
        <v/>
      </c>
      <c r="O896" t="str">
        <f t="array" ref="O896">IFERROR(INDEX('Daily Raw Data'!Y:Y,Match($A896,'Daily Raw Data'!$B:$B,0)),"")</f>
        <v/>
      </c>
      <c r="P896" t="str">
        <f t="shared" si="1"/>
        <v/>
      </c>
      <c r="Q896" s="14" t="str">
        <f t="shared" si="2"/>
        <v/>
      </c>
      <c r="R896" s="15" t="str">
        <f>IFERROR(__xludf.DUMMYFUNCTION("IF($A896="""","""", IFERROR(PERCENTRANK.INC(FILTER(P:P,$E:$E&lt;&gt;""""),P896)*100,""""))"),"")</f>
        <v/>
      </c>
      <c r="S896" s="15" t="str">
        <f>IFERROR(__xludf.DUMMYFUNCTION("IF($A896="""","""",IFERROR(PERCENTRANK.INC(FILTER(Q:Q,$E:$E&lt;&gt;""""),Q896)*100,""""))"),"")</f>
        <v/>
      </c>
    </row>
    <row r="897">
      <c r="B897" t="str">
        <f t="array" ref="B897">IFERROR(INDEX('Player Raw Data'!C:C,Match($A897,'Player Raw Data'!$B:$B,0)),"")</f>
        <v/>
      </c>
      <c r="C897" t="str">
        <f t="array" ref="C897">IFERROR(INDEX('Player Raw Data'!D:D,Match($A897,'Player Raw Data'!$B:$B,0)),"")</f>
        <v/>
      </c>
      <c r="D897" t="str">
        <f t="array" ref="D897">IFERROR(IF(A897=A896, INDEX('Player Raw Data'!E:E,Match($A897,'Player Raw Data'!$B:$B,0)+2),INDEX('Player Raw Data'!E:E,Match($A897,'Player Raw Data'!$B:$B,0))),"")</f>
        <v/>
      </c>
      <c r="E897" s="27" t="str">
        <f>IFERROR(__xludf.DUMMYFUNCTION("IFERROR(ARRAY_CONSTRAIN(SPLIT(INDEX('Daily Raw Data'!G:G,Match($A897,'Daily Raw Data'!$B:$B,0)),"":""),1,1),"""")"),"")</f>
        <v/>
      </c>
      <c r="F897" t="str">
        <f t="array" ref="F897">IFERROR(INDEX('Daily Raw Data'!H:H,Match($A897,'Daily Raw Data'!$B:$B,0)),"")</f>
        <v/>
      </c>
      <c r="G897" t="str">
        <f t="array" ref="G897">IFERROR(INDEX('Daily Raw Data'!I:I,Match($A897,'Daily Raw Data'!$B:$B,0)),"")</f>
        <v/>
      </c>
      <c r="H897" t="str">
        <f t="array" ref="H897">IFERROR(INDEX('Daily Raw Data'!N:N,Match($A897,'Daily Raw Data'!$B:$B,0)),"")</f>
        <v/>
      </c>
      <c r="I897" t="str">
        <f t="array" ref="I897">IFERROR(INDEX('Daily Raw Data'!O:O,Match($A897,'Daily Raw Data'!$B:$B,0)),"")</f>
        <v/>
      </c>
      <c r="J897" t="str">
        <f t="array" ref="J897">IFERROR(INDEX('Daily Raw Data'!S:S,Match($A897,'Daily Raw Data'!$B:$B,0)),"")</f>
        <v/>
      </c>
      <c r="K897" t="str">
        <f t="array" ref="K897">IFERROR(INDEX('Daily Raw Data'!T:T,Match($A897,'Daily Raw Data'!$B:$B,0)),"")</f>
        <v/>
      </c>
      <c r="L897" t="str">
        <f t="array" ref="L897">IFERROR(INDEX('Daily Raw Data'!U:U,Match($A897,'Daily Raw Data'!$B:$B,0)),"")</f>
        <v/>
      </c>
      <c r="M897" t="str">
        <f t="array" ref="M897">IFERROR(INDEX('Daily Raw Data'!V:V,Match($A897,'Daily Raw Data'!$B:$B,0)),"")</f>
        <v/>
      </c>
      <c r="N897" t="str">
        <f t="array" ref="N897">IFERROR(INDEX('Daily Raw Data'!W:W,Match($A897,'Daily Raw Data'!$B:$B,0)),"")</f>
        <v/>
      </c>
      <c r="O897" t="str">
        <f t="array" ref="O897">IFERROR(INDEX('Daily Raw Data'!Y:Y,Match($A897,'Daily Raw Data'!$B:$B,0)),"")</f>
        <v/>
      </c>
      <c r="P897" t="str">
        <f t="shared" si="1"/>
        <v/>
      </c>
      <c r="Q897" s="14" t="str">
        <f t="shared" si="2"/>
        <v/>
      </c>
      <c r="R897" s="15" t="str">
        <f>IFERROR(__xludf.DUMMYFUNCTION("IF($A897="""","""", IFERROR(PERCENTRANK.INC(FILTER(P:P,$E:$E&lt;&gt;""""),P897)*100,""""))"),"")</f>
        <v/>
      </c>
      <c r="S897" s="15" t="str">
        <f>IFERROR(__xludf.DUMMYFUNCTION("IF($A897="""","""",IFERROR(PERCENTRANK.INC(FILTER(Q:Q,$E:$E&lt;&gt;""""),Q897)*100,""""))"),"")</f>
        <v/>
      </c>
    </row>
    <row r="898">
      <c r="B898" t="str">
        <f t="array" ref="B898">IFERROR(INDEX('Player Raw Data'!C:C,Match($A898,'Player Raw Data'!$B:$B,0)),"")</f>
        <v/>
      </c>
      <c r="C898" t="str">
        <f t="array" ref="C898">IFERROR(INDEX('Player Raw Data'!D:D,Match($A898,'Player Raw Data'!$B:$B,0)),"")</f>
        <v/>
      </c>
      <c r="D898" t="str">
        <f t="array" ref="D898">IFERROR(IF(A898=A897, INDEX('Player Raw Data'!E:E,Match($A898,'Player Raw Data'!$B:$B,0)+2),INDEX('Player Raw Data'!E:E,Match($A898,'Player Raw Data'!$B:$B,0))),"")</f>
        <v/>
      </c>
      <c r="E898" s="27" t="str">
        <f>IFERROR(__xludf.DUMMYFUNCTION("IFERROR(ARRAY_CONSTRAIN(SPLIT(INDEX('Daily Raw Data'!G:G,Match($A898,'Daily Raw Data'!$B:$B,0)),"":""),1,1),"""")"),"")</f>
        <v/>
      </c>
      <c r="F898" t="str">
        <f t="array" ref="F898">IFERROR(INDEX('Daily Raw Data'!H:H,Match($A898,'Daily Raw Data'!$B:$B,0)),"")</f>
        <v/>
      </c>
      <c r="G898" t="str">
        <f t="array" ref="G898">IFERROR(INDEX('Daily Raw Data'!I:I,Match($A898,'Daily Raw Data'!$B:$B,0)),"")</f>
        <v/>
      </c>
      <c r="H898" t="str">
        <f t="array" ref="H898">IFERROR(INDEX('Daily Raw Data'!N:N,Match($A898,'Daily Raw Data'!$B:$B,0)),"")</f>
        <v/>
      </c>
      <c r="I898" t="str">
        <f t="array" ref="I898">IFERROR(INDEX('Daily Raw Data'!O:O,Match($A898,'Daily Raw Data'!$B:$B,0)),"")</f>
        <v/>
      </c>
      <c r="J898" t="str">
        <f t="array" ref="J898">IFERROR(INDEX('Daily Raw Data'!S:S,Match($A898,'Daily Raw Data'!$B:$B,0)),"")</f>
        <v/>
      </c>
      <c r="K898" t="str">
        <f t="array" ref="K898">IFERROR(INDEX('Daily Raw Data'!T:T,Match($A898,'Daily Raw Data'!$B:$B,0)),"")</f>
        <v/>
      </c>
      <c r="L898" t="str">
        <f t="array" ref="L898">IFERROR(INDEX('Daily Raw Data'!U:U,Match($A898,'Daily Raw Data'!$B:$B,0)),"")</f>
        <v/>
      </c>
      <c r="M898" t="str">
        <f t="array" ref="M898">IFERROR(INDEX('Daily Raw Data'!V:V,Match($A898,'Daily Raw Data'!$B:$B,0)),"")</f>
        <v/>
      </c>
      <c r="N898" t="str">
        <f t="array" ref="N898">IFERROR(INDEX('Daily Raw Data'!W:W,Match($A898,'Daily Raw Data'!$B:$B,0)),"")</f>
        <v/>
      </c>
      <c r="O898" t="str">
        <f t="array" ref="O898">IFERROR(INDEX('Daily Raw Data'!Y:Y,Match($A898,'Daily Raw Data'!$B:$B,0)),"")</f>
        <v/>
      </c>
      <c r="P898" t="str">
        <f t="shared" si="1"/>
        <v/>
      </c>
      <c r="Q898" s="14" t="str">
        <f t="shared" si="2"/>
        <v/>
      </c>
      <c r="R898" s="15" t="str">
        <f>IFERROR(__xludf.DUMMYFUNCTION("IF($A898="""","""", IFERROR(PERCENTRANK.INC(FILTER(P:P,$E:$E&lt;&gt;""""),P898)*100,""""))"),"")</f>
        <v/>
      </c>
      <c r="S898" s="15" t="str">
        <f>IFERROR(__xludf.DUMMYFUNCTION("IF($A898="""","""",IFERROR(PERCENTRANK.INC(FILTER(Q:Q,$E:$E&lt;&gt;""""),Q898)*100,""""))"),"")</f>
        <v/>
      </c>
    </row>
    <row r="899">
      <c r="B899" t="str">
        <f t="array" ref="B899">IFERROR(INDEX('Player Raw Data'!C:C,Match($A899,'Player Raw Data'!$B:$B,0)),"")</f>
        <v/>
      </c>
      <c r="C899" t="str">
        <f t="array" ref="C899">IFERROR(INDEX('Player Raw Data'!D:D,Match($A899,'Player Raw Data'!$B:$B,0)),"")</f>
        <v/>
      </c>
      <c r="D899" t="str">
        <f t="array" ref="D899">IFERROR(IF(A899=A898, INDEX('Player Raw Data'!E:E,Match($A899,'Player Raw Data'!$B:$B,0)+2),INDEX('Player Raw Data'!E:E,Match($A899,'Player Raw Data'!$B:$B,0))),"")</f>
        <v/>
      </c>
      <c r="E899" s="27" t="str">
        <f>IFERROR(__xludf.DUMMYFUNCTION("IFERROR(ARRAY_CONSTRAIN(SPLIT(INDEX('Daily Raw Data'!G:G,Match($A899,'Daily Raw Data'!$B:$B,0)),"":""),1,1),"""")"),"")</f>
        <v/>
      </c>
      <c r="F899" t="str">
        <f t="array" ref="F899">IFERROR(INDEX('Daily Raw Data'!H:H,Match($A899,'Daily Raw Data'!$B:$B,0)),"")</f>
        <v/>
      </c>
      <c r="G899" t="str">
        <f t="array" ref="G899">IFERROR(INDEX('Daily Raw Data'!I:I,Match($A899,'Daily Raw Data'!$B:$B,0)),"")</f>
        <v/>
      </c>
      <c r="H899" t="str">
        <f t="array" ref="H899">IFERROR(INDEX('Daily Raw Data'!N:N,Match($A899,'Daily Raw Data'!$B:$B,0)),"")</f>
        <v/>
      </c>
      <c r="I899" t="str">
        <f t="array" ref="I899">IFERROR(INDEX('Daily Raw Data'!O:O,Match($A899,'Daily Raw Data'!$B:$B,0)),"")</f>
        <v/>
      </c>
      <c r="J899" t="str">
        <f t="array" ref="J899">IFERROR(INDEX('Daily Raw Data'!S:S,Match($A899,'Daily Raw Data'!$B:$B,0)),"")</f>
        <v/>
      </c>
      <c r="K899" t="str">
        <f t="array" ref="K899">IFERROR(INDEX('Daily Raw Data'!T:T,Match($A899,'Daily Raw Data'!$B:$B,0)),"")</f>
        <v/>
      </c>
      <c r="L899" t="str">
        <f t="array" ref="L899">IFERROR(INDEX('Daily Raw Data'!U:U,Match($A899,'Daily Raw Data'!$B:$B,0)),"")</f>
        <v/>
      </c>
      <c r="M899" t="str">
        <f t="array" ref="M899">IFERROR(INDEX('Daily Raw Data'!V:V,Match($A899,'Daily Raw Data'!$B:$B,0)),"")</f>
        <v/>
      </c>
      <c r="N899" t="str">
        <f t="array" ref="N899">IFERROR(INDEX('Daily Raw Data'!W:W,Match($A899,'Daily Raw Data'!$B:$B,0)),"")</f>
        <v/>
      </c>
      <c r="O899" t="str">
        <f t="array" ref="O899">IFERROR(INDEX('Daily Raw Data'!Y:Y,Match($A899,'Daily Raw Data'!$B:$B,0)),"")</f>
        <v/>
      </c>
      <c r="P899" t="str">
        <f t="shared" si="1"/>
        <v/>
      </c>
      <c r="Q899" s="14" t="str">
        <f t="shared" si="2"/>
        <v/>
      </c>
      <c r="R899" s="15" t="str">
        <f>IFERROR(__xludf.DUMMYFUNCTION("IF($A899="""","""", IFERROR(PERCENTRANK.INC(FILTER(P:P,$E:$E&lt;&gt;""""),P899)*100,""""))"),"")</f>
        <v/>
      </c>
      <c r="S899" s="15" t="str">
        <f>IFERROR(__xludf.DUMMYFUNCTION("IF($A899="""","""",IFERROR(PERCENTRANK.INC(FILTER(Q:Q,$E:$E&lt;&gt;""""),Q899)*100,""""))"),"")</f>
        <v/>
      </c>
    </row>
    <row r="900">
      <c r="B900" t="str">
        <f t="array" ref="B900">IFERROR(INDEX('Player Raw Data'!C:C,Match($A900,'Player Raw Data'!$B:$B,0)),"")</f>
        <v/>
      </c>
      <c r="C900" t="str">
        <f t="array" ref="C900">IFERROR(INDEX('Player Raw Data'!D:D,Match($A900,'Player Raw Data'!$B:$B,0)),"")</f>
        <v/>
      </c>
      <c r="D900" t="str">
        <f t="array" ref="D900">IFERROR(IF(A900=A899, INDEX('Player Raw Data'!E:E,Match($A900,'Player Raw Data'!$B:$B,0)+2),INDEX('Player Raw Data'!E:E,Match($A900,'Player Raw Data'!$B:$B,0))),"")</f>
        <v/>
      </c>
      <c r="E900" s="27" t="str">
        <f>IFERROR(__xludf.DUMMYFUNCTION("IFERROR(ARRAY_CONSTRAIN(SPLIT(INDEX('Daily Raw Data'!G:G,Match($A900,'Daily Raw Data'!$B:$B,0)),"":""),1,1),"""")"),"")</f>
        <v/>
      </c>
      <c r="F900" t="str">
        <f t="array" ref="F900">IFERROR(INDEX('Daily Raw Data'!H:H,Match($A900,'Daily Raw Data'!$B:$B,0)),"")</f>
        <v/>
      </c>
      <c r="G900" t="str">
        <f t="array" ref="G900">IFERROR(INDEX('Daily Raw Data'!I:I,Match($A900,'Daily Raw Data'!$B:$B,0)),"")</f>
        <v/>
      </c>
      <c r="H900" t="str">
        <f t="array" ref="H900">IFERROR(INDEX('Daily Raw Data'!N:N,Match($A900,'Daily Raw Data'!$B:$B,0)),"")</f>
        <v/>
      </c>
      <c r="I900" t="str">
        <f t="array" ref="I900">IFERROR(INDEX('Daily Raw Data'!O:O,Match($A900,'Daily Raw Data'!$B:$B,0)),"")</f>
        <v/>
      </c>
      <c r="J900" t="str">
        <f t="array" ref="J900">IFERROR(INDEX('Daily Raw Data'!S:S,Match($A900,'Daily Raw Data'!$B:$B,0)),"")</f>
        <v/>
      </c>
      <c r="K900" t="str">
        <f t="array" ref="K900">IFERROR(INDEX('Daily Raw Data'!T:T,Match($A900,'Daily Raw Data'!$B:$B,0)),"")</f>
        <v/>
      </c>
      <c r="L900" t="str">
        <f t="array" ref="L900">IFERROR(INDEX('Daily Raw Data'!U:U,Match($A900,'Daily Raw Data'!$B:$B,0)),"")</f>
        <v/>
      </c>
      <c r="M900" t="str">
        <f t="array" ref="M900">IFERROR(INDEX('Daily Raw Data'!V:V,Match($A900,'Daily Raw Data'!$B:$B,0)),"")</f>
        <v/>
      </c>
      <c r="N900" t="str">
        <f t="array" ref="N900">IFERROR(INDEX('Daily Raw Data'!W:W,Match($A900,'Daily Raw Data'!$B:$B,0)),"")</f>
        <v/>
      </c>
      <c r="O900" t="str">
        <f t="array" ref="O900">IFERROR(INDEX('Daily Raw Data'!Y:Y,Match($A900,'Daily Raw Data'!$B:$B,0)),"")</f>
        <v/>
      </c>
      <c r="P900" t="str">
        <f t="shared" si="1"/>
        <v/>
      </c>
      <c r="Q900" s="14" t="str">
        <f t="shared" si="2"/>
        <v/>
      </c>
      <c r="R900" s="15" t="str">
        <f>IFERROR(__xludf.DUMMYFUNCTION("IF($A900="""","""", IFERROR(PERCENTRANK.INC(FILTER(P:P,$E:$E&lt;&gt;""""),P900)*100,""""))"),"")</f>
        <v/>
      </c>
      <c r="S900" s="15" t="str">
        <f>IFERROR(__xludf.DUMMYFUNCTION("IF($A900="""","""",IFERROR(PERCENTRANK.INC(FILTER(Q:Q,$E:$E&lt;&gt;""""),Q900)*100,""""))"),"")</f>
        <v/>
      </c>
    </row>
    <row r="901">
      <c r="B901" t="str">
        <f t="array" ref="B901">IFERROR(INDEX('Player Raw Data'!C:C,Match($A901,'Player Raw Data'!$B:$B,0)),"")</f>
        <v/>
      </c>
      <c r="C901" t="str">
        <f t="array" ref="C901">IFERROR(INDEX('Player Raw Data'!D:D,Match($A901,'Player Raw Data'!$B:$B,0)),"")</f>
        <v/>
      </c>
      <c r="D901" t="str">
        <f t="array" ref="D901">IFERROR(IF(A901=A900, INDEX('Player Raw Data'!E:E,Match($A901,'Player Raw Data'!$B:$B,0)+2),INDEX('Player Raw Data'!E:E,Match($A901,'Player Raw Data'!$B:$B,0))),"")</f>
        <v/>
      </c>
      <c r="E901" s="27" t="str">
        <f>IFERROR(__xludf.DUMMYFUNCTION("IFERROR(ARRAY_CONSTRAIN(SPLIT(INDEX('Daily Raw Data'!G:G,Match($A901,'Daily Raw Data'!$B:$B,0)),"":""),1,1),"""")"),"")</f>
        <v/>
      </c>
      <c r="F901" t="str">
        <f t="array" ref="F901">IFERROR(INDEX('Daily Raw Data'!H:H,Match($A901,'Daily Raw Data'!$B:$B,0)),"")</f>
        <v/>
      </c>
      <c r="G901" t="str">
        <f t="array" ref="G901">IFERROR(INDEX('Daily Raw Data'!I:I,Match($A901,'Daily Raw Data'!$B:$B,0)),"")</f>
        <v/>
      </c>
      <c r="H901" t="str">
        <f t="array" ref="H901">IFERROR(INDEX('Daily Raw Data'!N:N,Match($A901,'Daily Raw Data'!$B:$B,0)),"")</f>
        <v/>
      </c>
      <c r="I901" t="str">
        <f t="array" ref="I901">IFERROR(INDEX('Daily Raw Data'!O:O,Match($A901,'Daily Raw Data'!$B:$B,0)),"")</f>
        <v/>
      </c>
      <c r="J901" t="str">
        <f t="array" ref="J901">IFERROR(INDEX('Daily Raw Data'!S:S,Match($A901,'Daily Raw Data'!$B:$B,0)),"")</f>
        <v/>
      </c>
      <c r="K901" t="str">
        <f t="array" ref="K901">IFERROR(INDEX('Daily Raw Data'!T:T,Match($A901,'Daily Raw Data'!$B:$B,0)),"")</f>
        <v/>
      </c>
      <c r="L901" t="str">
        <f t="array" ref="L901">IFERROR(INDEX('Daily Raw Data'!U:U,Match($A901,'Daily Raw Data'!$B:$B,0)),"")</f>
        <v/>
      </c>
      <c r="M901" t="str">
        <f t="array" ref="M901">IFERROR(INDEX('Daily Raw Data'!V:V,Match($A901,'Daily Raw Data'!$B:$B,0)),"")</f>
        <v/>
      </c>
      <c r="N901" t="str">
        <f t="array" ref="N901">IFERROR(INDEX('Daily Raw Data'!W:W,Match($A901,'Daily Raw Data'!$B:$B,0)),"")</f>
        <v/>
      </c>
      <c r="O901" t="str">
        <f t="array" ref="O901">IFERROR(INDEX('Daily Raw Data'!Y:Y,Match($A901,'Daily Raw Data'!$B:$B,0)),"")</f>
        <v/>
      </c>
      <c r="P901" t="str">
        <f t="shared" si="1"/>
        <v/>
      </c>
      <c r="Q901" s="14" t="str">
        <f t="shared" si="2"/>
        <v/>
      </c>
      <c r="R901" s="15" t="str">
        <f>IFERROR(__xludf.DUMMYFUNCTION("IF($A901="""","""", IFERROR(PERCENTRANK.INC(FILTER(P:P,$E:$E&lt;&gt;""""),P901)*100,""""))"),"")</f>
        <v/>
      </c>
      <c r="S901" s="15" t="str">
        <f>IFERROR(__xludf.DUMMYFUNCTION("IF($A901="""","""",IFERROR(PERCENTRANK.INC(FILTER(Q:Q,$E:$E&lt;&gt;""""),Q901)*100,""""))"),"")</f>
        <v/>
      </c>
    </row>
    <row r="902">
      <c r="B902" t="str">
        <f t="array" ref="B902">IFERROR(INDEX('Player Raw Data'!C:C,Match($A902,'Player Raw Data'!$B:$B,0)),"")</f>
        <v/>
      </c>
      <c r="C902" t="str">
        <f t="array" ref="C902">IFERROR(INDEX('Player Raw Data'!D:D,Match($A902,'Player Raw Data'!$B:$B,0)),"")</f>
        <v/>
      </c>
      <c r="D902" t="str">
        <f t="array" ref="D902">IFERROR(IF(A902=A901, INDEX('Player Raw Data'!E:E,Match($A902,'Player Raw Data'!$B:$B,0)+2),INDEX('Player Raw Data'!E:E,Match($A902,'Player Raw Data'!$B:$B,0))),"")</f>
        <v/>
      </c>
      <c r="E902" s="27" t="str">
        <f>IFERROR(__xludf.DUMMYFUNCTION("IFERROR(ARRAY_CONSTRAIN(SPLIT(INDEX('Daily Raw Data'!G:G,Match($A902,'Daily Raw Data'!$B:$B,0)),"":""),1,1),"""")"),"")</f>
        <v/>
      </c>
      <c r="F902" t="str">
        <f t="array" ref="F902">IFERROR(INDEX('Daily Raw Data'!H:H,Match($A902,'Daily Raw Data'!$B:$B,0)),"")</f>
        <v/>
      </c>
      <c r="G902" t="str">
        <f t="array" ref="G902">IFERROR(INDEX('Daily Raw Data'!I:I,Match($A902,'Daily Raw Data'!$B:$B,0)),"")</f>
        <v/>
      </c>
      <c r="H902" t="str">
        <f t="array" ref="H902">IFERROR(INDEX('Daily Raw Data'!N:N,Match($A902,'Daily Raw Data'!$B:$B,0)),"")</f>
        <v/>
      </c>
      <c r="I902" t="str">
        <f t="array" ref="I902">IFERROR(INDEX('Daily Raw Data'!O:O,Match($A902,'Daily Raw Data'!$B:$B,0)),"")</f>
        <v/>
      </c>
      <c r="J902" t="str">
        <f t="array" ref="J902">IFERROR(INDEX('Daily Raw Data'!S:S,Match($A902,'Daily Raw Data'!$B:$B,0)),"")</f>
        <v/>
      </c>
      <c r="K902" t="str">
        <f t="array" ref="K902">IFERROR(INDEX('Daily Raw Data'!T:T,Match($A902,'Daily Raw Data'!$B:$B,0)),"")</f>
        <v/>
      </c>
      <c r="L902" t="str">
        <f t="array" ref="L902">IFERROR(INDEX('Daily Raw Data'!U:U,Match($A902,'Daily Raw Data'!$B:$B,0)),"")</f>
        <v/>
      </c>
      <c r="M902" t="str">
        <f t="array" ref="M902">IFERROR(INDEX('Daily Raw Data'!V:V,Match($A902,'Daily Raw Data'!$B:$B,0)),"")</f>
        <v/>
      </c>
      <c r="N902" t="str">
        <f t="array" ref="N902">IFERROR(INDEX('Daily Raw Data'!W:W,Match($A902,'Daily Raw Data'!$B:$B,0)),"")</f>
        <v/>
      </c>
      <c r="O902" t="str">
        <f t="array" ref="O902">IFERROR(INDEX('Daily Raw Data'!Y:Y,Match($A902,'Daily Raw Data'!$B:$B,0)),"")</f>
        <v/>
      </c>
      <c r="P902" t="str">
        <f t="shared" si="1"/>
        <v/>
      </c>
      <c r="Q902" s="14" t="str">
        <f t="shared" si="2"/>
        <v/>
      </c>
      <c r="R902" s="15" t="str">
        <f>IFERROR(__xludf.DUMMYFUNCTION("IF($A902="""","""", IFERROR(PERCENTRANK.INC(FILTER(P:P,$E:$E&lt;&gt;""""),P902)*100,""""))"),"")</f>
        <v/>
      </c>
      <c r="S902" s="15" t="str">
        <f>IFERROR(__xludf.DUMMYFUNCTION("IF($A902="""","""",IFERROR(PERCENTRANK.INC(FILTER(Q:Q,$E:$E&lt;&gt;""""),Q902)*100,""""))"),"")</f>
        <v/>
      </c>
    </row>
    <row r="903">
      <c r="B903" t="str">
        <f t="array" ref="B903">IFERROR(INDEX('Player Raw Data'!C:C,Match($A903,'Player Raw Data'!$B:$B,0)),"")</f>
        <v/>
      </c>
      <c r="C903" t="str">
        <f t="array" ref="C903">IFERROR(INDEX('Player Raw Data'!D:D,Match($A903,'Player Raw Data'!$B:$B,0)),"")</f>
        <v/>
      </c>
      <c r="D903" t="str">
        <f t="array" ref="D903">IFERROR(IF(A903=A902, INDEX('Player Raw Data'!E:E,Match($A903,'Player Raw Data'!$B:$B,0)+2),INDEX('Player Raw Data'!E:E,Match($A903,'Player Raw Data'!$B:$B,0))),"")</f>
        <v/>
      </c>
      <c r="E903" s="27" t="str">
        <f>IFERROR(__xludf.DUMMYFUNCTION("IFERROR(ARRAY_CONSTRAIN(SPLIT(INDEX('Daily Raw Data'!G:G,Match($A903,'Daily Raw Data'!$B:$B,0)),"":""),1,1),"""")"),"")</f>
        <v/>
      </c>
      <c r="F903" t="str">
        <f t="array" ref="F903">IFERROR(INDEX('Daily Raw Data'!H:H,Match($A903,'Daily Raw Data'!$B:$B,0)),"")</f>
        <v/>
      </c>
      <c r="G903" t="str">
        <f t="array" ref="G903">IFERROR(INDEX('Daily Raw Data'!I:I,Match($A903,'Daily Raw Data'!$B:$B,0)),"")</f>
        <v/>
      </c>
      <c r="H903" t="str">
        <f t="array" ref="H903">IFERROR(INDEX('Daily Raw Data'!N:N,Match($A903,'Daily Raw Data'!$B:$B,0)),"")</f>
        <v/>
      </c>
      <c r="I903" t="str">
        <f t="array" ref="I903">IFERROR(INDEX('Daily Raw Data'!O:O,Match($A903,'Daily Raw Data'!$B:$B,0)),"")</f>
        <v/>
      </c>
      <c r="J903" t="str">
        <f t="array" ref="J903">IFERROR(INDEX('Daily Raw Data'!S:S,Match($A903,'Daily Raw Data'!$B:$B,0)),"")</f>
        <v/>
      </c>
      <c r="K903" t="str">
        <f t="array" ref="K903">IFERROR(INDEX('Daily Raw Data'!T:T,Match($A903,'Daily Raw Data'!$B:$B,0)),"")</f>
        <v/>
      </c>
      <c r="L903" t="str">
        <f t="array" ref="L903">IFERROR(INDEX('Daily Raw Data'!U:U,Match($A903,'Daily Raw Data'!$B:$B,0)),"")</f>
        <v/>
      </c>
      <c r="M903" t="str">
        <f t="array" ref="M903">IFERROR(INDEX('Daily Raw Data'!V:V,Match($A903,'Daily Raw Data'!$B:$B,0)),"")</f>
        <v/>
      </c>
      <c r="N903" t="str">
        <f t="array" ref="N903">IFERROR(INDEX('Daily Raw Data'!W:W,Match($A903,'Daily Raw Data'!$B:$B,0)),"")</f>
        <v/>
      </c>
      <c r="O903" t="str">
        <f t="array" ref="O903">IFERROR(INDEX('Daily Raw Data'!Y:Y,Match($A903,'Daily Raw Data'!$B:$B,0)),"")</f>
        <v/>
      </c>
      <c r="P903" t="str">
        <f t="shared" si="1"/>
        <v/>
      </c>
      <c r="Q903" s="14" t="str">
        <f t="shared" si="2"/>
        <v/>
      </c>
      <c r="R903" s="15" t="str">
        <f>IFERROR(__xludf.DUMMYFUNCTION("IF($A903="""","""", IFERROR(PERCENTRANK.INC(FILTER(P:P,$E:$E&lt;&gt;""""),P903)*100,""""))"),"")</f>
        <v/>
      </c>
      <c r="S903" s="15" t="str">
        <f>IFERROR(__xludf.DUMMYFUNCTION("IF($A903="""","""",IFERROR(PERCENTRANK.INC(FILTER(Q:Q,$E:$E&lt;&gt;""""),Q903)*100,""""))"),"")</f>
        <v/>
      </c>
    </row>
    <row r="904">
      <c r="B904" t="str">
        <f t="array" ref="B904">IFERROR(INDEX('Player Raw Data'!C:C,Match($A904,'Player Raw Data'!$B:$B,0)),"")</f>
        <v/>
      </c>
      <c r="C904" t="str">
        <f t="array" ref="C904">IFERROR(INDEX('Player Raw Data'!D:D,Match($A904,'Player Raw Data'!$B:$B,0)),"")</f>
        <v/>
      </c>
      <c r="D904" t="str">
        <f t="array" ref="D904">IFERROR(IF(A904=A903, INDEX('Player Raw Data'!E:E,Match($A904,'Player Raw Data'!$B:$B,0)+2),INDEX('Player Raw Data'!E:E,Match($A904,'Player Raw Data'!$B:$B,0))),"")</f>
        <v/>
      </c>
      <c r="E904" s="27" t="str">
        <f>IFERROR(__xludf.DUMMYFUNCTION("IFERROR(ARRAY_CONSTRAIN(SPLIT(INDEX('Daily Raw Data'!G:G,Match($A904,'Daily Raw Data'!$B:$B,0)),"":""),1,1),"""")"),"")</f>
        <v/>
      </c>
      <c r="F904" t="str">
        <f t="array" ref="F904">IFERROR(INDEX('Daily Raw Data'!H:H,Match($A904,'Daily Raw Data'!$B:$B,0)),"")</f>
        <v/>
      </c>
      <c r="G904" t="str">
        <f t="array" ref="G904">IFERROR(INDEX('Daily Raw Data'!I:I,Match($A904,'Daily Raw Data'!$B:$B,0)),"")</f>
        <v/>
      </c>
      <c r="H904" t="str">
        <f t="array" ref="H904">IFERROR(INDEX('Daily Raw Data'!N:N,Match($A904,'Daily Raw Data'!$B:$B,0)),"")</f>
        <v/>
      </c>
      <c r="I904" t="str">
        <f t="array" ref="I904">IFERROR(INDEX('Daily Raw Data'!O:O,Match($A904,'Daily Raw Data'!$B:$B,0)),"")</f>
        <v/>
      </c>
      <c r="J904" t="str">
        <f t="array" ref="J904">IFERROR(INDEX('Daily Raw Data'!S:S,Match($A904,'Daily Raw Data'!$B:$B,0)),"")</f>
        <v/>
      </c>
      <c r="K904" t="str">
        <f t="array" ref="K904">IFERROR(INDEX('Daily Raw Data'!T:T,Match($A904,'Daily Raw Data'!$B:$B,0)),"")</f>
        <v/>
      </c>
      <c r="L904" t="str">
        <f t="array" ref="L904">IFERROR(INDEX('Daily Raw Data'!U:U,Match($A904,'Daily Raw Data'!$B:$B,0)),"")</f>
        <v/>
      </c>
      <c r="M904" t="str">
        <f t="array" ref="M904">IFERROR(INDEX('Daily Raw Data'!V:V,Match($A904,'Daily Raw Data'!$B:$B,0)),"")</f>
        <v/>
      </c>
      <c r="N904" t="str">
        <f t="array" ref="N904">IFERROR(INDEX('Daily Raw Data'!W:W,Match($A904,'Daily Raw Data'!$B:$B,0)),"")</f>
        <v/>
      </c>
      <c r="O904" t="str">
        <f t="array" ref="O904">IFERROR(INDEX('Daily Raw Data'!Y:Y,Match($A904,'Daily Raw Data'!$B:$B,0)),"")</f>
        <v/>
      </c>
      <c r="P904" t="str">
        <f t="shared" si="1"/>
        <v/>
      </c>
      <c r="Q904" s="14" t="str">
        <f t="shared" si="2"/>
        <v/>
      </c>
      <c r="R904" s="15" t="str">
        <f>IFERROR(__xludf.DUMMYFUNCTION("IF($A904="""","""", IFERROR(PERCENTRANK.INC(FILTER(P:P,$E:$E&lt;&gt;""""),P904)*100,""""))"),"")</f>
        <v/>
      </c>
      <c r="S904" s="15" t="str">
        <f>IFERROR(__xludf.DUMMYFUNCTION("IF($A904="""","""",IFERROR(PERCENTRANK.INC(FILTER(Q:Q,$E:$E&lt;&gt;""""),Q904)*100,""""))"),"")</f>
        <v/>
      </c>
    </row>
    <row r="905">
      <c r="B905" t="str">
        <f t="array" ref="B905">IFERROR(INDEX('Player Raw Data'!C:C,Match($A905,'Player Raw Data'!$B:$B,0)),"")</f>
        <v/>
      </c>
      <c r="C905" t="str">
        <f t="array" ref="C905">IFERROR(INDEX('Player Raw Data'!D:D,Match($A905,'Player Raw Data'!$B:$B,0)),"")</f>
        <v/>
      </c>
      <c r="D905" t="str">
        <f t="array" ref="D905">IFERROR(IF(A905=A904, INDEX('Player Raw Data'!E:E,Match($A905,'Player Raw Data'!$B:$B,0)+2),INDEX('Player Raw Data'!E:E,Match($A905,'Player Raw Data'!$B:$B,0))),"")</f>
        <v/>
      </c>
      <c r="E905" s="27" t="str">
        <f>IFERROR(__xludf.DUMMYFUNCTION("IFERROR(ARRAY_CONSTRAIN(SPLIT(INDEX('Daily Raw Data'!G:G,Match($A905,'Daily Raw Data'!$B:$B,0)),"":""),1,1),"""")"),"")</f>
        <v/>
      </c>
      <c r="F905" t="str">
        <f t="array" ref="F905">IFERROR(INDEX('Daily Raw Data'!H:H,Match($A905,'Daily Raw Data'!$B:$B,0)),"")</f>
        <v/>
      </c>
      <c r="G905" t="str">
        <f t="array" ref="G905">IFERROR(INDEX('Daily Raw Data'!I:I,Match($A905,'Daily Raw Data'!$B:$B,0)),"")</f>
        <v/>
      </c>
      <c r="H905" t="str">
        <f t="array" ref="H905">IFERROR(INDEX('Daily Raw Data'!N:N,Match($A905,'Daily Raw Data'!$B:$B,0)),"")</f>
        <v/>
      </c>
      <c r="I905" t="str">
        <f t="array" ref="I905">IFERROR(INDEX('Daily Raw Data'!O:O,Match($A905,'Daily Raw Data'!$B:$B,0)),"")</f>
        <v/>
      </c>
      <c r="J905" t="str">
        <f t="array" ref="J905">IFERROR(INDEX('Daily Raw Data'!S:S,Match($A905,'Daily Raw Data'!$B:$B,0)),"")</f>
        <v/>
      </c>
      <c r="K905" t="str">
        <f t="array" ref="K905">IFERROR(INDEX('Daily Raw Data'!T:T,Match($A905,'Daily Raw Data'!$B:$B,0)),"")</f>
        <v/>
      </c>
      <c r="L905" t="str">
        <f t="array" ref="L905">IFERROR(INDEX('Daily Raw Data'!U:U,Match($A905,'Daily Raw Data'!$B:$B,0)),"")</f>
        <v/>
      </c>
      <c r="M905" t="str">
        <f t="array" ref="M905">IFERROR(INDEX('Daily Raw Data'!V:V,Match($A905,'Daily Raw Data'!$B:$B,0)),"")</f>
        <v/>
      </c>
      <c r="N905" t="str">
        <f t="array" ref="N905">IFERROR(INDEX('Daily Raw Data'!W:W,Match($A905,'Daily Raw Data'!$B:$B,0)),"")</f>
        <v/>
      </c>
      <c r="O905" t="str">
        <f t="array" ref="O905">IFERROR(INDEX('Daily Raw Data'!Y:Y,Match($A905,'Daily Raw Data'!$B:$B,0)),"")</f>
        <v/>
      </c>
      <c r="P905" t="str">
        <f t="shared" si="1"/>
        <v/>
      </c>
      <c r="Q905" s="14" t="str">
        <f t="shared" si="2"/>
        <v/>
      </c>
      <c r="R905" s="15" t="str">
        <f>IFERROR(__xludf.DUMMYFUNCTION("IF($A905="""","""", IFERROR(PERCENTRANK.INC(FILTER(P:P,$E:$E&lt;&gt;""""),P905)*100,""""))"),"")</f>
        <v/>
      </c>
      <c r="S905" s="15" t="str">
        <f>IFERROR(__xludf.DUMMYFUNCTION("IF($A905="""","""",IFERROR(PERCENTRANK.INC(FILTER(Q:Q,$E:$E&lt;&gt;""""),Q905)*100,""""))"),"")</f>
        <v/>
      </c>
    </row>
    <row r="906">
      <c r="B906" t="str">
        <f t="array" ref="B906">IFERROR(INDEX('Player Raw Data'!C:C,Match($A906,'Player Raw Data'!$B:$B,0)),"")</f>
        <v/>
      </c>
      <c r="C906" t="str">
        <f t="array" ref="C906">IFERROR(INDEX('Player Raw Data'!D:D,Match($A906,'Player Raw Data'!$B:$B,0)),"")</f>
        <v/>
      </c>
      <c r="D906" t="str">
        <f t="array" ref="D906">IFERROR(IF(A906=A905, INDEX('Player Raw Data'!E:E,Match($A906,'Player Raw Data'!$B:$B,0)+2),INDEX('Player Raw Data'!E:E,Match($A906,'Player Raw Data'!$B:$B,0))),"")</f>
        <v/>
      </c>
      <c r="E906" s="27" t="str">
        <f>IFERROR(__xludf.DUMMYFUNCTION("IFERROR(ARRAY_CONSTRAIN(SPLIT(INDEX('Daily Raw Data'!G:G,Match($A906,'Daily Raw Data'!$B:$B,0)),"":""),1,1),"""")"),"")</f>
        <v/>
      </c>
      <c r="F906" t="str">
        <f t="array" ref="F906">IFERROR(INDEX('Daily Raw Data'!H:H,Match($A906,'Daily Raw Data'!$B:$B,0)),"")</f>
        <v/>
      </c>
      <c r="G906" t="str">
        <f t="array" ref="G906">IFERROR(INDEX('Daily Raw Data'!I:I,Match($A906,'Daily Raw Data'!$B:$B,0)),"")</f>
        <v/>
      </c>
      <c r="H906" t="str">
        <f t="array" ref="H906">IFERROR(INDEX('Daily Raw Data'!N:N,Match($A906,'Daily Raw Data'!$B:$B,0)),"")</f>
        <v/>
      </c>
      <c r="I906" t="str">
        <f t="array" ref="I906">IFERROR(INDEX('Daily Raw Data'!O:O,Match($A906,'Daily Raw Data'!$B:$B,0)),"")</f>
        <v/>
      </c>
      <c r="J906" t="str">
        <f t="array" ref="J906">IFERROR(INDEX('Daily Raw Data'!S:S,Match($A906,'Daily Raw Data'!$B:$B,0)),"")</f>
        <v/>
      </c>
      <c r="K906" t="str">
        <f t="array" ref="K906">IFERROR(INDEX('Daily Raw Data'!T:T,Match($A906,'Daily Raw Data'!$B:$B,0)),"")</f>
        <v/>
      </c>
      <c r="L906" t="str">
        <f t="array" ref="L906">IFERROR(INDEX('Daily Raw Data'!U:U,Match($A906,'Daily Raw Data'!$B:$B,0)),"")</f>
        <v/>
      </c>
      <c r="M906" t="str">
        <f t="array" ref="M906">IFERROR(INDEX('Daily Raw Data'!V:V,Match($A906,'Daily Raw Data'!$B:$B,0)),"")</f>
        <v/>
      </c>
      <c r="N906" t="str">
        <f t="array" ref="N906">IFERROR(INDEX('Daily Raw Data'!W:W,Match($A906,'Daily Raw Data'!$B:$B,0)),"")</f>
        <v/>
      </c>
      <c r="O906" t="str">
        <f t="array" ref="O906">IFERROR(INDEX('Daily Raw Data'!Y:Y,Match($A906,'Daily Raw Data'!$B:$B,0)),"")</f>
        <v/>
      </c>
      <c r="P906" t="str">
        <f t="shared" si="1"/>
        <v/>
      </c>
      <c r="Q906" s="14" t="str">
        <f t="shared" si="2"/>
        <v/>
      </c>
      <c r="R906" s="15" t="str">
        <f>IFERROR(__xludf.DUMMYFUNCTION("IF($A906="""","""", IFERROR(PERCENTRANK.INC(FILTER(P:P,$E:$E&lt;&gt;""""),P906)*100,""""))"),"")</f>
        <v/>
      </c>
      <c r="S906" s="15" t="str">
        <f>IFERROR(__xludf.DUMMYFUNCTION("IF($A906="""","""",IFERROR(PERCENTRANK.INC(FILTER(Q:Q,$E:$E&lt;&gt;""""),Q906)*100,""""))"),"")</f>
        <v/>
      </c>
    </row>
    <row r="907">
      <c r="B907" t="str">
        <f t="array" ref="B907">IFERROR(INDEX('Player Raw Data'!C:C,Match($A907,'Player Raw Data'!$B:$B,0)),"")</f>
        <v/>
      </c>
      <c r="C907" t="str">
        <f t="array" ref="C907">IFERROR(INDEX('Player Raw Data'!D:D,Match($A907,'Player Raw Data'!$B:$B,0)),"")</f>
        <v/>
      </c>
      <c r="D907" t="str">
        <f t="array" ref="D907">IFERROR(IF(A907=A906, INDEX('Player Raw Data'!E:E,Match($A907,'Player Raw Data'!$B:$B,0)+2),INDEX('Player Raw Data'!E:E,Match($A907,'Player Raw Data'!$B:$B,0))),"")</f>
        <v/>
      </c>
      <c r="E907" s="27" t="str">
        <f>IFERROR(__xludf.DUMMYFUNCTION("IFERROR(ARRAY_CONSTRAIN(SPLIT(INDEX('Daily Raw Data'!G:G,Match($A907,'Daily Raw Data'!$B:$B,0)),"":""),1,1),"""")"),"")</f>
        <v/>
      </c>
      <c r="F907" t="str">
        <f t="array" ref="F907">IFERROR(INDEX('Daily Raw Data'!H:H,Match($A907,'Daily Raw Data'!$B:$B,0)),"")</f>
        <v/>
      </c>
      <c r="G907" t="str">
        <f t="array" ref="G907">IFERROR(INDEX('Daily Raw Data'!I:I,Match($A907,'Daily Raw Data'!$B:$B,0)),"")</f>
        <v/>
      </c>
      <c r="H907" t="str">
        <f t="array" ref="H907">IFERROR(INDEX('Daily Raw Data'!N:N,Match($A907,'Daily Raw Data'!$B:$B,0)),"")</f>
        <v/>
      </c>
      <c r="I907" t="str">
        <f t="array" ref="I907">IFERROR(INDEX('Daily Raw Data'!O:O,Match($A907,'Daily Raw Data'!$B:$B,0)),"")</f>
        <v/>
      </c>
      <c r="J907" t="str">
        <f t="array" ref="J907">IFERROR(INDEX('Daily Raw Data'!S:S,Match($A907,'Daily Raw Data'!$B:$B,0)),"")</f>
        <v/>
      </c>
      <c r="K907" t="str">
        <f t="array" ref="K907">IFERROR(INDEX('Daily Raw Data'!T:T,Match($A907,'Daily Raw Data'!$B:$B,0)),"")</f>
        <v/>
      </c>
      <c r="L907" t="str">
        <f t="array" ref="L907">IFERROR(INDEX('Daily Raw Data'!U:U,Match($A907,'Daily Raw Data'!$B:$B,0)),"")</f>
        <v/>
      </c>
      <c r="M907" t="str">
        <f t="array" ref="M907">IFERROR(INDEX('Daily Raw Data'!V:V,Match($A907,'Daily Raw Data'!$B:$B,0)),"")</f>
        <v/>
      </c>
      <c r="N907" t="str">
        <f t="array" ref="N907">IFERROR(INDEX('Daily Raw Data'!W:W,Match($A907,'Daily Raw Data'!$B:$B,0)),"")</f>
        <v/>
      </c>
      <c r="O907" t="str">
        <f t="array" ref="O907">IFERROR(INDEX('Daily Raw Data'!Y:Y,Match($A907,'Daily Raw Data'!$B:$B,0)),"")</f>
        <v/>
      </c>
      <c r="P907" t="str">
        <f t="shared" si="1"/>
        <v/>
      </c>
      <c r="Q907" s="14" t="str">
        <f t="shared" si="2"/>
        <v/>
      </c>
      <c r="R907" s="15" t="str">
        <f>IFERROR(__xludf.DUMMYFUNCTION("IF($A907="""","""", IFERROR(PERCENTRANK.INC(FILTER(P:P,$E:$E&lt;&gt;""""),P907)*100,""""))"),"")</f>
        <v/>
      </c>
      <c r="S907" s="15" t="str">
        <f>IFERROR(__xludf.DUMMYFUNCTION("IF($A907="""","""",IFERROR(PERCENTRANK.INC(FILTER(Q:Q,$E:$E&lt;&gt;""""),Q907)*100,""""))"),"")</f>
        <v/>
      </c>
    </row>
    <row r="908">
      <c r="B908" t="str">
        <f t="array" ref="B908">IFERROR(INDEX('Player Raw Data'!C:C,Match($A908,'Player Raw Data'!$B:$B,0)),"")</f>
        <v/>
      </c>
      <c r="C908" t="str">
        <f t="array" ref="C908">IFERROR(INDEX('Player Raw Data'!D:D,Match($A908,'Player Raw Data'!$B:$B,0)),"")</f>
        <v/>
      </c>
      <c r="D908" t="str">
        <f t="array" ref="D908">IFERROR(IF(A908=A907, INDEX('Player Raw Data'!E:E,Match($A908,'Player Raw Data'!$B:$B,0)+2),INDEX('Player Raw Data'!E:E,Match($A908,'Player Raw Data'!$B:$B,0))),"")</f>
        <v/>
      </c>
      <c r="E908" s="27" t="str">
        <f>IFERROR(__xludf.DUMMYFUNCTION("IFERROR(ARRAY_CONSTRAIN(SPLIT(INDEX('Daily Raw Data'!G:G,Match($A908,'Daily Raw Data'!$B:$B,0)),"":""),1,1),"""")"),"")</f>
        <v/>
      </c>
      <c r="F908" t="str">
        <f t="array" ref="F908">IFERROR(INDEX('Daily Raw Data'!H:H,Match($A908,'Daily Raw Data'!$B:$B,0)),"")</f>
        <v/>
      </c>
      <c r="G908" t="str">
        <f t="array" ref="G908">IFERROR(INDEX('Daily Raw Data'!I:I,Match($A908,'Daily Raw Data'!$B:$B,0)),"")</f>
        <v/>
      </c>
      <c r="H908" t="str">
        <f t="array" ref="H908">IFERROR(INDEX('Daily Raw Data'!N:N,Match($A908,'Daily Raw Data'!$B:$B,0)),"")</f>
        <v/>
      </c>
      <c r="I908" t="str">
        <f t="array" ref="I908">IFERROR(INDEX('Daily Raw Data'!O:O,Match($A908,'Daily Raw Data'!$B:$B,0)),"")</f>
        <v/>
      </c>
      <c r="J908" t="str">
        <f t="array" ref="J908">IFERROR(INDEX('Daily Raw Data'!S:S,Match($A908,'Daily Raw Data'!$B:$B,0)),"")</f>
        <v/>
      </c>
      <c r="K908" t="str">
        <f t="array" ref="K908">IFERROR(INDEX('Daily Raw Data'!T:T,Match($A908,'Daily Raw Data'!$B:$B,0)),"")</f>
        <v/>
      </c>
      <c r="L908" t="str">
        <f t="array" ref="L908">IFERROR(INDEX('Daily Raw Data'!U:U,Match($A908,'Daily Raw Data'!$B:$B,0)),"")</f>
        <v/>
      </c>
      <c r="M908" t="str">
        <f t="array" ref="M908">IFERROR(INDEX('Daily Raw Data'!V:V,Match($A908,'Daily Raw Data'!$B:$B,0)),"")</f>
        <v/>
      </c>
      <c r="N908" t="str">
        <f t="array" ref="N908">IFERROR(INDEX('Daily Raw Data'!W:W,Match($A908,'Daily Raw Data'!$B:$B,0)),"")</f>
        <v/>
      </c>
      <c r="O908" t="str">
        <f t="array" ref="O908">IFERROR(INDEX('Daily Raw Data'!Y:Y,Match($A908,'Daily Raw Data'!$B:$B,0)),"")</f>
        <v/>
      </c>
      <c r="P908" t="str">
        <f t="shared" si="1"/>
        <v/>
      </c>
      <c r="Q908" s="14" t="str">
        <f t="shared" si="2"/>
        <v/>
      </c>
      <c r="R908" s="15" t="str">
        <f>IFERROR(__xludf.DUMMYFUNCTION("IF($A908="""","""", IFERROR(PERCENTRANK.INC(FILTER(P:P,$E:$E&lt;&gt;""""),P908)*100,""""))"),"")</f>
        <v/>
      </c>
      <c r="S908" s="15" t="str">
        <f>IFERROR(__xludf.DUMMYFUNCTION("IF($A908="""","""",IFERROR(PERCENTRANK.INC(FILTER(Q:Q,$E:$E&lt;&gt;""""),Q908)*100,""""))"),"")</f>
        <v/>
      </c>
    </row>
    <row r="909">
      <c r="B909" t="str">
        <f t="array" ref="B909">IFERROR(INDEX('Player Raw Data'!C:C,Match($A909,'Player Raw Data'!$B:$B,0)),"")</f>
        <v/>
      </c>
      <c r="C909" t="str">
        <f t="array" ref="C909">IFERROR(INDEX('Player Raw Data'!D:D,Match($A909,'Player Raw Data'!$B:$B,0)),"")</f>
        <v/>
      </c>
      <c r="D909" t="str">
        <f t="array" ref="D909">IFERROR(IF(A909=A908, INDEX('Player Raw Data'!E:E,Match($A909,'Player Raw Data'!$B:$B,0)+2),INDEX('Player Raw Data'!E:E,Match($A909,'Player Raw Data'!$B:$B,0))),"")</f>
        <v/>
      </c>
      <c r="E909" s="27" t="str">
        <f>IFERROR(__xludf.DUMMYFUNCTION("IFERROR(ARRAY_CONSTRAIN(SPLIT(INDEX('Daily Raw Data'!G:G,Match($A909,'Daily Raw Data'!$B:$B,0)),"":""),1,1),"""")"),"")</f>
        <v/>
      </c>
      <c r="F909" t="str">
        <f t="array" ref="F909">IFERROR(INDEX('Daily Raw Data'!H:H,Match($A909,'Daily Raw Data'!$B:$B,0)),"")</f>
        <v/>
      </c>
      <c r="G909" t="str">
        <f t="array" ref="G909">IFERROR(INDEX('Daily Raw Data'!I:I,Match($A909,'Daily Raw Data'!$B:$B,0)),"")</f>
        <v/>
      </c>
      <c r="H909" t="str">
        <f t="array" ref="H909">IFERROR(INDEX('Daily Raw Data'!N:N,Match($A909,'Daily Raw Data'!$B:$B,0)),"")</f>
        <v/>
      </c>
      <c r="I909" t="str">
        <f t="array" ref="I909">IFERROR(INDEX('Daily Raw Data'!O:O,Match($A909,'Daily Raw Data'!$B:$B,0)),"")</f>
        <v/>
      </c>
      <c r="J909" t="str">
        <f t="array" ref="J909">IFERROR(INDEX('Daily Raw Data'!S:S,Match($A909,'Daily Raw Data'!$B:$B,0)),"")</f>
        <v/>
      </c>
      <c r="K909" t="str">
        <f t="array" ref="K909">IFERROR(INDEX('Daily Raw Data'!T:T,Match($A909,'Daily Raw Data'!$B:$B,0)),"")</f>
        <v/>
      </c>
      <c r="L909" t="str">
        <f t="array" ref="L909">IFERROR(INDEX('Daily Raw Data'!U:U,Match($A909,'Daily Raw Data'!$B:$B,0)),"")</f>
        <v/>
      </c>
      <c r="M909" t="str">
        <f t="array" ref="M909">IFERROR(INDEX('Daily Raw Data'!V:V,Match($A909,'Daily Raw Data'!$B:$B,0)),"")</f>
        <v/>
      </c>
      <c r="N909" t="str">
        <f t="array" ref="N909">IFERROR(INDEX('Daily Raw Data'!W:W,Match($A909,'Daily Raw Data'!$B:$B,0)),"")</f>
        <v/>
      </c>
      <c r="O909" t="str">
        <f t="array" ref="O909">IFERROR(INDEX('Daily Raw Data'!Y:Y,Match($A909,'Daily Raw Data'!$B:$B,0)),"")</f>
        <v/>
      </c>
      <c r="P909" t="str">
        <f t="shared" si="1"/>
        <v/>
      </c>
      <c r="Q909" s="14" t="str">
        <f t="shared" si="2"/>
        <v/>
      </c>
      <c r="R909" s="15" t="str">
        <f>IFERROR(__xludf.DUMMYFUNCTION("IF($A909="""","""", IFERROR(PERCENTRANK.INC(FILTER(P:P,$E:$E&lt;&gt;""""),P909)*100,""""))"),"")</f>
        <v/>
      </c>
      <c r="S909" s="15" t="str">
        <f>IFERROR(__xludf.DUMMYFUNCTION("IF($A909="""","""",IFERROR(PERCENTRANK.INC(FILTER(Q:Q,$E:$E&lt;&gt;""""),Q909)*100,""""))"),"")</f>
        <v/>
      </c>
    </row>
    <row r="910">
      <c r="B910" t="str">
        <f t="array" ref="B910">IFERROR(INDEX('Player Raw Data'!C:C,Match($A910,'Player Raw Data'!$B:$B,0)),"")</f>
        <v/>
      </c>
      <c r="C910" t="str">
        <f t="array" ref="C910">IFERROR(INDEX('Player Raw Data'!D:D,Match($A910,'Player Raw Data'!$B:$B,0)),"")</f>
        <v/>
      </c>
      <c r="D910" t="str">
        <f t="array" ref="D910">IFERROR(IF(A910=A909, INDEX('Player Raw Data'!E:E,Match($A910,'Player Raw Data'!$B:$B,0)+2),INDEX('Player Raw Data'!E:E,Match($A910,'Player Raw Data'!$B:$B,0))),"")</f>
        <v/>
      </c>
      <c r="E910" s="27" t="str">
        <f>IFERROR(__xludf.DUMMYFUNCTION("IFERROR(ARRAY_CONSTRAIN(SPLIT(INDEX('Daily Raw Data'!G:G,Match($A910,'Daily Raw Data'!$B:$B,0)),"":""),1,1),"""")"),"")</f>
        <v/>
      </c>
      <c r="F910" t="str">
        <f t="array" ref="F910">IFERROR(INDEX('Daily Raw Data'!H:H,Match($A910,'Daily Raw Data'!$B:$B,0)),"")</f>
        <v/>
      </c>
      <c r="G910" t="str">
        <f t="array" ref="G910">IFERROR(INDEX('Daily Raw Data'!I:I,Match($A910,'Daily Raw Data'!$B:$B,0)),"")</f>
        <v/>
      </c>
      <c r="H910" t="str">
        <f t="array" ref="H910">IFERROR(INDEX('Daily Raw Data'!N:N,Match($A910,'Daily Raw Data'!$B:$B,0)),"")</f>
        <v/>
      </c>
      <c r="I910" t="str">
        <f t="array" ref="I910">IFERROR(INDEX('Daily Raw Data'!O:O,Match($A910,'Daily Raw Data'!$B:$B,0)),"")</f>
        <v/>
      </c>
      <c r="J910" t="str">
        <f t="array" ref="J910">IFERROR(INDEX('Daily Raw Data'!S:S,Match($A910,'Daily Raw Data'!$B:$B,0)),"")</f>
        <v/>
      </c>
      <c r="K910" t="str">
        <f t="array" ref="K910">IFERROR(INDEX('Daily Raw Data'!T:T,Match($A910,'Daily Raw Data'!$B:$B,0)),"")</f>
        <v/>
      </c>
      <c r="L910" t="str">
        <f t="array" ref="L910">IFERROR(INDEX('Daily Raw Data'!U:U,Match($A910,'Daily Raw Data'!$B:$B,0)),"")</f>
        <v/>
      </c>
      <c r="M910" t="str">
        <f t="array" ref="M910">IFERROR(INDEX('Daily Raw Data'!V:V,Match($A910,'Daily Raw Data'!$B:$B,0)),"")</f>
        <v/>
      </c>
      <c r="N910" t="str">
        <f t="array" ref="N910">IFERROR(INDEX('Daily Raw Data'!W:W,Match($A910,'Daily Raw Data'!$B:$B,0)),"")</f>
        <v/>
      </c>
      <c r="O910" t="str">
        <f t="array" ref="O910">IFERROR(INDEX('Daily Raw Data'!Y:Y,Match($A910,'Daily Raw Data'!$B:$B,0)),"")</f>
        <v/>
      </c>
      <c r="P910" t="str">
        <f t="shared" si="1"/>
        <v/>
      </c>
      <c r="Q910" s="14" t="str">
        <f t="shared" si="2"/>
        <v/>
      </c>
      <c r="R910" s="15" t="str">
        <f>IFERROR(__xludf.DUMMYFUNCTION("IF($A910="""","""", IFERROR(PERCENTRANK.INC(FILTER(P:P,$E:$E&lt;&gt;""""),P910)*100,""""))"),"")</f>
        <v/>
      </c>
      <c r="S910" s="15" t="str">
        <f>IFERROR(__xludf.DUMMYFUNCTION("IF($A910="""","""",IFERROR(PERCENTRANK.INC(FILTER(Q:Q,$E:$E&lt;&gt;""""),Q910)*100,""""))"),"")</f>
        <v/>
      </c>
    </row>
    <row r="911">
      <c r="B911" t="str">
        <f t="array" ref="B911">IFERROR(INDEX('Player Raw Data'!C:C,Match($A911,'Player Raw Data'!$B:$B,0)),"")</f>
        <v/>
      </c>
      <c r="C911" t="str">
        <f t="array" ref="C911">IFERROR(INDEX('Player Raw Data'!D:D,Match($A911,'Player Raw Data'!$B:$B,0)),"")</f>
        <v/>
      </c>
      <c r="D911" t="str">
        <f t="array" ref="D911">IFERROR(IF(A911=A910, INDEX('Player Raw Data'!E:E,Match($A911,'Player Raw Data'!$B:$B,0)+2),INDEX('Player Raw Data'!E:E,Match($A911,'Player Raw Data'!$B:$B,0))),"")</f>
        <v/>
      </c>
      <c r="E911" s="27" t="str">
        <f>IFERROR(__xludf.DUMMYFUNCTION("IFERROR(ARRAY_CONSTRAIN(SPLIT(INDEX('Daily Raw Data'!G:G,Match($A911,'Daily Raw Data'!$B:$B,0)),"":""),1,1),"""")"),"")</f>
        <v/>
      </c>
      <c r="F911" t="str">
        <f t="array" ref="F911">IFERROR(INDEX('Daily Raw Data'!H:H,Match($A911,'Daily Raw Data'!$B:$B,0)),"")</f>
        <v/>
      </c>
      <c r="G911" t="str">
        <f t="array" ref="G911">IFERROR(INDEX('Daily Raw Data'!I:I,Match($A911,'Daily Raw Data'!$B:$B,0)),"")</f>
        <v/>
      </c>
      <c r="H911" t="str">
        <f t="array" ref="H911">IFERROR(INDEX('Daily Raw Data'!N:N,Match($A911,'Daily Raw Data'!$B:$B,0)),"")</f>
        <v/>
      </c>
      <c r="I911" t="str">
        <f t="array" ref="I911">IFERROR(INDEX('Daily Raw Data'!O:O,Match($A911,'Daily Raw Data'!$B:$B,0)),"")</f>
        <v/>
      </c>
      <c r="J911" t="str">
        <f t="array" ref="J911">IFERROR(INDEX('Daily Raw Data'!S:S,Match($A911,'Daily Raw Data'!$B:$B,0)),"")</f>
        <v/>
      </c>
      <c r="K911" t="str">
        <f t="array" ref="K911">IFERROR(INDEX('Daily Raw Data'!T:T,Match($A911,'Daily Raw Data'!$B:$B,0)),"")</f>
        <v/>
      </c>
      <c r="L911" t="str">
        <f t="array" ref="L911">IFERROR(INDEX('Daily Raw Data'!U:U,Match($A911,'Daily Raw Data'!$B:$B,0)),"")</f>
        <v/>
      </c>
      <c r="M911" t="str">
        <f t="array" ref="M911">IFERROR(INDEX('Daily Raw Data'!V:V,Match($A911,'Daily Raw Data'!$B:$B,0)),"")</f>
        <v/>
      </c>
      <c r="N911" t="str">
        <f t="array" ref="N911">IFERROR(INDEX('Daily Raw Data'!W:W,Match($A911,'Daily Raw Data'!$B:$B,0)),"")</f>
        <v/>
      </c>
      <c r="O911" t="str">
        <f t="array" ref="O911">IFERROR(INDEX('Daily Raw Data'!Y:Y,Match($A911,'Daily Raw Data'!$B:$B,0)),"")</f>
        <v/>
      </c>
      <c r="P911" t="str">
        <f t="shared" si="1"/>
        <v/>
      </c>
      <c r="Q911" s="14" t="str">
        <f t="shared" si="2"/>
        <v/>
      </c>
      <c r="R911" s="15" t="str">
        <f>IFERROR(__xludf.DUMMYFUNCTION("IF($A911="""","""", IFERROR(PERCENTRANK.INC(FILTER(P:P,$E:$E&lt;&gt;""""),P911)*100,""""))"),"")</f>
        <v/>
      </c>
      <c r="S911" s="15" t="str">
        <f>IFERROR(__xludf.DUMMYFUNCTION("IF($A911="""","""",IFERROR(PERCENTRANK.INC(FILTER(Q:Q,$E:$E&lt;&gt;""""),Q911)*100,""""))"),"")</f>
        <v/>
      </c>
    </row>
    <row r="912">
      <c r="B912" t="str">
        <f t="array" ref="B912">IFERROR(INDEX('Player Raw Data'!C:C,Match($A912,'Player Raw Data'!$B:$B,0)),"")</f>
        <v/>
      </c>
      <c r="C912" t="str">
        <f t="array" ref="C912">IFERROR(INDEX('Player Raw Data'!D:D,Match($A912,'Player Raw Data'!$B:$B,0)),"")</f>
        <v/>
      </c>
      <c r="D912" t="str">
        <f t="array" ref="D912">IFERROR(IF(A912=A911, INDEX('Player Raw Data'!E:E,Match($A912,'Player Raw Data'!$B:$B,0)+2),INDEX('Player Raw Data'!E:E,Match($A912,'Player Raw Data'!$B:$B,0))),"")</f>
        <v/>
      </c>
      <c r="E912" s="27" t="str">
        <f>IFERROR(__xludf.DUMMYFUNCTION("IFERROR(ARRAY_CONSTRAIN(SPLIT(INDEX('Daily Raw Data'!G:G,Match($A912,'Daily Raw Data'!$B:$B,0)),"":""),1,1),"""")"),"")</f>
        <v/>
      </c>
      <c r="F912" t="str">
        <f t="array" ref="F912">IFERROR(INDEX('Daily Raw Data'!H:H,Match($A912,'Daily Raw Data'!$B:$B,0)),"")</f>
        <v/>
      </c>
      <c r="G912" t="str">
        <f t="array" ref="G912">IFERROR(INDEX('Daily Raw Data'!I:I,Match($A912,'Daily Raw Data'!$B:$B,0)),"")</f>
        <v/>
      </c>
      <c r="H912" t="str">
        <f t="array" ref="H912">IFERROR(INDEX('Daily Raw Data'!N:N,Match($A912,'Daily Raw Data'!$B:$B,0)),"")</f>
        <v/>
      </c>
      <c r="I912" t="str">
        <f t="array" ref="I912">IFERROR(INDEX('Daily Raw Data'!O:O,Match($A912,'Daily Raw Data'!$B:$B,0)),"")</f>
        <v/>
      </c>
      <c r="J912" t="str">
        <f t="array" ref="J912">IFERROR(INDEX('Daily Raw Data'!S:S,Match($A912,'Daily Raw Data'!$B:$B,0)),"")</f>
        <v/>
      </c>
      <c r="K912" t="str">
        <f t="array" ref="K912">IFERROR(INDEX('Daily Raw Data'!T:T,Match($A912,'Daily Raw Data'!$B:$B,0)),"")</f>
        <v/>
      </c>
      <c r="L912" t="str">
        <f t="array" ref="L912">IFERROR(INDEX('Daily Raw Data'!U:U,Match($A912,'Daily Raw Data'!$B:$B,0)),"")</f>
        <v/>
      </c>
      <c r="M912" t="str">
        <f t="array" ref="M912">IFERROR(INDEX('Daily Raw Data'!V:V,Match($A912,'Daily Raw Data'!$B:$B,0)),"")</f>
        <v/>
      </c>
      <c r="N912" t="str">
        <f t="array" ref="N912">IFERROR(INDEX('Daily Raw Data'!W:W,Match($A912,'Daily Raw Data'!$B:$B,0)),"")</f>
        <v/>
      </c>
      <c r="O912" t="str">
        <f t="array" ref="O912">IFERROR(INDEX('Daily Raw Data'!Y:Y,Match($A912,'Daily Raw Data'!$B:$B,0)),"")</f>
        <v/>
      </c>
      <c r="P912" t="str">
        <f t="shared" si="1"/>
        <v/>
      </c>
      <c r="Q912" s="14" t="str">
        <f t="shared" si="2"/>
        <v/>
      </c>
      <c r="R912" s="15" t="str">
        <f>IFERROR(__xludf.DUMMYFUNCTION("IF($A912="""","""", IFERROR(PERCENTRANK.INC(FILTER(P:P,$E:$E&lt;&gt;""""),P912)*100,""""))"),"")</f>
        <v/>
      </c>
      <c r="S912" s="15" t="str">
        <f>IFERROR(__xludf.DUMMYFUNCTION("IF($A912="""","""",IFERROR(PERCENTRANK.INC(FILTER(Q:Q,$E:$E&lt;&gt;""""),Q912)*100,""""))"),"")</f>
        <v/>
      </c>
    </row>
    <row r="913">
      <c r="B913" t="str">
        <f t="array" ref="B913">IFERROR(INDEX('Player Raw Data'!C:C,Match($A913,'Player Raw Data'!$B:$B,0)),"")</f>
        <v/>
      </c>
      <c r="C913" t="str">
        <f t="array" ref="C913">IFERROR(INDEX('Player Raw Data'!D:D,Match($A913,'Player Raw Data'!$B:$B,0)),"")</f>
        <v/>
      </c>
      <c r="D913" t="str">
        <f t="array" ref="D913">IFERROR(IF(A913=A912, INDEX('Player Raw Data'!E:E,Match($A913,'Player Raw Data'!$B:$B,0)+2),INDEX('Player Raw Data'!E:E,Match($A913,'Player Raw Data'!$B:$B,0))),"")</f>
        <v/>
      </c>
      <c r="E913" s="27" t="str">
        <f>IFERROR(__xludf.DUMMYFUNCTION("IFERROR(ARRAY_CONSTRAIN(SPLIT(INDEX('Daily Raw Data'!G:G,Match($A913,'Daily Raw Data'!$B:$B,0)),"":""),1,1),"""")"),"")</f>
        <v/>
      </c>
      <c r="F913" t="str">
        <f t="array" ref="F913">IFERROR(INDEX('Daily Raw Data'!H:H,Match($A913,'Daily Raw Data'!$B:$B,0)),"")</f>
        <v/>
      </c>
      <c r="G913" t="str">
        <f t="array" ref="G913">IFERROR(INDEX('Daily Raw Data'!I:I,Match($A913,'Daily Raw Data'!$B:$B,0)),"")</f>
        <v/>
      </c>
      <c r="H913" t="str">
        <f t="array" ref="H913">IFERROR(INDEX('Daily Raw Data'!N:N,Match($A913,'Daily Raw Data'!$B:$B,0)),"")</f>
        <v/>
      </c>
      <c r="I913" t="str">
        <f t="array" ref="I913">IFERROR(INDEX('Daily Raw Data'!O:O,Match($A913,'Daily Raw Data'!$B:$B,0)),"")</f>
        <v/>
      </c>
      <c r="J913" t="str">
        <f t="array" ref="J913">IFERROR(INDEX('Daily Raw Data'!S:S,Match($A913,'Daily Raw Data'!$B:$B,0)),"")</f>
        <v/>
      </c>
      <c r="K913" t="str">
        <f t="array" ref="K913">IFERROR(INDEX('Daily Raw Data'!T:T,Match($A913,'Daily Raw Data'!$B:$B,0)),"")</f>
        <v/>
      </c>
      <c r="L913" t="str">
        <f t="array" ref="L913">IFERROR(INDEX('Daily Raw Data'!U:U,Match($A913,'Daily Raw Data'!$B:$B,0)),"")</f>
        <v/>
      </c>
      <c r="M913" t="str">
        <f t="array" ref="M913">IFERROR(INDEX('Daily Raw Data'!V:V,Match($A913,'Daily Raw Data'!$B:$B,0)),"")</f>
        <v/>
      </c>
      <c r="N913" t="str">
        <f t="array" ref="N913">IFERROR(INDEX('Daily Raw Data'!W:W,Match($A913,'Daily Raw Data'!$B:$B,0)),"")</f>
        <v/>
      </c>
      <c r="O913" t="str">
        <f t="array" ref="O913">IFERROR(INDEX('Daily Raw Data'!Y:Y,Match($A913,'Daily Raw Data'!$B:$B,0)),"")</f>
        <v/>
      </c>
      <c r="P913" t="str">
        <f t="shared" si="1"/>
        <v/>
      </c>
      <c r="Q913" s="14" t="str">
        <f t="shared" si="2"/>
        <v/>
      </c>
      <c r="R913" s="15" t="str">
        <f>IFERROR(__xludf.DUMMYFUNCTION("IF($A913="""","""", IFERROR(PERCENTRANK.INC(FILTER(P:P,$E:$E&lt;&gt;""""),P913)*100,""""))"),"")</f>
        <v/>
      </c>
      <c r="S913" s="15" t="str">
        <f>IFERROR(__xludf.DUMMYFUNCTION("IF($A913="""","""",IFERROR(PERCENTRANK.INC(FILTER(Q:Q,$E:$E&lt;&gt;""""),Q913)*100,""""))"),"")</f>
        <v/>
      </c>
    </row>
    <row r="914">
      <c r="B914" t="str">
        <f t="array" ref="B914">IFERROR(INDEX('Player Raw Data'!C:C,Match($A914,'Player Raw Data'!$B:$B,0)),"")</f>
        <v/>
      </c>
      <c r="C914" t="str">
        <f t="array" ref="C914">IFERROR(INDEX('Player Raw Data'!D:D,Match($A914,'Player Raw Data'!$B:$B,0)),"")</f>
        <v/>
      </c>
      <c r="D914" t="str">
        <f t="array" ref="D914">IFERROR(IF(A914=A913, INDEX('Player Raw Data'!E:E,Match($A914,'Player Raw Data'!$B:$B,0)+2),INDEX('Player Raw Data'!E:E,Match($A914,'Player Raw Data'!$B:$B,0))),"")</f>
        <v/>
      </c>
      <c r="E914" s="27" t="str">
        <f>IFERROR(__xludf.DUMMYFUNCTION("IFERROR(ARRAY_CONSTRAIN(SPLIT(INDEX('Daily Raw Data'!G:G,Match($A914,'Daily Raw Data'!$B:$B,0)),"":""),1,1),"""")"),"")</f>
        <v/>
      </c>
      <c r="F914" t="str">
        <f t="array" ref="F914">IFERROR(INDEX('Daily Raw Data'!H:H,Match($A914,'Daily Raw Data'!$B:$B,0)),"")</f>
        <v/>
      </c>
      <c r="G914" t="str">
        <f t="array" ref="G914">IFERROR(INDEX('Daily Raw Data'!I:I,Match($A914,'Daily Raw Data'!$B:$B,0)),"")</f>
        <v/>
      </c>
      <c r="H914" t="str">
        <f t="array" ref="H914">IFERROR(INDEX('Daily Raw Data'!N:N,Match($A914,'Daily Raw Data'!$B:$B,0)),"")</f>
        <v/>
      </c>
      <c r="I914" t="str">
        <f t="array" ref="I914">IFERROR(INDEX('Daily Raw Data'!O:O,Match($A914,'Daily Raw Data'!$B:$B,0)),"")</f>
        <v/>
      </c>
      <c r="J914" t="str">
        <f t="array" ref="J914">IFERROR(INDEX('Daily Raw Data'!S:S,Match($A914,'Daily Raw Data'!$B:$B,0)),"")</f>
        <v/>
      </c>
      <c r="K914" t="str">
        <f t="array" ref="K914">IFERROR(INDEX('Daily Raw Data'!T:T,Match($A914,'Daily Raw Data'!$B:$B,0)),"")</f>
        <v/>
      </c>
      <c r="L914" t="str">
        <f t="array" ref="L914">IFERROR(INDEX('Daily Raw Data'!U:U,Match($A914,'Daily Raw Data'!$B:$B,0)),"")</f>
        <v/>
      </c>
      <c r="M914" t="str">
        <f t="array" ref="M914">IFERROR(INDEX('Daily Raw Data'!V:V,Match($A914,'Daily Raw Data'!$B:$B,0)),"")</f>
        <v/>
      </c>
      <c r="N914" t="str">
        <f t="array" ref="N914">IFERROR(INDEX('Daily Raw Data'!W:W,Match($A914,'Daily Raw Data'!$B:$B,0)),"")</f>
        <v/>
      </c>
      <c r="O914" t="str">
        <f t="array" ref="O914">IFERROR(INDEX('Daily Raw Data'!Y:Y,Match($A914,'Daily Raw Data'!$B:$B,0)),"")</f>
        <v/>
      </c>
      <c r="P914" t="str">
        <f t="shared" si="1"/>
        <v/>
      </c>
      <c r="Q914" s="14" t="str">
        <f t="shared" si="2"/>
        <v/>
      </c>
      <c r="R914" s="15" t="str">
        <f>IFERROR(__xludf.DUMMYFUNCTION("IF($A914="""","""", IFERROR(PERCENTRANK.INC(FILTER(P:P,$E:$E&lt;&gt;""""),P914)*100,""""))"),"")</f>
        <v/>
      </c>
      <c r="S914" s="15" t="str">
        <f>IFERROR(__xludf.DUMMYFUNCTION("IF($A914="""","""",IFERROR(PERCENTRANK.INC(FILTER(Q:Q,$E:$E&lt;&gt;""""),Q914)*100,""""))"),"")</f>
        <v/>
      </c>
    </row>
    <row r="915">
      <c r="B915" t="str">
        <f t="array" ref="B915">IFERROR(INDEX('Player Raw Data'!C:C,Match($A915,'Player Raw Data'!$B:$B,0)),"")</f>
        <v/>
      </c>
      <c r="C915" t="str">
        <f t="array" ref="C915">IFERROR(INDEX('Player Raw Data'!D:D,Match($A915,'Player Raw Data'!$B:$B,0)),"")</f>
        <v/>
      </c>
      <c r="D915" t="str">
        <f t="array" ref="D915">IFERROR(IF(A915=A914, INDEX('Player Raw Data'!E:E,Match($A915,'Player Raw Data'!$B:$B,0)+2),INDEX('Player Raw Data'!E:E,Match($A915,'Player Raw Data'!$B:$B,0))),"")</f>
        <v/>
      </c>
      <c r="E915" s="27" t="str">
        <f>IFERROR(__xludf.DUMMYFUNCTION("IFERROR(ARRAY_CONSTRAIN(SPLIT(INDEX('Daily Raw Data'!G:G,Match($A915,'Daily Raw Data'!$B:$B,0)),"":""),1,1),"""")"),"")</f>
        <v/>
      </c>
      <c r="F915" t="str">
        <f t="array" ref="F915">IFERROR(INDEX('Daily Raw Data'!H:H,Match($A915,'Daily Raw Data'!$B:$B,0)),"")</f>
        <v/>
      </c>
      <c r="G915" t="str">
        <f t="array" ref="G915">IFERROR(INDEX('Daily Raw Data'!I:I,Match($A915,'Daily Raw Data'!$B:$B,0)),"")</f>
        <v/>
      </c>
      <c r="H915" t="str">
        <f t="array" ref="H915">IFERROR(INDEX('Daily Raw Data'!N:N,Match($A915,'Daily Raw Data'!$B:$B,0)),"")</f>
        <v/>
      </c>
      <c r="I915" t="str">
        <f t="array" ref="I915">IFERROR(INDEX('Daily Raw Data'!O:O,Match($A915,'Daily Raw Data'!$B:$B,0)),"")</f>
        <v/>
      </c>
      <c r="J915" t="str">
        <f t="array" ref="J915">IFERROR(INDEX('Daily Raw Data'!S:S,Match($A915,'Daily Raw Data'!$B:$B,0)),"")</f>
        <v/>
      </c>
      <c r="K915" t="str">
        <f t="array" ref="K915">IFERROR(INDEX('Daily Raw Data'!T:T,Match($A915,'Daily Raw Data'!$B:$B,0)),"")</f>
        <v/>
      </c>
      <c r="L915" t="str">
        <f t="array" ref="L915">IFERROR(INDEX('Daily Raw Data'!U:U,Match($A915,'Daily Raw Data'!$B:$B,0)),"")</f>
        <v/>
      </c>
      <c r="M915" t="str">
        <f t="array" ref="M915">IFERROR(INDEX('Daily Raw Data'!V:V,Match($A915,'Daily Raw Data'!$B:$B,0)),"")</f>
        <v/>
      </c>
      <c r="N915" t="str">
        <f t="array" ref="N915">IFERROR(INDEX('Daily Raw Data'!W:W,Match($A915,'Daily Raw Data'!$B:$B,0)),"")</f>
        <v/>
      </c>
      <c r="O915" t="str">
        <f t="array" ref="O915">IFERROR(INDEX('Daily Raw Data'!Y:Y,Match($A915,'Daily Raw Data'!$B:$B,0)),"")</f>
        <v/>
      </c>
      <c r="P915" t="str">
        <f t="shared" si="1"/>
        <v/>
      </c>
      <c r="Q915" s="14" t="str">
        <f t="shared" si="2"/>
        <v/>
      </c>
      <c r="R915" s="15" t="str">
        <f>IFERROR(__xludf.DUMMYFUNCTION("IF($A915="""","""", IFERROR(PERCENTRANK.INC(FILTER(P:P,$E:$E&lt;&gt;""""),P915)*100,""""))"),"")</f>
        <v/>
      </c>
      <c r="S915" s="15" t="str">
        <f>IFERROR(__xludf.DUMMYFUNCTION("IF($A915="""","""",IFERROR(PERCENTRANK.INC(FILTER(Q:Q,$E:$E&lt;&gt;""""),Q915)*100,""""))"),"")</f>
        <v/>
      </c>
    </row>
    <row r="916">
      <c r="B916" t="str">
        <f t="array" ref="B916">IFERROR(INDEX('Player Raw Data'!C:C,Match($A916,'Player Raw Data'!$B:$B,0)),"")</f>
        <v/>
      </c>
      <c r="C916" t="str">
        <f t="array" ref="C916">IFERROR(INDEX('Player Raw Data'!D:D,Match($A916,'Player Raw Data'!$B:$B,0)),"")</f>
        <v/>
      </c>
      <c r="D916" t="str">
        <f t="array" ref="D916">IFERROR(IF(A916=A915, INDEX('Player Raw Data'!E:E,Match($A916,'Player Raw Data'!$B:$B,0)+2),INDEX('Player Raw Data'!E:E,Match($A916,'Player Raw Data'!$B:$B,0))),"")</f>
        <v/>
      </c>
      <c r="E916" s="27" t="str">
        <f>IFERROR(__xludf.DUMMYFUNCTION("IFERROR(ARRAY_CONSTRAIN(SPLIT(INDEX('Daily Raw Data'!G:G,Match($A916,'Daily Raw Data'!$B:$B,0)),"":""),1,1),"""")"),"")</f>
        <v/>
      </c>
      <c r="F916" t="str">
        <f t="array" ref="F916">IFERROR(INDEX('Daily Raw Data'!H:H,Match($A916,'Daily Raw Data'!$B:$B,0)),"")</f>
        <v/>
      </c>
      <c r="G916" t="str">
        <f t="array" ref="G916">IFERROR(INDEX('Daily Raw Data'!I:I,Match($A916,'Daily Raw Data'!$B:$B,0)),"")</f>
        <v/>
      </c>
      <c r="H916" t="str">
        <f t="array" ref="H916">IFERROR(INDEX('Daily Raw Data'!N:N,Match($A916,'Daily Raw Data'!$B:$B,0)),"")</f>
        <v/>
      </c>
      <c r="I916" t="str">
        <f t="array" ref="I916">IFERROR(INDEX('Daily Raw Data'!O:O,Match($A916,'Daily Raw Data'!$B:$B,0)),"")</f>
        <v/>
      </c>
      <c r="J916" t="str">
        <f t="array" ref="J916">IFERROR(INDEX('Daily Raw Data'!S:S,Match($A916,'Daily Raw Data'!$B:$B,0)),"")</f>
        <v/>
      </c>
      <c r="K916" t="str">
        <f t="array" ref="K916">IFERROR(INDEX('Daily Raw Data'!T:T,Match($A916,'Daily Raw Data'!$B:$B,0)),"")</f>
        <v/>
      </c>
      <c r="L916" t="str">
        <f t="array" ref="L916">IFERROR(INDEX('Daily Raw Data'!U:U,Match($A916,'Daily Raw Data'!$B:$B,0)),"")</f>
        <v/>
      </c>
      <c r="M916" t="str">
        <f t="array" ref="M916">IFERROR(INDEX('Daily Raw Data'!V:V,Match($A916,'Daily Raw Data'!$B:$B,0)),"")</f>
        <v/>
      </c>
      <c r="N916" t="str">
        <f t="array" ref="N916">IFERROR(INDEX('Daily Raw Data'!W:W,Match($A916,'Daily Raw Data'!$B:$B,0)),"")</f>
        <v/>
      </c>
      <c r="O916" t="str">
        <f t="array" ref="O916">IFERROR(INDEX('Daily Raw Data'!Y:Y,Match($A916,'Daily Raw Data'!$B:$B,0)),"")</f>
        <v/>
      </c>
      <c r="P916" t="str">
        <f t="shared" si="1"/>
        <v/>
      </c>
      <c r="Q916" s="14" t="str">
        <f t="shared" si="2"/>
        <v/>
      </c>
      <c r="R916" s="15" t="str">
        <f>IFERROR(__xludf.DUMMYFUNCTION("IF($A916="""","""", IFERROR(PERCENTRANK.INC(FILTER(P:P,$E:$E&lt;&gt;""""),P916)*100,""""))"),"")</f>
        <v/>
      </c>
      <c r="S916" s="15" t="str">
        <f>IFERROR(__xludf.DUMMYFUNCTION("IF($A916="""","""",IFERROR(PERCENTRANK.INC(FILTER(Q:Q,$E:$E&lt;&gt;""""),Q916)*100,""""))"),"")</f>
        <v/>
      </c>
    </row>
    <row r="917">
      <c r="B917" t="str">
        <f t="array" ref="B917">IFERROR(INDEX('Player Raw Data'!C:C,Match($A917,'Player Raw Data'!$B:$B,0)),"")</f>
        <v/>
      </c>
      <c r="C917" t="str">
        <f t="array" ref="C917">IFERROR(INDEX('Player Raw Data'!D:D,Match($A917,'Player Raw Data'!$B:$B,0)),"")</f>
        <v/>
      </c>
      <c r="D917" t="str">
        <f t="array" ref="D917">IFERROR(IF(A917=A916, INDEX('Player Raw Data'!E:E,Match($A917,'Player Raw Data'!$B:$B,0)+2),INDEX('Player Raw Data'!E:E,Match($A917,'Player Raw Data'!$B:$B,0))),"")</f>
        <v/>
      </c>
      <c r="E917" s="27" t="str">
        <f>IFERROR(__xludf.DUMMYFUNCTION("IFERROR(ARRAY_CONSTRAIN(SPLIT(INDEX('Daily Raw Data'!G:G,Match($A917,'Daily Raw Data'!$B:$B,0)),"":""),1,1),"""")"),"")</f>
        <v/>
      </c>
      <c r="F917" t="str">
        <f t="array" ref="F917">IFERROR(INDEX('Daily Raw Data'!H:H,Match($A917,'Daily Raw Data'!$B:$B,0)),"")</f>
        <v/>
      </c>
      <c r="G917" t="str">
        <f t="array" ref="G917">IFERROR(INDEX('Daily Raw Data'!I:I,Match($A917,'Daily Raw Data'!$B:$B,0)),"")</f>
        <v/>
      </c>
      <c r="H917" t="str">
        <f t="array" ref="H917">IFERROR(INDEX('Daily Raw Data'!N:N,Match($A917,'Daily Raw Data'!$B:$B,0)),"")</f>
        <v/>
      </c>
      <c r="I917" t="str">
        <f t="array" ref="I917">IFERROR(INDEX('Daily Raw Data'!O:O,Match($A917,'Daily Raw Data'!$B:$B,0)),"")</f>
        <v/>
      </c>
      <c r="J917" t="str">
        <f t="array" ref="J917">IFERROR(INDEX('Daily Raw Data'!S:S,Match($A917,'Daily Raw Data'!$B:$B,0)),"")</f>
        <v/>
      </c>
      <c r="K917" t="str">
        <f t="array" ref="K917">IFERROR(INDEX('Daily Raw Data'!T:T,Match($A917,'Daily Raw Data'!$B:$B,0)),"")</f>
        <v/>
      </c>
      <c r="L917" t="str">
        <f t="array" ref="L917">IFERROR(INDEX('Daily Raw Data'!U:U,Match($A917,'Daily Raw Data'!$B:$B,0)),"")</f>
        <v/>
      </c>
      <c r="M917" t="str">
        <f t="array" ref="M917">IFERROR(INDEX('Daily Raw Data'!V:V,Match($A917,'Daily Raw Data'!$B:$B,0)),"")</f>
        <v/>
      </c>
      <c r="N917" t="str">
        <f t="array" ref="N917">IFERROR(INDEX('Daily Raw Data'!W:W,Match($A917,'Daily Raw Data'!$B:$B,0)),"")</f>
        <v/>
      </c>
      <c r="O917" t="str">
        <f t="array" ref="O917">IFERROR(INDEX('Daily Raw Data'!Y:Y,Match($A917,'Daily Raw Data'!$B:$B,0)),"")</f>
        <v/>
      </c>
      <c r="P917" t="str">
        <f t="shared" si="1"/>
        <v/>
      </c>
      <c r="Q917" s="14" t="str">
        <f t="shared" si="2"/>
        <v/>
      </c>
      <c r="R917" s="15" t="str">
        <f>IFERROR(__xludf.DUMMYFUNCTION("IF($A917="""","""", IFERROR(PERCENTRANK.INC(FILTER(P:P,$E:$E&lt;&gt;""""),P917)*100,""""))"),"")</f>
        <v/>
      </c>
      <c r="S917" s="15" t="str">
        <f>IFERROR(__xludf.DUMMYFUNCTION("IF($A917="""","""",IFERROR(PERCENTRANK.INC(FILTER(Q:Q,$E:$E&lt;&gt;""""),Q917)*100,""""))"),"")</f>
        <v/>
      </c>
    </row>
    <row r="918">
      <c r="B918" t="str">
        <f t="array" ref="B918">IFERROR(INDEX('Player Raw Data'!C:C,Match($A918,'Player Raw Data'!$B:$B,0)),"")</f>
        <v/>
      </c>
      <c r="C918" t="str">
        <f t="array" ref="C918">IFERROR(INDEX('Player Raw Data'!D:D,Match($A918,'Player Raw Data'!$B:$B,0)),"")</f>
        <v/>
      </c>
      <c r="D918" t="str">
        <f t="array" ref="D918">IFERROR(IF(A918=A917, INDEX('Player Raw Data'!E:E,Match($A918,'Player Raw Data'!$B:$B,0)+2),INDEX('Player Raw Data'!E:E,Match($A918,'Player Raw Data'!$B:$B,0))),"")</f>
        <v/>
      </c>
      <c r="E918" s="27" t="str">
        <f>IFERROR(__xludf.DUMMYFUNCTION("IFERROR(ARRAY_CONSTRAIN(SPLIT(INDEX('Daily Raw Data'!G:G,Match($A918,'Daily Raw Data'!$B:$B,0)),"":""),1,1),"""")"),"")</f>
        <v/>
      </c>
      <c r="F918" t="str">
        <f t="array" ref="F918">IFERROR(INDEX('Daily Raw Data'!H:H,Match($A918,'Daily Raw Data'!$B:$B,0)),"")</f>
        <v/>
      </c>
      <c r="G918" t="str">
        <f t="array" ref="G918">IFERROR(INDEX('Daily Raw Data'!I:I,Match($A918,'Daily Raw Data'!$B:$B,0)),"")</f>
        <v/>
      </c>
      <c r="H918" t="str">
        <f t="array" ref="H918">IFERROR(INDEX('Daily Raw Data'!N:N,Match($A918,'Daily Raw Data'!$B:$B,0)),"")</f>
        <v/>
      </c>
      <c r="I918" t="str">
        <f t="array" ref="I918">IFERROR(INDEX('Daily Raw Data'!O:O,Match($A918,'Daily Raw Data'!$B:$B,0)),"")</f>
        <v/>
      </c>
      <c r="J918" t="str">
        <f t="array" ref="J918">IFERROR(INDEX('Daily Raw Data'!S:S,Match($A918,'Daily Raw Data'!$B:$B,0)),"")</f>
        <v/>
      </c>
      <c r="K918" t="str">
        <f t="array" ref="K918">IFERROR(INDEX('Daily Raw Data'!T:T,Match($A918,'Daily Raw Data'!$B:$B,0)),"")</f>
        <v/>
      </c>
      <c r="L918" t="str">
        <f t="array" ref="L918">IFERROR(INDEX('Daily Raw Data'!U:U,Match($A918,'Daily Raw Data'!$B:$B,0)),"")</f>
        <v/>
      </c>
      <c r="M918" t="str">
        <f t="array" ref="M918">IFERROR(INDEX('Daily Raw Data'!V:V,Match($A918,'Daily Raw Data'!$B:$B,0)),"")</f>
        <v/>
      </c>
      <c r="N918" t="str">
        <f t="array" ref="N918">IFERROR(INDEX('Daily Raw Data'!W:W,Match($A918,'Daily Raw Data'!$B:$B,0)),"")</f>
        <v/>
      </c>
      <c r="O918" t="str">
        <f t="array" ref="O918">IFERROR(INDEX('Daily Raw Data'!Y:Y,Match($A918,'Daily Raw Data'!$B:$B,0)),"")</f>
        <v/>
      </c>
      <c r="P918" t="str">
        <f t="shared" si="1"/>
        <v/>
      </c>
      <c r="Q918" s="14" t="str">
        <f t="shared" si="2"/>
        <v/>
      </c>
      <c r="R918" s="15" t="str">
        <f>IFERROR(__xludf.DUMMYFUNCTION("IF($A918="""","""", IFERROR(PERCENTRANK.INC(FILTER(P:P,$E:$E&lt;&gt;""""),P918)*100,""""))"),"")</f>
        <v/>
      </c>
      <c r="S918" s="15" t="str">
        <f>IFERROR(__xludf.DUMMYFUNCTION("IF($A918="""","""",IFERROR(PERCENTRANK.INC(FILTER(Q:Q,$E:$E&lt;&gt;""""),Q918)*100,""""))"),"")</f>
        <v/>
      </c>
    </row>
    <row r="919">
      <c r="B919" t="str">
        <f t="array" ref="B919">IFERROR(INDEX('Player Raw Data'!C:C,Match($A919,'Player Raw Data'!$B:$B,0)),"")</f>
        <v/>
      </c>
      <c r="C919" t="str">
        <f t="array" ref="C919">IFERROR(INDEX('Player Raw Data'!D:D,Match($A919,'Player Raw Data'!$B:$B,0)),"")</f>
        <v/>
      </c>
      <c r="D919" t="str">
        <f t="array" ref="D919">IFERROR(IF(A919=A918, INDEX('Player Raw Data'!E:E,Match($A919,'Player Raw Data'!$B:$B,0)+2),INDEX('Player Raw Data'!E:E,Match($A919,'Player Raw Data'!$B:$B,0))),"")</f>
        <v/>
      </c>
      <c r="E919" s="27" t="str">
        <f>IFERROR(__xludf.DUMMYFUNCTION("IFERROR(ARRAY_CONSTRAIN(SPLIT(INDEX('Daily Raw Data'!G:G,Match($A919,'Daily Raw Data'!$B:$B,0)),"":""),1,1),"""")"),"")</f>
        <v/>
      </c>
      <c r="F919" t="str">
        <f t="array" ref="F919">IFERROR(INDEX('Daily Raw Data'!H:H,Match($A919,'Daily Raw Data'!$B:$B,0)),"")</f>
        <v/>
      </c>
      <c r="G919" t="str">
        <f t="array" ref="G919">IFERROR(INDEX('Daily Raw Data'!I:I,Match($A919,'Daily Raw Data'!$B:$B,0)),"")</f>
        <v/>
      </c>
      <c r="H919" t="str">
        <f t="array" ref="H919">IFERROR(INDEX('Daily Raw Data'!N:N,Match($A919,'Daily Raw Data'!$B:$B,0)),"")</f>
        <v/>
      </c>
      <c r="I919" t="str">
        <f t="array" ref="I919">IFERROR(INDEX('Daily Raw Data'!O:O,Match($A919,'Daily Raw Data'!$B:$B,0)),"")</f>
        <v/>
      </c>
      <c r="J919" t="str">
        <f t="array" ref="J919">IFERROR(INDEX('Daily Raw Data'!S:S,Match($A919,'Daily Raw Data'!$B:$B,0)),"")</f>
        <v/>
      </c>
      <c r="K919" t="str">
        <f t="array" ref="K919">IFERROR(INDEX('Daily Raw Data'!T:T,Match($A919,'Daily Raw Data'!$B:$B,0)),"")</f>
        <v/>
      </c>
      <c r="L919" t="str">
        <f t="array" ref="L919">IFERROR(INDEX('Daily Raw Data'!U:U,Match($A919,'Daily Raw Data'!$B:$B,0)),"")</f>
        <v/>
      </c>
      <c r="M919" t="str">
        <f t="array" ref="M919">IFERROR(INDEX('Daily Raw Data'!V:V,Match($A919,'Daily Raw Data'!$B:$B,0)),"")</f>
        <v/>
      </c>
      <c r="N919" t="str">
        <f t="array" ref="N919">IFERROR(INDEX('Daily Raw Data'!W:W,Match($A919,'Daily Raw Data'!$B:$B,0)),"")</f>
        <v/>
      </c>
      <c r="O919" t="str">
        <f t="array" ref="O919">IFERROR(INDEX('Daily Raw Data'!Y:Y,Match($A919,'Daily Raw Data'!$B:$B,0)),"")</f>
        <v/>
      </c>
      <c r="P919" t="str">
        <f t="shared" si="1"/>
        <v/>
      </c>
      <c r="Q919" s="14" t="str">
        <f t="shared" si="2"/>
        <v/>
      </c>
      <c r="R919" s="15" t="str">
        <f>IFERROR(__xludf.DUMMYFUNCTION("IF($A919="""","""", IFERROR(PERCENTRANK.INC(FILTER(P:P,$E:$E&lt;&gt;""""),P919)*100,""""))"),"")</f>
        <v/>
      </c>
      <c r="S919" s="15" t="str">
        <f>IFERROR(__xludf.DUMMYFUNCTION("IF($A919="""","""",IFERROR(PERCENTRANK.INC(FILTER(Q:Q,$E:$E&lt;&gt;""""),Q919)*100,""""))"),"")</f>
        <v/>
      </c>
    </row>
    <row r="920">
      <c r="B920" t="str">
        <f t="array" ref="B920">IFERROR(INDEX('Player Raw Data'!C:C,Match($A920,'Player Raw Data'!$B:$B,0)),"")</f>
        <v/>
      </c>
      <c r="C920" t="str">
        <f t="array" ref="C920">IFERROR(INDEX('Player Raw Data'!D:D,Match($A920,'Player Raw Data'!$B:$B,0)),"")</f>
        <v/>
      </c>
      <c r="D920" t="str">
        <f t="array" ref="D920">IFERROR(IF(A920=A919, INDEX('Player Raw Data'!E:E,Match($A920,'Player Raw Data'!$B:$B,0)+2),INDEX('Player Raw Data'!E:E,Match($A920,'Player Raw Data'!$B:$B,0))),"")</f>
        <v/>
      </c>
      <c r="E920" s="27" t="str">
        <f>IFERROR(__xludf.DUMMYFUNCTION("IFERROR(ARRAY_CONSTRAIN(SPLIT(INDEX('Daily Raw Data'!G:G,Match($A920,'Daily Raw Data'!$B:$B,0)),"":""),1,1),"""")"),"")</f>
        <v/>
      </c>
      <c r="F920" t="str">
        <f t="array" ref="F920">IFERROR(INDEX('Daily Raw Data'!H:H,Match($A920,'Daily Raw Data'!$B:$B,0)),"")</f>
        <v/>
      </c>
      <c r="G920" t="str">
        <f t="array" ref="G920">IFERROR(INDEX('Daily Raw Data'!I:I,Match($A920,'Daily Raw Data'!$B:$B,0)),"")</f>
        <v/>
      </c>
      <c r="H920" t="str">
        <f t="array" ref="H920">IFERROR(INDEX('Daily Raw Data'!N:N,Match($A920,'Daily Raw Data'!$B:$B,0)),"")</f>
        <v/>
      </c>
      <c r="I920" t="str">
        <f t="array" ref="I920">IFERROR(INDEX('Daily Raw Data'!O:O,Match($A920,'Daily Raw Data'!$B:$B,0)),"")</f>
        <v/>
      </c>
      <c r="J920" t="str">
        <f t="array" ref="J920">IFERROR(INDEX('Daily Raw Data'!S:S,Match($A920,'Daily Raw Data'!$B:$B,0)),"")</f>
        <v/>
      </c>
      <c r="K920" t="str">
        <f t="array" ref="K920">IFERROR(INDEX('Daily Raw Data'!T:T,Match($A920,'Daily Raw Data'!$B:$B,0)),"")</f>
        <v/>
      </c>
      <c r="L920" t="str">
        <f t="array" ref="L920">IFERROR(INDEX('Daily Raw Data'!U:U,Match($A920,'Daily Raw Data'!$B:$B,0)),"")</f>
        <v/>
      </c>
      <c r="M920" t="str">
        <f t="array" ref="M920">IFERROR(INDEX('Daily Raw Data'!V:V,Match($A920,'Daily Raw Data'!$B:$B,0)),"")</f>
        <v/>
      </c>
      <c r="N920" t="str">
        <f t="array" ref="N920">IFERROR(INDEX('Daily Raw Data'!W:W,Match($A920,'Daily Raw Data'!$B:$B,0)),"")</f>
        <v/>
      </c>
      <c r="O920" t="str">
        <f t="array" ref="O920">IFERROR(INDEX('Daily Raw Data'!Y:Y,Match($A920,'Daily Raw Data'!$B:$B,0)),"")</f>
        <v/>
      </c>
      <c r="P920" t="str">
        <f t="shared" si="1"/>
        <v/>
      </c>
      <c r="Q920" s="14" t="str">
        <f t="shared" si="2"/>
        <v/>
      </c>
      <c r="R920" s="15" t="str">
        <f>IFERROR(__xludf.DUMMYFUNCTION("IF($A920="""","""", IFERROR(PERCENTRANK.INC(FILTER(P:P,$E:$E&lt;&gt;""""),P920)*100,""""))"),"")</f>
        <v/>
      </c>
      <c r="S920" s="15" t="str">
        <f>IFERROR(__xludf.DUMMYFUNCTION("IF($A920="""","""",IFERROR(PERCENTRANK.INC(FILTER(Q:Q,$E:$E&lt;&gt;""""),Q920)*100,""""))"),"")</f>
        <v/>
      </c>
    </row>
    <row r="921">
      <c r="B921" t="str">
        <f t="array" ref="B921">IFERROR(INDEX('Player Raw Data'!C:C,Match($A921,'Player Raw Data'!$B:$B,0)),"")</f>
        <v/>
      </c>
      <c r="C921" t="str">
        <f t="array" ref="C921">IFERROR(INDEX('Player Raw Data'!D:D,Match($A921,'Player Raw Data'!$B:$B,0)),"")</f>
        <v/>
      </c>
      <c r="D921" t="str">
        <f t="array" ref="D921">IFERROR(IF(A921=A920, INDEX('Player Raw Data'!E:E,Match($A921,'Player Raw Data'!$B:$B,0)+2),INDEX('Player Raw Data'!E:E,Match($A921,'Player Raw Data'!$B:$B,0))),"")</f>
        <v/>
      </c>
      <c r="E921" s="27" t="str">
        <f>IFERROR(__xludf.DUMMYFUNCTION("IFERROR(ARRAY_CONSTRAIN(SPLIT(INDEX('Daily Raw Data'!G:G,Match($A921,'Daily Raw Data'!$B:$B,0)),"":""),1,1),"""")"),"")</f>
        <v/>
      </c>
      <c r="F921" t="str">
        <f t="array" ref="F921">IFERROR(INDEX('Daily Raw Data'!H:H,Match($A921,'Daily Raw Data'!$B:$B,0)),"")</f>
        <v/>
      </c>
      <c r="G921" t="str">
        <f t="array" ref="G921">IFERROR(INDEX('Daily Raw Data'!I:I,Match($A921,'Daily Raw Data'!$B:$B,0)),"")</f>
        <v/>
      </c>
      <c r="H921" t="str">
        <f t="array" ref="H921">IFERROR(INDEX('Daily Raw Data'!N:N,Match($A921,'Daily Raw Data'!$B:$B,0)),"")</f>
        <v/>
      </c>
      <c r="I921" t="str">
        <f t="array" ref="I921">IFERROR(INDEX('Daily Raw Data'!O:O,Match($A921,'Daily Raw Data'!$B:$B,0)),"")</f>
        <v/>
      </c>
      <c r="J921" t="str">
        <f t="array" ref="J921">IFERROR(INDEX('Daily Raw Data'!S:S,Match($A921,'Daily Raw Data'!$B:$B,0)),"")</f>
        <v/>
      </c>
      <c r="K921" t="str">
        <f t="array" ref="K921">IFERROR(INDEX('Daily Raw Data'!T:T,Match($A921,'Daily Raw Data'!$B:$B,0)),"")</f>
        <v/>
      </c>
      <c r="L921" t="str">
        <f t="array" ref="L921">IFERROR(INDEX('Daily Raw Data'!U:U,Match($A921,'Daily Raw Data'!$B:$B,0)),"")</f>
        <v/>
      </c>
      <c r="M921" t="str">
        <f t="array" ref="M921">IFERROR(INDEX('Daily Raw Data'!V:V,Match($A921,'Daily Raw Data'!$B:$B,0)),"")</f>
        <v/>
      </c>
      <c r="N921" t="str">
        <f t="array" ref="N921">IFERROR(INDEX('Daily Raw Data'!W:W,Match($A921,'Daily Raw Data'!$B:$B,0)),"")</f>
        <v/>
      </c>
      <c r="O921" t="str">
        <f t="array" ref="O921">IFERROR(INDEX('Daily Raw Data'!Y:Y,Match($A921,'Daily Raw Data'!$B:$B,0)),"")</f>
        <v/>
      </c>
      <c r="P921" t="str">
        <f t="shared" si="1"/>
        <v/>
      </c>
      <c r="Q921" s="14" t="str">
        <f t="shared" si="2"/>
        <v/>
      </c>
      <c r="R921" s="15" t="str">
        <f>IFERROR(__xludf.DUMMYFUNCTION("IF($A921="""","""", IFERROR(PERCENTRANK.INC(FILTER(P:P,$E:$E&lt;&gt;""""),P921)*100,""""))"),"")</f>
        <v/>
      </c>
      <c r="S921" s="15" t="str">
        <f>IFERROR(__xludf.DUMMYFUNCTION("IF($A921="""","""",IFERROR(PERCENTRANK.INC(FILTER(Q:Q,$E:$E&lt;&gt;""""),Q921)*100,""""))"),"")</f>
        <v/>
      </c>
    </row>
    <row r="922">
      <c r="B922" t="str">
        <f t="array" ref="B922">IFERROR(INDEX('Player Raw Data'!C:C,Match($A922,'Player Raw Data'!$B:$B,0)),"")</f>
        <v/>
      </c>
      <c r="C922" t="str">
        <f t="array" ref="C922">IFERROR(INDEX('Player Raw Data'!D:D,Match($A922,'Player Raw Data'!$B:$B,0)),"")</f>
        <v/>
      </c>
      <c r="D922" t="str">
        <f t="array" ref="D922">IFERROR(IF(A922=A921, INDEX('Player Raw Data'!E:E,Match($A922,'Player Raw Data'!$B:$B,0)+2),INDEX('Player Raw Data'!E:E,Match($A922,'Player Raw Data'!$B:$B,0))),"")</f>
        <v/>
      </c>
      <c r="E922" s="27" t="str">
        <f>IFERROR(__xludf.DUMMYFUNCTION("IFERROR(ARRAY_CONSTRAIN(SPLIT(INDEX('Daily Raw Data'!G:G,Match($A922,'Daily Raw Data'!$B:$B,0)),"":""),1,1),"""")"),"")</f>
        <v/>
      </c>
      <c r="F922" t="str">
        <f t="array" ref="F922">IFERROR(INDEX('Daily Raw Data'!H:H,Match($A922,'Daily Raw Data'!$B:$B,0)),"")</f>
        <v/>
      </c>
      <c r="G922" t="str">
        <f t="array" ref="G922">IFERROR(INDEX('Daily Raw Data'!I:I,Match($A922,'Daily Raw Data'!$B:$B,0)),"")</f>
        <v/>
      </c>
      <c r="H922" t="str">
        <f t="array" ref="H922">IFERROR(INDEX('Daily Raw Data'!N:N,Match($A922,'Daily Raw Data'!$B:$B,0)),"")</f>
        <v/>
      </c>
      <c r="I922" t="str">
        <f t="array" ref="I922">IFERROR(INDEX('Daily Raw Data'!O:O,Match($A922,'Daily Raw Data'!$B:$B,0)),"")</f>
        <v/>
      </c>
      <c r="J922" t="str">
        <f t="array" ref="J922">IFERROR(INDEX('Daily Raw Data'!S:S,Match($A922,'Daily Raw Data'!$B:$B,0)),"")</f>
        <v/>
      </c>
      <c r="K922" t="str">
        <f t="array" ref="K922">IFERROR(INDEX('Daily Raw Data'!T:T,Match($A922,'Daily Raw Data'!$B:$B,0)),"")</f>
        <v/>
      </c>
      <c r="L922" t="str">
        <f t="array" ref="L922">IFERROR(INDEX('Daily Raw Data'!U:U,Match($A922,'Daily Raw Data'!$B:$B,0)),"")</f>
        <v/>
      </c>
      <c r="M922" t="str">
        <f t="array" ref="M922">IFERROR(INDEX('Daily Raw Data'!V:V,Match($A922,'Daily Raw Data'!$B:$B,0)),"")</f>
        <v/>
      </c>
      <c r="N922" t="str">
        <f t="array" ref="N922">IFERROR(INDEX('Daily Raw Data'!W:W,Match($A922,'Daily Raw Data'!$B:$B,0)),"")</f>
        <v/>
      </c>
      <c r="O922" t="str">
        <f t="array" ref="O922">IFERROR(INDEX('Daily Raw Data'!Y:Y,Match($A922,'Daily Raw Data'!$B:$B,0)),"")</f>
        <v/>
      </c>
      <c r="P922" t="str">
        <f t="shared" si="1"/>
        <v/>
      </c>
      <c r="Q922" s="14" t="str">
        <f t="shared" si="2"/>
        <v/>
      </c>
      <c r="R922" s="15" t="str">
        <f>IFERROR(__xludf.DUMMYFUNCTION("IF($A922="""","""", IFERROR(PERCENTRANK.INC(FILTER(P:P,$E:$E&lt;&gt;""""),P922)*100,""""))"),"")</f>
        <v/>
      </c>
      <c r="S922" s="15" t="str">
        <f>IFERROR(__xludf.DUMMYFUNCTION("IF($A922="""","""",IFERROR(PERCENTRANK.INC(FILTER(Q:Q,$E:$E&lt;&gt;""""),Q922)*100,""""))"),"")</f>
        <v/>
      </c>
    </row>
    <row r="923">
      <c r="B923" t="str">
        <f t="array" ref="B923">IFERROR(INDEX('Player Raw Data'!C:C,Match($A923,'Player Raw Data'!$B:$B,0)),"")</f>
        <v/>
      </c>
      <c r="C923" t="str">
        <f t="array" ref="C923">IFERROR(INDEX('Player Raw Data'!D:D,Match($A923,'Player Raw Data'!$B:$B,0)),"")</f>
        <v/>
      </c>
      <c r="D923" t="str">
        <f t="array" ref="D923">IFERROR(IF(A923=A922, INDEX('Player Raw Data'!E:E,Match($A923,'Player Raw Data'!$B:$B,0)+2),INDEX('Player Raw Data'!E:E,Match($A923,'Player Raw Data'!$B:$B,0))),"")</f>
        <v/>
      </c>
      <c r="E923" s="27" t="str">
        <f>IFERROR(__xludf.DUMMYFUNCTION("IFERROR(ARRAY_CONSTRAIN(SPLIT(INDEX('Daily Raw Data'!G:G,Match($A923,'Daily Raw Data'!$B:$B,0)),"":""),1,1),"""")"),"")</f>
        <v/>
      </c>
      <c r="F923" t="str">
        <f t="array" ref="F923">IFERROR(INDEX('Daily Raw Data'!H:H,Match($A923,'Daily Raw Data'!$B:$B,0)),"")</f>
        <v/>
      </c>
      <c r="G923" t="str">
        <f t="array" ref="G923">IFERROR(INDEX('Daily Raw Data'!I:I,Match($A923,'Daily Raw Data'!$B:$B,0)),"")</f>
        <v/>
      </c>
      <c r="H923" t="str">
        <f t="array" ref="H923">IFERROR(INDEX('Daily Raw Data'!N:N,Match($A923,'Daily Raw Data'!$B:$B,0)),"")</f>
        <v/>
      </c>
      <c r="I923" t="str">
        <f t="array" ref="I923">IFERROR(INDEX('Daily Raw Data'!O:O,Match($A923,'Daily Raw Data'!$B:$B,0)),"")</f>
        <v/>
      </c>
      <c r="J923" t="str">
        <f t="array" ref="J923">IFERROR(INDEX('Daily Raw Data'!S:S,Match($A923,'Daily Raw Data'!$B:$B,0)),"")</f>
        <v/>
      </c>
      <c r="K923" t="str">
        <f t="array" ref="K923">IFERROR(INDEX('Daily Raw Data'!T:T,Match($A923,'Daily Raw Data'!$B:$B,0)),"")</f>
        <v/>
      </c>
      <c r="L923" t="str">
        <f t="array" ref="L923">IFERROR(INDEX('Daily Raw Data'!U:U,Match($A923,'Daily Raw Data'!$B:$B,0)),"")</f>
        <v/>
      </c>
      <c r="M923" t="str">
        <f t="array" ref="M923">IFERROR(INDEX('Daily Raw Data'!V:V,Match($A923,'Daily Raw Data'!$B:$B,0)),"")</f>
        <v/>
      </c>
      <c r="N923" t="str">
        <f t="array" ref="N923">IFERROR(INDEX('Daily Raw Data'!W:W,Match($A923,'Daily Raw Data'!$B:$B,0)),"")</f>
        <v/>
      </c>
      <c r="O923" t="str">
        <f t="array" ref="O923">IFERROR(INDEX('Daily Raw Data'!Y:Y,Match($A923,'Daily Raw Data'!$B:$B,0)),"")</f>
        <v/>
      </c>
      <c r="P923" t="str">
        <f t="shared" si="1"/>
        <v/>
      </c>
      <c r="Q923" s="14" t="str">
        <f t="shared" si="2"/>
        <v/>
      </c>
      <c r="R923" s="15" t="str">
        <f>IFERROR(__xludf.DUMMYFUNCTION("IF($A923="""","""", IFERROR(PERCENTRANK.INC(FILTER(P:P,$E:$E&lt;&gt;""""),P923)*100,""""))"),"")</f>
        <v/>
      </c>
      <c r="S923" s="15" t="str">
        <f>IFERROR(__xludf.DUMMYFUNCTION("IF($A923="""","""",IFERROR(PERCENTRANK.INC(FILTER(Q:Q,$E:$E&lt;&gt;""""),Q923)*100,""""))"),"")</f>
        <v/>
      </c>
    </row>
    <row r="924">
      <c r="B924" t="str">
        <f t="array" ref="B924">IFERROR(INDEX('Player Raw Data'!C:C,Match($A924,'Player Raw Data'!$B:$B,0)),"")</f>
        <v/>
      </c>
      <c r="C924" t="str">
        <f t="array" ref="C924">IFERROR(INDEX('Player Raw Data'!D:D,Match($A924,'Player Raw Data'!$B:$B,0)),"")</f>
        <v/>
      </c>
      <c r="D924" t="str">
        <f t="array" ref="D924">IFERROR(IF(A924=A923, INDEX('Player Raw Data'!E:E,Match($A924,'Player Raw Data'!$B:$B,0)+2),INDEX('Player Raw Data'!E:E,Match($A924,'Player Raw Data'!$B:$B,0))),"")</f>
        <v/>
      </c>
      <c r="E924" s="27" t="str">
        <f>IFERROR(__xludf.DUMMYFUNCTION("IFERROR(ARRAY_CONSTRAIN(SPLIT(INDEX('Daily Raw Data'!G:G,Match($A924,'Daily Raw Data'!$B:$B,0)),"":""),1,1),"""")"),"")</f>
        <v/>
      </c>
      <c r="F924" t="str">
        <f t="array" ref="F924">IFERROR(INDEX('Daily Raw Data'!H:H,Match($A924,'Daily Raw Data'!$B:$B,0)),"")</f>
        <v/>
      </c>
      <c r="G924" t="str">
        <f t="array" ref="G924">IFERROR(INDEX('Daily Raw Data'!I:I,Match($A924,'Daily Raw Data'!$B:$B,0)),"")</f>
        <v/>
      </c>
      <c r="H924" t="str">
        <f t="array" ref="H924">IFERROR(INDEX('Daily Raw Data'!N:N,Match($A924,'Daily Raw Data'!$B:$B,0)),"")</f>
        <v/>
      </c>
      <c r="I924" t="str">
        <f t="array" ref="I924">IFERROR(INDEX('Daily Raw Data'!O:O,Match($A924,'Daily Raw Data'!$B:$B,0)),"")</f>
        <v/>
      </c>
      <c r="J924" t="str">
        <f t="array" ref="J924">IFERROR(INDEX('Daily Raw Data'!S:S,Match($A924,'Daily Raw Data'!$B:$B,0)),"")</f>
        <v/>
      </c>
      <c r="K924" t="str">
        <f t="array" ref="K924">IFERROR(INDEX('Daily Raw Data'!T:T,Match($A924,'Daily Raw Data'!$B:$B,0)),"")</f>
        <v/>
      </c>
      <c r="L924" t="str">
        <f t="array" ref="L924">IFERROR(INDEX('Daily Raw Data'!U:U,Match($A924,'Daily Raw Data'!$B:$B,0)),"")</f>
        <v/>
      </c>
      <c r="M924" t="str">
        <f t="array" ref="M924">IFERROR(INDEX('Daily Raw Data'!V:V,Match($A924,'Daily Raw Data'!$B:$B,0)),"")</f>
        <v/>
      </c>
      <c r="N924" t="str">
        <f t="array" ref="N924">IFERROR(INDEX('Daily Raw Data'!W:W,Match($A924,'Daily Raw Data'!$B:$B,0)),"")</f>
        <v/>
      </c>
      <c r="O924" t="str">
        <f t="array" ref="O924">IFERROR(INDEX('Daily Raw Data'!Y:Y,Match($A924,'Daily Raw Data'!$B:$B,0)),"")</f>
        <v/>
      </c>
      <c r="P924" t="str">
        <f t="shared" si="1"/>
        <v/>
      </c>
      <c r="Q924" s="14" t="str">
        <f t="shared" si="2"/>
        <v/>
      </c>
      <c r="R924" s="15" t="str">
        <f>IFERROR(__xludf.DUMMYFUNCTION("IF($A924="""","""", IFERROR(PERCENTRANK.INC(FILTER(P:P,$E:$E&lt;&gt;""""),P924)*100,""""))"),"")</f>
        <v/>
      </c>
      <c r="S924" s="15" t="str">
        <f>IFERROR(__xludf.DUMMYFUNCTION("IF($A924="""","""",IFERROR(PERCENTRANK.INC(FILTER(Q:Q,$E:$E&lt;&gt;""""),Q924)*100,""""))"),"")</f>
        <v/>
      </c>
    </row>
    <row r="925">
      <c r="B925" t="str">
        <f t="array" ref="B925">IFERROR(INDEX('Player Raw Data'!C:C,Match($A925,'Player Raw Data'!$B:$B,0)),"")</f>
        <v/>
      </c>
      <c r="C925" t="str">
        <f t="array" ref="C925">IFERROR(INDEX('Player Raw Data'!D:D,Match($A925,'Player Raw Data'!$B:$B,0)),"")</f>
        <v/>
      </c>
      <c r="D925" t="str">
        <f t="array" ref="D925">IFERROR(IF(A925=A924, INDEX('Player Raw Data'!E:E,Match($A925,'Player Raw Data'!$B:$B,0)+2),INDEX('Player Raw Data'!E:E,Match($A925,'Player Raw Data'!$B:$B,0))),"")</f>
        <v/>
      </c>
      <c r="E925" s="27" t="str">
        <f>IFERROR(__xludf.DUMMYFUNCTION("IFERROR(ARRAY_CONSTRAIN(SPLIT(INDEX('Daily Raw Data'!G:G,Match($A925,'Daily Raw Data'!$B:$B,0)),"":""),1,1),"""")"),"")</f>
        <v/>
      </c>
      <c r="F925" t="str">
        <f t="array" ref="F925">IFERROR(INDEX('Daily Raw Data'!H:H,Match($A925,'Daily Raw Data'!$B:$B,0)),"")</f>
        <v/>
      </c>
      <c r="G925" t="str">
        <f t="array" ref="G925">IFERROR(INDEX('Daily Raw Data'!I:I,Match($A925,'Daily Raw Data'!$B:$B,0)),"")</f>
        <v/>
      </c>
      <c r="H925" t="str">
        <f t="array" ref="H925">IFERROR(INDEX('Daily Raw Data'!N:N,Match($A925,'Daily Raw Data'!$B:$B,0)),"")</f>
        <v/>
      </c>
      <c r="I925" t="str">
        <f t="array" ref="I925">IFERROR(INDEX('Daily Raw Data'!O:O,Match($A925,'Daily Raw Data'!$B:$B,0)),"")</f>
        <v/>
      </c>
      <c r="J925" t="str">
        <f t="array" ref="J925">IFERROR(INDEX('Daily Raw Data'!S:S,Match($A925,'Daily Raw Data'!$B:$B,0)),"")</f>
        <v/>
      </c>
      <c r="K925" t="str">
        <f t="array" ref="K925">IFERROR(INDEX('Daily Raw Data'!T:T,Match($A925,'Daily Raw Data'!$B:$B,0)),"")</f>
        <v/>
      </c>
      <c r="L925" t="str">
        <f t="array" ref="L925">IFERROR(INDEX('Daily Raw Data'!U:U,Match($A925,'Daily Raw Data'!$B:$B,0)),"")</f>
        <v/>
      </c>
      <c r="M925" t="str">
        <f t="array" ref="M925">IFERROR(INDEX('Daily Raw Data'!V:V,Match($A925,'Daily Raw Data'!$B:$B,0)),"")</f>
        <v/>
      </c>
      <c r="N925" t="str">
        <f t="array" ref="N925">IFERROR(INDEX('Daily Raw Data'!W:W,Match($A925,'Daily Raw Data'!$B:$B,0)),"")</f>
        <v/>
      </c>
      <c r="O925" t="str">
        <f t="array" ref="O925">IFERROR(INDEX('Daily Raw Data'!Y:Y,Match($A925,'Daily Raw Data'!$B:$B,0)),"")</f>
        <v/>
      </c>
      <c r="P925" t="str">
        <f t="shared" si="1"/>
        <v/>
      </c>
      <c r="Q925" s="14" t="str">
        <f t="shared" si="2"/>
        <v/>
      </c>
      <c r="R925" s="15" t="str">
        <f>IFERROR(__xludf.DUMMYFUNCTION("IF($A925="""","""", IFERROR(PERCENTRANK.INC(FILTER(P:P,$E:$E&lt;&gt;""""),P925)*100,""""))"),"")</f>
        <v/>
      </c>
      <c r="S925" s="15" t="str">
        <f>IFERROR(__xludf.DUMMYFUNCTION("IF($A925="""","""",IFERROR(PERCENTRANK.INC(FILTER(Q:Q,$E:$E&lt;&gt;""""),Q925)*100,""""))"),"")</f>
        <v/>
      </c>
    </row>
    <row r="926">
      <c r="B926" t="str">
        <f t="array" ref="B926">IFERROR(INDEX('Player Raw Data'!C:C,Match($A926,'Player Raw Data'!$B:$B,0)),"")</f>
        <v/>
      </c>
      <c r="C926" t="str">
        <f t="array" ref="C926">IFERROR(INDEX('Player Raw Data'!D:D,Match($A926,'Player Raw Data'!$B:$B,0)),"")</f>
        <v/>
      </c>
      <c r="D926" t="str">
        <f t="array" ref="D926">IFERROR(IF(A926=A925, INDEX('Player Raw Data'!E:E,Match($A926,'Player Raw Data'!$B:$B,0)+2),INDEX('Player Raw Data'!E:E,Match($A926,'Player Raw Data'!$B:$B,0))),"")</f>
        <v/>
      </c>
      <c r="E926" s="27" t="str">
        <f>IFERROR(__xludf.DUMMYFUNCTION("IFERROR(ARRAY_CONSTRAIN(SPLIT(INDEX('Daily Raw Data'!G:G,Match($A926,'Daily Raw Data'!$B:$B,0)),"":""),1,1),"""")"),"")</f>
        <v/>
      </c>
      <c r="F926" t="str">
        <f t="array" ref="F926">IFERROR(INDEX('Daily Raw Data'!H:H,Match($A926,'Daily Raw Data'!$B:$B,0)),"")</f>
        <v/>
      </c>
      <c r="G926" t="str">
        <f t="array" ref="G926">IFERROR(INDEX('Daily Raw Data'!I:I,Match($A926,'Daily Raw Data'!$B:$B,0)),"")</f>
        <v/>
      </c>
      <c r="H926" t="str">
        <f t="array" ref="H926">IFERROR(INDEX('Daily Raw Data'!N:N,Match($A926,'Daily Raw Data'!$B:$B,0)),"")</f>
        <v/>
      </c>
      <c r="I926" t="str">
        <f t="array" ref="I926">IFERROR(INDEX('Daily Raw Data'!O:O,Match($A926,'Daily Raw Data'!$B:$B,0)),"")</f>
        <v/>
      </c>
      <c r="J926" t="str">
        <f t="array" ref="J926">IFERROR(INDEX('Daily Raw Data'!S:S,Match($A926,'Daily Raw Data'!$B:$B,0)),"")</f>
        <v/>
      </c>
      <c r="K926" t="str">
        <f t="array" ref="K926">IFERROR(INDEX('Daily Raw Data'!T:T,Match($A926,'Daily Raw Data'!$B:$B,0)),"")</f>
        <v/>
      </c>
      <c r="L926" t="str">
        <f t="array" ref="L926">IFERROR(INDEX('Daily Raw Data'!U:U,Match($A926,'Daily Raw Data'!$B:$B,0)),"")</f>
        <v/>
      </c>
      <c r="M926" t="str">
        <f t="array" ref="M926">IFERROR(INDEX('Daily Raw Data'!V:V,Match($A926,'Daily Raw Data'!$B:$B,0)),"")</f>
        <v/>
      </c>
      <c r="N926" t="str">
        <f t="array" ref="N926">IFERROR(INDEX('Daily Raw Data'!W:W,Match($A926,'Daily Raw Data'!$B:$B,0)),"")</f>
        <v/>
      </c>
      <c r="O926" t="str">
        <f t="array" ref="O926">IFERROR(INDEX('Daily Raw Data'!Y:Y,Match($A926,'Daily Raw Data'!$B:$B,0)),"")</f>
        <v/>
      </c>
      <c r="P926" t="str">
        <f t="shared" si="1"/>
        <v/>
      </c>
      <c r="Q926" s="14" t="str">
        <f t="shared" si="2"/>
        <v/>
      </c>
      <c r="R926" s="15" t="str">
        <f>IFERROR(__xludf.DUMMYFUNCTION("IF($A926="""","""", IFERROR(PERCENTRANK.INC(FILTER(P:P,$E:$E&lt;&gt;""""),P926)*100,""""))"),"")</f>
        <v/>
      </c>
      <c r="S926" s="15" t="str">
        <f>IFERROR(__xludf.DUMMYFUNCTION("IF($A926="""","""",IFERROR(PERCENTRANK.INC(FILTER(Q:Q,$E:$E&lt;&gt;""""),Q926)*100,""""))"),"")</f>
        <v/>
      </c>
    </row>
    <row r="927">
      <c r="B927" t="str">
        <f t="array" ref="B927">IFERROR(INDEX('Player Raw Data'!C:C,Match($A927,'Player Raw Data'!$B:$B,0)),"")</f>
        <v/>
      </c>
      <c r="C927" t="str">
        <f t="array" ref="C927">IFERROR(INDEX('Player Raw Data'!D:D,Match($A927,'Player Raw Data'!$B:$B,0)),"")</f>
        <v/>
      </c>
      <c r="D927" t="str">
        <f t="array" ref="D927">IFERROR(IF(A927=A926, INDEX('Player Raw Data'!E:E,Match($A927,'Player Raw Data'!$B:$B,0)+2),INDEX('Player Raw Data'!E:E,Match($A927,'Player Raw Data'!$B:$B,0))),"")</f>
        <v/>
      </c>
      <c r="E927" s="27" t="str">
        <f>IFERROR(__xludf.DUMMYFUNCTION("IFERROR(ARRAY_CONSTRAIN(SPLIT(INDEX('Daily Raw Data'!G:G,Match($A927,'Daily Raw Data'!$B:$B,0)),"":""),1,1),"""")"),"")</f>
        <v/>
      </c>
      <c r="F927" t="str">
        <f t="array" ref="F927">IFERROR(INDEX('Daily Raw Data'!H:H,Match($A927,'Daily Raw Data'!$B:$B,0)),"")</f>
        <v/>
      </c>
      <c r="G927" t="str">
        <f t="array" ref="G927">IFERROR(INDEX('Daily Raw Data'!I:I,Match($A927,'Daily Raw Data'!$B:$B,0)),"")</f>
        <v/>
      </c>
      <c r="H927" t="str">
        <f t="array" ref="H927">IFERROR(INDEX('Daily Raw Data'!N:N,Match($A927,'Daily Raw Data'!$B:$B,0)),"")</f>
        <v/>
      </c>
      <c r="I927" t="str">
        <f t="array" ref="I927">IFERROR(INDEX('Daily Raw Data'!O:O,Match($A927,'Daily Raw Data'!$B:$B,0)),"")</f>
        <v/>
      </c>
      <c r="J927" t="str">
        <f t="array" ref="J927">IFERROR(INDEX('Daily Raw Data'!S:S,Match($A927,'Daily Raw Data'!$B:$B,0)),"")</f>
        <v/>
      </c>
      <c r="K927" t="str">
        <f t="array" ref="K927">IFERROR(INDEX('Daily Raw Data'!T:T,Match($A927,'Daily Raw Data'!$B:$B,0)),"")</f>
        <v/>
      </c>
      <c r="L927" t="str">
        <f t="array" ref="L927">IFERROR(INDEX('Daily Raw Data'!U:U,Match($A927,'Daily Raw Data'!$B:$B,0)),"")</f>
        <v/>
      </c>
      <c r="M927" t="str">
        <f t="array" ref="M927">IFERROR(INDEX('Daily Raw Data'!V:V,Match($A927,'Daily Raw Data'!$B:$B,0)),"")</f>
        <v/>
      </c>
      <c r="N927" t="str">
        <f t="array" ref="N927">IFERROR(INDEX('Daily Raw Data'!W:W,Match($A927,'Daily Raw Data'!$B:$B,0)),"")</f>
        <v/>
      </c>
      <c r="O927" t="str">
        <f t="array" ref="O927">IFERROR(INDEX('Daily Raw Data'!Y:Y,Match($A927,'Daily Raw Data'!$B:$B,0)),"")</f>
        <v/>
      </c>
      <c r="P927" t="str">
        <f t="shared" si="1"/>
        <v/>
      </c>
      <c r="Q927" s="14" t="str">
        <f t="shared" si="2"/>
        <v/>
      </c>
      <c r="R927" s="15" t="str">
        <f>IFERROR(__xludf.DUMMYFUNCTION("IF($A927="""","""", IFERROR(PERCENTRANK.INC(FILTER(P:P,$E:$E&lt;&gt;""""),P927)*100,""""))"),"")</f>
        <v/>
      </c>
      <c r="S927" s="15" t="str">
        <f>IFERROR(__xludf.DUMMYFUNCTION("IF($A927="""","""",IFERROR(PERCENTRANK.INC(FILTER(Q:Q,$E:$E&lt;&gt;""""),Q927)*100,""""))"),"")</f>
        <v/>
      </c>
    </row>
    <row r="928">
      <c r="B928" t="str">
        <f t="array" ref="B928">IFERROR(INDEX('Player Raw Data'!C:C,Match($A928,'Player Raw Data'!$B:$B,0)),"")</f>
        <v/>
      </c>
      <c r="C928" t="str">
        <f t="array" ref="C928">IFERROR(INDEX('Player Raw Data'!D:D,Match($A928,'Player Raw Data'!$B:$B,0)),"")</f>
        <v/>
      </c>
      <c r="D928" t="str">
        <f t="array" ref="D928">IFERROR(IF(A928=A927, INDEX('Player Raw Data'!E:E,Match($A928,'Player Raw Data'!$B:$B,0)+2),INDEX('Player Raw Data'!E:E,Match($A928,'Player Raw Data'!$B:$B,0))),"")</f>
        <v/>
      </c>
      <c r="E928" s="27" t="str">
        <f>IFERROR(__xludf.DUMMYFUNCTION("IFERROR(ARRAY_CONSTRAIN(SPLIT(INDEX('Daily Raw Data'!G:G,Match($A928,'Daily Raw Data'!$B:$B,0)),"":""),1,1),"""")"),"")</f>
        <v/>
      </c>
      <c r="F928" t="str">
        <f t="array" ref="F928">IFERROR(INDEX('Daily Raw Data'!H:H,Match($A928,'Daily Raw Data'!$B:$B,0)),"")</f>
        <v/>
      </c>
      <c r="G928" t="str">
        <f t="array" ref="G928">IFERROR(INDEX('Daily Raw Data'!I:I,Match($A928,'Daily Raw Data'!$B:$B,0)),"")</f>
        <v/>
      </c>
      <c r="H928" t="str">
        <f t="array" ref="H928">IFERROR(INDEX('Daily Raw Data'!N:N,Match($A928,'Daily Raw Data'!$B:$B,0)),"")</f>
        <v/>
      </c>
      <c r="I928" t="str">
        <f t="array" ref="I928">IFERROR(INDEX('Daily Raw Data'!O:O,Match($A928,'Daily Raw Data'!$B:$B,0)),"")</f>
        <v/>
      </c>
      <c r="J928" t="str">
        <f t="array" ref="J928">IFERROR(INDEX('Daily Raw Data'!S:S,Match($A928,'Daily Raw Data'!$B:$B,0)),"")</f>
        <v/>
      </c>
      <c r="K928" t="str">
        <f t="array" ref="K928">IFERROR(INDEX('Daily Raw Data'!T:T,Match($A928,'Daily Raw Data'!$B:$B,0)),"")</f>
        <v/>
      </c>
      <c r="L928" t="str">
        <f t="array" ref="L928">IFERROR(INDEX('Daily Raw Data'!U:U,Match($A928,'Daily Raw Data'!$B:$B,0)),"")</f>
        <v/>
      </c>
      <c r="M928" t="str">
        <f t="array" ref="M928">IFERROR(INDEX('Daily Raw Data'!V:V,Match($A928,'Daily Raw Data'!$B:$B,0)),"")</f>
        <v/>
      </c>
      <c r="N928" t="str">
        <f t="array" ref="N928">IFERROR(INDEX('Daily Raw Data'!W:W,Match($A928,'Daily Raw Data'!$B:$B,0)),"")</f>
        <v/>
      </c>
      <c r="O928" t="str">
        <f t="array" ref="O928">IFERROR(INDEX('Daily Raw Data'!Y:Y,Match($A928,'Daily Raw Data'!$B:$B,0)),"")</f>
        <v/>
      </c>
      <c r="P928" t="str">
        <f t="shared" si="1"/>
        <v/>
      </c>
      <c r="Q928" s="14" t="str">
        <f t="shared" si="2"/>
        <v/>
      </c>
      <c r="R928" s="15" t="str">
        <f>IFERROR(__xludf.DUMMYFUNCTION("IF($A928="""","""", IFERROR(PERCENTRANK.INC(FILTER(P:P,$E:$E&lt;&gt;""""),P928)*100,""""))"),"")</f>
        <v/>
      </c>
      <c r="S928" s="15" t="str">
        <f>IFERROR(__xludf.DUMMYFUNCTION("IF($A928="""","""",IFERROR(PERCENTRANK.INC(FILTER(Q:Q,$E:$E&lt;&gt;""""),Q928)*100,""""))"),"")</f>
        <v/>
      </c>
    </row>
    <row r="929">
      <c r="B929" t="str">
        <f t="array" ref="B929">IFERROR(INDEX('Player Raw Data'!C:C,Match($A929,'Player Raw Data'!$B:$B,0)),"")</f>
        <v/>
      </c>
      <c r="C929" t="str">
        <f t="array" ref="C929">IFERROR(INDEX('Player Raw Data'!D:D,Match($A929,'Player Raw Data'!$B:$B,0)),"")</f>
        <v/>
      </c>
      <c r="D929" t="str">
        <f t="array" ref="D929">IFERROR(IF(A929=A928, INDEX('Player Raw Data'!E:E,Match($A929,'Player Raw Data'!$B:$B,0)+2),INDEX('Player Raw Data'!E:E,Match($A929,'Player Raw Data'!$B:$B,0))),"")</f>
        <v/>
      </c>
      <c r="E929" s="27" t="str">
        <f>IFERROR(__xludf.DUMMYFUNCTION("IFERROR(ARRAY_CONSTRAIN(SPLIT(INDEX('Daily Raw Data'!G:G,Match($A929,'Daily Raw Data'!$B:$B,0)),"":""),1,1),"""")"),"")</f>
        <v/>
      </c>
      <c r="F929" t="str">
        <f t="array" ref="F929">IFERROR(INDEX('Daily Raw Data'!H:H,Match($A929,'Daily Raw Data'!$B:$B,0)),"")</f>
        <v/>
      </c>
      <c r="G929" t="str">
        <f t="array" ref="G929">IFERROR(INDEX('Daily Raw Data'!I:I,Match($A929,'Daily Raw Data'!$B:$B,0)),"")</f>
        <v/>
      </c>
      <c r="H929" t="str">
        <f t="array" ref="H929">IFERROR(INDEX('Daily Raw Data'!N:N,Match($A929,'Daily Raw Data'!$B:$B,0)),"")</f>
        <v/>
      </c>
      <c r="I929" t="str">
        <f t="array" ref="I929">IFERROR(INDEX('Daily Raw Data'!O:O,Match($A929,'Daily Raw Data'!$B:$B,0)),"")</f>
        <v/>
      </c>
      <c r="J929" t="str">
        <f t="array" ref="J929">IFERROR(INDEX('Daily Raw Data'!S:S,Match($A929,'Daily Raw Data'!$B:$B,0)),"")</f>
        <v/>
      </c>
      <c r="K929" t="str">
        <f t="array" ref="K929">IFERROR(INDEX('Daily Raw Data'!T:T,Match($A929,'Daily Raw Data'!$B:$B,0)),"")</f>
        <v/>
      </c>
      <c r="L929" t="str">
        <f t="array" ref="L929">IFERROR(INDEX('Daily Raw Data'!U:U,Match($A929,'Daily Raw Data'!$B:$B,0)),"")</f>
        <v/>
      </c>
      <c r="M929" t="str">
        <f t="array" ref="M929">IFERROR(INDEX('Daily Raw Data'!V:V,Match($A929,'Daily Raw Data'!$B:$B,0)),"")</f>
        <v/>
      </c>
      <c r="N929" t="str">
        <f t="array" ref="N929">IFERROR(INDEX('Daily Raw Data'!W:W,Match($A929,'Daily Raw Data'!$B:$B,0)),"")</f>
        <v/>
      </c>
      <c r="O929" t="str">
        <f t="array" ref="O929">IFERROR(INDEX('Daily Raw Data'!Y:Y,Match($A929,'Daily Raw Data'!$B:$B,0)),"")</f>
        <v/>
      </c>
      <c r="P929" t="str">
        <f t="shared" si="1"/>
        <v/>
      </c>
      <c r="Q929" s="14" t="str">
        <f t="shared" si="2"/>
        <v/>
      </c>
      <c r="R929" s="15" t="str">
        <f>IFERROR(__xludf.DUMMYFUNCTION("IF($A929="""","""", IFERROR(PERCENTRANK.INC(FILTER(P:P,$E:$E&lt;&gt;""""),P929)*100,""""))"),"")</f>
        <v/>
      </c>
      <c r="S929" s="15" t="str">
        <f>IFERROR(__xludf.DUMMYFUNCTION("IF($A929="""","""",IFERROR(PERCENTRANK.INC(FILTER(Q:Q,$E:$E&lt;&gt;""""),Q929)*100,""""))"),"")</f>
        <v/>
      </c>
    </row>
    <row r="930">
      <c r="B930" t="str">
        <f t="array" ref="B930">IFERROR(INDEX('Player Raw Data'!C:C,Match($A930,'Player Raw Data'!$B:$B,0)),"")</f>
        <v/>
      </c>
      <c r="C930" t="str">
        <f t="array" ref="C930">IFERROR(INDEX('Player Raw Data'!D:D,Match($A930,'Player Raw Data'!$B:$B,0)),"")</f>
        <v/>
      </c>
      <c r="D930" t="str">
        <f t="array" ref="D930">IFERROR(IF(A930=A929, INDEX('Player Raw Data'!E:E,Match($A930,'Player Raw Data'!$B:$B,0)+2),INDEX('Player Raw Data'!E:E,Match($A930,'Player Raw Data'!$B:$B,0))),"")</f>
        <v/>
      </c>
      <c r="E930" s="27" t="str">
        <f>IFERROR(__xludf.DUMMYFUNCTION("IFERROR(ARRAY_CONSTRAIN(SPLIT(INDEX('Daily Raw Data'!G:G,Match($A930,'Daily Raw Data'!$B:$B,0)),"":""),1,1),"""")"),"")</f>
        <v/>
      </c>
      <c r="F930" t="str">
        <f t="array" ref="F930">IFERROR(INDEX('Daily Raw Data'!H:H,Match($A930,'Daily Raw Data'!$B:$B,0)),"")</f>
        <v/>
      </c>
      <c r="G930" t="str">
        <f t="array" ref="G930">IFERROR(INDEX('Daily Raw Data'!I:I,Match($A930,'Daily Raw Data'!$B:$B,0)),"")</f>
        <v/>
      </c>
      <c r="H930" t="str">
        <f t="array" ref="H930">IFERROR(INDEX('Daily Raw Data'!N:N,Match($A930,'Daily Raw Data'!$B:$B,0)),"")</f>
        <v/>
      </c>
      <c r="I930" t="str">
        <f t="array" ref="I930">IFERROR(INDEX('Daily Raw Data'!O:O,Match($A930,'Daily Raw Data'!$B:$B,0)),"")</f>
        <v/>
      </c>
      <c r="J930" t="str">
        <f t="array" ref="J930">IFERROR(INDEX('Daily Raw Data'!S:S,Match($A930,'Daily Raw Data'!$B:$B,0)),"")</f>
        <v/>
      </c>
      <c r="K930" t="str">
        <f t="array" ref="K930">IFERROR(INDEX('Daily Raw Data'!T:T,Match($A930,'Daily Raw Data'!$B:$B,0)),"")</f>
        <v/>
      </c>
      <c r="L930" t="str">
        <f t="array" ref="L930">IFERROR(INDEX('Daily Raw Data'!U:U,Match($A930,'Daily Raw Data'!$B:$B,0)),"")</f>
        <v/>
      </c>
      <c r="M930" t="str">
        <f t="array" ref="M930">IFERROR(INDEX('Daily Raw Data'!V:V,Match($A930,'Daily Raw Data'!$B:$B,0)),"")</f>
        <v/>
      </c>
      <c r="N930" t="str">
        <f t="array" ref="N930">IFERROR(INDEX('Daily Raw Data'!W:W,Match($A930,'Daily Raw Data'!$B:$B,0)),"")</f>
        <v/>
      </c>
      <c r="O930" t="str">
        <f t="array" ref="O930">IFERROR(INDEX('Daily Raw Data'!Y:Y,Match($A930,'Daily Raw Data'!$B:$B,0)),"")</f>
        <v/>
      </c>
      <c r="P930" t="str">
        <f t="shared" si="1"/>
        <v/>
      </c>
      <c r="Q930" s="14" t="str">
        <f t="shared" si="2"/>
        <v/>
      </c>
      <c r="R930" s="15" t="str">
        <f>IFERROR(__xludf.DUMMYFUNCTION("IF($A930="""","""", IFERROR(PERCENTRANK.INC(FILTER(P:P,$E:$E&lt;&gt;""""),P930)*100,""""))"),"")</f>
        <v/>
      </c>
      <c r="S930" s="15" t="str">
        <f>IFERROR(__xludf.DUMMYFUNCTION("IF($A930="""","""",IFERROR(PERCENTRANK.INC(FILTER(Q:Q,$E:$E&lt;&gt;""""),Q930)*100,""""))"),"")</f>
        <v/>
      </c>
    </row>
    <row r="931">
      <c r="B931" t="str">
        <f t="array" ref="B931">IFERROR(INDEX('Player Raw Data'!C:C,Match($A931,'Player Raw Data'!$B:$B,0)),"")</f>
        <v/>
      </c>
      <c r="C931" t="str">
        <f t="array" ref="C931">IFERROR(INDEX('Player Raw Data'!D:D,Match($A931,'Player Raw Data'!$B:$B,0)),"")</f>
        <v/>
      </c>
      <c r="D931" t="str">
        <f t="array" ref="D931">IFERROR(IF(A931=A930, INDEX('Player Raw Data'!E:E,Match($A931,'Player Raw Data'!$B:$B,0)+2),INDEX('Player Raw Data'!E:E,Match($A931,'Player Raw Data'!$B:$B,0))),"")</f>
        <v/>
      </c>
      <c r="E931" s="27" t="str">
        <f>IFERROR(__xludf.DUMMYFUNCTION("IFERROR(ARRAY_CONSTRAIN(SPLIT(INDEX('Daily Raw Data'!G:G,Match($A931,'Daily Raw Data'!$B:$B,0)),"":""),1,1),"""")"),"")</f>
        <v/>
      </c>
      <c r="F931" t="str">
        <f t="array" ref="F931">IFERROR(INDEX('Daily Raw Data'!H:H,Match($A931,'Daily Raw Data'!$B:$B,0)),"")</f>
        <v/>
      </c>
      <c r="G931" t="str">
        <f t="array" ref="G931">IFERROR(INDEX('Daily Raw Data'!I:I,Match($A931,'Daily Raw Data'!$B:$B,0)),"")</f>
        <v/>
      </c>
      <c r="H931" t="str">
        <f t="array" ref="H931">IFERROR(INDEX('Daily Raw Data'!N:N,Match($A931,'Daily Raw Data'!$B:$B,0)),"")</f>
        <v/>
      </c>
      <c r="I931" t="str">
        <f t="array" ref="I931">IFERROR(INDEX('Daily Raw Data'!O:O,Match($A931,'Daily Raw Data'!$B:$B,0)),"")</f>
        <v/>
      </c>
      <c r="J931" t="str">
        <f t="array" ref="J931">IFERROR(INDEX('Daily Raw Data'!S:S,Match($A931,'Daily Raw Data'!$B:$B,0)),"")</f>
        <v/>
      </c>
      <c r="K931" t="str">
        <f t="array" ref="K931">IFERROR(INDEX('Daily Raw Data'!T:T,Match($A931,'Daily Raw Data'!$B:$B,0)),"")</f>
        <v/>
      </c>
      <c r="L931" t="str">
        <f t="array" ref="L931">IFERROR(INDEX('Daily Raw Data'!U:U,Match($A931,'Daily Raw Data'!$B:$B,0)),"")</f>
        <v/>
      </c>
      <c r="M931" t="str">
        <f t="array" ref="M931">IFERROR(INDEX('Daily Raw Data'!V:V,Match($A931,'Daily Raw Data'!$B:$B,0)),"")</f>
        <v/>
      </c>
      <c r="N931" t="str">
        <f t="array" ref="N931">IFERROR(INDEX('Daily Raw Data'!W:W,Match($A931,'Daily Raw Data'!$B:$B,0)),"")</f>
        <v/>
      </c>
      <c r="O931" t="str">
        <f t="array" ref="O931">IFERROR(INDEX('Daily Raw Data'!Y:Y,Match($A931,'Daily Raw Data'!$B:$B,0)),"")</f>
        <v/>
      </c>
      <c r="P931" t="str">
        <f t="shared" si="1"/>
        <v/>
      </c>
      <c r="Q931" s="14" t="str">
        <f t="shared" si="2"/>
        <v/>
      </c>
      <c r="R931" s="15" t="str">
        <f>IFERROR(__xludf.DUMMYFUNCTION("IF($A931="""","""", IFERROR(PERCENTRANK.INC(FILTER(P:P,$E:$E&lt;&gt;""""),P931)*100,""""))"),"")</f>
        <v/>
      </c>
      <c r="S931" s="15" t="str">
        <f>IFERROR(__xludf.DUMMYFUNCTION("IF($A931="""","""",IFERROR(PERCENTRANK.INC(FILTER(Q:Q,$E:$E&lt;&gt;""""),Q931)*100,""""))"),"")</f>
        <v/>
      </c>
    </row>
    <row r="932">
      <c r="B932" t="str">
        <f t="array" ref="B932">IFERROR(INDEX('Player Raw Data'!C:C,Match($A932,'Player Raw Data'!$B:$B,0)),"")</f>
        <v/>
      </c>
      <c r="C932" t="str">
        <f t="array" ref="C932">IFERROR(INDEX('Player Raw Data'!D:D,Match($A932,'Player Raw Data'!$B:$B,0)),"")</f>
        <v/>
      </c>
      <c r="D932" t="str">
        <f t="array" ref="D932">IFERROR(IF(A932=A931, INDEX('Player Raw Data'!E:E,Match($A932,'Player Raw Data'!$B:$B,0)+2),INDEX('Player Raw Data'!E:E,Match($A932,'Player Raw Data'!$B:$B,0))),"")</f>
        <v/>
      </c>
      <c r="E932" s="27" t="str">
        <f>IFERROR(__xludf.DUMMYFUNCTION("IFERROR(ARRAY_CONSTRAIN(SPLIT(INDEX('Daily Raw Data'!G:G,Match($A932,'Daily Raw Data'!$B:$B,0)),"":""),1,1),"""")"),"")</f>
        <v/>
      </c>
      <c r="F932" t="str">
        <f t="array" ref="F932">IFERROR(INDEX('Daily Raw Data'!H:H,Match($A932,'Daily Raw Data'!$B:$B,0)),"")</f>
        <v/>
      </c>
      <c r="G932" t="str">
        <f t="array" ref="G932">IFERROR(INDEX('Daily Raw Data'!I:I,Match($A932,'Daily Raw Data'!$B:$B,0)),"")</f>
        <v/>
      </c>
      <c r="H932" t="str">
        <f t="array" ref="H932">IFERROR(INDEX('Daily Raw Data'!N:N,Match($A932,'Daily Raw Data'!$B:$B,0)),"")</f>
        <v/>
      </c>
      <c r="I932" t="str">
        <f t="array" ref="I932">IFERROR(INDEX('Daily Raw Data'!O:O,Match($A932,'Daily Raw Data'!$B:$B,0)),"")</f>
        <v/>
      </c>
      <c r="J932" t="str">
        <f t="array" ref="J932">IFERROR(INDEX('Daily Raw Data'!S:S,Match($A932,'Daily Raw Data'!$B:$B,0)),"")</f>
        <v/>
      </c>
      <c r="K932" t="str">
        <f t="array" ref="K932">IFERROR(INDEX('Daily Raw Data'!T:T,Match($A932,'Daily Raw Data'!$B:$B,0)),"")</f>
        <v/>
      </c>
      <c r="L932" t="str">
        <f t="array" ref="L932">IFERROR(INDEX('Daily Raw Data'!U:U,Match($A932,'Daily Raw Data'!$B:$B,0)),"")</f>
        <v/>
      </c>
      <c r="M932" t="str">
        <f t="array" ref="M932">IFERROR(INDEX('Daily Raw Data'!V:V,Match($A932,'Daily Raw Data'!$B:$B,0)),"")</f>
        <v/>
      </c>
      <c r="N932" t="str">
        <f t="array" ref="N932">IFERROR(INDEX('Daily Raw Data'!W:W,Match($A932,'Daily Raw Data'!$B:$B,0)),"")</f>
        <v/>
      </c>
      <c r="O932" t="str">
        <f t="array" ref="O932">IFERROR(INDEX('Daily Raw Data'!Y:Y,Match($A932,'Daily Raw Data'!$B:$B,0)),"")</f>
        <v/>
      </c>
      <c r="P932" t="str">
        <f t="shared" si="1"/>
        <v/>
      </c>
      <c r="Q932" s="14" t="str">
        <f t="shared" si="2"/>
        <v/>
      </c>
      <c r="R932" s="15" t="str">
        <f>IFERROR(__xludf.DUMMYFUNCTION("IF($A932="""","""", IFERROR(PERCENTRANK.INC(FILTER(P:P,$E:$E&lt;&gt;""""),P932)*100,""""))"),"")</f>
        <v/>
      </c>
      <c r="S932" s="15" t="str">
        <f>IFERROR(__xludf.DUMMYFUNCTION("IF($A932="""","""",IFERROR(PERCENTRANK.INC(FILTER(Q:Q,$E:$E&lt;&gt;""""),Q932)*100,""""))"),"")</f>
        <v/>
      </c>
    </row>
    <row r="933">
      <c r="B933" t="str">
        <f t="array" ref="B933">IFERROR(INDEX('Player Raw Data'!C:C,Match($A933,'Player Raw Data'!$B:$B,0)),"")</f>
        <v/>
      </c>
      <c r="C933" t="str">
        <f t="array" ref="C933">IFERROR(INDEX('Player Raw Data'!D:D,Match($A933,'Player Raw Data'!$B:$B,0)),"")</f>
        <v/>
      </c>
      <c r="D933" t="str">
        <f t="array" ref="D933">IFERROR(IF(A933=A932, INDEX('Player Raw Data'!E:E,Match($A933,'Player Raw Data'!$B:$B,0)+2),INDEX('Player Raw Data'!E:E,Match($A933,'Player Raw Data'!$B:$B,0))),"")</f>
        <v/>
      </c>
      <c r="E933" s="27" t="str">
        <f>IFERROR(__xludf.DUMMYFUNCTION("IFERROR(ARRAY_CONSTRAIN(SPLIT(INDEX('Daily Raw Data'!G:G,Match($A933,'Daily Raw Data'!$B:$B,0)),"":""),1,1),"""")"),"")</f>
        <v/>
      </c>
      <c r="F933" t="str">
        <f t="array" ref="F933">IFERROR(INDEX('Daily Raw Data'!H:H,Match($A933,'Daily Raw Data'!$B:$B,0)),"")</f>
        <v/>
      </c>
      <c r="G933" t="str">
        <f t="array" ref="G933">IFERROR(INDEX('Daily Raw Data'!I:I,Match($A933,'Daily Raw Data'!$B:$B,0)),"")</f>
        <v/>
      </c>
      <c r="H933" t="str">
        <f t="array" ref="H933">IFERROR(INDEX('Daily Raw Data'!N:N,Match($A933,'Daily Raw Data'!$B:$B,0)),"")</f>
        <v/>
      </c>
      <c r="I933" t="str">
        <f t="array" ref="I933">IFERROR(INDEX('Daily Raw Data'!O:O,Match($A933,'Daily Raw Data'!$B:$B,0)),"")</f>
        <v/>
      </c>
      <c r="J933" t="str">
        <f t="array" ref="J933">IFERROR(INDEX('Daily Raw Data'!S:S,Match($A933,'Daily Raw Data'!$B:$B,0)),"")</f>
        <v/>
      </c>
      <c r="K933" t="str">
        <f t="array" ref="K933">IFERROR(INDEX('Daily Raw Data'!T:T,Match($A933,'Daily Raw Data'!$B:$B,0)),"")</f>
        <v/>
      </c>
      <c r="L933" t="str">
        <f t="array" ref="L933">IFERROR(INDEX('Daily Raw Data'!U:U,Match($A933,'Daily Raw Data'!$B:$B,0)),"")</f>
        <v/>
      </c>
      <c r="M933" t="str">
        <f t="array" ref="M933">IFERROR(INDEX('Daily Raw Data'!V:V,Match($A933,'Daily Raw Data'!$B:$B,0)),"")</f>
        <v/>
      </c>
      <c r="N933" t="str">
        <f t="array" ref="N933">IFERROR(INDEX('Daily Raw Data'!W:W,Match($A933,'Daily Raw Data'!$B:$B,0)),"")</f>
        <v/>
      </c>
      <c r="O933" t="str">
        <f t="array" ref="O933">IFERROR(INDEX('Daily Raw Data'!Y:Y,Match($A933,'Daily Raw Data'!$B:$B,0)),"")</f>
        <v/>
      </c>
      <c r="P933" t="str">
        <f t="shared" si="1"/>
        <v/>
      </c>
      <c r="Q933" s="14" t="str">
        <f t="shared" si="2"/>
        <v/>
      </c>
      <c r="R933" s="15" t="str">
        <f>IFERROR(__xludf.DUMMYFUNCTION("IF($A933="""","""", IFERROR(PERCENTRANK.INC(FILTER(P:P,$E:$E&lt;&gt;""""),P933)*100,""""))"),"")</f>
        <v/>
      </c>
      <c r="S933" s="15" t="str">
        <f>IFERROR(__xludf.DUMMYFUNCTION("IF($A933="""","""",IFERROR(PERCENTRANK.INC(FILTER(Q:Q,$E:$E&lt;&gt;""""),Q933)*100,""""))"),"")</f>
        <v/>
      </c>
    </row>
    <row r="934">
      <c r="B934" t="str">
        <f t="array" ref="B934">IFERROR(INDEX('Player Raw Data'!C:C,Match($A934,'Player Raw Data'!$B:$B,0)),"")</f>
        <v/>
      </c>
      <c r="C934" t="str">
        <f t="array" ref="C934">IFERROR(INDEX('Player Raw Data'!D:D,Match($A934,'Player Raw Data'!$B:$B,0)),"")</f>
        <v/>
      </c>
      <c r="D934" t="str">
        <f t="array" ref="D934">IFERROR(IF(A934=A933, INDEX('Player Raw Data'!E:E,Match($A934,'Player Raw Data'!$B:$B,0)+2),INDEX('Player Raw Data'!E:E,Match($A934,'Player Raw Data'!$B:$B,0))),"")</f>
        <v/>
      </c>
      <c r="E934" s="27" t="str">
        <f>IFERROR(__xludf.DUMMYFUNCTION("IFERROR(ARRAY_CONSTRAIN(SPLIT(INDEX('Daily Raw Data'!G:G,Match($A934,'Daily Raw Data'!$B:$B,0)),"":""),1,1),"""")"),"")</f>
        <v/>
      </c>
      <c r="F934" t="str">
        <f t="array" ref="F934">IFERROR(INDEX('Daily Raw Data'!H:H,Match($A934,'Daily Raw Data'!$B:$B,0)),"")</f>
        <v/>
      </c>
      <c r="G934" t="str">
        <f t="array" ref="G934">IFERROR(INDEX('Daily Raw Data'!I:I,Match($A934,'Daily Raw Data'!$B:$B,0)),"")</f>
        <v/>
      </c>
      <c r="H934" t="str">
        <f t="array" ref="H934">IFERROR(INDEX('Daily Raw Data'!N:N,Match($A934,'Daily Raw Data'!$B:$B,0)),"")</f>
        <v/>
      </c>
      <c r="I934" t="str">
        <f t="array" ref="I934">IFERROR(INDEX('Daily Raw Data'!O:O,Match($A934,'Daily Raw Data'!$B:$B,0)),"")</f>
        <v/>
      </c>
      <c r="J934" t="str">
        <f t="array" ref="J934">IFERROR(INDEX('Daily Raw Data'!S:S,Match($A934,'Daily Raw Data'!$B:$B,0)),"")</f>
        <v/>
      </c>
      <c r="K934" t="str">
        <f t="array" ref="K934">IFERROR(INDEX('Daily Raw Data'!T:T,Match($A934,'Daily Raw Data'!$B:$B,0)),"")</f>
        <v/>
      </c>
      <c r="L934" t="str">
        <f t="array" ref="L934">IFERROR(INDEX('Daily Raw Data'!U:U,Match($A934,'Daily Raw Data'!$B:$B,0)),"")</f>
        <v/>
      </c>
      <c r="M934" t="str">
        <f t="array" ref="M934">IFERROR(INDEX('Daily Raw Data'!V:V,Match($A934,'Daily Raw Data'!$B:$B,0)),"")</f>
        <v/>
      </c>
      <c r="N934" t="str">
        <f t="array" ref="N934">IFERROR(INDEX('Daily Raw Data'!W:W,Match($A934,'Daily Raw Data'!$B:$B,0)),"")</f>
        <v/>
      </c>
      <c r="O934" t="str">
        <f t="array" ref="O934">IFERROR(INDEX('Daily Raw Data'!Y:Y,Match($A934,'Daily Raw Data'!$B:$B,0)),"")</f>
        <v/>
      </c>
      <c r="P934" t="str">
        <f t="shared" si="1"/>
        <v/>
      </c>
      <c r="Q934" s="14" t="str">
        <f t="shared" si="2"/>
        <v/>
      </c>
      <c r="R934" s="15" t="str">
        <f>IFERROR(__xludf.DUMMYFUNCTION("IF($A934="""","""", IFERROR(PERCENTRANK.INC(FILTER(P:P,$E:$E&lt;&gt;""""),P934)*100,""""))"),"")</f>
        <v/>
      </c>
      <c r="S934" s="15" t="str">
        <f>IFERROR(__xludf.DUMMYFUNCTION("IF($A934="""","""",IFERROR(PERCENTRANK.INC(FILTER(Q:Q,$E:$E&lt;&gt;""""),Q934)*100,""""))"),"")</f>
        <v/>
      </c>
    </row>
    <row r="935">
      <c r="B935" t="str">
        <f t="array" ref="B935">IFERROR(INDEX('Player Raw Data'!C:C,Match($A935,'Player Raw Data'!$B:$B,0)),"")</f>
        <v/>
      </c>
      <c r="C935" t="str">
        <f t="array" ref="C935">IFERROR(INDEX('Player Raw Data'!D:D,Match($A935,'Player Raw Data'!$B:$B,0)),"")</f>
        <v/>
      </c>
      <c r="D935" t="str">
        <f t="array" ref="D935">IFERROR(IF(A935=A934, INDEX('Player Raw Data'!E:E,Match($A935,'Player Raw Data'!$B:$B,0)+2),INDEX('Player Raw Data'!E:E,Match($A935,'Player Raw Data'!$B:$B,0))),"")</f>
        <v/>
      </c>
      <c r="E935" s="27" t="str">
        <f>IFERROR(__xludf.DUMMYFUNCTION("IFERROR(ARRAY_CONSTRAIN(SPLIT(INDEX('Daily Raw Data'!G:G,Match($A935,'Daily Raw Data'!$B:$B,0)),"":""),1,1),"""")"),"")</f>
        <v/>
      </c>
      <c r="F935" t="str">
        <f t="array" ref="F935">IFERROR(INDEX('Daily Raw Data'!H:H,Match($A935,'Daily Raw Data'!$B:$B,0)),"")</f>
        <v/>
      </c>
      <c r="G935" t="str">
        <f t="array" ref="G935">IFERROR(INDEX('Daily Raw Data'!I:I,Match($A935,'Daily Raw Data'!$B:$B,0)),"")</f>
        <v/>
      </c>
      <c r="H935" t="str">
        <f t="array" ref="H935">IFERROR(INDEX('Daily Raw Data'!N:N,Match($A935,'Daily Raw Data'!$B:$B,0)),"")</f>
        <v/>
      </c>
      <c r="I935" t="str">
        <f t="array" ref="I935">IFERROR(INDEX('Daily Raw Data'!O:O,Match($A935,'Daily Raw Data'!$B:$B,0)),"")</f>
        <v/>
      </c>
      <c r="J935" t="str">
        <f t="array" ref="J935">IFERROR(INDEX('Daily Raw Data'!S:S,Match($A935,'Daily Raw Data'!$B:$B,0)),"")</f>
        <v/>
      </c>
      <c r="K935" t="str">
        <f t="array" ref="K935">IFERROR(INDEX('Daily Raw Data'!T:T,Match($A935,'Daily Raw Data'!$B:$B,0)),"")</f>
        <v/>
      </c>
      <c r="L935" t="str">
        <f t="array" ref="L935">IFERROR(INDEX('Daily Raw Data'!U:U,Match($A935,'Daily Raw Data'!$B:$B,0)),"")</f>
        <v/>
      </c>
      <c r="M935" t="str">
        <f t="array" ref="M935">IFERROR(INDEX('Daily Raw Data'!V:V,Match($A935,'Daily Raw Data'!$B:$B,0)),"")</f>
        <v/>
      </c>
      <c r="N935" t="str">
        <f t="array" ref="N935">IFERROR(INDEX('Daily Raw Data'!W:W,Match($A935,'Daily Raw Data'!$B:$B,0)),"")</f>
        <v/>
      </c>
      <c r="O935" t="str">
        <f t="array" ref="O935">IFERROR(INDEX('Daily Raw Data'!Y:Y,Match($A935,'Daily Raw Data'!$B:$B,0)),"")</f>
        <v/>
      </c>
      <c r="P935" t="str">
        <f t="shared" si="1"/>
        <v/>
      </c>
      <c r="Q935" s="14" t="str">
        <f t="shared" si="2"/>
        <v/>
      </c>
      <c r="R935" s="15" t="str">
        <f>IFERROR(__xludf.DUMMYFUNCTION("IF($A935="""","""", IFERROR(PERCENTRANK.INC(FILTER(P:P,$E:$E&lt;&gt;""""),P935)*100,""""))"),"")</f>
        <v/>
      </c>
      <c r="S935" s="15" t="str">
        <f>IFERROR(__xludf.DUMMYFUNCTION("IF($A935="""","""",IFERROR(PERCENTRANK.INC(FILTER(Q:Q,$E:$E&lt;&gt;""""),Q935)*100,""""))"),"")</f>
        <v/>
      </c>
    </row>
    <row r="936">
      <c r="B936" t="str">
        <f t="array" ref="B936">IFERROR(INDEX('Player Raw Data'!C:C,Match($A936,'Player Raw Data'!$B:$B,0)),"")</f>
        <v/>
      </c>
      <c r="C936" t="str">
        <f t="array" ref="C936">IFERROR(INDEX('Player Raw Data'!D:D,Match($A936,'Player Raw Data'!$B:$B,0)),"")</f>
        <v/>
      </c>
      <c r="D936" t="str">
        <f t="array" ref="D936">IFERROR(IF(A936=A935, INDEX('Player Raw Data'!E:E,Match($A936,'Player Raw Data'!$B:$B,0)+2),INDEX('Player Raw Data'!E:E,Match($A936,'Player Raw Data'!$B:$B,0))),"")</f>
        <v/>
      </c>
      <c r="E936" s="27" t="str">
        <f>IFERROR(__xludf.DUMMYFUNCTION("IFERROR(ARRAY_CONSTRAIN(SPLIT(INDEX('Daily Raw Data'!G:G,Match($A936,'Daily Raw Data'!$B:$B,0)),"":""),1,1),"""")"),"")</f>
        <v/>
      </c>
      <c r="F936" t="str">
        <f t="array" ref="F936">IFERROR(INDEX('Daily Raw Data'!H:H,Match($A936,'Daily Raw Data'!$B:$B,0)),"")</f>
        <v/>
      </c>
      <c r="G936" t="str">
        <f t="array" ref="G936">IFERROR(INDEX('Daily Raw Data'!I:I,Match($A936,'Daily Raw Data'!$B:$B,0)),"")</f>
        <v/>
      </c>
      <c r="H936" t="str">
        <f t="array" ref="H936">IFERROR(INDEX('Daily Raw Data'!N:N,Match($A936,'Daily Raw Data'!$B:$B,0)),"")</f>
        <v/>
      </c>
      <c r="I936" t="str">
        <f t="array" ref="I936">IFERROR(INDEX('Daily Raw Data'!O:O,Match($A936,'Daily Raw Data'!$B:$B,0)),"")</f>
        <v/>
      </c>
      <c r="J936" t="str">
        <f t="array" ref="J936">IFERROR(INDEX('Daily Raw Data'!S:S,Match($A936,'Daily Raw Data'!$B:$B,0)),"")</f>
        <v/>
      </c>
      <c r="K936" t="str">
        <f t="array" ref="K936">IFERROR(INDEX('Daily Raw Data'!T:T,Match($A936,'Daily Raw Data'!$B:$B,0)),"")</f>
        <v/>
      </c>
      <c r="L936" t="str">
        <f t="array" ref="L936">IFERROR(INDEX('Daily Raw Data'!U:U,Match($A936,'Daily Raw Data'!$B:$B,0)),"")</f>
        <v/>
      </c>
      <c r="M936" t="str">
        <f t="array" ref="M936">IFERROR(INDEX('Daily Raw Data'!V:V,Match($A936,'Daily Raw Data'!$B:$B,0)),"")</f>
        <v/>
      </c>
      <c r="N936" t="str">
        <f t="array" ref="N936">IFERROR(INDEX('Daily Raw Data'!W:W,Match($A936,'Daily Raw Data'!$B:$B,0)),"")</f>
        <v/>
      </c>
      <c r="O936" t="str">
        <f t="array" ref="O936">IFERROR(INDEX('Daily Raw Data'!Y:Y,Match($A936,'Daily Raw Data'!$B:$B,0)),"")</f>
        <v/>
      </c>
      <c r="P936" t="str">
        <f t="shared" si="1"/>
        <v/>
      </c>
      <c r="Q936" s="14" t="str">
        <f t="shared" si="2"/>
        <v/>
      </c>
      <c r="R936" s="15" t="str">
        <f>IFERROR(__xludf.DUMMYFUNCTION("IF($A936="""","""", IFERROR(PERCENTRANK.INC(FILTER(P:P,$E:$E&lt;&gt;""""),P936)*100,""""))"),"")</f>
        <v/>
      </c>
      <c r="S936" s="15" t="str">
        <f>IFERROR(__xludf.DUMMYFUNCTION("IF($A936="""","""",IFERROR(PERCENTRANK.INC(FILTER(Q:Q,$E:$E&lt;&gt;""""),Q936)*100,""""))"),"")</f>
        <v/>
      </c>
    </row>
    <row r="937">
      <c r="B937" t="str">
        <f t="array" ref="B937">IFERROR(INDEX('Player Raw Data'!C:C,Match($A937,'Player Raw Data'!$B:$B,0)),"")</f>
        <v/>
      </c>
      <c r="C937" t="str">
        <f t="array" ref="C937">IFERROR(INDEX('Player Raw Data'!D:D,Match($A937,'Player Raw Data'!$B:$B,0)),"")</f>
        <v/>
      </c>
      <c r="D937" t="str">
        <f t="array" ref="D937">IFERROR(IF(A937=A936, INDEX('Player Raw Data'!E:E,Match($A937,'Player Raw Data'!$B:$B,0)+2),INDEX('Player Raw Data'!E:E,Match($A937,'Player Raw Data'!$B:$B,0))),"")</f>
        <v/>
      </c>
      <c r="E937" s="27" t="str">
        <f>IFERROR(__xludf.DUMMYFUNCTION("IFERROR(ARRAY_CONSTRAIN(SPLIT(INDEX('Daily Raw Data'!G:G,Match($A937,'Daily Raw Data'!$B:$B,0)),"":""),1,1),"""")"),"")</f>
        <v/>
      </c>
      <c r="F937" t="str">
        <f t="array" ref="F937">IFERROR(INDEX('Daily Raw Data'!H:H,Match($A937,'Daily Raw Data'!$B:$B,0)),"")</f>
        <v/>
      </c>
      <c r="G937" t="str">
        <f t="array" ref="G937">IFERROR(INDEX('Daily Raw Data'!I:I,Match($A937,'Daily Raw Data'!$B:$B,0)),"")</f>
        <v/>
      </c>
      <c r="H937" t="str">
        <f t="array" ref="H937">IFERROR(INDEX('Daily Raw Data'!N:N,Match($A937,'Daily Raw Data'!$B:$B,0)),"")</f>
        <v/>
      </c>
      <c r="I937" t="str">
        <f t="array" ref="I937">IFERROR(INDEX('Daily Raw Data'!O:O,Match($A937,'Daily Raw Data'!$B:$B,0)),"")</f>
        <v/>
      </c>
      <c r="J937" t="str">
        <f t="array" ref="J937">IFERROR(INDEX('Daily Raw Data'!S:S,Match($A937,'Daily Raw Data'!$B:$B,0)),"")</f>
        <v/>
      </c>
      <c r="K937" t="str">
        <f t="array" ref="K937">IFERROR(INDEX('Daily Raw Data'!T:T,Match($A937,'Daily Raw Data'!$B:$B,0)),"")</f>
        <v/>
      </c>
      <c r="L937" t="str">
        <f t="array" ref="L937">IFERROR(INDEX('Daily Raw Data'!U:U,Match($A937,'Daily Raw Data'!$B:$B,0)),"")</f>
        <v/>
      </c>
      <c r="M937" t="str">
        <f t="array" ref="M937">IFERROR(INDEX('Daily Raw Data'!V:V,Match($A937,'Daily Raw Data'!$B:$B,0)),"")</f>
        <v/>
      </c>
      <c r="N937" t="str">
        <f t="array" ref="N937">IFERROR(INDEX('Daily Raw Data'!W:W,Match($A937,'Daily Raw Data'!$B:$B,0)),"")</f>
        <v/>
      </c>
      <c r="O937" t="str">
        <f t="array" ref="O937">IFERROR(INDEX('Daily Raw Data'!Y:Y,Match($A937,'Daily Raw Data'!$B:$B,0)),"")</f>
        <v/>
      </c>
      <c r="P937" t="str">
        <f t="shared" si="1"/>
        <v/>
      </c>
      <c r="Q937" s="14" t="str">
        <f t="shared" si="2"/>
        <v/>
      </c>
      <c r="R937" s="15" t="str">
        <f>IFERROR(__xludf.DUMMYFUNCTION("IF($A937="""","""", IFERROR(PERCENTRANK.INC(FILTER(P:P,$E:$E&lt;&gt;""""),P937)*100,""""))"),"")</f>
        <v/>
      </c>
      <c r="S937" s="15" t="str">
        <f>IFERROR(__xludf.DUMMYFUNCTION("IF($A937="""","""",IFERROR(PERCENTRANK.INC(FILTER(Q:Q,$E:$E&lt;&gt;""""),Q937)*100,""""))"),"")</f>
        <v/>
      </c>
    </row>
    <row r="938">
      <c r="B938" t="str">
        <f t="array" ref="B938">IFERROR(INDEX('Player Raw Data'!C:C,Match($A938,'Player Raw Data'!$B:$B,0)),"")</f>
        <v/>
      </c>
      <c r="C938" t="str">
        <f t="array" ref="C938">IFERROR(INDEX('Player Raw Data'!D:D,Match($A938,'Player Raw Data'!$B:$B,0)),"")</f>
        <v/>
      </c>
      <c r="D938" t="str">
        <f t="array" ref="D938">IFERROR(IF(A938=A937, INDEX('Player Raw Data'!E:E,Match($A938,'Player Raw Data'!$B:$B,0)+2),INDEX('Player Raw Data'!E:E,Match($A938,'Player Raw Data'!$B:$B,0))),"")</f>
        <v/>
      </c>
      <c r="E938" s="27" t="str">
        <f>IFERROR(__xludf.DUMMYFUNCTION("IFERROR(ARRAY_CONSTRAIN(SPLIT(INDEX('Daily Raw Data'!G:G,Match($A938,'Daily Raw Data'!$B:$B,0)),"":""),1,1),"""")"),"")</f>
        <v/>
      </c>
      <c r="F938" t="str">
        <f t="array" ref="F938">IFERROR(INDEX('Daily Raw Data'!H:H,Match($A938,'Daily Raw Data'!$B:$B,0)),"")</f>
        <v/>
      </c>
      <c r="G938" t="str">
        <f t="array" ref="G938">IFERROR(INDEX('Daily Raw Data'!I:I,Match($A938,'Daily Raw Data'!$B:$B,0)),"")</f>
        <v/>
      </c>
      <c r="H938" t="str">
        <f t="array" ref="H938">IFERROR(INDEX('Daily Raw Data'!N:N,Match($A938,'Daily Raw Data'!$B:$B,0)),"")</f>
        <v/>
      </c>
      <c r="I938" t="str">
        <f t="array" ref="I938">IFERROR(INDEX('Daily Raw Data'!O:O,Match($A938,'Daily Raw Data'!$B:$B,0)),"")</f>
        <v/>
      </c>
      <c r="J938" t="str">
        <f t="array" ref="J938">IFERROR(INDEX('Daily Raw Data'!S:S,Match($A938,'Daily Raw Data'!$B:$B,0)),"")</f>
        <v/>
      </c>
      <c r="K938" t="str">
        <f t="array" ref="K938">IFERROR(INDEX('Daily Raw Data'!T:T,Match($A938,'Daily Raw Data'!$B:$B,0)),"")</f>
        <v/>
      </c>
      <c r="L938" t="str">
        <f t="array" ref="L938">IFERROR(INDEX('Daily Raw Data'!U:U,Match($A938,'Daily Raw Data'!$B:$B,0)),"")</f>
        <v/>
      </c>
      <c r="M938" t="str">
        <f t="array" ref="M938">IFERROR(INDEX('Daily Raw Data'!V:V,Match($A938,'Daily Raw Data'!$B:$B,0)),"")</f>
        <v/>
      </c>
      <c r="N938" t="str">
        <f t="array" ref="N938">IFERROR(INDEX('Daily Raw Data'!W:W,Match($A938,'Daily Raw Data'!$B:$B,0)),"")</f>
        <v/>
      </c>
      <c r="O938" t="str">
        <f t="array" ref="O938">IFERROR(INDEX('Daily Raw Data'!Y:Y,Match($A938,'Daily Raw Data'!$B:$B,0)),"")</f>
        <v/>
      </c>
      <c r="P938" t="str">
        <f t="shared" si="1"/>
        <v/>
      </c>
      <c r="Q938" s="14" t="str">
        <f t="shared" si="2"/>
        <v/>
      </c>
      <c r="R938" s="15" t="str">
        <f>IFERROR(__xludf.DUMMYFUNCTION("IF($A938="""","""", IFERROR(PERCENTRANK.INC(FILTER(P:P,$E:$E&lt;&gt;""""),P938)*100,""""))"),"")</f>
        <v/>
      </c>
      <c r="S938" s="15" t="str">
        <f>IFERROR(__xludf.DUMMYFUNCTION("IF($A938="""","""",IFERROR(PERCENTRANK.INC(FILTER(Q:Q,$E:$E&lt;&gt;""""),Q938)*100,""""))"),"")</f>
        <v/>
      </c>
    </row>
    <row r="939">
      <c r="B939" t="str">
        <f t="array" ref="B939">IFERROR(INDEX('Player Raw Data'!C:C,Match($A939,'Player Raw Data'!$B:$B,0)),"")</f>
        <v/>
      </c>
      <c r="C939" t="str">
        <f t="array" ref="C939">IFERROR(INDEX('Player Raw Data'!D:D,Match($A939,'Player Raw Data'!$B:$B,0)),"")</f>
        <v/>
      </c>
      <c r="D939" t="str">
        <f t="array" ref="D939">IFERROR(IF(A939=A938, INDEX('Player Raw Data'!E:E,Match($A939,'Player Raw Data'!$B:$B,0)+2),INDEX('Player Raw Data'!E:E,Match($A939,'Player Raw Data'!$B:$B,0))),"")</f>
        <v/>
      </c>
      <c r="E939" s="27" t="str">
        <f>IFERROR(__xludf.DUMMYFUNCTION("IFERROR(ARRAY_CONSTRAIN(SPLIT(INDEX('Daily Raw Data'!G:G,Match($A939,'Daily Raw Data'!$B:$B,0)),"":""),1,1),"""")"),"")</f>
        <v/>
      </c>
      <c r="F939" t="str">
        <f t="array" ref="F939">IFERROR(INDEX('Daily Raw Data'!H:H,Match($A939,'Daily Raw Data'!$B:$B,0)),"")</f>
        <v/>
      </c>
      <c r="G939" t="str">
        <f t="array" ref="G939">IFERROR(INDEX('Daily Raw Data'!I:I,Match($A939,'Daily Raw Data'!$B:$B,0)),"")</f>
        <v/>
      </c>
      <c r="H939" t="str">
        <f t="array" ref="H939">IFERROR(INDEX('Daily Raw Data'!N:N,Match($A939,'Daily Raw Data'!$B:$B,0)),"")</f>
        <v/>
      </c>
      <c r="I939" t="str">
        <f t="array" ref="I939">IFERROR(INDEX('Daily Raw Data'!O:O,Match($A939,'Daily Raw Data'!$B:$B,0)),"")</f>
        <v/>
      </c>
      <c r="J939" t="str">
        <f t="array" ref="J939">IFERROR(INDEX('Daily Raw Data'!S:S,Match($A939,'Daily Raw Data'!$B:$B,0)),"")</f>
        <v/>
      </c>
      <c r="K939" t="str">
        <f t="array" ref="K939">IFERROR(INDEX('Daily Raw Data'!T:T,Match($A939,'Daily Raw Data'!$B:$B,0)),"")</f>
        <v/>
      </c>
      <c r="L939" t="str">
        <f t="array" ref="L939">IFERROR(INDEX('Daily Raw Data'!U:U,Match($A939,'Daily Raw Data'!$B:$B,0)),"")</f>
        <v/>
      </c>
      <c r="M939" t="str">
        <f t="array" ref="M939">IFERROR(INDEX('Daily Raw Data'!V:V,Match($A939,'Daily Raw Data'!$B:$B,0)),"")</f>
        <v/>
      </c>
      <c r="N939" t="str">
        <f t="array" ref="N939">IFERROR(INDEX('Daily Raw Data'!W:W,Match($A939,'Daily Raw Data'!$B:$B,0)),"")</f>
        <v/>
      </c>
      <c r="O939" t="str">
        <f t="array" ref="O939">IFERROR(INDEX('Daily Raw Data'!Y:Y,Match($A939,'Daily Raw Data'!$B:$B,0)),"")</f>
        <v/>
      </c>
      <c r="P939" t="str">
        <f t="shared" si="1"/>
        <v/>
      </c>
      <c r="Q939" s="14" t="str">
        <f t="shared" si="2"/>
        <v/>
      </c>
      <c r="R939" s="15" t="str">
        <f>IFERROR(__xludf.DUMMYFUNCTION("IF($A939="""","""", IFERROR(PERCENTRANK.INC(FILTER(P:P,$E:$E&lt;&gt;""""),P939)*100,""""))"),"")</f>
        <v/>
      </c>
      <c r="S939" s="15" t="str">
        <f>IFERROR(__xludf.DUMMYFUNCTION("IF($A939="""","""",IFERROR(PERCENTRANK.INC(FILTER(Q:Q,$E:$E&lt;&gt;""""),Q939)*100,""""))"),"")</f>
        <v/>
      </c>
    </row>
    <row r="940">
      <c r="B940" t="str">
        <f t="array" ref="B940">IFERROR(INDEX('Player Raw Data'!C:C,Match($A940,'Player Raw Data'!$B:$B,0)),"")</f>
        <v/>
      </c>
      <c r="C940" t="str">
        <f t="array" ref="C940">IFERROR(INDEX('Player Raw Data'!D:D,Match($A940,'Player Raw Data'!$B:$B,0)),"")</f>
        <v/>
      </c>
      <c r="D940" t="str">
        <f t="array" ref="D940">IFERROR(IF(A940=A939, INDEX('Player Raw Data'!E:E,Match($A940,'Player Raw Data'!$B:$B,0)+2),INDEX('Player Raw Data'!E:E,Match($A940,'Player Raw Data'!$B:$B,0))),"")</f>
        <v/>
      </c>
      <c r="E940" s="27" t="str">
        <f>IFERROR(__xludf.DUMMYFUNCTION("IFERROR(ARRAY_CONSTRAIN(SPLIT(INDEX('Daily Raw Data'!G:G,Match($A940,'Daily Raw Data'!$B:$B,0)),"":""),1,1),"""")"),"")</f>
        <v/>
      </c>
      <c r="F940" t="str">
        <f t="array" ref="F940">IFERROR(INDEX('Daily Raw Data'!H:H,Match($A940,'Daily Raw Data'!$B:$B,0)),"")</f>
        <v/>
      </c>
      <c r="G940" t="str">
        <f t="array" ref="G940">IFERROR(INDEX('Daily Raw Data'!I:I,Match($A940,'Daily Raw Data'!$B:$B,0)),"")</f>
        <v/>
      </c>
      <c r="H940" t="str">
        <f t="array" ref="H940">IFERROR(INDEX('Daily Raw Data'!N:N,Match($A940,'Daily Raw Data'!$B:$B,0)),"")</f>
        <v/>
      </c>
      <c r="I940" t="str">
        <f t="array" ref="I940">IFERROR(INDEX('Daily Raw Data'!O:O,Match($A940,'Daily Raw Data'!$B:$B,0)),"")</f>
        <v/>
      </c>
      <c r="J940" t="str">
        <f t="array" ref="J940">IFERROR(INDEX('Daily Raw Data'!S:S,Match($A940,'Daily Raw Data'!$B:$B,0)),"")</f>
        <v/>
      </c>
      <c r="K940" t="str">
        <f t="array" ref="K940">IFERROR(INDEX('Daily Raw Data'!T:T,Match($A940,'Daily Raw Data'!$B:$B,0)),"")</f>
        <v/>
      </c>
      <c r="L940" t="str">
        <f t="array" ref="L940">IFERROR(INDEX('Daily Raw Data'!U:U,Match($A940,'Daily Raw Data'!$B:$B,0)),"")</f>
        <v/>
      </c>
      <c r="M940" t="str">
        <f t="array" ref="M940">IFERROR(INDEX('Daily Raw Data'!V:V,Match($A940,'Daily Raw Data'!$B:$B,0)),"")</f>
        <v/>
      </c>
      <c r="N940" t="str">
        <f t="array" ref="N940">IFERROR(INDEX('Daily Raw Data'!W:W,Match($A940,'Daily Raw Data'!$B:$B,0)),"")</f>
        <v/>
      </c>
      <c r="O940" t="str">
        <f t="array" ref="O940">IFERROR(INDEX('Daily Raw Data'!Y:Y,Match($A940,'Daily Raw Data'!$B:$B,0)),"")</f>
        <v/>
      </c>
      <c r="P940" t="str">
        <f t="shared" si="1"/>
        <v/>
      </c>
      <c r="Q940" s="14" t="str">
        <f t="shared" si="2"/>
        <v/>
      </c>
      <c r="R940" s="15" t="str">
        <f>IFERROR(__xludf.DUMMYFUNCTION("IF($A940="""","""", IFERROR(PERCENTRANK.INC(FILTER(P:P,$E:$E&lt;&gt;""""),P940)*100,""""))"),"")</f>
        <v/>
      </c>
      <c r="S940" s="15" t="str">
        <f>IFERROR(__xludf.DUMMYFUNCTION("IF($A940="""","""",IFERROR(PERCENTRANK.INC(FILTER(Q:Q,$E:$E&lt;&gt;""""),Q940)*100,""""))"),"")</f>
        <v/>
      </c>
    </row>
    <row r="941">
      <c r="B941" t="str">
        <f t="array" ref="B941">IFERROR(INDEX('Player Raw Data'!C:C,Match($A941,'Player Raw Data'!$B:$B,0)),"")</f>
        <v/>
      </c>
      <c r="C941" t="str">
        <f t="array" ref="C941">IFERROR(INDEX('Player Raw Data'!D:D,Match($A941,'Player Raw Data'!$B:$B,0)),"")</f>
        <v/>
      </c>
      <c r="D941" t="str">
        <f t="array" ref="D941">IFERROR(IF(A941=A940, INDEX('Player Raw Data'!E:E,Match($A941,'Player Raw Data'!$B:$B,0)+2),INDEX('Player Raw Data'!E:E,Match($A941,'Player Raw Data'!$B:$B,0))),"")</f>
        <v/>
      </c>
      <c r="E941" s="27" t="str">
        <f>IFERROR(__xludf.DUMMYFUNCTION("IFERROR(ARRAY_CONSTRAIN(SPLIT(INDEX('Daily Raw Data'!G:G,Match($A941,'Daily Raw Data'!$B:$B,0)),"":""),1,1),"""")"),"")</f>
        <v/>
      </c>
      <c r="F941" t="str">
        <f t="array" ref="F941">IFERROR(INDEX('Daily Raw Data'!H:H,Match($A941,'Daily Raw Data'!$B:$B,0)),"")</f>
        <v/>
      </c>
      <c r="G941" t="str">
        <f t="array" ref="G941">IFERROR(INDEX('Daily Raw Data'!I:I,Match($A941,'Daily Raw Data'!$B:$B,0)),"")</f>
        <v/>
      </c>
      <c r="H941" t="str">
        <f t="array" ref="H941">IFERROR(INDEX('Daily Raw Data'!N:N,Match($A941,'Daily Raw Data'!$B:$B,0)),"")</f>
        <v/>
      </c>
      <c r="I941" t="str">
        <f t="array" ref="I941">IFERROR(INDEX('Daily Raw Data'!O:O,Match($A941,'Daily Raw Data'!$B:$B,0)),"")</f>
        <v/>
      </c>
      <c r="J941" t="str">
        <f t="array" ref="J941">IFERROR(INDEX('Daily Raw Data'!S:S,Match($A941,'Daily Raw Data'!$B:$B,0)),"")</f>
        <v/>
      </c>
      <c r="K941" t="str">
        <f t="array" ref="K941">IFERROR(INDEX('Daily Raw Data'!T:T,Match($A941,'Daily Raw Data'!$B:$B,0)),"")</f>
        <v/>
      </c>
      <c r="L941" t="str">
        <f t="array" ref="L941">IFERROR(INDEX('Daily Raw Data'!U:U,Match($A941,'Daily Raw Data'!$B:$B,0)),"")</f>
        <v/>
      </c>
      <c r="M941" t="str">
        <f t="array" ref="M941">IFERROR(INDEX('Daily Raw Data'!V:V,Match($A941,'Daily Raw Data'!$B:$B,0)),"")</f>
        <v/>
      </c>
      <c r="N941" t="str">
        <f t="array" ref="N941">IFERROR(INDEX('Daily Raw Data'!W:W,Match($A941,'Daily Raw Data'!$B:$B,0)),"")</f>
        <v/>
      </c>
      <c r="O941" t="str">
        <f t="array" ref="O941">IFERROR(INDEX('Daily Raw Data'!Y:Y,Match($A941,'Daily Raw Data'!$B:$B,0)),"")</f>
        <v/>
      </c>
      <c r="P941" t="str">
        <f t="shared" si="1"/>
        <v/>
      </c>
      <c r="Q941" s="14" t="str">
        <f t="shared" si="2"/>
        <v/>
      </c>
      <c r="R941" s="15" t="str">
        <f>IFERROR(__xludf.DUMMYFUNCTION("IF($A941="""","""", IFERROR(PERCENTRANK.INC(FILTER(P:P,$E:$E&lt;&gt;""""),P941)*100,""""))"),"")</f>
        <v/>
      </c>
      <c r="S941" s="15" t="str">
        <f>IFERROR(__xludf.DUMMYFUNCTION("IF($A941="""","""",IFERROR(PERCENTRANK.INC(FILTER(Q:Q,$E:$E&lt;&gt;""""),Q941)*100,""""))"),"")</f>
        <v/>
      </c>
    </row>
    <row r="942">
      <c r="B942" t="str">
        <f t="array" ref="B942">IFERROR(INDEX('Player Raw Data'!C:C,Match($A942,'Player Raw Data'!$B:$B,0)),"")</f>
        <v/>
      </c>
      <c r="C942" t="str">
        <f t="array" ref="C942">IFERROR(INDEX('Player Raw Data'!D:D,Match($A942,'Player Raw Data'!$B:$B,0)),"")</f>
        <v/>
      </c>
      <c r="D942" t="str">
        <f t="array" ref="D942">IFERROR(IF(A942=A941, INDEX('Player Raw Data'!E:E,Match($A942,'Player Raw Data'!$B:$B,0)+2),INDEX('Player Raw Data'!E:E,Match($A942,'Player Raw Data'!$B:$B,0))),"")</f>
        <v/>
      </c>
      <c r="E942" s="27" t="str">
        <f>IFERROR(__xludf.DUMMYFUNCTION("IFERROR(ARRAY_CONSTRAIN(SPLIT(INDEX('Daily Raw Data'!G:G,Match($A942,'Daily Raw Data'!$B:$B,0)),"":""),1,1),"""")"),"")</f>
        <v/>
      </c>
      <c r="F942" t="str">
        <f t="array" ref="F942">IFERROR(INDEX('Daily Raw Data'!H:H,Match($A942,'Daily Raw Data'!$B:$B,0)),"")</f>
        <v/>
      </c>
      <c r="G942" t="str">
        <f t="array" ref="G942">IFERROR(INDEX('Daily Raw Data'!I:I,Match($A942,'Daily Raw Data'!$B:$B,0)),"")</f>
        <v/>
      </c>
      <c r="H942" t="str">
        <f t="array" ref="H942">IFERROR(INDEX('Daily Raw Data'!N:N,Match($A942,'Daily Raw Data'!$B:$B,0)),"")</f>
        <v/>
      </c>
      <c r="I942" t="str">
        <f t="array" ref="I942">IFERROR(INDEX('Daily Raw Data'!O:O,Match($A942,'Daily Raw Data'!$B:$B,0)),"")</f>
        <v/>
      </c>
      <c r="J942" t="str">
        <f t="array" ref="J942">IFERROR(INDEX('Daily Raw Data'!S:S,Match($A942,'Daily Raw Data'!$B:$B,0)),"")</f>
        <v/>
      </c>
      <c r="K942" t="str">
        <f t="array" ref="K942">IFERROR(INDEX('Daily Raw Data'!T:T,Match($A942,'Daily Raw Data'!$B:$B,0)),"")</f>
        <v/>
      </c>
      <c r="L942" t="str">
        <f t="array" ref="L942">IFERROR(INDEX('Daily Raw Data'!U:U,Match($A942,'Daily Raw Data'!$B:$B,0)),"")</f>
        <v/>
      </c>
      <c r="M942" t="str">
        <f t="array" ref="M942">IFERROR(INDEX('Daily Raw Data'!V:V,Match($A942,'Daily Raw Data'!$B:$B,0)),"")</f>
        <v/>
      </c>
      <c r="N942" t="str">
        <f t="array" ref="N942">IFERROR(INDEX('Daily Raw Data'!W:W,Match($A942,'Daily Raw Data'!$B:$B,0)),"")</f>
        <v/>
      </c>
      <c r="O942" t="str">
        <f t="array" ref="O942">IFERROR(INDEX('Daily Raw Data'!Y:Y,Match($A942,'Daily Raw Data'!$B:$B,0)),"")</f>
        <v/>
      </c>
      <c r="P942" t="str">
        <f t="shared" si="1"/>
        <v/>
      </c>
      <c r="Q942" s="14" t="str">
        <f t="shared" si="2"/>
        <v/>
      </c>
      <c r="R942" s="15" t="str">
        <f>IFERROR(__xludf.DUMMYFUNCTION("IF($A942="""","""", IFERROR(PERCENTRANK.INC(FILTER(P:P,$E:$E&lt;&gt;""""),P942)*100,""""))"),"")</f>
        <v/>
      </c>
      <c r="S942" s="15" t="str">
        <f>IFERROR(__xludf.DUMMYFUNCTION("IF($A942="""","""",IFERROR(PERCENTRANK.INC(FILTER(Q:Q,$E:$E&lt;&gt;""""),Q942)*100,""""))"),"")</f>
        <v/>
      </c>
    </row>
    <row r="943">
      <c r="B943" t="str">
        <f t="array" ref="B943">IFERROR(INDEX('Player Raw Data'!C:C,Match($A943,'Player Raw Data'!$B:$B,0)),"")</f>
        <v/>
      </c>
      <c r="C943" t="str">
        <f t="array" ref="C943">IFERROR(INDEX('Player Raw Data'!D:D,Match($A943,'Player Raw Data'!$B:$B,0)),"")</f>
        <v/>
      </c>
      <c r="D943" t="str">
        <f t="array" ref="D943">IFERROR(IF(A943=A942, INDEX('Player Raw Data'!E:E,Match($A943,'Player Raw Data'!$B:$B,0)+2),INDEX('Player Raw Data'!E:E,Match($A943,'Player Raw Data'!$B:$B,0))),"")</f>
        <v/>
      </c>
      <c r="E943" s="27" t="str">
        <f>IFERROR(__xludf.DUMMYFUNCTION("IFERROR(ARRAY_CONSTRAIN(SPLIT(INDEX('Daily Raw Data'!G:G,Match($A943,'Daily Raw Data'!$B:$B,0)),"":""),1,1),"""")"),"")</f>
        <v/>
      </c>
      <c r="F943" t="str">
        <f t="array" ref="F943">IFERROR(INDEX('Daily Raw Data'!H:H,Match($A943,'Daily Raw Data'!$B:$B,0)),"")</f>
        <v/>
      </c>
      <c r="G943" t="str">
        <f t="array" ref="G943">IFERROR(INDEX('Daily Raw Data'!I:I,Match($A943,'Daily Raw Data'!$B:$B,0)),"")</f>
        <v/>
      </c>
      <c r="H943" t="str">
        <f t="array" ref="H943">IFERROR(INDEX('Daily Raw Data'!N:N,Match($A943,'Daily Raw Data'!$B:$B,0)),"")</f>
        <v/>
      </c>
      <c r="I943" t="str">
        <f t="array" ref="I943">IFERROR(INDEX('Daily Raw Data'!O:O,Match($A943,'Daily Raw Data'!$B:$B,0)),"")</f>
        <v/>
      </c>
      <c r="J943" t="str">
        <f t="array" ref="J943">IFERROR(INDEX('Daily Raw Data'!S:S,Match($A943,'Daily Raw Data'!$B:$B,0)),"")</f>
        <v/>
      </c>
      <c r="K943" t="str">
        <f t="array" ref="K943">IFERROR(INDEX('Daily Raw Data'!T:T,Match($A943,'Daily Raw Data'!$B:$B,0)),"")</f>
        <v/>
      </c>
      <c r="L943" t="str">
        <f t="array" ref="L943">IFERROR(INDEX('Daily Raw Data'!U:U,Match($A943,'Daily Raw Data'!$B:$B,0)),"")</f>
        <v/>
      </c>
      <c r="M943" t="str">
        <f t="array" ref="M943">IFERROR(INDEX('Daily Raw Data'!V:V,Match($A943,'Daily Raw Data'!$B:$B,0)),"")</f>
        <v/>
      </c>
      <c r="N943" t="str">
        <f t="array" ref="N943">IFERROR(INDEX('Daily Raw Data'!W:W,Match($A943,'Daily Raw Data'!$B:$B,0)),"")</f>
        <v/>
      </c>
      <c r="O943" t="str">
        <f t="array" ref="O943">IFERROR(INDEX('Daily Raw Data'!Y:Y,Match($A943,'Daily Raw Data'!$B:$B,0)),"")</f>
        <v/>
      </c>
      <c r="P943" t="str">
        <f t="shared" si="1"/>
        <v/>
      </c>
      <c r="Q943" s="14" t="str">
        <f t="shared" si="2"/>
        <v/>
      </c>
      <c r="R943" s="15" t="str">
        <f>IFERROR(__xludf.DUMMYFUNCTION("IF($A943="""","""", IFERROR(PERCENTRANK.INC(FILTER(P:P,$E:$E&lt;&gt;""""),P943)*100,""""))"),"")</f>
        <v/>
      </c>
      <c r="S943" s="15" t="str">
        <f>IFERROR(__xludf.DUMMYFUNCTION("IF($A943="""","""",IFERROR(PERCENTRANK.INC(FILTER(Q:Q,$E:$E&lt;&gt;""""),Q943)*100,""""))"),"")</f>
        <v/>
      </c>
    </row>
    <row r="944">
      <c r="B944" t="str">
        <f t="array" ref="B944">IFERROR(INDEX('Player Raw Data'!C:C,Match($A944,'Player Raw Data'!$B:$B,0)),"")</f>
        <v/>
      </c>
      <c r="C944" t="str">
        <f t="array" ref="C944">IFERROR(INDEX('Player Raw Data'!D:D,Match($A944,'Player Raw Data'!$B:$B,0)),"")</f>
        <v/>
      </c>
      <c r="D944" t="str">
        <f t="array" ref="D944">IFERROR(IF(A944=A943, INDEX('Player Raw Data'!E:E,Match($A944,'Player Raw Data'!$B:$B,0)+2),INDEX('Player Raw Data'!E:E,Match($A944,'Player Raw Data'!$B:$B,0))),"")</f>
        <v/>
      </c>
      <c r="E944" s="27" t="str">
        <f>IFERROR(__xludf.DUMMYFUNCTION("IFERROR(ARRAY_CONSTRAIN(SPLIT(INDEX('Daily Raw Data'!G:G,Match($A944,'Daily Raw Data'!$B:$B,0)),"":""),1,1),"""")"),"")</f>
        <v/>
      </c>
      <c r="F944" t="str">
        <f t="array" ref="F944">IFERROR(INDEX('Daily Raw Data'!H:H,Match($A944,'Daily Raw Data'!$B:$B,0)),"")</f>
        <v/>
      </c>
      <c r="G944" t="str">
        <f t="array" ref="G944">IFERROR(INDEX('Daily Raw Data'!I:I,Match($A944,'Daily Raw Data'!$B:$B,0)),"")</f>
        <v/>
      </c>
      <c r="H944" t="str">
        <f t="array" ref="H944">IFERROR(INDEX('Daily Raw Data'!N:N,Match($A944,'Daily Raw Data'!$B:$B,0)),"")</f>
        <v/>
      </c>
      <c r="I944" t="str">
        <f t="array" ref="I944">IFERROR(INDEX('Daily Raw Data'!O:O,Match($A944,'Daily Raw Data'!$B:$B,0)),"")</f>
        <v/>
      </c>
      <c r="J944" t="str">
        <f t="array" ref="J944">IFERROR(INDEX('Daily Raw Data'!S:S,Match($A944,'Daily Raw Data'!$B:$B,0)),"")</f>
        <v/>
      </c>
      <c r="K944" t="str">
        <f t="array" ref="K944">IFERROR(INDEX('Daily Raw Data'!T:T,Match($A944,'Daily Raw Data'!$B:$B,0)),"")</f>
        <v/>
      </c>
      <c r="L944" t="str">
        <f t="array" ref="L944">IFERROR(INDEX('Daily Raw Data'!U:U,Match($A944,'Daily Raw Data'!$B:$B,0)),"")</f>
        <v/>
      </c>
      <c r="M944" t="str">
        <f t="array" ref="M944">IFERROR(INDEX('Daily Raw Data'!V:V,Match($A944,'Daily Raw Data'!$B:$B,0)),"")</f>
        <v/>
      </c>
      <c r="N944" t="str">
        <f t="array" ref="N944">IFERROR(INDEX('Daily Raw Data'!W:W,Match($A944,'Daily Raw Data'!$B:$B,0)),"")</f>
        <v/>
      </c>
      <c r="O944" t="str">
        <f t="array" ref="O944">IFERROR(INDEX('Daily Raw Data'!Y:Y,Match($A944,'Daily Raw Data'!$B:$B,0)),"")</f>
        <v/>
      </c>
      <c r="P944" t="str">
        <f t="shared" si="1"/>
        <v/>
      </c>
      <c r="Q944" s="14" t="str">
        <f t="shared" si="2"/>
        <v/>
      </c>
      <c r="R944" s="15" t="str">
        <f>IFERROR(__xludf.DUMMYFUNCTION("IF($A944="""","""", IFERROR(PERCENTRANK.INC(FILTER(P:P,$E:$E&lt;&gt;""""),P944)*100,""""))"),"")</f>
        <v/>
      </c>
      <c r="S944" s="15" t="str">
        <f>IFERROR(__xludf.DUMMYFUNCTION("IF($A944="""","""",IFERROR(PERCENTRANK.INC(FILTER(Q:Q,$E:$E&lt;&gt;""""),Q944)*100,""""))"),"")</f>
        <v/>
      </c>
    </row>
    <row r="945">
      <c r="B945" t="str">
        <f t="array" ref="B945">IFERROR(INDEX('Player Raw Data'!C:C,Match($A945,'Player Raw Data'!$B:$B,0)),"")</f>
        <v/>
      </c>
      <c r="C945" t="str">
        <f t="array" ref="C945">IFERROR(INDEX('Player Raw Data'!D:D,Match($A945,'Player Raw Data'!$B:$B,0)),"")</f>
        <v/>
      </c>
      <c r="D945" t="str">
        <f t="array" ref="D945">IFERROR(IF(A945=A944, INDEX('Player Raw Data'!E:E,Match($A945,'Player Raw Data'!$B:$B,0)+2),INDEX('Player Raw Data'!E:E,Match($A945,'Player Raw Data'!$B:$B,0))),"")</f>
        <v/>
      </c>
      <c r="E945" s="27" t="str">
        <f>IFERROR(__xludf.DUMMYFUNCTION("IFERROR(ARRAY_CONSTRAIN(SPLIT(INDEX('Daily Raw Data'!G:G,Match($A945,'Daily Raw Data'!$B:$B,0)),"":""),1,1),"""")"),"")</f>
        <v/>
      </c>
      <c r="F945" t="str">
        <f t="array" ref="F945">IFERROR(INDEX('Daily Raw Data'!H:H,Match($A945,'Daily Raw Data'!$B:$B,0)),"")</f>
        <v/>
      </c>
      <c r="G945" t="str">
        <f t="array" ref="G945">IFERROR(INDEX('Daily Raw Data'!I:I,Match($A945,'Daily Raw Data'!$B:$B,0)),"")</f>
        <v/>
      </c>
      <c r="H945" t="str">
        <f t="array" ref="H945">IFERROR(INDEX('Daily Raw Data'!N:N,Match($A945,'Daily Raw Data'!$B:$B,0)),"")</f>
        <v/>
      </c>
      <c r="I945" t="str">
        <f t="array" ref="I945">IFERROR(INDEX('Daily Raw Data'!O:O,Match($A945,'Daily Raw Data'!$B:$B,0)),"")</f>
        <v/>
      </c>
      <c r="J945" t="str">
        <f t="array" ref="J945">IFERROR(INDEX('Daily Raw Data'!S:S,Match($A945,'Daily Raw Data'!$B:$B,0)),"")</f>
        <v/>
      </c>
      <c r="K945" t="str">
        <f t="array" ref="K945">IFERROR(INDEX('Daily Raw Data'!T:T,Match($A945,'Daily Raw Data'!$B:$B,0)),"")</f>
        <v/>
      </c>
      <c r="L945" t="str">
        <f t="array" ref="L945">IFERROR(INDEX('Daily Raw Data'!U:U,Match($A945,'Daily Raw Data'!$B:$B,0)),"")</f>
        <v/>
      </c>
      <c r="M945" t="str">
        <f t="array" ref="M945">IFERROR(INDEX('Daily Raw Data'!V:V,Match($A945,'Daily Raw Data'!$B:$B,0)),"")</f>
        <v/>
      </c>
      <c r="N945" t="str">
        <f t="array" ref="N945">IFERROR(INDEX('Daily Raw Data'!W:W,Match($A945,'Daily Raw Data'!$B:$B,0)),"")</f>
        <v/>
      </c>
      <c r="O945" t="str">
        <f t="array" ref="O945">IFERROR(INDEX('Daily Raw Data'!Y:Y,Match($A945,'Daily Raw Data'!$B:$B,0)),"")</f>
        <v/>
      </c>
      <c r="P945" t="str">
        <f t="shared" si="1"/>
        <v/>
      </c>
      <c r="Q945" s="14" t="str">
        <f t="shared" si="2"/>
        <v/>
      </c>
      <c r="R945" s="15" t="str">
        <f>IFERROR(__xludf.DUMMYFUNCTION("IF($A945="""","""", IFERROR(PERCENTRANK.INC(FILTER(P:P,$E:$E&lt;&gt;""""),P945)*100,""""))"),"")</f>
        <v/>
      </c>
      <c r="S945" s="15" t="str">
        <f>IFERROR(__xludf.DUMMYFUNCTION("IF($A945="""","""",IFERROR(PERCENTRANK.INC(FILTER(Q:Q,$E:$E&lt;&gt;""""),Q945)*100,""""))"),"")</f>
        <v/>
      </c>
    </row>
    <row r="946">
      <c r="B946" t="str">
        <f t="array" ref="B946">IFERROR(INDEX('Player Raw Data'!C:C,Match($A946,'Player Raw Data'!$B:$B,0)),"")</f>
        <v/>
      </c>
      <c r="C946" t="str">
        <f t="array" ref="C946">IFERROR(INDEX('Player Raw Data'!D:D,Match($A946,'Player Raw Data'!$B:$B,0)),"")</f>
        <v/>
      </c>
      <c r="D946" t="str">
        <f t="array" ref="D946">IFERROR(IF(A946=A945, INDEX('Player Raw Data'!E:E,Match($A946,'Player Raw Data'!$B:$B,0)+2),INDEX('Player Raw Data'!E:E,Match($A946,'Player Raw Data'!$B:$B,0))),"")</f>
        <v/>
      </c>
      <c r="E946" s="27" t="str">
        <f>IFERROR(__xludf.DUMMYFUNCTION("IFERROR(ARRAY_CONSTRAIN(SPLIT(INDEX('Daily Raw Data'!G:G,Match($A946,'Daily Raw Data'!$B:$B,0)),"":""),1,1),"""")"),"")</f>
        <v/>
      </c>
      <c r="F946" t="str">
        <f t="array" ref="F946">IFERROR(INDEX('Daily Raw Data'!H:H,Match($A946,'Daily Raw Data'!$B:$B,0)),"")</f>
        <v/>
      </c>
      <c r="G946" t="str">
        <f t="array" ref="G946">IFERROR(INDEX('Daily Raw Data'!I:I,Match($A946,'Daily Raw Data'!$B:$B,0)),"")</f>
        <v/>
      </c>
      <c r="H946" t="str">
        <f t="array" ref="H946">IFERROR(INDEX('Daily Raw Data'!N:N,Match($A946,'Daily Raw Data'!$B:$B,0)),"")</f>
        <v/>
      </c>
      <c r="I946" t="str">
        <f t="array" ref="I946">IFERROR(INDEX('Daily Raw Data'!O:O,Match($A946,'Daily Raw Data'!$B:$B,0)),"")</f>
        <v/>
      </c>
      <c r="J946" t="str">
        <f t="array" ref="J946">IFERROR(INDEX('Daily Raw Data'!S:S,Match($A946,'Daily Raw Data'!$B:$B,0)),"")</f>
        <v/>
      </c>
      <c r="K946" t="str">
        <f t="array" ref="K946">IFERROR(INDEX('Daily Raw Data'!T:T,Match($A946,'Daily Raw Data'!$B:$B,0)),"")</f>
        <v/>
      </c>
      <c r="L946" t="str">
        <f t="array" ref="L946">IFERROR(INDEX('Daily Raw Data'!U:U,Match($A946,'Daily Raw Data'!$B:$B,0)),"")</f>
        <v/>
      </c>
      <c r="M946" t="str">
        <f t="array" ref="M946">IFERROR(INDEX('Daily Raw Data'!V:V,Match($A946,'Daily Raw Data'!$B:$B,0)),"")</f>
        <v/>
      </c>
      <c r="N946" t="str">
        <f t="array" ref="N946">IFERROR(INDEX('Daily Raw Data'!W:W,Match($A946,'Daily Raw Data'!$B:$B,0)),"")</f>
        <v/>
      </c>
      <c r="O946" t="str">
        <f t="array" ref="O946">IFERROR(INDEX('Daily Raw Data'!Y:Y,Match($A946,'Daily Raw Data'!$B:$B,0)),"")</f>
        <v/>
      </c>
      <c r="P946" t="str">
        <f t="shared" si="1"/>
        <v/>
      </c>
      <c r="Q946" s="14" t="str">
        <f t="shared" si="2"/>
        <v/>
      </c>
      <c r="R946" s="15" t="str">
        <f>IFERROR(__xludf.DUMMYFUNCTION("IF($A946="""","""", IFERROR(PERCENTRANK.INC(FILTER(P:P,$E:$E&lt;&gt;""""),P946)*100,""""))"),"")</f>
        <v/>
      </c>
      <c r="S946" s="15" t="str">
        <f>IFERROR(__xludf.DUMMYFUNCTION("IF($A946="""","""",IFERROR(PERCENTRANK.INC(FILTER(Q:Q,$E:$E&lt;&gt;""""),Q946)*100,""""))"),"")</f>
        <v/>
      </c>
    </row>
    <row r="947">
      <c r="B947" t="str">
        <f t="array" ref="B947">IFERROR(INDEX('Player Raw Data'!C:C,Match($A947,'Player Raw Data'!$B:$B,0)),"")</f>
        <v/>
      </c>
      <c r="C947" t="str">
        <f t="array" ref="C947">IFERROR(INDEX('Player Raw Data'!D:D,Match($A947,'Player Raw Data'!$B:$B,0)),"")</f>
        <v/>
      </c>
      <c r="D947" t="str">
        <f t="array" ref="D947">IFERROR(IF(A947=A946, INDEX('Player Raw Data'!E:E,Match($A947,'Player Raw Data'!$B:$B,0)+2),INDEX('Player Raw Data'!E:E,Match($A947,'Player Raw Data'!$B:$B,0))),"")</f>
        <v/>
      </c>
      <c r="E947" s="27" t="str">
        <f>IFERROR(__xludf.DUMMYFUNCTION("IFERROR(ARRAY_CONSTRAIN(SPLIT(INDEX('Daily Raw Data'!G:G,Match($A947,'Daily Raw Data'!$B:$B,0)),"":""),1,1),"""")"),"")</f>
        <v/>
      </c>
      <c r="F947" t="str">
        <f t="array" ref="F947">IFERROR(INDEX('Daily Raw Data'!H:H,Match($A947,'Daily Raw Data'!$B:$B,0)),"")</f>
        <v/>
      </c>
      <c r="G947" t="str">
        <f t="array" ref="G947">IFERROR(INDEX('Daily Raw Data'!I:I,Match($A947,'Daily Raw Data'!$B:$B,0)),"")</f>
        <v/>
      </c>
      <c r="H947" t="str">
        <f t="array" ref="H947">IFERROR(INDEX('Daily Raw Data'!N:N,Match($A947,'Daily Raw Data'!$B:$B,0)),"")</f>
        <v/>
      </c>
      <c r="I947" t="str">
        <f t="array" ref="I947">IFERROR(INDEX('Daily Raw Data'!O:O,Match($A947,'Daily Raw Data'!$B:$B,0)),"")</f>
        <v/>
      </c>
      <c r="J947" t="str">
        <f t="array" ref="J947">IFERROR(INDEX('Daily Raw Data'!S:S,Match($A947,'Daily Raw Data'!$B:$B,0)),"")</f>
        <v/>
      </c>
      <c r="K947" t="str">
        <f t="array" ref="K947">IFERROR(INDEX('Daily Raw Data'!T:T,Match($A947,'Daily Raw Data'!$B:$B,0)),"")</f>
        <v/>
      </c>
      <c r="L947" t="str">
        <f t="array" ref="L947">IFERROR(INDEX('Daily Raw Data'!U:U,Match($A947,'Daily Raw Data'!$B:$B,0)),"")</f>
        <v/>
      </c>
      <c r="M947" t="str">
        <f t="array" ref="M947">IFERROR(INDEX('Daily Raw Data'!V:V,Match($A947,'Daily Raw Data'!$B:$B,0)),"")</f>
        <v/>
      </c>
      <c r="N947" t="str">
        <f t="array" ref="N947">IFERROR(INDEX('Daily Raw Data'!W:W,Match($A947,'Daily Raw Data'!$B:$B,0)),"")</f>
        <v/>
      </c>
      <c r="O947" t="str">
        <f t="array" ref="O947">IFERROR(INDEX('Daily Raw Data'!Y:Y,Match($A947,'Daily Raw Data'!$B:$B,0)),"")</f>
        <v/>
      </c>
      <c r="P947" t="str">
        <f t="shared" si="1"/>
        <v/>
      </c>
      <c r="Q947" s="14" t="str">
        <f t="shared" si="2"/>
        <v/>
      </c>
      <c r="R947" s="15" t="str">
        <f>IFERROR(__xludf.DUMMYFUNCTION("IF($A947="""","""", IFERROR(PERCENTRANK.INC(FILTER(P:P,$E:$E&lt;&gt;""""),P947)*100,""""))"),"")</f>
        <v/>
      </c>
      <c r="S947" s="15" t="str">
        <f>IFERROR(__xludf.DUMMYFUNCTION("IF($A947="""","""",IFERROR(PERCENTRANK.INC(FILTER(Q:Q,$E:$E&lt;&gt;""""),Q947)*100,""""))"),"")</f>
        <v/>
      </c>
    </row>
    <row r="948">
      <c r="B948" t="str">
        <f t="array" ref="B948">IFERROR(INDEX('Player Raw Data'!C:C,Match($A948,'Player Raw Data'!$B:$B,0)),"")</f>
        <v/>
      </c>
      <c r="C948" t="str">
        <f t="array" ref="C948">IFERROR(INDEX('Player Raw Data'!D:D,Match($A948,'Player Raw Data'!$B:$B,0)),"")</f>
        <v/>
      </c>
      <c r="D948" t="str">
        <f t="array" ref="D948">IFERROR(IF(A948=A947, INDEX('Player Raw Data'!E:E,Match($A948,'Player Raw Data'!$B:$B,0)+2),INDEX('Player Raw Data'!E:E,Match($A948,'Player Raw Data'!$B:$B,0))),"")</f>
        <v/>
      </c>
      <c r="E948" s="27" t="str">
        <f>IFERROR(__xludf.DUMMYFUNCTION("IFERROR(ARRAY_CONSTRAIN(SPLIT(INDEX('Daily Raw Data'!G:G,Match($A948,'Daily Raw Data'!$B:$B,0)),"":""),1,1),"""")"),"")</f>
        <v/>
      </c>
      <c r="F948" t="str">
        <f t="array" ref="F948">IFERROR(INDEX('Daily Raw Data'!H:H,Match($A948,'Daily Raw Data'!$B:$B,0)),"")</f>
        <v/>
      </c>
      <c r="G948" t="str">
        <f t="array" ref="G948">IFERROR(INDEX('Daily Raw Data'!I:I,Match($A948,'Daily Raw Data'!$B:$B,0)),"")</f>
        <v/>
      </c>
      <c r="H948" t="str">
        <f t="array" ref="H948">IFERROR(INDEX('Daily Raw Data'!N:N,Match($A948,'Daily Raw Data'!$B:$B,0)),"")</f>
        <v/>
      </c>
      <c r="I948" t="str">
        <f t="array" ref="I948">IFERROR(INDEX('Daily Raw Data'!O:O,Match($A948,'Daily Raw Data'!$B:$B,0)),"")</f>
        <v/>
      </c>
      <c r="J948" t="str">
        <f t="array" ref="J948">IFERROR(INDEX('Daily Raw Data'!S:S,Match($A948,'Daily Raw Data'!$B:$B,0)),"")</f>
        <v/>
      </c>
      <c r="K948" t="str">
        <f t="array" ref="K948">IFERROR(INDEX('Daily Raw Data'!T:T,Match($A948,'Daily Raw Data'!$B:$B,0)),"")</f>
        <v/>
      </c>
      <c r="L948" t="str">
        <f t="array" ref="L948">IFERROR(INDEX('Daily Raw Data'!U:U,Match($A948,'Daily Raw Data'!$B:$B,0)),"")</f>
        <v/>
      </c>
      <c r="M948" t="str">
        <f t="array" ref="M948">IFERROR(INDEX('Daily Raw Data'!V:V,Match($A948,'Daily Raw Data'!$B:$B,0)),"")</f>
        <v/>
      </c>
      <c r="N948" t="str">
        <f t="array" ref="N948">IFERROR(INDEX('Daily Raw Data'!W:W,Match($A948,'Daily Raw Data'!$B:$B,0)),"")</f>
        <v/>
      </c>
      <c r="O948" t="str">
        <f t="array" ref="O948">IFERROR(INDEX('Daily Raw Data'!Y:Y,Match($A948,'Daily Raw Data'!$B:$B,0)),"")</f>
        <v/>
      </c>
      <c r="P948" t="str">
        <f t="shared" si="1"/>
        <v/>
      </c>
      <c r="Q948" s="14" t="str">
        <f t="shared" si="2"/>
        <v/>
      </c>
      <c r="R948" s="15" t="str">
        <f>IFERROR(__xludf.DUMMYFUNCTION("IF($A948="""","""", IFERROR(PERCENTRANK.INC(FILTER(P:P,$E:$E&lt;&gt;""""),P948)*100,""""))"),"")</f>
        <v/>
      </c>
      <c r="S948" s="15" t="str">
        <f>IFERROR(__xludf.DUMMYFUNCTION("IF($A948="""","""",IFERROR(PERCENTRANK.INC(FILTER(Q:Q,$E:$E&lt;&gt;""""),Q948)*100,""""))"),"")</f>
        <v/>
      </c>
    </row>
    <row r="949">
      <c r="B949" t="str">
        <f t="array" ref="B949">IFERROR(INDEX('Player Raw Data'!C:C,Match($A949,'Player Raw Data'!$B:$B,0)),"")</f>
        <v/>
      </c>
      <c r="C949" t="str">
        <f t="array" ref="C949">IFERROR(INDEX('Player Raw Data'!D:D,Match($A949,'Player Raw Data'!$B:$B,0)),"")</f>
        <v/>
      </c>
      <c r="D949" t="str">
        <f t="array" ref="D949">IFERROR(IF(A949=A948, INDEX('Player Raw Data'!E:E,Match($A949,'Player Raw Data'!$B:$B,0)+2),INDEX('Player Raw Data'!E:E,Match($A949,'Player Raw Data'!$B:$B,0))),"")</f>
        <v/>
      </c>
      <c r="E949" s="27" t="str">
        <f>IFERROR(__xludf.DUMMYFUNCTION("IFERROR(ARRAY_CONSTRAIN(SPLIT(INDEX('Daily Raw Data'!G:G,Match($A949,'Daily Raw Data'!$B:$B,0)),"":""),1,1),"""")"),"")</f>
        <v/>
      </c>
      <c r="F949" t="str">
        <f t="array" ref="F949">IFERROR(INDEX('Daily Raw Data'!H:H,Match($A949,'Daily Raw Data'!$B:$B,0)),"")</f>
        <v/>
      </c>
      <c r="G949" t="str">
        <f t="array" ref="G949">IFERROR(INDEX('Daily Raw Data'!I:I,Match($A949,'Daily Raw Data'!$B:$B,0)),"")</f>
        <v/>
      </c>
      <c r="H949" t="str">
        <f t="array" ref="H949">IFERROR(INDEX('Daily Raw Data'!N:N,Match($A949,'Daily Raw Data'!$B:$B,0)),"")</f>
        <v/>
      </c>
      <c r="I949" t="str">
        <f t="array" ref="I949">IFERROR(INDEX('Daily Raw Data'!O:O,Match($A949,'Daily Raw Data'!$B:$B,0)),"")</f>
        <v/>
      </c>
      <c r="J949" t="str">
        <f t="array" ref="J949">IFERROR(INDEX('Daily Raw Data'!S:S,Match($A949,'Daily Raw Data'!$B:$B,0)),"")</f>
        <v/>
      </c>
      <c r="K949" t="str">
        <f t="array" ref="K949">IFERROR(INDEX('Daily Raw Data'!T:T,Match($A949,'Daily Raw Data'!$B:$B,0)),"")</f>
        <v/>
      </c>
      <c r="L949" t="str">
        <f t="array" ref="L949">IFERROR(INDEX('Daily Raw Data'!U:U,Match($A949,'Daily Raw Data'!$B:$B,0)),"")</f>
        <v/>
      </c>
      <c r="M949" t="str">
        <f t="array" ref="M949">IFERROR(INDEX('Daily Raw Data'!V:V,Match($A949,'Daily Raw Data'!$B:$B,0)),"")</f>
        <v/>
      </c>
      <c r="N949" t="str">
        <f t="array" ref="N949">IFERROR(INDEX('Daily Raw Data'!W:W,Match($A949,'Daily Raw Data'!$B:$B,0)),"")</f>
        <v/>
      </c>
      <c r="O949" t="str">
        <f t="array" ref="O949">IFERROR(INDEX('Daily Raw Data'!Y:Y,Match($A949,'Daily Raw Data'!$B:$B,0)),"")</f>
        <v/>
      </c>
      <c r="P949" t="str">
        <f t="shared" si="1"/>
        <v/>
      </c>
      <c r="Q949" s="14" t="str">
        <f t="shared" si="2"/>
        <v/>
      </c>
      <c r="R949" s="15" t="str">
        <f>IFERROR(__xludf.DUMMYFUNCTION("IF($A949="""","""", IFERROR(PERCENTRANK.INC(FILTER(P:P,$E:$E&lt;&gt;""""),P949)*100,""""))"),"")</f>
        <v/>
      </c>
      <c r="S949" s="15" t="str">
        <f>IFERROR(__xludf.DUMMYFUNCTION("IF($A949="""","""",IFERROR(PERCENTRANK.INC(FILTER(Q:Q,$E:$E&lt;&gt;""""),Q949)*100,""""))"),"")</f>
        <v/>
      </c>
    </row>
    <row r="950">
      <c r="B950" t="str">
        <f t="array" ref="B950">IFERROR(INDEX('Player Raw Data'!C:C,Match($A950,'Player Raw Data'!$B:$B,0)),"")</f>
        <v/>
      </c>
      <c r="C950" t="str">
        <f t="array" ref="C950">IFERROR(INDEX('Player Raw Data'!D:D,Match($A950,'Player Raw Data'!$B:$B,0)),"")</f>
        <v/>
      </c>
      <c r="D950" t="str">
        <f t="array" ref="D950">IFERROR(IF(A950=A949, INDEX('Player Raw Data'!E:E,Match($A950,'Player Raw Data'!$B:$B,0)+2),INDEX('Player Raw Data'!E:E,Match($A950,'Player Raw Data'!$B:$B,0))),"")</f>
        <v/>
      </c>
      <c r="E950" s="27" t="str">
        <f>IFERROR(__xludf.DUMMYFUNCTION("IFERROR(ARRAY_CONSTRAIN(SPLIT(INDEX('Daily Raw Data'!G:G,Match($A950,'Daily Raw Data'!$B:$B,0)),"":""),1,1),"""")"),"")</f>
        <v/>
      </c>
      <c r="F950" t="str">
        <f t="array" ref="F950">IFERROR(INDEX('Daily Raw Data'!H:H,Match($A950,'Daily Raw Data'!$B:$B,0)),"")</f>
        <v/>
      </c>
      <c r="G950" t="str">
        <f t="array" ref="G950">IFERROR(INDEX('Daily Raw Data'!I:I,Match($A950,'Daily Raw Data'!$B:$B,0)),"")</f>
        <v/>
      </c>
      <c r="H950" t="str">
        <f t="array" ref="H950">IFERROR(INDEX('Daily Raw Data'!N:N,Match($A950,'Daily Raw Data'!$B:$B,0)),"")</f>
        <v/>
      </c>
      <c r="I950" t="str">
        <f t="array" ref="I950">IFERROR(INDEX('Daily Raw Data'!O:O,Match($A950,'Daily Raw Data'!$B:$B,0)),"")</f>
        <v/>
      </c>
      <c r="J950" t="str">
        <f t="array" ref="J950">IFERROR(INDEX('Daily Raw Data'!S:S,Match($A950,'Daily Raw Data'!$B:$B,0)),"")</f>
        <v/>
      </c>
      <c r="K950" t="str">
        <f t="array" ref="K950">IFERROR(INDEX('Daily Raw Data'!T:T,Match($A950,'Daily Raw Data'!$B:$B,0)),"")</f>
        <v/>
      </c>
      <c r="L950" t="str">
        <f t="array" ref="L950">IFERROR(INDEX('Daily Raw Data'!U:U,Match($A950,'Daily Raw Data'!$B:$B,0)),"")</f>
        <v/>
      </c>
      <c r="M950" t="str">
        <f t="array" ref="M950">IFERROR(INDEX('Daily Raw Data'!V:V,Match($A950,'Daily Raw Data'!$B:$B,0)),"")</f>
        <v/>
      </c>
      <c r="N950" t="str">
        <f t="array" ref="N950">IFERROR(INDEX('Daily Raw Data'!W:W,Match($A950,'Daily Raw Data'!$B:$B,0)),"")</f>
        <v/>
      </c>
      <c r="O950" t="str">
        <f t="array" ref="O950">IFERROR(INDEX('Daily Raw Data'!Y:Y,Match($A950,'Daily Raw Data'!$B:$B,0)),"")</f>
        <v/>
      </c>
      <c r="P950" t="str">
        <f t="shared" si="1"/>
        <v/>
      </c>
      <c r="Q950" s="14" t="str">
        <f t="shared" si="2"/>
        <v/>
      </c>
      <c r="R950" s="15" t="str">
        <f>IFERROR(__xludf.DUMMYFUNCTION("IF($A950="""","""", IFERROR(PERCENTRANK.INC(FILTER(P:P,$E:$E&lt;&gt;""""),P950)*100,""""))"),"")</f>
        <v/>
      </c>
      <c r="S950" s="15" t="str">
        <f>IFERROR(__xludf.DUMMYFUNCTION("IF($A950="""","""",IFERROR(PERCENTRANK.INC(FILTER(Q:Q,$E:$E&lt;&gt;""""),Q950)*100,""""))"),"")</f>
        <v/>
      </c>
    </row>
    <row r="951">
      <c r="B951" t="str">
        <f t="array" ref="B951">IFERROR(INDEX('Player Raw Data'!C:C,Match($A951,'Player Raw Data'!$B:$B,0)),"")</f>
        <v/>
      </c>
      <c r="C951" t="str">
        <f t="array" ref="C951">IFERROR(INDEX('Player Raw Data'!D:D,Match($A951,'Player Raw Data'!$B:$B,0)),"")</f>
        <v/>
      </c>
      <c r="D951" t="str">
        <f t="array" ref="D951">IFERROR(IF(A951=A950, INDEX('Player Raw Data'!E:E,Match($A951,'Player Raw Data'!$B:$B,0)+2),INDEX('Player Raw Data'!E:E,Match($A951,'Player Raw Data'!$B:$B,0))),"")</f>
        <v/>
      </c>
      <c r="E951" s="27" t="str">
        <f>IFERROR(__xludf.DUMMYFUNCTION("IFERROR(ARRAY_CONSTRAIN(SPLIT(INDEX('Daily Raw Data'!G:G,Match($A951,'Daily Raw Data'!$B:$B,0)),"":""),1,1),"""")"),"")</f>
        <v/>
      </c>
      <c r="F951" t="str">
        <f t="array" ref="F951">IFERROR(INDEX('Daily Raw Data'!H:H,Match($A951,'Daily Raw Data'!$B:$B,0)),"")</f>
        <v/>
      </c>
      <c r="G951" t="str">
        <f t="array" ref="G951">IFERROR(INDEX('Daily Raw Data'!I:I,Match($A951,'Daily Raw Data'!$B:$B,0)),"")</f>
        <v/>
      </c>
      <c r="H951" t="str">
        <f t="array" ref="H951">IFERROR(INDEX('Daily Raw Data'!N:N,Match($A951,'Daily Raw Data'!$B:$B,0)),"")</f>
        <v/>
      </c>
      <c r="I951" t="str">
        <f t="array" ref="I951">IFERROR(INDEX('Daily Raw Data'!O:O,Match($A951,'Daily Raw Data'!$B:$B,0)),"")</f>
        <v/>
      </c>
      <c r="J951" t="str">
        <f t="array" ref="J951">IFERROR(INDEX('Daily Raw Data'!S:S,Match($A951,'Daily Raw Data'!$B:$B,0)),"")</f>
        <v/>
      </c>
      <c r="K951" t="str">
        <f t="array" ref="K951">IFERROR(INDEX('Daily Raw Data'!T:T,Match($A951,'Daily Raw Data'!$B:$B,0)),"")</f>
        <v/>
      </c>
      <c r="L951" t="str">
        <f t="array" ref="L951">IFERROR(INDEX('Daily Raw Data'!U:U,Match($A951,'Daily Raw Data'!$B:$B,0)),"")</f>
        <v/>
      </c>
      <c r="M951" t="str">
        <f t="array" ref="M951">IFERROR(INDEX('Daily Raw Data'!V:V,Match($A951,'Daily Raw Data'!$B:$B,0)),"")</f>
        <v/>
      </c>
      <c r="N951" t="str">
        <f t="array" ref="N951">IFERROR(INDEX('Daily Raw Data'!W:W,Match($A951,'Daily Raw Data'!$B:$B,0)),"")</f>
        <v/>
      </c>
      <c r="O951" t="str">
        <f t="array" ref="O951">IFERROR(INDEX('Daily Raw Data'!Y:Y,Match($A951,'Daily Raw Data'!$B:$B,0)),"")</f>
        <v/>
      </c>
      <c r="P951" t="str">
        <f t="shared" si="1"/>
        <v/>
      </c>
      <c r="Q951" s="14" t="str">
        <f t="shared" si="2"/>
        <v/>
      </c>
      <c r="R951" s="15" t="str">
        <f>IFERROR(__xludf.DUMMYFUNCTION("IF($A951="""","""", IFERROR(PERCENTRANK.INC(FILTER(P:P,$E:$E&lt;&gt;""""),P951)*100,""""))"),"")</f>
        <v/>
      </c>
      <c r="S951" s="15" t="str">
        <f>IFERROR(__xludf.DUMMYFUNCTION("IF($A951="""","""",IFERROR(PERCENTRANK.INC(FILTER(Q:Q,$E:$E&lt;&gt;""""),Q951)*100,""""))"),"")</f>
        <v/>
      </c>
    </row>
    <row r="952">
      <c r="B952" t="str">
        <f t="array" ref="B952">IFERROR(INDEX('Player Raw Data'!C:C,Match($A952,'Player Raw Data'!$B:$B,0)),"")</f>
        <v/>
      </c>
      <c r="C952" t="str">
        <f t="array" ref="C952">IFERROR(INDEX('Player Raw Data'!D:D,Match($A952,'Player Raw Data'!$B:$B,0)),"")</f>
        <v/>
      </c>
      <c r="D952" t="str">
        <f t="array" ref="D952">IFERROR(IF(A952=A951, INDEX('Player Raw Data'!E:E,Match($A952,'Player Raw Data'!$B:$B,0)+2),INDEX('Player Raw Data'!E:E,Match($A952,'Player Raw Data'!$B:$B,0))),"")</f>
        <v/>
      </c>
      <c r="E952" s="27" t="str">
        <f>IFERROR(__xludf.DUMMYFUNCTION("IFERROR(ARRAY_CONSTRAIN(SPLIT(INDEX('Daily Raw Data'!G:G,Match($A952,'Daily Raw Data'!$B:$B,0)),"":""),1,1),"""")"),"")</f>
        <v/>
      </c>
      <c r="F952" t="str">
        <f t="array" ref="F952">IFERROR(INDEX('Daily Raw Data'!H:H,Match($A952,'Daily Raw Data'!$B:$B,0)),"")</f>
        <v/>
      </c>
      <c r="G952" t="str">
        <f t="array" ref="G952">IFERROR(INDEX('Daily Raw Data'!I:I,Match($A952,'Daily Raw Data'!$B:$B,0)),"")</f>
        <v/>
      </c>
      <c r="H952" t="str">
        <f t="array" ref="H952">IFERROR(INDEX('Daily Raw Data'!N:N,Match($A952,'Daily Raw Data'!$B:$B,0)),"")</f>
        <v/>
      </c>
      <c r="I952" t="str">
        <f t="array" ref="I952">IFERROR(INDEX('Daily Raw Data'!O:O,Match($A952,'Daily Raw Data'!$B:$B,0)),"")</f>
        <v/>
      </c>
      <c r="J952" t="str">
        <f t="array" ref="J952">IFERROR(INDEX('Daily Raw Data'!S:S,Match($A952,'Daily Raw Data'!$B:$B,0)),"")</f>
        <v/>
      </c>
      <c r="K952" t="str">
        <f t="array" ref="K952">IFERROR(INDEX('Daily Raw Data'!T:T,Match($A952,'Daily Raw Data'!$B:$B,0)),"")</f>
        <v/>
      </c>
      <c r="L952" t="str">
        <f t="array" ref="L952">IFERROR(INDEX('Daily Raw Data'!U:U,Match($A952,'Daily Raw Data'!$B:$B,0)),"")</f>
        <v/>
      </c>
      <c r="M952" t="str">
        <f t="array" ref="M952">IFERROR(INDEX('Daily Raw Data'!V:V,Match($A952,'Daily Raw Data'!$B:$B,0)),"")</f>
        <v/>
      </c>
      <c r="N952" t="str">
        <f t="array" ref="N952">IFERROR(INDEX('Daily Raw Data'!W:W,Match($A952,'Daily Raw Data'!$B:$B,0)),"")</f>
        <v/>
      </c>
      <c r="O952" t="str">
        <f t="array" ref="O952">IFERROR(INDEX('Daily Raw Data'!Y:Y,Match($A952,'Daily Raw Data'!$B:$B,0)),"")</f>
        <v/>
      </c>
      <c r="P952" t="str">
        <f t="shared" si="1"/>
        <v/>
      </c>
      <c r="Q952" s="14" t="str">
        <f t="shared" si="2"/>
        <v/>
      </c>
      <c r="R952" s="15" t="str">
        <f>IFERROR(__xludf.DUMMYFUNCTION("IF($A952="""","""", IFERROR(PERCENTRANK.INC(FILTER(P:P,$E:$E&lt;&gt;""""),P952)*100,""""))"),"")</f>
        <v/>
      </c>
      <c r="S952" s="15" t="str">
        <f>IFERROR(__xludf.DUMMYFUNCTION("IF($A952="""","""",IFERROR(PERCENTRANK.INC(FILTER(Q:Q,$E:$E&lt;&gt;""""),Q952)*100,""""))"),"")</f>
        <v/>
      </c>
    </row>
    <row r="953">
      <c r="B953" t="str">
        <f t="array" ref="B953">IFERROR(INDEX('Player Raw Data'!C:C,Match($A953,'Player Raw Data'!$B:$B,0)),"")</f>
        <v/>
      </c>
      <c r="C953" t="str">
        <f t="array" ref="C953">IFERROR(INDEX('Player Raw Data'!D:D,Match($A953,'Player Raw Data'!$B:$B,0)),"")</f>
        <v/>
      </c>
      <c r="D953" t="str">
        <f t="array" ref="D953">IFERROR(IF(A953=A952, INDEX('Player Raw Data'!E:E,Match($A953,'Player Raw Data'!$B:$B,0)+2),INDEX('Player Raw Data'!E:E,Match($A953,'Player Raw Data'!$B:$B,0))),"")</f>
        <v/>
      </c>
      <c r="E953" s="27" t="str">
        <f>IFERROR(__xludf.DUMMYFUNCTION("IFERROR(ARRAY_CONSTRAIN(SPLIT(INDEX('Daily Raw Data'!G:G,Match($A953,'Daily Raw Data'!$B:$B,0)),"":""),1,1),"""")"),"")</f>
        <v/>
      </c>
      <c r="F953" t="str">
        <f t="array" ref="F953">IFERROR(INDEX('Daily Raw Data'!H:H,Match($A953,'Daily Raw Data'!$B:$B,0)),"")</f>
        <v/>
      </c>
      <c r="G953" t="str">
        <f t="array" ref="G953">IFERROR(INDEX('Daily Raw Data'!I:I,Match($A953,'Daily Raw Data'!$B:$B,0)),"")</f>
        <v/>
      </c>
      <c r="H953" t="str">
        <f t="array" ref="H953">IFERROR(INDEX('Daily Raw Data'!N:N,Match($A953,'Daily Raw Data'!$B:$B,0)),"")</f>
        <v/>
      </c>
      <c r="I953" t="str">
        <f t="array" ref="I953">IFERROR(INDEX('Daily Raw Data'!O:O,Match($A953,'Daily Raw Data'!$B:$B,0)),"")</f>
        <v/>
      </c>
      <c r="J953" t="str">
        <f t="array" ref="J953">IFERROR(INDEX('Daily Raw Data'!S:S,Match($A953,'Daily Raw Data'!$B:$B,0)),"")</f>
        <v/>
      </c>
      <c r="K953" t="str">
        <f t="array" ref="K953">IFERROR(INDEX('Daily Raw Data'!T:T,Match($A953,'Daily Raw Data'!$B:$B,0)),"")</f>
        <v/>
      </c>
      <c r="L953" t="str">
        <f t="array" ref="L953">IFERROR(INDEX('Daily Raw Data'!U:U,Match($A953,'Daily Raw Data'!$B:$B,0)),"")</f>
        <v/>
      </c>
      <c r="M953" t="str">
        <f t="array" ref="M953">IFERROR(INDEX('Daily Raw Data'!V:V,Match($A953,'Daily Raw Data'!$B:$B,0)),"")</f>
        <v/>
      </c>
      <c r="N953" t="str">
        <f t="array" ref="N953">IFERROR(INDEX('Daily Raw Data'!W:W,Match($A953,'Daily Raw Data'!$B:$B,0)),"")</f>
        <v/>
      </c>
      <c r="O953" t="str">
        <f t="array" ref="O953">IFERROR(INDEX('Daily Raw Data'!Y:Y,Match($A953,'Daily Raw Data'!$B:$B,0)),"")</f>
        <v/>
      </c>
      <c r="P953" t="str">
        <f t="shared" si="1"/>
        <v/>
      </c>
      <c r="Q953" s="14" t="str">
        <f t="shared" si="2"/>
        <v/>
      </c>
      <c r="R953" s="15" t="str">
        <f>IFERROR(__xludf.DUMMYFUNCTION("IF($A953="""","""", IFERROR(PERCENTRANK.INC(FILTER(P:P,$E:$E&lt;&gt;""""),P953)*100,""""))"),"")</f>
        <v/>
      </c>
      <c r="S953" s="15" t="str">
        <f>IFERROR(__xludf.DUMMYFUNCTION("IF($A953="""","""",IFERROR(PERCENTRANK.INC(FILTER(Q:Q,$E:$E&lt;&gt;""""),Q953)*100,""""))"),"")</f>
        <v/>
      </c>
    </row>
    <row r="954">
      <c r="B954" t="str">
        <f t="array" ref="B954">IFERROR(INDEX('Player Raw Data'!C:C,Match($A954,'Player Raw Data'!$B:$B,0)),"")</f>
        <v/>
      </c>
      <c r="C954" t="str">
        <f t="array" ref="C954">IFERROR(INDEX('Player Raw Data'!D:D,Match($A954,'Player Raw Data'!$B:$B,0)),"")</f>
        <v/>
      </c>
      <c r="D954" t="str">
        <f t="array" ref="D954">IFERROR(IF(A954=A953, INDEX('Player Raw Data'!E:E,Match($A954,'Player Raw Data'!$B:$B,0)+2),INDEX('Player Raw Data'!E:E,Match($A954,'Player Raw Data'!$B:$B,0))),"")</f>
        <v/>
      </c>
      <c r="E954" s="27" t="str">
        <f>IFERROR(__xludf.DUMMYFUNCTION("IFERROR(ARRAY_CONSTRAIN(SPLIT(INDEX('Daily Raw Data'!G:G,Match($A954,'Daily Raw Data'!$B:$B,0)),"":""),1,1),"""")"),"")</f>
        <v/>
      </c>
      <c r="F954" t="str">
        <f t="array" ref="F954">IFERROR(INDEX('Daily Raw Data'!H:H,Match($A954,'Daily Raw Data'!$B:$B,0)),"")</f>
        <v/>
      </c>
      <c r="G954" t="str">
        <f t="array" ref="G954">IFERROR(INDEX('Daily Raw Data'!I:I,Match($A954,'Daily Raw Data'!$B:$B,0)),"")</f>
        <v/>
      </c>
      <c r="H954" t="str">
        <f t="array" ref="H954">IFERROR(INDEX('Daily Raw Data'!N:N,Match($A954,'Daily Raw Data'!$B:$B,0)),"")</f>
        <v/>
      </c>
      <c r="I954" t="str">
        <f t="array" ref="I954">IFERROR(INDEX('Daily Raw Data'!O:O,Match($A954,'Daily Raw Data'!$B:$B,0)),"")</f>
        <v/>
      </c>
      <c r="J954" t="str">
        <f t="array" ref="J954">IFERROR(INDEX('Daily Raw Data'!S:S,Match($A954,'Daily Raw Data'!$B:$B,0)),"")</f>
        <v/>
      </c>
      <c r="K954" t="str">
        <f t="array" ref="K954">IFERROR(INDEX('Daily Raw Data'!T:T,Match($A954,'Daily Raw Data'!$B:$B,0)),"")</f>
        <v/>
      </c>
      <c r="L954" t="str">
        <f t="array" ref="L954">IFERROR(INDEX('Daily Raw Data'!U:U,Match($A954,'Daily Raw Data'!$B:$B,0)),"")</f>
        <v/>
      </c>
      <c r="M954" t="str">
        <f t="array" ref="M954">IFERROR(INDEX('Daily Raw Data'!V:V,Match($A954,'Daily Raw Data'!$B:$B,0)),"")</f>
        <v/>
      </c>
      <c r="N954" t="str">
        <f t="array" ref="N954">IFERROR(INDEX('Daily Raw Data'!W:W,Match($A954,'Daily Raw Data'!$B:$B,0)),"")</f>
        <v/>
      </c>
      <c r="O954" t="str">
        <f t="array" ref="O954">IFERROR(INDEX('Daily Raw Data'!Y:Y,Match($A954,'Daily Raw Data'!$B:$B,0)),"")</f>
        <v/>
      </c>
      <c r="P954" t="str">
        <f t="shared" si="1"/>
        <v/>
      </c>
      <c r="Q954" s="14" t="str">
        <f t="shared" si="2"/>
        <v/>
      </c>
      <c r="R954" s="15" t="str">
        <f>IFERROR(__xludf.DUMMYFUNCTION("IF($A954="""","""", IFERROR(PERCENTRANK.INC(FILTER(P:P,$E:$E&lt;&gt;""""),P954)*100,""""))"),"")</f>
        <v/>
      </c>
      <c r="S954" s="15" t="str">
        <f>IFERROR(__xludf.DUMMYFUNCTION("IF($A954="""","""",IFERROR(PERCENTRANK.INC(FILTER(Q:Q,$E:$E&lt;&gt;""""),Q954)*100,""""))"),"")</f>
        <v/>
      </c>
    </row>
    <row r="955">
      <c r="B955" t="str">
        <f t="array" ref="B955">IFERROR(INDEX('Player Raw Data'!C:C,Match($A955,'Player Raw Data'!$B:$B,0)),"")</f>
        <v/>
      </c>
      <c r="C955" t="str">
        <f t="array" ref="C955">IFERROR(INDEX('Player Raw Data'!D:D,Match($A955,'Player Raw Data'!$B:$B,0)),"")</f>
        <v/>
      </c>
      <c r="D955" t="str">
        <f t="array" ref="D955">IFERROR(IF(A955=A954, INDEX('Player Raw Data'!E:E,Match($A955,'Player Raw Data'!$B:$B,0)+2),INDEX('Player Raw Data'!E:E,Match($A955,'Player Raw Data'!$B:$B,0))),"")</f>
        <v/>
      </c>
      <c r="E955" s="27" t="str">
        <f>IFERROR(__xludf.DUMMYFUNCTION("IFERROR(ARRAY_CONSTRAIN(SPLIT(INDEX('Daily Raw Data'!G:G,Match($A955,'Daily Raw Data'!$B:$B,0)),"":""),1,1),"""")"),"")</f>
        <v/>
      </c>
      <c r="F955" t="str">
        <f t="array" ref="F955">IFERROR(INDEX('Daily Raw Data'!H:H,Match($A955,'Daily Raw Data'!$B:$B,0)),"")</f>
        <v/>
      </c>
      <c r="G955" t="str">
        <f t="array" ref="G955">IFERROR(INDEX('Daily Raw Data'!I:I,Match($A955,'Daily Raw Data'!$B:$B,0)),"")</f>
        <v/>
      </c>
      <c r="H955" t="str">
        <f t="array" ref="H955">IFERROR(INDEX('Daily Raw Data'!N:N,Match($A955,'Daily Raw Data'!$B:$B,0)),"")</f>
        <v/>
      </c>
      <c r="I955" t="str">
        <f t="array" ref="I955">IFERROR(INDEX('Daily Raw Data'!O:O,Match($A955,'Daily Raw Data'!$B:$B,0)),"")</f>
        <v/>
      </c>
      <c r="J955" t="str">
        <f t="array" ref="J955">IFERROR(INDEX('Daily Raw Data'!S:S,Match($A955,'Daily Raw Data'!$B:$B,0)),"")</f>
        <v/>
      </c>
      <c r="K955" t="str">
        <f t="array" ref="K955">IFERROR(INDEX('Daily Raw Data'!T:T,Match($A955,'Daily Raw Data'!$B:$B,0)),"")</f>
        <v/>
      </c>
      <c r="L955" t="str">
        <f t="array" ref="L955">IFERROR(INDEX('Daily Raw Data'!U:U,Match($A955,'Daily Raw Data'!$B:$B,0)),"")</f>
        <v/>
      </c>
      <c r="M955" t="str">
        <f t="array" ref="M955">IFERROR(INDEX('Daily Raw Data'!V:V,Match($A955,'Daily Raw Data'!$B:$B,0)),"")</f>
        <v/>
      </c>
      <c r="N955" t="str">
        <f t="array" ref="N955">IFERROR(INDEX('Daily Raw Data'!W:W,Match($A955,'Daily Raw Data'!$B:$B,0)),"")</f>
        <v/>
      </c>
      <c r="O955" t="str">
        <f t="array" ref="O955">IFERROR(INDEX('Daily Raw Data'!Y:Y,Match($A955,'Daily Raw Data'!$B:$B,0)),"")</f>
        <v/>
      </c>
      <c r="P955" t="str">
        <f t="shared" si="1"/>
        <v/>
      </c>
      <c r="Q955" s="14" t="str">
        <f t="shared" si="2"/>
        <v/>
      </c>
      <c r="R955" s="15" t="str">
        <f>IFERROR(__xludf.DUMMYFUNCTION("IF($A955="""","""", IFERROR(PERCENTRANK.INC(FILTER(P:P,$E:$E&lt;&gt;""""),P955)*100,""""))"),"")</f>
        <v/>
      </c>
      <c r="S955" s="15" t="str">
        <f>IFERROR(__xludf.DUMMYFUNCTION("IF($A955="""","""",IFERROR(PERCENTRANK.INC(FILTER(Q:Q,$E:$E&lt;&gt;""""),Q955)*100,""""))"),"")</f>
        <v/>
      </c>
    </row>
    <row r="956">
      <c r="B956" t="str">
        <f t="array" ref="B956">IFERROR(INDEX('Player Raw Data'!C:C,Match($A956,'Player Raw Data'!$B:$B,0)),"")</f>
        <v/>
      </c>
      <c r="C956" t="str">
        <f t="array" ref="C956">IFERROR(INDEX('Player Raw Data'!D:D,Match($A956,'Player Raw Data'!$B:$B,0)),"")</f>
        <v/>
      </c>
      <c r="D956" t="str">
        <f t="array" ref="D956">IFERROR(IF(A956=A955, INDEX('Player Raw Data'!E:E,Match($A956,'Player Raw Data'!$B:$B,0)+2),INDEX('Player Raw Data'!E:E,Match($A956,'Player Raw Data'!$B:$B,0))),"")</f>
        <v/>
      </c>
      <c r="E956" s="27" t="str">
        <f>IFERROR(__xludf.DUMMYFUNCTION("IFERROR(ARRAY_CONSTRAIN(SPLIT(INDEX('Daily Raw Data'!G:G,Match($A956,'Daily Raw Data'!$B:$B,0)),"":""),1,1),"""")"),"")</f>
        <v/>
      </c>
      <c r="F956" t="str">
        <f t="array" ref="F956">IFERROR(INDEX('Daily Raw Data'!H:H,Match($A956,'Daily Raw Data'!$B:$B,0)),"")</f>
        <v/>
      </c>
      <c r="G956" t="str">
        <f t="array" ref="G956">IFERROR(INDEX('Daily Raw Data'!I:I,Match($A956,'Daily Raw Data'!$B:$B,0)),"")</f>
        <v/>
      </c>
      <c r="H956" t="str">
        <f t="array" ref="H956">IFERROR(INDEX('Daily Raw Data'!N:N,Match($A956,'Daily Raw Data'!$B:$B,0)),"")</f>
        <v/>
      </c>
      <c r="I956" t="str">
        <f t="array" ref="I956">IFERROR(INDEX('Daily Raw Data'!O:O,Match($A956,'Daily Raw Data'!$B:$B,0)),"")</f>
        <v/>
      </c>
      <c r="J956" t="str">
        <f t="array" ref="J956">IFERROR(INDEX('Daily Raw Data'!S:S,Match($A956,'Daily Raw Data'!$B:$B,0)),"")</f>
        <v/>
      </c>
      <c r="K956" t="str">
        <f t="array" ref="K956">IFERROR(INDEX('Daily Raw Data'!T:T,Match($A956,'Daily Raw Data'!$B:$B,0)),"")</f>
        <v/>
      </c>
      <c r="L956" t="str">
        <f t="array" ref="L956">IFERROR(INDEX('Daily Raw Data'!U:U,Match($A956,'Daily Raw Data'!$B:$B,0)),"")</f>
        <v/>
      </c>
      <c r="M956" t="str">
        <f t="array" ref="M956">IFERROR(INDEX('Daily Raw Data'!V:V,Match($A956,'Daily Raw Data'!$B:$B,0)),"")</f>
        <v/>
      </c>
      <c r="N956" t="str">
        <f t="array" ref="N956">IFERROR(INDEX('Daily Raw Data'!W:W,Match($A956,'Daily Raw Data'!$B:$B,0)),"")</f>
        <v/>
      </c>
      <c r="O956" t="str">
        <f t="array" ref="O956">IFERROR(INDEX('Daily Raw Data'!Y:Y,Match($A956,'Daily Raw Data'!$B:$B,0)),"")</f>
        <v/>
      </c>
      <c r="P956" t="str">
        <f t="shared" si="1"/>
        <v/>
      </c>
      <c r="Q956" s="14" t="str">
        <f t="shared" si="2"/>
        <v/>
      </c>
      <c r="R956" s="15" t="str">
        <f>IFERROR(__xludf.DUMMYFUNCTION("IF($A956="""","""", IFERROR(PERCENTRANK.INC(FILTER(P:P,$E:$E&lt;&gt;""""),P956)*100,""""))"),"")</f>
        <v/>
      </c>
      <c r="S956" s="15" t="str">
        <f>IFERROR(__xludf.DUMMYFUNCTION("IF($A956="""","""",IFERROR(PERCENTRANK.INC(FILTER(Q:Q,$E:$E&lt;&gt;""""),Q956)*100,""""))"),"")</f>
        <v/>
      </c>
    </row>
    <row r="957">
      <c r="B957" t="str">
        <f t="array" ref="B957">IFERROR(INDEX('Player Raw Data'!C:C,Match($A957,'Player Raw Data'!$B:$B,0)),"")</f>
        <v/>
      </c>
      <c r="C957" t="str">
        <f t="array" ref="C957">IFERROR(INDEX('Player Raw Data'!D:D,Match($A957,'Player Raw Data'!$B:$B,0)),"")</f>
        <v/>
      </c>
      <c r="D957" t="str">
        <f t="array" ref="D957">IFERROR(IF(A957=A956, INDEX('Player Raw Data'!E:E,Match($A957,'Player Raw Data'!$B:$B,0)+2),INDEX('Player Raw Data'!E:E,Match($A957,'Player Raw Data'!$B:$B,0))),"")</f>
        <v/>
      </c>
      <c r="E957" s="27" t="str">
        <f>IFERROR(__xludf.DUMMYFUNCTION("IFERROR(ARRAY_CONSTRAIN(SPLIT(INDEX('Daily Raw Data'!G:G,Match($A957,'Daily Raw Data'!$B:$B,0)),"":""),1,1),"""")"),"")</f>
        <v/>
      </c>
      <c r="F957" t="str">
        <f t="array" ref="F957">IFERROR(INDEX('Daily Raw Data'!H:H,Match($A957,'Daily Raw Data'!$B:$B,0)),"")</f>
        <v/>
      </c>
      <c r="G957" t="str">
        <f t="array" ref="G957">IFERROR(INDEX('Daily Raw Data'!I:I,Match($A957,'Daily Raw Data'!$B:$B,0)),"")</f>
        <v/>
      </c>
      <c r="H957" t="str">
        <f t="array" ref="H957">IFERROR(INDEX('Daily Raw Data'!N:N,Match($A957,'Daily Raw Data'!$B:$B,0)),"")</f>
        <v/>
      </c>
      <c r="I957" t="str">
        <f t="array" ref="I957">IFERROR(INDEX('Daily Raw Data'!O:O,Match($A957,'Daily Raw Data'!$B:$B,0)),"")</f>
        <v/>
      </c>
      <c r="J957" t="str">
        <f t="array" ref="J957">IFERROR(INDEX('Daily Raw Data'!S:S,Match($A957,'Daily Raw Data'!$B:$B,0)),"")</f>
        <v/>
      </c>
      <c r="K957" t="str">
        <f t="array" ref="K957">IFERROR(INDEX('Daily Raw Data'!T:T,Match($A957,'Daily Raw Data'!$B:$B,0)),"")</f>
        <v/>
      </c>
      <c r="L957" t="str">
        <f t="array" ref="L957">IFERROR(INDEX('Daily Raw Data'!U:U,Match($A957,'Daily Raw Data'!$B:$B,0)),"")</f>
        <v/>
      </c>
      <c r="M957" t="str">
        <f t="array" ref="M957">IFERROR(INDEX('Daily Raw Data'!V:V,Match($A957,'Daily Raw Data'!$B:$B,0)),"")</f>
        <v/>
      </c>
      <c r="N957" t="str">
        <f t="array" ref="N957">IFERROR(INDEX('Daily Raw Data'!W:W,Match($A957,'Daily Raw Data'!$B:$B,0)),"")</f>
        <v/>
      </c>
      <c r="O957" t="str">
        <f t="array" ref="O957">IFERROR(INDEX('Daily Raw Data'!Y:Y,Match($A957,'Daily Raw Data'!$B:$B,0)),"")</f>
        <v/>
      </c>
      <c r="P957" t="str">
        <f t="shared" si="1"/>
        <v/>
      </c>
      <c r="Q957" s="14" t="str">
        <f t="shared" si="2"/>
        <v/>
      </c>
      <c r="R957" s="15" t="str">
        <f>IFERROR(__xludf.DUMMYFUNCTION("IF($A957="""","""", IFERROR(PERCENTRANK.INC(FILTER(P:P,$E:$E&lt;&gt;""""),P957)*100,""""))"),"")</f>
        <v/>
      </c>
      <c r="S957" s="15" t="str">
        <f>IFERROR(__xludf.DUMMYFUNCTION("IF($A957="""","""",IFERROR(PERCENTRANK.INC(FILTER(Q:Q,$E:$E&lt;&gt;""""),Q957)*100,""""))"),"")</f>
        <v/>
      </c>
    </row>
    <row r="958">
      <c r="B958" t="str">
        <f t="array" ref="B958">IFERROR(INDEX('Player Raw Data'!C:C,Match($A958,'Player Raw Data'!$B:$B,0)),"")</f>
        <v/>
      </c>
      <c r="C958" t="str">
        <f t="array" ref="C958">IFERROR(INDEX('Player Raw Data'!D:D,Match($A958,'Player Raw Data'!$B:$B,0)),"")</f>
        <v/>
      </c>
      <c r="D958" t="str">
        <f t="array" ref="D958">IFERROR(IF(A958=A957, INDEX('Player Raw Data'!E:E,Match($A958,'Player Raw Data'!$B:$B,0)+2),INDEX('Player Raw Data'!E:E,Match($A958,'Player Raw Data'!$B:$B,0))),"")</f>
        <v/>
      </c>
      <c r="E958" s="27" t="str">
        <f>IFERROR(__xludf.DUMMYFUNCTION("IFERROR(ARRAY_CONSTRAIN(SPLIT(INDEX('Daily Raw Data'!G:G,Match($A958,'Daily Raw Data'!$B:$B,0)),"":""),1,1),"""")"),"")</f>
        <v/>
      </c>
      <c r="F958" t="str">
        <f t="array" ref="F958">IFERROR(INDEX('Daily Raw Data'!H:H,Match($A958,'Daily Raw Data'!$B:$B,0)),"")</f>
        <v/>
      </c>
      <c r="G958" t="str">
        <f t="array" ref="G958">IFERROR(INDEX('Daily Raw Data'!I:I,Match($A958,'Daily Raw Data'!$B:$B,0)),"")</f>
        <v/>
      </c>
      <c r="H958" t="str">
        <f t="array" ref="H958">IFERROR(INDEX('Daily Raw Data'!N:N,Match($A958,'Daily Raw Data'!$B:$B,0)),"")</f>
        <v/>
      </c>
      <c r="I958" t="str">
        <f t="array" ref="I958">IFERROR(INDEX('Daily Raw Data'!O:O,Match($A958,'Daily Raw Data'!$B:$B,0)),"")</f>
        <v/>
      </c>
      <c r="J958" t="str">
        <f t="array" ref="J958">IFERROR(INDEX('Daily Raw Data'!S:S,Match($A958,'Daily Raw Data'!$B:$B,0)),"")</f>
        <v/>
      </c>
      <c r="K958" t="str">
        <f t="array" ref="K958">IFERROR(INDEX('Daily Raw Data'!T:T,Match($A958,'Daily Raw Data'!$B:$B,0)),"")</f>
        <v/>
      </c>
      <c r="L958" t="str">
        <f t="array" ref="L958">IFERROR(INDEX('Daily Raw Data'!U:U,Match($A958,'Daily Raw Data'!$B:$B,0)),"")</f>
        <v/>
      </c>
      <c r="M958" t="str">
        <f t="array" ref="M958">IFERROR(INDEX('Daily Raw Data'!V:V,Match($A958,'Daily Raw Data'!$B:$B,0)),"")</f>
        <v/>
      </c>
      <c r="N958" t="str">
        <f t="array" ref="N958">IFERROR(INDEX('Daily Raw Data'!W:W,Match($A958,'Daily Raw Data'!$B:$B,0)),"")</f>
        <v/>
      </c>
      <c r="O958" t="str">
        <f t="array" ref="O958">IFERROR(INDEX('Daily Raw Data'!Y:Y,Match($A958,'Daily Raw Data'!$B:$B,0)),"")</f>
        <v/>
      </c>
      <c r="P958" t="str">
        <f t="shared" si="1"/>
        <v/>
      </c>
      <c r="Q958" s="14" t="str">
        <f t="shared" si="2"/>
        <v/>
      </c>
      <c r="R958" s="15" t="str">
        <f>IFERROR(__xludf.DUMMYFUNCTION("IF($A958="""","""", IFERROR(PERCENTRANK.INC(FILTER(P:P,$E:$E&lt;&gt;""""),P958)*100,""""))"),"")</f>
        <v/>
      </c>
      <c r="S958" s="15" t="str">
        <f>IFERROR(__xludf.DUMMYFUNCTION("IF($A958="""","""",IFERROR(PERCENTRANK.INC(FILTER(Q:Q,$E:$E&lt;&gt;""""),Q958)*100,""""))"),"")</f>
        <v/>
      </c>
    </row>
    <row r="959">
      <c r="B959" t="str">
        <f t="array" ref="B959">IFERROR(INDEX('Player Raw Data'!C:C,Match($A959,'Player Raw Data'!$B:$B,0)),"")</f>
        <v/>
      </c>
      <c r="C959" t="str">
        <f t="array" ref="C959">IFERROR(INDEX('Player Raw Data'!D:D,Match($A959,'Player Raw Data'!$B:$B,0)),"")</f>
        <v/>
      </c>
      <c r="D959" t="str">
        <f t="array" ref="D959">IFERROR(IF(A959=A958, INDEX('Player Raw Data'!E:E,Match($A959,'Player Raw Data'!$B:$B,0)+2),INDEX('Player Raw Data'!E:E,Match($A959,'Player Raw Data'!$B:$B,0))),"")</f>
        <v/>
      </c>
      <c r="E959" s="27" t="str">
        <f>IFERROR(__xludf.DUMMYFUNCTION("IFERROR(ARRAY_CONSTRAIN(SPLIT(INDEX('Daily Raw Data'!G:G,Match($A959,'Daily Raw Data'!$B:$B,0)),"":""),1,1),"""")"),"")</f>
        <v/>
      </c>
      <c r="F959" t="str">
        <f t="array" ref="F959">IFERROR(INDEX('Daily Raw Data'!H:H,Match($A959,'Daily Raw Data'!$B:$B,0)),"")</f>
        <v/>
      </c>
      <c r="G959" t="str">
        <f t="array" ref="G959">IFERROR(INDEX('Daily Raw Data'!I:I,Match($A959,'Daily Raw Data'!$B:$B,0)),"")</f>
        <v/>
      </c>
      <c r="H959" t="str">
        <f t="array" ref="H959">IFERROR(INDEX('Daily Raw Data'!N:N,Match($A959,'Daily Raw Data'!$B:$B,0)),"")</f>
        <v/>
      </c>
      <c r="I959" t="str">
        <f t="array" ref="I959">IFERROR(INDEX('Daily Raw Data'!O:O,Match($A959,'Daily Raw Data'!$B:$B,0)),"")</f>
        <v/>
      </c>
      <c r="J959" t="str">
        <f t="array" ref="J959">IFERROR(INDEX('Daily Raw Data'!S:S,Match($A959,'Daily Raw Data'!$B:$B,0)),"")</f>
        <v/>
      </c>
      <c r="K959" t="str">
        <f t="array" ref="K959">IFERROR(INDEX('Daily Raw Data'!T:T,Match($A959,'Daily Raw Data'!$B:$B,0)),"")</f>
        <v/>
      </c>
      <c r="L959" t="str">
        <f t="array" ref="L959">IFERROR(INDEX('Daily Raw Data'!U:U,Match($A959,'Daily Raw Data'!$B:$B,0)),"")</f>
        <v/>
      </c>
      <c r="M959" t="str">
        <f t="array" ref="M959">IFERROR(INDEX('Daily Raw Data'!V:V,Match($A959,'Daily Raw Data'!$B:$B,0)),"")</f>
        <v/>
      </c>
      <c r="N959" t="str">
        <f t="array" ref="N959">IFERROR(INDEX('Daily Raw Data'!W:W,Match($A959,'Daily Raw Data'!$B:$B,0)),"")</f>
        <v/>
      </c>
      <c r="O959" t="str">
        <f t="array" ref="O959">IFERROR(INDEX('Daily Raw Data'!Y:Y,Match($A959,'Daily Raw Data'!$B:$B,0)),"")</f>
        <v/>
      </c>
      <c r="P959" t="str">
        <f t="shared" si="1"/>
        <v/>
      </c>
      <c r="Q959" s="14" t="str">
        <f t="shared" si="2"/>
        <v/>
      </c>
      <c r="R959" s="15" t="str">
        <f>IFERROR(__xludf.DUMMYFUNCTION("IF($A959="""","""", IFERROR(PERCENTRANK.INC(FILTER(P:P,$E:$E&lt;&gt;""""),P959)*100,""""))"),"")</f>
        <v/>
      </c>
      <c r="S959" s="15" t="str">
        <f>IFERROR(__xludf.DUMMYFUNCTION("IF($A959="""","""",IFERROR(PERCENTRANK.INC(FILTER(Q:Q,$E:$E&lt;&gt;""""),Q959)*100,""""))"),"")</f>
        <v/>
      </c>
    </row>
    <row r="960">
      <c r="B960" t="str">
        <f t="array" ref="B960">IFERROR(INDEX('Player Raw Data'!C:C,Match($A960,'Player Raw Data'!$B:$B,0)),"")</f>
        <v/>
      </c>
      <c r="C960" t="str">
        <f t="array" ref="C960">IFERROR(INDEX('Player Raw Data'!D:D,Match($A960,'Player Raw Data'!$B:$B,0)),"")</f>
        <v/>
      </c>
      <c r="D960" t="str">
        <f t="array" ref="D960">IFERROR(IF(A960=A959, INDEX('Player Raw Data'!E:E,Match($A960,'Player Raw Data'!$B:$B,0)+2),INDEX('Player Raw Data'!E:E,Match($A960,'Player Raw Data'!$B:$B,0))),"")</f>
        <v/>
      </c>
      <c r="E960" s="27" t="str">
        <f>IFERROR(__xludf.DUMMYFUNCTION("IFERROR(ARRAY_CONSTRAIN(SPLIT(INDEX('Daily Raw Data'!G:G,Match($A960,'Daily Raw Data'!$B:$B,0)),"":""),1,1),"""")"),"")</f>
        <v/>
      </c>
      <c r="F960" t="str">
        <f t="array" ref="F960">IFERROR(INDEX('Daily Raw Data'!H:H,Match($A960,'Daily Raw Data'!$B:$B,0)),"")</f>
        <v/>
      </c>
      <c r="G960" t="str">
        <f t="array" ref="G960">IFERROR(INDEX('Daily Raw Data'!I:I,Match($A960,'Daily Raw Data'!$B:$B,0)),"")</f>
        <v/>
      </c>
      <c r="H960" t="str">
        <f t="array" ref="H960">IFERROR(INDEX('Daily Raw Data'!N:N,Match($A960,'Daily Raw Data'!$B:$B,0)),"")</f>
        <v/>
      </c>
      <c r="I960" t="str">
        <f t="array" ref="I960">IFERROR(INDEX('Daily Raw Data'!O:O,Match($A960,'Daily Raw Data'!$B:$B,0)),"")</f>
        <v/>
      </c>
      <c r="J960" t="str">
        <f t="array" ref="J960">IFERROR(INDEX('Daily Raw Data'!S:S,Match($A960,'Daily Raw Data'!$B:$B,0)),"")</f>
        <v/>
      </c>
      <c r="K960" t="str">
        <f t="array" ref="K960">IFERROR(INDEX('Daily Raw Data'!T:T,Match($A960,'Daily Raw Data'!$B:$B,0)),"")</f>
        <v/>
      </c>
      <c r="L960" t="str">
        <f t="array" ref="L960">IFERROR(INDEX('Daily Raw Data'!U:U,Match($A960,'Daily Raw Data'!$B:$B,0)),"")</f>
        <v/>
      </c>
      <c r="M960" t="str">
        <f t="array" ref="M960">IFERROR(INDEX('Daily Raw Data'!V:V,Match($A960,'Daily Raw Data'!$B:$B,0)),"")</f>
        <v/>
      </c>
      <c r="N960" t="str">
        <f t="array" ref="N960">IFERROR(INDEX('Daily Raw Data'!W:W,Match($A960,'Daily Raw Data'!$B:$B,0)),"")</f>
        <v/>
      </c>
      <c r="O960" t="str">
        <f t="array" ref="O960">IFERROR(INDEX('Daily Raw Data'!Y:Y,Match($A960,'Daily Raw Data'!$B:$B,0)),"")</f>
        <v/>
      </c>
      <c r="P960" t="str">
        <f t="shared" si="1"/>
        <v/>
      </c>
      <c r="Q960" s="14" t="str">
        <f t="shared" si="2"/>
        <v/>
      </c>
      <c r="R960" s="15" t="str">
        <f>IFERROR(__xludf.DUMMYFUNCTION("IF($A960="""","""", IFERROR(PERCENTRANK.INC(FILTER(P:P,$E:$E&lt;&gt;""""),P960)*100,""""))"),"")</f>
        <v/>
      </c>
      <c r="S960" s="15" t="str">
        <f>IFERROR(__xludf.DUMMYFUNCTION("IF($A960="""","""",IFERROR(PERCENTRANK.INC(FILTER(Q:Q,$E:$E&lt;&gt;""""),Q960)*100,""""))"),"")</f>
        <v/>
      </c>
    </row>
    <row r="961">
      <c r="B961" t="str">
        <f t="array" ref="B961">IFERROR(INDEX('Player Raw Data'!C:C,Match($A961,'Player Raw Data'!$B:$B,0)),"")</f>
        <v/>
      </c>
      <c r="C961" t="str">
        <f t="array" ref="C961">IFERROR(INDEX('Player Raw Data'!D:D,Match($A961,'Player Raw Data'!$B:$B,0)),"")</f>
        <v/>
      </c>
      <c r="D961" t="str">
        <f t="array" ref="D961">IFERROR(IF(A961=A960, INDEX('Player Raw Data'!E:E,Match($A961,'Player Raw Data'!$B:$B,0)+2),INDEX('Player Raw Data'!E:E,Match($A961,'Player Raw Data'!$B:$B,0))),"")</f>
        <v/>
      </c>
      <c r="E961" s="27" t="str">
        <f>IFERROR(__xludf.DUMMYFUNCTION("IFERROR(ARRAY_CONSTRAIN(SPLIT(INDEX('Daily Raw Data'!G:G,Match($A961,'Daily Raw Data'!$B:$B,0)),"":""),1,1),"""")"),"")</f>
        <v/>
      </c>
      <c r="F961" t="str">
        <f t="array" ref="F961">IFERROR(INDEX('Daily Raw Data'!H:H,Match($A961,'Daily Raw Data'!$B:$B,0)),"")</f>
        <v/>
      </c>
      <c r="G961" t="str">
        <f t="array" ref="G961">IFERROR(INDEX('Daily Raw Data'!I:I,Match($A961,'Daily Raw Data'!$B:$B,0)),"")</f>
        <v/>
      </c>
      <c r="H961" t="str">
        <f t="array" ref="H961">IFERROR(INDEX('Daily Raw Data'!N:N,Match($A961,'Daily Raw Data'!$B:$B,0)),"")</f>
        <v/>
      </c>
      <c r="I961" t="str">
        <f t="array" ref="I961">IFERROR(INDEX('Daily Raw Data'!O:O,Match($A961,'Daily Raw Data'!$B:$B,0)),"")</f>
        <v/>
      </c>
      <c r="J961" t="str">
        <f t="array" ref="J961">IFERROR(INDEX('Daily Raw Data'!S:S,Match($A961,'Daily Raw Data'!$B:$B,0)),"")</f>
        <v/>
      </c>
      <c r="K961" t="str">
        <f t="array" ref="K961">IFERROR(INDEX('Daily Raw Data'!T:T,Match($A961,'Daily Raw Data'!$B:$B,0)),"")</f>
        <v/>
      </c>
      <c r="L961" t="str">
        <f t="array" ref="L961">IFERROR(INDEX('Daily Raw Data'!U:U,Match($A961,'Daily Raw Data'!$B:$B,0)),"")</f>
        <v/>
      </c>
      <c r="M961" t="str">
        <f t="array" ref="M961">IFERROR(INDEX('Daily Raw Data'!V:V,Match($A961,'Daily Raw Data'!$B:$B,0)),"")</f>
        <v/>
      </c>
      <c r="N961" t="str">
        <f t="array" ref="N961">IFERROR(INDEX('Daily Raw Data'!W:W,Match($A961,'Daily Raw Data'!$B:$B,0)),"")</f>
        <v/>
      </c>
      <c r="O961" t="str">
        <f t="array" ref="O961">IFERROR(INDEX('Daily Raw Data'!Y:Y,Match($A961,'Daily Raw Data'!$B:$B,0)),"")</f>
        <v/>
      </c>
      <c r="P961" t="str">
        <f t="shared" si="1"/>
        <v/>
      </c>
      <c r="Q961" s="14" t="str">
        <f t="shared" si="2"/>
        <v/>
      </c>
      <c r="R961" s="15" t="str">
        <f>IFERROR(__xludf.DUMMYFUNCTION("IF($A961="""","""", IFERROR(PERCENTRANK.INC(FILTER(P:P,$E:$E&lt;&gt;""""),P961)*100,""""))"),"")</f>
        <v/>
      </c>
      <c r="S961" s="15" t="str">
        <f>IFERROR(__xludf.DUMMYFUNCTION("IF($A961="""","""",IFERROR(PERCENTRANK.INC(FILTER(Q:Q,$E:$E&lt;&gt;""""),Q961)*100,""""))"),"")</f>
        <v/>
      </c>
    </row>
    <row r="962">
      <c r="B962" t="str">
        <f t="array" ref="B962">IFERROR(INDEX('Player Raw Data'!C:C,Match($A962,'Player Raw Data'!$B:$B,0)),"")</f>
        <v/>
      </c>
      <c r="C962" t="str">
        <f t="array" ref="C962">IFERROR(INDEX('Player Raw Data'!D:D,Match($A962,'Player Raw Data'!$B:$B,0)),"")</f>
        <v/>
      </c>
      <c r="D962" t="str">
        <f t="array" ref="D962">IFERROR(IF(A962=A961, INDEX('Player Raw Data'!E:E,Match($A962,'Player Raw Data'!$B:$B,0)+2),INDEX('Player Raw Data'!E:E,Match($A962,'Player Raw Data'!$B:$B,0))),"")</f>
        <v/>
      </c>
      <c r="E962" s="27" t="str">
        <f>IFERROR(__xludf.DUMMYFUNCTION("IFERROR(ARRAY_CONSTRAIN(SPLIT(INDEX('Daily Raw Data'!G:G,Match($A962,'Daily Raw Data'!$B:$B,0)),"":""),1,1),"""")"),"")</f>
        <v/>
      </c>
      <c r="F962" t="str">
        <f t="array" ref="F962">IFERROR(INDEX('Daily Raw Data'!H:H,Match($A962,'Daily Raw Data'!$B:$B,0)),"")</f>
        <v/>
      </c>
      <c r="G962" t="str">
        <f t="array" ref="G962">IFERROR(INDEX('Daily Raw Data'!I:I,Match($A962,'Daily Raw Data'!$B:$B,0)),"")</f>
        <v/>
      </c>
      <c r="H962" t="str">
        <f t="array" ref="H962">IFERROR(INDEX('Daily Raw Data'!N:N,Match($A962,'Daily Raw Data'!$B:$B,0)),"")</f>
        <v/>
      </c>
      <c r="I962" t="str">
        <f t="array" ref="I962">IFERROR(INDEX('Daily Raw Data'!O:O,Match($A962,'Daily Raw Data'!$B:$B,0)),"")</f>
        <v/>
      </c>
      <c r="J962" t="str">
        <f t="array" ref="J962">IFERROR(INDEX('Daily Raw Data'!S:S,Match($A962,'Daily Raw Data'!$B:$B,0)),"")</f>
        <v/>
      </c>
      <c r="K962" t="str">
        <f t="array" ref="K962">IFERROR(INDEX('Daily Raw Data'!T:T,Match($A962,'Daily Raw Data'!$B:$B,0)),"")</f>
        <v/>
      </c>
      <c r="L962" t="str">
        <f t="array" ref="L962">IFERROR(INDEX('Daily Raw Data'!U:U,Match($A962,'Daily Raw Data'!$B:$B,0)),"")</f>
        <v/>
      </c>
      <c r="M962" t="str">
        <f t="array" ref="M962">IFERROR(INDEX('Daily Raw Data'!V:V,Match($A962,'Daily Raw Data'!$B:$B,0)),"")</f>
        <v/>
      </c>
      <c r="N962" t="str">
        <f t="array" ref="N962">IFERROR(INDEX('Daily Raw Data'!W:W,Match($A962,'Daily Raw Data'!$B:$B,0)),"")</f>
        <v/>
      </c>
      <c r="O962" t="str">
        <f t="array" ref="O962">IFERROR(INDEX('Daily Raw Data'!Y:Y,Match($A962,'Daily Raw Data'!$B:$B,0)),"")</f>
        <v/>
      </c>
      <c r="P962" t="str">
        <f t="shared" si="1"/>
        <v/>
      </c>
      <c r="Q962" s="14" t="str">
        <f t="shared" si="2"/>
        <v/>
      </c>
      <c r="R962" s="15" t="str">
        <f>IFERROR(__xludf.DUMMYFUNCTION("IF($A962="""","""", IFERROR(PERCENTRANK.INC(FILTER(P:P,$E:$E&lt;&gt;""""),P962)*100,""""))"),"")</f>
        <v/>
      </c>
      <c r="S962" s="15" t="str">
        <f>IFERROR(__xludf.DUMMYFUNCTION("IF($A962="""","""",IFERROR(PERCENTRANK.INC(FILTER(Q:Q,$E:$E&lt;&gt;""""),Q962)*100,""""))"),"")</f>
        <v/>
      </c>
    </row>
    <row r="963">
      <c r="B963" t="str">
        <f t="array" ref="B963">IFERROR(INDEX('Player Raw Data'!C:C,Match($A963,'Player Raw Data'!$B:$B,0)),"")</f>
        <v/>
      </c>
      <c r="C963" t="str">
        <f t="array" ref="C963">IFERROR(INDEX('Player Raw Data'!D:D,Match($A963,'Player Raw Data'!$B:$B,0)),"")</f>
        <v/>
      </c>
      <c r="D963" t="str">
        <f t="array" ref="D963">IFERROR(IF(A963=A962, INDEX('Player Raw Data'!E:E,Match($A963,'Player Raw Data'!$B:$B,0)+2),INDEX('Player Raw Data'!E:E,Match($A963,'Player Raw Data'!$B:$B,0))),"")</f>
        <v/>
      </c>
      <c r="E963" s="27" t="str">
        <f>IFERROR(__xludf.DUMMYFUNCTION("IFERROR(ARRAY_CONSTRAIN(SPLIT(INDEX('Daily Raw Data'!G:G,Match($A963,'Daily Raw Data'!$B:$B,0)),"":""),1,1),"""")"),"")</f>
        <v/>
      </c>
      <c r="F963" t="str">
        <f t="array" ref="F963">IFERROR(INDEX('Daily Raw Data'!H:H,Match($A963,'Daily Raw Data'!$B:$B,0)),"")</f>
        <v/>
      </c>
      <c r="G963" t="str">
        <f t="array" ref="G963">IFERROR(INDEX('Daily Raw Data'!I:I,Match($A963,'Daily Raw Data'!$B:$B,0)),"")</f>
        <v/>
      </c>
      <c r="H963" t="str">
        <f t="array" ref="H963">IFERROR(INDEX('Daily Raw Data'!N:N,Match($A963,'Daily Raw Data'!$B:$B,0)),"")</f>
        <v/>
      </c>
      <c r="I963" t="str">
        <f t="array" ref="I963">IFERROR(INDEX('Daily Raw Data'!O:O,Match($A963,'Daily Raw Data'!$B:$B,0)),"")</f>
        <v/>
      </c>
      <c r="J963" t="str">
        <f t="array" ref="J963">IFERROR(INDEX('Daily Raw Data'!S:S,Match($A963,'Daily Raw Data'!$B:$B,0)),"")</f>
        <v/>
      </c>
      <c r="K963" t="str">
        <f t="array" ref="K963">IFERROR(INDEX('Daily Raw Data'!T:T,Match($A963,'Daily Raw Data'!$B:$B,0)),"")</f>
        <v/>
      </c>
      <c r="L963" t="str">
        <f t="array" ref="L963">IFERROR(INDEX('Daily Raw Data'!U:U,Match($A963,'Daily Raw Data'!$B:$B,0)),"")</f>
        <v/>
      </c>
      <c r="M963" t="str">
        <f t="array" ref="M963">IFERROR(INDEX('Daily Raw Data'!V:V,Match($A963,'Daily Raw Data'!$B:$B,0)),"")</f>
        <v/>
      </c>
      <c r="N963" t="str">
        <f t="array" ref="N963">IFERROR(INDEX('Daily Raw Data'!W:W,Match($A963,'Daily Raw Data'!$B:$B,0)),"")</f>
        <v/>
      </c>
      <c r="O963" t="str">
        <f t="array" ref="O963">IFERROR(INDEX('Daily Raw Data'!Y:Y,Match($A963,'Daily Raw Data'!$B:$B,0)),"")</f>
        <v/>
      </c>
      <c r="P963" t="str">
        <f t="shared" si="1"/>
        <v/>
      </c>
      <c r="Q963" s="14" t="str">
        <f t="shared" si="2"/>
        <v/>
      </c>
      <c r="R963" s="15" t="str">
        <f>IFERROR(__xludf.DUMMYFUNCTION("IF($A963="""","""", IFERROR(PERCENTRANK.INC(FILTER(P:P,$E:$E&lt;&gt;""""),P963)*100,""""))"),"")</f>
        <v/>
      </c>
      <c r="S963" s="15" t="str">
        <f>IFERROR(__xludf.DUMMYFUNCTION("IF($A963="""","""",IFERROR(PERCENTRANK.INC(FILTER(Q:Q,$E:$E&lt;&gt;""""),Q963)*100,""""))"),"")</f>
        <v/>
      </c>
    </row>
    <row r="964">
      <c r="B964" t="str">
        <f t="array" ref="B964">IFERROR(INDEX('Player Raw Data'!C:C,Match($A964,'Player Raw Data'!$B:$B,0)),"")</f>
        <v/>
      </c>
      <c r="C964" t="str">
        <f t="array" ref="C964">IFERROR(INDEX('Player Raw Data'!D:D,Match($A964,'Player Raw Data'!$B:$B,0)),"")</f>
        <v/>
      </c>
      <c r="D964" t="str">
        <f t="array" ref="D964">IFERROR(IF(A964=A963, INDEX('Player Raw Data'!E:E,Match($A964,'Player Raw Data'!$B:$B,0)+2),INDEX('Player Raw Data'!E:E,Match($A964,'Player Raw Data'!$B:$B,0))),"")</f>
        <v/>
      </c>
      <c r="E964" s="27" t="str">
        <f>IFERROR(__xludf.DUMMYFUNCTION("IFERROR(ARRAY_CONSTRAIN(SPLIT(INDEX('Daily Raw Data'!G:G,Match($A964,'Daily Raw Data'!$B:$B,0)),"":""),1,1),"""")"),"")</f>
        <v/>
      </c>
      <c r="F964" t="str">
        <f t="array" ref="F964">IFERROR(INDEX('Daily Raw Data'!H:H,Match($A964,'Daily Raw Data'!$B:$B,0)),"")</f>
        <v/>
      </c>
      <c r="G964" t="str">
        <f t="array" ref="G964">IFERROR(INDEX('Daily Raw Data'!I:I,Match($A964,'Daily Raw Data'!$B:$B,0)),"")</f>
        <v/>
      </c>
      <c r="H964" t="str">
        <f t="array" ref="H964">IFERROR(INDEX('Daily Raw Data'!N:N,Match($A964,'Daily Raw Data'!$B:$B,0)),"")</f>
        <v/>
      </c>
      <c r="I964" t="str">
        <f t="array" ref="I964">IFERROR(INDEX('Daily Raw Data'!O:O,Match($A964,'Daily Raw Data'!$B:$B,0)),"")</f>
        <v/>
      </c>
      <c r="J964" t="str">
        <f t="array" ref="J964">IFERROR(INDEX('Daily Raw Data'!S:S,Match($A964,'Daily Raw Data'!$B:$B,0)),"")</f>
        <v/>
      </c>
      <c r="K964" t="str">
        <f t="array" ref="K964">IFERROR(INDEX('Daily Raw Data'!T:T,Match($A964,'Daily Raw Data'!$B:$B,0)),"")</f>
        <v/>
      </c>
      <c r="L964" t="str">
        <f t="array" ref="L964">IFERROR(INDEX('Daily Raw Data'!U:U,Match($A964,'Daily Raw Data'!$B:$B,0)),"")</f>
        <v/>
      </c>
      <c r="M964" t="str">
        <f t="array" ref="M964">IFERROR(INDEX('Daily Raw Data'!V:V,Match($A964,'Daily Raw Data'!$B:$B,0)),"")</f>
        <v/>
      </c>
      <c r="N964" t="str">
        <f t="array" ref="N964">IFERROR(INDEX('Daily Raw Data'!W:W,Match($A964,'Daily Raw Data'!$B:$B,0)),"")</f>
        <v/>
      </c>
      <c r="O964" t="str">
        <f t="array" ref="O964">IFERROR(INDEX('Daily Raw Data'!Y:Y,Match($A964,'Daily Raw Data'!$B:$B,0)),"")</f>
        <v/>
      </c>
      <c r="P964" t="str">
        <f t="shared" si="1"/>
        <v/>
      </c>
      <c r="Q964" s="14" t="str">
        <f t="shared" si="2"/>
        <v/>
      </c>
      <c r="R964" s="15" t="str">
        <f>IFERROR(__xludf.DUMMYFUNCTION("IF($A964="""","""", IFERROR(PERCENTRANK.INC(FILTER(P:P,$E:$E&lt;&gt;""""),P964)*100,""""))"),"")</f>
        <v/>
      </c>
      <c r="S964" s="15" t="str">
        <f>IFERROR(__xludf.DUMMYFUNCTION("IF($A964="""","""",IFERROR(PERCENTRANK.INC(FILTER(Q:Q,$E:$E&lt;&gt;""""),Q964)*100,""""))"),"")</f>
        <v/>
      </c>
    </row>
    <row r="965">
      <c r="B965" t="str">
        <f t="array" ref="B965">IFERROR(INDEX('Player Raw Data'!C:C,Match($A965,'Player Raw Data'!$B:$B,0)),"")</f>
        <v/>
      </c>
      <c r="C965" t="str">
        <f t="array" ref="C965">IFERROR(INDEX('Player Raw Data'!D:D,Match($A965,'Player Raw Data'!$B:$B,0)),"")</f>
        <v/>
      </c>
      <c r="D965" t="str">
        <f t="array" ref="D965">IFERROR(IF(A965=A964, INDEX('Player Raw Data'!E:E,Match($A965,'Player Raw Data'!$B:$B,0)+2),INDEX('Player Raw Data'!E:E,Match($A965,'Player Raw Data'!$B:$B,0))),"")</f>
        <v/>
      </c>
      <c r="E965" s="27" t="str">
        <f>IFERROR(__xludf.DUMMYFUNCTION("IFERROR(ARRAY_CONSTRAIN(SPLIT(INDEX('Daily Raw Data'!G:G,Match($A965,'Daily Raw Data'!$B:$B,0)),"":""),1,1),"""")"),"")</f>
        <v/>
      </c>
      <c r="F965" t="str">
        <f t="array" ref="F965">IFERROR(INDEX('Daily Raw Data'!H:H,Match($A965,'Daily Raw Data'!$B:$B,0)),"")</f>
        <v/>
      </c>
      <c r="G965" t="str">
        <f t="array" ref="G965">IFERROR(INDEX('Daily Raw Data'!I:I,Match($A965,'Daily Raw Data'!$B:$B,0)),"")</f>
        <v/>
      </c>
      <c r="H965" t="str">
        <f t="array" ref="H965">IFERROR(INDEX('Daily Raw Data'!N:N,Match($A965,'Daily Raw Data'!$B:$B,0)),"")</f>
        <v/>
      </c>
      <c r="I965" t="str">
        <f t="array" ref="I965">IFERROR(INDEX('Daily Raw Data'!O:O,Match($A965,'Daily Raw Data'!$B:$B,0)),"")</f>
        <v/>
      </c>
      <c r="J965" t="str">
        <f t="array" ref="J965">IFERROR(INDEX('Daily Raw Data'!S:S,Match($A965,'Daily Raw Data'!$B:$B,0)),"")</f>
        <v/>
      </c>
      <c r="K965" t="str">
        <f t="array" ref="K965">IFERROR(INDEX('Daily Raw Data'!T:T,Match($A965,'Daily Raw Data'!$B:$B,0)),"")</f>
        <v/>
      </c>
      <c r="L965" t="str">
        <f t="array" ref="L965">IFERROR(INDEX('Daily Raw Data'!U:U,Match($A965,'Daily Raw Data'!$B:$B,0)),"")</f>
        <v/>
      </c>
      <c r="M965" t="str">
        <f t="array" ref="M965">IFERROR(INDEX('Daily Raw Data'!V:V,Match($A965,'Daily Raw Data'!$B:$B,0)),"")</f>
        <v/>
      </c>
      <c r="N965" t="str">
        <f t="array" ref="N965">IFERROR(INDEX('Daily Raw Data'!W:W,Match($A965,'Daily Raw Data'!$B:$B,0)),"")</f>
        <v/>
      </c>
      <c r="O965" t="str">
        <f t="array" ref="O965">IFERROR(INDEX('Daily Raw Data'!Y:Y,Match($A965,'Daily Raw Data'!$B:$B,0)),"")</f>
        <v/>
      </c>
      <c r="P965" t="str">
        <f t="shared" si="1"/>
        <v/>
      </c>
      <c r="Q965" s="14" t="str">
        <f t="shared" si="2"/>
        <v/>
      </c>
      <c r="R965" s="15" t="str">
        <f>IFERROR(__xludf.DUMMYFUNCTION("IF($A965="""","""", IFERROR(PERCENTRANK.INC(FILTER(P:P,$E:$E&lt;&gt;""""),P965)*100,""""))"),"")</f>
        <v/>
      </c>
      <c r="S965" s="15" t="str">
        <f>IFERROR(__xludf.DUMMYFUNCTION("IF($A965="""","""",IFERROR(PERCENTRANK.INC(FILTER(Q:Q,$E:$E&lt;&gt;""""),Q965)*100,""""))"),"")</f>
        <v/>
      </c>
    </row>
    <row r="966">
      <c r="B966" t="str">
        <f t="array" ref="B966">IFERROR(INDEX('Player Raw Data'!C:C,Match($A966,'Player Raw Data'!$B:$B,0)),"")</f>
        <v/>
      </c>
      <c r="C966" t="str">
        <f t="array" ref="C966">IFERROR(INDEX('Player Raw Data'!D:D,Match($A966,'Player Raw Data'!$B:$B,0)),"")</f>
        <v/>
      </c>
      <c r="D966" t="str">
        <f t="array" ref="D966">IFERROR(IF(A966=A965, INDEX('Player Raw Data'!E:E,Match($A966,'Player Raw Data'!$B:$B,0)+2),INDEX('Player Raw Data'!E:E,Match($A966,'Player Raw Data'!$B:$B,0))),"")</f>
        <v/>
      </c>
      <c r="E966" s="27" t="str">
        <f>IFERROR(__xludf.DUMMYFUNCTION("IFERROR(ARRAY_CONSTRAIN(SPLIT(INDEX('Daily Raw Data'!G:G,Match($A966,'Daily Raw Data'!$B:$B,0)),"":""),1,1),"""")"),"")</f>
        <v/>
      </c>
      <c r="F966" t="str">
        <f t="array" ref="F966">IFERROR(INDEX('Daily Raw Data'!H:H,Match($A966,'Daily Raw Data'!$B:$B,0)),"")</f>
        <v/>
      </c>
      <c r="G966" t="str">
        <f t="array" ref="G966">IFERROR(INDEX('Daily Raw Data'!I:I,Match($A966,'Daily Raw Data'!$B:$B,0)),"")</f>
        <v/>
      </c>
      <c r="H966" t="str">
        <f t="array" ref="H966">IFERROR(INDEX('Daily Raw Data'!N:N,Match($A966,'Daily Raw Data'!$B:$B,0)),"")</f>
        <v/>
      </c>
      <c r="I966" t="str">
        <f t="array" ref="I966">IFERROR(INDEX('Daily Raw Data'!O:O,Match($A966,'Daily Raw Data'!$B:$B,0)),"")</f>
        <v/>
      </c>
      <c r="J966" t="str">
        <f t="array" ref="J966">IFERROR(INDEX('Daily Raw Data'!S:S,Match($A966,'Daily Raw Data'!$B:$B,0)),"")</f>
        <v/>
      </c>
      <c r="K966" t="str">
        <f t="array" ref="K966">IFERROR(INDEX('Daily Raw Data'!T:T,Match($A966,'Daily Raw Data'!$B:$B,0)),"")</f>
        <v/>
      </c>
      <c r="L966" t="str">
        <f t="array" ref="L966">IFERROR(INDEX('Daily Raw Data'!U:U,Match($A966,'Daily Raw Data'!$B:$B,0)),"")</f>
        <v/>
      </c>
      <c r="M966" t="str">
        <f t="array" ref="M966">IFERROR(INDEX('Daily Raw Data'!V:V,Match($A966,'Daily Raw Data'!$B:$B,0)),"")</f>
        <v/>
      </c>
      <c r="N966" t="str">
        <f t="array" ref="N966">IFERROR(INDEX('Daily Raw Data'!W:W,Match($A966,'Daily Raw Data'!$B:$B,0)),"")</f>
        <v/>
      </c>
      <c r="O966" t="str">
        <f t="array" ref="O966">IFERROR(INDEX('Daily Raw Data'!Y:Y,Match($A966,'Daily Raw Data'!$B:$B,0)),"")</f>
        <v/>
      </c>
      <c r="P966" t="str">
        <f t="shared" si="1"/>
        <v/>
      </c>
      <c r="Q966" s="14" t="str">
        <f t="shared" si="2"/>
        <v/>
      </c>
      <c r="R966" s="15" t="str">
        <f>IFERROR(__xludf.DUMMYFUNCTION("IF($A966="""","""", IFERROR(PERCENTRANK.INC(FILTER(P:P,$E:$E&lt;&gt;""""),P966)*100,""""))"),"")</f>
        <v/>
      </c>
      <c r="S966" s="15" t="str">
        <f>IFERROR(__xludf.DUMMYFUNCTION("IF($A966="""","""",IFERROR(PERCENTRANK.INC(FILTER(Q:Q,$E:$E&lt;&gt;""""),Q966)*100,""""))"),"")</f>
        <v/>
      </c>
    </row>
    <row r="967">
      <c r="B967" t="str">
        <f t="array" ref="B967">IFERROR(INDEX('Player Raw Data'!C:C,Match($A967,'Player Raw Data'!$B:$B,0)),"")</f>
        <v/>
      </c>
      <c r="C967" t="str">
        <f t="array" ref="C967">IFERROR(INDEX('Player Raw Data'!D:D,Match($A967,'Player Raw Data'!$B:$B,0)),"")</f>
        <v/>
      </c>
      <c r="D967" t="str">
        <f t="array" ref="D967">IFERROR(IF(A967=A966, INDEX('Player Raw Data'!E:E,Match($A967,'Player Raw Data'!$B:$B,0)+2),INDEX('Player Raw Data'!E:E,Match($A967,'Player Raw Data'!$B:$B,0))),"")</f>
        <v/>
      </c>
      <c r="E967" s="27" t="str">
        <f>IFERROR(__xludf.DUMMYFUNCTION("IFERROR(ARRAY_CONSTRAIN(SPLIT(INDEX('Daily Raw Data'!G:G,Match($A967,'Daily Raw Data'!$B:$B,0)),"":""),1,1),"""")"),"")</f>
        <v/>
      </c>
      <c r="F967" t="str">
        <f t="array" ref="F967">IFERROR(INDEX('Daily Raw Data'!H:H,Match($A967,'Daily Raw Data'!$B:$B,0)),"")</f>
        <v/>
      </c>
      <c r="G967" t="str">
        <f t="array" ref="G967">IFERROR(INDEX('Daily Raw Data'!I:I,Match($A967,'Daily Raw Data'!$B:$B,0)),"")</f>
        <v/>
      </c>
      <c r="H967" t="str">
        <f t="array" ref="H967">IFERROR(INDEX('Daily Raw Data'!N:N,Match($A967,'Daily Raw Data'!$B:$B,0)),"")</f>
        <v/>
      </c>
      <c r="I967" t="str">
        <f t="array" ref="I967">IFERROR(INDEX('Daily Raw Data'!O:O,Match($A967,'Daily Raw Data'!$B:$B,0)),"")</f>
        <v/>
      </c>
      <c r="J967" t="str">
        <f t="array" ref="J967">IFERROR(INDEX('Daily Raw Data'!S:S,Match($A967,'Daily Raw Data'!$B:$B,0)),"")</f>
        <v/>
      </c>
      <c r="K967" t="str">
        <f t="array" ref="K967">IFERROR(INDEX('Daily Raw Data'!T:T,Match($A967,'Daily Raw Data'!$B:$B,0)),"")</f>
        <v/>
      </c>
      <c r="L967" t="str">
        <f t="array" ref="L967">IFERROR(INDEX('Daily Raw Data'!U:U,Match($A967,'Daily Raw Data'!$B:$B,0)),"")</f>
        <v/>
      </c>
      <c r="M967" t="str">
        <f t="array" ref="M967">IFERROR(INDEX('Daily Raw Data'!V:V,Match($A967,'Daily Raw Data'!$B:$B,0)),"")</f>
        <v/>
      </c>
      <c r="N967" t="str">
        <f t="array" ref="N967">IFERROR(INDEX('Daily Raw Data'!W:W,Match($A967,'Daily Raw Data'!$B:$B,0)),"")</f>
        <v/>
      </c>
      <c r="O967" t="str">
        <f t="array" ref="O967">IFERROR(INDEX('Daily Raw Data'!Y:Y,Match($A967,'Daily Raw Data'!$B:$B,0)),"")</f>
        <v/>
      </c>
      <c r="P967" t="str">
        <f t="shared" si="1"/>
        <v/>
      </c>
      <c r="Q967" s="14" t="str">
        <f t="shared" si="2"/>
        <v/>
      </c>
      <c r="R967" s="15" t="str">
        <f>IFERROR(__xludf.DUMMYFUNCTION("IF($A967="""","""", IFERROR(PERCENTRANK.INC(FILTER(P:P,$E:$E&lt;&gt;""""),P967)*100,""""))"),"")</f>
        <v/>
      </c>
      <c r="S967" s="15" t="str">
        <f>IFERROR(__xludf.DUMMYFUNCTION("IF($A967="""","""",IFERROR(PERCENTRANK.INC(FILTER(Q:Q,$E:$E&lt;&gt;""""),Q967)*100,""""))"),"")</f>
        <v/>
      </c>
    </row>
    <row r="968">
      <c r="B968" t="str">
        <f t="array" ref="B968">IFERROR(INDEX('Player Raw Data'!C:C,Match($A968,'Player Raw Data'!$B:$B,0)),"")</f>
        <v/>
      </c>
      <c r="C968" t="str">
        <f t="array" ref="C968">IFERROR(INDEX('Player Raw Data'!D:D,Match($A968,'Player Raw Data'!$B:$B,0)),"")</f>
        <v/>
      </c>
      <c r="D968" t="str">
        <f t="array" ref="D968">IFERROR(IF(A968=A967, INDEX('Player Raw Data'!E:E,Match($A968,'Player Raw Data'!$B:$B,0)+2),INDEX('Player Raw Data'!E:E,Match($A968,'Player Raw Data'!$B:$B,0))),"")</f>
        <v/>
      </c>
      <c r="E968" s="27" t="str">
        <f>IFERROR(__xludf.DUMMYFUNCTION("IFERROR(ARRAY_CONSTRAIN(SPLIT(INDEX('Daily Raw Data'!G:G,Match($A968,'Daily Raw Data'!$B:$B,0)),"":""),1,1),"""")"),"")</f>
        <v/>
      </c>
      <c r="F968" t="str">
        <f t="array" ref="F968">IFERROR(INDEX('Daily Raw Data'!H:H,Match($A968,'Daily Raw Data'!$B:$B,0)),"")</f>
        <v/>
      </c>
      <c r="G968" t="str">
        <f t="array" ref="G968">IFERROR(INDEX('Daily Raw Data'!I:I,Match($A968,'Daily Raw Data'!$B:$B,0)),"")</f>
        <v/>
      </c>
      <c r="H968" t="str">
        <f t="array" ref="H968">IFERROR(INDEX('Daily Raw Data'!N:N,Match($A968,'Daily Raw Data'!$B:$B,0)),"")</f>
        <v/>
      </c>
      <c r="I968" t="str">
        <f t="array" ref="I968">IFERROR(INDEX('Daily Raw Data'!O:O,Match($A968,'Daily Raw Data'!$B:$B,0)),"")</f>
        <v/>
      </c>
      <c r="J968" t="str">
        <f t="array" ref="J968">IFERROR(INDEX('Daily Raw Data'!S:S,Match($A968,'Daily Raw Data'!$B:$B,0)),"")</f>
        <v/>
      </c>
      <c r="K968" t="str">
        <f t="array" ref="K968">IFERROR(INDEX('Daily Raw Data'!T:T,Match($A968,'Daily Raw Data'!$B:$B,0)),"")</f>
        <v/>
      </c>
      <c r="L968" t="str">
        <f t="array" ref="L968">IFERROR(INDEX('Daily Raw Data'!U:U,Match($A968,'Daily Raw Data'!$B:$B,0)),"")</f>
        <v/>
      </c>
      <c r="M968" t="str">
        <f t="array" ref="M968">IFERROR(INDEX('Daily Raw Data'!V:V,Match($A968,'Daily Raw Data'!$B:$B,0)),"")</f>
        <v/>
      </c>
      <c r="N968" t="str">
        <f t="array" ref="N968">IFERROR(INDEX('Daily Raw Data'!W:W,Match($A968,'Daily Raw Data'!$B:$B,0)),"")</f>
        <v/>
      </c>
      <c r="O968" t="str">
        <f t="array" ref="O968">IFERROR(INDEX('Daily Raw Data'!Y:Y,Match($A968,'Daily Raw Data'!$B:$B,0)),"")</f>
        <v/>
      </c>
      <c r="P968" t="str">
        <f t="shared" si="1"/>
        <v/>
      </c>
      <c r="Q968" s="14" t="str">
        <f t="shared" si="2"/>
        <v/>
      </c>
      <c r="R968" s="15" t="str">
        <f>IFERROR(__xludf.DUMMYFUNCTION("IF($A968="""","""", IFERROR(PERCENTRANK.INC(FILTER(P:P,$E:$E&lt;&gt;""""),P968)*100,""""))"),"")</f>
        <v/>
      </c>
      <c r="S968" s="15" t="str">
        <f>IFERROR(__xludf.DUMMYFUNCTION("IF($A968="""","""",IFERROR(PERCENTRANK.INC(FILTER(Q:Q,$E:$E&lt;&gt;""""),Q968)*100,""""))"),"")</f>
        <v/>
      </c>
    </row>
    <row r="969">
      <c r="B969" t="str">
        <f t="array" ref="B969">IFERROR(INDEX('Player Raw Data'!C:C,Match($A969,'Player Raw Data'!$B:$B,0)),"")</f>
        <v/>
      </c>
      <c r="C969" t="str">
        <f t="array" ref="C969">IFERROR(INDEX('Player Raw Data'!D:D,Match($A969,'Player Raw Data'!$B:$B,0)),"")</f>
        <v/>
      </c>
      <c r="D969" t="str">
        <f t="array" ref="D969">IFERROR(IF(A969=A968, INDEX('Player Raw Data'!E:E,Match($A969,'Player Raw Data'!$B:$B,0)+2),INDEX('Player Raw Data'!E:E,Match($A969,'Player Raw Data'!$B:$B,0))),"")</f>
        <v/>
      </c>
      <c r="E969" s="27" t="str">
        <f>IFERROR(__xludf.DUMMYFUNCTION("IFERROR(ARRAY_CONSTRAIN(SPLIT(INDEX('Daily Raw Data'!G:G,Match($A969,'Daily Raw Data'!$B:$B,0)),"":""),1,1),"""")"),"")</f>
        <v/>
      </c>
      <c r="F969" t="str">
        <f t="array" ref="F969">IFERROR(INDEX('Daily Raw Data'!H:H,Match($A969,'Daily Raw Data'!$B:$B,0)),"")</f>
        <v/>
      </c>
      <c r="G969" t="str">
        <f t="array" ref="G969">IFERROR(INDEX('Daily Raw Data'!I:I,Match($A969,'Daily Raw Data'!$B:$B,0)),"")</f>
        <v/>
      </c>
      <c r="H969" t="str">
        <f t="array" ref="H969">IFERROR(INDEX('Daily Raw Data'!N:N,Match($A969,'Daily Raw Data'!$B:$B,0)),"")</f>
        <v/>
      </c>
      <c r="I969" t="str">
        <f t="array" ref="I969">IFERROR(INDEX('Daily Raw Data'!O:O,Match($A969,'Daily Raw Data'!$B:$B,0)),"")</f>
        <v/>
      </c>
      <c r="J969" t="str">
        <f t="array" ref="J969">IFERROR(INDEX('Daily Raw Data'!S:S,Match($A969,'Daily Raw Data'!$B:$B,0)),"")</f>
        <v/>
      </c>
      <c r="K969" t="str">
        <f t="array" ref="K969">IFERROR(INDEX('Daily Raw Data'!T:T,Match($A969,'Daily Raw Data'!$B:$B,0)),"")</f>
        <v/>
      </c>
      <c r="L969" t="str">
        <f t="array" ref="L969">IFERROR(INDEX('Daily Raw Data'!U:U,Match($A969,'Daily Raw Data'!$B:$B,0)),"")</f>
        <v/>
      </c>
      <c r="M969" t="str">
        <f t="array" ref="M969">IFERROR(INDEX('Daily Raw Data'!V:V,Match($A969,'Daily Raw Data'!$B:$B,0)),"")</f>
        <v/>
      </c>
      <c r="N969" t="str">
        <f t="array" ref="N969">IFERROR(INDEX('Daily Raw Data'!W:W,Match($A969,'Daily Raw Data'!$B:$B,0)),"")</f>
        <v/>
      </c>
      <c r="O969" t="str">
        <f t="array" ref="O969">IFERROR(INDEX('Daily Raw Data'!Y:Y,Match($A969,'Daily Raw Data'!$B:$B,0)),"")</f>
        <v/>
      </c>
      <c r="P969" t="str">
        <f t="shared" si="1"/>
        <v/>
      </c>
      <c r="Q969" s="14" t="str">
        <f t="shared" si="2"/>
        <v/>
      </c>
      <c r="R969" s="15" t="str">
        <f>IFERROR(__xludf.DUMMYFUNCTION("IF($A969="""","""", IFERROR(PERCENTRANK.INC(FILTER(P:P,$E:$E&lt;&gt;""""),P969)*100,""""))"),"")</f>
        <v/>
      </c>
      <c r="S969" s="15" t="str">
        <f>IFERROR(__xludf.DUMMYFUNCTION("IF($A969="""","""",IFERROR(PERCENTRANK.INC(FILTER(Q:Q,$E:$E&lt;&gt;""""),Q969)*100,""""))"),"")</f>
        <v/>
      </c>
    </row>
    <row r="970">
      <c r="B970" t="str">
        <f t="array" ref="B970">IFERROR(INDEX('Player Raw Data'!C:C,Match($A970,'Player Raw Data'!$B:$B,0)),"")</f>
        <v/>
      </c>
      <c r="C970" t="str">
        <f t="array" ref="C970">IFERROR(INDEX('Player Raw Data'!D:D,Match($A970,'Player Raw Data'!$B:$B,0)),"")</f>
        <v/>
      </c>
      <c r="D970" t="str">
        <f t="array" ref="D970">IFERROR(IF(A970=A969, INDEX('Player Raw Data'!E:E,Match($A970,'Player Raw Data'!$B:$B,0)+2),INDEX('Player Raw Data'!E:E,Match($A970,'Player Raw Data'!$B:$B,0))),"")</f>
        <v/>
      </c>
      <c r="E970" s="27" t="str">
        <f>IFERROR(__xludf.DUMMYFUNCTION("IFERROR(ARRAY_CONSTRAIN(SPLIT(INDEX('Daily Raw Data'!G:G,Match($A970,'Daily Raw Data'!$B:$B,0)),"":""),1,1),"""")"),"")</f>
        <v/>
      </c>
      <c r="F970" t="str">
        <f t="array" ref="F970">IFERROR(INDEX('Daily Raw Data'!H:H,Match($A970,'Daily Raw Data'!$B:$B,0)),"")</f>
        <v/>
      </c>
      <c r="G970" t="str">
        <f t="array" ref="G970">IFERROR(INDEX('Daily Raw Data'!I:I,Match($A970,'Daily Raw Data'!$B:$B,0)),"")</f>
        <v/>
      </c>
      <c r="H970" t="str">
        <f t="array" ref="H970">IFERROR(INDEX('Daily Raw Data'!N:N,Match($A970,'Daily Raw Data'!$B:$B,0)),"")</f>
        <v/>
      </c>
      <c r="I970" t="str">
        <f t="array" ref="I970">IFERROR(INDEX('Daily Raw Data'!O:O,Match($A970,'Daily Raw Data'!$B:$B,0)),"")</f>
        <v/>
      </c>
      <c r="J970" t="str">
        <f t="array" ref="J970">IFERROR(INDEX('Daily Raw Data'!S:S,Match($A970,'Daily Raw Data'!$B:$B,0)),"")</f>
        <v/>
      </c>
      <c r="K970" t="str">
        <f t="array" ref="K970">IFERROR(INDEX('Daily Raw Data'!T:T,Match($A970,'Daily Raw Data'!$B:$B,0)),"")</f>
        <v/>
      </c>
      <c r="L970" t="str">
        <f t="array" ref="L970">IFERROR(INDEX('Daily Raw Data'!U:U,Match($A970,'Daily Raw Data'!$B:$B,0)),"")</f>
        <v/>
      </c>
      <c r="M970" t="str">
        <f t="array" ref="M970">IFERROR(INDEX('Daily Raw Data'!V:V,Match($A970,'Daily Raw Data'!$B:$B,0)),"")</f>
        <v/>
      </c>
      <c r="N970" t="str">
        <f t="array" ref="N970">IFERROR(INDEX('Daily Raw Data'!W:W,Match($A970,'Daily Raw Data'!$B:$B,0)),"")</f>
        <v/>
      </c>
      <c r="O970" t="str">
        <f t="array" ref="O970">IFERROR(INDEX('Daily Raw Data'!Y:Y,Match($A970,'Daily Raw Data'!$B:$B,0)),"")</f>
        <v/>
      </c>
      <c r="P970" t="str">
        <f t="shared" si="1"/>
        <v/>
      </c>
      <c r="Q970" s="14" t="str">
        <f t="shared" si="2"/>
        <v/>
      </c>
      <c r="R970" s="15" t="str">
        <f>IFERROR(__xludf.DUMMYFUNCTION("IF($A970="""","""", IFERROR(PERCENTRANK.INC(FILTER(P:P,$E:$E&lt;&gt;""""),P970)*100,""""))"),"")</f>
        <v/>
      </c>
      <c r="S970" s="15" t="str">
        <f>IFERROR(__xludf.DUMMYFUNCTION("IF($A970="""","""",IFERROR(PERCENTRANK.INC(FILTER(Q:Q,$E:$E&lt;&gt;""""),Q970)*100,""""))"),"")</f>
        <v/>
      </c>
    </row>
    <row r="971">
      <c r="B971" t="str">
        <f t="array" ref="B971">IFERROR(INDEX('Player Raw Data'!C:C,Match($A971,'Player Raw Data'!$B:$B,0)),"")</f>
        <v/>
      </c>
      <c r="C971" t="str">
        <f t="array" ref="C971">IFERROR(INDEX('Player Raw Data'!D:D,Match($A971,'Player Raw Data'!$B:$B,0)),"")</f>
        <v/>
      </c>
      <c r="D971" t="str">
        <f t="array" ref="D971">IFERROR(IF(A971=A970, INDEX('Player Raw Data'!E:E,Match($A971,'Player Raw Data'!$B:$B,0)+2),INDEX('Player Raw Data'!E:E,Match($A971,'Player Raw Data'!$B:$B,0))),"")</f>
        <v/>
      </c>
      <c r="E971" s="27" t="str">
        <f>IFERROR(__xludf.DUMMYFUNCTION("IFERROR(ARRAY_CONSTRAIN(SPLIT(INDEX('Daily Raw Data'!G:G,Match($A971,'Daily Raw Data'!$B:$B,0)),"":""),1,1),"""")"),"")</f>
        <v/>
      </c>
      <c r="F971" t="str">
        <f t="array" ref="F971">IFERROR(INDEX('Daily Raw Data'!H:H,Match($A971,'Daily Raw Data'!$B:$B,0)),"")</f>
        <v/>
      </c>
      <c r="G971" t="str">
        <f t="array" ref="G971">IFERROR(INDEX('Daily Raw Data'!I:I,Match($A971,'Daily Raw Data'!$B:$B,0)),"")</f>
        <v/>
      </c>
      <c r="H971" t="str">
        <f t="array" ref="H971">IFERROR(INDEX('Daily Raw Data'!N:N,Match($A971,'Daily Raw Data'!$B:$B,0)),"")</f>
        <v/>
      </c>
      <c r="I971" t="str">
        <f t="array" ref="I971">IFERROR(INDEX('Daily Raw Data'!O:O,Match($A971,'Daily Raw Data'!$B:$B,0)),"")</f>
        <v/>
      </c>
      <c r="J971" t="str">
        <f t="array" ref="J971">IFERROR(INDEX('Daily Raw Data'!S:S,Match($A971,'Daily Raw Data'!$B:$B,0)),"")</f>
        <v/>
      </c>
      <c r="K971" t="str">
        <f t="array" ref="K971">IFERROR(INDEX('Daily Raw Data'!T:T,Match($A971,'Daily Raw Data'!$B:$B,0)),"")</f>
        <v/>
      </c>
      <c r="L971" t="str">
        <f t="array" ref="L971">IFERROR(INDEX('Daily Raw Data'!U:U,Match($A971,'Daily Raw Data'!$B:$B,0)),"")</f>
        <v/>
      </c>
      <c r="M971" t="str">
        <f t="array" ref="M971">IFERROR(INDEX('Daily Raw Data'!V:V,Match($A971,'Daily Raw Data'!$B:$B,0)),"")</f>
        <v/>
      </c>
      <c r="N971" t="str">
        <f t="array" ref="N971">IFERROR(INDEX('Daily Raw Data'!W:W,Match($A971,'Daily Raw Data'!$B:$B,0)),"")</f>
        <v/>
      </c>
      <c r="O971" t="str">
        <f t="array" ref="O971">IFERROR(INDEX('Daily Raw Data'!Y:Y,Match($A971,'Daily Raw Data'!$B:$B,0)),"")</f>
        <v/>
      </c>
      <c r="P971" t="str">
        <f t="shared" si="1"/>
        <v/>
      </c>
      <c r="Q971" s="14" t="str">
        <f t="shared" si="2"/>
        <v/>
      </c>
      <c r="R971" s="15" t="str">
        <f>IFERROR(__xludf.DUMMYFUNCTION("IF($A971="""","""", IFERROR(PERCENTRANK.INC(FILTER(P:P,$E:$E&lt;&gt;""""),P971)*100,""""))"),"")</f>
        <v/>
      </c>
      <c r="S971" s="15" t="str">
        <f>IFERROR(__xludf.DUMMYFUNCTION("IF($A971="""","""",IFERROR(PERCENTRANK.INC(FILTER(Q:Q,$E:$E&lt;&gt;""""),Q971)*100,""""))"),"")</f>
        <v/>
      </c>
    </row>
    <row r="972">
      <c r="B972" t="str">
        <f t="array" ref="B972">IFERROR(INDEX('Player Raw Data'!C:C,Match($A972,'Player Raw Data'!$B:$B,0)),"")</f>
        <v/>
      </c>
      <c r="C972" t="str">
        <f t="array" ref="C972">IFERROR(INDEX('Player Raw Data'!D:D,Match($A972,'Player Raw Data'!$B:$B,0)),"")</f>
        <v/>
      </c>
      <c r="D972" t="str">
        <f t="array" ref="D972">IFERROR(IF(A972=A971, INDEX('Player Raw Data'!E:E,Match($A972,'Player Raw Data'!$B:$B,0)+2),INDEX('Player Raw Data'!E:E,Match($A972,'Player Raw Data'!$B:$B,0))),"")</f>
        <v/>
      </c>
      <c r="E972" s="27" t="str">
        <f>IFERROR(__xludf.DUMMYFUNCTION("IFERROR(ARRAY_CONSTRAIN(SPLIT(INDEX('Daily Raw Data'!G:G,Match($A972,'Daily Raw Data'!$B:$B,0)),"":""),1,1),"""")"),"")</f>
        <v/>
      </c>
      <c r="F972" t="str">
        <f t="array" ref="F972">IFERROR(INDEX('Daily Raw Data'!H:H,Match($A972,'Daily Raw Data'!$B:$B,0)),"")</f>
        <v/>
      </c>
      <c r="G972" t="str">
        <f t="array" ref="G972">IFERROR(INDEX('Daily Raw Data'!I:I,Match($A972,'Daily Raw Data'!$B:$B,0)),"")</f>
        <v/>
      </c>
      <c r="H972" t="str">
        <f t="array" ref="H972">IFERROR(INDEX('Daily Raw Data'!N:N,Match($A972,'Daily Raw Data'!$B:$B,0)),"")</f>
        <v/>
      </c>
      <c r="I972" t="str">
        <f t="array" ref="I972">IFERROR(INDEX('Daily Raw Data'!O:O,Match($A972,'Daily Raw Data'!$B:$B,0)),"")</f>
        <v/>
      </c>
      <c r="J972" t="str">
        <f t="array" ref="J972">IFERROR(INDEX('Daily Raw Data'!S:S,Match($A972,'Daily Raw Data'!$B:$B,0)),"")</f>
        <v/>
      </c>
      <c r="K972" t="str">
        <f t="array" ref="K972">IFERROR(INDEX('Daily Raw Data'!T:T,Match($A972,'Daily Raw Data'!$B:$B,0)),"")</f>
        <v/>
      </c>
      <c r="L972" t="str">
        <f t="array" ref="L972">IFERROR(INDEX('Daily Raw Data'!U:U,Match($A972,'Daily Raw Data'!$B:$B,0)),"")</f>
        <v/>
      </c>
      <c r="M972" t="str">
        <f t="array" ref="M972">IFERROR(INDEX('Daily Raw Data'!V:V,Match($A972,'Daily Raw Data'!$B:$B,0)),"")</f>
        <v/>
      </c>
      <c r="N972" t="str">
        <f t="array" ref="N972">IFERROR(INDEX('Daily Raw Data'!W:W,Match($A972,'Daily Raw Data'!$B:$B,0)),"")</f>
        <v/>
      </c>
      <c r="O972" t="str">
        <f t="array" ref="O972">IFERROR(INDEX('Daily Raw Data'!Y:Y,Match($A972,'Daily Raw Data'!$B:$B,0)),"")</f>
        <v/>
      </c>
      <c r="P972" t="str">
        <f t="shared" si="1"/>
        <v/>
      </c>
      <c r="Q972" s="14" t="str">
        <f t="shared" si="2"/>
        <v/>
      </c>
      <c r="R972" s="15" t="str">
        <f>IFERROR(__xludf.DUMMYFUNCTION("IF($A972="""","""", IFERROR(PERCENTRANK.INC(FILTER(P:P,$E:$E&lt;&gt;""""),P972)*100,""""))"),"")</f>
        <v/>
      </c>
      <c r="S972" s="15" t="str">
        <f>IFERROR(__xludf.DUMMYFUNCTION("IF($A972="""","""",IFERROR(PERCENTRANK.INC(FILTER(Q:Q,$E:$E&lt;&gt;""""),Q972)*100,""""))"),"")</f>
        <v/>
      </c>
    </row>
    <row r="973">
      <c r="B973" t="str">
        <f t="array" ref="B973">IFERROR(INDEX('Player Raw Data'!C:C,Match($A973,'Player Raw Data'!$B:$B,0)),"")</f>
        <v/>
      </c>
      <c r="C973" t="str">
        <f t="array" ref="C973">IFERROR(INDEX('Player Raw Data'!D:D,Match($A973,'Player Raw Data'!$B:$B,0)),"")</f>
        <v/>
      </c>
      <c r="D973" t="str">
        <f t="array" ref="D973">IFERROR(IF(A973=A972, INDEX('Player Raw Data'!E:E,Match($A973,'Player Raw Data'!$B:$B,0)+2),INDEX('Player Raw Data'!E:E,Match($A973,'Player Raw Data'!$B:$B,0))),"")</f>
        <v/>
      </c>
      <c r="E973" s="27" t="str">
        <f>IFERROR(__xludf.DUMMYFUNCTION("IFERROR(ARRAY_CONSTRAIN(SPLIT(INDEX('Daily Raw Data'!G:G,Match($A973,'Daily Raw Data'!$B:$B,0)),"":""),1,1),"""")"),"")</f>
        <v/>
      </c>
      <c r="F973" t="str">
        <f t="array" ref="F973">IFERROR(INDEX('Daily Raw Data'!H:H,Match($A973,'Daily Raw Data'!$B:$B,0)),"")</f>
        <v/>
      </c>
      <c r="G973" t="str">
        <f t="array" ref="G973">IFERROR(INDEX('Daily Raw Data'!I:I,Match($A973,'Daily Raw Data'!$B:$B,0)),"")</f>
        <v/>
      </c>
      <c r="H973" t="str">
        <f t="array" ref="H973">IFERROR(INDEX('Daily Raw Data'!N:N,Match($A973,'Daily Raw Data'!$B:$B,0)),"")</f>
        <v/>
      </c>
      <c r="I973" t="str">
        <f t="array" ref="I973">IFERROR(INDEX('Daily Raw Data'!O:O,Match($A973,'Daily Raw Data'!$B:$B,0)),"")</f>
        <v/>
      </c>
      <c r="J973" t="str">
        <f t="array" ref="J973">IFERROR(INDEX('Daily Raw Data'!S:S,Match($A973,'Daily Raw Data'!$B:$B,0)),"")</f>
        <v/>
      </c>
      <c r="K973" t="str">
        <f t="array" ref="K973">IFERROR(INDEX('Daily Raw Data'!T:T,Match($A973,'Daily Raw Data'!$B:$B,0)),"")</f>
        <v/>
      </c>
      <c r="L973" t="str">
        <f t="array" ref="L973">IFERROR(INDEX('Daily Raw Data'!U:U,Match($A973,'Daily Raw Data'!$B:$B,0)),"")</f>
        <v/>
      </c>
      <c r="M973" t="str">
        <f t="array" ref="M973">IFERROR(INDEX('Daily Raw Data'!V:V,Match($A973,'Daily Raw Data'!$B:$B,0)),"")</f>
        <v/>
      </c>
      <c r="N973" t="str">
        <f t="array" ref="N973">IFERROR(INDEX('Daily Raw Data'!W:W,Match($A973,'Daily Raw Data'!$B:$B,0)),"")</f>
        <v/>
      </c>
      <c r="O973" t="str">
        <f t="array" ref="O973">IFERROR(INDEX('Daily Raw Data'!Y:Y,Match($A973,'Daily Raw Data'!$B:$B,0)),"")</f>
        <v/>
      </c>
      <c r="P973" t="str">
        <f t="shared" si="1"/>
        <v/>
      </c>
      <c r="Q973" s="14" t="str">
        <f t="shared" si="2"/>
        <v/>
      </c>
      <c r="R973" s="15" t="str">
        <f>IFERROR(__xludf.DUMMYFUNCTION("IF($A973="""","""", IFERROR(PERCENTRANK.INC(FILTER(P:P,$E:$E&lt;&gt;""""),P973)*100,""""))"),"")</f>
        <v/>
      </c>
      <c r="S973" s="15" t="str">
        <f>IFERROR(__xludf.DUMMYFUNCTION("IF($A973="""","""",IFERROR(PERCENTRANK.INC(FILTER(Q:Q,$E:$E&lt;&gt;""""),Q973)*100,""""))"),"")</f>
        <v/>
      </c>
    </row>
    <row r="974">
      <c r="B974" t="str">
        <f t="array" ref="B974">IFERROR(INDEX('Player Raw Data'!C:C,Match($A974,'Player Raw Data'!$B:$B,0)),"")</f>
        <v/>
      </c>
      <c r="C974" t="str">
        <f t="array" ref="C974">IFERROR(INDEX('Player Raw Data'!D:D,Match($A974,'Player Raw Data'!$B:$B,0)),"")</f>
        <v/>
      </c>
      <c r="D974" t="str">
        <f t="array" ref="D974">IFERROR(IF(A974=A973, INDEX('Player Raw Data'!E:E,Match($A974,'Player Raw Data'!$B:$B,0)+2),INDEX('Player Raw Data'!E:E,Match($A974,'Player Raw Data'!$B:$B,0))),"")</f>
        <v/>
      </c>
      <c r="E974" s="27" t="str">
        <f>IFERROR(__xludf.DUMMYFUNCTION("IFERROR(ARRAY_CONSTRAIN(SPLIT(INDEX('Daily Raw Data'!G:G,Match($A974,'Daily Raw Data'!$B:$B,0)),"":""),1,1),"""")"),"")</f>
        <v/>
      </c>
      <c r="F974" t="str">
        <f t="array" ref="F974">IFERROR(INDEX('Daily Raw Data'!H:H,Match($A974,'Daily Raw Data'!$B:$B,0)),"")</f>
        <v/>
      </c>
      <c r="G974" t="str">
        <f t="array" ref="G974">IFERROR(INDEX('Daily Raw Data'!I:I,Match($A974,'Daily Raw Data'!$B:$B,0)),"")</f>
        <v/>
      </c>
      <c r="H974" t="str">
        <f t="array" ref="H974">IFERROR(INDEX('Daily Raw Data'!N:N,Match($A974,'Daily Raw Data'!$B:$B,0)),"")</f>
        <v/>
      </c>
      <c r="I974" t="str">
        <f t="array" ref="I974">IFERROR(INDEX('Daily Raw Data'!O:O,Match($A974,'Daily Raw Data'!$B:$B,0)),"")</f>
        <v/>
      </c>
      <c r="J974" t="str">
        <f t="array" ref="J974">IFERROR(INDEX('Daily Raw Data'!S:S,Match($A974,'Daily Raw Data'!$B:$B,0)),"")</f>
        <v/>
      </c>
      <c r="K974" t="str">
        <f t="array" ref="K974">IFERROR(INDEX('Daily Raw Data'!T:T,Match($A974,'Daily Raw Data'!$B:$B,0)),"")</f>
        <v/>
      </c>
      <c r="L974" t="str">
        <f t="array" ref="L974">IFERROR(INDEX('Daily Raw Data'!U:U,Match($A974,'Daily Raw Data'!$B:$B,0)),"")</f>
        <v/>
      </c>
      <c r="M974" t="str">
        <f t="array" ref="M974">IFERROR(INDEX('Daily Raw Data'!V:V,Match($A974,'Daily Raw Data'!$B:$B,0)),"")</f>
        <v/>
      </c>
      <c r="N974" t="str">
        <f t="array" ref="N974">IFERROR(INDEX('Daily Raw Data'!W:W,Match($A974,'Daily Raw Data'!$B:$B,0)),"")</f>
        <v/>
      </c>
      <c r="O974" t="str">
        <f t="array" ref="O974">IFERROR(INDEX('Daily Raw Data'!Y:Y,Match($A974,'Daily Raw Data'!$B:$B,0)),"")</f>
        <v/>
      </c>
      <c r="P974" t="str">
        <f t="shared" si="1"/>
        <v/>
      </c>
      <c r="Q974" s="14" t="str">
        <f t="shared" si="2"/>
        <v/>
      </c>
      <c r="R974" s="15" t="str">
        <f>IFERROR(__xludf.DUMMYFUNCTION("IF($A974="""","""", IFERROR(PERCENTRANK.INC(FILTER(P:P,$E:$E&lt;&gt;""""),P974)*100,""""))"),"")</f>
        <v/>
      </c>
      <c r="S974" s="15" t="str">
        <f>IFERROR(__xludf.DUMMYFUNCTION("IF($A974="""","""",IFERROR(PERCENTRANK.INC(FILTER(Q:Q,$E:$E&lt;&gt;""""),Q974)*100,""""))"),"")</f>
        <v/>
      </c>
    </row>
    <row r="975">
      <c r="B975" t="str">
        <f t="array" ref="B975">IFERROR(INDEX('Player Raw Data'!C:C,Match($A975,'Player Raw Data'!$B:$B,0)),"")</f>
        <v/>
      </c>
      <c r="C975" t="str">
        <f t="array" ref="C975">IFERROR(INDEX('Player Raw Data'!D:D,Match($A975,'Player Raw Data'!$B:$B,0)),"")</f>
        <v/>
      </c>
      <c r="D975" t="str">
        <f t="array" ref="D975">IFERROR(IF(A975=A974, INDEX('Player Raw Data'!E:E,Match($A975,'Player Raw Data'!$B:$B,0)+2),INDEX('Player Raw Data'!E:E,Match($A975,'Player Raw Data'!$B:$B,0))),"")</f>
        <v/>
      </c>
      <c r="E975" s="27" t="str">
        <f>IFERROR(__xludf.DUMMYFUNCTION("IFERROR(ARRAY_CONSTRAIN(SPLIT(INDEX('Daily Raw Data'!G:G,Match($A975,'Daily Raw Data'!$B:$B,0)),"":""),1,1),"""")"),"")</f>
        <v/>
      </c>
      <c r="F975" t="str">
        <f t="array" ref="F975">IFERROR(INDEX('Daily Raw Data'!H:H,Match($A975,'Daily Raw Data'!$B:$B,0)),"")</f>
        <v/>
      </c>
      <c r="G975" t="str">
        <f t="array" ref="G975">IFERROR(INDEX('Daily Raw Data'!I:I,Match($A975,'Daily Raw Data'!$B:$B,0)),"")</f>
        <v/>
      </c>
      <c r="H975" t="str">
        <f t="array" ref="H975">IFERROR(INDEX('Daily Raw Data'!N:N,Match($A975,'Daily Raw Data'!$B:$B,0)),"")</f>
        <v/>
      </c>
      <c r="I975" t="str">
        <f t="array" ref="I975">IFERROR(INDEX('Daily Raw Data'!O:O,Match($A975,'Daily Raw Data'!$B:$B,0)),"")</f>
        <v/>
      </c>
      <c r="J975" t="str">
        <f t="array" ref="J975">IFERROR(INDEX('Daily Raw Data'!S:S,Match($A975,'Daily Raw Data'!$B:$B,0)),"")</f>
        <v/>
      </c>
      <c r="K975" t="str">
        <f t="array" ref="K975">IFERROR(INDEX('Daily Raw Data'!T:T,Match($A975,'Daily Raw Data'!$B:$B,0)),"")</f>
        <v/>
      </c>
      <c r="L975" t="str">
        <f t="array" ref="L975">IFERROR(INDEX('Daily Raw Data'!U:U,Match($A975,'Daily Raw Data'!$B:$B,0)),"")</f>
        <v/>
      </c>
      <c r="M975" t="str">
        <f t="array" ref="M975">IFERROR(INDEX('Daily Raw Data'!V:V,Match($A975,'Daily Raw Data'!$B:$B,0)),"")</f>
        <v/>
      </c>
      <c r="N975" t="str">
        <f t="array" ref="N975">IFERROR(INDEX('Daily Raw Data'!W:W,Match($A975,'Daily Raw Data'!$B:$B,0)),"")</f>
        <v/>
      </c>
      <c r="O975" t="str">
        <f t="array" ref="O975">IFERROR(INDEX('Daily Raw Data'!Y:Y,Match($A975,'Daily Raw Data'!$B:$B,0)),"")</f>
        <v/>
      </c>
      <c r="P975" t="str">
        <f t="shared" si="1"/>
        <v/>
      </c>
      <c r="Q975" s="14" t="str">
        <f t="shared" si="2"/>
        <v/>
      </c>
      <c r="R975" s="15" t="str">
        <f>IFERROR(__xludf.DUMMYFUNCTION("IF($A975="""","""", IFERROR(PERCENTRANK.INC(FILTER(P:P,$E:$E&lt;&gt;""""),P975)*100,""""))"),"")</f>
        <v/>
      </c>
      <c r="S975" s="15" t="str">
        <f>IFERROR(__xludf.DUMMYFUNCTION("IF($A975="""","""",IFERROR(PERCENTRANK.INC(FILTER(Q:Q,$E:$E&lt;&gt;""""),Q975)*100,""""))"),"")</f>
        <v/>
      </c>
    </row>
    <row r="976">
      <c r="B976" t="str">
        <f t="array" ref="B976">IFERROR(INDEX('Player Raw Data'!C:C,Match($A976,'Player Raw Data'!$B:$B,0)),"")</f>
        <v/>
      </c>
      <c r="C976" t="str">
        <f t="array" ref="C976">IFERROR(INDEX('Player Raw Data'!D:D,Match($A976,'Player Raw Data'!$B:$B,0)),"")</f>
        <v/>
      </c>
      <c r="D976" t="str">
        <f t="array" ref="D976">IFERROR(IF(A976=A975, INDEX('Player Raw Data'!E:E,Match($A976,'Player Raw Data'!$B:$B,0)+2),INDEX('Player Raw Data'!E:E,Match($A976,'Player Raw Data'!$B:$B,0))),"")</f>
        <v/>
      </c>
      <c r="E976" s="27" t="str">
        <f>IFERROR(__xludf.DUMMYFUNCTION("IFERROR(ARRAY_CONSTRAIN(SPLIT(INDEX('Daily Raw Data'!G:G,Match($A976,'Daily Raw Data'!$B:$B,0)),"":""),1,1),"""")"),"")</f>
        <v/>
      </c>
      <c r="F976" t="str">
        <f t="array" ref="F976">IFERROR(INDEX('Daily Raw Data'!H:H,Match($A976,'Daily Raw Data'!$B:$B,0)),"")</f>
        <v/>
      </c>
      <c r="G976" t="str">
        <f t="array" ref="G976">IFERROR(INDEX('Daily Raw Data'!I:I,Match($A976,'Daily Raw Data'!$B:$B,0)),"")</f>
        <v/>
      </c>
      <c r="H976" t="str">
        <f t="array" ref="H976">IFERROR(INDEX('Daily Raw Data'!N:N,Match($A976,'Daily Raw Data'!$B:$B,0)),"")</f>
        <v/>
      </c>
      <c r="I976" t="str">
        <f t="array" ref="I976">IFERROR(INDEX('Daily Raw Data'!O:O,Match($A976,'Daily Raw Data'!$B:$B,0)),"")</f>
        <v/>
      </c>
      <c r="J976" t="str">
        <f t="array" ref="J976">IFERROR(INDEX('Daily Raw Data'!S:S,Match($A976,'Daily Raw Data'!$B:$B,0)),"")</f>
        <v/>
      </c>
      <c r="K976" t="str">
        <f t="array" ref="K976">IFERROR(INDEX('Daily Raw Data'!T:T,Match($A976,'Daily Raw Data'!$B:$B,0)),"")</f>
        <v/>
      </c>
      <c r="L976" t="str">
        <f t="array" ref="L976">IFERROR(INDEX('Daily Raw Data'!U:U,Match($A976,'Daily Raw Data'!$B:$B,0)),"")</f>
        <v/>
      </c>
      <c r="M976" t="str">
        <f t="array" ref="M976">IFERROR(INDEX('Daily Raw Data'!V:V,Match($A976,'Daily Raw Data'!$B:$B,0)),"")</f>
        <v/>
      </c>
      <c r="N976" t="str">
        <f t="array" ref="N976">IFERROR(INDEX('Daily Raw Data'!W:W,Match($A976,'Daily Raw Data'!$B:$B,0)),"")</f>
        <v/>
      </c>
      <c r="O976" t="str">
        <f t="array" ref="O976">IFERROR(INDEX('Daily Raw Data'!Y:Y,Match($A976,'Daily Raw Data'!$B:$B,0)),"")</f>
        <v/>
      </c>
      <c r="P976" t="str">
        <f t="shared" si="1"/>
        <v/>
      </c>
      <c r="Q976" s="14" t="str">
        <f t="shared" si="2"/>
        <v/>
      </c>
      <c r="R976" s="15" t="str">
        <f>IFERROR(__xludf.DUMMYFUNCTION("IF($A976="""","""", IFERROR(PERCENTRANK.INC(FILTER(P:P,$E:$E&lt;&gt;""""),P976)*100,""""))"),"")</f>
        <v/>
      </c>
      <c r="S976" s="15" t="str">
        <f>IFERROR(__xludf.DUMMYFUNCTION("IF($A976="""","""",IFERROR(PERCENTRANK.INC(FILTER(Q:Q,$E:$E&lt;&gt;""""),Q976)*100,""""))"),"")</f>
        <v/>
      </c>
    </row>
    <row r="977">
      <c r="B977" t="str">
        <f t="array" ref="B977">IFERROR(INDEX('Player Raw Data'!C:C,Match($A977,'Player Raw Data'!$B:$B,0)),"")</f>
        <v/>
      </c>
      <c r="C977" t="str">
        <f t="array" ref="C977">IFERROR(INDEX('Player Raw Data'!D:D,Match($A977,'Player Raw Data'!$B:$B,0)),"")</f>
        <v/>
      </c>
      <c r="D977" t="str">
        <f t="array" ref="D977">IFERROR(IF(A977=A976, INDEX('Player Raw Data'!E:E,Match($A977,'Player Raw Data'!$B:$B,0)+2),INDEX('Player Raw Data'!E:E,Match($A977,'Player Raw Data'!$B:$B,0))),"")</f>
        <v/>
      </c>
      <c r="E977" s="27" t="str">
        <f>IFERROR(__xludf.DUMMYFUNCTION("IFERROR(ARRAY_CONSTRAIN(SPLIT(INDEX('Daily Raw Data'!G:G,Match($A977,'Daily Raw Data'!$B:$B,0)),"":""),1,1),"""")"),"")</f>
        <v/>
      </c>
      <c r="F977" t="str">
        <f t="array" ref="F977">IFERROR(INDEX('Daily Raw Data'!H:H,Match($A977,'Daily Raw Data'!$B:$B,0)),"")</f>
        <v/>
      </c>
      <c r="G977" t="str">
        <f t="array" ref="G977">IFERROR(INDEX('Daily Raw Data'!I:I,Match($A977,'Daily Raw Data'!$B:$B,0)),"")</f>
        <v/>
      </c>
      <c r="H977" t="str">
        <f t="array" ref="H977">IFERROR(INDEX('Daily Raw Data'!N:N,Match($A977,'Daily Raw Data'!$B:$B,0)),"")</f>
        <v/>
      </c>
      <c r="I977" t="str">
        <f t="array" ref="I977">IFERROR(INDEX('Daily Raw Data'!O:O,Match($A977,'Daily Raw Data'!$B:$B,0)),"")</f>
        <v/>
      </c>
      <c r="J977" t="str">
        <f t="array" ref="J977">IFERROR(INDEX('Daily Raw Data'!S:S,Match($A977,'Daily Raw Data'!$B:$B,0)),"")</f>
        <v/>
      </c>
      <c r="K977" t="str">
        <f t="array" ref="K977">IFERROR(INDEX('Daily Raw Data'!T:T,Match($A977,'Daily Raw Data'!$B:$B,0)),"")</f>
        <v/>
      </c>
      <c r="L977" t="str">
        <f t="array" ref="L977">IFERROR(INDEX('Daily Raw Data'!U:U,Match($A977,'Daily Raw Data'!$B:$B,0)),"")</f>
        <v/>
      </c>
      <c r="M977" t="str">
        <f t="array" ref="M977">IFERROR(INDEX('Daily Raw Data'!V:V,Match($A977,'Daily Raw Data'!$B:$B,0)),"")</f>
        <v/>
      </c>
      <c r="N977" t="str">
        <f t="array" ref="N977">IFERROR(INDEX('Daily Raw Data'!W:W,Match($A977,'Daily Raw Data'!$B:$B,0)),"")</f>
        <v/>
      </c>
      <c r="O977" t="str">
        <f t="array" ref="O977">IFERROR(INDEX('Daily Raw Data'!Y:Y,Match($A977,'Daily Raw Data'!$B:$B,0)),"")</f>
        <v/>
      </c>
      <c r="P977" t="str">
        <f t="shared" si="1"/>
        <v/>
      </c>
      <c r="Q977" s="14" t="str">
        <f t="shared" si="2"/>
        <v/>
      </c>
      <c r="R977" s="15" t="str">
        <f>IFERROR(__xludf.DUMMYFUNCTION("IF($A977="""","""", IFERROR(PERCENTRANK.INC(FILTER(P:P,$E:$E&lt;&gt;""""),P977)*100,""""))"),"")</f>
        <v/>
      </c>
      <c r="S977" s="15" t="str">
        <f>IFERROR(__xludf.DUMMYFUNCTION("IF($A977="""","""",IFERROR(PERCENTRANK.INC(FILTER(Q:Q,$E:$E&lt;&gt;""""),Q977)*100,""""))"),"")</f>
        <v/>
      </c>
    </row>
    <row r="978">
      <c r="B978" t="str">
        <f t="array" ref="B978">IFERROR(INDEX('Player Raw Data'!C:C,Match($A978,'Player Raw Data'!$B:$B,0)),"")</f>
        <v/>
      </c>
      <c r="C978" t="str">
        <f t="array" ref="C978">IFERROR(INDEX('Player Raw Data'!D:D,Match($A978,'Player Raw Data'!$B:$B,0)),"")</f>
        <v/>
      </c>
      <c r="D978" t="str">
        <f t="array" ref="D978">IFERROR(IF(A978=A977, INDEX('Player Raw Data'!E:E,Match($A978,'Player Raw Data'!$B:$B,0)+2),INDEX('Player Raw Data'!E:E,Match($A978,'Player Raw Data'!$B:$B,0))),"")</f>
        <v/>
      </c>
      <c r="E978" s="27" t="str">
        <f>IFERROR(__xludf.DUMMYFUNCTION("IFERROR(ARRAY_CONSTRAIN(SPLIT(INDEX('Daily Raw Data'!G:G,Match($A978,'Daily Raw Data'!$B:$B,0)),"":""),1,1),"""")"),"")</f>
        <v/>
      </c>
      <c r="F978" t="str">
        <f t="array" ref="F978">IFERROR(INDEX('Daily Raw Data'!H:H,Match($A978,'Daily Raw Data'!$B:$B,0)),"")</f>
        <v/>
      </c>
      <c r="G978" t="str">
        <f t="array" ref="G978">IFERROR(INDEX('Daily Raw Data'!I:I,Match($A978,'Daily Raw Data'!$B:$B,0)),"")</f>
        <v/>
      </c>
      <c r="H978" t="str">
        <f t="array" ref="H978">IFERROR(INDEX('Daily Raw Data'!N:N,Match($A978,'Daily Raw Data'!$B:$B,0)),"")</f>
        <v/>
      </c>
      <c r="I978" t="str">
        <f t="array" ref="I978">IFERROR(INDEX('Daily Raw Data'!O:O,Match($A978,'Daily Raw Data'!$B:$B,0)),"")</f>
        <v/>
      </c>
      <c r="J978" t="str">
        <f t="array" ref="J978">IFERROR(INDEX('Daily Raw Data'!S:S,Match($A978,'Daily Raw Data'!$B:$B,0)),"")</f>
        <v/>
      </c>
      <c r="K978" t="str">
        <f t="array" ref="K978">IFERROR(INDEX('Daily Raw Data'!T:T,Match($A978,'Daily Raw Data'!$B:$B,0)),"")</f>
        <v/>
      </c>
      <c r="L978" t="str">
        <f t="array" ref="L978">IFERROR(INDEX('Daily Raw Data'!U:U,Match($A978,'Daily Raw Data'!$B:$B,0)),"")</f>
        <v/>
      </c>
      <c r="M978" t="str">
        <f t="array" ref="M978">IFERROR(INDEX('Daily Raw Data'!V:V,Match($A978,'Daily Raw Data'!$B:$B,0)),"")</f>
        <v/>
      </c>
      <c r="N978" t="str">
        <f t="array" ref="N978">IFERROR(INDEX('Daily Raw Data'!W:W,Match($A978,'Daily Raw Data'!$B:$B,0)),"")</f>
        <v/>
      </c>
      <c r="O978" t="str">
        <f t="array" ref="O978">IFERROR(INDEX('Daily Raw Data'!Y:Y,Match($A978,'Daily Raw Data'!$B:$B,0)),"")</f>
        <v/>
      </c>
      <c r="P978" t="str">
        <f t="shared" si="1"/>
        <v/>
      </c>
      <c r="Q978" s="14" t="str">
        <f t="shared" si="2"/>
        <v/>
      </c>
      <c r="R978" s="15" t="str">
        <f>IFERROR(__xludf.DUMMYFUNCTION("IF($A978="""","""", IFERROR(PERCENTRANK.INC(FILTER(P:P,$E:$E&lt;&gt;""""),P978)*100,""""))"),"")</f>
        <v/>
      </c>
      <c r="S978" s="15" t="str">
        <f>IFERROR(__xludf.DUMMYFUNCTION("IF($A978="""","""",IFERROR(PERCENTRANK.INC(FILTER(Q:Q,$E:$E&lt;&gt;""""),Q978)*100,""""))"),"")</f>
        <v/>
      </c>
    </row>
    <row r="979">
      <c r="B979" t="str">
        <f t="array" ref="B979">IFERROR(INDEX('Player Raw Data'!C:C,Match($A979,'Player Raw Data'!$B:$B,0)),"")</f>
        <v/>
      </c>
      <c r="C979" t="str">
        <f t="array" ref="C979">IFERROR(INDEX('Player Raw Data'!D:D,Match($A979,'Player Raw Data'!$B:$B,0)),"")</f>
        <v/>
      </c>
      <c r="D979" t="str">
        <f t="array" ref="D979">IFERROR(IF(A979=A978, INDEX('Player Raw Data'!E:E,Match($A979,'Player Raw Data'!$B:$B,0)+2),INDEX('Player Raw Data'!E:E,Match($A979,'Player Raw Data'!$B:$B,0))),"")</f>
        <v/>
      </c>
      <c r="E979" s="27" t="str">
        <f>IFERROR(__xludf.DUMMYFUNCTION("IFERROR(ARRAY_CONSTRAIN(SPLIT(INDEX('Daily Raw Data'!G:G,Match($A979,'Daily Raw Data'!$B:$B,0)),"":""),1,1),"""")"),"")</f>
        <v/>
      </c>
      <c r="F979" t="str">
        <f t="array" ref="F979">IFERROR(INDEX('Daily Raw Data'!H:H,Match($A979,'Daily Raw Data'!$B:$B,0)),"")</f>
        <v/>
      </c>
      <c r="G979" t="str">
        <f t="array" ref="G979">IFERROR(INDEX('Daily Raw Data'!I:I,Match($A979,'Daily Raw Data'!$B:$B,0)),"")</f>
        <v/>
      </c>
      <c r="H979" t="str">
        <f t="array" ref="H979">IFERROR(INDEX('Daily Raw Data'!N:N,Match($A979,'Daily Raw Data'!$B:$B,0)),"")</f>
        <v/>
      </c>
      <c r="I979" t="str">
        <f t="array" ref="I979">IFERROR(INDEX('Daily Raw Data'!O:O,Match($A979,'Daily Raw Data'!$B:$B,0)),"")</f>
        <v/>
      </c>
      <c r="J979" t="str">
        <f t="array" ref="J979">IFERROR(INDEX('Daily Raw Data'!S:S,Match($A979,'Daily Raw Data'!$B:$B,0)),"")</f>
        <v/>
      </c>
      <c r="K979" t="str">
        <f t="array" ref="K979">IFERROR(INDEX('Daily Raw Data'!T:T,Match($A979,'Daily Raw Data'!$B:$B,0)),"")</f>
        <v/>
      </c>
      <c r="L979" t="str">
        <f t="array" ref="L979">IFERROR(INDEX('Daily Raw Data'!U:U,Match($A979,'Daily Raw Data'!$B:$B,0)),"")</f>
        <v/>
      </c>
      <c r="M979" t="str">
        <f t="array" ref="M979">IFERROR(INDEX('Daily Raw Data'!V:V,Match($A979,'Daily Raw Data'!$B:$B,0)),"")</f>
        <v/>
      </c>
      <c r="N979" t="str">
        <f t="array" ref="N979">IFERROR(INDEX('Daily Raw Data'!W:W,Match($A979,'Daily Raw Data'!$B:$B,0)),"")</f>
        <v/>
      </c>
      <c r="O979" t="str">
        <f t="array" ref="O979">IFERROR(INDEX('Daily Raw Data'!Y:Y,Match($A979,'Daily Raw Data'!$B:$B,0)),"")</f>
        <v/>
      </c>
      <c r="P979" t="str">
        <f t="shared" si="1"/>
        <v/>
      </c>
      <c r="Q979" s="14" t="str">
        <f t="shared" si="2"/>
        <v/>
      </c>
      <c r="R979" s="15" t="str">
        <f>IFERROR(__xludf.DUMMYFUNCTION("IF($A979="""","""", IFERROR(PERCENTRANK.INC(FILTER(P:P,$E:$E&lt;&gt;""""),P979)*100,""""))"),"")</f>
        <v/>
      </c>
      <c r="S979" s="15" t="str">
        <f>IFERROR(__xludf.DUMMYFUNCTION("IF($A979="""","""",IFERROR(PERCENTRANK.INC(FILTER(Q:Q,$E:$E&lt;&gt;""""),Q979)*100,""""))"),"")</f>
        <v/>
      </c>
    </row>
    <row r="980">
      <c r="B980" t="str">
        <f t="array" ref="B980">IFERROR(INDEX('Player Raw Data'!C:C,Match($A980,'Player Raw Data'!$B:$B,0)),"")</f>
        <v/>
      </c>
      <c r="C980" t="str">
        <f t="array" ref="C980">IFERROR(INDEX('Player Raw Data'!D:D,Match($A980,'Player Raw Data'!$B:$B,0)),"")</f>
        <v/>
      </c>
      <c r="D980" t="str">
        <f t="array" ref="D980">IFERROR(IF(A980=A979, INDEX('Player Raw Data'!E:E,Match($A980,'Player Raw Data'!$B:$B,0)+2),INDEX('Player Raw Data'!E:E,Match($A980,'Player Raw Data'!$B:$B,0))),"")</f>
        <v/>
      </c>
      <c r="E980" s="27" t="str">
        <f>IFERROR(__xludf.DUMMYFUNCTION("IFERROR(ARRAY_CONSTRAIN(SPLIT(INDEX('Daily Raw Data'!G:G,Match($A980,'Daily Raw Data'!$B:$B,0)),"":""),1,1),"""")"),"")</f>
        <v/>
      </c>
      <c r="F980" t="str">
        <f t="array" ref="F980">IFERROR(INDEX('Daily Raw Data'!H:H,Match($A980,'Daily Raw Data'!$B:$B,0)),"")</f>
        <v/>
      </c>
      <c r="G980" t="str">
        <f t="array" ref="G980">IFERROR(INDEX('Daily Raw Data'!I:I,Match($A980,'Daily Raw Data'!$B:$B,0)),"")</f>
        <v/>
      </c>
      <c r="H980" t="str">
        <f t="array" ref="H980">IFERROR(INDEX('Daily Raw Data'!N:N,Match($A980,'Daily Raw Data'!$B:$B,0)),"")</f>
        <v/>
      </c>
      <c r="I980" t="str">
        <f t="array" ref="I980">IFERROR(INDEX('Daily Raw Data'!O:O,Match($A980,'Daily Raw Data'!$B:$B,0)),"")</f>
        <v/>
      </c>
      <c r="J980" t="str">
        <f t="array" ref="J980">IFERROR(INDEX('Daily Raw Data'!S:S,Match($A980,'Daily Raw Data'!$B:$B,0)),"")</f>
        <v/>
      </c>
      <c r="K980" t="str">
        <f t="array" ref="K980">IFERROR(INDEX('Daily Raw Data'!T:T,Match($A980,'Daily Raw Data'!$B:$B,0)),"")</f>
        <v/>
      </c>
      <c r="L980" t="str">
        <f t="array" ref="L980">IFERROR(INDEX('Daily Raw Data'!U:U,Match($A980,'Daily Raw Data'!$B:$B,0)),"")</f>
        <v/>
      </c>
      <c r="M980" t="str">
        <f t="array" ref="M980">IFERROR(INDEX('Daily Raw Data'!V:V,Match($A980,'Daily Raw Data'!$B:$B,0)),"")</f>
        <v/>
      </c>
      <c r="N980" t="str">
        <f t="array" ref="N980">IFERROR(INDEX('Daily Raw Data'!W:W,Match($A980,'Daily Raw Data'!$B:$B,0)),"")</f>
        <v/>
      </c>
      <c r="O980" t="str">
        <f t="array" ref="O980">IFERROR(INDEX('Daily Raw Data'!Y:Y,Match($A980,'Daily Raw Data'!$B:$B,0)),"")</f>
        <v/>
      </c>
      <c r="P980" t="str">
        <f t="shared" si="1"/>
        <v/>
      </c>
      <c r="Q980" s="14" t="str">
        <f t="shared" si="2"/>
        <v/>
      </c>
      <c r="R980" s="15" t="str">
        <f>IFERROR(__xludf.DUMMYFUNCTION("IF($A980="""","""", IFERROR(PERCENTRANK.INC(FILTER(P:P,$E:$E&lt;&gt;""""),P980)*100,""""))"),"")</f>
        <v/>
      </c>
      <c r="S980" s="15" t="str">
        <f>IFERROR(__xludf.DUMMYFUNCTION("IF($A980="""","""",IFERROR(PERCENTRANK.INC(FILTER(Q:Q,$E:$E&lt;&gt;""""),Q980)*100,""""))"),"")</f>
        <v/>
      </c>
    </row>
    <row r="981">
      <c r="B981" t="str">
        <f t="array" ref="B981">IFERROR(INDEX('Player Raw Data'!C:C,Match($A981,'Player Raw Data'!$B:$B,0)),"")</f>
        <v/>
      </c>
      <c r="C981" t="str">
        <f t="array" ref="C981">IFERROR(INDEX('Player Raw Data'!D:D,Match($A981,'Player Raw Data'!$B:$B,0)),"")</f>
        <v/>
      </c>
      <c r="D981" t="str">
        <f t="array" ref="D981">IFERROR(IF(A981=A980, INDEX('Player Raw Data'!E:E,Match($A981,'Player Raw Data'!$B:$B,0)+2),INDEX('Player Raw Data'!E:E,Match($A981,'Player Raw Data'!$B:$B,0))),"")</f>
        <v/>
      </c>
      <c r="E981" s="27" t="str">
        <f>IFERROR(__xludf.DUMMYFUNCTION("IFERROR(ARRAY_CONSTRAIN(SPLIT(INDEX('Daily Raw Data'!G:G,Match($A981,'Daily Raw Data'!$B:$B,0)),"":""),1,1),"""")"),"")</f>
        <v/>
      </c>
      <c r="F981" t="str">
        <f t="array" ref="F981">IFERROR(INDEX('Daily Raw Data'!H:H,Match($A981,'Daily Raw Data'!$B:$B,0)),"")</f>
        <v/>
      </c>
      <c r="G981" t="str">
        <f t="array" ref="G981">IFERROR(INDEX('Daily Raw Data'!I:I,Match($A981,'Daily Raw Data'!$B:$B,0)),"")</f>
        <v/>
      </c>
      <c r="H981" t="str">
        <f t="array" ref="H981">IFERROR(INDEX('Daily Raw Data'!N:N,Match($A981,'Daily Raw Data'!$B:$B,0)),"")</f>
        <v/>
      </c>
      <c r="I981" t="str">
        <f t="array" ref="I981">IFERROR(INDEX('Daily Raw Data'!O:O,Match($A981,'Daily Raw Data'!$B:$B,0)),"")</f>
        <v/>
      </c>
      <c r="J981" t="str">
        <f t="array" ref="J981">IFERROR(INDEX('Daily Raw Data'!S:S,Match($A981,'Daily Raw Data'!$B:$B,0)),"")</f>
        <v/>
      </c>
      <c r="K981" t="str">
        <f t="array" ref="K981">IFERROR(INDEX('Daily Raw Data'!T:T,Match($A981,'Daily Raw Data'!$B:$B,0)),"")</f>
        <v/>
      </c>
      <c r="L981" t="str">
        <f t="array" ref="L981">IFERROR(INDEX('Daily Raw Data'!U:U,Match($A981,'Daily Raw Data'!$B:$B,0)),"")</f>
        <v/>
      </c>
      <c r="M981" t="str">
        <f t="array" ref="M981">IFERROR(INDEX('Daily Raw Data'!V:V,Match($A981,'Daily Raw Data'!$B:$B,0)),"")</f>
        <v/>
      </c>
      <c r="N981" t="str">
        <f t="array" ref="N981">IFERROR(INDEX('Daily Raw Data'!W:W,Match($A981,'Daily Raw Data'!$B:$B,0)),"")</f>
        <v/>
      </c>
      <c r="O981" t="str">
        <f t="array" ref="O981">IFERROR(INDEX('Daily Raw Data'!Y:Y,Match($A981,'Daily Raw Data'!$B:$B,0)),"")</f>
        <v/>
      </c>
      <c r="P981" t="str">
        <f t="shared" si="1"/>
        <v/>
      </c>
      <c r="Q981" s="14" t="str">
        <f t="shared" si="2"/>
        <v/>
      </c>
      <c r="R981" s="15" t="str">
        <f>IFERROR(__xludf.DUMMYFUNCTION("IF($A981="""","""", IFERROR(PERCENTRANK.INC(FILTER(P:P,$E:$E&lt;&gt;""""),P981)*100,""""))"),"")</f>
        <v/>
      </c>
      <c r="S981" s="15" t="str">
        <f>IFERROR(__xludf.DUMMYFUNCTION("IF($A981="""","""",IFERROR(PERCENTRANK.INC(FILTER(Q:Q,$E:$E&lt;&gt;""""),Q981)*100,""""))"),"")</f>
        <v/>
      </c>
    </row>
    <row r="982">
      <c r="B982" t="str">
        <f t="array" ref="B982">IFERROR(INDEX('Player Raw Data'!C:C,Match($A982,'Player Raw Data'!$B:$B,0)),"")</f>
        <v/>
      </c>
      <c r="C982" t="str">
        <f t="array" ref="C982">IFERROR(INDEX('Player Raw Data'!D:D,Match($A982,'Player Raw Data'!$B:$B,0)),"")</f>
        <v/>
      </c>
      <c r="D982" t="str">
        <f t="array" ref="D982">IFERROR(IF(A982=A981, INDEX('Player Raw Data'!E:E,Match($A982,'Player Raw Data'!$B:$B,0)+2),INDEX('Player Raw Data'!E:E,Match($A982,'Player Raw Data'!$B:$B,0))),"")</f>
        <v/>
      </c>
      <c r="E982" s="27" t="str">
        <f>IFERROR(__xludf.DUMMYFUNCTION("IFERROR(ARRAY_CONSTRAIN(SPLIT(INDEX('Daily Raw Data'!G:G,Match($A982,'Daily Raw Data'!$B:$B,0)),"":""),1,1),"""")"),"")</f>
        <v/>
      </c>
      <c r="F982" t="str">
        <f t="array" ref="F982">IFERROR(INDEX('Daily Raw Data'!H:H,Match($A982,'Daily Raw Data'!$B:$B,0)),"")</f>
        <v/>
      </c>
      <c r="G982" t="str">
        <f t="array" ref="G982">IFERROR(INDEX('Daily Raw Data'!I:I,Match($A982,'Daily Raw Data'!$B:$B,0)),"")</f>
        <v/>
      </c>
      <c r="H982" t="str">
        <f t="array" ref="H982">IFERROR(INDEX('Daily Raw Data'!N:N,Match($A982,'Daily Raw Data'!$B:$B,0)),"")</f>
        <v/>
      </c>
      <c r="I982" t="str">
        <f t="array" ref="I982">IFERROR(INDEX('Daily Raw Data'!O:O,Match($A982,'Daily Raw Data'!$B:$B,0)),"")</f>
        <v/>
      </c>
      <c r="J982" t="str">
        <f t="array" ref="J982">IFERROR(INDEX('Daily Raw Data'!S:S,Match($A982,'Daily Raw Data'!$B:$B,0)),"")</f>
        <v/>
      </c>
      <c r="K982" t="str">
        <f t="array" ref="K982">IFERROR(INDEX('Daily Raw Data'!T:T,Match($A982,'Daily Raw Data'!$B:$B,0)),"")</f>
        <v/>
      </c>
      <c r="L982" t="str">
        <f t="array" ref="L982">IFERROR(INDEX('Daily Raw Data'!U:U,Match($A982,'Daily Raw Data'!$B:$B,0)),"")</f>
        <v/>
      </c>
      <c r="M982" t="str">
        <f t="array" ref="M982">IFERROR(INDEX('Daily Raw Data'!V:V,Match($A982,'Daily Raw Data'!$B:$B,0)),"")</f>
        <v/>
      </c>
      <c r="N982" t="str">
        <f t="array" ref="N982">IFERROR(INDEX('Daily Raw Data'!W:W,Match($A982,'Daily Raw Data'!$B:$B,0)),"")</f>
        <v/>
      </c>
      <c r="O982" t="str">
        <f t="array" ref="O982">IFERROR(INDEX('Daily Raw Data'!Y:Y,Match($A982,'Daily Raw Data'!$B:$B,0)),"")</f>
        <v/>
      </c>
      <c r="P982" t="str">
        <f t="shared" si="1"/>
        <v/>
      </c>
      <c r="Q982" s="14" t="str">
        <f t="shared" si="2"/>
        <v/>
      </c>
      <c r="R982" s="15" t="str">
        <f>IFERROR(__xludf.DUMMYFUNCTION("IF($A982="""","""", IFERROR(PERCENTRANK.INC(FILTER(P:P,$E:$E&lt;&gt;""""),P982)*100,""""))"),"")</f>
        <v/>
      </c>
      <c r="S982" s="15" t="str">
        <f>IFERROR(__xludf.DUMMYFUNCTION("IF($A982="""","""",IFERROR(PERCENTRANK.INC(FILTER(Q:Q,$E:$E&lt;&gt;""""),Q982)*100,""""))"),"")</f>
        <v/>
      </c>
    </row>
    <row r="983">
      <c r="B983" t="str">
        <f t="array" ref="B983">IFERROR(INDEX('Player Raw Data'!C:C,Match($A983,'Player Raw Data'!$B:$B,0)),"")</f>
        <v/>
      </c>
      <c r="C983" t="str">
        <f t="array" ref="C983">IFERROR(INDEX('Player Raw Data'!D:D,Match($A983,'Player Raw Data'!$B:$B,0)),"")</f>
        <v/>
      </c>
      <c r="D983" t="str">
        <f t="array" ref="D983">IFERROR(IF(A983=A982, INDEX('Player Raw Data'!E:E,Match($A983,'Player Raw Data'!$B:$B,0)+2),INDEX('Player Raw Data'!E:E,Match($A983,'Player Raw Data'!$B:$B,0))),"")</f>
        <v/>
      </c>
      <c r="E983" s="27" t="str">
        <f>IFERROR(__xludf.DUMMYFUNCTION("IFERROR(ARRAY_CONSTRAIN(SPLIT(INDEX('Daily Raw Data'!G:G,Match($A983,'Daily Raw Data'!$B:$B,0)),"":""),1,1),"""")"),"")</f>
        <v/>
      </c>
      <c r="F983" t="str">
        <f t="array" ref="F983">IFERROR(INDEX('Daily Raw Data'!H:H,Match($A983,'Daily Raw Data'!$B:$B,0)),"")</f>
        <v/>
      </c>
      <c r="G983" t="str">
        <f t="array" ref="G983">IFERROR(INDEX('Daily Raw Data'!I:I,Match($A983,'Daily Raw Data'!$B:$B,0)),"")</f>
        <v/>
      </c>
      <c r="H983" t="str">
        <f t="array" ref="H983">IFERROR(INDEX('Daily Raw Data'!N:N,Match($A983,'Daily Raw Data'!$B:$B,0)),"")</f>
        <v/>
      </c>
      <c r="I983" t="str">
        <f t="array" ref="I983">IFERROR(INDEX('Daily Raw Data'!O:O,Match($A983,'Daily Raw Data'!$B:$B,0)),"")</f>
        <v/>
      </c>
      <c r="J983" t="str">
        <f t="array" ref="J983">IFERROR(INDEX('Daily Raw Data'!S:S,Match($A983,'Daily Raw Data'!$B:$B,0)),"")</f>
        <v/>
      </c>
      <c r="K983" t="str">
        <f t="array" ref="K983">IFERROR(INDEX('Daily Raw Data'!T:T,Match($A983,'Daily Raw Data'!$B:$B,0)),"")</f>
        <v/>
      </c>
      <c r="L983" t="str">
        <f t="array" ref="L983">IFERROR(INDEX('Daily Raw Data'!U:U,Match($A983,'Daily Raw Data'!$B:$B,0)),"")</f>
        <v/>
      </c>
      <c r="M983" t="str">
        <f t="array" ref="M983">IFERROR(INDEX('Daily Raw Data'!V:V,Match($A983,'Daily Raw Data'!$B:$B,0)),"")</f>
        <v/>
      </c>
      <c r="N983" t="str">
        <f t="array" ref="N983">IFERROR(INDEX('Daily Raw Data'!W:W,Match($A983,'Daily Raw Data'!$B:$B,0)),"")</f>
        <v/>
      </c>
      <c r="O983" t="str">
        <f t="array" ref="O983">IFERROR(INDEX('Daily Raw Data'!Y:Y,Match($A983,'Daily Raw Data'!$B:$B,0)),"")</f>
        <v/>
      </c>
      <c r="P983" t="str">
        <f t="shared" si="1"/>
        <v/>
      </c>
      <c r="Q983" s="14" t="str">
        <f t="shared" si="2"/>
        <v/>
      </c>
      <c r="R983" s="15" t="str">
        <f>IFERROR(__xludf.DUMMYFUNCTION("IF($A983="""","""", IFERROR(PERCENTRANK.INC(FILTER(P:P,$E:$E&lt;&gt;""""),P983)*100,""""))"),"")</f>
        <v/>
      </c>
      <c r="S983" s="15" t="str">
        <f>IFERROR(__xludf.DUMMYFUNCTION("IF($A983="""","""",IFERROR(PERCENTRANK.INC(FILTER(Q:Q,$E:$E&lt;&gt;""""),Q983)*100,""""))"),"")</f>
        <v/>
      </c>
    </row>
    <row r="984">
      <c r="B984" t="str">
        <f t="array" ref="B984">IFERROR(INDEX('Player Raw Data'!C:C,Match($A984,'Player Raw Data'!$B:$B,0)),"")</f>
        <v/>
      </c>
      <c r="C984" t="str">
        <f t="array" ref="C984">IFERROR(INDEX('Player Raw Data'!D:D,Match($A984,'Player Raw Data'!$B:$B,0)),"")</f>
        <v/>
      </c>
      <c r="D984" t="str">
        <f t="array" ref="D984">IFERROR(IF(A984=A983, INDEX('Player Raw Data'!E:E,Match($A984,'Player Raw Data'!$B:$B,0)+2),INDEX('Player Raw Data'!E:E,Match($A984,'Player Raw Data'!$B:$B,0))),"")</f>
        <v/>
      </c>
      <c r="E984" s="27" t="str">
        <f>IFERROR(__xludf.DUMMYFUNCTION("IFERROR(ARRAY_CONSTRAIN(SPLIT(INDEX('Daily Raw Data'!G:G,Match($A984,'Daily Raw Data'!$B:$B,0)),"":""),1,1),"""")"),"")</f>
        <v/>
      </c>
      <c r="F984" t="str">
        <f t="array" ref="F984">IFERROR(INDEX('Daily Raw Data'!H:H,Match($A984,'Daily Raw Data'!$B:$B,0)),"")</f>
        <v/>
      </c>
      <c r="G984" t="str">
        <f t="array" ref="G984">IFERROR(INDEX('Daily Raw Data'!I:I,Match($A984,'Daily Raw Data'!$B:$B,0)),"")</f>
        <v/>
      </c>
      <c r="H984" t="str">
        <f t="array" ref="H984">IFERROR(INDEX('Daily Raw Data'!N:N,Match($A984,'Daily Raw Data'!$B:$B,0)),"")</f>
        <v/>
      </c>
      <c r="I984" t="str">
        <f t="array" ref="I984">IFERROR(INDEX('Daily Raw Data'!O:O,Match($A984,'Daily Raw Data'!$B:$B,0)),"")</f>
        <v/>
      </c>
      <c r="J984" t="str">
        <f t="array" ref="J984">IFERROR(INDEX('Daily Raw Data'!S:S,Match($A984,'Daily Raw Data'!$B:$B,0)),"")</f>
        <v/>
      </c>
      <c r="K984" t="str">
        <f t="array" ref="K984">IFERROR(INDEX('Daily Raw Data'!T:T,Match($A984,'Daily Raw Data'!$B:$B,0)),"")</f>
        <v/>
      </c>
      <c r="L984" t="str">
        <f t="array" ref="L984">IFERROR(INDEX('Daily Raw Data'!U:U,Match($A984,'Daily Raw Data'!$B:$B,0)),"")</f>
        <v/>
      </c>
      <c r="M984" t="str">
        <f t="array" ref="M984">IFERROR(INDEX('Daily Raw Data'!V:V,Match($A984,'Daily Raw Data'!$B:$B,0)),"")</f>
        <v/>
      </c>
      <c r="N984" t="str">
        <f t="array" ref="N984">IFERROR(INDEX('Daily Raw Data'!W:W,Match($A984,'Daily Raw Data'!$B:$B,0)),"")</f>
        <v/>
      </c>
      <c r="O984" t="str">
        <f t="array" ref="O984">IFERROR(INDEX('Daily Raw Data'!Y:Y,Match($A984,'Daily Raw Data'!$B:$B,0)),"")</f>
        <v/>
      </c>
      <c r="P984" t="str">
        <f t="shared" si="1"/>
        <v/>
      </c>
      <c r="Q984" s="14" t="str">
        <f t="shared" si="2"/>
        <v/>
      </c>
      <c r="R984" s="15" t="str">
        <f>IFERROR(__xludf.DUMMYFUNCTION("IF($A984="""","""", IFERROR(PERCENTRANK.INC(FILTER(P:P,$E:$E&lt;&gt;""""),P984)*100,""""))"),"")</f>
        <v/>
      </c>
      <c r="S984" s="15" t="str">
        <f>IFERROR(__xludf.DUMMYFUNCTION("IF($A984="""","""",IFERROR(PERCENTRANK.INC(FILTER(Q:Q,$E:$E&lt;&gt;""""),Q984)*100,""""))"),"")</f>
        <v/>
      </c>
    </row>
    <row r="985">
      <c r="B985" t="str">
        <f t="array" ref="B985">IFERROR(INDEX('Player Raw Data'!C:C,Match($A985,'Player Raw Data'!$B:$B,0)),"")</f>
        <v/>
      </c>
      <c r="C985" t="str">
        <f t="array" ref="C985">IFERROR(INDEX('Player Raw Data'!D:D,Match($A985,'Player Raw Data'!$B:$B,0)),"")</f>
        <v/>
      </c>
      <c r="D985" t="str">
        <f t="array" ref="D985">IFERROR(IF(A985=A984, INDEX('Player Raw Data'!E:E,Match($A985,'Player Raw Data'!$B:$B,0)+2),INDEX('Player Raw Data'!E:E,Match($A985,'Player Raw Data'!$B:$B,0))),"")</f>
        <v/>
      </c>
      <c r="E985" s="27" t="str">
        <f>IFERROR(__xludf.DUMMYFUNCTION("IFERROR(ARRAY_CONSTRAIN(SPLIT(INDEX('Daily Raw Data'!G:G,Match($A985,'Daily Raw Data'!$B:$B,0)),"":""),1,1),"""")"),"")</f>
        <v/>
      </c>
      <c r="F985" t="str">
        <f t="array" ref="F985">IFERROR(INDEX('Daily Raw Data'!H:H,Match($A985,'Daily Raw Data'!$B:$B,0)),"")</f>
        <v/>
      </c>
      <c r="G985" t="str">
        <f t="array" ref="G985">IFERROR(INDEX('Daily Raw Data'!I:I,Match($A985,'Daily Raw Data'!$B:$B,0)),"")</f>
        <v/>
      </c>
      <c r="H985" t="str">
        <f t="array" ref="H985">IFERROR(INDEX('Daily Raw Data'!N:N,Match($A985,'Daily Raw Data'!$B:$B,0)),"")</f>
        <v/>
      </c>
      <c r="I985" t="str">
        <f t="array" ref="I985">IFERROR(INDEX('Daily Raw Data'!O:O,Match($A985,'Daily Raw Data'!$B:$B,0)),"")</f>
        <v/>
      </c>
      <c r="J985" t="str">
        <f t="array" ref="J985">IFERROR(INDEX('Daily Raw Data'!S:S,Match($A985,'Daily Raw Data'!$B:$B,0)),"")</f>
        <v/>
      </c>
      <c r="K985" t="str">
        <f t="array" ref="K985">IFERROR(INDEX('Daily Raw Data'!T:T,Match($A985,'Daily Raw Data'!$B:$B,0)),"")</f>
        <v/>
      </c>
      <c r="L985" t="str">
        <f t="array" ref="L985">IFERROR(INDEX('Daily Raw Data'!U:U,Match($A985,'Daily Raw Data'!$B:$B,0)),"")</f>
        <v/>
      </c>
      <c r="M985" t="str">
        <f t="array" ref="M985">IFERROR(INDEX('Daily Raw Data'!V:V,Match($A985,'Daily Raw Data'!$B:$B,0)),"")</f>
        <v/>
      </c>
      <c r="N985" t="str">
        <f t="array" ref="N985">IFERROR(INDEX('Daily Raw Data'!W:W,Match($A985,'Daily Raw Data'!$B:$B,0)),"")</f>
        <v/>
      </c>
      <c r="O985" t="str">
        <f t="array" ref="O985">IFERROR(INDEX('Daily Raw Data'!Y:Y,Match($A985,'Daily Raw Data'!$B:$B,0)),"")</f>
        <v/>
      </c>
      <c r="P985" t="str">
        <f t="shared" si="1"/>
        <v/>
      </c>
      <c r="Q985" s="14" t="str">
        <f t="shared" si="2"/>
        <v/>
      </c>
      <c r="R985" s="15" t="str">
        <f>IFERROR(__xludf.DUMMYFUNCTION("IF($A985="""","""", IFERROR(PERCENTRANK.INC(FILTER(P:P,$E:$E&lt;&gt;""""),P985)*100,""""))"),"")</f>
        <v/>
      </c>
      <c r="S985" s="15" t="str">
        <f>IFERROR(__xludf.DUMMYFUNCTION("IF($A985="""","""",IFERROR(PERCENTRANK.INC(FILTER(Q:Q,$E:$E&lt;&gt;""""),Q985)*100,""""))"),"")</f>
        <v/>
      </c>
    </row>
    <row r="986">
      <c r="B986" t="str">
        <f t="array" ref="B986">IFERROR(INDEX('Player Raw Data'!C:C,Match($A986,'Player Raw Data'!$B:$B,0)),"")</f>
        <v/>
      </c>
      <c r="C986" t="str">
        <f t="array" ref="C986">IFERROR(INDEX('Player Raw Data'!D:D,Match($A986,'Player Raw Data'!$B:$B,0)),"")</f>
        <v/>
      </c>
      <c r="D986" t="str">
        <f t="array" ref="D986">IFERROR(IF(A986=A985, INDEX('Player Raw Data'!E:E,Match($A986,'Player Raw Data'!$B:$B,0)+2),INDEX('Player Raw Data'!E:E,Match($A986,'Player Raw Data'!$B:$B,0))),"")</f>
        <v/>
      </c>
      <c r="E986" s="27" t="str">
        <f>IFERROR(__xludf.DUMMYFUNCTION("IFERROR(ARRAY_CONSTRAIN(SPLIT(INDEX('Daily Raw Data'!G:G,Match($A986,'Daily Raw Data'!$B:$B,0)),"":""),1,1),"""")"),"")</f>
        <v/>
      </c>
      <c r="F986" t="str">
        <f t="array" ref="F986">IFERROR(INDEX('Daily Raw Data'!H:H,Match($A986,'Daily Raw Data'!$B:$B,0)),"")</f>
        <v/>
      </c>
      <c r="G986" t="str">
        <f t="array" ref="G986">IFERROR(INDEX('Daily Raw Data'!I:I,Match($A986,'Daily Raw Data'!$B:$B,0)),"")</f>
        <v/>
      </c>
      <c r="H986" t="str">
        <f t="array" ref="H986">IFERROR(INDEX('Daily Raw Data'!N:N,Match($A986,'Daily Raw Data'!$B:$B,0)),"")</f>
        <v/>
      </c>
      <c r="I986" t="str">
        <f t="array" ref="I986">IFERROR(INDEX('Daily Raw Data'!O:O,Match($A986,'Daily Raw Data'!$B:$B,0)),"")</f>
        <v/>
      </c>
      <c r="J986" t="str">
        <f t="array" ref="J986">IFERROR(INDEX('Daily Raw Data'!S:S,Match($A986,'Daily Raw Data'!$B:$B,0)),"")</f>
        <v/>
      </c>
      <c r="K986" t="str">
        <f t="array" ref="K986">IFERROR(INDEX('Daily Raw Data'!T:T,Match($A986,'Daily Raw Data'!$B:$B,0)),"")</f>
        <v/>
      </c>
      <c r="L986" t="str">
        <f t="array" ref="L986">IFERROR(INDEX('Daily Raw Data'!U:U,Match($A986,'Daily Raw Data'!$B:$B,0)),"")</f>
        <v/>
      </c>
      <c r="M986" t="str">
        <f t="array" ref="M986">IFERROR(INDEX('Daily Raw Data'!V:V,Match($A986,'Daily Raw Data'!$B:$B,0)),"")</f>
        <v/>
      </c>
      <c r="N986" t="str">
        <f t="array" ref="N986">IFERROR(INDEX('Daily Raw Data'!W:W,Match($A986,'Daily Raw Data'!$B:$B,0)),"")</f>
        <v/>
      </c>
      <c r="O986" t="str">
        <f t="array" ref="O986">IFERROR(INDEX('Daily Raw Data'!Y:Y,Match($A986,'Daily Raw Data'!$B:$B,0)),"")</f>
        <v/>
      </c>
      <c r="P986" t="str">
        <f t="shared" si="1"/>
        <v/>
      </c>
      <c r="Q986" s="14" t="str">
        <f t="shared" si="2"/>
        <v/>
      </c>
      <c r="R986" s="15" t="str">
        <f>IFERROR(__xludf.DUMMYFUNCTION("IF($A986="""","""", IFERROR(PERCENTRANK.INC(FILTER(P:P,$E:$E&lt;&gt;""""),P986)*100,""""))"),"")</f>
        <v/>
      </c>
      <c r="S986" s="15" t="str">
        <f>IFERROR(__xludf.DUMMYFUNCTION("IF($A986="""","""",IFERROR(PERCENTRANK.INC(FILTER(Q:Q,$E:$E&lt;&gt;""""),Q986)*100,""""))"),"")</f>
        <v/>
      </c>
    </row>
    <row r="987">
      <c r="B987" t="str">
        <f t="array" ref="B987">IFERROR(INDEX('Player Raw Data'!C:C,Match($A987,'Player Raw Data'!$B:$B,0)),"")</f>
        <v/>
      </c>
      <c r="C987" t="str">
        <f t="array" ref="C987">IFERROR(INDEX('Player Raw Data'!D:D,Match($A987,'Player Raw Data'!$B:$B,0)),"")</f>
        <v/>
      </c>
      <c r="D987" t="str">
        <f t="array" ref="D987">IFERROR(IF(A987=A986, INDEX('Player Raw Data'!E:E,Match($A987,'Player Raw Data'!$B:$B,0)+2),INDEX('Player Raw Data'!E:E,Match($A987,'Player Raw Data'!$B:$B,0))),"")</f>
        <v/>
      </c>
      <c r="E987" s="27" t="str">
        <f>IFERROR(__xludf.DUMMYFUNCTION("IFERROR(ARRAY_CONSTRAIN(SPLIT(INDEX('Daily Raw Data'!G:G,Match($A987,'Daily Raw Data'!$B:$B,0)),"":""),1,1),"""")"),"")</f>
        <v/>
      </c>
      <c r="F987" t="str">
        <f t="array" ref="F987">IFERROR(INDEX('Daily Raw Data'!H:H,Match($A987,'Daily Raw Data'!$B:$B,0)),"")</f>
        <v/>
      </c>
      <c r="G987" t="str">
        <f t="array" ref="G987">IFERROR(INDEX('Daily Raw Data'!I:I,Match($A987,'Daily Raw Data'!$B:$B,0)),"")</f>
        <v/>
      </c>
      <c r="H987" t="str">
        <f t="array" ref="H987">IFERROR(INDEX('Daily Raw Data'!N:N,Match($A987,'Daily Raw Data'!$B:$B,0)),"")</f>
        <v/>
      </c>
      <c r="I987" t="str">
        <f t="array" ref="I987">IFERROR(INDEX('Daily Raw Data'!O:O,Match($A987,'Daily Raw Data'!$B:$B,0)),"")</f>
        <v/>
      </c>
      <c r="J987" t="str">
        <f t="array" ref="J987">IFERROR(INDEX('Daily Raw Data'!S:S,Match($A987,'Daily Raw Data'!$B:$B,0)),"")</f>
        <v/>
      </c>
      <c r="K987" t="str">
        <f t="array" ref="K987">IFERROR(INDEX('Daily Raw Data'!T:T,Match($A987,'Daily Raw Data'!$B:$B,0)),"")</f>
        <v/>
      </c>
      <c r="L987" t="str">
        <f t="array" ref="L987">IFERROR(INDEX('Daily Raw Data'!U:U,Match($A987,'Daily Raw Data'!$B:$B,0)),"")</f>
        <v/>
      </c>
      <c r="M987" t="str">
        <f t="array" ref="M987">IFERROR(INDEX('Daily Raw Data'!V:V,Match($A987,'Daily Raw Data'!$B:$B,0)),"")</f>
        <v/>
      </c>
      <c r="N987" t="str">
        <f t="array" ref="N987">IFERROR(INDEX('Daily Raw Data'!W:W,Match($A987,'Daily Raw Data'!$B:$B,0)),"")</f>
        <v/>
      </c>
      <c r="O987" t="str">
        <f t="array" ref="O987">IFERROR(INDEX('Daily Raw Data'!Y:Y,Match($A987,'Daily Raw Data'!$B:$B,0)),"")</f>
        <v/>
      </c>
      <c r="P987" t="str">
        <f t="shared" si="1"/>
        <v/>
      </c>
      <c r="Q987" s="14" t="str">
        <f t="shared" si="2"/>
        <v/>
      </c>
      <c r="R987" s="15" t="str">
        <f>IFERROR(__xludf.DUMMYFUNCTION("IF($A987="""","""", IFERROR(PERCENTRANK.INC(FILTER(P:P,$E:$E&lt;&gt;""""),P987)*100,""""))"),"")</f>
        <v/>
      </c>
      <c r="S987" s="15" t="str">
        <f>IFERROR(__xludf.DUMMYFUNCTION("IF($A987="""","""",IFERROR(PERCENTRANK.INC(FILTER(Q:Q,$E:$E&lt;&gt;""""),Q987)*100,""""))"),"")</f>
        <v/>
      </c>
    </row>
    <row r="988">
      <c r="B988" t="str">
        <f t="array" ref="B988">IFERROR(INDEX('Player Raw Data'!C:C,Match($A988,'Player Raw Data'!$B:$B,0)),"")</f>
        <v/>
      </c>
      <c r="C988" t="str">
        <f t="array" ref="C988">IFERROR(INDEX('Player Raw Data'!D:D,Match($A988,'Player Raw Data'!$B:$B,0)),"")</f>
        <v/>
      </c>
      <c r="D988" t="str">
        <f t="array" ref="D988">IFERROR(IF(A988=A987, INDEX('Player Raw Data'!E:E,Match($A988,'Player Raw Data'!$B:$B,0)+2),INDEX('Player Raw Data'!E:E,Match($A988,'Player Raw Data'!$B:$B,0))),"")</f>
        <v/>
      </c>
      <c r="E988" s="27" t="str">
        <f>IFERROR(__xludf.DUMMYFUNCTION("IFERROR(ARRAY_CONSTRAIN(SPLIT(INDEX('Daily Raw Data'!G:G,Match($A988,'Daily Raw Data'!$B:$B,0)),"":""),1,1),"""")"),"")</f>
        <v/>
      </c>
      <c r="F988" t="str">
        <f t="array" ref="F988">IFERROR(INDEX('Daily Raw Data'!H:H,Match($A988,'Daily Raw Data'!$B:$B,0)),"")</f>
        <v/>
      </c>
      <c r="G988" t="str">
        <f t="array" ref="G988">IFERROR(INDEX('Daily Raw Data'!I:I,Match($A988,'Daily Raw Data'!$B:$B,0)),"")</f>
        <v/>
      </c>
      <c r="H988" t="str">
        <f t="array" ref="H988">IFERROR(INDEX('Daily Raw Data'!N:N,Match($A988,'Daily Raw Data'!$B:$B,0)),"")</f>
        <v/>
      </c>
      <c r="I988" t="str">
        <f t="array" ref="I988">IFERROR(INDEX('Daily Raw Data'!O:O,Match($A988,'Daily Raw Data'!$B:$B,0)),"")</f>
        <v/>
      </c>
      <c r="J988" t="str">
        <f t="array" ref="J988">IFERROR(INDEX('Daily Raw Data'!S:S,Match($A988,'Daily Raw Data'!$B:$B,0)),"")</f>
        <v/>
      </c>
      <c r="K988" t="str">
        <f t="array" ref="K988">IFERROR(INDEX('Daily Raw Data'!T:T,Match($A988,'Daily Raw Data'!$B:$B,0)),"")</f>
        <v/>
      </c>
      <c r="L988" t="str">
        <f t="array" ref="L988">IFERROR(INDEX('Daily Raw Data'!U:U,Match($A988,'Daily Raw Data'!$B:$B,0)),"")</f>
        <v/>
      </c>
      <c r="M988" t="str">
        <f t="array" ref="M988">IFERROR(INDEX('Daily Raw Data'!V:V,Match($A988,'Daily Raw Data'!$B:$B,0)),"")</f>
        <v/>
      </c>
      <c r="N988" t="str">
        <f t="array" ref="N988">IFERROR(INDEX('Daily Raw Data'!W:W,Match($A988,'Daily Raw Data'!$B:$B,0)),"")</f>
        <v/>
      </c>
      <c r="O988" t="str">
        <f t="array" ref="O988">IFERROR(INDEX('Daily Raw Data'!Y:Y,Match($A988,'Daily Raw Data'!$B:$B,0)),"")</f>
        <v/>
      </c>
      <c r="P988" t="str">
        <f t="shared" si="1"/>
        <v/>
      </c>
      <c r="Q988" s="14" t="str">
        <f t="shared" si="2"/>
        <v/>
      </c>
      <c r="R988" s="15" t="str">
        <f>IFERROR(__xludf.DUMMYFUNCTION("IF($A988="""","""", IFERROR(PERCENTRANK.INC(FILTER(P:P,$E:$E&lt;&gt;""""),P988)*100,""""))"),"")</f>
        <v/>
      </c>
      <c r="S988" s="15" t="str">
        <f>IFERROR(__xludf.DUMMYFUNCTION("IF($A988="""","""",IFERROR(PERCENTRANK.INC(FILTER(Q:Q,$E:$E&lt;&gt;""""),Q988)*100,""""))"),"")</f>
        <v/>
      </c>
    </row>
    <row r="989">
      <c r="B989" t="str">
        <f t="array" ref="B989">IFERROR(INDEX('Player Raw Data'!C:C,Match($A989,'Player Raw Data'!$B:$B,0)),"")</f>
        <v/>
      </c>
      <c r="C989" t="str">
        <f t="array" ref="C989">IFERROR(INDEX('Player Raw Data'!D:D,Match($A989,'Player Raw Data'!$B:$B,0)),"")</f>
        <v/>
      </c>
      <c r="D989" t="str">
        <f t="array" ref="D989">IFERROR(IF(A989=A988, INDEX('Player Raw Data'!E:E,Match($A989,'Player Raw Data'!$B:$B,0)+2),INDEX('Player Raw Data'!E:E,Match($A989,'Player Raw Data'!$B:$B,0))),"")</f>
        <v/>
      </c>
      <c r="E989" s="27" t="str">
        <f>IFERROR(__xludf.DUMMYFUNCTION("IFERROR(ARRAY_CONSTRAIN(SPLIT(INDEX('Daily Raw Data'!G:G,Match($A989,'Daily Raw Data'!$B:$B,0)),"":""),1,1),"""")"),"")</f>
        <v/>
      </c>
      <c r="F989" t="str">
        <f t="array" ref="F989">IFERROR(INDEX('Daily Raw Data'!H:H,Match($A989,'Daily Raw Data'!$B:$B,0)),"")</f>
        <v/>
      </c>
      <c r="G989" t="str">
        <f t="array" ref="G989">IFERROR(INDEX('Daily Raw Data'!I:I,Match($A989,'Daily Raw Data'!$B:$B,0)),"")</f>
        <v/>
      </c>
      <c r="H989" t="str">
        <f t="array" ref="H989">IFERROR(INDEX('Daily Raw Data'!N:N,Match($A989,'Daily Raw Data'!$B:$B,0)),"")</f>
        <v/>
      </c>
      <c r="I989" t="str">
        <f t="array" ref="I989">IFERROR(INDEX('Daily Raw Data'!O:O,Match($A989,'Daily Raw Data'!$B:$B,0)),"")</f>
        <v/>
      </c>
      <c r="J989" t="str">
        <f t="array" ref="J989">IFERROR(INDEX('Daily Raw Data'!S:S,Match($A989,'Daily Raw Data'!$B:$B,0)),"")</f>
        <v/>
      </c>
      <c r="K989" t="str">
        <f t="array" ref="K989">IFERROR(INDEX('Daily Raw Data'!T:T,Match($A989,'Daily Raw Data'!$B:$B,0)),"")</f>
        <v/>
      </c>
      <c r="L989" t="str">
        <f t="array" ref="L989">IFERROR(INDEX('Daily Raw Data'!U:U,Match($A989,'Daily Raw Data'!$B:$B,0)),"")</f>
        <v/>
      </c>
      <c r="M989" t="str">
        <f t="array" ref="M989">IFERROR(INDEX('Daily Raw Data'!V:V,Match($A989,'Daily Raw Data'!$B:$B,0)),"")</f>
        <v/>
      </c>
      <c r="N989" t="str">
        <f t="array" ref="N989">IFERROR(INDEX('Daily Raw Data'!W:W,Match($A989,'Daily Raw Data'!$B:$B,0)),"")</f>
        <v/>
      </c>
      <c r="O989" t="str">
        <f t="array" ref="O989">IFERROR(INDEX('Daily Raw Data'!Y:Y,Match($A989,'Daily Raw Data'!$B:$B,0)),"")</f>
        <v/>
      </c>
      <c r="P989" t="str">
        <f t="shared" si="1"/>
        <v/>
      </c>
      <c r="Q989" s="14" t="str">
        <f t="shared" si="2"/>
        <v/>
      </c>
      <c r="R989" s="15" t="str">
        <f>IFERROR(__xludf.DUMMYFUNCTION("IF($A989="""","""", IFERROR(PERCENTRANK.INC(FILTER(P:P,$E:$E&lt;&gt;""""),P989)*100,""""))"),"")</f>
        <v/>
      </c>
      <c r="S989" s="15" t="str">
        <f>IFERROR(__xludf.DUMMYFUNCTION("IF($A989="""","""",IFERROR(PERCENTRANK.INC(FILTER(Q:Q,$E:$E&lt;&gt;""""),Q989)*100,""""))"),"")</f>
        <v/>
      </c>
    </row>
    <row r="990">
      <c r="B990" t="str">
        <f t="array" ref="B990">IFERROR(INDEX('Player Raw Data'!C:C,Match($A990,'Player Raw Data'!$B:$B,0)),"")</f>
        <v/>
      </c>
      <c r="C990" t="str">
        <f t="array" ref="C990">IFERROR(INDEX('Player Raw Data'!D:D,Match($A990,'Player Raw Data'!$B:$B,0)),"")</f>
        <v/>
      </c>
      <c r="D990" t="str">
        <f t="array" ref="D990">IFERROR(IF(A990=A989, INDEX('Player Raw Data'!E:E,Match($A990,'Player Raw Data'!$B:$B,0)+2),INDEX('Player Raw Data'!E:E,Match($A990,'Player Raw Data'!$B:$B,0))),"")</f>
        <v/>
      </c>
      <c r="E990" s="27" t="str">
        <f>IFERROR(__xludf.DUMMYFUNCTION("IFERROR(ARRAY_CONSTRAIN(SPLIT(INDEX('Daily Raw Data'!G:G,Match($A990,'Daily Raw Data'!$B:$B,0)),"":""),1,1),"""")"),"")</f>
        <v/>
      </c>
      <c r="F990" t="str">
        <f t="array" ref="F990">IFERROR(INDEX('Daily Raw Data'!H:H,Match($A990,'Daily Raw Data'!$B:$B,0)),"")</f>
        <v/>
      </c>
      <c r="G990" t="str">
        <f t="array" ref="G990">IFERROR(INDEX('Daily Raw Data'!I:I,Match($A990,'Daily Raw Data'!$B:$B,0)),"")</f>
        <v/>
      </c>
      <c r="H990" t="str">
        <f t="array" ref="H990">IFERROR(INDEX('Daily Raw Data'!N:N,Match($A990,'Daily Raw Data'!$B:$B,0)),"")</f>
        <v/>
      </c>
      <c r="I990" t="str">
        <f t="array" ref="I990">IFERROR(INDEX('Daily Raw Data'!O:O,Match($A990,'Daily Raw Data'!$B:$B,0)),"")</f>
        <v/>
      </c>
      <c r="J990" t="str">
        <f t="array" ref="J990">IFERROR(INDEX('Daily Raw Data'!S:S,Match($A990,'Daily Raw Data'!$B:$B,0)),"")</f>
        <v/>
      </c>
      <c r="K990" t="str">
        <f t="array" ref="K990">IFERROR(INDEX('Daily Raw Data'!T:T,Match($A990,'Daily Raw Data'!$B:$B,0)),"")</f>
        <v/>
      </c>
      <c r="L990" t="str">
        <f t="array" ref="L990">IFERROR(INDEX('Daily Raw Data'!U:U,Match($A990,'Daily Raw Data'!$B:$B,0)),"")</f>
        <v/>
      </c>
      <c r="M990" t="str">
        <f t="array" ref="M990">IFERROR(INDEX('Daily Raw Data'!V:V,Match($A990,'Daily Raw Data'!$B:$B,0)),"")</f>
        <v/>
      </c>
      <c r="N990" t="str">
        <f t="array" ref="N990">IFERROR(INDEX('Daily Raw Data'!W:W,Match($A990,'Daily Raw Data'!$B:$B,0)),"")</f>
        <v/>
      </c>
      <c r="O990" t="str">
        <f t="array" ref="O990">IFERROR(INDEX('Daily Raw Data'!Y:Y,Match($A990,'Daily Raw Data'!$B:$B,0)),"")</f>
        <v/>
      </c>
      <c r="P990" t="str">
        <f t="shared" si="1"/>
        <v/>
      </c>
      <c r="Q990" s="14" t="str">
        <f t="shared" si="2"/>
        <v/>
      </c>
      <c r="R990" s="15" t="str">
        <f>IFERROR(__xludf.DUMMYFUNCTION("IF($A990="""","""", IFERROR(PERCENTRANK.INC(FILTER(P:P,$E:$E&lt;&gt;""""),P990)*100,""""))"),"")</f>
        <v/>
      </c>
      <c r="S990" s="15" t="str">
        <f>IFERROR(__xludf.DUMMYFUNCTION("IF($A990="""","""",IFERROR(PERCENTRANK.INC(FILTER(Q:Q,$E:$E&lt;&gt;""""),Q990)*100,""""))"),"")</f>
        <v/>
      </c>
    </row>
    <row r="991">
      <c r="B991" t="str">
        <f t="array" ref="B991">IFERROR(INDEX('Player Raw Data'!C:C,Match($A991,'Player Raw Data'!$B:$B,0)),"")</f>
        <v/>
      </c>
      <c r="C991" t="str">
        <f t="array" ref="C991">IFERROR(INDEX('Player Raw Data'!D:D,Match($A991,'Player Raw Data'!$B:$B,0)),"")</f>
        <v/>
      </c>
      <c r="D991" t="str">
        <f t="array" ref="D991">IFERROR(IF(A991=A990, INDEX('Player Raw Data'!E:E,Match($A991,'Player Raw Data'!$B:$B,0)+2),INDEX('Player Raw Data'!E:E,Match($A991,'Player Raw Data'!$B:$B,0))),"")</f>
        <v/>
      </c>
      <c r="E991" s="27" t="str">
        <f>IFERROR(__xludf.DUMMYFUNCTION("IFERROR(ARRAY_CONSTRAIN(SPLIT(INDEX('Daily Raw Data'!G:G,Match($A991,'Daily Raw Data'!$B:$B,0)),"":""),1,1),"""")"),"")</f>
        <v/>
      </c>
      <c r="F991" t="str">
        <f t="array" ref="F991">IFERROR(INDEX('Daily Raw Data'!H:H,Match($A991,'Daily Raw Data'!$B:$B,0)),"")</f>
        <v/>
      </c>
      <c r="G991" t="str">
        <f t="array" ref="G991">IFERROR(INDEX('Daily Raw Data'!I:I,Match($A991,'Daily Raw Data'!$B:$B,0)),"")</f>
        <v/>
      </c>
      <c r="H991" t="str">
        <f t="array" ref="H991">IFERROR(INDEX('Daily Raw Data'!N:N,Match($A991,'Daily Raw Data'!$B:$B,0)),"")</f>
        <v/>
      </c>
      <c r="I991" t="str">
        <f t="array" ref="I991">IFERROR(INDEX('Daily Raw Data'!O:O,Match($A991,'Daily Raw Data'!$B:$B,0)),"")</f>
        <v/>
      </c>
      <c r="J991" t="str">
        <f t="array" ref="J991">IFERROR(INDEX('Daily Raw Data'!S:S,Match($A991,'Daily Raw Data'!$B:$B,0)),"")</f>
        <v/>
      </c>
      <c r="K991" t="str">
        <f t="array" ref="K991">IFERROR(INDEX('Daily Raw Data'!T:T,Match($A991,'Daily Raw Data'!$B:$B,0)),"")</f>
        <v/>
      </c>
      <c r="L991" t="str">
        <f t="array" ref="L991">IFERROR(INDEX('Daily Raw Data'!U:U,Match($A991,'Daily Raw Data'!$B:$B,0)),"")</f>
        <v/>
      </c>
      <c r="M991" t="str">
        <f t="array" ref="M991">IFERROR(INDEX('Daily Raw Data'!V:V,Match($A991,'Daily Raw Data'!$B:$B,0)),"")</f>
        <v/>
      </c>
      <c r="N991" t="str">
        <f t="array" ref="N991">IFERROR(INDEX('Daily Raw Data'!W:W,Match($A991,'Daily Raw Data'!$B:$B,0)),"")</f>
        <v/>
      </c>
      <c r="O991" t="str">
        <f t="array" ref="O991">IFERROR(INDEX('Daily Raw Data'!Y:Y,Match($A991,'Daily Raw Data'!$B:$B,0)),"")</f>
        <v/>
      </c>
      <c r="P991" t="str">
        <f t="shared" si="1"/>
        <v/>
      </c>
      <c r="Q991" s="14" t="str">
        <f t="shared" si="2"/>
        <v/>
      </c>
      <c r="R991" s="15" t="str">
        <f>IFERROR(__xludf.DUMMYFUNCTION("IF($A991="""","""", IFERROR(PERCENTRANK.INC(FILTER(P:P,$E:$E&lt;&gt;""""),P991)*100,""""))"),"")</f>
        <v/>
      </c>
      <c r="S991" s="15" t="str">
        <f>IFERROR(__xludf.DUMMYFUNCTION("IF($A991="""","""",IFERROR(PERCENTRANK.INC(FILTER(Q:Q,$E:$E&lt;&gt;""""),Q991)*100,""""))"),"")</f>
        <v/>
      </c>
    </row>
    <row r="992">
      <c r="B992" t="str">
        <f t="array" ref="B992">IFERROR(INDEX('Player Raw Data'!C:C,Match($A992,'Player Raw Data'!$B:$B,0)),"")</f>
        <v/>
      </c>
      <c r="C992" t="str">
        <f t="array" ref="C992">IFERROR(INDEX('Player Raw Data'!D:D,Match($A992,'Player Raw Data'!$B:$B,0)),"")</f>
        <v/>
      </c>
      <c r="D992" t="str">
        <f t="array" ref="D992">IFERROR(IF(A992=A991, INDEX('Player Raw Data'!E:E,Match($A992,'Player Raw Data'!$B:$B,0)+2),INDEX('Player Raw Data'!E:E,Match($A992,'Player Raw Data'!$B:$B,0))),"")</f>
        <v/>
      </c>
      <c r="E992" s="27" t="str">
        <f>IFERROR(__xludf.DUMMYFUNCTION("IFERROR(ARRAY_CONSTRAIN(SPLIT(INDEX('Daily Raw Data'!G:G,Match($A992,'Daily Raw Data'!$B:$B,0)),"":""),1,1),"""")"),"")</f>
        <v/>
      </c>
      <c r="F992" t="str">
        <f t="array" ref="F992">IFERROR(INDEX('Daily Raw Data'!H:H,Match($A992,'Daily Raw Data'!$B:$B,0)),"")</f>
        <v/>
      </c>
      <c r="G992" t="str">
        <f t="array" ref="G992">IFERROR(INDEX('Daily Raw Data'!I:I,Match($A992,'Daily Raw Data'!$B:$B,0)),"")</f>
        <v/>
      </c>
      <c r="H992" t="str">
        <f t="array" ref="H992">IFERROR(INDEX('Daily Raw Data'!N:N,Match($A992,'Daily Raw Data'!$B:$B,0)),"")</f>
        <v/>
      </c>
      <c r="I992" t="str">
        <f t="array" ref="I992">IFERROR(INDEX('Daily Raw Data'!O:O,Match($A992,'Daily Raw Data'!$B:$B,0)),"")</f>
        <v/>
      </c>
      <c r="J992" t="str">
        <f t="array" ref="J992">IFERROR(INDEX('Daily Raw Data'!S:S,Match($A992,'Daily Raw Data'!$B:$B,0)),"")</f>
        <v/>
      </c>
      <c r="K992" t="str">
        <f t="array" ref="K992">IFERROR(INDEX('Daily Raw Data'!T:T,Match($A992,'Daily Raw Data'!$B:$B,0)),"")</f>
        <v/>
      </c>
      <c r="L992" t="str">
        <f t="array" ref="L992">IFERROR(INDEX('Daily Raw Data'!U:U,Match($A992,'Daily Raw Data'!$B:$B,0)),"")</f>
        <v/>
      </c>
      <c r="M992" t="str">
        <f t="array" ref="M992">IFERROR(INDEX('Daily Raw Data'!V:V,Match($A992,'Daily Raw Data'!$B:$B,0)),"")</f>
        <v/>
      </c>
      <c r="N992" t="str">
        <f t="array" ref="N992">IFERROR(INDEX('Daily Raw Data'!W:W,Match($A992,'Daily Raw Data'!$B:$B,0)),"")</f>
        <v/>
      </c>
      <c r="O992" t="str">
        <f t="array" ref="O992">IFERROR(INDEX('Daily Raw Data'!Y:Y,Match($A992,'Daily Raw Data'!$B:$B,0)),"")</f>
        <v/>
      </c>
      <c r="P992" t="str">
        <f t="shared" si="1"/>
        <v/>
      </c>
      <c r="Q992" s="14" t="str">
        <f t="shared" si="2"/>
        <v/>
      </c>
      <c r="R992" s="15" t="str">
        <f>IFERROR(__xludf.DUMMYFUNCTION("IF($A992="""","""", IFERROR(PERCENTRANK.INC(FILTER(P:P,$E:$E&lt;&gt;""""),P992)*100,""""))"),"")</f>
        <v/>
      </c>
      <c r="S992" s="15" t="str">
        <f>IFERROR(__xludf.DUMMYFUNCTION("IF($A992="""","""",IFERROR(PERCENTRANK.INC(FILTER(Q:Q,$E:$E&lt;&gt;""""),Q992)*100,""""))"),"")</f>
        <v/>
      </c>
    </row>
    <row r="993">
      <c r="B993" t="str">
        <f t="array" ref="B993">IFERROR(INDEX('Player Raw Data'!C:C,Match($A993,'Player Raw Data'!$B:$B,0)),"")</f>
        <v/>
      </c>
      <c r="C993" t="str">
        <f t="array" ref="C993">IFERROR(INDEX('Player Raw Data'!D:D,Match($A993,'Player Raw Data'!$B:$B,0)),"")</f>
        <v/>
      </c>
      <c r="D993" t="str">
        <f t="array" ref="D993">IFERROR(IF(A993=A992, INDEX('Player Raw Data'!E:E,Match($A993,'Player Raw Data'!$B:$B,0)+2),INDEX('Player Raw Data'!E:E,Match($A993,'Player Raw Data'!$B:$B,0))),"")</f>
        <v/>
      </c>
      <c r="E993" s="27" t="str">
        <f>IFERROR(__xludf.DUMMYFUNCTION("IFERROR(ARRAY_CONSTRAIN(SPLIT(INDEX('Daily Raw Data'!G:G,Match($A993,'Daily Raw Data'!$B:$B,0)),"":""),1,1),"""")"),"")</f>
        <v/>
      </c>
      <c r="F993" t="str">
        <f t="array" ref="F993">IFERROR(INDEX('Daily Raw Data'!H:H,Match($A993,'Daily Raw Data'!$B:$B,0)),"")</f>
        <v/>
      </c>
      <c r="G993" t="str">
        <f t="array" ref="G993">IFERROR(INDEX('Daily Raw Data'!I:I,Match($A993,'Daily Raw Data'!$B:$B,0)),"")</f>
        <v/>
      </c>
      <c r="H993" t="str">
        <f t="array" ref="H993">IFERROR(INDEX('Daily Raw Data'!N:N,Match($A993,'Daily Raw Data'!$B:$B,0)),"")</f>
        <v/>
      </c>
      <c r="I993" t="str">
        <f t="array" ref="I993">IFERROR(INDEX('Daily Raw Data'!O:O,Match($A993,'Daily Raw Data'!$B:$B,0)),"")</f>
        <v/>
      </c>
      <c r="J993" t="str">
        <f t="array" ref="J993">IFERROR(INDEX('Daily Raw Data'!S:S,Match($A993,'Daily Raw Data'!$B:$B,0)),"")</f>
        <v/>
      </c>
      <c r="K993" t="str">
        <f t="array" ref="K993">IFERROR(INDEX('Daily Raw Data'!T:T,Match($A993,'Daily Raw Data'!$B:$B,0)),"")</f>
        <v/>
      </c>
      <c r="L993" t="str">
        <f t="array" ref="L993">IFERROR(INDEX('Daily Raw Data'!U:U,Match($A993,'Daily Raw Data'!$B:$B,0)),"")</f>
        <v/>
      </c>
      <c r="M993" t="str">
        <f t="array" ref="M993">IFERROR(INDEX('Daily Raw Data'!V:V,Match($A993,'Daily Raw Data'!$B:$B,0)),"")</f>
        <v/>
      </c>
      <c r="N993" t="str">
        <f t="array" ref="N993">IFERROR(INDEX('Daily Raw Data'!W:W,Match($A993,'Daily Raw Data'!$B:$B,0)),"")</f>
        <v/>
      </c>
      <c r="O993" t="str">
        <f t="array" ref="O993">IFERROR(INDEX('Daily Raw Data'!Y:Y,Match($A993,'Daily Raw Data'!$B:$B,0)),"")</f>
        <v/>
      </c>
      <c r="P993" t="str">
        <f t="shared" si="1"/>
        <v/>
      </c>
      <c r="Q993" s="14" t="str">
        <f t="shared" si="2"/>
        <v/>
      </c>
      <c r="R993" s="15" t="str">
        <f>IFERROR(__xludf.DUMMYFUNCTION("IF($A993="""","""", IFERROR(PERCENTRANK.INC(FILTER(P:P,$E:$E&lt;&gt;""""),P993)*100,""""))"),"")</f>
        <v/>
      </c>
      <c r="S993" s="15" t="str">
        <f>IFERROR(__xludf.DUMMYFUNCTION("IF($A993="""","""",IFERROR(PERCENTRANK.INC(FILTER(Q:Q,$E:$E&lt;&gt;""""),Q993)*100,""""))"),"")</f>
        <v/>
      </c>
    </row>
    <row r="994">
      <c r="B994" t="str">
        <f t="array" ref="B994">IFERROR(INDEX('Player Raw Data'!C:C,Match($A994,'Player Raw Data'!$B:$B,0)),"")</f>
        <v/>
      </c>
      <c r="C994" t="str">
        <f t="array" ref="C994">IFERROR(INDEX('Player Raw Data'!D:D,Match($A994,'Player Raw Data'!$B:$B,0)),"")</f>
        <v/>
      </c>
      <c r="D994" t="str">
        <f t="array" ref="D994">IFERROR(IF(A994=A993, INDEX('Player Raw Data'!E:E,Match($A994,'Player Raw Data'!$B:$B,0)+2),INDEX('Player Raw Data'!E:E,Match($A994,'Player Raw Data'!$B:$B,0))),"")</f>
        <v/>
      </c>
      <c r="E994" s="27" t="str">
        <f>IFERROR(__xludf.DUMMYFUNCTION("IFERROR(ARRAY_CONSTRAIN(SPLIT(INDEX('Daily Raw Data'!G:G,Match($A994,'Daily Raw Data'!$B:$B,0)),"":""),1,1),"""")"),"")</f>
        <v/>
      </c>
      <c r="F994" t="str">
        <f t="array" ref="F994">IFERROR(INDEX('Daily Raw Data'!H:H,Match($A994,'Daily Raw Data'!$B:$B,0)),"")</f>
        <v/>
      </c>
      <c r="G994" t="str">
        <f t="array" ref="G994">IFERROR(INDEX('Daily Raw Data'!I:I,Match($A994,'Daily Raw Data'!$B:$B,0)),"")</f>
        <v/>
      </c>
      <c r="H994" t="str">
        <f t="array" ref="H994">IFERROR(INDEX('Daily Raw Data'!N:N,Match($A994,'Daily Raw Data'!$B:$B,0)),"")</f>
        <v/>
      </c>
      <c r="I994" t="str">
        <f t="array" ref="I994">IFERROR(INDEX('Daily Raw Data'!O:O,Match($A994,'Daily Raw Data'!$B:$B,0)),"")</f>
        <v/>
      </c>
      <c r="J994" t="str">
        <f t="array" ref="J994">IFERROR(INDEX('Daily Raw Data'!S:S,Match($A994,'Daily Raw Data'!$B:$B,0)),"")</f>
        <v/>
      </c>
      <c r="K994" t="str">
        <f t="array" ref="K994">IFERROR(INDEX('Daily Raw Data'!T:T,Match($A994,'Daily Raw Data'!$B:$B,0)),"")</f>
        <v/>
      </c>
      <c r="L994" t="str">
        <f t="array" ref="L994">IFERROR(INDEX('Daily Raw Data'!U:U,Match($A994,'Daily Raw Data'!$B:$B,0)),"")</f>
        <v/>
      </c>
      <c r="M994" t="str">
        <f t="array" ref="M994">IFERROR(INDEX('Daily Raw Data'!V:V,Match($A994,'Daily Raw Data'!$B:$B,0)),"")</f>
        <v/>
      </c>
      <c r="N994" t="str">
        <f t="array" ref="N994">IFERROR(INDEX('Daily Raw Data'!W:W,Match($A994,'Daily Raw Data'!$B:$B,0)),"")</f>
        <v/>
      </c>
      <c r="O994" t="str">
        <f t="array" ref="O994">IFERROR(INDEX('Daily Raw Data'!Y:Y,Match($A994,'Daily Raw Data'!$B:$B,0)),"")</f>
        <v/>
      </c>
      <c r="P994" t="str">
        <f t="shared" si="1"/>
        <v/>
      </c>
      <c r="Q994" s="14" t="str">
        <f t="shared" si="2"/>
        <v/>
      </c>
      <c r="R994" s="15" t="str">
        <f>IFERROR(__xludf.DUMMYFUNCTION("IF($A994="""","""", IFERROR(PERCENTRANK.INC(FILTER(P:P,$E:$E&lt;&gt;""""),P994)*100,""""))"),"")</f>
        <v/>
      </c>
      <c r="S994" s="15" t="str">
        <f>IFERROR(__xludf.DUMMYFUNCTION("IF($A994="""","""",IFERROR(PERCENTRANK.INC(FILTER(Q:Q,$E:$E&lt;&gt;""""),Q994)*100,""""))"),"")</f>
        <v/>
      </c>
    </row>
    <row r="995">
      <c r="B995" t="str">
        <f t="array" ref="B995">IFERROR(INDEX('Player Raw Data'!C:C,Match($A995,'Player Raw Data'!$B:$B,0)),"")</f>
        <v/>
      </c>
      <c r="C995" t="str">
        <f t="array" ref="C995">IFERROR(INDEX('Player Raw Data'!D:D,Match($A995,'Player Raw Data'!$B:$B,0)),"")</f>
        <v/>
      </c>
      <c r="D995" t="str">
        <f t="array" ref="D995">IFERROR(IF(A995=A994, INDEX('Player Raw Data'!E:E,Match($A995,'Player Raw Data'!$B:$B,0)+2),INDEX('Player Raw Data'!E:E,Match($A995,'Player Raw Data'!$B:$B,0))),"")</f>
        <v/>
      </c>
      <c r="E995" s="27" t="str">
        <f>IFERROR(__xludf.DUMMYFUNCTION("IFERROR(ARRAY_CONSTRAIN(SPLIT(INDEX('Daily Raw Data'!G:G,Match($A995,'Daily Raw Data'!$B:$B,0)),"":""),1,1),"""")"),"")</f>
        <v/>
      </c>
      <c r="F995" t="str">
        <f t="array" ref="F995">IFERROR(INDEX('Daily Raw Data'!H:H,Match($A995,'Daily Raw Data'!$B:$B,0)),"")</f>
        <v/>
      </c>
      <c r="G995" t="str">
        <f t="array" ref="G995">IFERROR(INDEX('Daily Raw Data'!I:I,Match($A995,'Daily Raw Data'!$B:$B,0)),"")</f>
        <v/>
      </c>
      <c r="H995" t="str">
        <f t="array" ref="H995">IFERROR(INDEX('Daily Raw Data'!N:N,Match($A995,'Daily Raw Data'!$B:$B,0)),"")</f>
        <v/>
      </c>
      <c r="I995" t="str">
        <f t="array" ref="I995">IFERROR(INDEX('Daily Raw Data'!O:O,Match($A995,'Daily Raw Data'!$B:$B,0)),"")</f>
        <v/>
      </c>
      <c r="J995" t="str">
        <f t="array" ref="J995">IFERROR(INDEX('Daily Raw Data'!S:S,Match($A995,'Daily Raw Data'!$B:$B,0)),"")</f>
        <v/>
      </c>
      <c r="K995" t="str">
        <f t="array" ref="K995">IFERROR(INDEX('Daily Raw Data'!T:T,Match($A995,'Daily Raw Data'!$B:$B,0)),"")</f>
        <v/>
      </c>
      <c r="L995" t="str">
        <f t="array" ref="L995">IFERROR(INDEX('Daily Raw Data'!U:U,Match($A995,'Daily Raw Data'!$B:$B,0)),"")</f>
        <v/>
      </c>
      <c r="M995" t="str">
        <f t="array" ref="M995">IFERROR(INDEX('Daily Raw Data'!V:V,Match($A995,'Daily Raw Data'!$B:$B,0)),"")</f>
        <v/>
      </c>
      <c r="N995" t="str">
        <f t="array" ref="N995">IFERROR(INDEX('Daily Raw Data'!W:W,Match($A995,'Daily Raw Data'!$B:$B,0)),"")</f>
        <v/>
      </c>
      <c r="O995" t="str">
        <f t="array" ref="O995">IFERROR(INDEX('Daily Raw Data'!Y:Y,Match($A995,'Daily Raw Data'!$B:$B,0)),"")</f>
        <v/>
      </c>
      <c r="P995" t="str">
        <f t="shared" si="1"/>
        <v/>
      </c>
      <c r="Q995" s="14" t="str">
        <f t="shared" si="2"/>
        <v/>
      </c>
      <c r="R995" s="15" t="str">
        <f>IFERROR(__xludf.DUMMYFUNCTION("IF($A995="""","""", IFERROR(PERCENTRANK.INC(FILTER(P:P,$E:$E&lt;&gt;""""),P995)*100,""""))"),"")</f>
        <v/>
      </c>
      <c r="S995" s="15" t="str">
        <f>IFERROR(__xludf.DUMMYFUNCTION("IF($A995="""","""",IFERROR(PERCENTRANK.INC(FILTER(Q:Q,$E:$E&lt;&gt;""""),Q995)*100,""""))"),"")</f>
        <v/>
      </c>
    </row>
    <row r="996">
      <c r="B996" t="str">
        <f t="array" ref="B996">IFERROR(INDEX('Player Raw Data'!C:C,Match($A996,'Player Raw Data'!$B:$B,0)),"")</f>
        <v/>
      </c>
      <c r="C996" t="str">
        <f t="array" ref="C996">IFERROR(INDEX('Player Raw Data'!D:D,Match($A996,'Player Raw Data'!$B:$B,0)),"")</f>
        <v/>
      </c>
      <c r="D996" t="str">
        <f t="array" ref="D996">IFERROR(IF(A996=A995, INDEX('Player Raw Data'!E:E,Match($A996,'Player Raw Data'!$B:$B,0)+2),INDEX('Player Raw Data'!E:E,Match($A996,'Player Raw Data'!$B:$B,0))),"")</f>
        <v/>
      </c>
      <c r="E996" s="27" t="str">
        <f>IFERROR(__xludf.DUMMYFUNCTION("IFERROR(ARRAY_CONSTRAIN(SPLIT(INDEX('Daily Raw Data'!G:G,Match($A996,'Daily Raw Data'!$B:$B,0)),"":""),1,1),"""")"),"")</f>
        <v/>
      </c>
      <c r="F996" t="str">
        <f t="array" ref="F996">IFERROR(INDEX('Daily Raw Data'!H:H,Match($A996,'Daily Raw Data'!$B:$B,0)),"")</f>
        <v/>
      </c>
      <c r="G996" t="str">
        <f t="array" ref="G996">IFERROR(INDEX('Daily Raw Data'!I:I,Match($A996,'Daily Raw Data'!$B:$B,0)),"")</f>
        <v/>
      </c>
      <c r="H996" t="str">
        <f t="array" ref="H996">IFERROR(INDEX('Daily Raw Data'!N:N,Match($A996,'Daily Raw Data'!$B:$B,0)),"")</f>
        <v/>
      </c>
      <c r="I996" t="str">
        <f t="array" ref="I996">IFERROR(INDEX('Daily Raw Data'!O:O,Match($A996,'Daily Raw Data'!$B:$B,0)),"")</f>
        <v/>
      </c>
      <c r="J996" t="str">
        <f t="array" ref="J996">IFERROR(INDEX('Daily Raw Data'!S:S,Match($A996,'Daily Raw Data'!$B:$B,0)),"")</f>
        <v/>
      </c>
      <c r="K996" t="str">
        <f t="array" ref="K996">IFERROR(INDEX('Daily Raw Data'!T:T,Match($A996,'Daily Raw Data'!$B:$B,0)),"")</f>
        <v/>
      </c>
      <c r="L996" t="str">
        <f t="array" ref="L996">IFERROR(INDEX('Daily Raw Data'!U:U,Match($A996,'Daily Raw Data'!$B:$B,0)),"")</f>
        <v/>
      </c>
      <c r="M996" t="str">
        <f t="array" ref="M996">IFERROR(INDEX('Daily Raw Data'!V:V,Match($A996,'Daily Raw Data'!$B:$B,0)),"")</f>
        <v/>
      </c>
      <c r="N996" t="str">
        <f t="array" ref="N996">IFERROR(INDEX('Daily Raw Data'!W:W,Match($A996,'Daily Raw Data'!$B:$B,0)),"")</f>
        <v/>
      </c>
      <c r="O996" t="str">
        <f t="array" ref="O996">IFERROR(INDEX('Daily Raw Data'!Y:Y,Match($A996,'Daily Raw Data'!$B:$B,0)),"")</f>
        <v/>
      </c>
      <c r="P996" t="str">
        <f t="shared" si="1"/>
        <v/>
      </c>
      <c r="Q996" s="14" t="str">
        <f t="shared" si="2"/>
        <v/>
      </c>
      <c r="R996" s="15" t="str">
        <f>IFERROR(__xludf.DUMMYFUNCTION("IF($A996="""","""", IFERROR(PERCENTRANK.INC(FILTER(P:P,$E:$E&lt;&gt;""""),P996)*100,""""))"),"")</f>
        <v/>
      </c>
      <c r="S996" s="15" t="str">
        <f>IFERROR(__xludf.DUMMYFUNCTION("IF($A996="""","""",IFERROR(PERCENTRANK.INC(FILTER(Q:Q,$E:$E&lt;&gt;""""),Q996)*100,""""))"),"")</f>
        <v/>
      </c>
    </row>
    <row r="997">
      <c r="B997" t="str">
        <f t="array" ref="B997">IFERROR(INDEX('Player Raw Data'!C:C,Match($A997,'Player Raw Data'!$B:$B,0)),"")</f>
        <v/>
      </c>
      <c r="C997" t="str">
        <f t="array" ref="C997">IFERROR(INDEX('Player Raw Data'!D:D,Match($A997,'Player Raw Data'!$B:$B,0)),"")</f>
        <v/>
      </c>
      <c r="D997" t="str">
        <f t="array" ref="D997">IFERROR(IF(A997=A996, INDEX('Player Raw Data'!E:E,Match($A997,'Player Raw Data'!$B:$B,0)+2),INDEX('Player Raw Data'!E:E,Match($A997,'Player Raw Data'!$B:$B,0))),"")</f>
        <v/>
      </c>
      <c r="E997" s="27" t="str">
        <f>IFERROR(__xludf.DUMMYFUNCTION("IFERROR(ARRAY_CONSTRAIN(SPLIT(INDEX('Daily Raw Data'!G:G,Match($A997,'Daily Raw Data'!$B:$B,0)),"":""),1,1),"""")"),"")</f>
        <v/>
      </c>
      <c r="F997" t="str">
        <f t="array" ref="F997">IFERROR(INDEX('Daily Raw Data'!H:H,Match($A997,'Daily Raw Data'!$B:$B,0)),"")</f>
        <v/>
      </c>
      <c r="G997" t="str">
        <f t="array" ref="G997">IFERROR(INDEX('Daily Raw Data'!I:I,Match($A997,'Daily Raw Data'!$B:$B,0)),"")</f>
        <v/>
      </c>
      <c r="H997" t="str">
        <f t="array" ref="H997">IFERROR(INDEX('Daily Raw Data'!N:N,Match($A997,'Daily Raw Data'!$B:$B,0)),"")</f>
        <v/>
      </c>
      <c r="I997" t="str">
        <f t="array" ref="I997">IFERROR(INDEX('Daily Raw Data'!O:O,Match($A997,'Daily Raw Data'!$B:$B,0)),"")</f>
        <v/>
      </c>
      <c r="J997" t="str">
        <f t="array" ref="J997">IFERROR(INDEX('Daily Raw Data'!S:S,Match($A997,'Daily Raw Data'!$B:$B,0)),"")</f>
        <v/>
      </c>
      <c r="K997" t="str">
        <f t="array" ref="K997">IFERROR(INDEX('Daily Raw Data'!T:T,Match($A997,'Daily Raw Data'!$B:$B,0)),"")</f>
        <v/>
      </c>
      <c r="L997" t="str">
        <f t="array" ref="L997">IFERROR(INDEX('Daily Raw Data'!U:U,Match($A997,'Daily Raw Data'!$B:$B,0)),"")</f>
        <v/>
      </c>
      <c r="M997" t="str">
        <f t="array" ref="M997">IFERROR(INDEX('Daily Raw Data'!V:V,Match($A997,'Daily Raw Data'!$B:$B,0)),"")</f>
        <v/>
      </c>
      <c r="N997" t="str">
        <f t="array" ref="N997">IFERROR(INDEX('Daily Raw Data'!W:W,Match($A997,'Daily Raw Data'!$B:$B,0)),"")</f>
        <v/>
      </c>
      <c r="O997" t="str">
        <f t="array" ref="O997">IFERROR(INDEX('Daily Raw Data'!Y:Y,Match($A997,'Daily Raw Data'!$B:$B,0)),"")</f>
        <v/>
      </c>
      <c r="P997" t="str">
        <f t="shared" si="1"/>
        <v/>
      </c>
      <c r="Q997" s="14" t="str">
        <f t="shared" si="2"/>
        <v/>
      </c>
      <c r="R997" s="15" t="str">
        <f>IFERROR(__xludf.DUMMYFUNCTION("IF($A997="""","""", IFERROR(PERCENTRANK.INC(FILTER(P:P,$E:$E&lt;&gt;""""),P997)*100,""""))"),"")</f>
        <v/>
      </c>
      <c r="S997" s="15" t="str">
        <f>IFERROR(__xludf.DUMMYFUNCTION("IF($A997="""","""",IFERROR(PERCENTRANK.INC(FILTER(Q:Q,$E:$E&lt;&gt;""""),Q997)*100,""""))"),"")</f>
        <v/>
      </c>
    </row>
    <row r="998">
      <c r="B998" t="str">
        <f t="array" ref="B998">IFERROR(INDEX('Player Raw Data'!C:C,Match($A998,'Player Raw Data'!$B:$B,0)),"")</f>
        <v/>
      </c>
      <c r="C998" t="str">
        <f t="array" ref="C998">IFERROR(INDEX('Player Raw Data'!D:D,Match($A998,'Player Raw Data'!$B:$B,0)),"")</f>
        <v/>
      </c>
      <c r="D998" t="str">
        <f t="array" ref="D998">IFERROR(IF(A998=A997, INDEX('Player Raw Data'!E:E,Match($A998,'Player Raw Data'!$B:$B,0)+2),INDEX('Player Raw Data'!E:E,Match($A998,'Player Raw Data'!$B:$B,0))),"")</f>
        <v/>
      </c>
      <c r="E998" s="27" t="str">
        <f>IFERROR(__xludf.DUMMYFUNCTION("IFERROR(ARRAY_CONSTRAIN(SPLIT(INDEX('Daily Raw Data'!G:G,Match($A998,'Daily Raw Data'!$B:$B,0)),"":""),1,1),"""")"),"")</f>
        <v/>
      </c>
      <c r="F998" t="str">
        <f t="array" ref="F998">IFERROR(INDEX('Daily Raw Data'!H:H,Match($A998,'Daily Raw Data'!$B:$B,0)),"")</f>
        <v/>
      </c>
      <c r="G998" t="str">
        <f t="array" ref="G998">IFERROR(INDEX('Daily Raw Data'!I:I,Match($A998,'Daily Raw Data'!$B:$B,0)),"")</f>
        <v/>
      </c>
      <c r="H998" t="str">
        <f t="array" ref="H998">IFERROR(INDEX('Daily Raw Data'!N:N,Match($A998,'Daily Raw Data'!$B:$B,0)),"")</f>
        <v/>
      </c>
      <c r="I998" t="str">
        <f t="array" ref="I998">IFERROR(INDEX('Daily Raw Data'!O:O,Match($A998,'Daily Raw Data'!$B:$B,0)),"")</f>
        <v/>
      </c>
      <c r="J998" t="str">
        <f t="array" ref="J998">IFERROR(INDEX('Daily Raw Data'!S:S,Match($A998,'Daily Raw Data'!$B:$B,0)),"")</f>
        <v/>
      </c>
      <c r="K998" t="str">
        <f t="array" ref="K998">IFERROR(INDEX('Daily Raw Data'!T:T,Match($A998,'Daily Raw Data'!$B:$B,0)),"")</f>
        <v/>
      </c>
      <c r="L998" t="str">
        <f t="array" ref="L998">IFERROR(INDEX('Daily Raw Data'!U:U,Match($A998,'Daily Raw Data'!$B:$B,0)),"")</f>
        <v/>
      </c>
      <c r="M998" t="str">
        <f t="array" ref="M998">IFERROR(INDEX('Daily Raw Data'!V:V,Match($A998,'Daily Raw Data'!$B:$B,0)),"")</f>
        <v/>
      </c>
      <c r="N998" t="str">
        <f t="array" ref="N998">IFERROR(INDEX('Daily Raw Data'!W:W,Match($A998,'Daily Raw Data'!$B:$B,0)),"")</f>
        <v/>
      </c>
      <c r="O998" t="str">
        <f t="array" ref="O998">IFERROR(INDEX('Daily Raw Data'!Y:Y,Match($A998,'Daily Raw Data'!$B:$B,0)),"")</f>
        <v/>
      </c>
      <c r="P998" t="str">
        <f t="shared" si="1"/>
        <v/>
      </c>
      <c r="Q998" s="14" t="str">
        <f t="shared" si="2"/>
        <v/>
      </c>
      <c r="R998" s="15" t="str">
        <f>IFERROR(__xludf.DUMMYFUNCTION("IF($A998="""","""", IFERROR(PERCENTRANK.INC(FILTER(P:P,$E:$E&lt;&gt;""""),P998)*100,""""))"),"")</f>
        <v/>
      </c>
      <c r="S998" s="15" t="str">
        <f>IFERROR(__xludf.DUMMYFUNCTION("IF($A998="""","""",IFERROR(PERCENTRANK.INC(FILTER(Q:Q,$E:$E&lt;&gt;""""),Q998)*100,""""))"),"")</f>
        <v/>
      </c>
    </row>
    <row r="999">
      <c r="B999" t="str">
        <f t="array" ref="B999">IFERROR(INDEX('Player Raw Data'!C:C,Match($A999,'Player Raw Data'!$B:$B,0)),"")</f>
        <v/>
      </c>
      <c r="C999" t="str">
        <f t="array" ref="C999">IFERROR(INDEX('Player Raw Data'!D:D,Match($A999,'Player Raw Data'!$B:$B,0)),"")</f>
        <v/>
      </c>
      <c r="D999" t="str">
        <f t="array" ref="D999">IFERROR(IF(A999=A998, INDEX('Player Raw Data'!E:E,Match($A999,'Player Raw Data'!$B:$B,0)+2),INDEX('Player Raw Data'!E:E,Match($A999,'Player Raw Data'!$B:$B,0))),"")</f>
        <v/>
      </c>
      <c r="E999" s="27" t="str">
        <f>IFERROR(__xludf.DUMMYFUNCTION("IFERROR(ARRAY_CONSTRAIN(SPLIT(INDEX('Daily Raw Data'!G:G,Match($A999,'Daily Raw Data'!$B:$B,0)),"":""),1,1),"""")"),"")</f>
        <v/>
      </c>
      <c r="F999" t="str">
        <f t="array" ref="F999">IFERROR(INDEX('Daily Raw Data'!H:H,Match($A999,'Daily Raw Data'!$B:$B,0)),"")</f>
        <v/>
      </c>
      <c r="G999" t="str">
        <f t="array" ref="G999">IFERROR(INDEX('Daily Raw Data'!I:I,Match($A999,'Daily Raw Data'!$B:$B,0)),"")</f>
        <v/>
      </c>
      <c r="H999" t="str">
        <f t="array" ref="H999">IFERROR(INDEX('Daily Raw Data'!N:N,Match($A999,'Daily Raw Data'!$B:$B,0)),"")</f>
        <v/>
      </c>
      <c r="I999" t="str">
        <f t="array" ref="I999">IFERROR(INDEX('Daily Raw Data'!O:O,Match($A999,'Daily Raw Data'!$B:$B,0)),"")</f>
        <v/>
      </c>
      <c r="J999" t="str">
        <f t="array" ref="J999">IFERROR(INDEX('Daily Raw Data'!S:S,Match($A999,'Daily Raw Data'!$B:$B,0)),"")</f>
        <v/>
      </c>
      <c r="K999" t="str">
        <f t="array" ref="K999">IFERROR(INDEX('Daily Raw Data'!T:T,Match($A999,'Daily Raw Data'!$B:$B,0)),"")</f>
        <v/>
      </c>
      <c r="L999" t="str">
        <f t="array" ref="L999">IFERROR(INDEX('Daily Raw Data'!U:U,Match($A999,'Daily Raw Data'!$B:$B,0)),"")</f>
        <v/>
      </c>
      <c r="M999" t="str">
        <f t="array" ref="M999">IFERROR(INDEX('Daily Raw Data'!V:V,Match($A999,'Daily Raw Data'!$B:$B,0)),"")</f>
        <v/>
      </c>
      <c r="N999" t="str">
        <f t="array" ref="N999">IFERROR(INDEX('Daily Raw Data'!W:W,Match($A999,'Daily Raw Data'!$B:$B,0)),"")</f>
        <v/>
      </c>
      <c r="O999" t="str">
        <f t="array" ref="O999">IFERROR(INDEX('Daily Raw Data'!Y:Y,Match($A999,'Daily Raw Data'!$B:$B,0)),"")</f>
        <v/>
      </c>
      <c r="P999" t="str">
        <f t="shared" si="1"/>
        <v/>
      </c>
      <c r="Q999" s="14" t="str">
        <f t="shared" si="2"/>
        <v/>
      </c>
      <c r="R999" s="15" t="str">
        <f>IFERROR(__xludf.DUMMYFUNCTION("IF($A999="""","""", IFERROR(PERCENTRANK.INC(FILTER(P:P,$E:$E&lt;&gt;""""),P999)*100,""""))"),"")</f>
        <v/>
      </c>
      <c r="S999" s="15" t="str">
        <f>IFERROR(__xludf.DUMMYFUNCTION("IF($A999="""","""",IFERROR(PERCENTRANK.INC(FILTER(Q:Q,$E:$E&lt;&gt;""""),Q999)*100,""""))"),"")</f>
        <v/>
      </c>
    </row>
    <row r="1000">
      <c r="B1000" t="str">
        <f t="array" ref="B1000">IFERROR(INDEX('Player Raw Data'!C:C,Match($A1000,'Player Raw Data'!$B:$B,0)),"")</f>
        <v/>
      </c>
      <c r="C1000" t="str">
        <f t="array" ref="C1000">IFERROR(INDEX('Player Raw Data'!D:D,Match($A1000,'Player Raw Data'!$B:$B,0)),"")</f>
        <v/>
      </c>
      <c r="D1000" t="str">
        <f t="array" ref="D1000">IFERROR(IF(A1000=A999, INDEX('Player Raw Data'!E:E,Match($A1000,'Player Raw Data'!$B:$B,0)+2),INDEX('Player Raw Data'!E:E,Match($A1000,'Player Raw Data'!$B:$B,0))),"")</f>
        <v/>
      </c>
      <c r="E1000" s="27" t="str">
        <f>IFERROR(__xludf.DUMMYFUNCTION("IFERROR(ARRAY_CONSTRAIN(SPLIT(INDEX('Daily Raw Data'!G:G,Match($A1000,'Daily Raw Data'!$B:$B,0)),"":""),1,1),"""")"),"")</f>
        <v/>
      </c>
      <c r="F1000" t="str">
        <f t="array" ref="F1000">IFERROR(INDEX('Daily Raw Data'!H:H,Match($A1000,'Daily Raw Data'!$B:$B,0)),"")</f>
        <v/>
      </c>
      <c r="G1000" t="str">
        <f t="array" ref="G1000">IFERROR(INDEX('Daily Raw Data'!I:I,Match($A1000,'Daily Raw Data'!$B:$B,0)),"")</f>
        <v/>
      </c>
      <c r="H1000" t="str">
        <f t="array" ref="H1000">IFERROR(INDEX('Daily Raw Data'!N:N,Match($A1000,'Daily Raw Data'!$B:$B,0)),"")</f>
        <v/>
      </c>
      <c r="I1000" t="str">
        <f t="array" ref="I1000">IFERROR(INDEX('Daily Raw Data'!O:O,Match($A1000,'Daily Raw Data'!$B:$B,0)),"")</f>
        <v/>
      </c>
      <c r="J1000" t="str">
        <f t="array" ref="J1000">IFERROR(INDEX('Daily Raw Data'!S:S,Match($A1000,'Daily Raw Data'!$B:$B,0)),"")</f>
        <v/>
      </c>
      <c r="K1000" t="str">
        <f t="array" ref="K1000">IFERROR(INDEX('Daily Raw Data'!T:T,Match($A1000,'Daily Raw Data'!$B:$B,0)),"")</f>
        <v/>
      </c>
      <c r="L1000" t="str">
        <f t="array" ref="L1000">IFERROR(INDEX('Daily Raw Data'!U:U,Match($A1000,'Daily Raw Data'!$B:$B,0)),"")</f>
        <v/>
      </c>
      <c r="M1000" t="str">
        <f t="array" ref="M1000">IFERROR(INDEX('Daily Raw Data'!V:V,Match($A1000,'Daily Raw Data'!$B:$B,0)),"")</f>
        <v/>
      </c>
      <c r="N1000" t="str">
        <f t="array" ref="N1000">IFERROR(INDEX('Daily Raw Data'!W:W,Match($A1000,'Daily Raw Data'!$B:$B,0)),"")</f>
        <v/>
      </c>
      <c r="O1000" t="str">
        <f t="array" ref="O1000">IFERROR(INDEX('Daily Raw Data'!Y:Y,Match($A1000,'Daily Raw Data'!$B:$B,0)),"")</f>
        <v/>
      </c>
      <c r="P1000" t="str">
        <f t="shared" si="1"/>
        <v/>
      </c>
      <c r="Q1000" s="14" t="str">
        <f t="shared" si="2"/>
        <v/>
      </c>
      <c r="R1000" s="15" t="str">
        <f>IFERROR(__xludf.DUMMYFUNCTION("IF($A1000="""","""", IFERROR(PERCENTRANK.INC(FILTER(P:P,$E:$E&lt;&gt;""""),P1000)*100,""""))"),"")</f>
        <v/>
      </c>
      <c r="S1000" s="15" t="str">
        <f>IFERROR(__xludf.DUMMYFUNCTION("IF($A1000="""","""",IFERROR(PERCENTRANK.INC(FILTER(Q:Q,$E:$E&lt;&gt;""""),Q1000)*100,""""))"),"")</f>
        <v/>
      </c>
    </row>
  </sheetData>
  <conditionalFormatting sqref="R1 S2:S1000">
    <cfRule type="colorScale" priority="1">
      <colorScale>
        <cfvo type="formula" val="0"/>
        <cfvo type="formula" val="50"/>
        <cfvo type="formula" val="100"/>
        <color rgb="FFE67C73"/>
        <color rgb="FFFFFFFF"/>
        <color rgb="FF57BB8A"/>
      </colorScale>
    </cfRule>
  </conditionalFormatting>
  <conditionalFormatting sqref="S1">
    <cfRule type="colorScale" priority="2">
      <colorScale>
        <cfvo type="formula" val="0"/>
        <cfvo type="formula" val="50"/>
        <cfvo type="formula" val="100"/>
        <color rgb="FFE67C73"/>
        <color rgb="FFFFFFFF"/>
        <color rgb="FF57BB8A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5.0"/>
    <col customWidth="1" min="3" max="3" width="3.75"/>
    <col customWidth="1" min="4" max="6" width="4.25"/>
    <col customWidth="1" min="7" max="7" width="3.63"/>
    <col customWidth="1" min="8" max="9" width="4.0"/>
    <col customWidth="1" min="10" max="10" width="4.25"/>
    <col customWidth="1" min="11" max="11" width="4.13"/>
    <col customWidth="1" min="12" max="12" width="4.75"/>
    <col customWidth="1" min="13" max="13" width="4.5"/>
    <col customWidth="1" min="14" max="14" width="3.63"/>
    <col customWidth="1" min="15" max="15" width="4.0"/>
    <col customWidth="1" min="16" max="16" width="3.75"/>
    <col customWidth="1" min="17" max="17" width="4.63"/>
    <col customWidth="1" min="18" max="18" width="3.75"/>
    <col customWidth="1" min="19" max="19" width="3.63"/>
    <col customWidth="1" min="20" max="20" width="3.88"/>
    <col customWidth="1" min="21" max="21" width="4.5"/>
    <col customWidth="1" min="22" max="22" width="4.25"/>
    <col customWidth="1" min="23" max="23" width="4.38"/>
    <col customWidth="1" min="24" max="24" width="4.25"/>
    <col customWidth="1" min="25" max="25" width="3.63"/>
    <col customWidth="1" min="26" max="32" width="4.38"/>
    <col customWidth="1" min="33" max="33" width="10.0"/>
  </cols>
  <sheetData>
    <row r="1">
      <c r="A1" s="17" t="s">
        <v>23</v>
      </c>
      <c r="B1" s="17" t="s">
        <v>1291</v>
      </c>
      <c r="C1" s="17" t="s">
        <v>34</v>
      </c>
      <c r="D1" s="17" t="s">
        <v>37</v>
      </c>
      <c r="E1" s="17" t="s">
        <v>26</v>
      </c>
      <c r="F1" s="17" t="s">
        <v>36</v>
      </c>
      <c r="G1" s="17" t="s">
        <v>38</v>
      </c>
      <c r="H1" s="17" t="s">
        <v>53</v>
      </c>
      <c r="I1" s="17" t="s">
        <v>45</v>
      </c>
      <c r="J1" s="17" t="s">
        <v>54</v>
      </c>
      <c r="K1" s="17" t="s">
        <v>27</v>
      </c>
      <c r="L1" s="17" t="s">
        <v>47</v>
      </c>
      <c r="M1" s="17" t="s">
        <v>46</v>
      </c>
      <c r="N1" s="17" t="s">
        <v>43</v>
      </c>
      <c r="O1" s="17" t="s">
        <v>52</v>
      </c>
      <c r="P1" s="17" t="s">
        <v>48</v>
      </c>
      <c r="Q1" s="17" t="s">
        <v>42</v>
      </c>
      <c r="R1" s="17" t="s">
        <v>40</v>
      </c>
      <c r="S1" s="17" t="s">
        <v>32</v>
      </c>
      <c r="T1" s="17" t="s">
        <v>5</v>
      </c>
      <c r="U1" s="17" t="s">
        <v>44</v>
      </c>
      <c r="V1" s="17" t="s">
        <v>29</v>
      </c>
      <c r="W1" s="17" t="s">
        <v>30</v>
      </c>
      <c r="X1" s="17" t="s">
        <v>35</v>
      </c>
      <c r="Y1" s="17" t="s">
        <v>28</v>
      </c>
      <c r="Z1" s="17" t="s">
        <v>49</v>
      </c>
      <c r="AA1" s="17" t="s">
        <v>50</v>
      </c>
      <c r="AB1" s="17" t="s">
        <v>51</v>
      </c>
      <c r="AC1" s="17" t="s">
        <v>31</v>
      </c>
      <c r="AD1" s="17" t="s">
        <v>39</v>
      </c>
      <c r="AE1" s="17" t="s">
        <v>41</v>
      </c>
      <c r="AF1" s="17" t="s">
        <v>33</v>
      </c>
      <c r="AG1" s="17" t="s">
        <v>1292</v>
      </c>
    </row>
    <row r="2">
      <c r="A2" s="19">
        <f t="array" ref="A2">INDEX('Schedule Raw Data'!$A$3:$A$2477,MATCH(0,INDEX(COUNTIF($A$1:A1,'Schedule Raw Data'!$A$3:$A$2477),0,0),0))</f>
        <v>46315</v>
      </c>
      <c r="B2" s="17">
        <v>1.0</v>
      </c>
      <c r="C2">
        <f>IFERROR(COUNTIF(OFFSET('Schedule Raw Data'!$A$2,MATCH($A2,'Schedule Raw Data'!$A$3:$A$2477,0),1,COUNTIF('Schedule Raw Data'!$A$3:$A$2477,$A2),2),C$1),0)</f>
        <v>0</v>
      </c>
      <c r="D2">
        <f>IFERROR(COUNTIF(OFFSET('Schedule Raw Data'!$A$2,MATCH($A2,'Schedule Raw Data'!$A$3:$A$2477,0),1,COUNTIF('Schedule Raw Data'!$A$3:$A$2477,$A2),2),D$1),0)</f>
        <v>0</v>
      </c>
      <c r="E2">
        <f>IFERROR(COUNTIF(OFFSET('Schedule Raw Data'!$A$2,MATCH($A2,'Schedule Raw Data'!$A$3:$A$2477,0),1,COUNTIF('Schedule Raw Data'!$A$3:$A$2477,$A2),2),E$1),0)</f>
        <v>0</v>
      </c>
      <c r="F2">
        <f>IFERROR(COUNTIF(OFFSET('Schedule Raw Data'!$A$2,MATCH($A2,'Schedule Raw Data'!$A$3:$A$2477,0),1,COUNTIF('Schedule Raw Data'!$A$3:$A$2477,$A2),2),F$1),0)</f>
        <v>0</v>
      </c>
      <c r="G2">
        <f>IFERROR(COUNTIF(OFFSET('Schedule Raw Data'!$A$2,MATCH($A2,'Schedule Raw Data'!$A$3:$A$2477,0),1,COUNTIF('Schedule Raw Data'!$A$3:$A$2477,$A2),2),G$1),0)</f>
        <v>0</v>
      </c>
      <c r="H2">
        <f>IFERROR(COUNTIF(OFFSET('Schedule Raw Data'!$A$2,MATCH($A2,'Schedule Raw Data'!$A$3:$A$2477,0),1,COUNTIF('Schedule Raw Data'!$A$3:$A$2477,$A2),2),H$1),0)</f>
        <v>0</v>
      </c>
      <c r="I2">
        <f>IFERROR(COUNTIF(OFFSET('Schedule Raw Data'!$A$2,MATCH($A2,'Schedule Raw Data'!$A$3:$A$2477,0),1,COUNTIF('Schedule Raw Data'!$A$3:$A$2477,$A2),2),I$1),0)</f>
        <v>0</v>
      </c>
      <c r="J2">
        <f>IFERROR(COUNTIF(OFFSET('Schedule Raw Data'!$A$2,MATCH($A2,'Schedule Raw Data'!$A$3:$A$2477,0),1,COUNTIF('Schedule Raw Data'!$A$3:$A$2477,$A2),2),J$1),0)</f>
        <v>0</v>
      </c>
      <c r="K2">
        <f>IFERROR(COUNTIF(OFFSET('Schedule Raw Data'!$A$2,MATCH($A2,'Schedule Raw Data'!$A$3:$A$2477,0),1,COUNTIF('Schedule Raw Data'!$A$3:$A$2477,$A2),2),K$1),0)</f>
        <v>0</v>
      </c>
      <c r="L2">
        <f>IFERROR(COUNTIF(OFFSET('Schedule Raw Data'!$A$2,MATCH($A2,'Schedule Raw Data'!$A$3:$A$2477,0),1,COUNTIF('Schedule Raw Data'!$A$3:$A$2477,$A2),2),L$1),0)</f>
        <v>0</v>
      </c>
      <c r="M2">
        <f>IFERROR(COUNTIF(OFFSET('Schedule Raw Data'!$A$2,MATCH($A2,'Schedule Raw Data'!$A$3:$A$2477,0),1,COUNTIF('Schedule Raw Data'!$A$3:$A$2477,$A2),2),M$1),0)</f>
        <v>0</v>
      </c>
      <c r="N2">
        <f>IFERROR(COUNTIF(OFFSET('Schedule Raw Data'!$A$2,MATCH($A2,'Schedule Raw Data'!$A$3:$A$2477,0),1,COUNTIF('Schedule Raw Data'!$A$3:$A$2477,$A2),2),N$1),0)</f>
        <v>0</v>
      </c>
      <c r="O2">
        <f>IFERROR(COUNTIF(OFFSET('Schedule Raw Data'!$A$2,MATCH($A2,'Schedule Raw Data'!$A$3:$A$2477,0),1,COUNTIF('Schedule Raw Data'!$A$3:$A$2477,$A2),2),O$1),0)</f>
        <v>0</v>
      </c>
      <c r="P2">
        <f>IFERROR(COUNTIF(OFFSET('Schedule Raw Data'!$A$2,MATCH($A2,'Schedule Raw Data'!$A$3:$A$2477,0),1,COUNTIF('Schedule Raw Data'!$A$3:$A$2477,$A2),2),P$1),0)</f>
        <v>0</v>
      </c>
      <c r="Q2">
        <f>IFERROR(COUNTIF(OFFSET('Schedule Raw Data'!$A$2,MATCH($A2,'Schedule Raw Data'!$A$3:$A$2477,0),1,COUNTIF('Schedule Raw Data'!$A$3:$A$2477,$A2),2),Q$1),0)</f>
        <v>0</v>
      </c>
      <c r="R2">
        <f>IFERROR(COUNTIF(OFFSET('Schedule Raw Data'!$A$2,MATCH($A2,'Schedule Raw Data'!$A$3:$A$2477,0),1,COUNTIF('Schedule Raw Data'!$A$3:$A$2477,$A2),2),R$1),0)</f>
        <v>0</v>
      </c>
      <c r="S2">
        <f>IFERROR(COUNTIF(OFFSET('Schedule Raw Data'!$A$2,MATCH($A2,'Schedule Raw Data'!$A$3:$A$2477,0),1,COUNTIF('Schedule Raw Data'!$A$3:$A$2477,$A2),2),S$1),0)</f>
        <v>0</v>
      </c>
      <c r="T2">
        <f>IFERROR(COUNTIF(OFFSET('Schedule Raw Data'!$A$2,MATCH($A2,'Schedule Raw Data'!$A$3:$A$2477,0),1,COUNTIF('Schedule Raw Data'!$A$3:$A$2477,$A2),2),T$1),0)</f>
        <v>0</v>
      </c>
      <c r="U2">
        <f>IFERROR(COUNTIF(OFFSET('Schedule Raw Data'!$A$2,MATCH($A2,'Schedule Raw Data'!$A$3:$A$2477,0),1,COUNTIF('Schedule Raw Data'!$A$3:$A$2477,$A2),2),U$1),0)</f>
        <v>0</v>
      </c>
      <c r="V2">
        <f>IFERROR(COUNTIF(OFFSET('Schedule Raw Data'!$A$2,MATCH($A2,'Schedule Raw Data'!$A$3:$A$2477,0),1,COUNTIF('Schedule Raw Data'!$A$3:$A$2477,$A2),2),V$1),0)</f>
        <v>1</v>
      </c>
      <c r="W2">
        <f>IFERROR(COUNTIF(OFFSET('Schedule Raw Data'!$A$2,MATCH($A2,'Schedule Raw Data'!$A$3:$A$2477,0),1,COUNTIF('Schedule Raw Data'!$A$3:$A$2477,$A2),2),W$1),0)</f>
        <v>1</v>
      </c>
      <c r="X2">
        <f>IFERROR(COUNTIF(OFFSET('Schedule Raw Data'!$A$2,MATCH($A2,'Schedule Raw Data'!$A$3:$A$2477,0),1,COUNTIF('Schedule Raw Data'!$A$3:$A$2477,$A2),2),X$1),0)</f>
        <v>0</v>
      </c>
      <c r="Y2">
        <f>IFERROR(COUNTIF(OFFSET('Schedule Raw Data'!$A$2,MATCH($A2,'Schedule Raw Data'!$A$3:$A$2477,0),1,COUNTIF('Schedule Raw Data'!$A$3:$A$2477,$A2),2),Y$1),0)</f>
        <v>1</v>
      </c>
      <c r="Z2">
        <f>IFERROR(COUNTIF(OFFSET('Schedule Raw Data'!$A$2,MATCH($A2,'Schedule Raw Data'!$A$3:$A$2477,0),1,COUNTIF('Schedule Raw Data'!$A$3:$A$2477,$A2),2),Z$1),0)</f>
        <v>0</v>
      </c>
      <c r="AA2">
        <f>IFERROR(COUNTIF(OFFSET('Schedule Raw Data'!$A$2,MATCH($A2,'Schedule Raw Data'!$A$3:$A$2477,0),1,COUNTIF('Schedule Raw Data'!$A$3:$A$2477,$A2),2),AA$1),0)</f>
        <v>0</v>
      </c>
      <c r="AB2">
        <f>IFERROR(COUNTIF(OFFSET('Schedule Raw Data'!$A$2,MATCH($A2,'Schedule Raw Data'!$A$3:$A$2477,0),1,COUNTIF('Schedule Raw Data'!$A$3:$A$2477,$A2),2),AB$1),0)</f>
        <v>0</v>
      </c>
      <c r="AC2">
        <f>IFERROR(COUNTIF(OFFSET('Schedule Raw Data'!$A$2,MATCH($A2,'Schedule Raw Data'!$A$3:$A$2477,0),1,COUNTIF('Schedule Raw Data'!$A$3:$A$2477,$A2),2),AC$1),0)</f>
        <v>1</v>
      </c>
      <c r="AD2">
        <f>IFERROR(COUNTIF(OFFSET('Schedule Raw Data'!$A$2,MATCH($A2,'Schedule Raw Data'!$A$3:$A$2477,0),1,COUNTIF('Schedule Raw Data'!$A$3:$A$2477,$A2),2),AD$1),0)</f>
        <v>0</v>
      </c>
      <c r="AE2">
        <f>IFERROR(COUNTIF(OFFSET('Schedule Raw Data'!$A$2,MATCH($A2,'Schedule Raw Data'!$A$3:$A$2477,0),1,COUNTIF('Schedule Raw Data'!$A$3:$A$2477,$A2),2),AE$1),0)</f>
        <v>0</v>
      </c>
      <c r="AF2">
        <f>IFERROR(COUNTIF(OFFSET('Schedule Raw Data'!$A$2,MATCH($A2,'Schedule Raw Data'!$A$3:$A$2477,0),1,COUNTIF('Schedule Raw Data'!$A$3:$A$2477,$A2),2),AF$1),0)</f>
        <v>0</v>
      </c>
      <c r="AG2">
        <f t="shared" ref="AG2:AG181" si="1">SUM(C2:AF2)/2</f>
        <v>2</v>
      </c>
    </row>
    <row r="3">
      <c r="A3" s="29">
        <f t="array" ref="A3">INDEX('Schedule Raw Data'!$A$3:$A$2477,MATCH(0,INDEX(COUNTIF($A$1:A2,'Schedule Raw Data'!$A$3:$A$2477),0,0),0))</f>
        <v>46316</v>
      </c>
      <c r="B3">
        <f t="shared" ref="B3:B181" si="2">IF(ISNUMBER(SEARCH("Sun",A2)),B2+1,B2)</f>
        <v>1</v>
      </c>
      <c r="C3">
        <f>IFERROR(COUNTIF(OFFSET('Schedule Raw Data'!$A$2,MATCH($A3,'Schedule Raw Data'!$A$3:$A$2477,0),1,COUNTIF('Schedule Raw Data'!$A$3:$A$2477,$A3),2),C$1),0)</f>
        <v>1</v>
      </c>
      <c r="D3">
        <f>IFERROR(COUNTIF(OFFSET('Schedule Raw Data'!$A$2,MATCH($A3,'Schedule Raw Data'!$A$3:$A$2477,0),1,COUNTIF('Schedule Raw Data'!$A$3:$A$2477,$A3),2),D$1),0)</f>
        <v>1</v>
      </c>
      <c r="E3">
        <f>IFERROR(COUNTIF(OFFSET('Schedule Raw Data'!$A$2,MATCH($A3,'Schedule Raw Data'!$A$3:$A$2477,0),1,COUNTIF('Schedule Raw Data'!$A$3:$A$2477,$A3),2),E$1),0)</f>
        <v>0</v>
      </c>
      <c r="F3">
        <f>IFERROR(COUNTIF(OFFSET('Schedule Raw Data'!$A$2,MATCH($A3,'Schedule Raw Data'!$A$3:$A$2477,0),1,COUNTIF('Schedule Raw Data'!$A$3:$A$2477,$A3),2),F$1),0)</f>
        <v>1</v>
      </c>
      <c r="G3">
        <f>IFERROR(COUNTIF(OFFSET('Schedule Raw Data'!$A$2,MATCH($A3,'Schedule Raw Data'!$A$3:$A$2477,0),1,COUNTIF('Schedule Raw Data'!$A$3:$A$2477,$A3),2),G$1),0)</f>
        <v>1</v>
      </c>
      <c r="H3">
        <f>IFERROR(COUNTIF(OFFSET('Schedule Raw Data'!$A$2,MATCH($A3,'Schedule Raw Data'!$A$3:$A$2477,0),1,COUNTIF('Schedule Raw Data'!$A$3:$A$2477,$A3),2),H$1),0)</f>
        <v>0</v>
      </c>
      <c r="I3">
        <f>IFERROR(COUNTIF(OFFSET('Schedule Raw Data'!$A$2,MATCH($A3,'Schedule Raw Data'!$A$3:$A$2477,0),1,COUNTIF('Schedule Raw Data'!$A$3:$A$2477,$A3),2),I$1),0)</f>
        <v>1</v>
      </c>
      <c r="J3">
        <f>IFERROR(COUNTIF(OFFSET('Schedule Raw Data'!$A$2,MATCH($A3,'Schedule Raw Data'!$A$3:$A$2477,0),1,COUNTIF('Schedule Raw Data'!$A$3:$A$2477,$A3),2),J$1),0)</f>
        <v>0</v>
      </c>
      <c r="K3">
        <f>IFERROR(COUNTIF(OFFSET('Schedule Raw Data'!$A$2,MATCH($A3,'Schedule Raw Data'!$A$3:$A$2477,0),1,COUNTIF('Schedule Raw Data'!$A$3:$A$2477,$A3),2),K$1),0)</f>
        <v>0</v>
      </c>
      <c r="L3">
        <f>IFERROR(COUNTIF(OFFSET('Schedule Raw Data'!$A$2,MATCH($A3,'Schedule Raw Data'!$A$3:$A$2477,0),1,COUNTIF('Schedule Raw Data'!$A$3:$A$2477,$A3),2),L$1),0)</f>
        <v>1</v>
      </c>
      <c r="M3">
        <f>IFERROR(COUNTIF(OFFSET('Schedule Raw Data'!$A$2,MATCH($A3,'Schedule Raw Data'!$A$3:$A$2477,0),1,COUNTIF('Schedule Raw Data'!$A$3:$A$2477,$A3),2),M$1),0)</f>
        <v>1</v>
      </c>
      <c r="N3">
        <f>IFERROR(COUNTIF(OFFSET('Schedule Raw Data'!$A$2,MATCH($A3,'Schedule Raw Data'!$A$3:$A$2477,0),1,COUNTIF('Schedule Raw Data'!$A$3:$A$2477,$A3),2),N$1),0)</f>
        <v>1</v>
      </c>
      <c r="O3">
        <f>IFERROR(COUNTIF(OFFSET('Schedule Raw Data'!$A$2,MATCH($A3,'Schedule Raw Data'!$A$3:$A$2477,0),1,COUNTIF('Schedule Raw Data'!$A$3:$A$2477,$A3),2),O$1),0)</f>
        <v>1</v>
      </c>
      <c r="P3">
        <f>IFERROR(COUNTIF(OFFSET('Schedule Raw Data'!$A$2,MATCH($A3,'Schedule Raw Data'!$A$3:$A$2477,0),1,COUNTIF('Schedule Raw Data'!$A$3:$A$2477,$A3),2),P$1),0)</f>
        <v>1</v>
      </c>
      <c r="Q3">
        <f>IFERROR(COUNTIF(OFFSET('Schedule Raw Data'!$A$2,MATCH($A3,'Schedule Raw Data'!$A$3:$A$2477,0),1,COUNTIF('Schedule Raw Data'!$A$3:$A$2477,$A3),2),Q$1),0)</f>
        <v>1</v>
      </c>
      <c r="R3">
        <f>IFERROR(COUNTIF(OFFSET('Schedule Raw Data'!$A$2,MATCH($A3,'Schedule Raw Data'!$A$3:$A$2477,0),1,COUNTIF('Schedule Raw Data'!$A$3:$A$2477,$A3),2),R$1),0)</f>
        <v>1</v>
      </c>
      <c r="S3">
        <f>IFERROR(COUNTIF(OFFSET('Schedule Raw Data'!$A$2,MATCH($A3,'Schedule Raw Data'!$A$3:$A$2477,0),1,COUNTIF('Schedule Raw Data'!$A$3:$A$2477,$A3),2),S$1),0)</f>
        <v>1</v>
      </c>
      <c r="T3">
        <f>IFERROR(COUNTIF(OFFSET('Schedule Raw Data'!$A$2,MATCH($A3,'Schedule Raw Data'!$A$3:$A$2477,0),1,COUNTIF('Schedule Raw Data'!$A$3:$A$2477,$A3),2),T$1),0)</f>
        <v>1</v>
      </c>
      <c r="U3">
        <f>IFERROR(COUNTIF(OFFSET('Schedule Raw Data'!$A$2,MATCH($A3,'Schedule Raw Data'!$A$3:$A$2477,0),1,COUNTIF('Schedule Raw Data'!$A$3:$A$2477,$A3),2),U$1),0)</f>
        <v>1</v>
      </c>
      <c r="V3">
        <f>IFERROR(COUNTIF(OFFSET('Schedule Raw Data'!$A$2,MATCH($A3,'Schedule Raw Data'!$A$3:$A$2477,0),1,COUNTIF('Schedule Raw Data'!$A$3:$A$2477,$A3),2),V$1),0)</f>
        <v>0</v>
      </c>
      <c r="W3">
        <f>IFERROR(COUNTIF(OFFSET('Schedule Raw Data'!$A$2,MATCH($A3,'Schedule Raw Data'!$A$3:$A$2477,0),1,COUNTIF('Schedule Raw Data'!$A$3:$A$2477,$A3),2),W$1),0)</f>
        <v>0</v>
      </c>
      <c r="X3">
        <f>IFERROR(COUNTIF(OFFSET('Schedule Raw Data'!$A$2,MATCH($A3,'Schedule Raw Data'!$A$3:$A$2477,0),1,COUNTIF('Schedule Raw Data'!$A$3:$A$2477,$A3),2),X$1),0)</f>
        <v>1</v>
      </c>
      <c r="Y3">
        <f>IFERROR(COUNTIF(OFFSET('Schedule Raw Data'!$A$2,MATCH($A3,'Schedule Raw Data'!$A$3:$A$2477,0),1,COUNTIF('Schedule Raw Data'!$A$3:$A$2477,$A3),2),Y$1),0)</f>
        <v>0</v>
      </c>
      <c r="Z3">
        <f>IFERROR(COUNTIF(OFFSET('Schedule Raw Data'!$A$2,MATCH($A3,'Schedule Raw Data'!$A$3:$A$2477,0),1,COUNTIF('Schedule Raw Data'!$A$3:$A$2477,$A3),2),Z$1),0)</f>
        <v>1</v>
      </c>
      <c r="AA3">
        <f>IFERROR(COUNTIF(OFFSET('Schedule Raw Data'!$A$2,MATCH($A3,'Schedule Raw Data'!$A$3:$A$2477,0),1,COUNTIF('Schedule Raw Data'!$A$3:$A$2477,$A3),2),AA$1),0)</f>
        <v>1</v>
      </c>
      <c r="AB3">
        <f>IFERROR(COUNTIF(OFFSET('Schedule Raw Data'!$A$2,MATCH($A3,'Schedule Raw Data'!$A$3:$A$2477,0),1,COUNTIF('Schedule Raw Data'!$A$3:$A$2477,$A3),2),AB$1),0)</f>
        <v>1</v>
      </c>
      <c r="AC3">
        <f>IFERROR(COUNTIF(OFFSET('Schedule Raw Data'!$A$2,MATCH($A3,'Schedule Raw Data'!$A$3:$A$2477,0),1,COUNTIF('Schedule Raw Data'!$A$3:$A$2477,$A3),2),AC$1),0)</f>
        <v>0</v>
      </c>
      <c r="AD3">
        <f>IFERROR(COUNTIF(OFFSET('Schedule Raw Data'!$A$2,MATCH($A3,'Schedule Raw Data'!$A$3:$A$2477,0),1,COUNTIF('Schedule Raw Data'!$A$3:$A$2477,$A3),2),AD$1),0)</f>
        <v>1</v>
      </c>
      <c r="AE3">
        <f>IFERROR(COUNTIF(OFFSET('Schedule Raw Data'!$A$2,MATCH($A3,'Schedule Raw Data'!$A$3:$A$2477,0),1,COUNTIF('Schedule Raw Data'!$A$3:$A$2477,$A3),2),AE$1),0)</f>
        <v>1</v>
      </c>
      <c r="AF3">
        <f>IFERROR(COUNTIF(OFFSET('Schedule Raw Data'!$A$2,MATCH($A3,'Schedule Raw Data'!$A$3:$A$2477,0),1,COUNTIF('Schedule Raw Data'!$A$3:$A$2477,$A3),2),AF$1),0)</f>
        <v>1</v>
      </c>
      <c r="AG3">
        <f t="shared" si="1"/>
        <v>11</v>
      </c>
    </row>
    <row r="4">
      <c r="A4" s="29">
        <f t="array" ref="A4">INDEX('Schedule Raw Data'!$A$3:$A$2477,MATCH(0,INDEX(COUNTIF($A$1:A3,'Schedule Raw Data'!$A$3:$A$2477),0,0),0))</f>
        <v>46317</v>
      </c>
      <c r="B4">
        <f t="shared" si="2"/>
        <v>1</v>
      </c>
      <c r="C4">
        <f>IFERROR(COUNTIF(OFFSET('Schedule Raw Data'!$A$2,MATCH($A4,'Schedule Raw Data'!$A$3:$A$2477,0),1,COUNTIF('Schedule Raw Data'!$A$3:$A$2477,$A4),2),C$1),0)</f>
        <v>0</v>
      </c>
      <c r="D4">
        <f>IFERROR(COUNTIF(OFFSET('Schedule Raw Data'!$A$2,MATCH($A4,'Schedule Raw Data'!$A$3:$A$2477,0),1,COUNTIF('Schedule Raw Data'!$A$3:$A$2477,$A4),2),D$1),0)</f>
        <v>0</v>
      </c>
      <c r="E4">
        <f>IFERROR(COUNTIF(OFFSET('Schedule Raw Data'!$A$2,MATCH($A4,'Schedule Raw Data'!$A$3:$A$2477,0),1,COUNTIF('Schedule Raw Data'!$A$3:$A$2477,$A4),2),E$1),0)</f>
        <v>0</v>
      </c>
      <c r="F4">
        <f>IFERROR(COUNTIF(OFFSET('Schedule Raw Data'!$A$2,MATCH($A4,'Schedule Raw Data'!$A$3:$A$2477,0),1,COUNTIF('Schedule Raw Data'!$A$3:$A$2477,$A4),2),F$1),0)</f>
        <v>0</v>
      </c>
      <c r="G4">
        <f>IFERROR(COUNTIF(OFFSET('Schedule Raw Data'!$A$2,MATCH($A4,'Schedule Raw Data'!$A$3:$A$2477,0),1,COUNTIF('Schedule Raw Data'!$A$3:$A$2477,$A4),2),G$1),0)</f>
        <v>0</v>
      </c>
      <c r="H4">
        <f>IFERROR(COUNTIF(OFFSET('Schedule Raw Data'!$A$2,MATCH($A4,'Schedule Raw Data'!$A$3:$A$2477,0),1,COUNTIF('Schedule Raw Data'!$A$3:$A$2477,$A4),2),H$1),0)</f>
        <v>1</v>
      </c>
      <c r="I4">
        <f>IFERROR(COUNTIF(OFFSET('Schedule Raw Data'!$A$2,MATCH($A4,'Schedule Raw Data'!$A$3:$A$2477,0),1,COUNTIF('Schedule Raw Data'!$A$3:$A$2477,$A4),2),I$1),0)</f>
        <v>0</v>
      </c>
      <c r="J4">
        <f>IFERROR(COUNTIF(OFFSET('Schedule Raw Data'!$A$2,MATCH($A4,'Schedule Raw Data'!$A$3:$A$2477,0),1,COUNTIF('Schedule Raw Data'!$A$3:$A$2477,$A4),2),J$1),0)</f>
        <v>1</v>
      </c>
      <c r="K4">
        <f>IFERROR(COUNTIF(OFFSET('Schedule Raw Data'!$A$2,MATCH($A4,'Schedule Raw Data'!$A$3:$A$2477,0),1,COUNTIF('Schedule Raw Data'!$A$3:$A$2477,$A4),2),K$1),0)</f>
        <v>0</v>
      </c>
      <c r="L4">
        <f>IFERROR(COUNTIF(OFFSET('Schedule Raw Data'!$A$2,MATCH($A4,'Schedule Raw Data'!$A$3:$A$2477,0),1,COUNTIF('Schedule Raw Data'!$A$3:$A$2477,$A4),2),L$1),0)</f>
        <v>0</v>
      </c>
      <c r="M4">
        <f>IFERROR(COUNTIF(OFFSET('Schedule Raw Data'!$A$2,MATCH($A4,'Schedule Raw Data'!$A$3:$A$2477,0),1,COUNTIF('Schedule Raw Data'!$A$3:$A$2477,$A4),2),M$1),0)</f>
        <v>0</v>
      </c>
      <c r="N4">
        <f>IFERROR(COUNTIF(OFFSET('Schedule Raw Data'!$A$2,MATCH($A4,'Schedule Raw Data'!$A$3:$A$2477,0),1,COUNTIF('Schedule Raw Data'!$A$3:$A$2477,$A4),2),N$1),0)</f>
        <v>0</v>
      </c>
      <c r="O4">
        <f>IFERROR(COUNTIF(OFFSET('Schedule Raw Data'!$A$2,MATCH($A4,'Schedule Raw Data'!$A$3:$A$2477,0),1,COUNTIF('Schedule Raw Data'!$A$3:$A$2477,$A4),2),O$1),0)</f>
        <v>0</v>
      </c>
      <c r="P4">
        <f>IFERROR(COUNTIF(OFFSET('Schedule Raw Data'!$A$2,MATCH($A4,'Schedule Raw Data'!$A$3:$A$2477,0),1,COUNTIF('Schedule Raw Data'!$A$3:$A$2477,$A4),2),P$1),0)</f>
        <v>0</v>
      </c>
      <c r="Q4">
        <f>IFERROR(COUNTIF(OFFSET('Schedule Raw Data'!$A$2,MATCH($A4,'Schedule Raw Data'!$A$3:$A$2477,0),1,COUNTIF('Schedule Raw Data'!$A$3:$A$2477,$A4),2),Q$1),0)</f>
        <v>0</v>
      </c>
      <c r="R4">
        <f>IFERROR(COUNTIF(OFFSET('Schedule Raw Data'!$A$2,MATCH($A4,'Schedule Raw Data'!$A$3:$A$2477,0),1,COUNTIF('Schedule Raw Data'!$A$3:$A$2477,$A4),2),R$1),0)</f>
        <v>0</v>
      </c>
      <c r="S4">
        <f>IFERROR(COUNTIF(OFFSET('Schedule Raw Data'!$A$2,MATCH($A4,'Schedule Raw Data'!$A$3:$A$2477,0),1,COUNTIF('Schedule Raw Data'!$A$3:$A$2477,$A4),2),S$1),0)</f>
        <v>0</v>
      </c>
      <c r="T4">
        <f>IFERROR(COUNTIF(OFFSET('Schedule Raw Data'!$A$2,MATCH($A4,'Schedule Raw Data'!$A$3:$A$2477,0),1,COUNTIF('Schedule Raw Data'!$A$3:$A$2477,$A4),2),T$1),0)</f>
        <v>0</v>
      </c>
      <c r="U4">
        <f>IFERROR(COUNTIF(OFFSET('Schedule Raw Data'!$A$2,MATCH($A4,'Schedule Raw Data'!$A$3:$A$2477,0),1,COUNTIF('Schedule Raw Data'!$A$3:$A$2477,$A4),2),U$1),0)</f>
        <v>0</v>
      </c>
      <c r="V4">
        <f>IFERROR(COUNTIF(OFFSET('Schedule Raw Data'!$A$2,MATCH($A4,'Schedule Raw Data'!$A$3:$A$2477,0),1,COUNTIF('Schedule Raw Data'!$A$3:$A$2477,$A4),2),V$1),0)</f>
        <v>0</v>
      </c>
      <c r="W4">
        <f>IFERROR(COUNTIF(OFFSET('Schedule Raw Data'!$A$2,MATCH($A4,'Schedule Raw Data'!$A$3:$A$2477,0),1,COUNTIF('Schedule Raw Data'!$A$3:$A$2477,$A4),2),W$1),0)</f>
        <v>1</v>
      </c>
      <c r="X4">
        <f>IFERROR(COUNTIF(OFFSET('Schedule Raw Data'!$A$2,MATCH($A4,'Schedule Raw Data'!$A$3:$A$2477,0),1,COUNTIF('Schedule Raw Data'!$A$3:$A$2477,$A4),2),X$1),0)</f>
        <v>0</v>
      </c>
      <c r="Y4">
        <f>IFERROR(COUNTIF(OFFSET('Schedule Raw Data'!$A$2,MATCH($A4,'Schedule Raw Data'!$A$3:$A$2477,0),1,COUNTIF('Schedule Raw Data'!$A$3:$A$2477,$A4),2),Y$1),0)</f>
        <v>1</v>
      </c>
      <c r="Z4">
        <f>IFERROR(COUNTIF(OFFSET('Schedule Raw Data'!$A$2,MATCH($A4,'Schedule Raw Data'!$A$3:$A$2477,0),1,COUNTIF('Schedule Raw Data'!$A$3:$A$2477,$A4),2),Z$1),0)</f>
        <v>0</v>
      </c>
      <c r="AA4">
        <f>IFERROR(COUNTIF(OFFSET('Schedule Raw Data'!$A$2,MATCH($A4,'Schedule Raw Data'!$A$3:$A$2477,0),1,COUNTIF('Schedule Raw Data'!$A$3:$A$2477,$A4),2),AA$1),0)</f>
        <v>0</v>
      </c>
      <c r="AB4">
        <f>IFERROR(COUNTIF(OFFSET('Schedule Raw Data'!$A$2,MATCH($A4,'Schedule Raw Data'!$A$3:$A$2477,0),1,COUNTIF('Schedule Raw Data'!$A$3:$A$2477,$A4),2),AB$1),0)</f>
        <v>0</v>
      </c>
      <c r="AC4">
        <f>IFERROR(COUNTIF(OFFSET('Schedule Raw Data'!$A$2,MATCH($A4,'Schedule Raw Data'!$A$3:$A$2477,0),1,COUNTIF('Schedule Raw Data'!$A$3:$A$2477,$A4),2),AC$1),0)</f>
        <v>0</v>
      </c>
      <c r="AD4">
        <f>IFERROR(COUNTIF(OFFSET('Schedule Raw Data'!$A$2,MATCH($A4,'Schedule Raw Data'!$A$3:$A$2477,0),1,COUNTIF('Schedule Raw Data'!$A$3:$A$2477,$A4),2),AD$1),0)</f>
        <v>0</v>
      </c>
      <c r="AE4">
        <f>IFERROR(COUNTIF(OFFSET('Schedule Raw Data'!$A$2,MATCH($A4,'Schedule Raw Data'!$A$3:$A$2477,0),1,COUNTIF('Schedule Raw Data'!$A$3:$A$2477,$A4),2),AE$1),0)</f>
        <v>0</v>
      </c>
      <c r="AF4">
        <f>IFERROR(COUNTIF(OFFSET('Schedule Raw Data'!$A$2,MATCH($A4,'Schedule Raw Data'!$A$3:$A$2477,0),1,COUNTIF('Schedule Raw Data'!$A$3:$A$2477,$A4),2),AF$1),0)</f>
        <v>0</v>
      </c>
      <c r="AG4">
        <f t="shared" si="1"/>
        <v>2</v>
      </c>
    </row>
    <row r="5">
      <c r="A5" s="29">
        <f t="array" ref="A5">INDEX('Schedule Raw Data'!$A$3:$A$2477,MATCH(0,INDEX(COUNTIF($A$1:A4,'Schedule Raw Data'!$A$3:$A$2477),0,0),0))</f>
        <v>46318</v>
      </c>
      <c r="B5">
        <f t="shared" si="2"/>
        <v>1</v>
      </c>
      <c r="C5">
        <f>IFERROR(COUNTIF(OFFSET('Schedule Raw Data'!$A$2,MATCH($A5,'Schedule Raw Data'!$A$3:$A$2477,0),1,COUNTIF('Schedule Raw Data'!$A$3:$A$2477,$A5),2),C$1),0)</f>
        <v>1</v>
      </c>
      <c r="D5">
        <f>IFERROR(COUNTIF(OFFSET('Schedule Raw Data'!$A$2,MATCH($A5,'Schedule Raw Data'!$A$3:$A$2477,0),1,COUNTIF('Schedule Raw Data'!$A$3:$A$2477,$A5),2),D$1),0)</f>
        <v>0</v>
      </c>
      <c r="E5">
        <f>IFERROR(COUNTIF(OFFSET('Schedule Raw Data'!$A$2,MATCH($A5,'Schedule Raw Data'!$A$3:$A$2477,0),1,COUNTIF('Schedule Raw Data'!$A$3:$A$2477,$A5),2),E$1),0)</f>
        <v>1</v>
      </c>
      <c r="F5">
        <f>IFERROR(COUNTIF(OFFSET('Schedule Raw Data'!$A$2,MATCH($A5,'Schedule Raw Data'!$A$3:$A$2477,0),1,COUNTIF('Schedule Raw Data'!$A$3:$A$2477,$A5),2),F$1),0)</f>
        <v>1</v>
      </c>
      <c r="G5">
        <f>IFERROR(COUNTIF(OFFSET('Schedule Raw Data'!$A$2,MATCH($A5,'Schedule Raw Data'!$A$3:$A$2477,0),1,COUNTIF('Schedule Raw Data'!$A$3:$A$2477,$A5),2),G$1),0)</f>
        <v>1</v>
      </c>
      <c r="H5">
        <f>IFERROR(COUNTIF(OFFSET('Schedule Raw Data'!$A$2,MATCH($A5,'Schedule Raw Data'!$A$3:$A$2477,0),1,COUNTIF('Schedule Raw Data'!$A$3:$A$2477,$A5),2),H$1),0)</f>
        <v>0</v>
      </c>
      <c r="I5">
        <f>IFERROR(COUNTIF(OFFSET('Schedule Raw Data'!$A$2,MATCH($A5,'Schedule Raw Data'!$A$3:$A$2477,0),1,COUNTIF('Schedule Raw Data'!$A$3:$A$2477,$A5),2),I$1),0)</f>
        <v>1</v>
      </c>
      <c r="J5">
        <f>IFERROR(COUNTIF(OFFSET('Schedule Raw Data'!$A$2,MATCH($A5,'Schedule Raw Data'!$A$3:$A$2477,0),1,COUNTIF('Schedule Raw Data'!$A$3:$A$2477,$A5),2),J$1),0)</f>
        <v>0</v>
      </c>
      <c r="K5">
        <f>IFERROR(COUNTIF(OFFSET('Schedule Raw Data'!$A$2,MATCH($A5,'Schedule Raw Data'!$A$3:$A$2477,0),1,COUNTIF('Schedule Raw Data'!$A$3:$A$2477,$A5),2),K$1),0)</f>
        <v>1</v>
      </c>
      <c r="L5">
        <f>IFERROR(COUNTIF(OFFSET('Schedule Raw Data'!$A$2,MATCH($A5,'Schedule Raw Data'!$A$3:$A$2477,0),1,COUNTIF('Schedule Raw Data'!$A$3:$A$2477,$A5),2),L$1),0)</f>
        <v>1</v>
      </c>
      <c r="M5">
        <f>IFERROR(COUNTIF(OFFSET('Schedule Raw Data'!$A$2,MATCH($A5,'Schedule Raw Data'!$A$3:$A$2477,0),1,COUNTIF('Schedule Raw Data'!$A$3:$A$2477,$A5),2),M$1),0)</f>
        <v>1</v>
      </c>
      <c r="N5">
        <f>IFERROR(COUNTIF(OFFSET('Schedule Raw Data'!$A$2,MATCH($A5,'Schedule Raw Data'!$A$3:$A$2477,0),1,COUNTIF('Schedule Raw Data'!$A$3:$A$2477,$A5),2),N$1),0)</f>
        <v>1</v>
      </c>
      <c r="O5">
        <f>IFERROR(COUNTIF(OFFSET('Schedule Raw Data'!$A$2,MATCH($A5,'Schedule Raw Data'!$A$3:$A$2477,0),1,COUNTIF('Schedule Raw Data'!$A$3:$A$2477,$A5),2),O$1),0)</f>
        <v>1</v>
      </c>
      <c r="P5">
        <f>IFERROR(COUNTIF(OFFSET('Schedule Raw Data'!$A$2,MATCH($A5,'Schedule Raw Data'!$A$3:$A$2477,0),1,COUNTIF('Schedule Raw Data'!$A$3:$A$2477,$A5),2),P$1),0)</f>
        <v>1</v>
      </c>
      <c r="Q5">
        <f>IFERROR(COUNTIF(OFFSET('Schedule Raw Data'!$A$2,MATCH($A5,'Schedule Raw Data'!$A$3:$A$2477,0),1,COUNTIF('Schedule Raw Data'!$A$3:$A$2477,$A5),2),Q$1),0)</f>
        <v>1</v>
      </c>
      <c r="R5">
        <f>IFERROR(COUNTIF(OFFSET('Schedule Raw Data'!$A$2,MATCH($A5,'Schedule Raw Data'!$A$3:$A$2477,0),1,COUNTIF('Schedule Raw Data'!$A$3:$A$2477,$A5),2),R$1),0)</f>
        <v>1</v>
      </c>
      <c r="S5">
        <f>IFERROR(COUNTIF(OFFSET('Schedule Raw Data'!$A$2,MATCH($A5,'Schedule Raw Data'!$A$3:$A$2477,0),1,COUNTIF('Schedule Raw Data'!$A$3:$A$2477,$A5),2),S$1),0)</f>
        <v>1</v>
      </c>
      <c r="T5">
        <f>IFERROR(COUNTIF(OFFSET('Schedule Raw Data'!$A$2,MATCH($A5,'Schedule Raw Data'!$A$3:$A$2477,0),1,COUNTIF('Schedule Raw Data'!$A$3:$A$2477,$A5),2),T$1),0)</f>
        <v>1</v>
      </c>
      <c r="U5">
        <f>IFERROR(COUNTIF(OFFSET('Schedule Raw Data'!$A$2,MATCH($A5,'Schedule Raw Data'!$A$3:$A$2477,0),1,COUNTIF('Schedule Raw Data'!$A$3:$A$2477,$A5),2),U$1),0)</f>
        <v>1</v>
      </c>
      <c r="V5">
        <f>IFERROR(COUNTIF(OFFSET('Schedule Raw Data'!$A$2,MATCH($A5,'Schedule Raw Data'!$A$3:$A$2477,0),1,COUNTIF('Schedule Raw Data'!$A$3:$A$2477,$A5),2),V$1),0)</f>
        <v>1</v>
      </c>
      <c r="W5">
        <f>IFERROR(COUNTIF(OFFSET('Schedule Raw Data'!$A$2,MATCH($A5,'Schedule Raw Data'!$A$3:$A$2477,0),1,COUNTIF('Schedule Raw Data'!$A$3:$A$2477,$A5),2),W$1),0)</f>
        <v>0</v>
      </c>
      <c r="X5">
        <f>IFERROR(COUNTIF(OFFSET('Schedule Raw Data'!$A$2,MATCH($A5,'Schedule Raw Data'!$A$3:$A$2477,0),1,COUNTIF('Schedule Raw Data'!$A$3:$A$2477,$A5),2),X$1),0)</f>
        <v>1</v>
      </c>
      <c r="Y5">
        <f>IFERROR(COUNTIF(OFFSET('Schedule Raw Data'!$A$2,MATCH($A5,'Schedule Raw Data'!$A$3:$A$2477,0),1,COUNTIF('Schedule Raw Data'!$A$3:$A$2477,$A5),2),Y$1),0)</f>
        <v>0</v>
      </c>
      <c r="Z5">
        <f>IFERROR(COUNTIF(OFFSET('Schedule Raw Data'!$A$2,MATCH($A5,'Schedule Raw Data'!$A$3:$A$2477,0),1,COUNTIF('Schedule Raw Data'!$A$3:$A$2477,$A5),2),Z$1),0)</f>
        <v>0</v>
      </c>
      <c r="AA5">
        <f>IFERROR(COUNTIF(OFFSET('Schedule Raw Data'!$A$2,MATCH($A5,'Schedule Raw Data'!$A$3:$A$2477,0),1,COUNTIF('Schedule Raw Data'!$A$3:$A$2477,$A5),2),AA$1),0)</f>
        <v>1</v>
      </c>
      <c r="AB5">
        <f>IFERROR(COUNTIF(OFFSET('Schedule Raw Data'!$A$2,MATCH($A5,'Schedule Raw Data'!$A$3:$A$2477,0),1,COUNTIF('Schedule Raw Data'!$A$3:$A$2477,$A5),2),AB$1),0)</f>
        <v>1</v>
      </c>
      <c r="AC5">
        <f>IFERROR(COUNTIF(OFFSET('Schedule Raw Data'!$A$2,MATCH($A5,'Schedule Raw Data'!$A$3:$A$2477,0),1,COUNTIF('Schedule Raw Data'!$A$3:$A$2477,$A5),2),AC$1),0)</f>
        <v>1</v>
      </c>
      <c r="AD5">
        <f>IFERROR(COUNTIF(OFFSET('Schedule Raw Data'!$A$2,MATCH($A5,'Schedule Raw Data'!$A$3:$A$2477,0),1,COUNTIF('Schedule Raw Data'!$A$3:$A$2477,$A5),2),AD$1),0)</f>
        <v>1</v>
      </c>
      <c r="AE5">
        <f>IFERROR(COUNTIF(OFFSET('Schedule Raw Data'!$A$2,MATCH($A5,'Schedule Raw Data'!$A$3:$A$2477,0),1,COUNTIF('Schedule Raw Data'!$A$3:$A$2477,$A5),2),AE$1),0)</f>
        <v>1</v>
      </c>
      <c r="AF5">
        <f>IFERROR(COUNTIF(OFFSET('Schedule Raw Data'!$A$2,MATCH($A5,'Schedule Raw Data'!$A$3:$A$2477,0),1,COUNTIF('Schedule Raw Data'!$A$3:$A$2477,$A5),2),AF$1),0)</f>
        <v>1</v>
      </c>
      <c r="AG5">
        <f t="shared" si="1"/>
        <v>12</v>
      </c>
    </row>
    <row r="6">
      <c r="A6" s="29">
        <f t="array" ref="A6">INDEX('Schedule Raw Data'!$A$3:$A$2477,MATCH(0,INDEX(COUNTIF($A$1:A5,'Schedule Raw Data'!$A$3:$A$2477),0,0),0))</f>
        <v>46319</v>
      </c>
      <c r="B6">
        <f t="shared" si="2"/>
        <v>1</v>
      </c>
      <c r="C6">
        <f>IFERROR(COUNTIF(OFFSET('Schedule Raw Data'!$A$2,MATCH($A6,'Schedule Raw Data'!$A$3:$A$2477,0),1,COUNTIF('Schedule Raw Data'!$A$3:$A$2477,$A6),2),C$1),0)</f>
        <v>1</v>
      </c>
      <c r="D6">
        <f>IFERROR(COUNTIF(OFFSET('Schedule Raw Data'!$A$2,MATCH($A6,'Schedule Raw Data'!$A$3:$A$2477,0),1,COUNTIF('Schedule Raw Data'!$A$3:$A$2477,$A6),2),D$1),0)</f>
        <v>1</v>
      </c>
      <c r="E6">
        <f>IFERROR(COUNTIF(OFFSET('Schedule Raw Data'!$A$2,MATCH($A6,'Schedule Raw Data'!$A$3:$A$2477,0),1,COUNTIF('Schedule Raw Data'!$A$3:$A$2477,$A6),2),E$1),0)</f>
        <v>0</v>
      </c>
      <c r="F6">
        <f>IFERROR(COUNTIF(OFFSET('Schedule Raw Data'!$A$2,MATCH($A6,'Schedule Raw Data'!$A$3:$A$2477,0),1,COUNTIF('Schedule Raw Data'!$A$3:$A$2477,$A6),2),F$1),0)</f>
        <v>1</v>
      </c>
      <c r="G6">
        <f>IFERROR(COUNTIF(OFFSET('Schedule Raw Data'!$A$2,MATCH($A6,'Schedule Raw Data'!$A$3:$A$2477,0),1,COUNTIF('Schedule Raw Data'!$A$3:$A$2477,$A6),2),G$1),0)</f>
        <v>1</v>
      </c>
      <c r="H6">
        <f>IFERROR(COUNTIF(OFFSET('Schedule Raw Data'!$A$2,MATCH($A6,'Schedule Raw Data'!$A$3:$A$2477,0),1,COUNTIF('Schedule Raw Data'!$A$3:$A$2477,$A6),2),H$1),0)</f>
        <v>1</v>
      </c>
      <c r="I6">
        <f>IFERROR(COUNTIF(OFFSET('Schedule Raw Data'!$A$2,MATCH($A6,'Schedule Raw Data'!$A$3:$A$2477,0),1,COUNTIF('Schedule Raw Data'!$A$3:$A$2477,$A6),2),I$1),0)</f>
        <v>1</v>
      </c>
      <c r="J6">
        <f>IFERROR(COUNTIF(OFFSET('Schedule Raw Data'!$A$2,MATCH($A6,'Schedule Raw Data'!$A$3:$A$2477,0),1,COUNTIF('Schedule Raw Data'!$A$3:$A$2477,$A6),2),J$1),0)</f>
        <v>1</v>
      </c>
      <c r="K6">
        <f>IFERROR(COUNTIF(OFFSET('Schedule Raw Data'!$A$2,MATCH($A6,'Schedule Raw Data'!$A$3:$A$2477,0),1,COUNTIF('Schedule Raw Data'!$A$3:$A$2477,$A6),2),K$1),0)</f>
        <v>0</v>
      </c>
      <c r="L6">
        <f>IFERROR(COUNTIF(OFFSET('Schedule Raw Data'!$A$2,MATCH($A6,'Schedule Raw Data'!$A$3:$A$2477,0),1,COUNTIF('Schedule Raw Data'!$A$3:$A$2477,$A6),2),L$1),0)</f>
        <v>1</v>
      </c>
      <c r="M6">
        <f>IFERROR(COUNTIF(OFFSET('Schedule Raw Data'!$A$2,MATCH($A6,'Schedule Raw Data'!$A$3:$A$2477,0),1,COUNTIF('Schedule Raw Data'!$A$3:$A$2477,$A6),2),M$1),0)</f>
        <v>1</v>
      </c>
      <c r="N6">
        <f>IFERROR(COUNTIF(OFFSET('Schedule Raw Data'!$A$2,MATCH($A6,'Schedule Raw Data'!$A$3:$A$2477,0),1,COUNTIF('Schedule Raw Data'!$A$3:$A$2477,$A6),2),N$1),0)</f>
        <v>0</v>
      </c>
      <c r="O6">
        <f>IFERROR(COUNTIF(OFFSET('Schedule Raw Data'!$A$2,MATCH($A6,'Schedule Raw Data'!$A$3:$A$2477,0),1,COUNTIF('Schedule Raw Data'!$A$3:$A$2477,$A6),2),O$1),0)</f>
        <v>0</v>
      </c>
      <c r="P6">
        <f>IFERROR(COUNTIF(OFFSET('Schedule Raw Data'!$A$2,MATCH($A6,'Schedule Raw Data'!$A$3:$A$2477,0),1,COUNTIF('Schedule Raw Data'!$A$3:$A$2477,$A6),2),P$1),0)</f>
        <v>0</v>
      </c>
      <c r="Q6">
        <f>IFERROR(COUNTIF(OFFSET('Schedule Raw Data'!$A$2,MATCH($A6,'Schedule Raw Data'!$A$3:$A$2477,0),1,COUNTIF('Schedule Raw Data'!$A$3:$A$2477,$A6),2),Q$1),0)</f>
        <v>0</v>
      </c>
      <c r="R6">
        <f>IFERROR(COUNTIF(OFFSET('Schedule Raw Data'!$A$2,MATCH($A6,'Schedule Raw Data'!$A$3:$A$2477,0),1,COUNTIF('Schedule Raw Data'!$A$3:$A$2477,$A6),2),R$1),0)</f>
        <v>1</v>
      </c>
      <c r="S6">
        <f>IFERROR(COUNTIF(OFFSET('Schedule Raw Data'!$A$2,MATCH($A6,'Schedule Raw Data'!$A$3:$A$2477,0),1,COUNTIF('Schedule Raw Data'!$A$3:$A$2477,$A6),2),S$1),0)</f>
        <v>1</v>
      </c>
      <c r="T6">
        <f>IFERROR(COUNTIF(OFFSET('Schedule Raw Data'!$A$2,MATCH($A6,'Schedule Raw Data'!$A$3:$A$2477,0),1,COUNTIF('Schedule Raw Data'!$A$3:$A$2477,$A6),2),T$1),0)</f>
        <v>0</v>
      </c>
      <c r="U6">
        <f>IFERROR(COUNTIF(OFFSET('Schedule Raw Data'!$A$2,MATCH($A6,'Schedule Raw Data'!$A$3:$A$2477,0),1,COUNTIF('Schedule Raw Data'!$A$3:$A$2477,$A6),2),U$1),0)</f>
        <v>1</v>
      </c>
      <c r="V6">
        <f>IFERROR(COUNTIF(OFFSET('Schedule Raw Data'!$A$2,MATCH($A6,'Schedule Raw Data'!$A$3:$A$2477,0),1,COUNTIF('Schedule Raw Data'!$A$3:$A$2477,$A6),2),V$1),0)</f>
        <v>0</v>
      </c>
      <c r="W6">
        <f>IFERROR(COUNTIF(OFFSET('Schedule Raw Data'!$A$2,MATCH($A6,'Schedule Raw Data'!$A$3:$A$2477,0),1,COUNTIF('Schedule Raw Data'!$A$3:$A$2477,$A6),2),W$1),0)</f>
        <v>0</v>
      </c>
      <c r="X6">
        <f>IFERROR(COUNTIF(OFFSET('Schedule Raw Data'!$A$2,MATCH($A6,'Schedule Raw Data'!$A$3:$A$2477,0),1,COUNTIF('Schedule Raw Data'!$A$3:$A$2477,$A6),2),X$1),0)</f>
        <v>0</v>
      </c>
      <c r="Y6">
        <f>IFERROR(COUNTIF(OFFSET('Schedule Raw Data'!$A$2,MATCH($A6,'Schedule Raw Data'!$A$3:$A$2477,0),1,COUNTIF('Schedule Raw Data'!$A$3:$A$2477,$A6),2),Y$1),0)</f>
        <v>1</v>
      </c>
      <c r="Z6">
        <f>IFERROR(COUNTIF(OFFSET('Schedule Raw Data'!$A$2,MATCH($A6,'Schedule Raw Data'!$A$3:$A$2477,0),1,COUNTIF('Schedule Raw Data'!$A$3:$A$2477,$A6),2),Z$1),0)</f>
        <v>1</v>
      </c>
      <c r="AA6">
        <f>IFERROR(COUNTIF(OFFSET('Schedule Raw Data'!$A$2,MATCH($A6,'Schedule Raw Data'!$A$3:$A$2477,0),1,COUNTIF('Schedule Raw Data'!$A$3:$A$2477,$A6),2),AA$1),0)</f>
        <v>0</v>
      </c>
      <c r="AB6">
        <f>IFERROR(COUNTIF(OFFSET('Schedule Raw Data'!$A$2,MATCH($A6,'Schedule Raw Data'!$A$3:$A$2477,0),1,COUNTIF('Schedule Raw Data'!$A$3:$A$2477,$A6),2),AB$1),0)</f>
        <v>0</v>
      </c>
      <c r="AC6">
        <f>IFERROR(COUNTIF(OFFSET('Schedule Raw Data'!$A$2,MATCH($A6,'Schedule Raw Data'!$A$3:$A$2477,0),1,COUNTIF('Schedule Raw Data'!$A$3:$A$2477,$A6),2),AC$1),0)</f>
        <v>1</v>
      </c>
      <c r="AD6">
        <f>IFERROR(COUNTIF(OFFSET('Schedule Raw Data'!$A$2,MATCH($A6,'Schedule Raw Data'!$A$3:$A$2477,0),1,COUNTIF('Schedule Raw Data'!$A$3:$A$2477,$A6),2),AD$1),0)</f>
        <v>0</v>
      </c>
      <c r="AE6">
        <f>IFERROR(COUNTIF(OFFSET('Schedule Raw Data'!$A$2,MATCH($A6,'Schedule Raw Data'!$A$3:$A$2477,0),1,COUNTIF('Schedule Raw Data'!$A$3:$A$2477,$A6),2),AE$1),0)</f>
        <v>0</v>
      </c>
      <c r="AF6">
        <f>IFERROR(COUNTIF(OFFSET('Schedule Raw Data'!$A$2,MATCH($A6,'Schedule Raw Data'!$A$3:$A$2477,0),1,COUNTIF('Schedule Raw Data'!$A$3:$A$2477,$A6),2),AF$1),0)</f>
        <v>1</v>
      </c>
      <c r="AG6">
        <f t="shared" si="1"/>
        <v>8</v>
      </c>
    </row>
    <row r="7">
      <c r="A7" s="29">
        <f t="array" ref="A7">INDEX('Schedule Raw Data'!$A$3:$A$2477,MATCH(0,INDEX(COUNTIF($A$1:A6,'Schedule Raw Data'!$A$3:$A$2477),0,0),0))</f>
        <v>46320</v>
      </c>
      <c r="B7">
        <f t="shared" si="2"/>
        <v>1</v>
      </c>
      <c r="C7">
        <f>IFERROR(COUNTIF(OFFSET('Schedule Raw Data'!$A$2,MATCH($A7,'Schedule Raw Data'!$A$3:$A$2477,0),1,COUNTIF('Schedule Raw Data'!$A$3:$A$2477,$A7),2),C$1),0)</f>
        <v>0</v>
      </c>
      <c r="D7">
        <f>IFERROR(COUNTIF(OFFSET('Schedule Raw Data'!$A$2,MATCH($A7,'Schedule Raw Data'!$A$3:$A$2477,0),1,COUNTIF('Schedule Raw Data'!$A$3:$A$2477,$A7),2),D$1),0)</f>
        <v>1</v>
      </c>
      <c r="E7">
        <f>IFERROR(COUNTIF(OFFSET('Schedule Raw Data'!$A$2,MATCH($A7,'Schedule Raw Data'!$A$3:$A$2477,0),1,COUNTIF('Schedule Raw Data'!$A$3:$A$2477,$A7),2),E$1),0)</f>
        <v>0</v>
      </c>
      <c r="F7">
        <f>IFERROR(COUNTIF(OFFSET('Schedule Raw Data'!$A$2,MATCH($A7,'Schedule Raw Data'!$A$3:$A$2477,0),1,COUNTIF('Schedule Raw Data'!$A$3:$A$2477,$A7),2),F$1),0)</f>
        <v>0</v>
      </c>
      <c r="G7">
        <f>IFERROR(COUNTIF(OFFSET('Schedule Raw Data'!$A$2,MATCH($A7,'Schedule Raw Data'!$A$3:$A$2477,0),1,COUNTIF('Schedule Raw Data'!$A$3:$A$2477,$A7),2),G$1),0)</f>
        <v>0</v>
      </c>
      <c r="H7">
        <f>IFERROR(COUNTIF(OFFSET('Schedule Raw Data'!$A$2,MATCH($A7,'Schedule Raw Data'!$A$3:$A$2477,0),1,COUNTIF('Schedule Raw Data'!$A$3:$A$2477,$A7),2),H$1),0)</f>
        <v>0</v>
      </c>
      <c r="I7">
        <f>IFERROR(COUNTIF(OFFSET('Schedule Raw Data'!$A$2,MATCH($A7,'Schedule Raw Data'!$A$3:$A$2477,0),1,COUNTIF('Schedule Raw Data'!$A$3:$A$2477,$A7),2),I$1),0)</f>
        <v>0</v>
      </c>
      <c r="J7">
        <f>IFERROR(COUNTIF(OFFSET('Schedule Raw Data'!$A$2,MATCH($A7,'Schedule Raw Data'!$A$3:$A$2477,0),1,COUNTIF('Schedule Raw Data'!$A$3:$A$2477,$A7),2),J$1),0)</f>
        <v>0</v>
      </c>
      <c r="K7">
        <f>IFERROR(COUNTIF(OFFSET('Schedule Raw Data'!$A$2,MATCH($A7,'Schedule Raw Data'!$A$3:$A$2477,0),1,COUNTIF('Schedule Raw Data'!$A$3:$A$2477,$A7),2),K$1),0)</f>
        <v>1</v>
      </c>
      <c r="L7">
        <f>IFERROR(COUNTIF(OFFSET('Schedule Raw Data'!$A$2,MATCH($A7,'Schedule Raw Data'!$A$3:$A$2477,0),1,COUNTIF('Schedule Raw Data'!$A$3:$A$2477,$A7),2),L$1),0)</f>
        <v>0</v>
      </c>
      <c r="M7">
        <f>IFERROR(COUNTIF(OFFSET('Schedule Raw Data'!$A$2,MATCH($A7,'Schedule Raw Data'!$A$3:$A$2477,0),1,COUNTIF('Schedule Raw Data'!$A$3:$A$2477,$A7),2),M$1),0)</f>
        <v>0</v>
      </c>
      <c r="N7">
        <f>IFERROR(COUNTIF(OFFSET('Schedule Raw Data'!$A$2,MATCH($A7,'Schedule Raw Data'!$A$3:$A$2477,0),1,COUNTIF('Schedule Raw Data'!$A$3:$A$2477,$A7),2),N$1),0)</f>
        <v>1</v>
      </c>
      <c r="O7">
        <f>IFERROR(COUNTIF(OFFSET('Schedule Raw Data'!$A$2,MATCH($A7,'Schedule Raw Data'!$A$3:$A$2477,0),1,COUNTIF('Schedule Raw Data'!$A$3:$A$2477,$A7),2),O$1),0)</f>
        <v>1</v>
      </c>
      <c r="P7">
        <f>IFERROR(COUNTIF(OFFSET('Schedule Raw Data'!$A$2,MATCH($A7,'Schedule Raw Data'!$A$3:$A$2477,0),1,COUNTIF('Schedule Raw Data'!$A$3:$A$2477,$A7),2),P$1),0)</f>
        <v>1</v>
      </c>
      <c r="Q7">
        <f>IFERROR(COUNTIF(OFFSET('Schedule Raw Data'!$A$2,MATCH($A7,'Schedule Raw Data'!$A$3:$A$2477,0),1,COUNTIF('Schedule Raw Data'!$A$3:$A$2477,$A7),2),Q$1),0)</f>
        <v>1</v>
      </c>
      <c r="R7">
        <f>IFERROR(COUNTIF(OFFSET('Schedule Raw Data'!$A$2,MATCH($A7,'Schedule Raw Data'!$A$3:$A$2477,0),1,COUNTIF('Schedule Raw Data'!$A$3:$A$2477,$A7),2),R$1),0)</f>
        <v>0</v>
      </c>
      <c r="S7">
        <f>IFERROR(COUNTIF(OFFSET('Schedule Raw Data'!$A$2,MATCH($A7,'Schedule Raw Data'!$A$3:$A$2477,0),1,COUNTIF('Schedule Raw Data'!$A$3:$A$2477,$A7),2),S$1),0)</f>
        <v>0</v>
      </c>
      <c r="T7">
        <f>IFERROR(COUNTIF(OFFSET('Schedule Raw Data'!$A$2,MATCH($A7,'Schedule Raw Data'!$A$3:$A$2477,0),1,COUNTIF('Schedule Raw Data'!$A$3:$A$2477,$A7),2),T$1),0)</f>
        <v>1</v>
      </c>
      <c r="U7">
        <f>IFERROR(COUNTIF(OFFSET('Schedule Raw Data'!$A$2,MATCH($A7,'Schedule Raw Data'!$A$3:$A$2477,0),1,COUNTIF('Schedule Raw Data'!$A$3:$A$2477,$A7),2),U$1),0)</f>
        <v>0</v>
      </c>
      <c r="V7">
        <f>IFERROR(COUNTIF(OFFSET('Schedule Raw Data'!$A$2,MATCH($A7,'Schedule Raw Data'!$A$3:$A$2477,0),1,COUNTIF('Schedule Raw Data'!$A$3:$A$2477,$A7),2),V$1),0)</f>
        <v>1</v>
      </c>
      <c r="W7">
        <f>IFERROR(COUNTIF(OFFSET('Schedule Raw Data'!$A$2,MATCH($A7,'Schedule Raw Data'!$A$3:$A$2477,0),1,COUNTIF('Schedule Raw Data'!$A$3:$A$2477,$A7),2),W$1),0)</f>
        <v>1</v>
      </c>
      <c r="X7">
        <f>IFERROR(COUNTIF(OFFSET('Schedule Raw Data'!$A$2,MATCH($A7,'Schedule Raw Data'!$A$3:$A$2477,0),1,COUNTIF('Schedule Raw Data'!$A$3:$A$2477,$A7),2),X$1),0)</f>
        <v>1</v>
      </c>
      <c r="Y7">
        <f>IFERROR(COUNTIF(OFFSET('Schedule Raw Data'!$A$2,MATCH($A7,'Schedule Raw Data'!$A$3:$A$2477,0),1,COUNTIF('Schedule Raw Data'!$A$3:$A$2477,$A7),2),Y$1),0)</f>
        <v>1</v>
      </c>
      <c r="Z7">
        <f>IFERROR(COUNTIF(OFFSET('Schedule Raw Data'!$A$2,MATCH($A7,'Schedule Raw Data'!$A$3:$A$2477,0),1,COUNTIF('Schedule Raw Data'!$A$3:$A$2477,$A7),2),Z$1),0)</f>
        <v>0</v>
      </c>
      <c r="AA7">
        <f>IFERROR(COUNTIF(OFFSET('Schedule Raw Data'!$A$2,MATCH($A7,'Schedule Raw Data'!$A$3:$A$2477,0),1,COUNTIF('Schedule Raw Data'!$A$3:$A$2477,$A7),2),AA$1),0)</f>
        <v>0</v>
      </c>
      <c r="AB7">
        <f>IFERROR(COUNTIF(OFFSET('Schedule Raw Data'!$A$2,MATCH($A7,'Schedule Raw Data'!$A$3:$A$2477,0),1,COUNTIF('Schedule Raw Data'!$A$3:$A$2477,$A7),2),AB$1),0)</f>
        <v>1</v>
      </c>
      <c r="AC7">
        <f>IFERROR(COUNTIF(OFFSET('Schedule Raw Data'!$A$2,MATCH($A7,'Schedule Raw Data'!$A$3:$A$2477,0),1,COUNTIF('Schedule Raw Data'!$A$3:$A$2477,$A7),2),AC$1),0)</f>
        <v>0</v>
      </c>
      <c r="AD7">
        <f>IFERROR(COUNTIF(OFFSET('Schedule Raw Data'!$A$2,MATCH($A7,'Schedule Raw Data'!$A$3:$A$2477,0),1,COUNTIF('Schedule Raw Data'!$A$3:$A$2477,$A7),2),AD$1),0)</f>
        <v>1</v>
      </c>
      <c r="AE7">
        <f>IFERROR(COUNTIF(OFFSET('Schedule Raw Data'!$A$2,MATCH($A7,'Schedule Raw Data'!$A$3:$A$2477,0),1,COUNTIF('Schedule Raw Data'!$A$3:$A$2477,$A7),2),AE$1),0)</f>
        <v>1</v>
      </c>
      <c r="AF7">
        <f>IFERROR(COUNTIF(OFFSET('Schedule Raw Data'!$A$2,MATCH($A7,'Schedule Raw Data'!$A$3:$A$2477,0),1,COUNTIF('Schedule Raw Data'!$A$3:$A$2477,$A7),2),AF$1),0)</f>
        <v>0</v>
      </c>
      <c r="AG7">
        <f t="shared" si="1"/>
        <v>7</v>
      </c>
    </row>
    <row r="8">
      <c r="A8" s="29">
        <f t="array" ref="A8">INDEX('Schedule Raw Data'!$A$3:$A$2477,MATCH(0,INDEX(COUNTIF($A$1:A7,'Schedule Raw Data'!$A$3:$A$2477),0,0),0))</f>
        <v>46321</v>
      </c>
      <c r="B8">
        <f t="shared" si="2"/>
        <v>2</v>
      </c>
      <c r="C8">
        <f>IFERROR(COUNTIF(OFFSET('Schedule Raw Data'!$A$2,MATCH($A8,'Schedule Raw Data'!$A$3:$A$2477,0),1,COUNTIF('Schedule Raw Data'!$A$3:$A$2477,$A8),2),C$1),0)</f>
        <v>1</v>
      </c>
      <c r="D8">
        <f>IFERROR(COUNTIF(OFFSET('Schedule Raw Data'!$A$2,MATCH($A8,'Schedule Raw Data'!$A$3:$A$2477,0),1,COUNTIF('Schedule Raw Data'!$A$3:$A$2477,$A8),2),D$1),0)</f>
        <v>0</v>
      </c>
      <c r="E8">
        <f>IFERROR(COUNTIF(OFFSET('Schedule Raw Data'!$A$2,MATCH($A8,'Schedule Raw Data'!$A$3:$A$2477,0),1,COUNTIF('Schedule Raw Data'!$A$3:$A$2477,$A8),2),E$1),0)</f>
        <v>1</v>
      </c>
      <c r="F8">
        <f>IFERROR(COUNTIF(OFFSET('Schedule Raw Data'!$A$2,MATCH($A8,'Schedule Raw Data'!$A$3:$A$2477,0),1,COUNTIF('Schedule Raw Data'!$A$3:$A$2477,$A8),2),F$1),0)</f>
        <v>1</v>
      </c>
      <c r="G8">
        <f>IFERROR(COUNTIF(OFFSET('Schedule Raw Data'!$A$2,MATCH($A8,'Schedule Raw Data'!$A$3:$A$2477,0),1,COUNTIF('Schedule Raw Data'!$A$3:$A$2477,$A8),2),G$1),0)</f>
        <v>1</v>
      </c>
      <c r="H8">
        <f>IFERROR(COUNTIF(OFFSET('Schedule Raw Data'!$A$2,MATCH($A8,'Schedule Raw Data'!$A$3:$A$2477,0),1,COUNTIF('Schedule Raw Data'!$A$3:$A$2477,$A8),2),H$1),0)</f>
        <v>1</v>
      </c>
      <c r="I8">
        <f>IFERROR(COUNTIF(OFFSET('Schedule Raw Data'!$A$2,MATCH($A8,'Schedule Raw Data'!$A$3:$A$2477,0),1,COUNTIF('Schedule Raw Data'!$A$3:$A$2477,$A8),2),I$1),0)</f>
        <v>1</v>
      </c>
      <c r="J8">
        <f>IFERROR(COUNTIF(OFFSET('Schedule Raw Data'!$A$2,MATCH($A8,'Schedule Raw Data'!$A$3:$A$2477,0),1,COUNTIF('Schedule Raw Data'!$A$3:$A$2477,$A8),2),J$1),0)</f>
        <v>1</v>
      </c>
      <c r="K8">
        <f>IFERROR(COUNTIF(OFFSET('Schedule Raw Data'!$A$2,MATCH($A8,'Schedule Raw Data'!$A$3:$A$2477,0),1,COUNTIF('Schedule Raw Data'!$A$3:$A$2477,$A8),2),K$1),0)</f>
        <v>0</v>
      </c>
      <c r="L8">
        <f>IFERROR(COUNTIF(OFFSET('Schedule Raw Data'!$A$2,MATCH($A8,'Schedule Raw Data'!$A$3:$A$2477,0),1,COUNTIF('Schedule Raw Data'!$A$3:$A$2477,$A8),2),L$1),0)</f>
        <v>1</v>
      </c>
      <c r="M8">
        <f>IFERROR(COUNTIF(OFFSET('Schedule Raw Data'!$A$2,MATCH($A8,'Schedule Raw Data'!$A$3:$A$2477,0),1,COUNTIF('Schedule Raw Data'!$A$3:$A$2477,$A8),2),M$1),0)</f>
        <v>1</v>
      </c>
      <c r="N8">
        <f>IFERROR(COUNTIF(OFFSET('Schedule Raw Data'!$A$2,MATCH($A8,'Schedule Raw Data'!$A$3:$A$2477,0),1,COUNTIF('Schedule Raw Data'!$A$3:$A$2477,$A8),2),N$1),0)</f>
        <v>1</v>
      </c>
      <c r="O8">
        <f>IFERROR(COUNTIF(OFFSET('Schedule Raw Data'!$A$2,MATCH($A8,'Schedule Raw Data'!$A$3:$A$2477,0),1,COUNTIF('Schedule Raw Data'!$A$3:$A$2477,$A8),2),O$1),0)</f>
        <v>0</v>
      </c>
      <c r="P8">
        <f>IFERROR(COUNTIF(OFFSET('Schedule Raw Data'!$A$2,MATCH($A8,'Schedule Raw Data'!$A$3:$A$2477,0),1,COUNTIF('Schedule Raw Data'!$A$3:$A$2477,$A8),2),P$1),0)</f>
        <v>0</v>
      </c>
      <c r="Q8">
        <f>IFERROR(COUNTIF(OFFSET('Schedule Raw Data'!$A$2,MATCH($A8,'Schedule Raw Data'!$A$3:$A$2477,0),1,COUNTIF('Schedule Raw Data'!$A$3:$A$2477,$A8),2),Q$1),0)</f>
        <v>1</v>
      </c>
      <c r="R8">
        <f>IFERROR(COUNTIF(OFFSET('Schedule Raw Data'!$A$2,MATCH($A8,'Schedule Raw Data'!$A$3:$A$2477,0),1,COUNTIF('Schedule Raw Data'!$A$3:$A$2477,$A8),2),R$1),0)</f>
        <v>1</v>
      </c>
      <c r="S8">
        <f>IFERROR(COUNTIF(OFFSET('Schedule Raw Data'!$A$2,MATCH($A8,'Schedule Raw Data'!$A$3:$A$2477,0),1,COUNTIF('Schedule Raw Data'!$A$3:$A$2477,$A8),2),S$1),0)</f>
        <v>1</v>
      </c>
      <c r="T8">
        <f>IFERROR(COUNTIF(OFFSET('Schedule Raw Data'!$A$2,MATCH($A8,'Schedule Raw Data'!$A$3:$A$2477,0),1,COUNTIF('Schedule Raw Data'!$A$3:$A$2477,$A8),2),T$1),0)</f>
        <v>1</v>
      </c>
      <c r="U8">
        <f>IFERROR(COUNTIF(OFFSET('Schedule Raw Data'!$A$2,MATCH($A8,'Schedule Raw Data'!$A$3:$A$2477,0),1,COUNTIF('Schedule Raw Data'!$A$3:$A$2477,$A8),2),U$1),0)</f>
        <v>0</v>
      </c>
      <c r="V8">
        <f>IFERROR(COUNTIF(OFFSET('Schedule Raw Data'!$A$2,MATCH($A8,'Schedule Raw Data'!$A$3:$A$2477,0),1,COUNTIF('Schedule Raw Data'!$A$3:$A$2477,$A8),2),V$1),0)</f>
        <v>0</v>
      </c>
      <c r="W8">
        <f>IFERROR(COUNTIF(OFFSET('Schedule Raw Data'!$A$2,MATCH($A8,'Schedule Raw Data'!$A$3:$A$2477,0),1,COUNTIF('Schedule Raw Data'!$A$3:$A$2477,$A8),2),W$1),0)</f>
        <v>1</v>
      </c>
      <c r="X8">
        <f>IFERROR(COUNTIF(OFFSET('Schedule Raw Data'!$A$2,MATCH($A8,'Schedule Raw Data'!$A$3:$A$2477,0),1,COUNTIF('Schedule Raw Data'!$A$3:$A$2477,$A8),2),X$1),0)</f>
        <v>0</v>
      </c>
      <c r="Y8">
        <f>IFERROR(COUNTIF(OFFSET('Schedule Raw Data'!$A$2,MATCH($A8,'Schedule Raw Data'!$A$3:$A$2477,0),1,COUNTIF('Schedule Raw Data'!$A$3:$A$2477,$A8),2),Y$1),0)</f>
        <v>0</v>
      </c>
      <c r="Z8">
        <f>IFERROR(COUNTIF(OFFSET('Schedule Raw Data'!$A$2,MATCH($A8,'Schedule Raw Data'!$A$3:$A$2477,0),1,COUNTIF('Schedule Raw Data'!$A$3:$A$2477,$A8),2),Z$1),0)</f>
        <v>1</v>
      </c>
      <c r="AA8">
        <f>IFERROR(COUNTIF(OFFSET('Schedule Raw Data'!$A$2,MATCH($A8,'Schedule Raw Data'!$A$3:$A$2477,0),1,COUNTIF('Schedule Raw Data'!$A$3:$A$2477,$A8),2),AA$1),0)</f>
        <v>0</v>
      </c>
      <c r="AB8">
        <f>IFERROR(COUNTIF(OFFSET('Schedule Raw Data'!$A$2,MATCH($A8,'Schedule Raw Data'!$A$3:$A$2477,0),1,COUNTIF('Schedule Raw Data'!$A$3:$A$2477,$A8),2),AB$1),0)</f>
        <v>0</v>
      </c>
      <c r="AC8">
        <f>IFERROR(COUNTIF(OFFSET('Schedule Raw Data'!$A$2,MATCH($A8,'Schedule Raw Data'!$A$3:$A$2477,0),1,COUNTIF('Schedule Raw Data'!$A$3:$A$2477,$A8),2),AC$1),0)</f>
        <v>0</v>
      </c>
      <c r="AD8">
        <f>IFERROR(COUNTIF(OFFSET('Schedule Raw Data'!$A$2,MATCH($A8,'Schedule Raw Data'!$A$3:$A$2477,0),1,COUNTIF('Schedule Raw Data'!$A$3:$A$2477,$A8),2),AD$1),0)</f>
        <v>0</v>
      </c>
      <c r="AE8">
        <f>IFERROR(COUNTIF(OFFSET('Schedule Raw Data'!$A$2,MATCH($A8,'Schedule Raw Data'!$A$3:$A$2477,0),1,COUNTIF('Schedule Raw Data'!$A$3:$A$2477,$A8),2),AE$1),0)</f>
        <v>1</v>
      </c>
      <c r="AF8">
        <f>IFERROR(COUNTIF(OFFSET('Schedule Raw Data'!$A$2,MATCH($A8,'Schedule Raw Data'!$A$3:$A$2477,0),1,COUNTIF('Schedule Raw Data'!$A$3:$A$2477,$A8),2),AF$1),0)</f>
        <v>1</v>
      </c>
      <c r="AG8">
        <f t="shared" si="1"/>
        <v>9</v>
      </c>
    </row>
    <row r="9">
      <c r="A9" s="29">
        <f t="array" ref="A9">INDEX('Schedule Raw Data'!$A$3:$A$2477,MATCH(0,INDEX(COUNTIF($A$1:A8,'Schedule Raw Data'!$A$3:$A$2477),0,0),0))</f>
        <v>46322</v>
      </c>
      <c r="B9">
        <f t="shared" si="2"/>
        <v>2</v>
      </c>
      <c r="C9">
        <f>IFERROR(COUNTIF(OFFSET('Schedule Raw Data'!$A$2,MATCH($A9,'Schedule Raw Data'!$A$3:$A$2477,0),1,COUNTIF('Schedule Raw Data'!$A$3:$A$2477,$A9),2),C$1),0)</f>
        <v>0</v>
      </c>
      <c r="D9">
        <f>IFERROR(COUNTIF(OFFSET('Schedule Raw Data'!$A$2,MATCH($A9,'Schedule Raw Data'!$A$3:$A$2477,0),1,COUNTIF('Schedule Raw Data'!$A$3:$A$2477,$A9),2),D$1),0)</f>
        <v>1</v>
      </c>
      <c r="E9">
        <f>IFERROR(COUNTIF(OFFSET('Schedule Raw Data'!$A$2,MATCH($A9,'Schedule Raw Data'!$A$3:$A$2477,0),1,COUNTIF('Schedule Raw Data'!$A$3:$A$2477,$A9),2),E$1),0)</f>
        <v>1</v>
      </c>
      <c r="F9">
        <f>IFERROR(COUNTIF(OFFSET('Schedule Raw Data'!$A$2,MATCH($A9,'Schedule Raw Data'!$A$3:$A$2477,0),1,COUNTIF('Schedule Raw Data'!$A$3:$A$2477,$A9),2),F$1),0)</f>
        <v>0</v>
      </c>
      <c r="G9">
        <f>IFERROR(COUNTIF(OFFSET('Schedule Raw Data'!$A$2,MATCH($A9,'Schedule Raw Data'!$A$3:$A$2477,0),1,COUNTIF('Schedule Raw Data'!$A$3:$A$2477,$A9),2),G$1),0)</f>
        <v>0</v>
      </c>
      <c r="H9">
        <f>IFERROR(COUNTIF(OFFSET('Schedule Raw Data'!$A$2,MATCH($A9,'Schedule Raw Data'!$A$3:$A$2477,0),1,COUNTIF('Schedule Raw Data'!$A$3:$A$2477,$A9),2),H$1),0)</f>
        <v>0</v>
      </c>
      <c r="I9">
        <f>IFERROR(COUNTIF(OFFSET('Schedule Raw Data'!$A$2,MATCH($A9,'Schedule Raw Data'!$A$3:$A$2477,0),1,COUNTIF('Schedule Raw Data'!$A$3:$A$2477,$A9),2),I$1),0)</f>
        <v>0</v>
      </c>
      <c r="J9">
        <f>IFERROR(COUNTIF(OFFSET('Schedule Raw Data'!$A$2,MATCH($A9,'Schedule Raw Data'!$A$3:$A$2477,0),1,COUNTIF('Schedule Raw Data'!$A$3:$A$2477,$A9),2),J$1),0)</f>
        <v>0</v>
      </c>
      <c r="K9">
        <f>IFERROR(COUNTIF(OFFSET('Schedule Raw Data'!$A$2,MATCH($A9,'Schedule Raw Data'!$A$3:$A$2477,0),1,COUNTIF('Schedule Raw Data'!$A$3:$A$2477,$A9),2),K$1),0)</f>
        <v>1</v>
      </c>
      <c r="L9">
        <f>IFERROR(COUNTIF(OFFSET('Schedule Raw Data'!$A$2,MATCH($A9,'Schedule Raw Data'!$A$3:$A$2477,0),1,COUNTIF('Schedule Raw Data'!$A$3:$A$2477,$A9),2),L$1),0)</f>
        <v>0</v>
      </c>
      <c r="M9">
        <f>IFERROR(COUNTIF(OFFSET('Schedule Raw Data'!$A$2,MATCH($A9,'Schedule Raw Data'!$A$3:$A$2477,0),1,COUNTIF('Schedule Raw Data'!$A$3:$A$2477,$A9),2),M$1),0)</f>
        <v>0</v>
      </c>
      <c r="N9">
        <f>IFERROR(COUNTIF(OFFSET('Schedule Raw Data'!$A$2,MATCH($A9,'Schedule Raw Data'!$A$3:$A$2477,0),1,COUNTIF('Schedule Raw Data'!$A$3:$A$2477,$A9),2),N$1),0)</f>
        <v>0</v>
      </c>
      <c r="O9">
        <f>IFERROR(COUNTIF(OFFSET('Schedule Raw Data'!$A$2,MATCH($A9,'Schedule Raw Data'!$A$3:$A$2477,0),1,COUNTIF('Schedule Raw Data'!$A$3:$A$2477,$A9),2),O$1),0)</f>
        <v>0</v>
      </c>
      <c r="P9">
        <f>IFERROR(COUNTIF(OFFSET('Schedule Raw Data'!$A$2,MATCH($A9,'Schedule Raw Data'!$A$3:$A$2477,0),1,COUNTIF('Schedule Raw Data'!$A$3:$A$2477,$A9),2),P$1),0)</f>
        <v>1</v>
      </c>
      <c r="Q9">
        <f>IFERROR(COUNTIF(OFFSET('Schedule Raw Data'!$A$2,MATCH($A9,'Schedule Raw Data'!$A$3:$A$2477,0),1,COUNTIF('Schedule Raw Data'!$A$3:$A$2477,$A9),2),Q$1),0)</f>
        <v>0</v>
      </c>
      <c r="R9">
        <f>IFERROR(COUNTIF(OFFSET('Schedule Raw Data'!$A$2,MATCH($A9,'Schedule Raw Data'!$A$3:$A$2477,0),1,COUNTIF('Schedule Raw Data'!$A$3:$A$2477,$A9),2),R$1),0)</f>
        <v>0</v>
      </c>
      <c r="S9">
        <f>IFERROR(COUNTIF(OFFSET('Schedule Raw Data'!$A$2,MATCH($A9,'Schedule Raw Data'!$A$3:$A$2477,0),1,COUNTIF('Schedule Raw Data'!$A$3:$A$2477,$A9),2),S$1),0)</f>
        <v>0</v>
      </c>
      <c r="T9">
        <f>IFERROR(COUNTIF(OFFSET('Schedule Raw Data'!$A$2,MATCH($A9,'Schedule Raw Data'!$A$3:$A$2477,0),1,COUNTIF('Schedule Raw Data'!$A$3:$A$2477,$A9),2),T$1),0)</f>
        <v>0</v>
      </c>
      <c r="U9">
        <f>IFERROR(COUNTIF(OFFSET('Schedule Raw Data'!$A$2,MATCH($A9,'Schedule Raw Data'!$A$3:$A$2477,0),1,COUNTIF('Schedule Raw Data'!$A$3:$A$2477,$A9),2),U$1),0)</f>
        <v>0</v>
      </c>
      <c r="V9">
        <f>IFERROR(COUNTIF(OFFSET('Schedule Raw Data'!$A$2,MATCH($A9,'Schedule Raw Data'!$A$3:$A$2477,0),1,COUNTIF('Schedule Raw Data'!$A$3:$A$2477,$A9),2),V$1),0)</f>
        <v>1</v>
      </c>
      <c r="W9">
        <f>IFERROR(COUNTIF(OFFSET('Schedule Raw Data'!$A$2,MATCH($A9,'Schedule Raw Data'!$A$3:$A$2477,0),1,COUNTIF('Schedule Raw Data'!$A$3:$A$2477,$A9),2),W$1),0)</f>
        <v>0</v>
      </c>
      <c r="X9">
        <f>IFERROR(COUNTIF(OFFSET('Schedule Raw Data'!$A$2,MATCH($A9,'Schedule Raw Data'!$A$3:$A$2477,0),1,COUNTIF('Schedule Raw Data'!$A$3:$A$2477,$A9),2),X$1),0)</f>
        <v>0</v>
      </c>
      <c r="Y9">
        <f>IFERROR(COUNTIF(OFFSET('Schedule Raw Data'!$A$2,MATCH($A9,'Schedule Raw Data'!$A$3:$A$2477,0),1,COUNTIF('Schedule Raw Data'!$A$3:$A$2477,$A9),2),Y$1),0)</f>
        <v>0</v>
      </c>
      <c r="Z9">
        <f>IFERROR(COUNTIF(OFFSET('Schedule Raw Data'!$A$2,MATCH($A9,'Schedule Raw Data'!$A$3:$A$2477,0),1,COUNTIF('Schedule Raw Data'!$A$3:$A$2477,$A9),2),Z$1),0)</f>
        <v>0</v>
      </c>
      <c r="AA9">
        <f>IFERROR(COUNTIF(OFFSET('Schedule Raw Data'!$A$2,MATCH($A9,'Schedule Raw Data'!$A$3:$A$2477,0),1,COUNTIF('Schedule Raw Data'!$A$3:$A$2477,$A9),2),AA$1),0)</f>
        <v>1</v>
      </c>
      <c r="AB9">
        <f>IFERROR(COUNTIF(OFFSET('Schedule Raw Data'!$A$2,MATCH($A9,'Schedule Raw Data'!$A$3:$A$2477,0),1,COUNTIF('Schedule Raw Data'!$A$3:$A$2477,$A9),2),AB$1),0)</f>
        <v>1</v>
      </c>
      <c r="AC9">
        <f>IFERROR(COUNTIF(OFFSET('Schedule Raw Data'!$A$2,MATCH($A9,'Schedule Raw Data'!$A$3:$A$2477,0),1,COUNTIF('Schedule Raw Data'!$A$3:$A$2477,$A9),2),AC$1),0)</f>
        <v>1</v>
      </c>
      <c r="AD9">
        <f>IFERROR(COUNTIF(OFFSET('Schedule Raw Data'!$A$2,MATCH($A9,'Schedule Raw Data'!$A$3:$A$2477,0),1,COUNTIF('Schedule Raw Data'!$A$3:$A$2477,$A9),2),AD$1),0)</f>
        <v>0</v>
      </c>
      <c r="AE9">
        <f>IFERROR(COUNTIF(OFFSET('Schedule Raw Data'!$A$2,MATCH($A9,'Schedule Raw Data'!$A$3:$A$2477,0),1,COUNTIF('Schedule Raw Data'!$A$3:$A$2477,$A9),2),AE$1),0)</f>
        <v>0</v>
      </c>
      <c r="AF9">
        <f>IFERROR(COUNTIF(OFFSET('Schedule Raw Data'!$A$2,MATCH($A9,'Schedule Raw Data'!$A$3:$A$2477,0),1,COUNTIF('Schedule Raw Data'!$A$3:$A$2477,$A9),2),AF$1),0)</f>
        <v>0</v>
      </c>
      <c r="AG9">
        <f t="shared" si="1"/>
        <v>4</v>
      </c>
    </row>
    <row r="10">
      <c r="A10" s="29">
        <f t="array" ref="A10">INDEX('Schedule Raw Data'!$A$3:$A$2477,MATCH(0,INDEX(COUNTIF($A$1:A9,'Schedule Raw Data'!$A$3:$A$2477),0,0),0))</f>
        <v>46323</v>
      </c>
      <c r="B10">
        <f t="shared" si="2"/>
        <v>2</v>
      </c>
      <c r="C10">
        <f>IFERROR(COUNTIF(OFFSET('Schedule Raw Data'!$A$2,MATCH($A10,'Schedule Raw Data'!$A$3:$A$2477,0),1,COUNTIF('Schedule Raw Data'!$A$3:$A$2477,$A10),2),C$1),0)</f>
        <v>1</v>
      </c>
      <c r="D10">
        <f>IFERROR(
  COUNTIF(
    OFFSET('Schedule Raw Data'!$A$2,
      MATCH($A10,'Schedule Raw Data'!$A$3:$A$2477,0),
      1,
      COUNTIF('Schedule Raw Data'!$A$3:$A$2477,$A10),
      2),
    D$1),
  0)</f>
        <v>0</v>
      </c>
      <c r="E10">
        <f>IFERROR(COUNTIF(OFFSET('Schedule Raw Data'!$A$2,MATCH($A10,'Schedule Raw Data'!$A$3:$A$2477,0),1,COUNTIF('Schedule Raw Data'!$A$3:$A$2477,$A10),2),E$1),0)</f>
        <v>0</v>
      </c>
      <c r="F10">
        <f>IFERROR(COUNTIF(OFFSET('Schedule Raw Data'!$A$2,MATCH($A10,'Schedule Raw Data'!$A$3:$A$2477,0),1,COUNTIF('Schedule Raw Data'!$A$3:$A$2477,$A10),2),F$1),0)</f>
        <v>1</v>
      </c>
      <c r="G10">
        <f>IFERROR(COUNTIF(OFFSET('Schedule Raw Data'!$A$2,MATCH($A10,'Schedule Raw Data'!$A$3:$A$2477,0),1,COUNTIF('Schedule Raw Data'!$A$3:$A$2477,$A10),2),G$1),0)</f>
        <v>1</v>
      </c>
      <c r="H10">
        <f>IFERROR(COUNTIF(OFFSET('Schedule Raw Data'!$A$2,MATCH($A10,'Schedule Raw Data'!$A$3:$A$2477,0),1,COUNTIF('Schedule Raw Data'!$A$3:$A$2477,$A10),2),H$1),0)</f>
        <v>1</v>
      </c>
      <c r="I10">
        <f>IFERROR(COUNTIF(OFFSET('Schedule Raw Data'!$A$2,MATCH($A10,'Schedule Raw Data'!$A$3:$A$2477,0),1,COUNTIF('Schedule Raw Data'!$A$3:$A$2477,$A10),2),I$1),0)</f>
        <v>1</v>
      </c>
      <c r="J10">
        <f>IFERROR(COUNTIF(OFFSET('Schedule Raw Data'!$A$2,MATCH($A10,'Schedule Raw Data'!$A$3:$A$2477,0),1,COUNTIF('Schedule Raw Data'!$A$3:$A$2477,$A10),2),J$1),0)</f>
        <v>1</v>
      </c>
      <c r="K10">
        <f>IFERROR(COUNTIF(OFFSET('Schedule Raw Data'!$A$2,MATCH($A10,'Schedule Raw Data'!$A$3:$A$2477,0),1,COUNTIF('Schedule Raw Data'!$A$3:$A$2477,$A10),2),K$1),0)</f>
        <v>1</v>
      </c>
      <c r="L10">
        <f>IFERROR(COUNTIF(OFFSET('Schedule Raw Data'!$A$2,MATCH($A10,'Schedule Raw Data'!$A$3:$A$2477,0),1,COUNTIF('Schedule Raw Data'!$A$3:$A$2477,$A10),2),L$1),0)</f>
        <v>1</v>
      </c>
      <c r="M10">
        <f>IFERROR(COUNTIF(OFFSET('Schedule Raw Data'!$A$2,MATCH($A10,'Schedule Raw Data'!$A$3:$A$2477,0),1,COUNTIF('Schedule Raw Data'!$A$3:$A$2477,$A10),2),M$1),0)</f>
        <v>1</v>
      </c>
      <c r="N10">
        <f>IFERROR(COUNTIF(OFFSET('Schedule Raw Data'!$A$2,MATCH($A10,'Schedule Raw Data'!$A$3:$A$2477,0),1,COUNTIF('Schedule Raw Data'!$A$3:$A$2477,$A10),2),N$1),0)</f>
        <v>1</v>
      </c>
      <c r="O10">
        <f>IFERROR(COUNTIF(OFFSET('Schedule Raw Data'!$A$2,MATCH($A10,'Schedule Raw Data'!$A$3:$A$2477,0),1,COUNTIF('Schedule Raw Data'!$A$3:$A$2477,$A10),2),O$1),0)</f>
        <v>1</v>
      </c>
      <c r="P10">
        <f>IFERROR(COUNTIF(OFFSET('Schedule Raw Data'!$A$2,MATCH($A10,'Schedule Raw Data'!$A$3:$A$2477,0),1,COUNTIF('Schedule Raw Data'!$A$3:$A$2477,$A10),2),P$1),0)</f>
        <v>1</v>
      </c>
      <c r="Q10">
        <f>IFERROR(COUNTIF(OFFSET('Schedule Raw Data'!$A$2,MATCH($A10,'Schedule Raw Data'!$A$3:$A$2477,0),1,COUNTIF('Schedule Raw Data'!$A$3:$A$2477,$A10),2),Q$1),0)</f>
        <v>0</v>
      </c>
      <c r="R10">
        <f>IFERROR(COUNTIF(OFFSET('Schedule Raw Data'!$A$2,MATCH($A10,'Schedule Raw Data'!$A$3:$A$2477,0),1,COUNTIF('Schedule Raw Data'!$A$3:$A$2477,$A10),2),R$1),0)</f>
        <v>1</v>
      </c>
      <c r="S10">
        <f>IFERROR(COUNTIF(OFFSET('Schedule Raw Data'!$A$2,MATCH($A10,'Schedule Raw Data'!$A$3:$A$2477,0),1,COUNTIF('Schedule Raw Data'!$A$3:$A$2477,$A10),2),S$1),0)</f>
        <v>1</v>
      </c>
      <c r="T10">
        <f>IFERROR(COUNTIF(OFFSET('Schedule Raw Data'!$A$2,MATCH($A10,'Schedule Raw Data'!$A$3:$A$2477,0),1,COUNTIF('Schedule Raw Data'!$A$3:$A$2477,$A10),2),T$1),0)</f>
        <v>1</v>
      </c>
      <c r="U10">
        <f>IFERROR(COUNTIF(OFFSET('Schedule Raw Data'!$A$2,MATCH($A10,'Schedule Raw Data'!$A$3:$A$2477,0),1,COUNTIF('Schedule Raw Data'!$A$3:$A$2477,$A10),2),U$1),0)</f>
        <v>1</v>
      </c>
      <c r="V10">
        <f>IFERROR(COUNTIF(OFFSET('Schedule Raw Data'!$A$2,MATCH($A10,'Schedule Raw Data'!$A$3:$A$2477,0),1,COUNTIF('Schedule Raw Data'!$A$3:$A$2477,$A10),2),V$1),0)</f>
        <v>1</v>
      </c>
      <c r="W10">
        <f>IFERROR(COUNTIF(OFFSET('Schedule Raw Data'!$A$2,MATCH($A10,'Schedule Raw Data'!$A$3:$A$2477,0),1,COUNTIF('Schedule Raw Data'!$A$3:$A$2477,$A10),2),W$1),0)</f>
        <v>1</v>
      </c>
      <c r="X10">
        <f>IFERROR(COUNTIF(OFFSET('Schedule Raw Data'!$A$2,MATCH($A10,'Schedule Raw Data'!$A$3:$A$2477,0),1,COUNTIF('Schedule Raw Data'!$A$3:$A$2477,$A10),2),X$1),0)</f>
        <v>1</v>
      </c>
      <c r="Y10">
        <f>IFERROR(COUNTIF(OFFSET('Schedule Raw Data'!$A$2,MATCH($A10,'Schedule Raw Data'!$A$3:$A$2477,0),1,COUNTIF('Schedule Raw Data'!$A$3:$A$2477,$A10),2),Y$1),0)</f>
        <v>1</v>
      </c>
      <c r="Z10">
        <f>IFERROR(COUNTIF(OFFSET('Schedule Raw Data'!$A$2,MATCH($A10,'Schedule Raw Data'!$A$3:$A$2477,0),1,COUNTIF('Schedule Raw Data'!$A$3:$A$2477,$A10),2),Z$1),0)</f>
        <v>0</v>
      </c>
      <c r="AA10">
        <f>IFERROR(COUNTIF(OFFSET('Schedule Raw Data'!$A$2,MATCH($A10,'Schedule Raw Data'!$A$3:$A$2477,0),1,COUNTIF('Schedule Raw Data'!$A$3:$A$2477,$A10),2),AA$1),0)</f>
        <v>0</v>
      </c>
      <c r="AB10">
        <f>IFERROR(COUNTIF(OFFSET('Schedule Raw Data'!$A$2,MATCH($A10,'Schedule Raw Data'!$A$3:$A$2477,0),1,COUNTIF('Schedule Raw Data'!$A$3:$A$2477,$A10),2),AB$1),0)</f>
        <v>0</v>
      </c>
      <c r="AC10">
        <f>IFERROR(COUNTIF(OFFSET('Schedule Raw Data'!$A$2,MATCH($A10,'Schedule Raw Data'!$A$3:$A$2477,0),1,COUNTIF('Schedule Raw Data'!$A$3:$A$2477,$A10),2),AC$1),0)</f>
        <v>1</v>
      </c>
      <c r="AD10">
        <f>IFERROR(COUNTIF(OFFSET('Schedule Raw Data'!$A$2,MATCH($A10,'Schedule Raw Data'!$A$3:$A$2477,0),1,COUNTIF('Schedule Raw Data'!$A$3:$A$2477,$A10),2),AD$1),0)</f>
        <v>1</v>
      </c>
      <c r="AE10">
        <f>IFERROR(COUNTIF(OFFSET('Schedule Raw Data'!$A$2,MATCH($A10,'Schedule Raw Data'!$A$3:$A$2477,0),1,COUNTIF('Schedule Raw Data'!$A$3:$A$2477,$A10),2),AE$1),0)</f>
        <v>1</v>
      </c>
      <c r="AF10">
        <f>IFERROR(COUNTIF(OFFSET('Schedule Raw Data'!$A$2,MATCH($A10,'Schedule Raw Data'!$A$3:$A$2477,0),1,COUNTIF('Schedule Raw Data'!$A$3:$A$2477,$A10),2),AF$1),0)</f>
        <v>1</v>
      </c>
      <c r="AG10">
        <f t="shared" si="1"/>
        <v>12</v>
      </c>
    </row>
    <row r="11">
      <c r="A11" s="29">
        <f t="array" ref="A11">INDEX('Schedule Raw Data'!$A$3:$A$2477,MATCH(0,INDEX(COUNTIF($A$1:A10,'Schedule Raw Data'!$A$3:$A$2477),0,0),0))</f>
        <v>46324</v>
      </c>
      <c r="B11">
        <f t="shared" si="2"/>
        <v>2</v>
      </c>
      <c r="C11">
        <f>IFERROR(COUNTIF(OFFSET('Schedule Raw Data'!$A$2,MATCH($A11,'Schedule Raw Data'!$A$3:$A$2477,0),1,COUNTIF('Schedule Raw Data'!$A$3:$A$2477,$A11),2),C$1),0)</f>
        <v>1</v>
      </c>
      <c r="D11">
        <f>IFERROR(COUNTIF(OFFSET('Schedule Raw Data'!$A$2,MATCH($A11,'Schedule Raw Data'!$A$3:$A$2477,0),1,COUNTIF('Schedule Raw Data'!$A$3:$A$2477,$A11),2),D$1),0)</f>
        <v>0</v>
      </c>
      <c r="E11">
        <f>IFERROR(COUNTIF(OFFSET('Schedule Raw Data'!$A$2,MATCH($A11,'Schedule Raw Data'!$A$3:$A$2477,0),1,COUNTIF('Schedule Raw Data'!$A$3:$A$2477,$A11),2),E$1),0)</f>
        <v>0</v>
      </c>
      <c r="F11">
        <f>IFERROR(COUNTIF(OFFSET('Schedule Raw Data'!$A$2,MATCH($A11,'Schedule Raw Data'!$A$3:$A$2477,0),1,COUNTIF('Schedule Raw Data'!$A$3:$A$2477,$A11),2),F$1),0)</f>
        <v>0</v>
      </c>
      <c r="G11">
        <f>IFERROR(COUNTIF(OFFSET('Schedule Raw Data'!$A$2,MATCH($A11,'Schedule Raw Data'!$A$3:$A$2477,0),1,COUNTIF('Schedule Raw Data'!$A$3:$A$2477,$A11),2),G$1),0)</f>
        <v>0</v>
      </c>
      <c r="H11">
        <f>IFERROR(COUNTIF(OFFSET('Schedule Raw Data'!$A$2,MATCH($A11,'Schedule Raw Data'!$A$3:$A$2477,0),1,COUNTIF('Schedule Raw Data'!$A$3:$A$2477,$A11),2),H$1),0)</f>
        <v>1</v>
      </c>
      <c r="I11">
        <f>IFERROR(COUNTIF(OFFSET('Schedule Raw Data'!$A$2,MATCH($A11,'Schedule Raw Data'!$A$3:$A$2477,0),1,COUNTIF('Schedule Raw Data'!$A$3:$A$2477,$A11),2),I$1),0)</f>
        <v>0</v>
      </c>
      <c r="J11">
        <f>IFERROR(COUNTIF(OFFSET('Schedule Raw Data'!$A$2,MATCH($A11,'Schedule Raw Data'!$A$3:$A$2477,0),1,COUNTIF('Schedule Raw Data'!$A$3:$A$2477,$A11),2),J$1),0)</f>
        <v>0</v>
      </c>
      <c r="K11">
        <f>IFERROR(COUNTIF(OFFSET('Schedule Raw Data'!$A$2,MATCH($A11,'Schedule Raw Data'!$A$3:$A$2477,0),1,COUNTIF('Schedule Raw Data'!$A$3:$A$2477,$A11),2),K$1),0)</f>
        <v>0</v>
      </c>
      <c r="L11">
        <f>IFERROR(COUNTIF(OFFSET('Schedule Raw Data'!$A$2,MATCH($A11,'Schedule Raw Data'!$A$3:$A$2477,0),1,COUNTIF('Schedule Raw Data'!$A$3:$A$2477,$A11),2),L$1),0)</f>
        <v>0</v>
      </c>
      <c r="M11">
        <f>IFERROR(COUNTIF(OFFSET('Schedule Raw Data'!$A$2,MATCH($A11,'Schedule Raw Data'!$A$3:$A$2477,0),1,COUNTIF('Schedule Raw Data'!$A$3:$A$2477,$A11),2),M$1),0)</f>
        <v>0</v>
      </c>
      <c r="N11">
        <f>IFERROR(COUNTIF(OFFSET('Schedule Raw Data'!$A$2,MATCH($A11,'Schedule Raw Data'!$A$3:$A$2477,0),1,COUNTIF('Schedule Raw Data'!$A$3:$A$2477,$A11),2),N$1),0)</f>
        <v>0</v>
      </c>
      <c r="O11">
        <f>IFERROR(COUNTIF(OFFSET('Schedule Raw Data'!$A$2,MATCH($A11,'Schedule Raw Data'!$A$3:$A$2477,0),1,COUNTIF('Schedule Raw Data'!$A$3:$A$2477,$A11),2),O$1),0)</f>
        <v>0</v>
      </c>
      <c r="P11">
        <f>IFERROR(COUNTIF(OFFSET('Schedule Raw Data'!$A$2,MATCH($A11,'Schedule Raw Data'!$A$3:$A$2477,0),1,COUNTIF('Schedule Raw Data'!$A$3:$A$2477,$A11),2),P$1),0)</f>
        <v>0</v>
      </c>
      <c r="Q11">
        <f>IFERROR(COUNTIF(OFFSET('Schedule Raw Data'!$A$2,MATCH($A11,'Schedule Raw Data'!$A$3:$A$2477,0),1,COUNTIF('Schedule Raw Data'!$A$3:$A$2477,$A11),2),Q$1),0)</f>
        <v>1</v>
      </c>
      <c r="R11">
        <f>IFERROR(COUNTIF(OFFSET('Schedule Raw Data'!$A$2,MATCH($A11,'Schedule Raw Data'!$A$3:$A$2477,0),1,COUNTIF('Schedule Raw Data'!$A$3:$A$2477,$A11),2),R$1),0)</f>
        <v>0</v>
      </c>
      <c r="S11">
        <f>IFERROR(COUNTIF(OFFSET('Schedule Raw Data'!$A$2,MATCH($A11,'Schedule Raw Data'!$A$3:$A$2477,0),1,COUNTIF('Schedule Raw Data'!$A$3:$A$2477,$A11),2),S$1),0)</f>
        <v>0</v>
      </c>
      <c r="T11">
        <f>IFERROR(COUNTIF(OFFSET('Schedule Raw Data'!$A$2,MATCH($A11,'Schedule Raw Data'!$A$3:$A$2477,0),1,COUNTIF('Schedule Raw Data'!$A$3:$A$2477,$A11),2),T$1),0)</f>
        <v>0</v>
      </c>
      <c r="U11">
        <f>IFERROR(COUNTIF(OFFSET('Schedule Raw Data'!$A$2,MATCH($A11,'Schedule Raw Data'!$A$3:$A$2477,0),1,COUNTIF('Schedule Raw Data'!$A$3:$A$2477,$A11),2),U$1),0)</f>
        <v>1</v>
      </c>
      <c r="V11">
        <f>IFERROR(COUNTIF(OFFSET('Schedule Raw Data'!$A$2,MATCH($A11,'Schedule Raw Data'!$A$3:$A$2477,0),1,COUNTIF('Schedule Raw Data'!$A$3:$A$2477,$A11),2),V$1),0)</f>
        <v>0</v>
      </c>
      <c r="W11">
        <f>IFERROR(COUNTIF(OFFSET('Schedule Raw Data'!$A$2,MATCH($A11,'Schedule Raw Data'!$A$3:$A$2477,0),1,COUNTIF('Schedule Raw Data'!$A$3:$A$2477,$A11),2),W$1),0)</f>
        <v>0</v>
      </c>
      <c r="X11">
        <f>IFERROR(COUNTIF(OFFSET('Schedule Raw Data'!$A$2,MATCH($A11,'Schedule Raw Data'!$A$3:$A$2477,0),1,COUNTIF('Schedule Raw Data'!$A$3:$A$2477,$A11),2),X$1),0)</f>
        <v>0</v>
      </c>
      <c r="Y11">
        <f>IFERROR(COUNTIF(OFFSET('Schedule Raw Data'!$A$2,MATCH($A11,'Schedule Raw Data'!$A$3:$A$2477,0),1,COUNTIF('Schedule Raw Data'!$A$3:$A$2477,$A11),2),Y$1),0)</f>
        <v>0</v>
      </c>
      <c r="Z11">
        <f>IFERROR(COUNTIF(OFFSET('Schedule Raw Data'!$A$2,MATCH($A11,'Schedule Raw Data'!$A$3:$A$2477,0),1,COUNTIF('Schedule Raw Data'!$A$3:$A$2477,$A11),2),Z$1),0)</f>
        <v>0</v>
      </c>
      <c r="AA11">
        <f>IFERROR(COUNTIF(OFFSET('Schedule Raw Data'!$A$2,MATCH($A11,'Schedule Raw Data'!$A$3:$A$2477,0),1,COUNTIF('Schedule Raw Data'!$A$3:$A$2477,$A11),2),AA$1),0)</f>
        <v>1</v>
      </c>
      <c r="AB11">
        <f>IFERROR(COUNTIF(OFFSET('Schedule Raw Data'!$A$2,MATCH($A11,'Schedule Raw Data'!$A$3:$A$2477,0),1,COUNTIF('Schedule Raw Data'!$A$3:$A$2477,$A11),2),AB$1),0)</f>
        <v>1</v>
      </c>
      <c r="AC11">
        <f>IFERROR(COUNTIF(OFFSET('Schedule Raw Data'!$A$2,MATCH($A11,'Schedule Raw Data'!$A$3:$A$2477,0),1,COUNTIF('Schedule Raw Data'!$A$3:$A$2477,$A11),2),AC$1),0)</f>
        <v>0</v>
      </c>
      <c r="AD11">
        <f>IFERROR(COUNTIF(OFFSET('Schedule Raw Data'!$A$2,MATCH($A11,'Schedule Raw Data'!$A$3:$A$2477,0),1,COUNTIF('Schedule Raw Data'!$A$3:$A$2477,$A11),2),AD$1),0)</f>
        <v>0</v>
      </c>
      <c r="AE11">
        <f>IFERROR(COUNTIF(OFFSET('Schedule Raw Data'!$A$2,MATCH($A11,'Schedule Raw Data'!$A$3:$A$2477,0),1,COUNTIF('Schedule Raw Data'!$A$3:$A$2477,$A11),2),AE$1),0)</f>
        <v>0</v>
      </c>
      <c r="AF11">
        <f>IFERROR(COUNTIF(OFFSET('Schedule Raw Data'!$A$2,MATCH($A11,'Schedule Raw Data'!$A$3:$A$2477,0),1,COUNTIF('Schedule Raw Data'!$A$3:$A$2477,$A11),2),AF$1),0)</f>
        <v>0</v>
      </c>
      <c r="AG11">
        <f t="shared" si="1"/>
        <v>3</v>
      </c>
    </row>
    <row r="12">
      <c r="A12" s="29">
        <f t="array" ref="A12">INDEX('Schedule Raw Data'!$A$3:$A$2477,MATCH(0,INDEX(COUNTIF($A$1:A11,'Schedule Raw Data'!$A$3:$A$2477),0,0),0))</f>
        <v>46325</v>
      </c>
      <c r="B12">
        <f t="shared" si="2"/>
        <v>2</v>
      </c>
      <c r="C12">
        <f>IFERROR(COUNTIF(OFFSET('Schedule Raw Data'!$A$2,MATCH($A12,'Schedule Raw Data'!$A$3:$A$2477,0),1,COUNTIF('Schedule Raw Data'!$A$3:$A$2477,$A12),2),C$1),0)</f>
        <v>0</v>
      </c>
      <c r="D12">
        <f>IFERROR(COUNTIF(OFFSET('Schedule Raw Data'!$A$2,MATCH($A12,'Schedule Raw Data'!$A$3:$A$2477,0),1,COUNTIF('Schedule Raw Data'!$A$3:$A$2477,$A12),2),D$1),0)</f>
        <v>1</v>
      </c>
      <c r="E12">
        <f>IFERROR(COUNTIF(OFFSET('Schedule Raw Data'!$A$2,MATCH($A12,'Schedule Raw Data'!$A$3:$A$2477,0),1,COUNTIF('Schedule Raw Data'!$A$3:$A$2477,$A12),2),E$1),0)</f>
        <v>1</v>
      </c>
      <c r="F12">
        <f>IFERROR(COUNTIF(OFFSET('Schedule Raw Data'!$A$2,MATCH($A12,'Schedule Raw Data'!$A$3:$A$2477,0),1,COUNTIF('Schedule Raw Data'!$A$3:$A$2477,$A12),2),F$1),0)</f>
        <v>1</v>
      </c>
      <c r="G12">
        <f>IFERROR(COUNTIF(OFFSET('Schedule Raw Data'!$A$2,MATCH($A12,'Schedule Raw Data'!$A$3:$A$2477,0),1,COUNTIF('Schedule Raw Data'!$A$3:$A$2477,$A12),2),G$1),0)</f>
        <v>1</v>
      </c>
      <c r="H12">
        <f>IFERROR(COUNTIF(OFFSET('Schedule Raw Data'!$A$2,MATCH($A12,'Schedule Raw Data'!$A$3:$A$2477,0),1,COUNTIF('Schedule Raw Data'!$A$3:$A$2477,$A12),2),H$1),0)</f>
        <v>0</v>
      </c>
      <c r="I12">
        <f>IFERROR(COUNTIF(OFFSET('Schedule Raw Data'!$A$2,MATCH($A12,'Schedule Raw Data'!$A$3:$A$2477,0),1,COUNTIF('Schedule Raw Data'!$A$3:$A$2477,$A12),2),I$1),0)</f>
        <v>1</v>
      </c>
      <c r="J12">
        <f>IFERROR(COUNTIF(OFFSET('Schedule Raw Data'!$A$2,MATCH($A12,'Schedule Raw Data'!$A$3:$A$2477,0),1,COUNTIF('Schedule Raw Data'!$A$3:$A$2477,$A12),2),J$1),0)</f>
        <v>1</v>
      </c>
      <c r="K12">
        <f>IFERROR(COUNTIF(OFFSET('Schedule Raw Data'!$A$2,MATCH($A12,'Schedule Raw Data'!$A$3:$A$2477,0),1,COUNTIF('Schedule Raw Data'!$A$3:$A$2477,$A12),2),K$1),0)</f>
        <v>1</v>
      </c>
      <c r="L12">
        <f>IFERROR(COUNTIF(OFFSET('Schedule Raw Data'!$A$2,MATCH($A12,'Schedule Raw Data'!$A$3:$A$2477,0),1,COUNTIF('Schedule Raw Data'!$A$3:$A$2477,$A12),2),L$1),0)</f>
        <v>1</v>
      </c>
      <c r="M12">
        <f>IFERROR(COUNTIF(OFFSET('Schedule Raw Data'!$A$2,MATCH($A12,'Schedule Raw Data'!$A$3:$A$2477,0),1,COUNTIF('Schedule Raw Data'!$A$3:$A$2477,$A12),2),M$1),0)</f>
        <v>1</v>
      </c>
      <c r="N12">
        <f>IFERROR(COUNTIF(OFFSET('Schedule Raw Data'!$A$2,MATCH($A12,'Schedule Raw Data'!$A$3:$A$2477,0),1,COUNTIF('Schedule Raw Data'!$A$3:$A$2477,$A12),2),N$1),0)</f>
        <v>1</v>
      </c>
      <c r="O12">
        <f>IFERROR(COUNTIF(OFFSET('Schedule Raw Data'!$A$2,MATCH($A12,'Schedule Raw Data'!$A$3:$A$2477,0),1,COUNTIF('Schedule Raw Data'!$A$3:$A$2477,$A12),2),O$1),0)</f>
        <v>1</v>
      </c>
      <c r="P12">
        <f>IFERROR(COUNTIF(OFFSET('Schedule Raw Data'!$A$2,MATCH($A12,'Schedule Raw Data'!$A$3:$A$2477,0),1,COUNTIF('Schedule Raw Data'!$A$3:$A$2477,$A12),2),P$1),0)</f>
        <v>1</v>
      </c>
      <c r="Q12">
        <f>IFERROR(COUNTIF(OFFSET('Schedule Raw Data'!$A$2,MATCH($A12,'Schedule Raw Data'!$A$3:$A$2477,0),1,COUNTIF('Schedule Raw Data'!$A$3:$A$2477,$A12),2),Q$1),0)</f>
        <v>0</v>
      </c>
      <c r="R12">
        <f>IFERROR(COUNTIF(OFFSET('Schedule Raw Data'!$A$2,MATCH($A12,'Schedule Raw Data'!$A$3:$A$2477,0),1,COUNTIF('Schedule Raw Data'!$A$3:$A$2477,$A12),2),R$1),0)</f>
        <v>1</v>
      </c>
      <c r="S12">
        <f>IFERROR(COUNTIF(OFFSET('Schedule Raw Data'!$A$2,MATCH($A12,'Schedule Raw Data'!$A$3:$A$2477,0),1,COUNTIF('Schedule Raw Data'!$A$3:$A$2477,$A12),2),S$1),0)</f>
        <v>0</v>
      </c>
      <c r="T12">
        <f>IFERROR(COUNTIF(OFFSET('Schedule Raw Data'!$A$2,MATCH($A12,'Schedule Raw Data'!$A$3:$A$2477,0),1,COUNTIF('Schedule Raw Data'!$A$3:$A$2477,$A12),2),T$1),0)</f>
        <v>1</v>
      </c>
      <c r="U12">
        <f>IFERROR(COUNTIF(OFFSET('Schedule Raw Data'!$A$2,MATCH($A12,'Schedule Raw Data'!$A$3:$A$2477,0),1,COUNTIF('Schedule Raw Data'!$A$3:$A$2477,$A12),2),U$1),0)</f>
        <v>0</v>
      </c>
      <c r="V12">
        <f>IFERROR(COUNTIF(OFFSET('Schedule Raw Data'!$A$2,MATCH($A12,'Schedule Raw Data'!$A$3:$A$2477,0),1,COUNTIF('Schedule Raw Data'!$A$3:$A$2477,$A12),2),V$1),0)</f>
        <v>1</v>
      </c>
      <c r="W12">
        <f>IFERROR(COUNTIF(OFFSET('Schedule Raw Data'!$A$2,MATCH($A12,'Schedule Raw Data'!$A$3:$A$2477,0),1,COUNTIF('Schedule Raw Data'!$A$3:$A$2477,$A12),2),W$1),0)</f>
        <v>0</v>
      </c>
      <c r="X12">
        <f>IFERROR(COUNTIF(OFFSET('Schedule Raw Data'!$A$2,MATCH($A12,'Schedule Raw Data'!$A$3:$A$2477,0),1,COUNTIF('Schedule Raw Data'!$A$3:$A$2477,$A12),2),X$1),0)</f>
        <v>1</v>
      </c>
      <c r="Y12">
        <f>IFERROR(COUNTIF(OFFSET('Schedule Raw Data'!$A$2,MATCH($A12,'Schedule Raw Data'!$A$3:$A$2477,0),1,COUNTIF('Schedule Raw Data'!$A$3:$A$2477,$A12),2),Y$1),0)</f>
        <v>1</v>
      </c>
      <c r="Z12">
        <f>IFERROR(COUNTIF(OFFSET('Schedule Raw Data'!$A$2,MATCH($A12,'Schedule Raw Data'!$A$3:$A$2477,0),1,COUNTIF('Schedule Raw Data'!$A$3:$A$2477,$A12),2),Z$1),0)</f>
        <v>1</v>
      </c>
      <c r="AA12">
        <f>IFERROR(COUNTIF(OFFSET('Schedule Raw Data'!$A$2,MATCH($A12,'Schedule Raw Data'!$A$3:$A$2477,0),1,COUNTIF('Schedule Raw Data'!$A$3:$A$2477,$A12),2),AA$1),0)</f>
        <v>0</v>
      </c>
      <c r="AB12">
        <f>IFERROR(COUNTIF(OFFSET('Schedule Raw Data'!$A$2,MATCH($A12,'Schedule Raw Data'!$A$3:$A$2477,0),1,COUNTIF('Schedule Raw Data'!$A$3:$A$2477,$A12),2),AB$1),0)</f>
        <v>0</v>
      </c>
      <c r="AC12">
        <f>IFERROR(COUNTIF(OFFSET('Schedule Raw Data'!$A$2,MATCH($A12,'Schedule Raw Data'!$A$3:$A$2477,0),1,COUNTIF('Schedule Raw Data'!$A$3:$A$2477,$A12),2),AC$1),0)</f>
        <v>0</v>
      </c>
      <c r="AD12">
        <f>IFERROR(COUNTIF(OFFSET('Schedule Raw Data'!$A$2,MATCH($A12,'Schedule Raw Data'!$A$3:$A$2477,0),1,COUNTIF('Schedule Raw Data'!$A$3:$A$2477,$A12),2),AD$1),0)</f>
        <v>1</v>
      </c>
      <c r="AE12">
        <f>IFERROR(COUNTIF(OFFSET('Schedule Raw Data'!$A$2,MATCH($A12,'Schedule Raw Data'!$A$3:$A$2477,0),1,COUNTIF('Schedule Raw Data'!$A$3:$A$2477,$A12),2),AE$1),0)</f>
        <v>0</v>
      </c>
      <c r="AF12">
        <f>IFERROR(COUNTIF(OFFSET('Schedule Raw Data'!$A$2,MATCH($A12,'Schedule Raw Data'!$A$3:$A$2477,0),1,COUNTIF('Schedule Raw Data'!$A$3:$A$2477,$A12),2),AF$1),0)</f>
        <v>1</v>
      </c>
      <c r="AG12">
        <f t="shared" si="1"/>
        <v>10</v>
      </c>
    </row>
    <row r="13">
      <c r="A13" s="30">
        <f t="array" ref="A13">INDEX('Schedule Raw Data'!$A$3:$A$2477,MATCH(0,INDEX(COUNTIF($A$1:A12,'Schedule Raw Data'!$A$3:$A$2477),0,0),0))</f>
        <v>46326</v>
      </c>
      <c r="B13">
        <f t="shared" si="2"/>
        <v>2</v>
      </c>
      <c r="C13">
        <f>IFERROR(COUNTIF(OFFSET('Schedule Raw Data'!$A$2,MATCH($A13,'Schedule Raw Data'!$A$3:$A$2477,0),1,COUNTIF('Schedule Raw Data'!$A$3:$A$2477,$A13),2),C$1),0)</f>
        <v>1</v>
      </c>
      <c r="D13">
        <f>IFERROR(COUNTIF(OFFSET('Schedule Raw Data'!$A$2,MATCH($A13,'Schedule Raw Data'!$A$3:$A$2477,0),1,COUNTIF('Schedule Raw Data'!$A$3:$A$2477,$A13),2),D$1),0)</f>
        <v>0</v>
      </c>
      <c r="E13">
        <f>IFERROR(COUNTIF(OFFSET('Schedule Raw Data'!$A$2,MATCH($A13,'Schedule Raw Data'!$A$3:$A$2477,0),1,COUNTIF('Schedule Raw Data'!$A$3:$A$2477,$A13),2),E$1),0)</f>
        <v>0</v>
      </c>
      <c r="F13">
        <f>IFERROR(COUNTIF(OFFSET('Schedule Raw Data'!$A$2,MATCH($A13,'Schedule Raw Data'!$A$3:$A$2477,0),1,COUNTIF('Schedule Raw Data'!$A$3:$A$2477,$A13),2),F$1),0)</f>
        <v>1</v>
      </c>
      <c r="G13">
        <f>IFERROR(COUNTIF(OFFSET('Schedule Raw Data'!$A$2,MATCH($A13,'Schedule Raw Data'!$A$3:$A$2477,0),1,COUNTIF('Schedule Raw Data'!$A$3:$A$2477,$A13),2),G$1),0)</f>
        <v>0</v>
      </c>
      <c r="H13">
        <f>IFERROR(COUNTIF(OFFSET('Schedule Raw Data'!$A$2,MATCH($A13,'Schedule Raw Data'!$A$3:$A$2477,0),1,COUNTIF('Schedule Raw Data'!$A$3:$A$2477,$A13),2),H$1),0)</f>
        <v>1</v>
      </c>
      <c r="I13">
        <f>IFERROR(COUNTIF(OFFSET('Schedule Raw Data'!$A$2,MATCH($A13,'Schedule Raw Data'!$A$3:$A$2477,0),1,COUNTIF('Schedule Raw Data'!$A$3:$A$2477,$A13),2),I$1),0)</f>
        <v>0</v>
      </c>
      <c r="J13">
        <f>IFERROR(COUNTIF(OFFSET('Schedule Raw Data'!$A$2,MATCH($A13,'Schedule Raw Data'!$A$3:$A$2477,0),1,COUNTIF('Schedule Raw Data'!$A$3:$A$2477,$A13),2),J$1),0)</f>
        <v>0</v>
      </c>
      <c r="K13">
        <f>IFERROR(COUNTIF(OFFSET('Schedule Raw Data'!$A$2,MATCH($A13,'Schedule Raw Data'!$A$3:$A$2477,0),1,COUNTIF('Schedule Raw Data'!$A$3:$A$2477,$A13),2),K$1),0)</f>
        <v>0</v>
      </c>
      <c r="L13">
        <f>IFERROR(COUNTIF(OFFSET('Schedule Raw Data'!$A$2,MATCH($A13,'Schedule Raw Data'!$A$3:$A$2477,0),1,COUNTIF('Schedule Raw Data'!$A$3:$A$2477,$A13),2),L$1),0)</f>
        <v>0</v>
      </c>
      <c r="M13">
        <f>IFERROR(COUNTIF(OFFSET('Schedule Raw Data'!$A$2,MATCH($A13,'Schedule Raw Data'!$A$3:$A$2477,0),1,COUNTIF('Schedule Raw Data'!$A$3:$A$2477,$A13),2),M$1),0)</f>
        <v>1</v>
      </c>
      <c r="N13">
        <f>IFERROR(COUNTIF(OFFSET('Schedule Raw Data'!$A$2,MATCH($A13,'Schedule Raw Data'!$A$3:$A$2477,0),1,COUNTIF('Schedule Raw Data'!$A$3:$A$2477,$A13),2),N$1),0)</f>
        <v>0</v>
      </c>
      <c r="O13">
        <f>IFERROR(COUNTIF(OFFSET('Schedule Raw Data'!$A$2,MATCH($A13,'Schedule Raw Data'!$A$3:$A$2477,0),1,COUNTIF('Schedule Raw Data'!$A$3:$A$2477,$A13),2),O$1),0)</f>
        <v>0</v>
      </c>
      <c r="P13">
        <f>IFERROR(COUNTIF(OFFSET('Schedule Raw Data'!$A$2,MATCH($A13,'Schedule Raw Data'!$A$3:$A$2477,0),1,COUNTIF('Schedule Raw Data'!$A$3:$A$2477,$A13),2),P$1),0)</f>
        <v>0</v>
      </c>
      <c r="Q13">
        <f>IFERROR(COUNTIF(OFFSET('Schedule Raw Data'!$A$2,MATCH($A13,'Schedule Raw Data'!$A$3:$A$2477,0),1,COUNTIF('Schedule Raw Data'!$A$3:$A$2477,$A13),2),Q$1),0)</f>
        <v>1</v>
      </c>
      <c r="R13">
        <f>IFERROR(COUNTIF(OFFSET('Schedule Raw Data'!$A$2,MATCH($A13,'Schedule Raw Data'!$A$3:$A$2477,0),1,COUNTIF('Schedule Raw Data'!$A$3:$A$2477,$A13),2),R$1),0)</f>
        <v>0</v>
      </c>
      <c r="S13">
        <f>IFERROR(COUNTIF(OFFSET('Schedule Raw Data'!$A$2,MATCH($A13,'Schedule Raw Data'!$A$3:$A$2477,0),1,COUNTIF('Schedule Raw Data'!$A$3:$A$2477,$A13),2),S$1),0)</f>
        <v>1</v>
      </c>
      <c r="T13">
        <f>IFERROR(COUNTIF(OFFSET('Schedule Raw Data'!$A$2,MATCH($A13,'Schedule Raw Data'!$A$3:$A$2477,0),1,COUNTIF('Schedule Raw Data'!$A$3:$A$2477,$A13),2),T$1),0)</f>
        <v>1</v>
      </c>
      <c r="U13">
        <f>IFERROR(COUNTIF(OFFSET('Schedule Raw Data'!$A$2,MATCH($A13,'Schedule Raw Data'!$A$3:$A$2477,0),1,COUNTIF('Schedule Raw Data'!$A$3:$A$2477,$A13),2),U$1),0)</f>
        <v>1</v>
      </c>
      <c r="V13">
        <f>IFERROR(COUNTIF(OFFSET('Schedule Raw Data'!$A$2,MATCH($A13,'Schedule Raw Data'!$A$3:$A$2477,0),1,COUNTIF('Schedule Raw Data'!$A$3:$A$2477,$A13),2),V$1),0)</f>
        <v>0</v>
      </c>
      <c r="W13">
        <f>IFERROR(COUNTIF(OFFSET('Schedule Raw Data'!$A$2,MATCH($A13,'Schedule Raw Data'!$A$3:$A$2477,0),1,COUNTIF('Schedule Raw Data'!$A$3:$A$2477,$A13),2),W$1),0)</f>
        <v>1</v>
      </c>
      <c r="X13">
        <f>IFERROR(COUNTIF(OFFSET('Schedule Raw Data'!$A$2,MATCH($A13,'Schedule Raw Data'!$A$3:$A$2477,0),1,COUNTIF('Schedule Raw Data'!$A$3:$A$2477,$A13),2),X$1),0)</f>
        <v>0</v>
      </c>
      <c r="Y13">
        <f>IFERROR(COUNTIF(OFFSET('Schedule Raw Data'!$A$2,MATCH($A13,'Schedule Raw Data'!$A$3:$A$2477,0),1,COUNTIF('Schedule Raw Data'!$A$3:$A$2477,$A13),2),Y$1),0)</f>
        <v>1</v>
      </c>
      <c r="Z13">
        <f>IFERROR(COUNTIF(OFFSET('Schedule Raw Data'!$A$2,MATCH($A13,'Schedule Raw Data'!$A$3:$A$2477,0),1,COUNTIF('Schedule Raw Data'!$A$3:$A$2477,$A13),2),Z$1),0)</f>
        <v>0</v>
      </c>
      <c r="AA13">
        <f>IFERROR(COUNTIF(OFFSET('Schedule Raw Data'!$A$2,MATCH($A13,'Schedule Raw Data'!$A$3:$A$2477,0),1,COUNTIF('Schedule Raw Data'!$A$3:$A$2477,$A13),2),AA$1),0)</f>
        <v>1</v>
      </c>
      <c r="AB13">
        <f>IFERROR(COUNTIF(OFFSET('Schedule Raw Data'!$A$2,MATCH($A13,'Schedule Raw Data'!$A$3:$A$2477,0),1,COUNTIF('Schedule Raw Data'!$A$3:$A$2477,$A13),2),AB$1),0)</f>
        <v>1</v>
      </c>
      <c r="AC13">
        <f>IFERROR(COUNTIF(OFFSET('Schedule Raw Data'!$A$2,MATCH($A13,'Schedule Raw Data'!$A$3:$A$2477,0),1,COUNTIF('Schedule Raw Data'!$A$3:$A$2477,$A13),2),AC$1),0)</f>
        <v>1</v>
      </c>
      <c r="AD13">
        <f>IFERROR(COUNTIF(OFFSET('Schedule Raw Data'!$A$2,MATCH($A13,'Schedule Raw Data'!$A$3:$A$2477,0),1,COUNTIF('Schedule Raw Data'!$A$3:$A$2477,$A13),2),AD$1),0)</f>
        <v>0</v>
      </c>
      <c r="AE13">
        <f>IFERROR(COUNTIF(OFFSET('Schedule Raw Data'!$A$2,MATCH($A13,'Schedule Raw Data'!$A$3:$A$2477,0),1,COUNTIF('Schedule Raw Data'!$A$3:$A$2477,$A13),2),AE$1),0)</f>
        <v>1</v>
      </c>
      <c r="AF13">
        <f>IFERROR(COUNTIF(OFFSET('Schedule Raw Data'!$A$2,MATCH($A13,'Schedule Raw Data'!$A$3:$A$2477,0),1,COUNTIF('Schedule Raw Data'!$A$3:$A$2477,$A13),2),AF$1),0)</f>
        <v>0</v>
      </c>
      <c r="AG13">
        <f t="shared" si="1"/>
        <v>7</v>
      </c>
    </row>
    <row r="14">
      <c r="A14" s="30">
        <f t="array" ref="A14">INDEX('Schedule Raw Data'!$A$3:$A$2477,MATCH(0,INDEX(COUNTIF($A$1:A13,'Schedule Raw Data'!$A$3:$A$2477),0,0),0))</f>
        <v>46327</v>
      </c>
      <c r="B14">
        <f t="shared" si="2"/>
        <v>2</v>
      </c>
      <c r="C14">
        <f>IFERROR(COUNTIF(OFFSET('Schedule Raw Data'!$A$2,MATCH($A14,'Schedule Raw Data'!$A$3:$A$2477,0),1,COUNTIF('Schedule Raw Data'!$A$3:$A$2477,$A14),2),C$1),0)</f>
        <v>0</v>
      </c>
      <c r="D14">
        <f>IFERROR(COUNTIF(OFFSET('Schedule Raw Data'!$A$2,MATCH($A14,'Schedule Raw Data'!$A$3:$A$2477,0),1,COUNTIF('Schedule Raw Data'!$A$3:$A$2477,$A14),2),D$1),0)</f>
        <v>1</v>
      </c>
      <c r="E14">
        <f>IFERROR(COUNTIF(OFFSET('Schedule Raw Data'!$A$2,MATCH($A14,'Schedule Raw Data'!$A$3:$A$2477,0),1,COUNTIF('Schedule Raw Data'!$A$3:$A$2477,$A14),2),E$1),0)</f>
        <v>1</v>
      </c>
      <c r="F14">
        <f>IFERROR(COUNTIF(OFFSET('Schedule Raw Data'!$A$2,MATCH($A14,'Schedule Raw Data'!$A$3:$A$2477,0),1,COUNTIF('Schedule Raw Data'!$A$3:$A$2477,$A14),2),F$1),0)</f>
        <v>0</v>
      </c>
      <c r="G14">
        <f>IFERROR(COUNTIF(OFFSET('Schedule Raw Data'!$A$2,MATCH($A14,'Schedule Raw Data'!$A$3:$A$2477,0),1,COUNTIF('Schedule Raw Data'!$A$3:$A$2477,$A14),2),G$1),0)</f>
        <v>0</v>
      </c>
      <c r="H14">
        <f>IFERROR(COUNTIF(OFFSET('Schedule Raw Data'!$A$2,MATCH($A14,'Schedule Raw Data'!$A$3:$A$2477,0),1,COUNTIF('Schedule Raw Data'!$A$3:$A$2477,$A14),2),H$1),0)</f>
        <v>0</v>
      </c>
      <c r="I14">
        <f>IFERROR(COUNTIF(OFFSET('Schedule Raw Data'!$A$2,MATCH($A14,'Schedule Raw Data'!$A$3:$A$2477,0),1,COUNTIF('Schedule Raw Data'!$A$3:$A$2477,$A14),2),I$1),0)</f>
        <v>0</v>
      </c>
      <c r="J14">
        <f>IFERROR(COUNTIF(OFFSET('Schedule Raw Data'!$A$2,MATCH($A14,'Schedule Raw Data'!$A$3:$A$2477,0),1,COUNTIF('Schedule Raw Data'!$A$3:$A$2477,$A14),2),J$1),0)</f>
        <v>0</v>
      </c>
      <c r="K14">
        <f>IFERROR(COUNTIF(OFFSET('Schedule Raw Data'!$A$2,MATCH($A14,'Schedule Raw Data'!$A$3:$A$2477,0),1,COUNTIF('Schedule Raw Data'!$A$3:$A$2477,$A14),2),K$1),0)</f>
        <v>0</v>
      </c>
      <c r="L14">
        <f>IFERROR(COUNTIF(OFFSET('Schedule Raw Data'!$A$2,MATCH($A14,'Schedule Raw Data'!$A$3:$A$2477,0),1,COUNTIF('Schedule Raw Data'!$A$3:$A$2477,$A14),2),L$1),0)</f>
        <v>1</v>
      </c>
      <c r="M14">
        <f>IFERROR(COUNTIF(OFFSET('Schedule Raw Data'!$A$2,MATCH($A14,'Schedule Raw Data'!$A$3:$A$2477,0),1,COUNTIF('Schedule Raw Data'!$A$3:$A$2477,$A14),2),M$1),0)</f>
        <v>0</v>
      </c>
      <c r="N14">
        <f>IFERROR(COUNTIF(OFFSET('Schedule Raw Data'!$A$2,MATCH($A14,'Schedule Raw Data'!$A$3:$A$2477,0),1,COUNTIF('Schedule Raw Data'!$A$3:$A$2477,$A14),2),N$1),0)</f>
        <v>1</v>
      </c>
      <c r="O14">
        <f>IFERROR(COUNTIF(OFFSET('Schedule Raw Data'!$A$2,MATCH($A14,'Schedule Raw Data'!$A$3:$A$2477,0),1,COUNTIF('Schedule Raw Data'!$A$3:$A$2477,$A14),2),O$1),0)</f>
        <v>1</v>
      </c>
      <c r="P14">
        <f>IFERROR(COUNTIF(OFFSET('Schedule Raw Data'!$A$2,MATCH($A14,'Schedule Raw Data'!$A$3:$A$2477,0),1,COUNTIF('Schedule Raw Data'!$A$3:$A$2477,$A14),2),P$1),0)</f>
        <v>1</v>
      </c>
      <c r="Q14">
        <f>IFERROR(COUNTIF(OFFSET('Schedule Raw Data'!$A$2,MATCH($A14,'Schedule Raw Data'!$A$3:$A$2477,0),1,COUNTIF('Schedule Raw Data'!$A$3:$A$2477,$A14),2),Q$1),0)</f>
        <v>0</v>
      </c>
      <c r="R14">
        <f>IFERROR(COUNTIF(OFFSET('Schedule Raw Data'!$A$2,MATCH($A14,'Schedule Raw Data'!$A$3:$A$2477,0),1,COUNTIF('Schedule Raw Data'!$A$3:$A$2477,$A14),2),R$1),0)</f>
        <v>0</v>
      </c>
      <c r="S14">
        <f>IFERROR(COUNTIF(OFFSET('Schedule Raw Data'!$A$2,MATCH($A14,'Schedule Raw Data'!$A$3:$A$2477,0),1,COUNTIF('Schedule Raw Data'!$A$3:$A$2477,$A14),2),S$1),0)</f>
        <v>0</v>
      </c>
      <c r="T14">
        <f>IFERROR(COUNTIF(OFFSET('Schedule Raw Data'!$A$2,MATCH($A14,'Schedule Raw Data'!$A$3:$A$2477,0),1,COUNTIF('Schedule Raw Data'!$A$3:$A$2477,$A14),2),T$1),0)</f>
        <v>0</v>
      </c>
      <c r="U14">
        <f>IFERROR(COUNTIF(OFFSET('Schedule Raw Data'!$A$2,MATCH($A14,'Schedule Raw Data'!$A$3:$A$2477,0),1,COUNTIF('Schedule Raw Data'!$A$3:$A$2477,$A14),2),U$1),0)</f>
        <v>0</v>
      </c>
      <c r="V14">
        <f>IFERROR(COUNTIF(OFFSET('Schedule Raw Data'!$A$2,MATCH($A14,'Schedule Raw Data'!$A$3:$A$2477,0),1,COUNTIF('Schedule Raw Data'!$A$3:$A$2477,$A14),2),V$1),0)</f>
        <v>0</v>
      </c>
      <c r="W14">
        <f>IFERROR(COUNTIF(OFFSET('Schedule Raw Data'!$A$2,MATCH($A14,'Schedule Raw Data'!$A$3:$A$2477,0),1,COUNTIF('Schedule Raw Data'!$A$3:$A$2477,$A14),2),W$1),0)</f>
        <v>0</v>
      </c>
      <c r="X14">
        <f>IFERROR(COUNTIF(OFFSET('Schedule Raw Data'!$A$2,MATCH($A14,'Schedule Raw Data'!$A$3:$A$2477,0),1,COUNTIF('Schedule Raw Data'!$A$3:$A$2477,$A14),2),X$1),0)</f>
        <v>1</v>
      </c>
      <c r="Y14">
        <f>IFERROR(COUNTIF(OFFSET('Schedule Raw Data'!$A$2,MATCH($A14,'Schedule Raw Data'!$A$3:$A$2477,0),1,COUNTIF('Schedule Raw Data'!$A$3:$A$2477,$A14),2),Y$1),0)</f>
        <v>0</v>
      </c>
      <c r="Z14">
        <f>IFERROR(COUNTIF(OFFSET('Schedule Raw Data'!$A$2,MATCH($A14,'Schedule Raw Data'!$A$3:$A$2477,0),1,COUNTIF('Schedule Raw Data'!$A$3:$A$2477,$A14),2),Z$1),0)</f>
        <v>0</v>
      </c>
      <c r="AA14">
        <f>IFERROR(COUNTIF(OFFSET('Schedule Raw Data'!$A$2,MATCH($A14,'Schedule Raw Data'!$A$3:$A$2477,0),1,COUNTIF('Schedule Raw Data'!$A$3:$A$2477,$A14),2),AA$1),0)</f>
        <v>0</v>
      </c>
      <c r="AB14">
        <f>IFERROR(COUNTIF(OFFSET('Schedule Raw Data'!$A$2,MATCH($A14,'Schedule Raw Data'!$A$3:$A$2477,0),1,COUNTIF('Schedule Raw Data'!$A$3:$A$2477,$A14),2),AB$1),0)</f>
        <v>0</v>
      </c>
      <c r="AC14">
        <f>IFERROR(COUNTIF(OFFSET('Schedule Raw Data'!$A$2,MATCH($A14,'Schedule Raw Data'!$A$3:$A$2477,0),1,COUNTIF('Schedule Raw Data'!$A$3:$A$2477,$A14),2),AC$1),0)</f>
        <v>0</v>
      </c>
      <c r="AD14">
        <f>IFERROR(COUNTIF(OFFSET('Schedule Raw Data'!$A$2,MATCH($A14,'Schedule Raw Data'!$A$3:$A$2477,0),1,COUNTIF('Schedule Raw Data'!$A$3:$A$2477,$A14),2),AD$1),0)</f>
        <v>1</v>
      </c>
      <c r="AE14">
        <f>IFERROR(COUNTIF(OFFSET('Schedule Raw Data'!$A$2,MATCH($A14,'Schedule Raw Data'!$A$3:$A$2477,0),1,COUNTIF('Schedule Raw Data'!$A$3:$A$2477,$A14),2),AE$1),0)</f>
        <v>0</v>
      </c>
      <c r="AF14">
        <f>IFERROR(COUNTIF(OFFSET('Schedule Raw Data'!$A$2,MATCH($A14,'Schedule Raw Data'!$A$3:$A$2477,0),1,COUNTIF('Schedule Raw Data'!$A$3:$A$2477,$A14),2),AF$1),0)</f>
        <v>0</v>
      </c>
      <c r="AG14">
        <f t="shared" si="1"/>
        <v>4</v>
      </c>
    </row>
    <row r="15">
      <c r="A15" s="30">
        <f t="array" ref="A15">INDEX('Schedule Raw Data'!$A$3:$A$2477,MATCH(0,INDEX(COUNTIF($A$1:A14,'Schedule Raw Data'!$A$3:$A$2477),0,0),0))</f>
        <v>46328</v>
      </c>
      <c r="B15">
        <f t="shared" si="2"/>
        <v>3</v>
      </c>
      <c r="C15">
        <f>IFERROR(COUNTIF(OFFSET('Schedule Raw Data'!$A$2,MATCH($A15,'Schedule Raw Data'!$A$3:$A$2477,0),1,COUNTIF('Schedule Raw Data'!$A$3:$A$2477,$A15),2),C$1),0)</f>
        <v>1</v>
      </c>
      <c r="D15">
        <f>IFERROR(COUNTIF(OFFSET('Schedule Raw Data'!$A$2,MATCH($A15,'Schedule Raw Data'!$A$3:$A$2477,0),1,COUNTIF('Schedule Raw Data'!$A$3:$A$2477,$A15),2),D$1),0)</f>
        <v>1</v>
      </c>
      <c r="E15">
        <f>IFERROR(COUNTIF(OFFSET('Schedule Raw Data'!$A$2,MATCH($A15,'Schedule Raw Data'!$A$3:$A$2477,0),1,COUNTIF('Schedule Raw Data'!$A$3:$A$2477,$A15),2),E$1),0)</f>
        <v>1</v>
      </c>
      <c r="F15">
        <f>IFERROR(COUNTIF(OFFSET('Schedule Raw Data'!$A$2,MATCH($A15,'Schedule Raw Data'!$A$3:$A$2477,0),1,COUNTIF('Schedule Raw Data'!$A$3:$A$2477,$A15),2),F$1),0)</f>
        <v>1</v>
      </c>
      <c r="G15">
        <f>IFERROR(COUNTIF(OFFSET('Schedule Raw Data'!$A$2,MATCH($A15,'Schedule Raw Data'!$A$3:$A$2477,0),1,COUNTIF('Schedule Raw Data'!$A$3:$A$2477,$A15),2),G$1),0)</f>
        <v>1</v>
      </c>
      <c r="H15">
        <f>IFERROR(COUNTIF(OFFSET('Schedule Raw Data'!$A$2,MATCH($A15,'Schedule Raw Data'!$A$3:$A$2477,0),1,COUNTIF('Schedule Raw Data'!$A$3:$A$2477,$A15),2),H$1),0)</f>
        <v>1</v>
      </c>
      <c r="I15">
        <f>IFERROR(COUNTIF(OFFSET('Schedule Raw Data'!$A$2,MATCH($A15,'Schedule Raw Data'!$A$3:$A$2477,0),1,COUNTIF('Schedule Raw Data'!$A$3:$A$2477,$A15),2),I$1),0)</f>
        <v>1</v>
      </c>
      <c r="J15">
        <f>IFERROR(COUNTIF(OFFSET('Schedule Raw Data'!$A$2,MATCH($A15,'Schedule Raw Data'!$A$3:$A$2477,0),1,COUNTIF('Schedule Raw Data'!$A$3:$A$2477,$A15),2),J$1),0)</f>
        <v>1</v>
      </c>
      <c r="K15">
        <f>IFERROR(COUNTIF(OFFSET('Schedule Raw Data'!$A$2,MATCH($A15,'Schedule Raw Data'!$A$3:$A$2477,0),1,COUNTIF('Schedule Raw Data'!$A$3:$A$2477,$A15),2),K$1),0)</f>
        <v>1</v>
      </c>
      <c r="L15">
        <f>IFERROR(COUNTIF(OFFSET('Schedule Raw Data'!$A$2,MATCH($A15,'Schedule Raw Data'!$A$3:$A$2477,0),1,COUNTIF('Schedule Raw Data'!$A$3:$A$2477,$A15),2),L$1),0)</f>
        <v>1</v>
      </c>
      <c r="M15">
        <f>IFERROR(COUNTIF(OFFSET('Schedule Raw Data'!$A$2,MATCH($A15,'Schedule Raw Data'!$A$3:$A$2477,0),1,COUNTIF('Schedule Raw Data'!$A$3:$A$2477,$A15),2),M$1),0)</f>
        <v>1</v>
      </c>
      <c r="N15">
        <f>IFERROR(COUNTIF(OFFSET('Schedule Raw Data'!$A$2,MATCH($A15,'Schedule Raw Data'!$A$3:$A$2477,0),1,COUNTIF('Schedule Raw Data'!$A$3:$A$2477,$A15),2),N$1),0)</f>
        <v>1</v>
      </c>
      <c r="O15">
        <f>IFERROR(COUNTIF(OFFSET('Schedule Raw Data'!$A$2,MATCH($A15,'Schedule Raw Data'!$A$3:$A$2477,0),1,COUNTIF('Schedule Raw Data'!$A$3:$A$2477,$A15),2),O$1),0)</f>
        <v>1</v>
      </c>
      <c r="P15">
        <f>IFERROR(COUNTIF(OFFSET('Schedule Raw Data'!$A$2,MATCH($A15,'Schedule Raw Data'!$A$3:$A$2477,0),1,COUNTIF('Schedule Raw Data'!$A$3:$A$2477,$A15),2),P$1),0)</f>
        <v>1</v>
      </c>
      <c r="Q15">
        <f>IFERROR(COUNTIF(OFFSET('Schedule Raw Data'!$A$2,MATCH($A15,'Schedule Raw Data'!$A$3:$A$2477,0),1,COUNTIF('Schedule Raw Data'!$A$3:$A$2477,$A15),2),Q$1),0)</f>
        <v>1</v>
      </c>
      <c r="R15">
        <f>IFERROR(COUNTIF(OFFSET('Schedule Raw Data'!$A$2,MATCH($A15,'Schedule Raw Data'!$A$3:$A$2477,0),1,COUNTIF('Schedule Raw Data'!$A$3:$A$2477,$A15),2),R$1),0)</f>
        <v>1</v>
      </c>
      <c r="S15">
        <f>IFERROR(COUNTIF(OFFSET('Schedule Raw Data'!$A$2,MATCH($A15,'Schedule Raw Data'!$A$3:$A$2477,0),1,COUNTIF('Schedule Raw Data'!$A$3:$A$2477,$A15),2),S$1),0)</f>
        <v>1</v>
      </c>
      <c r="T15">
        <f>IFERROR(COUNTIF(OFFSET('Schedule Raw Data'!$A$2,MATCH($A15,'Schedule Raw Data'!$A$3:$A$2477,0),1,COUNTIF('Schedule Raw Data'!$A$3:$A$2477,$A15),2),T$1),0)</f>
        <v>1</v>
      </c>
      <c r="U15">
        <f>IFERROR(COUNTIF(OFFSET('Schedule Raw Data'!$A$2,MATCH($A15,'Schedule Raw Data'!$A$3:$A$2477,0),1,COUNTIF('Schedule Raw Data'!$A$3:$A$2477,$A15),2),U$1),0)</f>
        <v>1</v>
      </c>
      <c r="V15">
        <f>IFERROR(COUNTIF(OFFSET('Schedule Raw Data'!$A$2,MATCH($A15,'Schedule Raw Data'!$A$3:$A$2477,0),1,COUNTIF('Schedule Raw Data'!$A$3:$A$2477,$A15),2),V$1),0)</f>
        <v>1</v>
      </c>
      <c r="W15">
        <f>IFERROR(COUNTIF(OFFSET('Schedule Raw Data'!$A$2,MATCH($A15,'Schedule Raw Data'!$A$3:$A$2477,0),1,COUNTIF('Schedule Raw Data'!$A$3:$A$2477,$A15),2),W$1),0)</f>
        <v>1</v>
      </c>
      <c r="X15">
        <f>IFERROR(COUNTIF(OFFSET('Schedule Raw Data'!$A$2,MATCH($A15,'Schedule Raw Data'!$A$3:$A$2477,0),1,COUNTIF('Schedule Raw Data'!$A$3:$A$2477,$A15),2),X$1),0)</f>
        <v>1</v>
      </c>
      <c r="Y15">
        <f>IFERROR(COUNTIF(OFFSET('Schedule Raw Data'!$A$2,MATCH($A15,'Schedule Raw Data'!$A$3:$A$2477,0),1,COUNTIF('Schedule Raw Data'!$A$3:$A$2477,$A15),2),Y$1),0)</f>
        <v>1</v>
      </c>
      <c r="Z15">
        <f>IFERROR(COUNTIF(OFFSET('Schedule Raw Data'!$A$2,MATCH($A15,'Schedule Raw Data'!$A$3:$A$2477,0),1,COUNTIF('Schedule Raw Data'!$A$3:$A$2477,$A15),2),Z$1),0)</f>
        <v>1</v>
      </c>
      <c r="AA15">
        <f>IFERROR(COUNTIF(OFFSET('Schedule Raw Data'!$A$2,MATCH($A15,'Schedule Raw Data'!$A$3:$A$2477,0),1,COUNTIF('Schedule Raw Data'!$A$3:$A$2477,$A15),2),AA$1),0)</f>
        <v>1</v>
      </c>
      <c r="AB15">
        <f>IFERROR(COUNTIF(OFFSET('Schedule Raw Data'!$A$2,MATCH($A15,'Schedule Raw Data'!$A$3:$A$2477,0),1,COUNTIF('Schedule Raw Data'!$A$3:$A$2477,$A15),2),AB$1),0)</f>
        <v>1</v>
      </c>
      <c r="AC15">
        <f>IFERROR(COUNTIF(OFFSET('Schedule Raw Data'!$A$2,MATCH($A15,'Schedule Raw Data'!$A$3:$A$2477,0),1,COUNTIF('Schedule Raw Data'!$A$3:$A$2477,$A15),2),AC$1),0)</f>
        <v>1</v>
      </c>
      <c r="AD15">
        <f>IFERROR(COUNTIF(OFFSET('Schedule Raw Data'!$A$2,MATCH($A15,'Schedule Raw Data'!$A$3:$A$2477,0),1,COUNTIF('Schedule Raw Data'!$A$3:$A$2477,$A15),2),AD$1),0)</f>
        <v>1</v>
      </c>
      <c r="AE15">
        <f>IFERROR(COUNTIF(OFFSET('Schedule Raw Data'!$A$2,MATCH($A15,'Schedule Raw Data'!$A$3:$A$2477,0),1,COUNTIF('Schedule Raw Data'!$A$3:$A$2477,$A15),2),AE$1),0)</f>
        <v>1</v>
      </c>
      <c r="AF15">
        <f>IFERROR(COUNTIF(OFFSET('Schedule Raw Data'!$A$2,MATCH($A15,'Schedule Raw Data'!$A$3:$A$2477,0),1,COUNTIF('Schedule Raw Data'!$A$3:$A$2477,$A15),2),AF$1),0)</f>
        <v>1</v>
      </c>
      <c r="AG15">
        <f t="shared" si="1"/>
        <v>15</v>
      </c>
    </row>
    <row r="16">
      <c r="A16" s="30">
        <f t="array" ref="A16">INDEX('Schedule Raw Data'!$A$3:$A$2477,MATCH(0,INDEX(COUNTIF($A$1:A15,'Schedule Raw Data'!$A$3:$A$2477),0,0),0))</f>
        <v>46330</v>
      </c>
      <c r="B16">
        <f t="shared" si="2"/>
        <v>3</v>
      </c>
      <c r="C16">
        <f>IFERROR(COUNTIF(OFFSET('Schedule Raw Data'!$A$2,MATCH($A16,'Schedule Raw Data'!$A$3:$A$2477,0),1,COUNTIF('Schedule Raw Data'!$A$3:$A$2477,$A16),2),C$1),0)</f>
        <v>1</v>
      </c>
      <c r="D16">
        <f>IFERROR(COUNTIF(OFFSET('Schedule Raw Data'!$A$2,MATCH($A16,'Schedule Raw Data'!$A$3:$A$2477,0),1,COUNTIF('Schedule Raw Data'!$A$3:$A$2477,$A16),2),D$1),0)</f>
        <v>1</v>
      </c>
      <c r="E16">
        <f>IFERROR(COUNTIF(OFFSET('Schedule Raw Data'!$A$2,MATCH($A16,'Schedule Raw Data'!$A$3:$A$2477,0),1,COUNTIF('Schedule Raw Data'!$A$3:$A$2477,$A16),2),E$1),0)</f>
        <v>1</v>
      </c>
      <c r="F16">
        <f>IFERROR(COUNTIF(OFFSET('Schedule Raw Data'!$A$2,MATCH($A16,'Schedule Raw Data'!$A$3:$A$2477,0),1,COUNTIF('Schedule Raw Data'!$A$3:$A$2477,$A16),2),F$1),0)</f>
        <v>1</v>
      </c>
      <c r="G16">
        <f>IFERROR(COUNTIF(OFFSET('Schedule Raw Data'!$A$2,MATCH($A16,'Schedule Raw Data'!$A$3:$A$2477,0),1,COUNTIF('Schedule Raw Data'!$A$3:$A$2477,$A16),2),G$1),0)</f>
        <v>1</v>
      </c>
      <c r="H16">
        <f>IFERROR(COUNTIF(OFFSET('Schedule Raw Data'!$A$2,MATCH($A16,'Schedule Raw Data'!$A$3:$A$2477,0),1,COUNTIF('Schedule Raw Data'!$A$3:$A$2477,$A16),2),H$1),0)</f>
        <v>1</v>
      </c>
      <c r="I16">
        <f>IFERROR(COUNTIF(OFFSET('Schedule Raw Data'!$A$2,MATCH($A16,'Schedule Raw Data'!$A$3:$A$2477,0),1,COUNTIF('Schedule Raw Data'!$A$3:$A$2477,$A16),2),I$1),0)</f>
        <v>1</v>
      </c>
      <c r="J16">
        <f>IFERROR(COUNTIF(OFFSET('Schedule Raw Data'!$A$2,MATCH($A16,'Schedule Raw Data'!$A$3:$A$2477,0),1,COUNTIF('Schedule Raw Data'!$A$3:$A$2477,$A16),2),J$1),0)</f>
        <v>1</v>
      </c>
      <c r="K16">
        <f>IFERROR(COUNTIF(OFFSET('Schedule Raw Data'!$A$2,MATCH($A16,'Schedule Raw Data'!$A$3:$A$2477,0),1,COUNTIF('Schedule Raw Data'!$A$3:$A$2477,$A16),2),K$1),0)</f>
        <v>1</v>
      </c>
      <c r="L16">
        <f>IFERROR(COUNTIF(OFFSET('Schedule Raw Data'!$A$2,MATCH($A16,'Schedule Raw Data'!$A$3:$A$2477,0),1,COUNTIF('Schedule Raw Data'!$A$3:$A$2477,$A16),2),L$1),0)</f>
        <v>0</v>
      </c>
      <c r="M16">
        <f>IFERROR(COUNTIF(OFFSET('Schedule Raw Data'!$A$2,MATCH($A16,'Schedule Raw Data'!$A$3:$A$2477,0),1,COUNTIF('Schedule Raw Data'!$A$3:$A$2477,$A16),2),M$1),0)</f>
        <v>1</v>
      </c>
      <c r="N16">
        <f>IFERROR(COUNTIF(OFFSET('Schedule Raw Data'!$A$2,MATCH($A16,'Schedule Raw Data'!$A$3:$A$2477,0),1,COUNTIF('Schedule Raw Data'!$A$3:$A$2477,$A16),2),N$1),0)</f>
        <v>1</v>
      </c>
      <c r="O16">
        <f>IFERROR(COUNTIF(OFFSET('Schedule Raw Data'!$A$2,MATCH($A16,'Schedule Raw Data'!$A$3:$A$2477,0),1,COUNTIF('Schedule Raw Data'!$A$3:$A$2477,$A16),2),O$1),0)</f>
        <v>1</v>
      </c>
      <c r="P16">
        <f>IFERROR(COUNTIF(OFFSET('Schedule Raw Data'!$A$2,MATCH($A16,'Schedule Raw Data'!$A$3:$A$2477,0),1,COUNTIF('Schedule Raw Data'!$A$3:$A$2477,$A16),2),P$1),0)</f>
        <v>1</v>
      </c>
      <c r="Q16">
        <f>IFERROR(COUNTIF(OFFSET('Schedule Raw Data'!$A$2,MATCH($A16,'Schedule Raw Data'!$A$3:$A$2477,0),1,COUNTIF('Schedule Raw Data'!$A$3:$A$2477,$A16),2),Q$1),0)</f>
        <v>1</v>
      </c>
      <c r="R16">
        <f>IFERROR(COUNTIF(OFFSET('Schedule Raw Data'!$A$2,MATCH($A16,'Schedule Raw Data'!$A$3:$A$2477,0),1,COUNTIF('Schedule Raw Data'!$A$3:$A$2477,$A16),2),R$1),0)</f>
        <v>1</v>
      </c>
      <c r="S16">
        <f>IFERROR(COUNTIF(OFFSET('Schedule Raw Data'!$A$2,MATCH($A16,'Schedule Raw Data'!$A$3:$A$2477,0),1,COUNTIF('Schedule Raw Data'!$A$3:$A$2477,$A16),2),S$1),0)</f>
        <v>1</v>
      </c>
      <c r="T16">
        <f>IFERROR(COUNTIF(OFFSET('Schedule Raw Data'!$A$2,MATCH($A16,'Schedule Raw Data'!$A$3:$A$2477,0),1,COUNTIF('Schedule Raw Data'!$A$3:$A$2477,$A16),2),T$1),0)</f>
        <v>1</v>
      </c>
      <c r="U16">
        <f>IFERROR(COUNTIF(OFFSET('Schedule Raw Data'!$A$2,MATCH($A16,'Schedule Raw Data'!$A$3:$A$2477,0),1,COUNTIF('Schedule Raw Data'!$A$3:$A$2477,$A16),2),U$1),0)</f>
        <v>1</v>
      </c>
      <c r="V16">
        <f>IFERROR(COUNTIF(OFFSET('Schedule Raw Data'!$A$2,MATCH($A16,'Schedule Raw Data'!$A$3:$A$2477,0),1,COUNTIF('Schedule Raw Data'!$A$3:$A$2477,$A16),2),V$1),0)</f>
        <v>1</v>
      </c>
      <c r="W16">
        <f>IFERROR(COUNTIF(OFFSET('Schedule Raw Data'!$A$2,MATCH($A16,'Schedule Raw Data'!$A$3:$A$2477,0),1,COUNTIF('Schedule Raw Data'!$A$3:$A$2477,$A16),2),W$1),0)</f>
        <v>1</v>
      </c>
      <c r="X16">
        <f>IFERROR(COUNTIF(OFFSET('Schedule Raw Data'!$A$2,MATCH($A16,'Schedule Raw Data'!$A$3:$A$2477,0),1,COUNTIF('Schedule Raw Data'!$A$3:$A$2477,$A16),2),X$1),0)</f>
        <v>0</v>
      </c>
      <c r="Y16">
        <f>IFERROR(COUNTIF(OFFSET('Schedule Raw Data'!$A$2,MATCH($A16,'Schedule Raw Data'!$A$3:$A$2477,0),1,COUNTIF('Schedule Raw Data'!$A$3:$A$2477,$A16),2),Y$1),0)</f>
        <v>1</v>
      </c>
      <c r="Z16">
        <f>IFERROR(COUNTIF(OFFSET('Schedule Raw Data'!$A$2,MATCH($A16,'Schedule Raw Data'!$A$3:$A$2477,0),1,COUNTIF('Schedule Raw Data'!$A$3:$A$2477,$A16),2),Z$1),0)</f>
        <v>1</v>
      </c>
      <c r="AA16">
        <f>IFERROR(COUNTIF(OFFSET('Schedule Raw Data'!$A$2,MATCH($A16,'Schedule Raw Data'!$A$3:$A$2477,0),1,COUNTIF('Schedule Raw Data'!$A$3:$A$2477,$A16),2),AA$1),0)</f>
        <v>1</v>
      </c>
      <c r="AB16">
        <f>IFERROR(COUNTIF(OFFSET('Schedule Raw Data'!$A$2,MATCH($A16,'Schedule Raw Data'!$A$3:$A$2477,0),1,COUNTIF('Schedule Raw Data'!$A$3:$A$2477,$A16),2),AB$1),0)</f>
        <v>1</v>
      </c>
      <c r="AC16">
        <f>IFERROR(COUNTIF(OFFSET('Schedule Raw Data'!$A$2,MATCH($A16,'Schedule Raw Data'!$A$3:$A$2477,0),1,COUNTIF('Schedule Raw Data'!$A$3:$A$2477,$A16),2),AC$1),0)</f>
        <v>1</v>
      </c>
      <c r="AD16">
        <f>IFERROR(COUNTIF(OFFSET('Schedule Raw Data'!$A$2,MATCH($A16,'Schedule Raw Data'!$A$3:$A$2477,0),1,COUNTIF('Schedule Raw Data'!$A$3:$A$2477,$A16),2),AD$1),0)</f>
        <v>1</v>
      </c>
      <c r="AE16">
        <f>IFERROR(COUNTIF(OFFSET('Schedule Raw Data'!$A$2,MATCH($A16,'Schedule Raw Data'!$A$3:$A$2477,0),1,COUNTIF('Schedule Raw Data'!$A$3:$A$2477,$A16),2),AE$1),0)</f>
        <v>1</v>
      </c>
      <c r="AF16">
        <f>IFERROR(COUNTIF(OFFSET('Schedule Raw Data'!$A$2,MATCH($A16,'Schedule Raw Data'!$A$3:$A$2477,0),1,COUNTIF('Schedule Raw Data'!$A$3:$A$2477,$A16),2),AF$1),0)</f>
        <v>1</v>
      </c>
      <c r="AG16">
        <f t="shared" si="1"/>
        <v>14</v>
      </c>
    </row>
    <row r="17">
      <c r="A17" s="30">
        <f t="array" ref="A17">INDEX('Schedule Raw Data'!$A$3:$A$2477,MATCH(0,INDEX(COUNTIF($A$1:A16,'Schedule Raw Data'!$A$3:$A$2477),0,0),0))</f>
        <v>46331</v>
      </c>
      <c r="B17">
        <f t="shared" si="2"/>
        <v>3</v>
      </c>
      <c r="C17">
        <f>IFERROR(COUNTIF(OFFSET('Schedule Raw Data'!$A$2,MATCH($A17,'Schedule Raw Data'!$A$3:$A$2477,0),1,COUNTIF('Schedule Raw Data'!$A$3:$A$2477,$A17),2),C$1),0)</f>
        <v>0</v>
      </c>
      <c r="D17">
        <f>IFERROR(COUNTIF(OFFSET('Schedule Raw Data'!$A$2,MATCH($A17,'Schedule Raw Data'!$A$3:$A$2477,0),1,COUNTIF('Schedule Raw Data'!$A$3:$A$2477,$A17),2),D$1),0)</f>
        <v>0</v>
      </c>
      <c r="E17">
        <f>IFERROR(COUNTIF(OFFSET('Schedule Raw Data'!$A$2,MATCH($A17,'Schedule Raw Data'!$A$3:$A$2477,0),1,COUNTIF('Schedule Raw Data'!$A$3:$A$2477,$A17),2),E$1),0)</f>
        <v>0</v>
      </c>
      <c r="F17">
        <f>IFERROR(COUNTIF(OFFSET('Schedule Raw Data'!$A$2,MATCH($A17,'Schedule Raw Data'!$A$3:$A$2477,0),1,COUNTIF('Schedule Raw Data'!$A$3:$A$2477,$A17),2),F$1),0)</f>
        <v>0</v>
      </c>
      <c r="G17">
        <f>IFERROR(COUNTIF(OFFSET('Schedule Raw Data'!$A$2,MATCH($A17,'Schedule Raw Data'!$A$3:$A$2477,0),1,COUNTIF('Schedule Raw Data'!$A$3:$A$2477,$A17),2),G$1),0)</f>
        <v>0</v>
      </c>
      <c r="H17">
        <f>IFERROR(COUNTIF(OFFSET('Schedule Raw Data'!$A$2,MATCH($A17,'Schedule Raw Data'!$A$3:$A$2477,0),1,COUNTIF('Schedule Raw Data'!$A$3:$A$2477,$A17),2),H$1),0)</f>
        <v>0</v>
      </c>
      <c r="I17">
        <f>IFERROR(COUNTIF(OFFSET('Schedule Raw Data'!$A$2,MATCH($A17,'Schedule Raw Data'!$A$3:$A$2477,0),1,COUNTIF('Schedule Raw Data'!$A$3:$A$2477,$A17),2),I$1),0)</f>
        <v>0</v>
      </c>
      <c r="J17">
        <f>IFERROR(COUNTIF(OFFSET('Schedule Raw Data'!$A$2,MATCH($A17,'Schedule Raw Data'!$A$3:$A$2477,0),1,COUNTIF('Schedule Raw Data'!$A$3:$A$2477,$A17),2),J$1),0)</f>
        <v>0</v>
      </c>
      <c r="K17">
        <f>IFERROR(COUNTIF(OFFSET('Schedule Raw Data'!$A$2,MATCH($A17,'Schedule Raw Data'!$A$3:$A$2477,0),1,COUNTIF('Schedule Raw Data'!$A$3:$A$2477,$A17),2),K$1),0)</f>
        <v>0</v>
      </c>
      <c r="L17">
        <f>IFERROR(COUNTIF(OFFSET('Schedule Raw Data'!$A$2,MATCH($A17,'Schedule Raw Data'!$A$3:$A$2477,0),1,COUNTIF('Schedule Raw Data'!$A$3:$A$2477,$A17),2),L$1),0)</f>
        <v>1</v>
      </c>
      <c r="M17">
        <f>IFERROR(COUNTIF(OFFSET('Schedule Raw Data'!$A$2,MATCH($A17,'Schedule Raw Data'!$A$3:$A$2477,0),1,COUNTIF('Schedule Raw Data'!$A$3:$A$2477,$A17),2),M$1),0)</f>
        <v>0</v>
      </c>
      <c r="N17">
        <f>IFERROR(COUNTIF(OFFSET('Schedule Raw Data'!$A$2,MATCH($A17,'Schedule Raw Data'!$A$3:$A$2477,0),1,COUNTIF('Schedule Raw Data'!$A$3:$A$2477,$A17),2),N$1),0)</f>
        <v>0</v>
      </c>
      <c r="O17">
        <f>IFERROR(COUNTIF(OFFSET('Schedule Raw Data'!$A$2,MATCH($A17,'Schedule Raw Data'!$A$3:$A$2477,0),1,COUNTIF('Schedule Raw Data'!$A$3:$A$2477,$A17),2),O$1),0)</f>
        <v>0</v>
      </c>
      <c r="P17">
        <f>IFERROR(COUNTIF(OFFSET('Schedule Raw Data'!$A$2,MATCH($A17,'Schedule Raw Data'!$A$3:$A$2477,0),1,COUNTIF('Schedule Raw Data'!$A$3:$A$2477,$A17),2),P$1),0)</f>
        <v>0</v>
      </c>
      <c r="Q17">
        <f>IFERROR(COUNTIF(OFFSET('Schedule Raw Data'!$A$2,MATCH($A17,'Schedule Raw Data'!$A$3:$A$2477,0),1,COUNTIF('Schedule Raw Data'!$A$3:$A$2477,$A17),2),Q$1),0)</f>
        <v>0</v>
      </c>
      <c r="R17">
        <f>IFERROR(COUNTIF(OFFSET('Schedule Raw Data'!$A$2,MATCH($A17,'Schedule Raw Data'!$A$3:$A$2477,0),1,COUNTIF('Schedule Raw Data'!$A$3:$A$2477,$A17),2),R$1),0)</f>
        <v>1</v>
      </c>
      <c r="S17">
        <f>IFERROR(COUNTIF(OFFSET('Schedule Raw Data'!$A$2,MATCH($A17,'Schedule Raw Data'!$A$3:$A$2477,0),1,COUNTIF('Schedule Raw Data'!$A$3:$A$2477,$A17),2),S$1),0)</f>
        <v>0</v>
      </c>
      <c r="T17">
        <f>IFERROR(COUNTIF(OFFSET('Schedule Raw Data'!$A$2,MATCH($A17,'Schedule Raw Data'!$A$3:$A$2477,0),1,COUNTIF('Schedule Raw Data'!$A$3:$A$2477,$A17),2),T$1),0)</f>
        <v>0</v>
      </c>
      <c r="U17">
        <f>IFERROR(COUNTIF(OFFSET('Schedule Raw Data'!$A$2,MATCH($A17,'Schedule Raw Data'!$A$3:$A$2477,0),1,COUNTIF('Schedule Raw Data'!$A$3:$A$2477,$A17),2),U$1),0)</f>
        <v>0</v>
      </c>
      <c r="V17">
        <f>IFERROR(COUNTIF(OFFSET('Schedule Raw Data'!$A$2,MATCH($A17,'Schedule Raw Data'!$A$3:$A$2477,0),1,COUNTIF('Schedule Raw Data'!$A$3:$A$2477,$A17),2),V$1),0)</f>
        <v>0</v>
      </c>
      <c r="W17">
        <f>IFERROR(COUNTIF(OFFSET('Schedule Raw Data'!$A$2,MATCH($A17,'Schedule Raw Data'!$A$3:$A$2477,0),1,COUNTIF('Schedule Raw Data'!$A$3:$A$2477,$A17),2),W$1),0)</f>
        <v>0</v>
      </c>
      <c r="X17">
        <f>IFERROR(COUNTIF(OFFSET('Schedule Raw Data'!$A$2,MATCH($A17,'Schedule Raw Data'!$A$3:$A$2477,0),1,COUNTIF('Schedule Raw Data'!$A$3:$A$2477,$A17),2),X$1),0)</f>
        <v>1</v>
      </c>
      <c r="Y17">
        <f>IFERROR(COUNTIF(OFFSET('Schedule Raw Data'!$A$2,MATCH($A17,'Schedule Raw Data'!$A$3:$A$2477,0),1,COUNTIF('Schedule Raw Data'!$A$3:$A$2477,$A17),2),Y$1),0)</f>
        <v>0</v>
      </c>
      <c r="Z17">
        <f>IFERROR(COUNTIF(OFFSET('Schedule Raw Data'!$A$2,MATCH($A17,'Schedule Raw Data'!$A$3:$A$2477,0),1,COUNTIF('Schedule Raw Data'!$A$3:$A$2477,$A17),2),Z$1),0)</f>
        <v>1</v>
      </c>
      <c r="AA17">
        <f>IFERROR(COUNTIF(OFFSET('Schedule Raw Data'!$A$2,MATCH($A17,'Schedule Raw Data'!$A$3:$A$2477,0),1,COUNTIF('Schedule Raw Data'!$A$3:$A$2477,$A17),2),AA$1),0)</f>
        <v>0</v>
      </c>
      <c r="AB17">
        <f>IFERROR(COUNTIF(OFFSET('Schedule Raw Data'!$A$2,MATCH($A17,'Schedule Raw Data'!$A$3:$A$2477,0),1,COUNTIF('Schedule Raw Data'!$A$3:$A$2477,$A17),2),AB$1),0)</f>
        <v>0</v>
      </c>
      <c r="AC17">
        <f>IFERROR(COUNTIF(OFFSET('Schedule Raw Data'!$A$2,MATCH($A17,'Schedule Raw Data'!$A$3:$A$2477,0),1,COUNTIF('Schedule Raw Data'!$A$3:$A$2477,$A17),2),AC$1),0)</f>
        <v>0</v>
      </c>
      <c r="AD17">
        <f>IFERROR(COUNTIF(OFFSET('Schedule Raw Data'!$A$2,MATCH($A17,'Schedule Raw Data'!$A$3:$A$2477,0),1,COUNTIF('Schedule Raw Data'!$A$3:$A$2477,$A17),2),AD$1),0)</f>
        <v>0</v>
      </c>
      <c r="AE17">
        <f>IFERROR(COUNTIF(OFFSET('Schedule Raw Data'!$A$2,MATCH($A17,'Schedule Raw Data'!$A$3:$A$2477,0),1,COUNTIF('Schedule Raw Data'!$A$3:$A$2477,$A17),2),AE$1),0)</f>
        <v>0</v>
      </c>
      <c r="AF17">
        <f>IFERROR(COUNTIF(OFFSET('Schedule Raw Data'!$A$2,MATCH($A17,'Schedule Raw Data'!$A$3:$A$2477,0),1,COUNTIF('Schedule Raw Data'!$A$3:$A$2477,$A17),2),AF$1),0)</f>
        <v>0</v>
      </c>
      <c r="AG17">
        <f t="shared" si="1"/>
        <v>2</v>
      </c>
    </row>
    <row r="18">
      <c r="A18" s="30">
        <f t="array" ref="A18">INDEX('Schedule Raw Data'!$A$3:$A$2477,MATCH(0,INDEX(COUNTIF($A$1:A17,'Schedule Raw Data'!$A$3:$A$2477),0,0),0))</f>
        <v>46332</v>
      </c>
      <c r="B18">
        <f t="shared" si="2"/>
        <v>3</v>
      </c>
      <c r="C18">
        <f>IFERROR(COUNTIF(OFFSET('Schedule Raw Data'!$A$2,MATCH($A18,'Schedule Raw Data'!$A$3:$A$2477,0),1,COUNTIF('Schedule Raw Data'!$A$3:$A$2477,$A18),2),C$1),0)</f>
        <v>1</v>
      </c>
      <c r="D18">
        <f>IFERROR(COUNTIF(OFFSET('Schedule Raw Data'!$A$2,MATCH($A18,'Schedule Raw Data'!$A$3:$A$2477,0),1,COUNTIF('Schedule Raw Data'!$A$3:$A$2477,$A18),2),D$1),0)</f>
        <v>0</v>
      </c>
      <c r="E18">
        <f>IFERROR(COUNTIF(OFFSET('Schedule Raw Data'!$A$2,MATCH($A18,'Schedule Raw Data'!$A$3:$A$2477,0),1,COUNTIF('Schedule Raw Data'!$A$3:$A$2477,$A18),2),E$1),0)</f>
        <v>1</v>
      </c>
      <c r="F18">
        <f>IFERROR(COUNTIF(OFFSET('Schedule Raw Data'!$A$2,MATCH($A18,'Schedule Raw Data'!$A$3:$A$2477,0),1,COUNTIF('Schedule Raw Data'!$A$3:$A$2477,$A18),2),F$1),0)</f>
        <v>1</v>
      </c>
      <c r="G18">
        <f>IFERROR(COUNTIF(OFFSET('Schedule Raw Data'!$A$2,MATCH($A18,'Schedule Raw Data'!$A$3:$A$2477,0),1,COUNTIF('Schedule Raw Data'!$A$3:$A$2477,$A18),2),G$1),0)</f>
        <v>0</v>
      </c>
      <c r="H18">
        <f>IFERROR(COUNTIF(OFFSET('Schedule Raw Data'!$A$2,MATCH($A18,'Schedule Raw Data'!$A$3:$A$2477,0),1,COUNTIF('Schedule Raw Data'!$A$3:$A$2477,$A18),2),H$1),0)</f>
        <v>1</v>
      </c>
      <c r="I18">
        <f>IFERROR(COUNTIF(OFFSET('Schedule Raw Data'!$A$2,MATCH($A18,'Schedule Raw Data'!$A$3:$A$2477,0),1,COUNTIF('Schedule Raw Data'!$A$3:$A$2477,$A18),2),I$1),0)</f>
        <v>1</v>
      </c>
      <c r="J18">
        <f>IFERROR(COUNTIF(OFFSET('Schedule Raw Data'!$A$2,MATCH($A18,'Schedule Raw Data'!$A$3:$A$2477,0),1,COUNTIF('Schedule Raw Data'!$A$3:$A$2477,$A18),2),J$1),0)</f>
        <v>0</v>
      </c>
      <c r="K18">
        <f>IFERROR(COUNTIF(OFFSET('Schedule Raw Data'!$A$2,MATCH($A18,'Schedule Raw Data'!$A$3:$A$2477,0),1,COUNTIF('Schedule Raw Data'!$A$3:$A$2477,$A18),2),K$1),0)</f>
        <v>0</v>
      </c>
      <c r="L18">
        <f>IFERROR(COUNTIF(OFFSET('Schedule Raw Data'!$A$2,MATCH($A18,'Schedule Raw Data'!$A$3:$A$2477,0),1,COUNTIF('Schedule Raw Data'!$A$3:$A$2477,$A18),2),L$1),0)</f>
        <v>0</v>
      </c>
      <c r="M18">
        <f>IFERROR(COUNTIF(OFFSET('Schedule Raw Data'!$A$2,MATCH($A18,'Schedule Raw Data'!$A$3:$A$2477,0),1,COUNTIF('Schedule Raw Data'!$A$3:$A$2477,$A18),2),M$1),0)</f>
        <v>0</v>
      </c>
      <c r="N18">
        <f>IFERROR(COUNTIF(OFFSET('Schedule Raw Data'!$A$2,MATCH($A18,'Schedule Raw Data'!$A$3:$A$2477,0),1,COUNTIF('Schedule Raw Data'!$A$3:$A$2477,$A18),2),N$1),0)</f>
        <v>0</v>
      </c>
      <c r="O18">
        <f>IFERROR(COUNTIF(OFFSET('Schedule Raw Data'!$A$2,MATCH($A18,'Schedule Raw Data'!$A$3:$A$2477,0),1,COUNTIF('Schedule Raw Data'!$A$3:$A$2477,$A18),2),O$1),0)</f>
        <v>0</v>
      </c>
      <c r="P18">
        <f>IFERROR(COUNTIF(OFFSET('Schedule Raw Data'!$A$2,MATCH($A18,'Schedule Raw Data'!$A$3:$A$2477,0),1,COUNTIF('Schedule Raw Data'!$A$3:$A$2477,$A18),2),P$1),0)</f>
        <v>1</v>
      </c>
      <c r="Q18">
        <f>IFERROR(COUNTIF(OFFSET('Schedule Raw Data'!$A$2,MATCH($A18,'Schedule Raw Data'!$A$3:$A$2477,0),1,COUNTIF('Schedule Raw Data'!$A$3:$A$2477,$A18),2),Q$1),0)</f>
        <v>1</v>
      </c>
      <c r="R18">
        <f>IFERROR(COUNTIF(OFFSET('Schedule Raw Data'!$A$2,MATCH($A18,'Schedule Raw Data'!$A$3:$A$2477,0),1,COUNTIF('Schedule Raw Data'!$A$3:$A$2477,$A18),2),R$1),0)</f>
        <v>0</v>
      </c>
      <c r="S18">
        <f>IFERROR(COUNTIF(OFFSET('Schedule Raw Data'!$A$2,MATCH($A18,'Schedule Raw Data'!$A$3:$A$2477,0),1,COUNTIF('Schedule Raw Data'!$A$3:$A$2477,$A18),2),S$1),0)</f>
        <v>1</v>
      </c>
      <c r="T18">
        <f>IFERROR(COUNTIF(OFFSET('Schedule Raw Data'!$A$2,MATCH($A18,'Schedule Raw Data'!$A$3:$A$2477,0),1,COUNTIF('Schedule Raw Data'!$A$3:$A$2477,$A18),2),T$1),0)</f>
        <v>1</v>
      </c>
      <c r="U18">
        <f>IFERROR(COUNTIF(OFFSET('Schedule Raw Data'!$A$2,MATCH($A18,'Schedule Raw Data'!$A$3:$A$2477,0),1,COUNTIF('Schedule Raw Data'!$A$3:$A$2477,$A18),2),U$1),0)</f>
        <v>1</v>
      </c>
      <c r="V18">
        <f>IFERROR(COUNTIF(OFFSET('Schedule Raw Data'!$A$2,MATCH($A18,'Schedule Raw Data'!$A$3:$A$2477,0),1,COUNTIF('Schedule Raw Data'!$A$3:$A$2477,$A18),2),V$1),0)</f>
        <v>0</v>
      </c>
      <c r="W18">
        <f>IFERROR(COUNTIF(OFFSET('Schedule Raw Data'!$A$2,MATCH($A18,'Schedule Raw Data'!$A$3:$A$2477,0),1,COUNTIF('Schedule Raw Data'!$A$3:$A$2477,$A18),2),W$1),0)</f>
        <v>1</v>
      </c>
      <c r="X18">
        <f>IFERROR(COUNTIF(OFFSET('Schedule Raw Data'!$A$2,MATCH($A18,'Schedule Raw Data'!$A$3:$A$2477,0),1,COUNTIF('Schedule Raw Data'!$A$3:$A$2477,$A18),2),X$1),0)</f>
        <v>0</v>
      </c>
      <c r="Y18">
        <f>IFERROR(COUNTIF(OFFSET('Schedule Raw Data'!$A$2,MATCH($A18,'Schedule Raw Data'!$A$3:$A$2477,0),1,COUNTIF('Schedule Raw Data'!$A$3:$A$2477,$A18),2),Y$1),0)</f>
        <v>1</v>
      </c>
      <c r="Z18">
        <f>IFERROR(COUNTIF(OFFSET('Schedule Raw Data'!$A$2,MATCH($A18,'Schedule Raw Data'!$A$3:$A$2477,0),1,COUNTIF('Schedule Raw Data'!$A$3:$A$2477,$A18),2),Z$1),0)</f>
        <v>0</v>
      </c>
      <c r="AA18">
        <f>IFERROR(COUNTIF(OFFSET('Schedule Raw Data'!$A$2,MATCH($A18,'Schedule Raw Data'!$A$3:$A$2477,0),1,COUNTIF('Schedule Raw Data'!$A$3:$A$2477,$A18),2),AA$1),0)</f>
        <v>1</v>
      </c>
      <c r="AB18">
        <f>IFERROR(COUNTIF(OFFSET('Schedule Raw Data'!$A$2,MATCH($A18,'Schedule Raw Data'!$A$3:$A$2477,0),1,COUNTIF('Schedule Raw Data'!$A$3:$A$2477,$A18),2),AB$1),0)</f>
        <v>1</v>
      </c>
      <c r="AC18">
        <f>IFERROR(COUNTIF(OFFSET('Schedule Raw Data'!$A$2,MATCH($A18,'Schedule Raw Data'!$A$3:$A$2477,0),1,COUNTIF('Schedule Raw Data'!$A$3:$A$2477,$A18),2),AC$1),0)</f>
        <v>1</v>
      </c>
      <c r="AD18">
        <f>IFERROR(COUNTIF(OFFSET('Schedule Raw Data'!$A$2,MATCH($A18,'Schedule Raw Data'!$A$3:$A$2477,0),1,COUNTIF('Schedule Raw Data'!$A$3:$A$2477,$A18),2),AD$1),0)</f>
        <v>1</v>
      </c>
      <c r="AE18">
        <f>IFERROR(COUNTIF(OFFSET('Schedule Raw Data'!$A$2,MATCH($A18,'Schedule Raw Data'!$A$3:$A$2477,0),1,COUNTIF('Schedule Raw Data'!$A$3:$A$2477,$A18),2),AE$1),0)</f>
        <v>1</v>
      </c>
      <c r="AF18">
        <f>IFERROR(COUNTIF(OFFSET('Schedule Raw Data'!$A$2,MATCH($A18,'Schedule Raw Data'!$A$3:$A$2477,0),1,COUNTIF('Schedule Raw Data'!$A$3:$A$2477,$A18),2),AF$1),0)</f>
        <v>1</v>
      </c>
      <c r="AG18">
        <f t="shared" si="1"/>
        <v>9</v>
      </c>
    </row>
    <row r="19">
      <c r="A19" s="30">
        <f t="array" ref="A19">INDEX('Schedule Raw Data'!$A$3:$A$2477,MATCH(0,INDEX(COUNTIF($A$1:A18,'Schedule Raw Data'!$A$3:$A$2477),0,0),0))</f>
        <v>46333</v>
      </c>
      <c r="B19">
        <f t="shared" si="2"/>
        <v>3</v>
      </c>
      <c r="C19">
        <f>IFERROR(COUNTIF(OFFSET('Schedule Raw Data'!$A$2,MATCH($A19,'Schedule Raw Data'!$A$3:$A$2477,0),1,COUNTIF('Schedule Raw Data'!$A$3:$A$2477,$A19),2),C$1),0)</f>
        <v>1</v>
      </c>
      <c r="D19">
        <f>IFERROR(COUNTIF(OFFSET('Schedule Raw Data'!$A$2,MATCH($A19,'Schedule Raw Data'!$A$3:$A$2477,0),1,COUNTIF('Schedule Raw Data'!$A$3:$A$2477,$A19),2),D$1),0)</f>
        <v>1</v>
      </c>
      <c r="E19">
        <f>IFERROR(COUNTIF(OFFSET('Schedule Raw Data'!$A$2,MATCH($A19,'Schedule Raw Data'!$A$3:$A$2477,0),1,COUNTIF('Schedule Raw Data'!$A$3:$A$2477,$A19),2),E$1),0)</f>
        <v>0</v>
      </c>
      <c r="F19">
        <f>IFERROR(COUNTIF(OFFSET('Schedule Raw Data'!$A$2,MATCH($A19,'Schedule Raw Data'!$A$3:$A$2477,0),1,COUNTIF('Schedule Raw Data'!$A$3:$A$2477,$A19),2),F$1),0)</f>
        <v>0</v>
      </c>
      <c r="G19">
        <f>IFERROR(COUNTIF(OFFSET('Schedule Raw Data'!$A$2,MATCH($A19,'Schedule Raw Data'!$A$3:$A$2477,0),1,COUNTIF('Schedule Raw Data'!$A$3:$A$2477,$A19),2),G$1),0)</f>
        <v>0</v>
      </c>
      <c r="H19">
        <f>IFERROR(COUNTIF(OFFSET('Schedule Raw Data'!$A$2,MATCH($A19,'Schedule Raw Data'!$A$3:$A$2477,0),1,COUNTIF('Schedule Raw Data'!$A$3:$A$2477,$A19),2),H$1),0)</f>
        <v>1</v>
      </c>
      <c r="I19">
        <f>IFERROR(COUNTIF(OFFSET('Schedule Raw Data'!$A$2,MATCH($A19,'Schedule Raw Data'!$A$3:$A$2477,0),1,COUNTIF('Schedule Raw Data'!$A$3:$A$2477,$A19),2),I$1),0)</f>
        <v>0</v>
      </c>
      <c r="J19">
        <f>IFERROR(COUNTIF(OFFSET('Schedule Raw Data'!$A$2,MATCH($A19,'Schedule Raw Data'!$A$3:$A$2477,0),1,COUNTIF('Schedule Raw Data'!$A$3:$A$2477,$A19),2),J$1),0)</f>
        <v>1</v>
      </c>
      <c r="K19">
        <f>IFERROR(COUNTIF(OFFSET('Schedule Raw Data'!$A$2,MATCH($A19,'Schedule Raw Data'!$A$3:$A$2477,0),1,COUNTIF('Schedule Raw Data'!$A$3:$A$2477,$A19),2),K$1),0)</f>
        <v>0</v>
      </c>
      <c r="L19">
        <f>IFERROR(COUNTIF(OFFSET('Schedule Raw Data'!$A$2,MATCH($A19,'Schedule Raw Data'!$A$3:$A$2477,0),1,COUNTIF('Schedule Raw Data'!$A$3:$A$2477,$A19),2),L$1),0)</f>
        <v>1</v>
      </c>
      <c r="M19">
        <f>IFERROR(COUNTIF(OFFSET('Schedule Raw Data'!$A$2,MATCH($A19,'Schedule Raw Data'!$A$3:$A$2477,0),1,COUNTIF('Schedule Raw Data'!$A$3:$A$2477,$A19),2),M$1),0)</f>
        <v>1</v>
      </c>
      <c r="N19">
        <f>IFERROR(COUNTIF(OFFSET('Schedule Raw Data'!$A$2,MATCH($A19,'Schedule Raw Data'!$A$3:$A$2477,0),1,COUNTIF('Schedule Raw Data'!$A$3:$A$2477,$A19),2),N$1),0)</f>
        <v>1</v>
      </c>
      <c r="O19">
        <f>IFERROR(COUNTIF(OFFSET('Schedule Raw Data'!$A$2,MATCH($A19,'Schedule Raw Data'!$A$3:$A$2477,0),1,COUNTIF('Schedule Raw Data'!$A$3:$A$2477,$A19),2),O$1),0)</f>
        <v>0</v>
      </c>
      <c r="P19">
        <f>IFERROR(COUNTIF(OFFSET('Schedule Raw Data'!$A$2,MATCH($A19,'Schedule Raw Data'!$A$3:$A$2477,0),1,COUNTIF('Schedule Raw Data'!$A$3:$A$2477,$A19),2),P$1),0)</f>
        <v>0</v>
      </c>
      <c r="Q19">
        <f>IFERROR(COUNTIF(OFFSET('Schedule Raw Data'!$A$2,MATCH($A19,'Schedule Raw Data'!$A$3:$A$2477,0),1,COUNTIF('Schedule Raw Data'!$A$3:$A$2477,$A19),2),Q$1),0)</f>
        <v>0</v>
      </c>
      <c r="R19">
        <f>IFERROR(COUNTIF(OFFSET('Schedule Raw Data'!$A$2,MATCH($A19,'Schedule Raw Data'!$A$3:$A$2477,0),1,COUNTIF('Schedule Raw Data'!$A$3:$A$2477,$A19),2),R$1),0)</f>
        <v>0</v>
      </c>
      <c r="S19">
        <f>IFERROR(COUNTIF(OFFSET('Schedule Raw Data'!$A$2,MATCH($A19,'Schedule Raw Data'!$A$3:$A$2477,0),1,COUNTIF('Schedule Raw Data'!$A$3:$A$2477,$A19),2),S$1),0)</f>
        <v>0</v>
      </c>
      <c r="T19">
        <f>IFERROR(COUNTIF(OFFSET('Schedule Raw Data'!$A$2,MATCH($A19,'Schedule Raw Data'!$A$3:$A$2477,0),1,COUNTIF('Schedule Raw Data'!$A$3:$A$2477,$A19),2),T$1),0)</f>
        <v>0</v>
      </c>
      <c r="U19">
        <f>IFERROR(COUNTIF(OFFSET('Schedule Raw Data'!$A$2,MATCH($A19,'Schedule Raw Data'!$A$3:$A$2477,0),1,COUNTIF('Schedule Raw Data'!$A$3:$A$2477,$A19),2),U$1),0)</f>
        <v>0</v>
      </c>
      <c r="V19">
        <f>IFERROR(COUNTIF(OFFSET('Schedule Raw Data'!$A$2,MATCH($A19,'Schedule Raw Data'!$A$3:$A$2477,0),1,COUNTIF('Schedule Raw Data'!$A$3:$A$2477,$A19),2),V$1),0)</f>
        <v>1</v>
      </c>
      <c r="W19">
        <f>IFERROR(COUNTIF(OFFSET('Schedule Raw Data'!$A$2,MATCH($A19,'Schedule Raw Data'!$A$3:$A$2477,0),1,COUNTIF('Schedule Raw Data'!$A$3:$A$2477,$A19),2),W$1),0)</f>
        <v>1</v>
      </c>
      <c r="X19">
        <f>IFERROR(COUNTIF(OFFSET('Schedule Raw Data'!$A$2,MATCH($A19,'Schedule Raw Data'!$A$3:$A$2477,0),1,COUNTIF('Schedule Raw Data'!$A$3:$A$2477,$A19),2),X$1),0)</f>
        <v>1</v>
      </c>
      <c r="Y19">
        <f>IFERROR(COUNTIF(OFFSET('Schedule Raw Data'!$A$2,MATCH($A19,'Schedule Raw Data'!$A$3:$A$2477,0),1,COUNTIF('Schedule Raw Data'!$A$3:$A$2477,$A19),2),Y$1),0)</f>
        <v>0</v>
      </c>
      <c r="Z19">
        <f>IFERROR(COUNTIF(OFFSET('Schedule Raw Data'!$A$2,MATCH($A19,'Schedule Raw Data'!$A$3:$A$2477,0),1,COUNTIF('Schedule Raw Data'!$A$3:$A$2477,$A19),2),Z$1),0)</f>
        <v>1</v>
      </c>
      <c r="AA19">
        <f>IFERROR(COUNTIF(OFFSET('Schedule Raw Data'!$A$2,MATCH($A19,'Schedule Raw Data'!$A$3:$A$2477,0),1,COUNTIF('Schedule Raw Data'!$A$3:$A$2477,$A19),2),AA$1),0)</f>
        <v>1</v>
      </c>
      <c r="AB19">
        <f>IFERROR(COUNTIF(OFFSET('Schedule Raw Data'!$A$2,MATCH($A19,'Schedule Raw Data'!$A$3:$A$2477,0),1,COUNTIF('Schedule Raw Data'!$A$3:$A$2477,$A19),2),AB$1),0)</f>
        <v>0</v>
      </c>
      <c r="AC19">
        <f>IFERROR(COUNTIF(OFFSET('Schedule Raw Data'!$A$2,MATCH($A19,'Schedule Raw Data'!$A$3:$A$2477,0),1,COUNTIF('Schedule Raw Data'!$A$3:$A$2477,$A19),2),AC$1),0)</f>
        <v>1</v>
      </c>
      <c r="AD19">
        <f>IFERROR(COUNTIF(OFFSET('Schedule Raw Data'!$A$2,MATCH($A19,'Schedule Raw Data'!$A$3:$A$2477,0),1,COUNTIF('Schedule Raw Data'!$A$3:$A$2477,$A19),2),AD$1),0)</f>
        <v>0</v>
      </c>
      <c r="AE19">
        <f>IFERROR(COUNTIF(OFFSET('Schedule Raw Data'!$A$2,MATCH($A19,'Schedule Raw Data'!$A$3:$A$2477,0),1,COUNTIF('Schedule Raw Data'!$A$3:$A$2477,$A19),2),AE$1),0)</f>
        <v>0</v>
      </c>
      <c r="AF19">
        <f>IFERROR(COUNTIF(OFFSET('Schedule Raw Data'!$A$2,MATCH($A19,'Schedule Raw Data'!$A$3:$A$2477,0),1,COUNTIF('Schedule Raw Data'!$A$3:$A$2477,$A19),2),AF$1),0)</f>
        <v>1</v>
      </c>
      <c r="AG19">
        <f t="shared" si="1"/>
        <v>7</v>
      </c>
    </row>
    <row r="20">
      <c r="A20" s="30">
        <f t="array" ref="A20">INDEX('Schedule Raw Data'!$A$3:$A$2477,MATCH(0,INDEX(COUNTIF($A$1:A19,'Schedule Raw Data'!$A$3:$A$2477),0,0),0))</f>
        <v>46334</v>
      </c>
      <c r="B20">
        <f t="shared" si="2"/>
        <v>3</v>
      </c>
      <c r="C20">
        <f>IFERROR(COUNTIF(OFFSET('Schedule Raw Data'!$A$2,MATCH($A20,'Schedule Raw Data'!$A$3:$A$2477,0),1,COUNTIF('Schedule Raw Data'!$A$3:$A$2477,$A20),2),C$1),0)</f>
        <v>0</v>
      </c>
      <c r="D20">
        <f>IFERROR(COUNTIF(OFFSET('Schedule Raw Data'!$A$2,MATCH($A20,'Schedule Raw Data'!$A$3:$A$2477,0),1,COUNTIF('Schedule Raw Data'!$A$3:$A$2477,$A20),2),D$1),0)</f>
        <v>1</v>
      </c>
      <c r="E20">
        <f>IFERROR(COUNTIF(OFFSET('Schedule Raw Data'!$A$2,MATCH($A20,'Schedule Raw Data'!$A$3:$A$2477,0),1,COUNTIF('Schedule Raw Data'!$A$3:$A$2477,$A20),2),E$1),0)</f>
        <v>1</v>
      </c>
      <c r="F20">
        <f>IFERROR(COUNTIF(OFFSET('Schedule Raw Data'!$A$2,MATCH($A20,'Schedule Raw Data'!$A$3:$A$2477,0),1,COUNTIF('Schedule Raw Data'!$A$3:$A$2477,$A20),2),F$1),0)</f>
        <v>0</v>
      </c>
      <c r="G20">
        <f>IFERROR(COUNTIF(OFFSET('Schedule Raw Data'!$A$2,MATCH($A20,'Schedule Raw Data'!$A$3:$A$2477,0),1,COUNTIF('Schedule Raw Data'!$A$3:$A$2477,$A20),2),G$1),0)</f>
        <v>1</v>
      </c>
      <c r="H20">
        <f>IFERROR(COUNTIF(OFFSET('Schedule Raw Data'!$A$2,MATCH($A20,'Schedule Raw Data'!$A$3:$A$2477,0),1,COUNTIF('Schedule Raw Data'!$A$3:$A$2477,$A20),2),H$1),0)</f>
        <v>0</v>
      </c>
      <c r="I20">
        <f>IFERROR(COUNTIF(OFFSET('Schedule Raw Data'!$A$2,MATCH($A20,'Schedule Raw Data'!$A$3:$A$2477,0),1,COUNTIF('Schedule Raw Data'!$A$3:$A$2477,$A20),2),I$1),0)</f>
        <v>1</v>
      </c>
      <c r="J20">
        <f>IFERROR(COUNTIF(OFFSET('Schedule Raw Data'!$A$2,MATCH($A20,'Schedule Raw Data'!$A$3:$A$2477,0),1,COUNTIF('Schedule Raw Data'!$A$3:$A$2477,$A20),2),J$1),0)</f>
        <v>0</v>
      </c>
      <c r="K20">
        <f>IFERROR(COUNTIF(OFFSET('Schedule Raw Data'!$A$2,MATCH($A20,'Schedule Raw Data'!$A$3:$A$2477,0),1,COUNTIF('Schedule Raw Data'!$A$3:$A$2477,$A20),2),K$1),0)</f>
        <v>1</v>
      </c>
      <c r="L20">
        <f>IFERROR(COUNTIF(OFFSET('Schedule Raw Data'!$A$2,MATCH($A20,'Schedule Raw Data'!$A$3:$A$2477,0),1,COUNTIF('Schedule Raw Data'!$A$3:$A$2477,$A20),2),L$1),0)</f>
        <v>0</v>
      </c>
      <c r="M20">
        <f>IFERROR(COUNTIF(OFFSET('Schedule Raw Data'!$A$2,MATCH($A20,'Schedule Raw Data'!$A$3:$A$2477,0),1,COUNTIF('Schedule Raw Data'!$A$3:$A$2477,$A20),2),M$1),0)</f>
        <v>0</v>
      </c>
      <c r="N20">
        <f>IFERROR(COUNTIF(OFFSET('Schedule Raw Data'!$A$2,MATCH($A20,'Schedule Raw Data'!$A$3:$A$2477,0),1,COUNTIF('Schedule Raw Data'!$A$3:$A$2477,$A20),2),N$1),0)</f>
        <v>0</v>
      </c>
      <c r="O20">
        <f>IFERROR(COUNTIF(OFFSET('Schedule Raw Data'!$A$2,MATCH($A20,'Schedule Raw Data'!$A$3:$A$2477,0),1,COUNTIF('Schedule Raw Data'!$A$3:$A$2477,$A20),2),O$1),0)</f>
        <v>1</v>
      </c>
      <c r="P20">
        <f>IFERROR(COUNTIF(OFFSET('Schedule Raw Data'!$A$2,MATCH($A20,'Schedule Raw Data'!$A$3:$A$2477,0),1,COUNTIF('Schedule Raw Data'!$A$3:$A$2477,$A20),2),P$1),0)</f>
        <v>1</v>
      </c>
      <c r="Q20">
        <f>IFERROR(COUNTIF(OFFSET('Schedule Raw Data'!$A$2,MATCH($A20,'Schedule Raw Data'!$A$3:$A$2477,0),1,COUNTIF('Schedule Raw Data'!$A$3:$A$2477,$A20),2),Q$1),0)</f>
        <v>0</v>
      </c>
      <c r="R20">
        <f>IFERROR(COUNTIF(OFFSET('Schedule Raw Data'!$A$2,MATCH($A20,'Schedule Raw Data'!$A$3:$A$2477,0),1,COUNTIF('Schedule Raw Data'!$A$3:$A$2477,$A20),2),R$1),0)</f>
        <v>1</v>
      </c>
      <c r="S20">
        <f>IFERROR(COUNTIF(OFFSET('Schedule Raw Data'!$A$2,MATCH($A20,'Schedule Raw Data'!$A$3:$A$2477,0),1,COUNTIF('Schedule Raw Data'!$A$3:$A$2477,$A20),2),S$1),0)</f>
        <v>1</v>
      </c>
      <c r="T20">
        <f>IFERROR(COUNTIF(OFFSET('Schedule Raw Data'!$A$2,MATCH($A20,'Schedule Raw Data'!$A$3:$A$2477,0),1,COUNTIF('Schedule Raw Data'!$A$3:$A$2477,$A20),2),T$1),0)</f>
        <v>1</v>
      </c>
      <c r="U20">
        <f>IFERROR(COUNTIF(OFFSET('Schedule Raw Data'!$A$2,MATCH($A20,'Schedule Raw Data'!$A$3:$A$2477,0),1,COUNTIF('Schedule Raw Data'!$A$3:$A$2477,$A20),2),U$1),0)</f>
        <v>1</v>
      </c>
      <c r="V20">
        <f>IFERROR(COUNTIF(OFFSET('Schedule Raw Data'!$A$2,MATCH($A20,'Schedule Raw Data'!$A$3:$A$2477,0),1,COUNTIF('Schedule Raw Data'!$A$3:$A$2477,$A20),2),V$1),0)</f>
        <v>0</v>
      </c>
      <c r="W20">
        <f>IFERROR(COUNTIF(OFFSET('Schedule Raw Data'!$A$2,MATCH($A20,'Schedule Raw Data'!$A$3:$A$2477,0),1,COUNTIF('Schedule Raw Data'!$A$3:$A$2477,$A20),2),W$1),0)</f>
        <v>0</v>
      </c>
      <c r="X20">
        <f>IFERROR(COUNTIF(OFFSET('Schedule Raw Data'!$A$2,MATCH($A20,'Schedule Raw Data'!$A$3:$A$2477,0),1,COUNTIF('Schedule Raw Data'!$A$3:$A$2477,$A20),2),X$1),0)</f>
        <v>0</v>
      </c>
      <c r="Y20">
        <f>IFERROR(COUNTIF(OFFSET('Schedule Raw Data'!$A$2,MATCH($A20,'Schedule Raw Data'!$A$3:$A$2477,0),1,COUNTIF('Schedule Raw Data'!$A$3:$A$2477,$A20),2),Y$1),0)</f>
        <v>1</v>
      </c>
      <c r="Z20">
        <f>IFERROR(COUNTIF(OFFSET('Schedule Raw Data'!$A$2,MATCH($A20,'Schedule Raw Data'!$A$3:$A$2477,0),1,COUNTIF('Schedule Raw Data'!$A$3:$A$2477,$A20),2),Z$1),0)</f>
        <v>0</v>
      </c>
      <c r="AA20">
        <f>IFERROR(COUNTIF(OFFSET('Schedule Raw Data'!$A$2,MATCH($A20,'Schedule Raw Data'!$A$3:$A$2477,0),1,COUNTIF('Schedule Raw Data'!$A$3:$A$2477,$A20),2),AA$1),0)</f>
        <v>0</v>
      </c>
      <c r="AB20">
        <f>IFERROR(COUNTIF(OFFSET('Schedule Raw Data'!$A$2,MATCH($A20,'Schedule Raw Data'!$A$3:$A$2477,0),1,COUNTIF('Schedule Raw Data'!$A$3:$A$2477,$A20),2),AB$1),0)</f>
        <v>1</v>
      </c>
      <c r="AC20">
        <f>IFERROR(COUNTIF(OFFSET('Schedule Raw Data'!$A$2,MATCH($A20,'Schedule Raw Data'!$A$3:$A$2477,0),1,COUNTIF('Schedule Raw Data'!$A$3:$A$2477,$A20),2),AC$1),0)</f>
        <v>0</v>
      </c>
      <c r="AD20">
        <f>IFERROR(COUNTIF(OFFSET('Schedule Raw Data'!$A$2,MATCH($A20,'Schedule Raw Data'!$A$3:$A$2477,0),1,COUNTIF('Schedule Raw Data'!$A$3:$A$2477,$A20),2),AD$1),0)</f>
        <v>0</v>
      </c>
      <c r="AE20">
        <f>IFERROR(COUNTIF(OFFSET('Schedule Raw Data'!$A$2,MATCH($A20,'Schedule Raw Data'!$A$3:$A$2477,0),1,COUNTIF('Schedule Raw Data'!$A$3:$A$2477,$A20),2),AE$1),0)</f>
        <v>1</v>
      </c>
      <c r="AF20">
        <f>IFERROR(COUNTIF(OFFSET('Schedule Raw Data'!$A$2,MATCH($A20,'Schedule Raw Data'!$A$3:$A$2477,0),1,COUNTIF('Schedule Raw Data'!$A$3:$A$2477,$A20),2),AF$1),0)</f>
        <v>0</v>
      </c>
      <c r="AG20">
        <f t="shared" si="1"/>
        <v>7</v>
      </c>
    </row>
    <row r="21">
      <c r="A21" s="30">
        <f t="array" ref="A21">INDEX('Schedule Raw Data'!$A$3:$A$2477,MATCH(0,INDEX(COUNTIF($A$1:A20,'Schedule Raw Data'!$A$3:$A$2477),0,0),0))</f>
        <v>46335</v>
      </c>
      <c r="B21">
        <f t="shared" si="2"/>
        <v>4</v>
      </c>
      <c r="C21">
        <f>IFERROR(COUNTIF(OFFSET('Schedule Raw Data'!$A$2,MATCH($A21,'Schedule Raw Data'!$A$3:$A$2477,0),1,COUNTIF('Schedule Raw Data'!$A$3:$A$2477,$A21),2),C$1),0)</f>
        <v>1</v>
      </c>
      <c r="D21">
        <f>IFERROR(COUNTIF(OFFSET('Schedule Raw Data'!$A$2,MATCH($A21,'Schedule Raw Data'!$A$3:$A$2477,0),1,COUNTIF('Schedule Raw Data'!$A$3:$A$2477,$A21),2),D$1),0)</f>
        <v>0</v>
      </c>
      <c r="E21">
        <f>IFERROR(COUNTIF(OFFSET('Schedule Raw Data'!$A$2,MATCH($A21,'Schedule Raw Data'!$A$3:$A$2477,0),1,COUNTIF('Schedule Raw Data'!$A$3:$A$2477,$A21),2),E$1),0)</f>
        <v>0</v>
      </c>
      <c r="F21">
        <f>IFERROR(COUNTIF(OFFSET('Schedule Raw Data'!$A$2,MATCH($A21,'Schedule Raw Data'!$A$3:$A$2477,0),1,COUNTIF('Schedule Raw Data'!$A$3:$A$2477,$A21),2),F$1),0)</f>
        <v>1</v>
      </c>
      <c r="G21">
        <f>IFERROR(COUNTIF(OFFSET('Schedule Raw Data'!$A$2,MATCH($A21,'Schedule Raw Data'!$A$3:$A$2477,0),1,COUNTIF('Schedule Raw Data'!$A$3:$A$2477,$A21),2),G$1),0)</f>
        <v>0</v>
      </c>
      <c r="H21">
        <f>IFERROR(COUNTIF(OFFSET('Schedule Raw Data'!$A$2,MATCH($A21,'Schedule Raw Data'!$A$3:$A$2477,0),1,COUNTIF('Schedule Raw Data'!$A$3:$A$2477,$A21),2),H$1),0)</f>
        <v>1</v>
      </c>
      <c r="I21">
        <f>IFERROR(COUNTIF(OFFSET('Schedule Raw Data'!$A$2,MATCH($A21,'Schedule Raw Data'!$A$3:$A$2477,0),1,COUNTIF('Schedule Raw Data'!$A$3:$A$2477,$A21),2),I$1),0)</f>
        <v>1</v>
      </c>
      <c r="J21">
        <f>IFERROR(COUNTIF(OFFSET('Schedule Raw Data'!$A$2,MATCH($A21,'Schedule Raw Data'!$A$3:$A$2477,0),1,COUNTIF('Schedule Raw Data'!$A$3:$A$2477,$A21),2),J$1),0)</f>
        <v>1</v>
      </c>
      <c r="K21">
        <f>IFERROR(COUNTIF(OFFSET('Schedule Raw Data'!$A$2,MATCH($A21,'Schedule Raw Data'!$A$3:$A$2477,0),1,COUNTIF('Schedule Raw Data'!$A$3:$A$2477,$A21),2),K$1),0)</f>
        <v>1</v>
      </c>
      <c r="L21">
        <f>IFERROR(COUNTIF(OFFSET('Schedule Raw Data'!$A$2,MATCH($A21,'Schedule Raw Data'!$A$3:$A$2477,0),1,COUNTIF('Schedule Raw Data'!$A$3:$A$2477,$A21),2),L$1),0)</f>
        <v>1</v>
      </c>
      <c r="M21">
        <f>IFERROR(COUNTIF(OFFSET('Schedule Raw Data'!$A$2,MATCH($A21,'Schedule Raw Data'!$A$3:$A$2477,0),1,COUNTIF('Schedule Raw Data'!$A$3:$A$2477,$A21),2),M$1),0)</f>
        <v>1</v>
      </c>
      <c r="N21">
        <f>IFERROR(COUNTIF(OFFSET('Schedule Raw Data'!$A$2,MATCH($A21,'Schedule Raw Data'!$A$3:$A$2477,0),1,COUNTIF('Schedule Raw Data'!$A$3:$A$2477,$A21),2),N$1),0)</f>
        <v>1</v>
      </c>
      <c r="O21">
        <f>IFERROR(COUNTIF(OFFSET('Schedule Raw Data'!$A$2,MATCH($A21,'Schedule Raw Data'!$A$3:$A$2477,0),1,COUNTIF('Schedule Raw Data'!$A$3:$A$2477,$A21),2),O$1),0)</f>
        <v>0</v>
      </c>
      <c r="P21">
        <f>IFERROR(COUNTIF(OFFSET('Schedule Raw Data'!$A$2,MATCH($A21,'Schedule Raw Data'!$A$3:$A$2477,0),1,COUNTIF('Schedule Raw Data'!$A$3:$A$2477,$A21),2),P$1),0)</f>
        <v>1</v>
      </c>
      <c r="Q21">
        <f>IFERROR(COUNTIF(OFFSET('Schedule Raw Data'!$A$2,MATCH($A21,'Schedule Raw Data'!$A$3:$A$2477,0),1,COUNTIF('Schedule Raw Data'!$A$3:$A$2477,$A21),2),Q$1),0)</f>
        <v>1</v>
      </c>
      <c r="R21">
        <f>IFERROR(COUNTIF(OFFSET('Schedule Raw Data'!$A$2,MATCH($A21,'Schedule Raw Data'!$A$3:$A$2477,0),1,COUNTIF('Schedule Raw Data'!$A$3:$A$2477,$A21),2),R$1),0)</f>
        <v>0</v>
      </c>
      <c r="S21">
        <f>IFERROR(COUNTIF(OFFSET('Schedule Raw Data'!$A$2,MATCH($A21,'Schedule Raw Data'!$A$3:$A$2477,0),1,COUNTIF('Schedule Raw Data'!$A$3:$A$2477,$A21),2),S$1),0)</f>
        <v>0</v>
      </c>
      <c r="T21">
        <f>IFERROR(COUNTIF(OFFSET('Schedule Raw Data'!$A$2,MATCH($A21,'Schedule Raw Data'!$A$3:$A$2477,0),1,COUNTIF('Schedule Raw Data'!$A$3:$A$2477,$A21),2),T$1),0)</f>
        <v>0</v>
      </c>
      <c r="U21">
        <f>IFERROR(COUNTIF(OFFSET('Schedule Raw Data'!$A$2,MATCH($A21,'Schedule Raw Data'!$A$3:$A$2477,0),1,COUNTIF('Schedule Raw Data'!$A$3:$A$2477,$A21),2),U$1),0)</f>
        <v>1</v>
      </c>
      <c r="V21">
        <f>IFERROR(COUNTIF(OFFSET('Schedule Raw Data'!$A$2,MATCH($A21,'Schedule Raw Data'!$A$3:$A$2477,0),1,COUNTIF('Schedule Raw Data'!$A$3:$A$2477,$A21),2),V$1),0)</f>
        <v>0</v>
      </c>
      <c r="W21">
        <f>IFERROR(COUNTIF(OFFSET('Schedule Raw Data'!$A$2,MATCH($A21,'Schedule Raw Data'!$A$3:$A$2477,0),1,COUNTIF('Schedule Raw Data'!$A$3:$A$2477,$A21),2),W$1),0)</f>
        <v>0</v>
      </c>
      <c r="X21">
        <f>IFERROR(COUNTIF(OFFSET('Schedule Raw Data'!$A$2,MATCH($A21,'Schedule Raw Data'!$A$3:$A$2477,0),1,COUNTIF('Schedule Raw Data'!$A$3:$A$2477,$A21),2),X$1),0)</f>
        <v>0</v>
      </c>
      <c r="Y21">
        <f>IFERROR(COUNTIF(OFFSET('Schedule Raw Data'!$A$2,MATCH($A21,'Schedule Raw Data'!$A$3:$A$2477,0),1,COUNTIF('Schedule Raw Data'!$A$3:$A$2477,$A21),2),Y$1),0)</f>
        <v>0</v>
      </c>
      <c r="Z21">
        <f>IFERROR(COUNTIF(OFFSET('Schedule Raw Data'!$A$2,MATCH($A21,'Schedule Raw Data'!$A$3:$A$2477,0),1,COUNTIF('Schedule Raw Data'!$A$3:$A$2477,$A21),2),Z$1),0)</f>
        <v>1</v>
      </c>
      <c r="AA21">
        <f>IFERROR(COUNTIF(OFFSET('Schedule Raw Data'!$A$2,MATCH($A21,'Schedule Raw Data'!$A$3:$A$2477,0),1,COUNTIF('Schedule Raw Data'!$A$3:$A$2477,$A21),2),AA$1),0)</f>
        <v>0</v>
      </c>
      <c r="AB21">
        <f>IFERROR(COUNTIF(OFFSET('Schedule Raw Data'!$A$2,MATCH($A21,'Schedule Raw Data'!$A$3:$A$2477,0),1,COUNTIF('Schedule Raw Data'!$A$3:$A$2477,$A21),2),AB$1),0)</f>
        <v>0</v>
      </c>
      <c r="AC21">
        <f>IFERROR(COUNTIF(OFFSET('Schedule Raw Data'!$A$2,MATCH($A21,'Schedule Raw Data'!$A$3:$A$2477,0),1,COUNTIF('Schedule Raw Data'!$A$3:$A$2477,$A21),2),AC$1),0)</f>
        <v>1</v>
      </c>
      <c r="AD21">
        <f>IFERROR(COUNTIF(OFFSET('Schedule Raw Data'!$A$2,MATCH($A21,'Schedule Raw Data'!$A$3:$A$2477,0),1,COUNTIF('Schedule Raw Data'!$A$3:$A$2477,$A21),2),AD$1),0)</f>
        <v>1</v>
      </c>
      <c r="AE21">
        <f>IFERROR(COUNTIF(OFFSET('Schedule Raw Data'!$A$2,MATCH($A21,'Schedule Raw Data'!$A$3:$A$2477,0),1,COUNTIF('Schedule Raw Data'!$A$3:$A$2477,$A21),2),AE$1),0)</f>
        <v>0</v>
      </c>
      <c r="AF21">
        <f>IFERROR(COUNTIF(OFFSET('Schedule Raw Data'!$A$2,MATCH($A21,'Schedule Raw Data'!$A$3:$A$2477,0),1,COUNTIF('Schedule Raw Data'!$A$3:$A$2477,$A21),2),AF$1),0)</f>
        <v>1</v>
      </c>
      <c r="AG21">
        <f t="shared" si="1"/>
        <v>8</v>
      </c>
    </row>
    <row r="22">
      <c r="A22" s="30">
        <f t="array" ref="A22">INDEX('Schedule Raw Data'!$A$3:$A$2477,MATCH(0,INDEX(COUNTIF($A$1:A21,'Schedule Raw Data'!$A$3:$A$2477),0,0),0))</f>
        <v>46336</v>
      </c>
      <c r="B22">
        <f t="shared" si="2"/>
        <v>4</v>
      </c>
      <c r="C22">
        <f>IFERROR(COUNTIF(OFFSET('Schedule Raw Data'!$A$2,MATCH($A22,'Schedule Raw Data'!$A$3:$A$2477,0),1,COUNTIF('Schedule Raw Data'!$A$3:$A$2477,$A22),2),C$1),0)</f>
        <v>0</v>
      </c>
      <c r="D22">
        <f>IFERROR(COUNTIF(OFFSET('Schedule Raw Data'!$A$2,MATCH($A22,'Schedule Raw Data'!$A$3:$A$2477,0),1,COUNTIF('Schedule Raw Data'!$A$3:$A$2477,$A22),2),D$1),0)</f>
        <v>0</v>
      </c>
      <c r="E22">
        <f>IFERROR(COUNTIF(OFFSET('Schedule Raw Data'!$A$2,MATCH($A22,'Schedule Raw Data'!$A$3:$A$2477,0),1,COUNTIF('Schedule Raw Data'!$A$3:$A$2477,$A22),2),E$1),0)</f>
        <v>1</v>
      </c>
      <c r="F22">
        <f>IFERROR(COUNTIF(OFFSET('Schedule Raw Data'!$A$2,MATCH($A22,'Schedule Raw Data'!$A$3:$A$2477,0),1,COUNTIF('Schedule Raw Data'!$A$3:$A$2477,$A22),2),F$1),0)</f>
        <v>0</v>
      </c>
      <c r="G22">
        <f>IFERROR(COUNTIF(OFFSET('Schedule Raw Data'!$A$2,MATCH($A22,'Schedule Raw Data'!$A$3:$A$2477,0),1,COUNTIF('Schedule Raw Data'!$A$3:$A$2477,$A22),2),G$1),0)</f>
        <v>0</v>
      </c>
      <c r="H22">
        <f>IFERROR(COUNTIF(OFFSET('Schedule Raw Data'!$A$2,MATCH($A22,'Schedule Raw Data'!$A$3:$A$2477,0),1,COUNTIF('Schedule Raw Data'!$A$3:$A$2477,$A22),2),H$1),0)</f>
        <v>0</v>
      </c>
      <c r="I22">
        <f>IFERROR(COUNTIF(OFFSET('Schedule Raw Data'!$A$2,MATCH($A22,'Schedule Raw Data'!$A$3:$A$2477,0),1,COUNTIF('Schedule Raw Data'!$A$3:$A$2477,$A22),2),I$1),0)</f>
        <v>0</v>
      </c>
      <c r="J22">
        <f>IFERROR(COUNTIF(OFFSET('Schedule Raw Data'!$A$2,MATCH($A22,'Schedule Raw Data'!$A$3:$A$2477,0),1,COUNTIF('Schedule Raw Data'!$A$3:$A$2477,$A22),2),J$1),0)</f>
        <v>0</v>
      </c>
      <c r="K22">
        <f>IFERROR(COUNTIF(OFFSET('Schedule Raw Data'!$A$2,MATCH($A22,'Schedule Raw Data'!$A$3:$A$2477,0),1,COUNTIF('Schedule Raw Data'!$A$3:$A$2477,$A22),2),K$1),0)</f>
        <v>0</v>
      </c>
      <c r="L22">
        <f>IFERROR(COUNTIF(OFFSET('Schedule Raw Data'!$A$2,MATCH($A22,'Schedule Raw Data'!$A$3:$A$2477,0),1,COUNTIF('Schedule Raw Data'!$A$3:$A$2477,$A22),2),L$1),0)</f>
        <v>0</v>
      </c>
      <c r="M22">
        <f>IFERROR(COUNTIF(OFFSET('Schedule Raw Data'!$A$2,MATCH($A22,'Schedule Raw Data'!$A$3:$A$2477,0),1,COUNTIF('Schedule Raw Data'!$A$3:$A$2477,$A22),2),M$1),0)</f>
        <v>0</v>
      </c>
      <c r="N22">
        <f>IFERROR(COUNTIF(OFFSET('Schedule Raw Data'!$A$2,MATCH($A22,'Schedule Raw Data'!$A$3:$A$2477,0),1,COUNTIF('Schedule Raw Data'!$A$3:$A$2477,$A22),2),N$1),0)</f>
        <v>0</v>
      </c>
      <c r="O22">
        <f>IFERROR(COUNTIF(OFFSET('Schedule Raw Data'!$A$2,MATCH($A22,'Schedule Raw Data'!$A$3:$A$2477,0),1,COUNTIF('Schedule Raw Data'!$A$3:$A$2477,$A22),2),O$1),0)</f>
        <v>1</v>
      </c>
      <c r="P22">
        <f>IFERROR(COUNTIF(OFFSET('Schedule Raw Data'!$A$2,MATCH($A22,'Schedule Raw Data'!$A$3:$A$2477,0),1,COUNTIF('Schedule Raw Data'!$A$3:$A$2477,$A22),2),P$1),0)</f>
        <v>0</v>
      </c>
      <c r="Q22">
        <f>IFERROR(COUNTIF(OFFSET('Schedule Raw Data'!$A$2,MATCH($A22,'Schedule Raw Data'!$A$3:$A$2477,0),1,COUNTIF('Schedule Raw Data'!$A$3:$A$2477,$A22),2),Q$1),0)</f>
        <v>0</v>
      </c>
      <c r="R22">
        <f>IFERROR(COUNTIF(OFFSET('Schedule Raw Data'!$A$2,MATCH($A22,'Schedule Raw Data'!$A$3:$A$2477,0),1,COUNTIF('Schedule Raw Data'!$A$3:$A$2477,$A22),2),R$1),0)</f>
        <v>1</v>
      </c>
      <c r="S22">
        <f>IFERROR(COUNTIF(OFFSET('Schedule Raw Data'!$A$2,MATCH($A22,'Schedule Raw Data'!$A$3:$A$2477,0),1,COUNTIF('Schedule Raw Data'!$A$3:$A$2477,$A22),2),S$1),0)</f>
        <v>1</v>
      </c>
      <c r="T22">
        <f>IFERROR(COUNTIF(OFFSET('Schedule Raw Data'!$A$2,MATCH($A22,'Schedule Raw Data'!$A$3:$A$2477,0),1,COUNTIF('Schedule Raw Data'!$A$3:$A$2477,$A22),2),T$1),0)</f>
        <v>0</v>
      </c>
      <c r="U22">
        <f>IFERROR(COUNTIF(OFFSET('Schedule Raw Data'!$A$2,MATCH($A22,'Schedule Raw Data'!$A$3:$A$2477,0),1,COUNTIF('Schedule Raw Data'!$A$3:$A$2477,$A22),2),U$1),0)</f>
        <v>0</v>
      </c>
      <c r="V22">
        <f>IFERROR(COUNTIF(OFFSET('Schedule Raw Data'!$A$2,MATCH($A22,'Schedule Raw Data'!$A$3:$A$2477,0),1,COUNTIF('Schedule Raw Data'!$A$3:$A$2477,$A22),2),V$1),0)</f>
        <v>1</v>
      </c>
      <c r="W22">
        <f>IFERROR(COUNTIF(OFFSET('Schedule Raw Data'!$A$2,MATCH($A22,'Schedule Raw Data'!$A$3:$A$2477,0),1,COUNTIF('Schedule Raw Data'!$A$3:$A$2477,$A22),2),W$1),0)</f>
        <v>1</v>
      </c>
      <c r="X22">
        <f>IFERROR(COUNTIF(OFFSET('Schedule Raw Data'!$A$2,MATCH($A22,'Schedule Raw Data'!$A$3:$A$2477,0),1,COUNTIF('Schedule Raw Data'!$A$3:$A$2477,$A22),2),X$1),0)</f>
        <v>1</v>
      </c>
      <c r="Y22">
        <f>IFERROR(COUNTIF(OFFSET('Schedule Raw Data'!$A$2,MATCH($A22,'Schedule Raw Data'!$A$3:$A$2477,0),1,COUNTIF('Schedule Raw Data'!$A$3:$A$2477,$A22),2),Y$1),0)</f>
        <v>1</v>
      </c>
      <c r="Z22">
        <f>IFERROR(COUNTIF(OFFSET('Schedule Raw Data'!$A$2,MATCH($A22,'Schedule Raw Data'!$A$3:$A$2477,0),1,COUNTIF('Schedule Raw Data'!$A$3:$A$2477,$A22),2),Z$1),0)</f>
        <v>1</v>
      </c>
      <c r="AA22">
        <f>IFERROR(COUNTIF(OFFSET('Schedule Raw Data'!$A$2,MATCH($A22,'Schedule Raw Data'!$A$3:$A$2477,0),1,COUNTIF('Schedule Raw Data'!$A$3:$A$2477,$A22),2),AA$1),0)</f>
        <v>1</v>
      </c>
      <c r="AB22">
        <f>IFERROR(COUNTIF(OFFSET('Schedule Raw Data'!$A$2,MATCH($A22,'Schedule Raw Data'!$A$3:$A$2477,0),1,COUNTIF('Schedule Raw Data'!$A$3:$A$2477,$A22),2),AB$1),0)</f>
        <v>1</v>
      </c>
      <c r="AC22">
        <f>IFERROR(COUNTIF(OFFSET('Schedule Raw Data'!$A$2,MATCH($A22,'Schedule Raw Data'!$A$3:$A$2477,0),1,COUNTIF('Schedule Raw Data'!$A$3:$A$2477,$A22),2),AC$1),0)</f>
        <v>0</v>
      </c>
      <c r="AD22">
        <f>IFERROR(COUNTIF(OFFSET('Schedule Raw Data'!$A$2,MATCH($A22,'Schedule Raw Data'!$A$3:$A$2477,0),1,COUNTIF('Schedule Raw Data'!$A$3:$A$2477,$A22),2),AD$1),0)</f>
        <v>0</v>
      </c>
      <c r="AE22">
        <f>IFERROR(COUNTIF(OFFSET('Schedule Raw Data'!$A$2,MATCH($A22,'Schedule Raw Data'!$A$3:$A$2477,0),1,COUNTIF('Schedule Raw Data'!$A$3:$A$2477,$A22),2),AE$1),0)</f>
        <v>1</v>
      </c>
      <c r="AF22">
        <f>IFERROR(COUNTIF(OFFSET('Schedule Raw Data'!$A$2,MATCH($A22,'Schedule Raw Data'!$A$3:$A$2477,0),1,COUNTIF('Schedule Raw Data'!$A$3:$A$2477,$A22),2),AF$1),0)</f>
        <v>0</v>
      </c>
      <c r="AG22">
        <f t="shared" si="1"/>
        <v>6</v>
      </c>
    </row>
    <row r="23">
      <c r="A23" s="30">
        <f t="array" ref="A23">INDEX('Schedule Raw Data'!$A$3:$A$2477,MATCH(0,INDEX(COUNTIF($A$1:A22,'Schedule Raw Data'!$A$3:$A$2477),0,0),0))</f>
        <v>46337</v>
      </c>
      <c r="B23">
        <f t="shared" si="2"/>
        <v>4</v>
      </c>
      <c r="C23">
        <f>IFERROR(COUNTIF(OFFSET('Schedule Raw Data'!$A$2,MATCH($A23,'Schedule Raw Data'!$A$3:$A$2477,0),1,COUNTIF('Schedule Raw Data'!$A$3:$A$2477,$A23),2),C$1),0)</f>
        <v>0</v>
      </c>
      <c r="D23">
        <f>IFERROR(COUNTIF(OFFSET('Schedule Raw Data'!$A$2,MATCH($A23,'Schedule Raw Data'!$A$3:$A$2477,0),1,COUNTIF('Schedule Raw Data'!$A$3:$A$2477,$A23),2),D$1),0)</f>
        <v>1</v>
      </c>
      <c r="E23">
        <f>IFERROR(COUNTIF(OFFSET('Schedule Raw Data'!$A$2,MATCH($A23,'Schedule Raw Data'!$A$3:$A$2477,0),1,COUNTIF('Schedule Raw Data'!$A$3:$A$2477,$A23),2),E$1),0)</f>
        <v>1</v>
      </c>
      <c r="F23">
        <f>IFERROR(COUNTIF(OFFSET('Schedule Raw Data'!$A$2,MATCH($A23,'Schedule Raw Data'!$A$3:$A$2477,0),1,COUNTIF('Schedule Raw Data'!$A$3:$A$2477,$A23),2),F$1),0)</f>
        <v>0</v>
      </c>
      <c r="G23">
        <f>IFERROR(COUNTIF(OFFSET('Schedule Raw Data'!$A$2,MATCH($A23,'Schedule Raw Data'!$A$3:$A$2477,0),1,COUNTIF('Schedule Raw Data'!$A$3:$A$2477,$A23),2),G$1),0)</f>
        <v>1</v>
      </c>
      <c r="H23">
        <f>IFERROR(COUNTIF(OFFSET('Schedule Raw Data'!$A$2,MATCH($A23,'Schedule Raw Data'!$A$3:$A$2477,0),1,COUNTIF('Schedule Raw Data'!$A$3:$A$2477,$A23),2),H$1),0)</f>
        <v>1</v>
      </c>
      <c r="I23">
        <f>IFERROR(COUNTIF(OFFSET('Schedule Raw Data'!$A$2,MATCH($A23,'Schedule Raw Data'!$A$3:$A$2477,0),1,COUNTIF('Schedule Raw Data'!$A$3:$A$2477,$A23),2),I$1),0)</f>
        <v>0</v>
      </c>
      <c r="J23">
        <f>IFERROR(COUNTIF(OFFSET('Schedule Raw Data'!$A$2,MATCH($A23,'Schedule Raw Data'!$A$3:$A$2477,0),1,COUNTIF('Schedule Raw Data'!$A$3:$A$2477,$A23),2),J$1),0)</f>
        <v>1</v>
      </c>
      <c r="K23">
        <f>IFERROR(COUNTIF(OFFSET('Schedule Raw Data'!$A$2,MATCH($A23,'Schedule Raw Data'!$A$3:$A$2477,0),1,COUNTIF('Schedule Raw Data'!$A$3:$A$2477,$A23),2),K$1),0)</f>
        <v>0</v>
      </c>
      <c r="L23">
        <f>IFERROR(COUNTIF(OFFSET('Schedule Raw Data'!$A$2,MATCH($A23,'Schedule Raw Data'!$A$3:$A$2477,0),1,COUNTIF('Schedule Raw Data'!$A$3:$A$2477,$A23),2),L$1),0)</f>
        <v>1</v>
      </c>
      <c r="M23">
        <f>IFERROR(COUNTIF(OFFSET('Schedule Raw Data'!$A$2,MATCH($A23,'Schedule Raw Data'!$A$3:$A$2477,0),1,COUNTIF('Schedule Raw Data'!$A$3:$A$2477,$A23),2),M$1),0)</f>
        <v>1</v>
      </c>
      <c r="N23">
        <f>IFERROR(COUNTIF(OFFSET('Schedule Raw Data'!$A$2,MATCH($A23,'Schedule Raw Data'!$A$3:$A$2477,0),1,COUNTIF('Schedule Raw Data'!$A$3:$A$2477,$A23),2),N$1),0)</f>
        <v>1</v>
      </c>
      <c r="O23">
        <f>IFERROR(COUNTIF(OFFSET('Schedule Raw Data'!$A$2,MATCH($A23,'Schedule Raw Data'!$A$3:$A$2477,0),1,COUNTIF('Schedule Raw Data'!$A$3:$A$2477,$A23),2),O$1),0)</f>
        <v>0</v>
      </c>
      <c r="P23">
        <f>IFERROR(COUNTIF(OFFSET('Schedule Raw Data'!$A$2,MATCH($A23,'Schedule Raw Data'!$A$3:$A$2477,0),1,COUNTIF('Schedule Raw Data'!$A$3:$A$2477,$A23),2),P$1),0)</f>
        <v>1</v>
      </c>
      <c r="Q23">
        <f>IFERROR(COUNTIF(OFFSET('Schedule Raw Data'!$A$2,MATCH($A23,'Schedule Raw Data'!$A$3:$A$2477,0),1,COUNTIF('Schedule Raw Data'!$A$3:$A$2477,$A23),2),Q$1),0)</f>
        <v>1</v>
      </c>
      <c r="R23">
        <f>IFERROR(COUNTIF(OFFSET('Schedule Raw Data'!$A$2,MATCH($A23,'Schedule Raw Data'!$A$3:$A$2477,0),1,COUNTIF('Schedule Raw Data'!$A$3:$A$2477,$A23),2),R$1),0)</f>
        <v>0</v>
      </c>
      <c r="S23">
        <f>IFERROR(COUNTIF(OFFSET('Schedule Raw Data'!$A$2,MATCH($A23,'Schedule Raw Data'!$A$3:$A$2477,0),1,COUNTIF('Schedule Raw Data'!$A$3:$A$2477,$A23),2),S$1),0)</f>
        <v>1</v>
      </c>
      <c r="T23">
        <f>IFERROR(COUNTIF(OFFSET('Schedule Raw Data'!$A$2,MATCH($A23,'Schedule Raw Data'!$A$3:$A$2477,0),1,COUNTIF('Schedule Raw Data'!$A$3:$A$2477,$A23),2),T$1),0)</f>
        <v>0</v>
      </c>
      <c r="U23">
        <f>IFERROR(COUNTIF(OFFSET('Schedule Raw Data'!$A$2,MATCH($A23,'Schedule Raw Data'!$A$3:$A$2477,0),1,COUNTIF('Schedule Raw Data'!$A$3:$A$2477,$A23),2),U$1),0)</f>
        <v>1</v>
      </c>
      <c r="V23">
        <f>IFERROR(COUNTIF(OFFSET('Schedule Raw Data'!$A$2,MATCH($A23,'Schedule Raw Data'!$A$3:$A$2477,0),1,COUNTIF('Schedule Raw Data'!$A$3:$A$2477,$A23),2),V$1),0)</f>
        <v>1</v>
      </c>
      <c r="W23">
        <f>IFERROR(COUNTIF(OFFSET('Schedule Raw Data'!$A$2,MATCH($A23,'Schedule Raw Data'!$A$3:$A$2477,0),1,COUNTIF('Schedule Raw Data'!$A$3:$A$2477,$A23),2),W$1),0)</f>
        <v>1</v>
      </c>
      <c r="X23">
        <f>IFERROR(COUNTIF(OFFSET('Schedule Raw Data'!$A$2,MATCH($A23,'Schedule Raw Data'!$A$3:$A$2477,0),1,COUNTIF('Schedule Raw Data'!$A$3:$A$2477,$A23),2),X$1),0)</f>
        <v>1</v>
      </c>
      <c r="Y23">
        <f>IFERROR(COUNTIF(OFFSET('Schedule Raw Data'!$A$2,MATCH($A23,'Schedule Raw Data'!$A$3:$A$2477,0),1,COUNTIF('Schedule Raw Data'!$A$3:$A$2477,$A23),2),Y$1),0)</f>
        <v>0</v>
      </c>
      <c r="Z23">
        <f>IFERROR(COUNTIF(OFFSET('Schedule Raw Data'!$A$2,MATCH($A23,'Schedule Raw Data'!$A$3:$A$2477,0),1,COUNTIF('Schedule Raw Data'!$A$3:$A$2477,$A23),2),Z$1),0)</f>
        <v>0</v>
      </c>
      <c r="AA23">
        <f>IFERROR(COUNTIF(OFFSET('Schedule Raw Data'!$A$2,MATCH($A23,'Schedule Raw Data'!$A$3:$A$2477,0),1,COUNTIF('Schedule Raw Data'!$A$3:$A$2477,$A23),2),AA$1),0)</f>
        <v>1</v>
      </c>
      <c r="AB23">
        <f>IFERROR(COUNTIF(OFFSET('Schedule Raw Data'!$A$2,MATCH($A23,'Schedule Raw Data'!$A$3:$A$2477,0),1,COUNTIF('Schedule Raw Data'!$A$3:$A$2477,$A23),2),AB$1),0)</f>
        <v>0</v>
      </c>
      <c r="AC23">
        <f>IFERROR(COUNTIF(OFFSET('Schedule Raw Data'!$A$2,MATCH($A23,'Schedule Raw Data'!$A$3:$A$2477,0),1,COUNTIF('Schedule Raw Data'!$A$3:$A$2477,$A23),2),AC$1),0)</f>
        <v>1</v>
      </c>
      <c r="AD23">
        <f>IFERROR(COUNTIF(OFFSET('Schedule Raw Data'!$A$2,MATCH($A23,'Schedule Raw Data'!$A$3:$A$2477,0),1,COUNTIF('Schedule Raw Data'!$A$3:$A$2477,$A23),2),AD$1),0)</f>
        <v>1</v>
      </c>
      <c r="AE23">
        <f>IFERROR(COUNTIF(OFFSET('Schedule Raw Data'!$A$2,MATCH($A23,'Schedule Raw Data'!$A$3:$A$2477,0),1,COUNTIF('Schedule Raw Data'!$A$3:$A$2477,$A23),2),AE$1),0)</f>
        <v>1</v>
      </c>
      <c r="AF23">
        <f>IFERROR(COUNTIF(OFFSET('Schedule Raw Data'!$A$2,MATCH($A23,'Schedule Raw Data'!$A$3:$A$2477,0),1,COUNTIF('Schedule Raw Data'!$A$3:$A$2477,$A23),2),AF$1),0)</f>
        <v>1</v>
      </c>
      <c r="AG23">
        <f t="shared" si="1"/>
        <v>10</v>
      </c>
    </row>
    <row r="24">
      <c r="A24" s="30">
        <f t="array" ref="A24">INDEX('Schedule Raw Data'!$A$3:$A$2477,MATCH(0,INDEX(COUNTIF($A$1:A23,'Schedule Raw Data'!$A$3:$A$2477),0,0),0))</f>
        <v>46338</v>
      </c>
      <c r="B24">
        <f t="shared" si="2"/>
        <v>4</v>
      </c>
      <c r="C24">
        <f>IFERROR(COUNTIF(OFFSET('Schedule Raw Data'!$A$2,MATCH($A24,'Schedule Raw Data'!$A$3:$A$2477,0),1,COUNTIF('Schedule Raw Data'!$A$3:$A$2477,$A24),2),C$1),0)</f>
        <v>0</v>
      </c>
      <c r="D24">
        <f>IFERROR(COUNTIF(OFFSET('Schedule Raw Data'!$A$2,MATCH($A24,'Schedule Raw Data'!$A$3:$A$2477,0),1,COUNTIF('Schedule Raw Data'!$A$3:$A$2477,$A24),2),D$1),0)</f>
        <v>0</v>
      </c>
      <c r="E24">
        <f>IFERROR(COUNTIF(OFFSET('Schedule Raw Data'!$A$2,MATCH($A24,'Schedule Raw Data'!$A$3:$A$2477,0),1,COUNTIF('Schedule Raw Data'!$A$3:$A$2477,$A24),2),E$1),0)</f>
        <v>0</v>
      </c>
      <c r="F24">
        <f>IFERROR(COUNTIF(OFFSET('Schedule Raw Data'!$A$2,MATCH($A24,'Schedule Raw Data'!$A$3:$A$2477,0),1,COUNTIF('Schedule Raw Data'!$A$3:$A$2477,$A24),2),F$1),0)</f>
        <v>1</v>
      </c>
      <c r="G24">
        <f>IFERROR(COUNTIF(OFFSET('Schedule Raw Data'!$A$2,MATCH($A24,'Schedule Raw Data'!$A$3:$A$2477,0),1,COUNTIF('Schedule Raw Data'!$A$3:$A$2477,$A24),2),G$1),0)</f>
        <v>0</v>
      </c>
      <c r="H24">
        <f>IFERROR(COUNTIF(OFFSET('Schedule Raw Data'!$A$2,MATCH($A24,'Schedule Raw Data'!$A$3:$A$2477,0),1,COUNTIF('Schedule Raw Data'!$A$3:$A$2477,$A24),2),H$1),0)</f>
        <v>0</v>
      </c>
      <c r="I24">
        <f>IFERROR(COUNTIF(OFFSET('Schedule Raw Data'!$A$2,MATCH($A24,'Schedule Raw Data'!$A$3:$A$2477,0),1,COUNTIF('Schedule Raw Data'!$A$3:$A$2477,$A24),2),I$1),0)</f>
        <v>1</v>
      </c>
      <c r="J24">
        <f>IFERROR(COUNTIF(OFFSET('Schedule Raw Data'!$A$2,MATCH($A24,'Schedule Raw Data'!$A$3:$A$2477,0),1,COUNTIF('Schedule Raw Data'!$A$3:$A$2477,$A24),2),J$1),0)</f>
        <v>0</v>
      </c>
      <c r="K24">
        <f>IFERROR(COUNTIF(OFFSET('Schedule Raw Data'!$A$2,MATCH($A24,'Schedule Raw Data'!$A$3:$A$2477,0),1,COUNTIF('Schedule Raw Data'!$A$3:$A$2477,$A24),2),K$1),0)</f>
        <v>1</v>
      </c>
      <c r="L24">
        <f>IFERROR(COUNTIF(OFFSET('Schedule Raw Data'!$A$2,MATCH($A24,'Schedule Raw Data'!$A$3:$A$2477,0),1,COUNTIF('Schedule Raw Data'!$A$3:$A$2477,$A24),2),L$1),0)</f>
        <v>0</v>
      </c>
      <c r="M24">
        <f>IFERROR(COUNTIF(OFFSET('Schedule Raw Data'!$A$2,MATCH($A24,'Schedule Raw Data'!$A$3:$A$2477,0),1,COUNTIF('Schedule Raw Data'!$A$3:$A$2477,$A24),2),M$1),0)</f>
        <v>0</v>
      </c>
      <c r="N24">
        <f>IFERROR(COUNTIF(OFFSET('Schedule Raw Data'!$A$2,MATCH($A24,'Schedule Raw Data'!$A$3:$A$2477,0),1,COUNTIF('Schedule Raw Data'!$A$3:$A$2477,$A24),2),N$1),0)</f>
        <v>0</v>
      </c>
      <c r="O24">
        <f>IFERROR(COUNTIF(OFFSET('Schedule Raw Data'!$A$2,MATCH($A24,'Schedule Raw Data'!$A$3:$A$2477,0),1,COUNTIF('Schedule Raw Data'!$A$3:$A$2477,$A24),2),O$1),0)</f>
        <v>0</v>
      </c>
      <c r="P24">
        <f>IFERROR(COUNTIF(OFFSET('Schedule Raw Data'!$A$2,MATCH($A24,'Schedule Raw Data'!$A$3:$A$2477,0),1,COUNTIF('Schedule Raw Data'!$A$3:$A$2477,$A24),2),P$1),0)</f>
        <v>0</v>
      </c>
      <c r="Q24">
        <f>IFERROR(COUNTIF(OFFSET('Schedule Raw Data'!$A$2,MATCH($A24,'Schedule Raw Data'!$A$3:$A$2477,0),1,COUNTIF('Schedule Raw Data'!$A$3:$A$2477,$A24),2),Q$1),0)</f>
        <v>0</v>
      </c>
      <c r="R24">
        <f>IFERROR(COUNTIF(OFFSET('Schedule Raw Data'!$A$2,MATCH($A24,'Schedule Raw Data'!$A$3:$A$2477,0),1,COUNTIF('Schedule Raw Data'!$A$3:$A$2477,$A24),2),R$1),0)</f>
        <v>0</v>
      </c>
      <c r="S24">
        <f>IFERROR(COUNTIF(OFFSET('Schedule Raw Data'!$A$2,MATCH($A24,'Schedule Raw Data'!$A$3:$A$2477,0),1,COUNTIF('Schedule Raw Data'!$A$3:$A$2477,$A24),2),S$1),0)</f>
        <v>0</v>
      </c>
      <c r="T24">
        <f>IFERROR(COUNTIF(OFFSET('Schedule Raw Data'!$A$2,MATCH($A24,'Schedule Raw Data'!$A$3:$A$2477,0),1,COUNTIF('Schedule Raw Data'!$A$3:$A$2477,$A24),2),T$1),0)</f>
        <v>1</v>
      </c>
      <c r="U24">
        <f>IFERROR(COUNTIF(OFFSET('Schedule Raw Data'!$A$2,MATCH($A24,'Schedule Raw Data'!$A$3:$A$2477,0),1,COUNTIF('Schedule Raw Data'!$A$3:$A$2477,$A24),2),U$1),0)</f>
        <v>0</v>
      </c>
      <c r="V24">
        <f>IFERROR(COUNTIF(OFFSET('Schedule Raw Data'!$A$2,MATCH($A24,'Schedule Raw Data'!$A$3:$A$2477,0),1,COUNTIF('Schedule Raw Data'!$A$3:$A$2477,$A24),2),V$1),0)</f>
        <v>0</v>
      </c>
      <c r="W24">
        <f>IFERROR(COUNTIF(OFFSET('Schedule Raw Data'!$A$2,MATCH($A24,'Schedule Raw Data'!$A$3:$A$2477,0),1,COUNTIF('Schedule Raw Data'!$A$3:$A$2477,$A24),2),W$1),0)</f>
        <v>0</v>
      </c>
      <c r="X24">
        <f>IFERROR(COUNTIF(OFFSET('Schedule Raw Data'!$A$2,MATCH($A24,'Schedule Raw Data'!$A$3:$A$2477,0),1,COUNTIF('Schedule Raw Data'!$A$3:$A$2477,$A24),2),X$1),0)</f>
        <v>0</v>
      </c>
      <c r="Y24">
        <f>IFERROR(COUNTIF(OFFSET('Schedule Raw Data'!$A$2,MATCH($A24,'Schedule Raw Data'!$A$3:$A$2477,0),1,COUNTIF('Schedule Raw Data'!$A$3:$A$2477,$A24),2),Y$1),0)</f>
        <v>1</v>
      </c>
      <c r="Z24">
        <f>IFERROR(COUNTIF(OFFSET('Schedule Raw Data'!$A$2,MATCH($A24,'Schedule Raw Data'!$A$3:$A$2477,0),1,COUNTIF('Schedule Raw Data'!$A$3:$A$2477,$A24),2),Z$1),0)</f>
        <v>1</v>
      </c>
      <c r="AA24">
        <f>IFERROR(COUNTIF(OFFSET('Schedule Raw Data'!$A$2,MATCH($A24,'Schedule Raw Data'!$A$3:$A$2477,0),1,COUNTIF('Schedule Raw Data'!$A$3:$A$2477,$A24),2),AA$1),0)</f>
        <v>0</v>
      </c>
      <c r="AB24">
        <f>IFERROR(COUNTIF(OFFSET('Schedule Raw Data'!$A$2,MATCH($A24,'Schedule Raw Data'!$A$3:$A$2477,0),1,COUNTIF('Schedule Raw Data'!$A$3:$A$2477,$A24),2),AB$1),0)</f>
        <v>0</v>
      </c>
      <c r="AC24">
        <f>IFERROR(COUNTIF(OFFSET('Schedule Raw Data'!$A$2,MATCH($A24,'Schedule Raw Data'!$A$3:$A$2477,0),1,COUNTIF('Schedule Raw Data'!$A$3:$A$2477,$A24),2),AC$1),0)</f>
        <v>0</v>
      </c>
      <c r="AD24">
        <f>IFERROR(COUNTIF(OFFSET('Schedule Raw Data'!$A$2,MATCH($A24,'Schedule Raw Data'!$A$3:$A$2477,0),1,COUNTIF('Schedule Raw Data'!$A$3:$A$2477,$A24),2),AD$1),0)</f>
        <v>1</v>
      </c>
      <c r="AE24">
        <f>IFERROR(COUNTIF(OFFSET('Schedule Raw Data'!$A$2,MATCH($A24,'Schedule Raw Data'!$A$3:$A$2477,0),1,COUNTIF('Schedule Raw Data'!$A$3:$A$2477,$A24),2),AE$1),0)</f>
        <v>0</v>
      </c>
      <c r="AF24">
        <f>IFERROR(COUNTIF(OFFSET('Schedule Raw Data'!$A$2,MATCH($A24,'Schedule Raw Data'!$A$3:$A$2477,0),1,COUNTIF('Schedule Raw Data'!$A$3:$A$2477,$A24),2),AF$1),0)</f>
        <v>1</v>
      </c>
      <c r="AG24">
        <f t="shared" si="1"/>
        <v>4</v>
      </c>
    </row>
    <row r="25">
      <c r="A25" s="30">
        <f t="array" ref="A25">INDEX('Schedule Raw Data'!$A$3:$A$2477,MATCH(0,INDEX(COUNTIF($A$1:A24,'Schedule Raw Data'!$A$3:$A$2477),0,0),0))</f>
        <v>46339</v>
      </c>
      <c r="B25">
        <f t="shared" si="2"/>
        <v>4</v>
      </c>
      <c r="C25">
        <f>IFERROR(COUNTIF(OFFSET('Schedule Raw Data'!$A$2,MATCH($A25,'Schedule Raw Data'!$A$3:$A$2477,0),1,COUNTIF('Schedule Raw Data'!$A$3:$A$2477,$A25),2),C$1),0)</f>
        <v>1</v>
      </c>
      <c r="D25">
        <f>IFERROR(COUNTIF(OFFSET('Schedule Raw Data'!$A$2,MATCH($A25,'Schedule Raw Data'!$A$3:$A$2477,0),1,COUNTIF('Schedule Raw Data'!$A$3:$A$2477,$A25),2),D$1),0)</f>
        <v>0</v>
      </c>
      <c r="E25">
        <f>IFERROR(COUNTIF(OFFSET('Schedule Raw Data'!$A$2,MATCH($A25,'Schedule Raw Data'!$A$3:$A$2477,0),1,COUNTIF('Schedule Raw Data'!$A$3:$A$2477,$A25),2),E$1),0)</f>
        <v>0</v>
      </c>
      <c r="F25">
        <f>IFERROR(COUNTIF(OFFSET('Schedule Raw Data'!$A$2,MATCH($A25,'Schedule Raw Data'!$A$3:$A$2477,0),1,COUNTIF('Schedule Raw Data'!$A$3:$A$2477,$A25),2),F$1),0)</f>
        <v>0</v>
      </c>
      <c r="G25">
        <f>IFERROR(COUNTIF(OFFSET('Schedule Raw Data'!$A$2,MATCH($A25,'Schedule Raw Data'!$A$3:$A$2477,0),1,COUNTIF('Schedule Raw Data'!$A$3:$A$2477,$A25),2),G$1),0)</f>
        <v>1</v>
      </c>
      <c r="H25">
        <f>IFERROR(COUNTIF(OFFSET('Schedule Raw Data'!$A$2,MATCH($A25,'Schedule Raw Data'!$A$3:$A$2477,0),1,COUNTIF('Schedule Raw Data'!$A$3:$A$2477,$A25),2),H$1),0)</f>
        <v>1</v>
      </c>
      <c r="I25">
        <f>IFERROR(COUNTIF(OFFSET('Schedule Raw Data'!$A$2,MATCH($A25,'Schedule Raw Data'!$A$3:$A$2477,0),1,COUNTIF('Schedule Raw Data'!$A$3:$A$2477,$A25),2),I$1),0)</f>
        <v>0</v>
      </c>
      <c r="J25">
        <f>IFERROR(COUNTIF(OFFSET('Schedule Raw Data'!$A$2,MATCH($A25,'Schedule Raw Data'!$A$3:$A$2477,0),1,COUNTIF('Schedule Raw Data'!$A$3:$A$2477,$A25),2),J$1),0)</f>
        <v>0</v>
      </c>
      <c r="K25">
        <f>IFERROR(COUNTIF(OFFSET('Schedule Raw Data'!$A$2,MATCH($A25,'Schedule Raw Data'!$A$3:$A$2477,0),1,COUNTIF('Schedule Raw Data'!$A$3:$A$2477,$A25),2),K$1),0)</f>
        <v>0</v>
      </c>
      <c r="L25">
        <f>IFERROR(COUNTIF(OFFSET('Schedule Raw Data'!$A$2,MATCH($A25,'Schedule Raw Data'!$A$3:$A$2477,0),1,COUNTIF('Schedule Raw Data'!$A$3:$A$2477,$A25),2),L$1),0)</f>
        <v>1</v>
      </c>
      <c r="M25">
        <f>IFERROR(COUNTIF(OFFSET('Schedule Raw Data'!$A$2,MATCH($A25,'Schedule Raw Data'!$A$3:$A$2477,0),1,COUNTIF('Schedule Raw Data'!$A$3:$A$2477,$A25),2),M$1),0)</f>
        <v>1</v>
      </c>
      <c r="N25">
        <f>IFERROR(COUNTIF(OFFSET('Schedule Raw Data'!$A$2,MATCH($A25,'Schedule Raw Data'!$A$3:$A$2477,0),1,COUNTIF('Schedule Raw Data'!$A$3:$A$2477,$A25),2),N$1),0)</f>
        <v>1</v>
      </c>
      <c r="O25">
        <f>IFERROR(COUNTIF(OFFSET('Schedule Raw Data'!$A$2,MATCH($A25,'Schedule Raw Data'!$A$3:$A$2477,0),1,COUNTIF('Schedule Raw Data'!$A$3:$A$2477,$A25),2),O$1),0)</f>
        <v>1</v>
      </c>
      <c r="P25">
        <f>IFERROR(COUNTIF(OFFSET('Schedule Raw Data'!$A$2,MATCH($A25,'Schedule Raw Data'!$A$3:$A$2477,0),1,COUNTIF('Schedule Raw Data'!$A$3:$A$2477,$A25),2),P$1),0)</f>
        <v>0</v>
      </c>
      <c r="Q25">
        <f>IFERROR(COUNTIF(OFFSET('Schedule Raw Data'!$A$2,MATCH($A25,'Schedule Raw Data'!$A$3:$A$2477,0),1,COUNTIF('Schedule Raw Data'!$A$3:$A$2477,$A25),2),Q$1),0)</f>
        <v>1</v>
      </c>
      <c r="R25">
        <f>IFERROR(COUNTIF(OFFSET('Schedule Raw Data'!$A$2,MATCH($A25,'Schedule Raw Data'!$A$3:$A$2477,0),1,COUNTIF('Schedule Raw Data'!$A$3:$A$2477,$A25),2),R$1),0)</f>
        <v>1</v>
      </c>
      <c r="S25">
        <f>IFERROR(COUNTIF(OFFSET('Schedule Raw Data'!$A$2,MATCH($A25,'Schedule Raw Data'!$A$3:$A$2477,0),1,COUNTIF('Schedule Raw Data'!$A$3:$A$2477,$A25),2),S$1),0)</f>
        <v>1</v>
      </c>
      <c r="T25">
        <f>IFERROR(COUNTIF(OFFSET('Schedule Raw Data'!$A$2,MATCH($A25,'Schedule Raw Data'!$A$3:$A$2477,0),1,COUNTIF('Schedule Raw Data'!$A$3:$A$2477,$A25),2),T$1),0)</f>
        <v>0</v>
      </c>
      <c r="U25">
        <f>IFERROR(COUNTIF(OFFSET('Schedule Raw Data'!$A$2,MATCH($A25,'Schedule Raw Data'!$A$3:$A$2477,0),1,COUNTIF('Schedule Raw Data'!$A$3:$A$2477,$A25),2),U$1),0)</f>
        <v>1</v>
      </c>
      <c r="V25">
        <f>IFERROR(COUNTIF(OFFSET('Schedule Raw Data'!$A$2,MATCH($A25,'Schedule Raw Data'!$A$3:$A$2477,0),1,COUNTIF('Schedule Raw Data'!$A$3:$A$2477,$A25),2),V$1),0)</f>
        <v>1</v>
      </c>
      <c r="W25">
        <f>IFERROR(COUNTIF(OFFSET('Schedule Raw Data'!$A$2,MATCH($A25,'Schedule Raw Data'!$A$3:$A$2477,0),1,COUNTIF('Schedule Raw Data'!$A$3:$A$2477,$A25),2),W$1),0)</f>
        <v>1</v>
      </c>
      <c r="X25">
        <f>IFERROR(COUNTIF(OFFSET('Schedule Raw Data'!$A$2,MATCH($A25,'Schedule Raw Data'!$A$3:$A$2477,0),1,COUNTIF('Schedule Raw Data'!$A$3:$A$2477,$A25),2),X$1),0)</f>
        <v>1</v>
      </c>
      <c r="Y25">
        <f>IFERROR(COUNTIF(OFFSET('Schedule Raw Data'!$A$2,MATCH($A25,'Schedule Raw Data'!$A$3:$A$2477,0),1,COUNTIF('Schedule Raw Data'!$A$3:$A$2477,$A25),2),Y$1),0)</f>
        <v>0</v>
      </c>
      <c r="Z25">
        <f>IFERROR(COUNTIF(OFFSET('Schedule Raw Data'!$A$2,MATCH($A25,'Schedule Raw Data'!$A$3:$A$2477,0),1,COUNTIF('Schedule Raw Data'!$A$3:$A$2477,$A25),2),Z$1),0)</f>
        <v>0</v>
      </c>
      <c r="AA25">
        <f>IFERROR(COUNTIF(OFFSET('Schedule Raw Data'!$A$2,MATCH($A25,'Schedule Raw Data'!$A$3:$A$2477,0),1,COUNTIF('Schedule Raw Data'!$A$3:$A$2477,$A25),2),AA$1),0)</f>
        <v>1</v>
      </c>
      <c r="AB25">
        <f>IFERROR(COUNTIF(OFFSET('Schedule Raw Data'!$A$2,MATCH($A25,'Schedule Raw Data'!$A$3:$A$2477,0),1,COUNTIF('Schedule Raw Data'!$A$3:$A$2477,$A25),2),AB$1),0)</f>
        <v>1</v>
      </c>
      <c r="AC25">
        <f>IFERROR(COUNTIF(OFFSET('Schedule Raw Data'!$A$2,MATCH($A25,'Schedule Raw Data'!$A$3:$A$2477,0),1,COUNTIF('Schedule Raw Data'!$A$3:$A$2477,$A25),2),AC$1),0)</f>
        <v>1</v>
      </c>
      <c r="AD25">
        <f>IFERROR(COUNTIF(OFFSET('Schedule Raw Data'!$A$2,MATCH($A25,'Schedule Raw Data'!$A$3:$A$2477,0),1,COUNTIF('Schedule Raw Data'!$A$3:$A$2477,$A25),2),AD$1),0)</f>
        <v>0</v>
      </c>
      <c r="AE25">
        <f>IFERROR(COUNTIF(OFFSET('Schedule Raw Data'!$A$2,MATCH($A25,'Schedule Raw Data'!$A$3:$A$2477,0),1,COUNTIF('Schedule Raw Data'!$A$3:$A$2477,$A25),2),AE$1),0)</f>
        <v>1</v>
      </c>
      <c r="AF25">
        <f>IFERROR(COUNTIF(OFFSET('Schedule Raw Data'!$A$2,MATCH($A25,'Schedule Raw Data'!$A$3:$A$2477,0),1,COUNTIF('Schedule Raw Data'!$A$3:$A$2477,$A25),2),AF$1),0)</f>
        <v>0</v>
      </c>
      <c r="AG25">
        <f t="shared" si="1"/>
        <v>9</v>
      </c>
    </row>
    <row r="26">
      <c r="A26" s="30">
        <f t="array" ref="A26">INDEX('Schedule Raw Data'!$A$3:$A$2477,MATCH(0,INDEX(COUNTIF($A$1:A25,'Schedule Raw Data'!$A$3:$A$2477),0,0),0))</f>
        <v>46340</v>
      </c>
      <c r="B26">
        <f t="shared" si="2"/>
        <v>4</v>
      </c>
      <c r="C26">
        <f>IFERROR(COUNTIF(OFFSET('Schedule Raw Data'!$A$2,MATCH($A26,'Schedule Raw Data'!$A$3:$A$2477,0),1,COUNTIF('Schedule Raw Data'!$A$3:$A$2477,$A26),2),C$1),0)</f>
        <v>0</v>
      </c>
      <c r="D26">
        <f>IFERROR(COUNTIF(OFFSET('Schedule Raw Data'!$A$2,MATCH($A26,'Schedule Raw Data'!$A$3:$A$2477,0),1,COUNTIF('Schedule Raw Data'!$A$3:$A$2477,$A26),2),D$1),0)</f>
        <v>1</v>
      </c>
      <c r="E26">
        <f>IFERROR(COUNTIF(OFFSET('Schedule Raw Data'!$A$2,MATCH($A26,'Schedule Raw Data'!$A$3:$A$2477,0),1,COUNTIF('Schedule Raw Data'!$A$3:$A$2477,$A26),2),E$1),0)</f>
        <v>0</v>
      </c>
      <c r="F26">
        <f>IFERROR(COUNTIF(OFFSET('Schedule Raw Data'!$A$2,MATCH($A26,'Schedule Raw Data'!$A$3:$A$2477,0),1,COUNTIF('Schedule Raw Data'!$A$3:$A$2477,$A26),2),F$1),0)</f>
        <v>0</v>
      </c>
      <c r="G26">
        <f>IFERROR(COUNTIF(OFFSET('Schedule Raw Data'!$A$2,MATCH($A26,'Schedule Raw Data'!$A$3:$A$2477,0),1,COUNTIF('Schedule Raw Data'!$A$3:$A$2477,$A26),2),G$1),0)</f>
        <v>1</v>
      </c>
      <c r="H26">
        <f>IFERROR(COUNTIF(OFFSET('Schedule Raw Data'!$A$2,MATCH($A26,'Schedule Raw Data'!$A$3:$A$2477,0),1,COUNTIF('Schedule Raw Data'!$A$3:$A$2477,$A26),2),H$1),0)</f>
        <v>1</v>
      </c>
      <c r="I26">
        <f>IFERROR(COUNTIF(OFFSET('Schedule Raw Data'!$A$2,MATCH($A26,'Schedule Raw Data'!$A$3:$A$2477,0),1,COUNTIF('Schedule Raw Data'!$A$3:$A$2477,$A26),2),I$1),0)</f>
        <v>1</v>
      </c>
      <c r="J26">
        <f>IFERROR(COUNTIF(OFFSET('Schedule Raw Data'!$A$2,MATCH($A26,'Schedule Raw Data'!$A$3:$A$2477,0),1,COUNTIF('Schedule Raw Data'!$A$3:$A$2477,$A26),2),J$1),0)</f>
        <v>1</v>
      </c>
      <c r="K26">
        <f>IFERROR(COUNTIF(OFFSET('Schedule Raw Data'!$A$2,MATCH($A26,'Schedule Raw Data'!$A$3:$A$2477,0),1,COUNTIF('Schedule Raw Data'!$A$3:$A$2477,$A26),2),K$1),0)</f>
        <v>1</v>
      </c>
      <c r="L26">
        <f>IFERROR(COUNTIF(OFFSET('Schedule Raw Data'!$A$2,MATCH($A26,'Schedule Raw Data'!$A$3:$A$2477,0),1,COUNTIF('Schedule Raw Data'!$A$3:$A$2477,$A26),2),L$1),0)</f>
        <v>0</v>
      </c>
      <c r="M26">
        <f>IFERROR(COUNTIF(OFFSET('Schedule Raw Data'!$A$2,MATCH($A26,'Schedule Raw Data'!$A$3:$A$2477,0),1,COUNTIF('Schedule Raw Data'!$A$3:$A$2477,$A26),2),M$1),0)</f>
        <v>0</v>
      </c>
      <c r="N26">
        <f>IFERROR(COUNTIF(OFFSET('Schedule Raw Data'!$A$2,MATCH($A26,'Schedule Raw Data'!$A$3:$A$2477,0),1,COUNTIF('Schedule Raw Data'!$A$3:$A$2477,$A26),2),N$1),0)</f>
        <v>0</v>
      </c>
      <c r="O26">
        <f>IFERROR(COUNTIF(OFFSET('Schedule Raw Data'!$A$2,MATCH($A26,'Schedule Raw Data'!$A$3:$A$2477,0),1,COUNTIF('Schedule Raw Data'!$A$3:$A$2477,$A26),2),O$1),0)</f>
        <v>0</v>
      </c>
      <c r="P26">
        <f>IFERROR(COUNTIF(OFFSET('Schedule Raw Data'!$A$2,MATCH($A26,'Schedule Raw Data'!$A$3:$A$2477,0),1,COUNTIF('Schedule Raw Data'!$A$3:$A$2477,$A26),2),P$1),0)</f>
        <v>0</v>
      </c>
      <c r="Q26">
        <f>IFERROR(COUNTIF(OFFSET('Schedule Raw Data'!$A$2,MATCH($A26,'Schedule Raw Data'!$A$3:$A$2477,0),1,COUNTIF('Schedule Raw Data'!$A$3:$A$2477,$A26),2),Q$1),0)</f>
        <v>1</v>
      </c>
      <c r="R26">
        <f>IFERROR(COUNTIF(OFFSET('Schedule Raw Data'!$A$2,MATCH($A26,'Schedule Raw Data'!$A$3:$A$2477,0),1,COUNTIF('Schedule Raw Data'!$A$3:$A$2477,$A26),2),R$1),0)</f>
        <v>1</v>
      </c>
      <c r="S26">
        <f>IFERROR(COUNTIF(OFFSET('Schedule Raw Data'!$A$2,MATCH($A26,'Schedule Raw Data'!$A$3:$A$2477,0),1,COUNTIF('Schedule Raw Data'!$A$3:$A$2477,$A26),2),S$1),0)</f>
        <v>0</v>
      </c>
      <c r="T26">
        <f>IFERROR(COUNTIF(OFFSET('Schedule Raw Data'!$A$2,MATCH($A26,'Schedule Raw Data'!$A$3:$A$2477,0),1,COUNTIF('Schedule Raw Data'!$A$3:$A$2477,$A26),2),T$1),0)</f>
        <v>1</v>
      </c>
      <c r="U26">
        <f>IFERROR(COUNTIF(OFFSET('Schedule Raw Data'!$A$2,MATCH($A26,'Schedule Raw Data'!$A$3:$A$2477,0),1,COUNTIF('Schedule Raw Data'!$A$3:$A$2477,$A26),2),U$1),0)</f>
        <v>1</v>
      </c>
      <c r="V26">
        <f>IFERROR(COUNTIF(OFFSET('Schedule Raw Data'!$A$2,MATCH($A26,'Schedule Raw Data'!$A$3:$A$2477,0),1,COUNTIF('Schedule Raw Data'!$A$3:$A$2477,$A26),2),V$1),0)</f>
        <v>0</v>
      </c>
      <c r="W26">
        <f>IFERROR(COUNTIF(OFFSET('Schedule Raw Data'!$A$2,MATCH($A26,'Schedule Raw Data'!$A$3:$A$2477,0),1,COUNTIF('Schedule Raw Data'!$A$3:$A$2477,$A26),2),W$1),0)</f>
        <v>0</v>
      </c>
      <c r="X26">
        <f>IFERROR(COUNTIF(OFFSET('Schedule Raw Data'!$A$2,MATCH($A26,'Schedule Raw Data'!$A$3:$A$2477,0),1,COUNTIF('Schedule Raw Data'!$A$3:$A$2477,$A26),2),X$1),0)</f>
        <v>0</v>
      </c>
      <c r="Y26">
        <f>IFERROR(COUNTIF(OFFSET('Schedule Raw Data'!$A$2,MATCH($A26,'Schedule Raw Data'!$A$3:$A$2477,0),1,COUNTIF('Schedule Raw Data'!$A$3:$A$2477,$A26),2),Y$1),0)</f>
        <v>0</v>
      </c>
      <c r="Z26">
        <f>IFERROR(COUNTIF(OFFSET('Schedule Raw Data'!$A$2,MATCH($A26,'Schedule Raw Data'!$A$3:$A$2477,0),1,COUNTIF('Schedule Raw Data'!$A$3:$A$2477,$A26),2),Z$1),0)</f>
        <v>0</v>
      </c>
      <c r="AA26">
        <f>IFERROR(COUNTIF(OFFSET('Schedule Raw Data'!$A$2,MATCH($A26,'Schedule Raw Data'!$A$3:$A$2477,0),1,COUNTIF('Schedule Raw Data'!$A$3:$A$2477,$A26),2),AA$1),0)</f>
        <v>0</v>
      </c>
      <c r="AB26">
        <f>IFERROR(COUNTIF(OFFSET('Schedule Raw Data'!$A$2,MATCH($A26,'Schedule Raw Data'!$A$3:$A$2477,0),1,COUNTIF('Schedule Raw Data'!$A$3:$A$2477,$A26),2),AB$1),0)</f>
        <v>0</v>
      </c>
      <c r="AC26">
        <f>IFERROR(COUNTIF(OFFSET('Schedule Raw Data'!$A$2,MATCH($A26,'Schedule Raw Data'!$A$3:$A$2477,0),1,COUNTIF('Schedule Raw Data'!$A$3:$A$2477,$A26),2),AC$1),0)</f>
        <v>0</v>
      </c>
      <c r="AD26">
        <f>IFERROR(COUNTIF(OFFSET('Schedule Raw Data'!$A$2,MATCH($A26,'Schedule Raw Data'!$A$3:$A$2477,0),1,COUNTIF('Schedule Raw Data'!$A$3:$A$2477,$A26),2),AD$1),0)</f>
        <v>0</v>
      </c>
      <c r="AE26">
        <f>IFERROR(COUNTIF(OFFSET('Schedule Raw Data'!$A$2,MATCH($A26,'Schedule Raw Data'!$A$3:$A$2477,0),1,COUNTIF('Schedule Raw Data'!$A$3:$A$2477,$A26),2),AE$1),0)</f>
        <v>0</v>
      </c>
      <c r="AF26">
        <f>IFERROR(COUNTIF(OFFSET('Schedule Raw Data'!$A$2,MATCH($A26,'Schedule Raw Data'!$A$3:$A$2477,0),1,COUNTIF('Schedule Raw Data'!$A$3:$A$2477,$A26),2),AF$1),0)</f>
        <v>0</v>
      </c>
      <c r="AG26">
        <f t="shared" si="1"/>
        <v>5</v>
      </c>
    </row>
    <row r="27">
      <c r="A27" s="30">
        <f t="array" ref="A27">INDEX('Schedule Raw Data'!$A$3:$A$2477,MATCH(0,INDEX(COUNTIF($A$1:A26,'Schedule Raw Data'!$A$3:$A$2477),0,0),0))</f>
        <v>46341</v>
      </c>
      <c r="B27">
        <f t="shared" si="2"/>
        <v>4</v>
      </c>
      <c r="C27">
        <f>IFERROR(COUNTIF(OFFSET('Schedule Raw Data'!$A$2,MATCH($A27,'Schedule Raw Data'!$A$3:$A$2477,0),1,COUNTIF('Schedule Raw Data'!$A$3:$A$2477,$A27),2),C$1),0)</f>
        <v>1</v>
      </c>
      <c r="D27">
        <f>IFERROR(COUNTIF(OFFSET('Schedule Raw Data'!$A$2,MATCH($A27,'Schedule Raw Data'!$A$3:$A$2477,0),1,COUNTIF('Schedule Raw Data'!$A$3:$A$2477,$A27),2),D$1),0)</f>
        <v>0</v>
      </c>
      <c r="E27">
        <f>IFERROR(COUNTIF(OFFSET('Schedule Raw Data'!$A$2,MATCH($A27,'Schedule Raw Data'!$A$3:$A$2477,0),1,COUNTIF('Schedule Raw Data'!$A$3:$A$2477,$A27),2),E$1),0)</f>
        <v>1</v>
      </c>
      <c r="F27">
        <f>IFERROR(COUNTIF(OFFSET('Schedule Raw Data'!$A$2,MATCH($A27,'Schedule Raw Data'!$A$3:$A$2477,0),1,COUNTIF('Schedule Raw Data'!$A$3:$A$2477,$A27),2),F$1),0)</f>
        <v>1</v>
      </c>
      <c r="G27">
        <f>IFERROR(COUNTIF(OFFSET('Schedule Raw Data'!$A$2,MATCH($A27,'Schedule Raw Data'!$A$3:$A$2477,0),1,COUNTIF('Schedule Raw Data'!$A$3:$A$2477,$A27),2),G$1),0)</f>
        <v>0</v>
      </c>
      <c r="H27">
        <f>IFERROR(COUNTIF(OFFSET('Schedule Raw Data'!$A$2,MATCH($A27,'Schedule Raw Data'!$A$3:$A$2477,0),1,COUNTIF('Schedule Raw Data'!$A$3:$A$2477,$A27),2),H$1),0)</f>
        <v>0</v>
      </c>
      <c r="I27">
        <f>IFERROR(COUNTIF(OFFSET('Schedule Raw Data'!$A$2,MATCH($A27,'Schedule Raw Data'!$A$3:$A$2477,0),1,COUNTIF('Schedule Raw Data'!$A$3:$A$2477,$A27),2),I$1),0)</f>
        <v>1</v>
      </c>
      <c r="J27">
        <f>IFERROR(COUNTIF(OFFSET('Schedule Raw Data'!$A$2,MATCH($A27,'Schedule Raw Data'!$A$3:$A$2477,0),1,COUNTIF('Schedule Raw Data'!$A$3:$A$2477,$A27),2),J$1),0)</f>
        <v>0</v>
      </c>
      <c r="K27">
        <f>IFERROR(COUNTIF(OFFSET('Schedule Raw Data'!$A$2,MATCH($A27,'Schedule Raw Data'!$A$3:$A$2477,0),1,COUNTIF('Schedule Raw Data'!$A$3:$A$2477,$A27),2),K$1),0)</f>
        <v>0</v>
      </c>
      <c r="L27">
        <f>IFERROR(COUNTIF(OFFSET('Schedule Raw Data'!$A$2,MATCH($A27,'Schedule Raw Data'!$A$3:$A$2477,0),1,COUNTIF('Schedule Raw Data'!$A$3:$A$2477,$A27),2),L$1),0)</f>
        <v>0</v>
      </c>
      <c r="M27">
        <f>IFERROR(COUNTIF(OFFSET('Schedule Raw Data'!$A$2,MATCH($A27,'Schedule Raw Data'!$A$3:$A$2477,0),1,COUNTIF('Schedule Raw Data'!$A$3:$A$2477,$A27),2),M$1),0)</f>
        <v>1</v>
      </c>
      <c r="N27">
        <f>IFERROR(COUNTIF(OFFSET('Schedule Raw Data'!$A$2,MATCH($A27,'Schedule Raw Data'!$A$3:$A$2477,0),1,COUNTIF('Schedule Raw Data'!$A$3:$A$2477,$A27),2),N$1),0)</f>
        <v>1</v>
      </c>
      <c r="O27">
        <f>IFERROR(COUNTIF(OFFSET('Schedule Raw Data'!$A$2,MATCH($A27,'Schedule Raw Data'!$A$3:$A$2477,0),1,COUNTIF('Schedule Raw Data'!$A$3:$A$2477,$A27),2),O$1),0)</f>
        <v>1</v>
      </c>
      <c r="P27">
        <f>IFERROR(COUNTIF(OFFSET('Schedule Raw Data'!$A$2,MATCH($A27,'Schedule Raw Data'!$A$3:$A$2477,0),1,COUNTIF('Schedule Raw Data'!$A$3:$A$2477,$A27),2),P$1),0)</f>
        <v>1</v>
      </c>
      <c r="Q27">
        <f>IFERROR(COUNTIF(OFFSET('Schedule Raw Data'!$A$2,MATCH($A27,'Schedule Raw Data'!$A$3:$A$2477,0),1,COUNTIF('Schedule Raw Data'!$A$3:$A$2477,$A27),2),Q$1),0)</f>
        <v>0</v>
      </c>
      <c r="R27">
        <f>IFERROR(COUNTIF(OFFSET('Schedule Raw Data'!$A$2,MATCH($A27,'Schedule Raw Data'!$A$3:$A$2477,0),1,COUNTIF('Schedule Raw Data'!$A$3:$A$2477,$A27),2),R$1),0)</f>
        <v>0</v>
      </c>
      <c r="S27">
        <f>IFERROR(COUNTIF(OFFSET('Schedule Raw Data'!$A$2,MATCH($A27,'Schedule Raw Data'!$A$3:$A$2477,0),1,COUNTIF('Schedule Raw Data'!$A$3:$A$2477,$A27),2),S$1),0)</f>
        <v>1</v>
      </c>
      <c r="T27">
        <f>IFERROR(COUNTIF(OFFSET('Schedule Raw Data'!$A$2,MATCH($A27,'Schedule Raw Data'!$A$3:$A$2477,0),1,COUNTIF('Schedule Raw Data'!$A$3:$A$2477,$A27),2),T$1),0)</f>
        <v>0</v>
      </c>
      <c r="U27">
        <f>IFERROR(COUNTIF(OFFSET('Schedule Raw Data'!$A$2,MATCH($A27,'Schedule Raw Data'!$A$3:$A$2477,0),1,COUNTIF('Schedule Raw Data'!$A$3:$A$2477,$A27),2),U$1),0)</f>
        <v>0</v>
      </c>
      <c r="V27">
        <f>IFERROR(COUNTIF(OFFSET('Schedule Raw Data'!$A$2,MATCH($A27,'Schedule Raw Data'!$A$3:$A$2477,0),1,COUNTIF('Schedule Raw Data'!$A$3:$A$2477,$A27),2),V$1),0)</f>
        <v>1</v>
      </c>
      <c r="W27">
        <f>IFERROR(COUNTIF(OFFSET('Schedule Raw Data'!$A$2,MATCH($A27,'Schedule Raw Data'!$A$3:$A$2477,0),1,COUNTIF('Schedule Raw Data'!$A$3:$A$2477,$A27),2),W$1),0)</f>
        <v>1</v>
      </c>
      <c r="X27">
        <f>IFERROR(COUNTIF(OFFSET('Schedule Raw Data'!$A$2,MATCH($A27,'Schedule Raw Data'!$A$3:$A$2477,0),1,COUNTIF('Schedule Raw Data'!$A$3:$A$2477,$A27),2),X$1),0)</f>
        <v>0</v>
      </c>
      <c r="Y27">
        <f>IFERROR(COUNTIF(OFFSET('Schedule Raw Data'!$A$2,MATCH($A27,'Schedule Raw Data'!$A$3:$A$2477,0),1,COUNTIF('Schedule Raw Data'!$A$3:$A$2477,$A27),2),Y$1),0)</f>
        <v>1</v>
      </c>
      <c r="Z27">
        <f>IFERROR(COUNTIF(OFFSET('Schedule Raw Data'!$A$2,MATCH($A27,'Schedule Raw Data'!$A$3:$A$2477,0),1,COUNTIF('Schedule Raw Data'!$A$3:$A$2477,$A27),2),Z$1),0)</f>
        <v>1</v>
      </c>
      <c r="AA27">
        <f>IFERROR(COUNTIF(OFFSET('Schedule Raw Data'!$A$2,MATCH($A27,'Schedule Raw Data'!$A$3:$A$2477,0),1,COUNTIF('Schedule Raw Data'!$A$3:$A$2477,$A27),2),AA$1),0)</f>
        <v>0</v>
      </c>
      <c r="AB27">
        <f>IFERROR(COUNTIF(OFFSET('Schedule Raw Data'!$A$2,MATCH($A27,'Schedule Raw Data'!$A$3:$A$2477,0),1,COUNTIF('Schedule Raw Data'!$A$3:$A$2477,$A27),2),AB$1),0)</f>
        <v>1</v>
      </c>
      <c r="AC27">
        <f>IFERROR(COUNTIF(OFFSET('Schedule Raw Data'!$A$2,MATCH($A27,'Schedule Raw Data'!$A$3:$A$2477,0),1,COUNTIF('Schedule Raw Data'!$A$3:$A$2477,$A27),2),AC$1),0)</f>
        <v>1</v>
      </c>
      <c r="AD27">
        <f>IFERROR(COUNTIF(OFFSET('Schedule Raw Data'!$A$2,MATCH($A27,'Schedule Raw Data'!$A$3:$A$2477,0),1,COUNTIF('Schedule Raw Data'!$A$3:$A$2477,$A27),2),AD$1),0)</f>
        <v>1</v>
      </c>
      <c r="AE27">
        <f>IFERROR(COUNTIF(OFFSET('Schedule Raw Data'!$A$2,MATCH($A27,'Schedule Raw Data'!$A$3:$A$2477,0),1,COUNTIF('Schedule Raw Data'!$A$3:$A$2477,$A27),2),AE$1),0)</f>
        <v>1</v>
      </c>
      <c r="AF27">
        <f>IFERROR(COUNTIF(OFFSET('Schedule Raw Data'!$A$2,MATCH($A27,'Schedule Raw Data'!$A$3:$A$2477,0),1,COUNTIF('Schedule Raw Data'!$A$3:$A$2477,$A27),2),AF$1),0)</f>
        <v>1</v>
      </c>
      <c r="AG27">
        <f t="shared" si="1"/>
        <v>9</v>
      </c>
    </row>
    <row r="28">
      <c r="A28" s="30">
        <f t="array" ref="A28">INDEX('Schedule Raw Data'!$A$3:$A$2477,MATCH(0,INDEX(COUNTIF($A$1:A27,'Schedule Raw Data'!$A$3:$A$2477),0,0),0))</f>
        <v>46342</v>
      </c>
      <c r="B28">
        <f t="shared" si="2"/>
        <v>5</v>
      </c>
      <c r="C28">
        <f>IFERROR(COUNTIF(OFFSET('Schedule Raw Data'!$A$2,MATCH($A28,'Schedule Raw Data'!$A$3:$A$2477,0),1,COUNTIF('Schedule Raw Data'!$A$3:$A$2477,$A28),2),C$1),0)</f>
        <v>0</v>
      </c>
      <c r="D28">
        <f>IFERROR(COUNTIF(OFFSET('Schedule Raw Data'!$A$2,MATCH($A28,'Schedule Raw Data'!$A$3:$A$2477,0),1,COUNTIF('Schedule Raw Data'!$A$3:$A$2477,$A28),2),D$1),0)</f>
        <v>1</v>
      </c>
      <c r="E28">
        <f>IFERROR(COUNTIF(OFFSET('Schedule Raw Data'!$A$2,MATCH($A28,'Schedule Raw Data'!$A$3:$A$2477,0),1,COUNTIF('Schedule Raw Data'!$A$3:$A$2477,$A28),2),E$1),0)</f>
        <v>1</v>
      </c>
      <c r="F28">
        <f>IFERROR(COUNTIF(OFFSET('Schedule Raw Data'!$A$2,MATCH($A28,'Schedule Raw Data'!$A$3:$A$2477,0),1,COUNTIF('Schedule Raw Data'!$A$3:$A$2477,$A28),2),F$1),0)</f>
        <v>0</v>
      </c>
      <c r="G28">
        <f>IFERROR(COUNTIF(OFFSET('Schedule Raw Data'!$A$2,MATCH($A28,'Schedule Raw Data'!$A$3:$A$2477,0),1,COUNTIF('Schedule Raw Data'!$A$3:$A$2477,$A28),2),G$1),0)</f>
        <v>1</v>
      </c>
      <c r="H28">
        <f>IFERROR(COUNTIF(OFFSET('Schedule Raw Data'!$A$2,MATCH($A28,'Schedule Raw Data'!$A$3:$A$2477,0),1,COUNTIF('Schedule Raw Data'!$A$3:$A$2477,$A28),2),H$1),0)</f>
        <v>1</v>
      </c>
      <c r="I28">
        <f>IFERROR(COUNTIF(OFFSET('Schedule Raw Data'!$A$2,MATCH($A28,'Schedule Raw Data'!$A$3:$A$2477,0),1,COUNTIF('Schedule Raw Data'!$A$3:$A$2477,$A28),2),I$1),0)</f>
        <v>0</v>
      </c>
      <c r="J28">
        <f>IFERROR(COUNTIF(OFFSET('Schedule Raw Data'!$A$2,MATCH($A28,'Schedule Raw Data'!$A$3:$A$2477,0),1,COUNTIF('Schedule Raw Data'!$A$3:$A$2477,$A28),2),J$1),0)</f>
        <v>1</v>
      </c>
      <c r="K28">
        <f>IFERROR(COUNTIF(OFFSET('Schedule Raw Data'!$A$2,MATCH($A28,'Schedule Raw Data'!$A$3:$A$2477,0),1,COUNTIF('Schedule Raw Data'!$A$3:$A$2477,$A28),2),K$1),0)</f>
        <v>0</v>
      </c>
      <c r="L28">
        <f>IFERROR(COUNTIF(OFFSET('Schedule Raw Data'!$A$2,MATCH($A28,'Schedule Raw Data'!$A$3:$A$2477,0),1,COUNTIF('Schedule Raw Data'!$A$3:$A$2477,$A28),2),L$1),0)</f>
        <v>1</v>
      </c>
      <c r="M28">
        <f>IFERROR(COUNTIF(OFFSET('Schedule Raw Data'!$A$2,MATCH($A28,'Schedule Raw Data'!$A$3:$A$2477,0),1,COUNTIF('Schedule Raw Data'!$A$3:$A$2477,$A28),2),M$1),0)</f>
        <v>1</v>
      </c>
      <c r="N28">
        <f>IFERROR(COUNTIF(OFFSET('Schedule Raw Data'!$A$2,MATCH($A28,'Schedule Raw Data'!$A$3:$A$2477,0),1,COUNTIF('Schedule Raw Data'!$A$3:$A$2477,$A28),2),N$1),0)</f>
        <v>0</v>
      </c>
      <c r="O28">
        <f>IFERROR(COUNTIF(OFFSET('Schedule Raw Data'!$A$2,MATCH($A28,'Schedule Raw Data'!$A$3:$A$2477,0),1,COUNTIF('Schedule Raw Data'!$A$3:$A$2477,$A28),2),O$1),0)</f>
        <v>0</v>
      </c>
      <c r="P28">
        <f>IFERROR(COUNTIF(OFFSET('Schedule Raw Data'!$A$2,MATCH($A28,'Schedule Raw Data'!$A$3:$A$2477,0),1,COUNTIF('Schedule Raw Data'!$A$3:$A$2477,$A28),2),P$1),0)</f>
        <v>0</v>
      </c>
      <c r="Q28">
        <f>IFERROR(COUNTIF(OFFSET('Schedule Raw Data'!$A$2,MATCH($A28,'Schedule Raw Data'!$A$3:$A$2477,0),1,COUNTIF('Schedule Raw Data'!$A$3:$A$2477,$A28),2),Q$1),0)</f>
        <v>1</v>
      </c>
      <c r="R28">
        <f>IFERROR(COUNTIF(OFFSET('Schedule Raw Data'!$A$2,MATCH($A28,'Schedule Raw Data'!$A$3:$A$2477,0),1,COUNTIF('Schedule Raw Data'!$A$3:$A$2477,$A28),2),R$1),0)</f>
        <v>1</v>
      </c>
      <c r="S28">
        <f>IFERROR(COUNTIF(OFFSET('Schedule Raw Data'!$A$2,MATCH($A28,'Schedule Raw Data'!$A$3:$A$2477,0),1,COUNTIF('Schedule Raw Data'!$A$3:$A$2477,$A28),2),S$1),0)</f>
        <v>0</v>
      </c>
      <c r="T28">
        <f>IFERROR(COUNTIF(OFFSET('Schedule Raw Data'!$A$2,MATCH($A28,'Schedule Raw Data'!$A$3:$A$2477,0),1,COUNTIF('Schedule Raw Data'!$A$3:$A$2477,$A28),2),T$1),0)</f>
        <v>1</v>
      </c>
      <c r="U28">
        <f>IFERROR(COUNTIF(OFFSET('Schedule Raw Data'!$A$2,MATCH($A28,'Schedule Raw Data'!$A$3:$A$2477,0),1,COUNTIF('Schedule Raw Data'!$A$3:$A$2477,$A28),2),U$1),0)</f>
        <v>1</v>
      </c>
      <c r="V28">
        <f>IFERROR(COUNTIF(OFFSET('Schedule Raw Data'!$A$2,MATCH($A28,'Schedule Raw Data'!$A$3:$A$2477,0),1,COUNTIF('Schedule Raw Data'!$A$3:$A$2477,$A28),2),V$1),0)</f>
        <v>0</v>
      </c>
      <c r="W28">
        <f>IFERROR(COUNTIF(OFFSET('Schedule Raw Data'!$A$2,MATCH($A28,'Schedule Raw Data'!$A$3:$A$2477,0),1,COUNTIF('Schedule Raw Data'!$A$3:$A$2477,$A28),2),W$1),0)</f>
        <v>0</v>
      </c>
      <c r="X28">
        <f>IFERROR(COUNTIF(OFFSET('Schedule Raw Data'!$A$2,MATCH($A28,'Schedule Raw Data'!$A$3:$A$2477,0),1,COUNTIF('Schedule Raw Data'!$A$3:$A$2477,$A28),2),X$1),0)</f>
        <v>1</v>
      </c>
      <c r="Y28">
        <f>IFERROR(COUNTIF(OFFSET('Schedule Raw Data'!$A$2,MATCH($A28,'Schedule Raw Data'!$A$3:$A$2477,0),1,COUNTIF('Schedule Raw Data'!$A$3:$A$2477,$A28),2),Y$1),0)</f>
        <v>1</v>
      </c>
      <c r="Z28">
        <f>IFERROR(COUNTIF(OFFSET('Schedule Raw Data'!$A$2,MATCH($A28,'Schedule Raw Data'!$A$3:$A$2477,0),1,COUNTIF('Schedule Raw Data'!$A$3:$A$2477,$A28),2),Z$1),0)</f>
        <v>1</v>
      </c>
      <c r="AA28">
        <f>IFERROR(COUNTIF(OFFSET('Schedule Raw Data'!$A$2,MATCH($A28,'Schedule Raw Data'!$A$3:$A$2477,0),1,COUNTIF('Schedule Raw Data'!$A$3:$A$2477,$A28),2),AA$1),0)</f>
        <v>1</v>
      </c>
      <c r="AB28">
        <f>IFERROR(COUNTIF(OFFSET('Schedule Raw Data'!$A$2,MATCH($A28,'Schedule Raw Data'!$A$3:$A$2477,0),1,COUNTIF('Schedule Raw Data'!$A$3:$A$2477,$A28),2),AB$1),0)</f>
        <v>0</v>
      </c>
      <c r="AC28">
        <f>IFERROR(COUNTIF(OFFSET('Schedule Raw Data'!$A$2,MATCH($A28,'Schedule Raw Data'!$A$3:$A$2477,0),1,COUNTIF('Schedule Raw Data'!$A$3:$A$2477,$A28),2),AC$1),0)</f>
        <v>0</v>
      </c>
      <c r="AD28">
        <f>IFERROR(COUNTIF(OFFSET('Schedule Raw Data'!$A$2,MATCH($A28,'Schedule Raw Data'!$A$3:$A$2477,0),1,COUNTIF('Schedule Raw Data'!$A$3:$A$2477,$A28),2),AD$1),0)</f>
        <v>0</v>
      </c>
      <c r="AE28">
        <f>IFERROR(COUNTIF(OFFSET('Schedule Raw Data'!$A$2,MATCH($A28,'Schedule Raw Data'!$A$3:$A$2477,0),1,COUNTIF('Schedule Raw Data'!$A$3:$A$2477,$A28),2),AE$1),0)</f>
        <v>0</v>
      </c>
      <c r="AF28">
        <f>IFERROR(COUNTIF(OFFSET('Schedule Raw Data'!$A$2,MATCH($A28,'Schedule Raw Data'!$A$3:$A$2477,0),1,COUNTIF('Schedule Raw Data'!$A$3:$A$2477,$A28),2),AF$1),0)</f>
        <v>1</v>
      </c>
      <c r="AG28">
        <f t="shared" si="1"/>
        <v>8</v>
      </c>
    </row>
    <row r="29">
      <c r="A29" s="30">
        <f t="array" ref="A29">INDEX('Schedule Raw Data'!$A$3:$A$2477,MATCH(0,INDEX(COUNTIF($A$1:A28,'Schedule Raw Data'!$A$3:$A$2477),0,0),0))</f>
        <v>46343</v>
      </c>
      <c r="B29">
        <f t="shared" si="2"/>
        <v>5</v>
      </c>
      <c r="C29">
        <f>IFERROR(COUNTIF(OFFSET('Schedule Raw Data'!$A$2,MATCH($A29,'Schedule Raw Data'!$A$3:$A$2477,0),1,COUNTIF('Schedule Raw Data'!$A$3:$A$2477,$A29),2),C$1),0)</f>
        <v>0</v>
      </c>
      <c r="D29">
        <f>IFERROR(COUNTIF(OFFSET('Schedule Raw Data'!$A$2,MATCH($A29,'Schedule Raw Data'!$A$3:$A$2477,0),1,COUNTIF('Schedule Raw Data'!$A$3:$A$2477,$A29),2),D$1),0)</f>
        <v>0</v>
      </c>
      <c r="E29">
        <f>IFERROR(COUNTIF(OFFSET('Schedule Raw Data'!$A$2,MATCH($A29,'Schedule Raw Data'!$A$3:$A$2477,0),1,COUNTIF('Schedule Raw Data'!$A$3:$A$2477,$A29),2),E$1),0)</f>
        <v>0</v>
      </c>
      <c r="F29">
        <f>IFERROR(COUNTIF(OFFSET('Schedule Raw Data'!$A$2,MATCH($A29,'Schedule Raw Data'!$A$3:$A$2477,0),1,COUNTIF('Schedule Raw Data'!$A$3:$A$2477,$A29),2),F$1),0)</f>
        <v>1</v>
      </c>
      <c r="G29">
        <f>IFERROR(COUNTIF(OFFSET('Schedule Raw Data'!$A$2,MATCH($A29,'Schedule Raw Data'!$A$3:$A$2477,0),1,COUNTIF('Schedule Raw Data'!$A$3:$A$2477,$A29),2),G$1),0)</f>
        <v>0</v>
      </c>
      <c r="H29">
        <f>IFERROR(COUNTIF(OFFSET('Schedule Raw Data'!$A$2,MATCH($A29,'Schedule Raw Data'!$A$3:$A$2477,0),1,COUNTIF('Schedule Raw Data'!$A$3:$A$2477,$A29),2),H$1),0)</f>
        <v>0</v>
      </c>
      <c r="I29">
        <f>IFERROR(COUNTIF(OFFSET('Schedule Raw Data'!$A$2,MATCH($A29,'Schedule Raw Data'!$A$3:$A$2477,0),1,COUNTIF('Schedule Raw Data'!$A$3:$A$2477,$A29),2),I$1),0)</f>
        <v>0</v>
      </c>
      <c r="J29">
        <f>IFERROR(COUNTIF(OFFSET('Schedule Raw Data'!$A$2,MATCH($A29,'Schedule Raw Data'!$A$3:$A$2477,0),1,COUNTIF('Schedule Raw Data'!$A$3:$A$2477,$A29),2),J$1),0)</f>
        <v>0</v>
      </c>
      <c r="K29">
        <f>IFERROR(COUNTIF(OFFSET('Schedule Raw Data'!$A$2,MATCH($A29,'Schedule Raw Data'!$A$3:$A$2477,0),1,COUNTIF('Schedule Raw Data'!$A$3:$A$2477,$A29),2),K$1),0)</f>
        <v>1</v>
      </c>
      <c r="L29">
        <f>IFERROR(COUNTIF(OFFSET('Schedule Raw Data'!$A$2,MATCH($A29,'Schedule Raw Data'!$A$3:$A$2477,0),1,COUNTIF('Schedule Raw Data'!$A$3:$A$2477,$A29),2),L$1),0)</f>
        <v>0</v>
      </c>
      <c r="M29">
        <f>IFERROR(COUNTIF(OFFSET('Schedule Raw Data'!$A$2,MATCH($A29,'Schedule Raw Data'!$A$3:$A$2477,0),1,COUNTIF('Schedule Raw Data'!$A$3:$A$2477,$A29),2),M$1),0)</f>
        <v>0</v>
      </c>
      <c r="N29">
        <f>IFERROR(COUNTIF(OFFSET('Schedule Raw Data'!$A$2,MATCH($A29,'Schedule Raw Data'!$A$3:$A$2477,0),1,COUNTIF('Schedule Raw Data'!$A$3:$A$2477,$A29),2),N$1),0)</f>
        <v>0</v>
      </c>
      <c r="O29">
        <f>IFERROR(COUNTIF(OFFSET('Schedule Raw Data'!$A$2,MATCH($A29,'Schedule Raw Data'!$A$3:$A$2477,0),1,COUNTIF('Schedule Raw Data'!$A$3:$A$2477,$A29),2),O$1),0)</f>
        <v>1</v>
      </c>
      <c r="P29">
        <f>IFERROR(COUNTIF(OFFSET('Schedule Raw Data'!$A$2,MATCH($A29,'Schedule Raw Data'!$A$3:$A$2477,0),1,COUNTIF('Schedule Raw Data'!$A$3:$A$2477,$A29),2),P$1),0)</f>
        <v>1</v>
      </c>
      <c r="Q29">
        <f>IFERROR(COUNTIF(OFFSET('Schedule Raw Data'!$A$2,MATCH($A29,'Schedule Raw Data'!$A$3:$A$2477,0),1,COUNTIF('Schedule Raw Data'!$A$3:$A$2477,$A29),2),Q$1),0)</f>
        <v>0</v>
      </c>
      <c r="R29">
        <f>IFERROR(COUNTIF(OFFSET('Schedule Raw Data'!$A$2,MATCH($A29,'Schedule Raw Data'!$A$3:$A$2477,0),1,COUNTIF('Schedule Raw Data'!$A$3:$A$2477,$A29),2),R$1),0)</f>
        <v>0</v>
      </c>
      <c r="S29">
        <f>IFERROR(COUNTIF(OFFSET('Schedule Raw Data'!$A$2,MATCH($A29,'Schedule Raw Data'!$A$3:$A$2477,0),1,COUNTIF('Schedule Raw Data'!$A$3:$A$2477,$A29),2),S$1),0)</f>
        <v>0</v>
      </c>
      <c r="T29">
        <f>IFERROR(COUNTIF(OFFSET('Schedule Raw Data'!$A$2,MATCH($A29,'Schedule Raw Data'!$A$3:$A$2477,0),1,COUNTIF('Schedule Raw Data'!$A$3:$A$2477,$A29),2),T$1),0)</f>
        <v>1</v>
      </c>
      <c r="U29">
        <f>IFERROR(COUNTIF(OFFSET('Schedule Raw Data'!$A$2,MATCH($A29,'Schedule Raw Data'!$A$3:$A$2477,0),1,COUNTIF('Schedule Raw Data'!$A$3:$A$2477,$A29),2),U$1),0)</f>
        <v>0</v>
      </c>
      <c r="V29">
        <f>IFERROR(COUNTIF(OFFSET('Schedule Raw Data'!$A$2,MATCH($A29,'Schedule Raw Data'!$A$3:$A$2477,0),1,COUNTIF('Schedule Raw Data'!$A$3:$A$2477,$A29),2),V$1),0)</f>
        <v>1</v>
      </c>
      <c r="W29">
        <f>IFERROR(COUNTIF(OFFSET('Schedule Raw Data'!$A$2,MATCH($A29,'Schedule Raw Data'!$A$3:$A$2477,0),1,COUNTIF('Schedule Raw Data'!$A$3:$A$2477,$A29),2),W$1),0)</f>
        <v>0</v>
      </c>
      <c r="X29">
        <f>IFERROR(COUNTIF(OFFSET('Schedule Raw Data'!$A$2,MATCH($A29,'Schedule Raw Data'!$A$3:$A$2477,0),1,COUNTIF('Schedule Raw Data'!$A$3:$A$2477,$A29),2),X$1),0)</f>
        <v>0</v>
      </c>
      <c r="Y29">
        <f>IFERROR(COUNTIF(OFFSET('Schedule Raw Data'!$A$2,MATCH($A29,'Schedule Raw Data'!$A$3:$A$2477,0),1,COUNTIF('Schedule Raw Data'!$A$3:$A$2477,$A29),2),Y$1),0)</f>
        <v>0</v>
      </c>
      <c r="Z29">
        <f>IFERROR(COUNTIF(OFFSET('Schedule Raw Data'!$A$2,MATCH($A29,'Schedule Raw Data'!$A$3:$A$2477,0),1,COUNTIF('Schedule Raw Data'!$A$3:$A$2477,$A29),2),Z$1),0)</f>
        <v>0</v>
      </c>
      <c r="AA29">
        <f>IFERROR(COUNTIF(OFFSET('Schedule Raw Data'!$A$2,MATCH($A29,'Schedule Raw Data'!$A$3:$A$2477,0),1,COUNTIF('Schedule Raw Data'!$A$3:$A$2477,$A29),2),AA$1),0)</f>
        <v>1</v>
      </c>
      <c r="AB29">
        <f>IFERROR(COUNTIF(OFFSET('Schedule Raw Data'!$A$2,MATCH($A29,'Schedule Raw Data'!$A$3:$A$2477,0),1,COUNTIF('Schedule Raw Data'!$A$3:$A$2477,$A29),2),AB$1),0)</f>
        <v>0</v>
      </c>
      <c r="AC29">
        <f>IFERROR(COUNTIF(OFFSET('Schedule Raw Data'!$A$2,MATCH($A29,'Schedule Raw Data'!$A$3:$A$2477,0),1,COUNTIF('Schedule Raw Data'!$A$3:$A$2477,$A29),2),AC$1),0)</f>
        <v>1</v>
      </c>
      <c r="AD29">
        <f>IFERROR(COUNTIF(OFFSET('Schedule Raw Data'!$A$2,MATCH($A29,'Schedule Raw Data'!$A$3:$A$2477,0),1,COUNTIF('Schedule Raw Data'!$A$3:$A$2477,$A29),2),AD$1),0)</f>
        <v>1</v>
      </c>
      <c r="AE29">
        <f>IFERROR(COUNTIF(OFFSET('Schedule Raw Data'!$A$2,MATCH($A29,'Schedule Raw Data'!$A$3:$A$2477,0),1,COUNTIF('Schedule Raw Data'!$A$3:$A$2477,$A29),2),AE$1),0)</f>
        <v>1</v>
      </c>
      <c r="AF29">
        <f>IFERROR(COUNTIF(OFFSET('Schedule Raw Data'!$A$2,MATCH($A29,'Schedule Raw Data'!$A$3:$A$2477,0),1,COUNTIF('Schedule Raw Data'!$A$3:$A$2477,$A29),2),AF$1),0)</f>
        <v>0</v>
      </c>
      <c r="AG29">
        <f t="shared" si="1"/>
        <v>5</v>
      </c>
    </row>
    <row r="30">
      <c r="A30" s="30">
        <f t="array" ref="A30">INDEX('Schedule Raw Data'!$A$3:$A$2477,MATCH(0,INDEX(COUNTIF($A$1:A29,'Schedule Raw Data'!$A$3:$A$2477),0,0),0))</f>
        <v>46344</v>
      </c>
      <c r="B30">
        <f t="shared" si="2"/>
        <v>5</v>
      </c>
      <c r="C30">
        <f>IFERROR(COUNTIF(OFFSET('Schedule Raw Data'!$A$2,MATCH($A30,'Schedule Raw Data'!$A$3:$A$2477,0),1,COUNTIF('Schedule Raw Data'!$A$3:$A$2477,$A30),2),C$1),0)</f>
        <v>1</v>
      </c>
      <c r="D30">
        <f>IFERROR(COUNTIF(OFFSET('Schedule Raw Data'!$A$2,MATCH($A30,'Schedule Raw Data'!$A$3:$A$2477,0),1,COUNTIF('Schedule Raw Data'!$A$3:$A$2477,$A30),2),D$1),0)</f>
        <v>1</v>
      </c>
      <c r="E30">
        <f>IFERROR(COUNTIF(OFFSET('Schedule Raw Data'!$A$2,MATCH($A30,'Schedule Raw Data'!$A$3:$A$2477,0),1,COUNTIF('Schedule Raw Data'!$A$3:$A$2477,$A30),2),E$1),0)</f>
        <v>1</v>
      </c>
      <c r="F30">
        <f>IFERROR(COUNTIF(OFFSET('Schedule Raw Data'!$A$2,MATCH($A30,'Schedule Raw Data'!$A$3:$A$2477,0),1,COUNTIF('Schedule Raw Data'!$A$3:$A$2477,$A30),2),F$1),0)</f>
        <v>0</v>
      </c>
      <c r="G30">
        <f>IFERROR(COUNTIF(OFFSET('Schedule Raw Data'!$A$2,MATCH($A30,'Schedule Raw Data'!$A$3:$A$2477,0),1,COUNTIF('Schedule Raw Data'!$A$3:$A$2477,$A30),2),G$1),0)</f>
        <v>1</v>
      </c>
      <c r="H30">
        <f>IFERROR(COUNTIF(OFFSET('Schedule Raw Data'!$A$2,MATCH($A30,'Schedule Raw Data'!$A$3:$A$2477,0),1,COUNTIF('Schedule Raw Data'!$A$3:$A$2477,$A30),2),H$1),0)</f>
        <v>1</v>
      </c>
      <c r="I30">
        <f>IFERROR(COUNTIF(OFFSET('Schedule Raw Data'!$A$2,MATCH($A30,'Schedule Raw Data'!$A$3:$A$2477,0),1,COUNTIF('Schedule Raw Data'!$A$3:$A$2477,$A30),2),I$1),0)</f>
        <v>1</v>
      </c>
      <c r="J30">
        <f>IFERROR(COUNTIF(OFFSET('Schedule Raw Data'!$A$2,MATCH($A30,'Schedule Raw Data'!$A$3:$A$2477,0),1,COUNTIF('Schedule Raw Data'!$A$3:$A$2477,$A30),2),J$1),0)</f>
        <v>1</v>
      </c>
      <c r="K30">
        <f>IFERROR(COUNTIF(OFFSET('Schedule Raw Data'!$A$2,MATCH($A30,'Schedule Raw Data'!$A$3:$A$2477,0),1,COUNTIF('Schedule Raw Data'!$A$3:$A$2477,$A30),2),K$1),0)</f>
        <v>1</v>
      </c>
      <c r="L30">
        <f>IFERROR(COUNTIF(OFFSET('Schedule Raw Data'!$A$2,MATCH($A30,'Schedule Raw Data'!$A$3:$A$2477,0),1,COUNTIF('Schedule Raw Data'!$A$3:$A$2477,$A30),2),L$1),0)</f>
        <v>1</v>
      </c>
      <c r="M30">
        <f>IFERROR(COUNTIF(OFFSET('Schedule Raw Data'!$A$2,MATCH($A30,'Schedule Raw Data'!$A$3:$A$2477,0),1,COUNTIF('Schedule Raw Data'!$A$3:$A$2477,$A30),2),M$1),0)</f>
        <v>1</v>
      </c>
      <c r="N30">
        <f>IFERROR(COUNTIF(OFFSET('Schedule Raw Data'!$A$2,MATCH($A30,'Schedule Raw Data'!$A$3:$A$2477,0),1,COUNTIF('Schedule Raw Data'!$A$3:$A$2477,$A30),2),N$1),0)</f>
        <v>1</v>
      </c>
      <c r="O30">
        <f>IFERROR(COUNTIF(OFFSET('Schedule Raw Data'!$A$2,MATCH($A30,'Schedule Raw Data'!$A$3:$A$2477,0),1,COUNTIF('Schedule Raw Data'!$A$3:$A$2477,$A30),2),O$1),0)</f>
        <v>0</v>
      </c>
      <c r="P30">
        <f>IFERROR(COUNTIF(OFFSET('Schedule Raw Data'!$A$2,MATCH($A30,'Schedule Raw Data'!$A$3:$A$2477,0),1,COUNTIF('Schedule Raw Data'!$A$3:$A$2477,$A30),2),P$1),0)</f>
        <v>1</v>
      </c>
      <c r="Q30">
        <f>IFERROR(COUNTIF(OFFSET('Schedule Raw Data'!$A$2,MATCH($A30,'Schedule Raw Data'!$A$3:$A$2477,0),1,COUNTIF('Schedule Raw Data'!$A$3:$A$2477,$A30),2),Q$1),0)</f>
        <v>1</v>
      </c>
      <c r="R30">
        <f>IFERROR(COUNTIF(OFFSET('Schedule Raw Data'!$A$2,MATCH($A30,'Schedule Raw Data'!$A$3:$A$2477,0),1,COUNTIF('Schedule Raw Data'!$A$3:$A$2477,$A30),2),R$1),0)</f>
        <v>1</v>
      </c>
      <c r="S30">
        <f>IFERROR(COUNTIF(OFFSET('Schedule Raw Data'!$A$2,MATCH($A30,'Schedule Raw Data'!$A$3:$A$2477,0),1,COUNTIF('Schedule Raw Data'!$A$3:$A$2477,$A30),2),S$1),0)</f>
        <v>1</v>
      </c>
      <c r="T30">
        <f>IFERROR(COUNTIF(OFFSET('Schedule Raw Data'!$A$2,MATCH($A30,'Schedule Raw Data'!$A$3:$A$2477,0),1,COUNTIF('Schedule Raw Data'!$A$3:$A$2477,$A30),2),T$1),0)</f>
        <v>0</v>
      </c>
      <c r="U30">
        <f>IFERROR(COUNTIF(OFFSET('Schedule Raw Data'!$A$2,MATCH($A30,'Schedule Raw Data'!$A$3:$A$2477,0),1,COUNTIF('Schedule Raw Data'!$A$3:$A$2477,$A30),2),U$1),0)</f>
        <v>1</v>
      </c>
      <c r="V30">
        <f>IFERROR(COUNTIF(OFFSET('Schedule Raw Data'!$A$2,MATCH($A30,'Schedule Raw Data'!$A$3:$A$2477,0),1,COUNTIF('Schedule Raw Data'!$A$3:$A$2477,$A30),2),V$1),0)</f>
        <v>0</v>
      </c>
      <c r="W30">
        <f>IFERROR(COUNTIF(OFFSET('Schedule Raw Data'!$A$2,MATCH($A30,'Schedule Raw Data'!$A$3:$A$2477,0),1,COUNTIF('Schedule Raw Data'!$A$3:$A$2477,$A30),2),W$1),0)</f>
        <v>1</v>
      </c>
      <c r="X30">
        <f>IFERROR(COUNTIF(OFFSET('Schedule Raw Data'!$A$2,MATCH($A30,'Schedule Raw Data'!$A$3:$A$2477,0),1,COUNTIF('Schedule Raw Data'!$A$3:$A$2477,$A30),2),X$1),0)</f>
        <v>1</v>
      </c>
      <c r="Y30">
        <f>IFERROR(COUNTIF(OFFSET('Schedule Raw Data'!$A$2,MATCH($A30,'Schedule Raw Data'!$A$3:$A$2477,0),1,COUNTIF('Schedule Raw Data'!$A$3:$A$2477,$A30),2),Y$1),0)</f>
        <v>1</v>
      </c>
      <c r="Z30">
        <f>IFERROR(COUNTIF(OFFSET('Schedule Raw Data'!$A$2,MATCH($A30,'Schedule Raw Data'!$A$3:$A$2477,0),1,COUNTIF('Schedule Raw Data'!$A$3:$A$2477,$A30),2),Z$1),0)</f>
        <v>1</v>
      </c>
      <c r="AA30">
        <f>IFERROR(COUNTIF(OFFSET('Schedule Raw Data'!$A$2,MATCH($A30,'Schedule Raw Data'!$A$3:$A$2477,0),1,COUNTIF('Schedule Raw Data'!$A$3:$A$2477,$A30),2),AA$1),0)</f>
        <v>0</v>
      </c>
      <c r="AB30">
        <f>IFERROR(COUNTIF(OFFSET('Schedule Raw Data'!$A$2,MATCH($A30,'Schedule Raw Data'!$A$3:$A$2477,0),1,COUNTIF('Schedule Raw Data'!$A$3:$A$2477,$A30),2),AB$1),0)</f>
        <v>1</v>
      </c>
      <c r="AC30">
        <f>IFERROR(COUNTIF(OFFSET('Schedule Raw Data'!$A$2,MATCH($A30,'Schedule Raw Data'!$A$3:$A$2477,0),1,COUNTIF('Schedule Raw Data'!$A$3:$A$2477,$A30),2),AC$1),0)</f>
        <v>0</v>
      </c>
      <c r="AD30">
        <f>IFERROR(COUNTIF(OFFSET('Schedule Raw Data'!$A$2,MATCH($A30,'Schedule Raw Data'!$A$3:$A$2477,0),1,COUNTIF('Schedule Raw Data'!$A$3:$A$2477,$A30),2),AD$1),0)</f>
        <v>1</v>
      </c>
      <c r="AE30">
        <f>IFERROR(COUNTIF(OFFSET('Schedule Raw Data'!$A$2,MATCH($A30,'Schedule Raw Data'!$A$3:$A$2477,0),1,COUNTIF('Schedule Raw Data'!$A$3:$A$2477,$A30),2),AE$1),0)</f>
        <v>1</v>
      </c>
      <c r="AF30">
        <f>IFERROR(COUNTIF(OFFSET('Schedule Raw Data'!$A$2,MATCH($A30,'Schedule Raw Data'!$A$3:$A$2477,0),1,COUNTIF('Schedule Raw Data'!$A$3:$A$2477,$A30),2),AF$1),0)</f>
        <v>1</v>
      </c>
      <c r="AG30">
        <f t="shared" si="1"/>
        <v>12</v>
      </c>
    </row>
    <row r="31">
      <c r="A31" s="30">
        <f t="array" ref="A31">INDEX('Schedule Raw Data'!$A$3:$A$2477,MATCH(0,INDEX(COUNTIF($A$1:A30,'Schedule Raw Data'!$A$3:$A$2477),0,0),0))</f>
        <v>46345</v>
      </c>
      <c r="B31">
        <f t="shared" si="2"/>
        <v>5</v>
      </c>
      <c r="C31">
        <f>IFERROR(COUNTIF(OFFSET('Schedule Raw Data'!$A$2,MATCH($A31,'Schedule Raw Data'!$A$3:$A$2477,0),1,COUNTIF('Schedule Raw Data'!$A$3:$A$2477,$A31),2),C$1),0)</f>
        <v>0</v>
      </c>
      <c r="D31">
        <f>IFERROR(COUNTIF(OFFSET('Schedule Raw Data'!$A$2,MATCH($A31,'Schedule Raw Data'!$A$3:$A$2477,0),1,COUNTIF('Schedule Raw Data'!$A$3:$A$2477,$A31),2),D$1),0)</f>
        <v>0</v>
      </c>
      <c r="E31">
        <f>IFERROR(COUNTIF(OFFSET('Schedule Raw Data'!$A$2,MATCH($A31,'Schedule Raw Data'!$A$3:$A$2477,0),1,COUNTIF('Schedule Raw Data'!$A$3:$A$2477,$A31),2),E$1),0)</f>
        <v>0</v>
      </c>
      <c r="F31">
        <f>IFERROR(COUNTIF(OFFSET('Schedule Raw Data'!$A$2,MATCH($A31,'Schedule Raw Data'!$A$3:$A$2477,0),1,COUNTIF('Schedule Raw Data'!$A$3:$A$2477,$A31),2),F$1),0)</f>
        <v>0</v>
      </c>
      <c r="G31">
        <f>IFERROR(COUNTIF(OFFSET('Schedule Raw Data'!$A$2,MATCH($A31,'Schedule Raw Data'!$A$3:$A$2477,0),1,COUNTIF('Schedule Raw Data'!$A$3:$A$2477,$A31),2),G$1),0)</f>
        <v>0</v>
      </c>
      <c r="H31">
        <f>IFERROR(COUNTIF(OFFSET('Schedule Raw Data'!$A$2,MATCH($A31,'Schedule Raw Data'!$A$3:$A$2477,0),1,COUNTIF('Schedule Raw Data'!$A$3:$A$2477,$A31),2),H$1),0)</f>
        <v>0</v>
      </c>
      <c r="I31">
        <f>IFERROR(COUNTIF(OFFSET('Schedule Raw Data'!$A$2,MATCH($A31,'Schedule Raw Data'!$A$3:$A$2477,0),1,COUNTIF('Schedule Raw Data'!$A$3:$A$2477,$A31),2),I$1),0)</f>
        <v>0</v>
      </c>
      <c r="J31">
        <f>IFERROR(COUNTIF(OFFSET('Schedule Raw Data'!$A$2,MATCH($A31,'Schedule Raw Data'!$A$3:$A$2477,0),1,COUNTIF('Schedule Raw Data'!$A$3:$A$2477,$A31),2),J$1),0)</f>
        <v>0</v>
      </c>
      <c r="K31">
        <f>IFERROR(COUNTIF(OFFSET('Schedule Raw Data'!$A$2,MATCH($A31,'Schedule Raw Data'!$A$3:$A$2477,0),1,COUNTIF('Schedule Raw Data'!$A$3:$A$2477,$A31),2),K$1),0)</f>
        <v>0</v>
      </c>
      <c r="L31">
        <f>IFERROR(COUNTIF(OFFSET('Schedule Raw Data'!$A$2,MATCH($A31,'Schedule Raw Data'!$A$3:$A$2477,0),1,COUNTIF('Schedule Raw Data'!$A$3:$A$2477,$A31),2),L$1),0)</f>
        <v>1</v>
      </c>
      <c r="M31">
        <f>IFERROR(COUNTIF(OFFSET('Schedule Raw Data'!$A$2,MATCH($A31,'Schedule Raw Data'!$A$3:$A$2477,0),1,COUNTIF('Schedule Raw Data'!$A$3:$A$2477,$A31),2),M$1),0)</f>
        <v>0</v>
      </c>
      <c r="N31">
        <f>IFERROR(COUNTIF(OFFSET('Schedule Raw Data'!$A$2,MATCH($A31,'Schedule Raw Data'!$A$3:$A$2477,0),1,COUNTIF('Schedule Raw Data'!$A$3:$A$2477,$A31),2),N$1),0)</f>
        <v>0</v>
      </c>
      <c r="O31">
        <f>IFERROR(COUNTIF(OFFSET('Schedule Raw Data'!$A$2,MATCH($A31,'Schedule Raw Data'!$A$3:$A$2477,0),1,COUNTIF('Schedule Raw Data'!$A$3:$A$2477,$A31),2),O$1),0)</f>
        <v>1</v>
      </c>
      <c r="P31">
        <f>IFERROR(COUNTIF(OFFSET('Schedule Raw Data'!$A$2,MATCH($A31,'Schedule Raw Data'!$A$3:$A$2477,0),1,COUNTIF('Schedule Raw Data'!$A$3:$A$2477,$A31),2),P$1),0)</f>
        <v>0</v>
      </c>
      <c r="Q31">
        <f>IFERROR(COUNTIF(OFFSET('Schedule Raw Data'!$A$2,MATCH($A31,'Schedule Raw Data'!$A$3:$A$2477,0),1,COUNTIF('Schedule Raw Data'!$A$3:$A$2477,$A31),2),Q$1),0)</f>
        <v>1</v>
      </c>
      <c r="R31">
        <f>IFERROR(COUNTIF(OFFSET('Schedule Raw Data'!$A$2,MATCH($A31,'Schedule Raw Data'!$A$3:$A$2477,0),1,COUNTIF('Schedule Raw Data'!$A$3:$A$2477,$A31),2),R$1),0)</f>
        <v>0</v>
      </c>
      <c r="S31">
        <f>IFERROR(COUNTIF(OFFSET('Schedule Raw Data'!$A$2,MATCH($A31,'Schedule Raw Data'!$A$3:$A$2477,0),1,COUNTIF('Schedule Raw Data'!$A$3:$A$2477,$A31),2),S$1),0)</f>
        <v>1</v>
      </c>
      <c r="T31">
        <f>IFERROR(COUNTIF(OFFSET('Schedule Raw Data'!$A$2,MATCH($A31,'Schedule Raw Data'!$A$3:$A$2477,0),1,COUNTIF('Schedule Raw Data'!$A$3:$A$2477,$A31),2),T$1),0)</f>
        <v>1</v>
      </c>
      <c r="U31">
        <f>IFERROR(COUNTIF(OFFSET('Schedule Raw Data'!$A$2,MATCH($A31,'Schedule Raw Data'!$A$3:$A$2477,0),1,COUNTIF('Schedule Raw Data'!$A$3:$A$2477,$A31),2),U$1),0)</f>
        <v>0</v>
      </c>
      <c r="V31">
        <f>IFERROR(COUNTIF(OFFSET('Schedule Raw Data'!$A$2,MATCH($A31,'Schedule Raw Data'!$A$3:$A$2477,0),1,COUNTIF('Schedule Raw Data'!$A$3:$A$2477,$A31),2),V$1),0)</f>
        <v>1</v>
      </c>
      <c r="W31">
        <f>IFERROR(COUNTIF(OFFSET('Schedule Raw Data'!$A$2,MATCH($A31,'Schedule Raw Data'!$A$3:$A$2477,0),1,COUNTIF('Schedule Raw Data'!$A$3:$A$2477,$A31),2),W$1),0)</f>
        <v>0</v>
      </c>
      <c r="X31">
        <f>IFERROR(COUNTIF(OFFSET('Schedule Raw Data'!$A$2,MATCH($A31,'Schedule Raw Data'!$A$3:$A$2477,0),1,COUNTIF('Schedule Raw Data'!$A$3:$A$2477,$A31),2),X$1),0)</f>
        <v>0</v>
      </c>
      <c r="Y31">
        <f>IFERROR(COUNTIF(OFFSET('Schedule Raw Data'!$A$2,MATCH($A31,'Schedule Raw Data'!$A$3:$A$2477,0),1,COUNTIF('Schedule Raw Data'!$A$3:$A$2477,$A31),2),Y$1),0)</f>
        <v>0</v>
      </c>
      <c r="Z31">
        <f>IFERROR(COUNTIF(OFFSET('Schedule Raw Data'!$A$2,MATCH($A31,'Schedule Raw Data'!$A$3:$A$2477,0),1,COUNTIF('Schedule Raw Data'!$A$3:$A$2477,$A31),2),Z$1),0)</f>
        <v>0</v>
      </c>
      <c r="AA31">
        <f>IFERROR(COUNTIF(OFFSET('Schedule Raw Data'!$A$2,MATCH($A31,'Schedule Raw Data'!$A$3:$A$2477,0),1,COUNTIF('Schedule Raw Data'!$A$3:$A$2477,$A31),2),AA$1),0)</f>
        <v>1</v>
      </c>
      <c r="AB31">
        <f>IFERROR(COUNTIF(OFFSET('Schedule Raw Data'!$A$2,MATCH($A31,'Schedule Raw Data'!$A$3:$A$2477,0),1,COUNTIF('Schedule Raw Data'!$A$3:$A$2477,$A31),2),AB$1),0)</f>
        <v>0</v>
      </c>
      <c r="AC31">
        <f>IFERROR(COUNTIF(OFFSET('Schedule Raw Data'!$A$2,MATCH($A31,'Schedule Raw Data'!$A$3:$A$2477,0),1,COUNTIF('Schedule Raw Data'!$A$3:$A$2477,$A31),2),AC$1),0)</f>
        <v>1</v>
      </c>
      <c r="AD31">
        <f>IFERROR(COUNTIF(OFFSET('Schedule Raw Data'!$A$2,MATCH($A31,'Schedule Raw Data'!$A$3:$A$2477,0),1,COUNTIF('Schedule Raw Data'!$A$3:$A$2477,$A31),2),AD$1),0)</f>
        <v>0</v>
      </c>
      <c r="AE31">
        <f>IFERROR(COUNTIF(OFFSET('Schedule Raw Data'!$A$2,MATCH($A31,'Schedule Raw Data'!$A$3:$A$2477,0),1,COUNTIF('Schedule Raw Data'!$A$3:$A$2477,$A31),2),AE$1),0)</f>
        <v>0</v>
      </c>
      <c r="AF31">
        <f>IFERROR(COUNTIF(OFFSET('Schedule Raw Data'!$A$2,MATCH($A31,'Schedule Raw Data'!$A$3:$A$2477,0),1,COUNTIF('Schedule Raw Data'!$A$3:$A$2477,$A31),2),AF$1),0)</f>
        <v>0</v>
      </c>
      <c r="AG31">
        <f t="shared" si="1"/>
        <v>4</v>
      </c>
    </row>
    <row r="32">
      <c r="A32" s="30">
        <f t="array" ref="A32">INDEX('Schedule Raw Data'!$A$3:$A$2477,MATCH(0,INDEX(COUNTIF($A$1:A31,'Schedule Raw Data'!$A$3:$A$2477),0,0),0))</f>
        <v>46346</v>
      </c>
      <c r="B32">
        <f t="shared" si="2"/>
        <v>5</v>
      </c>
      <c r="C32">
        <f>IFERROR(COUNTIF(OFFSET('Schedule Raw Data'!$A$2,MATCH($A32,'Schedule Raw Data'!$A$3:$A$2477,0),1,COUNTIF('Schedule Raw Data'!$A$3:$A$2477,$A32),2),C$1),0)</f>
        <v>1</v>
      </c>
      <c r="D32">
        <f>IFERROR(COUNTIF(OFFSET('Schedule Raw Data'!$A$2,MATCH($A32,'Schedule Raw Data'!$A$3:$A$2477,0),1,COUNTIF('Schedule Raw Data'!$A$3:$A$2477,$A32),2),D$1),0)</f>
        <v>1</v>
      </c>
      <c r="E32">
        <f>IFERROR(COUNTIF(OFFSET('Schedule Raw Data'!$A$2,MATCH($A32,'Schedule Raw Data'!$A$3:$A$2477,0),1,COUNTIF('Schedule Raw Data'!$A$3:$A$2477,$A32),2),E$1),0)</f>
        <v>0</v>
      </c>
      <c r="F32">
        <f>IFERROR(COUNTIF(OFFSET('Schedule Raw Data'!$A$2,MATCH($A32,'Schedule Raw Data'!$A$3:$A$2477,0),1,COUNTIF('Schedule Raw Data'!$A$3:$A$2477,$A32),2),F$1),0)</f>
        <v>1</v>
      </c>
      <c r="G32">
        <f>IFERROR(COUNTIF(OFFSET('Schedule Raw Data'!$A$2,MATCH($A32,'Schedule Raw Data'!$A$3:$A$2477,0),1,COUNTIF('Schedule Raw Data'!$A$3:$A$2477,$A32),2),G$1),0)</f>
        <v>1</v>
      </c>
      <c r="H32">
        <f>IFERROR(COUNTIF(OFFSET('Schedule Raw Data'!$A$2,MATCH($A32,'Schedule Raw Data'!$A$3:$A$2477,0),1,COUNTIF('Schedule Raw Data'!$A$3:$A$2477,$A32),2),H$1),0)</f>
        <v>1</v>
      </c>
      <c r="I32">
        <f>IFERROR(COUNTIF(OFFSET('Schedule Raw Data'!$A$2,MATCH($A32,'Schedule Raw Data'!$A$3:$A$2477,0),1,COUNTIF('Schedule Raw Data'!$A$3:$A$2477,$A32),2),I$1),0)</f>
        <v>0</v>
      </c>
      <c r="J32">
        <f>IFERROR(COUNTIF(OFFSET('Schedule Raw Data'!$A$2,MATCH($A32,'Schedule Raw Data'!$A$3:$A$2477,0),1,COUNTIF('Schedule Raw Data'!$A$3:$A$2477,$A32),2),J$1),0)</f>
        <v>1</v>
      </c>
      <c r="K32">
        <f>IFERROR(COUNTIF(OFFSET('Schedule Raw Data'!$A$2,MATCH($A32,'Schedule Raw Data'!$A$3:$A$2477,0),1,COUNTIF('Schedule Raw Data'!$A$3:$A$2477,$A32),2),K$1),0)</f>
        <v>1</v>
      </c>
      <c r="L32">
        <f>IFERROR(COUNTIF(OFFSET('Schedule Raw Data'!$A$2,MATCH($A32,'Schedule Raw Data'!$A$3:$A$2477,0),1,COUNTIF('Schedule Raw Data'!$A$3:$A$2477,$A32),2),L$1),0)</f>
        <v>0</v>
      </c>
      <c r="M32">
        <f>IFERROR(COUNTIF(OFFSET('Schedule Raw Data'!$A$2,MATCH($A32,'Schedule Raw Data'!$A$3:$A$2477,0),1,COUNTIF('Schedule Raw Data'!$A$3:$A$2477,$A32),2),M$1),0)</f>
        <v>1</v>
      </c>
      <c r="N32">
        <f>IFERROR(COUNTIF(OFFSET('Schedule Raw Data'!$A$2,MATCH($A32,'Schedule Raw Data'!$A$3:$A$2477,0),1,COUNTIF('Schedule Raw Data'!$A$3:$A$2477,$A32),2),N$1),0)</f>
        <v>1</v>
      </c>
      <c r="O32">
        <f>IFERROR(COUNTIF(OFFSET('Schedule Raw Data'!$A$2,MATCH($A32,'Schedule Raw Data'!$A$3:$A$2477,0),1,COUNTIF('Schedule Raw Data'!$A$3:$A$2477,$A32),2),O$1),0)</f>
        <v>0</v>
      </c>
      <c r="P32">
        <f>IFERROR(COUNTIF(OFFSET('Schedule Raw Data'!$A$2,MATCH($A32,'Schedule Raw Data'!$A$3:$A$2477,0),1,COUNTIF('Schedule Raw Data'!$A$3:$A$2477,$A32),2),P$1),0)</f>
        <v>1</v>
      </c>
      <c r="Q32">
        <f>IFERROR(COUNTIF(OFFSET('Schedule Raw Data'!$A$2,MATCH($A32,'Schedule Raw Data'!$A$3:$A$2477,0),1,COUNTIF('Schedule Raw Data'!$A$3:$A$2477,$A32),2),Q$1),0)</f>
        <v>0</v>
      </c>
      <c r="R32">
        <f>IFERROR(COUNTIF(OFFSET('Schedule Raw Data'!$A$2,MATCH($A32,'Schedule Raw Data'!$A$3:$A$2477,0),1,COUNTIF('Schedule Raw Data'!$A$3:$A$2477,$A32),2),R$1),0)</f>
        <v>0</v>
      </c>
      <c r="S32">
        <f>IFERROR(COUNTIF(OFFSET('Schedule Raw Data'!$A$2,MATCH($A32,'Schedule Raw Data'!$A$3:$A$2477,0),1,COUNTIF('Schedule Raw Data'!$A$3:$A$2477,$A32),2),S$1),0)</f>
        <v>0</v>
      </c>
      <c r="T32">
        <f>IFERROR(COUNTIF(OFFSET('Schedule Raw Data'!$A$2,MATCH($A32,'Schedule Raw Data'!$A$3:$A$2477,0),1,COUNTIF('Schedule Raw Data'!$A$3:$A$2477,$A32),2),T$1),0)</f>
        <v>0</v>
      </c>
      <c r="U32">
        <f>IFERROR(COUNTIF(OFFSET('Schedule Raw Data'!$A$2,MATCH($A32,'Schedule Raw Data'!$A$3:$A$2477,0),1,COUNTIF('Schedule Raw Data'!$A$3:$A$2477,$A32),2),U$1),0)</f>
        <v>1</v>
      </c>
      <c r="V32">
        <f>IFERROR(COUNTIF(OFFSET('Schedule Raw Data'!$A$2,MATCH($A32,'Schedule Raw Data'!$A$3:$A$2477,0),1,COUNTIF('Schedule Raw Data'!$A$3:$A$2477,$A32),2),V$1),0)</f>
        <v>0</v>
      </c>
      <c r="W32">
        <f>IFERROR(COUNTIF(OFFSET('Schedule Raw Data'!$A$2,MATCH($A32,'Schedule Raw Data'!$A$3:$A$2477,0),1,COUNTIF('Schedule Raw Data'!$A$3:$A$2477,$A32),2),W$1),0)</f>
        <v>1</v>
      </c>
      <c r="X32">
        <f>IFERROR(COUNTIF(OFFSET('Schedule Raw Data'!$A$2,MATCH($A32,'Schedule Raw Data'!$A$3:$A$2477,0),1,COUNTIF('Schedule Raw Data'!$A$3:$A$2477,$A32),2),X$1),0)</f>
        <v>1</v>
      </c>
      <c r="Y32">
        <f>IFERROR(COUNTIF(OFFSET('Schedule Raw Data'!$A$2,MATCH($A32,'Schedule Raw Data'!$A$3:$A$2477,0),1,COUNTIF('Schedule Raw Data'!$A$3:$A$2477,$A32),2),Y$1),0)</f>
        <v>0</v>
      </c>
      <c r="Z32">
        <f>IFERROR(COUNTIF(OFFSET('Schedule Raw Data'!$A$2,MATCH($A32,'Schedule Raw Data'!$A$3:$A$2477,0),1,COUNTIF('Schedule Raw Data'!$A$3:$A$2477,$A32),2),Z$1),0)</f>
        <v>1</v>
      </c>
      <c r="AA32">
        <f>IFERROR(COUNTIF(OFFSET('Schedule Raw Data'!$A$2,MATCH($A32,'Schedule Raw Data'!$A$3:$A$2477,0),1,COUNTIF('Schedule Raw Data'!$A$3:$A$2477,$A32),2),AA$1),0)</f>
        <v>0</v>
      </c>
      <c r="AB32">
        <f>IFERROR(COUNTIF(OFFSET('Schedule Raw Data'!$A$2,MATCH($A32,'Schedule Raw Data'!$A$3:$A$2477,0),1,COUNTIF('Schedule Raw Data'!$A$3:$A$2477,$A32),2),AB$1),0)</f>
        <v>1</v>
      </c>
      <c r="AC32">
        <f>IFERROR(COUNTIF(OFFSET('Schedule Raw Data'!$A$2,MATCH($A32,'Schedule Raw Data'!$A$3:$A$2477,0),1,COUNTIF('Schedule Raw Data'!$A$3:$A$2477,$A32),2),AC$1),0)</f>
        <v>0</v>
      </c>
      <c r="AD32">
        <f>IFERROR(COUNTIF(OFFSET('Schedule Raw Data'!$A$2,MATCH($A32,'Schedule Raw Data'!$A$3:$A$2477,0),1,COUNTIF('Schedule Raw Data'!$A$3:$A$2477,$A32),2),AD$1),0)</f>
        <v>1</v>
      </c>
      <c r="AE32">
        <f>IFERROR(COUNTIF(OFFSET('Schedule Raw Data'!$A$2,MATCH($A32,'Schedule Raw Data'!$A$3:$A$2477,0),1,COUNTIF('Schedule Raw Data'!$A$3:$A$2477,$A32),2),AE$1),0)</f>
        <v>1</v>
      </c>
      <c r="AF32">
        <f>IFERROR(COUNTIF(OFFSET('Schedule Raw Data'!$A$2,MATCH($A32,'Schedule Raw Data'!$A$3:$A$2477,0),1,COUNTIF('Schedule Raw Data'!$A$3:$A$2477,$A32),2),AF$1),0)</f>
        <v>1</v>
      </c>
      <c r="AG32">
        <f t="shared" si="1"/>
        <v>9</v>
      </c>
    </row>
    <row r="33">
      <c r="A33" s="30">
        <f t="array" ref="A33">INDEX('Schedule Raw Data'!$A$3:$A$2477,MATCH(0,INDEX(COUNTIF($A$1:A32,'Schedule Raw Data'!$A$3:$A$2477),0,0),0))</f>
        <v>46347</v>
      </c>
      <c r="B33">
        <f t="shared" si="2"/>
        <v>5</v>
      </c>
      <c r="C33">
        <f>IFERROR(COUNTIF(OFFSET('Schedule Raw Data'!$A$2,MATCH($A33,'Schedule Raw Data'!$A$3:$A$2477,0),1,COUNTIF('Schedule Raw Data'!$A$3:$A$2477,$A33),2),C$1),0)</f>
        <v>0</v>
      </c>
      <c r="D33">
        <f>IFERROR(COUNTIF(OFFSET('Schedule Raw Data'!$A$2,MATCH($A33,'Schedule Raw Data'!$A$3:$A$2477,0),1,COUNTIF('Schedule Raw Data'!$A$3:$A$2477,$A33),2),D$1),0)</f>
        <v>0</v>
      </c>
      <c r="E33">
        <f>IFERROR(COUNTIF(OFFSET('Schedule Raw Data'!$A$2,MATCH($A33,'Schedule Raw Data'!$A$3:$A$2477,0),1,COUNTIF('Schedule Raw Data'!$A$3:$A$2477,$A33),2),E$1),0)</f>
        <v>1</v>
      </c>
      <c r="F33">
        <f>IFERROR(COUNTIF(OFFSET('Schedule Raw Data'!$A$2,MATCH($A33,'Schedule Raw Data'!$A$3:$A$2477,0),1,COUNTIF('Schedule Raw Data'!$A$3:$A$2477,$A33),2),F$1),0)</f>
        <v>0</v>
      </c>
      <c r="G33">
        <f>IFERROR(COUNTIF(OFFSET('Schedule Raw Data'!$A$2,MATCH($A33,'Schedule Raw Data'!$A$3:$A$2477,0),1,COUNTIF('Schedule Raw Data'!$A$3:$A$2477,$A33),2),G$1),0)</f>
        <v>0</v>
      </c>
      <c r="H33">
        <f>IFERROR(COUNTIF(OFFSET('Schedule Raw Data'!$A$2,MATCH($A33,'Schedule Raw Data'!$A$3:$A$2477,0),1,COUNTIF('Schedule Raw Data'!$A$3:$A$2477,$A33),2),H$1),0)</f>
        <v>0</v>
      </c>
      <c r="I33">
        <f>IFERROR(COUNTIF(OFFSET('Schedule Raw Data'!$A$2,MATCH($A33,'Schedule Raw Data'!$A$3:$A$2477,0),1,COUNTIF('Schedule Raw Data'!$A$3:$A$2477,$A33),2),I$1),0)</f>
        <v>1</v>
      </c>
      <c r="J33">
        <f>IFERROR(COUNTIF(OFFSET('Schedule Raw Data'!$A$2,MATCH($A33,'Schedule Raw Data'!$A$3:$A$2477,0),1,COUNTIF('Schedule Raw Data'!$A$3:$A$2477,$A33),2),J$1),0)</f>
        <v>0</v>
      </c>
      <c r="K33">
        <f>IFERROR(COUNTIF(OFFSET('Schedule Raw Data'!$A$2,MATCH($A33,'Schedule Raw Data'!$A$3:$A$2477,0),1,COUNTIF('Schedule Raw Data'!$A$3:$A$2477,$A33),2),K$1),0)</f>
        <v>0</v>
      </c>
      <c r="L33">
        <f>IFERROR(COUNTIF(OFFSET('Schedule Raw Data'!$A$2,MATCH($A33,'Schedule Raw Data'!$A$3:$A$2477,0),1,COUNTIF('Schedule Raw Data'!$A$3:$A$2477,$A33),2),L$1),0)</f>
        <v>0</v>
      </c>
      <c r="M33">
        <f>IFERROR(COUNTIF(OFFSET('Schedule Raw Data'!$A$2,MATCH($A33,'Schedule Raw Data'!$A$3:$A$2477,0),1,COUNTIF('Schedule Raw Data'!$A$3:$A$2477,$A33),2),M$1),0)</f>
        <v>0</v>
      </c>
      <c r="N33">
        <f>IFERROR(COUNTIF(OFFSET('Schedule Raw Data'!$A$2,MATCH($A33,'Schedule Raw Data'!$A$3:$A$2477,0),1,COUNTIF('Schedule Raw Data'!$A$3:$A$2477,$A33),2),N$1),0)</f>
        <v>0</v>
      </c>
      <c r="O33">
        <f>IFERROR(COUNTIF(OFFSET('Schedule Raw Data'!$A$2,MATCH($A33,'Schedule Raw Data'!$A$3:$A$2477,0),1,COUNTIF('Schedule Raw Data'!$A$3:$A$2477,$A33),2),O$1),0)</f>
        <v>1</v>
      </c>
      <c r="P33">
        <f>IFERROR(COUNTIF(OFFSET('Schedule Raw Data'!$A$2,MATCH($A33,'Schedule Raw Data'!$A$3:$A$2477,0),1,COUNTIF('Schedule Raw Data'!$A$3:$A$2477,$A33),2),P$1),0)</f>
        <v>0</v>
      </c>
      <c r="Q33">
        <f>IFERROR(COUNTIF(OFFSET('Schedule Raw Data'!$A$2,MATCH($A33,'Schedule Raw Data'!$A$3:$A$2477,0),1,COUNTIF('Schedule Raw Data'!$A$3:$A$2477,$A33),2),Q$1),0)</f>
        <v>1</v>
      </c>
      <c r="R33">
        <f>IFERROR(COUNTIF(OFFSET('Schedule Raw Data'!$A$2,MATCH($A33,'Schedule Raw Data'!$A$3:$A$2477,0),1,COUNTIF('Schedule Raw Data'!$A$3:$A$2477,$A33),2),R$1),0)</f>
        <v>0</v>
      </c>
      <c r="S33">
        <f>IFERROR(COUNTIF(OFFSET('Schedule Raw Data'!$A$2,MATCH($A33,'Schedule Raw Data'!$A$3:$A$2477,0),1,COUNTIF('Schedule Raw Data'!$A$3:$A$2477,$A33),2),S$1),0)</f>
        <v>1</v>
      </c>
      <c r="T33">
        <f>IFERROR(COUNTIF(OFFSET('Schedule Raw Data'!$A$2,MATCH($A33,'Schedule Raw Data'!$A$3:$A$2477,0),1,COUNTIF('Schedule Raw Data'!$A$3:$A$2477,$A33),2),T$1),0)</f>
        <v>1</v>
      </c>
      <c r="U33">
        <f>IFERROR(COUNTIF(OFFSET('Schedule Raw Data'!$A$2,MATCH($A33,'Schedule Raw Data'!$A$3:$A$2477,0),1,COUNTIF('Schedule Raw Data'!$A$3:$A$2477,$A33),2),U$1),0)</f>
        <v>1</v>
      </c>
      <c r="V33">
        <f>IFERROR(COUNTIF(OFFSET('Schedule Raw Data'!$A$2,MATCH($A33,'Schedule Raw Data'!$A$3:$A$2477,0),1,COUNTIF('Schedule Raw Data'!$A$3:$A$2477,$A33),2),V$1),0)</f>
        <v>1</v>
      </c>
      <c r="W33">
        <f>IFERROR(COUNTIF(OFFSET('Schedule Raw Data'!$A$2,MATCH($A33,'Schedule Raw Data'!$A$3:$A$2477,0),1,COUNTIF('Schedule Raw Data'!$A$3:$A$2477,$A33),2),W$1),0)</f>
        <v>0</v>
      </c>
      <c r="X33">
        <f>IFERROR(COUNTIF(OFFSET('Schedule Raw Data'!$A$2,MATCH($A33,'Schedule Raw Data'!$A$3:$A$2477,0),1,COUNTIF('Schedule Raw Data'!$A$3:$A$2477,$A33),2),X$1),0)</f>
        <v>0</v>
      </c>
      <c r="Y33">
        <f>IFERROR(COUNTIF(OFFSET('Schedule Raw Data'!$A$2,MATCH($A33,'Schedule Raw Data'!$A$3:$A$2477,0),1,COUNTIF('Schedule Raw Data'!$A$3:$A$2477,$A33),2),Y$1),0)</f>
        <v>1</v>
      </c>
      <c r="Z33">
        <f>IFERROR(COUNTIF(OFFSET('Schedule Raw Data'!$A$2,MATCH($A33,'Schedule Raw Data'!$A$3:$A$2477,0),1,COUNTIF('Schedule Raw Data'!$A$3:$A$2477,$A33),2),Z$1),0)</f>
        <v>0</v>
      </c>
      <c r="AA33">
        <f>IFERROR(COUNTIF(OFFSET('Schedule Raw Data'!$A$2,MATCH($A33,'Schedule Raw Data'!$A$3:$A$2477,0),1,COUNTIF('Schedule Raw Data'!$A$3:$A$2477,$A33),2),AA$1),0)</f>
        <v>1</v>
      </c>
      <c r="AB33">
        <f>IFERROR(COUNTIF(OFFSET('Schedule Raw Data'!$A$2,MATCH($A33,'Schedule Raw Data'!$A$3:$A$2477,0),1,COUNTIF('Schedule Raw Data'!$A$3:$A$2477,$A33),2),AB$1),0)</f>
        <v>1</v>
      </c>
      <c r="AC33">
        <f>IFERROR(COUNTIF(OFFSET('Schedule Raw Data'!$A$2,MATCH($A33,'Schedule Raw Data'!$A$3:$A$2477,0),1,COUNTIF('Schedule Raw Data'!$A$3:$A$2477,$A33),2),AC$1),0)</f>
        <v>1</v>
      </c>
      <c r="AD33">
        <f>IFERROR(COUNTIF(OFFSET('Schedule Raw Data'!$A$2,MATCH($A33,'Schedule Raw Data'!$A$3:$A$2477,0),1,COUNTIF('Schedule Raw Data'!$A$3:$A$2477,$A33),2),AD$1),0)</f>
        <v>0</v>
      </c>
      <c r="AE33">
        <f>IFERROR(COUNTIF(OFFSET('Schedule Raw Data'!$A$2,MATCH($A33,'Schedule Raw Data'!$A$3:$A$2477,0),1,COUNTIF('Schedule Raw Data'!$A$3:$A$2477,$A33),2),AE$1),0)</f>
        <v>0</v>
      </c>
      <c r="AF33">
        <f>IFERROR(COUNTIF(OFFSET('Schedule Raw Data'!$A$2,MATCH($A33,'Schedule Raw Data'!$A$3:$A$2477,0),1,COUNTIF('Schedule Raw Data'!$A$3:$A$2477,$A33),2),AF$1),0)</f>
        <v>0</v>
      </c>
      <c r="AG33">
        <f t="shared" si="1"/>
        <v>6</v>
      </c>
    </row>
    <row r="34">
      <c r="A34" s="30">
        <f t="array" ref="A34">INDEX('Schedule Raw Data'!$A$3:$A$2477,MATCH(0,INDEX(COUNTIF($A$1:A33,'Schedule Raw Data'!$A$3:$A$2477),0,0),0))</f>
        <v>46348</v>
      </c>
      <c r="B34">
        <f t="shared" si="2"/>
        <v>5</v>
      </c>
      <c r="C34">
        <f>IFERROR(COUNTIF(OFFSET('Schedule Raw Data'!$A$2,MATCH($A34,'Schedule Raw Data'!$A$3:$A$2477,0),1,COUNTIF('Schedule Raw Data'!$A$3:$A$2477,$A34),2),C$1),0)</f>
        <v>1</v>
      </c>
      <c r="D34">
        <f>IFERROR(COUNTIF(OFFSET('Schedule Raw Data'!$A$2,MATCH($A34,'Schedule Raw Data'!$A$3:$A$2477,0),1,COUNTIF('Schedule Raw Data'!$A$3:$A$2477,$A34),2),D$1),0)</f>
        <v>0</v>
      </c>
      <c r="E34">
        <f>IFERROR(COUNTIF(OFFSET('Schedule Raw Data'!$A$2,MATCH($A34,'Schedule Raw Data'!$A$3:$A$2477,0),1,COUNTIF('Schedule Raw Data'!$A$3:$A$2477,$A34),2),E$1),0)</f>
        <v>1</v>
      </c>
      <c r="F34">
        <f>IFERROR(COUNTIF(OFFSET('Schedule Raw Data'!$A$2,MATCH($A34,'Schedule Raw Data'!$A$3:$A$2477,0),1,COUNTIF('Schedule Raw Data'!$A$3:$A$2477,$A34),2),F$1),0)</f>
        <v>0</v>
      </c>
      <c r="G34">
        <f>IFERROR(COUNTIF(OFFSET('Schedule Raw Data'!$A$2,MATCH($A34,'Schedule Raw Data'!$A$3:$A$2477,0),1,COUNTIF('Schedule Raw Data'!$A$3:$A$2477,$A34),2),G$1),0)</f>
        <v>1</v>
      </c>
      <c r="H34">
        <f>IFERROR(COUNTIF(OFFSET('Schedule Raw Data'!$A$2,MATCH($A34,'Schedule Raw Data'!$A$3:$A$2477,0),1,COUNTIF('Schedule Raw Data'!$A$3:$A$2477,$A34),2),H$1),0)</f>
        <v>0</v>
      </c>
      <c r="I34">
        <f>IFERROR(COUNTIF(OFFSET('Schedule Raw Data'!$A$2,MATCH($A34,'Schedule Raw Data'!$A$3:$A$2477,0),1,COUNTIF('Schedule Raw Data'!$A$3:$A$2477,$A34),2),I$1),0)</f>
        <v>1</v>
      </c>
      <c r="J34">
        <f>IFERROR(COUNTIF(OFFSET('Schedule Raw Data'!$A$2,MATCH($A34,'Schedule Raw Data'!$A$3:$A$2477,0),1,COUNTIF('Schedule Raw Data'!$A$3:$A$2477,$A34),2),J$1),0)</f>
        <v>1</v>
      </c>
      <c r="K34">
        <f>IFERROR(COUNTIF(OFFSET('Schedule Raw Data'!$A$2,MATCH($A34,'Schedule Raw Data'!$A$3:$A$2477,0),1,COUNTIF('Schedule Raw Data'!$A$3:$A$2477,$A34),2),K$1),0)</f>
        <v>1</v>
      </c>
      <c r="L34">
        <f>IFERROR(COUNTIF(OFFSET('Schedule Raw Data'!$A$2,MATCH($A34,'Schedule Raw Data'!$A$3:$A$2477,0),1,COUNTIF('Schedule Raw Data'!$A$3:$A$2477,$A34),2),L$1),0)</f>
        <v>1</v>
      </c>
      <c r="M34">
        <f>IFERROR(COUNTIF(OFFSET('Schedule Raw Data'!$A$2,MATCH($A34,'Schedule Raw Data'!$A$3:$A$2477,0),1,COUNTIF('Schedule Raw Data'!$A$3:$A$2477,$A34),2),M$1),0)</f>
        <v>0</v>
      </c>
      <c r="N34">
        <f>IFERROR(COUNTIF(OFFSET('Schedule Raw Data'!$A$2,MATCH($A34,'Schedule Raw Data'!$A$3:$A$2477,0),1,COUNTIF('Schedule Raw Data'!$A$3:$A$2477,$A34),2),N$1),0)</f>
        <v>1</v>
      </c>
      <c r="O34">
        <f>IFERROR(COUNTIF(OFFSET('Schedule Raw Data'!$A$2,MATCH($A34,'Schedule Raw Data'!$A$3:$A$2477,0),1,COUNTIF('Schedule Raw Data'!$A$3:$A$2477,$A34),2),O$1),0)</f>
        <v>0</v>
      </c>
      <c r="P34">
        <f>IFERROR(COUNTIF(OFFSET('Schedule Raw Data'!$A$2,MATCH($A34,'Schedule Raw Data'!$A$3:$A$2477,0),1,COUNTIF('Schedule Raw Data'!$A$3:$A$2477,$A34),2),P$1),0)</f>
        <v>0</v>
      </c>
      <c r="Q34">
        <f>IFERROR(COUNTIF(OFFSET('Schedule Raw Data'!$A$2,MATCH($A34,'Schedule Raw Data'!$A$3:$A$2477,0),1,COUNTIF('Schedule Raw Data'!$A$3:$A$2477,$A34),2),Q$1),0)</f>
        <v>0</v>
      </c>
      <c r="R34">
        <f>IFERROR(COUNTIF(OFFSET('Schedule Raw Data'!$A$2,MATCH($A34,'Schedule Raw Data'!$A$3:$A$2477,0),1,COUNTIF('Schedule Raw Data'!$A$3:$A$2477,$A34),2),R$1),0)</f>
        <v>1</v>
      </c>
      <c r="S34">
        <f>IFERROR(COUNTIF(OFFSET('Schedule Raw Data'!$A$2,MATCH($A34,'Schedule Raw Data'!$A$3:$A$2477,0),1,COUNTIF('Schedule Raw Data'!$A$3:$A$2477,$A34),2),S$1),0)</f>
        <v>0</v>
      </c>
      <c r="T34">
        <f>IFERROR(COUNTIF(OFFSET('Schedule Raw Data'!$A$2,MATCH($A34,'Schedule Raw Data'!$A$3:$A$2477,0),1,COUNTIF('Schedule Raw Data'!$A$3:$A$2477,$A34),2),T$1),0)</f>
        <v>0</v>
      </c>
      <c r="U34">
        <f>IFERROR(COUNTIF(OFFSET('Schedule Raw Data'!$A$2,MATCH($A34,'Schedule Raw Data'!$A$3:$A$2477,0),1,COUNTIF('Schedule Raw Data'!$A$3:$A$2477,$A34),2),U$1),0)</f>
        <v>0</v>
      </c>
      <c r="V34">
        <f>IFERROR(COUNTIF(OFFSET('Schedule Raw Data'!$A$2,MATCH($A34,'Schedule Raw Data'!$A$3:$A$2477,0),1,COUNTIF('Schedule Raw Data'!$A$3:$A$2477,$A34),2),V$1),0)</f>
        <v>1</v>
      </c>
      <c r="W34">
        <f>IFERROR(COUNTIF(OFFSET('Schedule Raw Data'!$A$2,MATCH($A34,'Schedule Raw Data'!$A$3:$A$2477,0),1,COUNTIF('Schedule Raw Data'!$A$3:$A$2477,$A34),2),W$1),0)</f>
        <v>1</v>
      </c>
      <c r="X34">
        <f>IFERROR(COUNTIF(OFFSET('Schedule Raw Data'!$A$2,MATCH($A34,'Schedule Raw Data'!$A$3:$A$2477,0),1,COUNTIF('Schedule Raw Data'!$A$3:$A$2477,$A34),2),X$1),0)</f>
        <v>1</v>
      </c>
      <c r="Y34">
        <f>IFERROR(COUNTIF(OFFSET('Schedule Raw Data'!$A$2,MATCH($A34,'Schedule Raw Data'!$A$3:$A$2477,0),1,COUNTIF('Schedule Raw Data'!$A$3:$A$2477,$A34),2),Y$1),0)</f>
        <v>0</v>
      </c>
      <c r="Z34">
        <f>IFERROR(COUNTIF(OFFSET('Schedule Raw Data'!$A$2,MATCH($A34,'Schedule Raw Data'!$A$3:$A$2477,0),1,COUNTIF('Schedule Raw Data'!$A$3:$A$2477,$A34),2),Z$1),0)</f>
        <v>0</v>
      </c>
      <c r="AA34">
        <f>IFERROR(COUNTIF(OFFSET('Schedule Raw Data'!$A$2,MATCH($A34,'Schedule Raw Data'!$A$3:$A$2477,0),1,COUNTIF('Schedule Raw Data'!$A$3:$A$2477,$A34),2),AA$1),0)</f>
        <v>0</v>
      </c>
      <c r="AB34">
        <f>IFERROR(COUNTIF(OFFSET('Schedule Raw Data'!$A$2,MATCH($A34,'Schedule Raw Data'!$A$3:$A$2477,0),1,COUNTIF('Schedule Raw Data'!$A$3:$A$2477,$A34),2),AB$1),0)</f>
        <v>0</v>
      </c>
      <c r="AC34">
        <f>IFERROR(COUNTIF(OFFSET('Schedule Raw Data'!$A$2,MATCH($A34,'Schedule Raw Data'!$A$3:$A$2477,0),1,COUNTIF('Schedule Raw Data'!$A$3:$A$2477,$A34),2),AC$1),0)</f>
        <v>0</v>
      </c>
      <c r="AD34">
        <f>IFERROR(COUNTIF(OFFSET('Schedule Raw Data'!$A$2,MATCH($A34,'Schedule Raw Data'!$A$3:$A$2477,0),1,COUNTIF('Schedule Raw Data'!$A$3:$A$2477,$A34),2),AD$1),0)</f>
        <v>0</v>
      </c>
      <c r="AE34">
        <f>IFERROR(COUNTIF(OFFSET('Schedule Raw Data'!$A$2,MATCH($A34,'Schedule Raw Data'!$A$3:$A$2477,0),1,COUNTIF('Schedule Raw Data'!$A$3:$A$2477,$A34),2),AE$1),0)</f>
        <v>1</v>
      </c>
      <c r="AF34">
        <f>IFERROR(COUNTIF(OFFSET('Schedule Raw Data'!$A$2,MATCH($A34,'Schedule Raw Data'!$A$3:$A$2477,0),1,COUNTIF('Schedule Raw Data'!$A$3:$A$2477,$A34),2),AF$1),0)</f>
        <v>1</v>
      </c>
      <c r="AG34">
        <f t="shared" si="1"/>
        <v>7</v>
      </c>
    </row>
    <row r="35">
      <c r="A35" s="30">
        <f t="array" ref="A35">INDEX('Schedule Raw Data'!$A$3:$A$2477,MATCH(0,INDEX(COUNTIF($A$1:A34,'Schedule Raw Data'!$A$3:$A$2477),0,0),0))</f>
        <v>46349</v>
      </c>
      <c r="B35">
        <f t="shared" si="2"/>
        <v>6</v>
      </c>
      <c r="C35">
        <f>IFERROR(COUNTIF(OFFSET('Schedule Raw Data'!$A$2,MATCH($A35,'Schedule Raw Data'!$A$3:$A$2477,0),1,COUNTIF('Schedule Raw Data'!$A$3:$A$2477,$A35),2),C$1),0)</f>
        <v>0</v>
      </c>
      <c r="D35">
        <f>IFERROR(COUNTIF(OFFSET('Schedule Raw Data'!$A$2,MATCH($A35,'Schedule Raw Data'!$A$3:$A$2477,0),1,COUNTIF('Schedule Raw Data'!$A$3:$A$2477,$A35),2),D$1),0)</f>
        <v>1</v>
      </c>
      <c r="E35">
        <f>IFERROR(COUNTIF(OFFSET('Schedule Raw Data'!$A$2,MATCH($A35,'Schedule Raw Data'!$A$3:$A$2477,0),1,COUNTIF('Schedule Raw Data'!$A$3:$A$2477,$A35),2),E$1),0)</f>
        <v>0</v>
      </c>
      <c r="F35">
        <f>IFERROR(COUNTIF(OFFSET('Schedule Raw Data'!$A$2,MATCH($A35,'Schedule Raw Data'!$A$3:$A$2477,0),1,COUNTIF('Schedule Raw Data'!$A$3:$A$2477,$A35),2),F$1),0)</f>
        <v>1</v>
      </c>
      <c r="G35">
        <f>IFERROR(COUNTIF(OFFSET('Schedule Raw Data'!$A$2,MATCH($A35,'Schedule Raw Data'!$A$3:$A$2477,0),1,COUNTIF('Schedule Raw Data'!$A$3:$A$2477,$A35),2),G$1),0)</f>
        <v>1</v>
      </c>
      <c r="H35">
        <f>IFERROR(COUNTIF(OFFSET('Schedule Raw Data'!$A$2,MATCH($A35,'Schedule Raw Data'!$A$3:$A$2477,0),1,COUNTIF('Schedule Raw Data'!$A$3:$A$2477,$A35),2),H$1),0)</f>
        <v>1</v>
      </c>
      <c r="I35">
        <f>IFERROR(COUNTIF(OFFSET('Schedule Raw Data'!$A$2,MATCH($A35,'Schedule Raw Data'!$A$3:$A$2477,0),1,COUNTIF('Schedule Raw Data'!$A$3:$A$2477,$A35),2),I$1),0)</f>
        <v>0</v>
      </c>
      <c r="J35">
        <f>IFERROR(COUNTIF(OFFSET('Schedule Raw Data'!$A$2,MATCH($A35,'Schedule Raw Data'!$A$3:$A$2477,0),1,COUNTIF('Schedule Raw Data'!$A$3:$A$2477,$A35),2),J$1),0)</f>
        <v>0</v>
      </c>
      <c r="K35">
        <f>IFERROR(COUNTIF(OFFSET('Schedule Raw Data'!$A$2,MATCH($A35,'Schedule Raw Data'!$A$3:$A$2477,0),1,COUNTIF('Schedule Raw Data'!$A$3:$A$2477,$A35),2),K$1),0)</f>
        <v>0</v>
      </c>
      <c r="L35">
        <f>IFERROR(COUNTIF(OFFSET('Schedule Raw Data'!$A$2,MATCH($A35,'Schedule Raw Data'!$A$3:$A$2477,0),1,COUNTIF('Schedule Raw Data'!$A$3:$A$2477,$A35),2),L$1),0)</f>
        <v>0</v>
      </c>
      <c r="M35">
        <f>IFERROR(COUNTIF(OFFSET('Schedule Raw Data'!$A$2,MATCH($A35,'Schedule Raw Data'!$A$3:$A$2477,0),1,COUNTIF('Schedule Raw Data'!$A$3:$A$2477,$A35),2),M$1),0)</f>
        <v>1</v>
      </c>
      <c r="N35">
        <f>IFERROR(COUNTIF(OFFSET('Schedule Raw Data'!$A$2,MATCH($A35,'Schedule Raw Data'!$A$3:$A$2477,0),1,COUNTIF('Schedule Raw Data'!$A$3:$A$2477,$A35),2),N$1),0)</f>
        <v>1</v>
      </c>
      <c r="O35">
        <f>IFERROR(COUNTIF(OFFSET('Schedule Raw Data'!$A$2,MATCH($A35,'Schedule Raw Data'!$A$3:$A$2477,0),1,COUNTIF('Schedule Raw Data'!$A$3:$A$2477,$A35),2),O$1),0)</f>
        <v>1</v>
      </c>
      <c r="P35">
        <f>IFERROR(COUNTIF(OFFSET('Schedule Raw Data'!$A$2,MATCH($A35,'Schedule Raw Data'!$A$3:$A$2477,0),1,COUNTIF('Schedule Raw Data'!$A$3:$A$2477,$A35),2),P$1),0)</f>
        <v>1</v>
      </c>
      <c r="Q35">
        <f>IFERROR(COUNTIF(OFFSET('Schedule Raw Data'!$A$2,MATCH($A35,'Schedule Raw Data'!$A$3:$A$2477,0),1,COUNTIF('Schedule Raw Data'!$A$3:$A$2477,$A35),2),Q$1),0)</f>
        <v>1</v>
      </c>
      <c r="R35">
        <f>IFERROR(COUNTIF(OFFSET('Schedule Raw Data'!$A$2,MATCH($A35,'Schedule Raw Data'!$A$3:$A$2477,0),1,COUNTIF('Schedule Raw Data'!$A$3:$A$2477,$A35),2),R$1),0)</f>
        <v>0</v>
      </c>
      <c r="S35">
        <f>IFERROR(COUNTIF(OFFSET('Schedule Raw Data'!$A$2,MATCH($A35,'Schedule Raw Data'!$A$3:$A$2477,0),1,COUNTIF('Schedule Raw Data'!$A$3:$A$2477,$A35),2),S$1),0)</f>
        <v>1</v>
      </c>
      <c r="T35">
        <f>IFERROR(COUNTIF(OFFSET('Schedule Raw Data'!$A$2,MATCH($A35,'Schedule Raw Data'!$A$3:$A$2477,0),1,COUNTIF('Schedule Raw Data'!$A$3:$A$2477,$A35),2),T$1),0)</f>
        <v>1</v>
      </c>
      <c r="U35">
        <f>IFERROR(COUNTIF(OFFSET('Schedule Raw Data'!$A$2,MATCH($A35,'Schedule Raw Data'!$A$3:$A$2477,0),1,COUNTIF('Schedule Raw Data'!$A$3:$A$2477,$A35),2),U$1),0)</f>
        <v>1</v>
      </c>
      <c r="V35">
        <f>IFERROR(COUNTIF(OFFSET('Schedule Raw Data'!$A$2,MATCH($A35,'Schedule Raw Data'!$A$3:$A$2477,0),1,COUNTIF('Schedule Raw Data'!$A$3:$A$2477,$A35),2),V$1),0)</f>
        <v>0</v>
      </c>
      <c r="W35">
        <f>IFERROR(COUNTIF(OFFSET('Schedule Raw Data'!$A$2,MATCH($A35,'Schedule Raw Data'!$A$3:$A$2477,0),1,COUNTIF('Schedule Raw Data'!$A$3:$A$2477,$A35),2),W$1),0)</f>
        <v>1</v>
      </c>
      <c r="X35">
        <f>IFERROR(COUNTIF(OFFSET('Schedule Raw Data'!$A$2,MATCH($A35,'Schedule Raw Data'!$A$3:$A$2477,0),1,COUNTIF('Schedule Raw Data'!$A$3:$A$2477,$A35),2),X$1),0)</f>
        <v>0</v>
      </c>
      <c r="Y35">
        <f>IFERROR(COUNTIF(OFFSET('Schedule Raw Data'!$A$2,MATCH($A35,'Schedule Raw Data'!$A$3:$A$2477,0),1,COUNTIF('Schedule Raw Data'!$A$3:$A$2477,$A35),2),Y$1),0)</f>
        <v>1</v>
      </c>
      <c r="Z35">
        <f>IFERROR(COUNTIF(OFFSET('Schedule Raw Data'!$A$2,MATCH($A35,'Schedule Raw Data'!$A$3:$A$2477,0),1,COUNTIF('Schedule Raw Data'!$A$3:$A$2477,$A35),2),Z$1),0)</f>
        <v>1</v>
      </c>
      <c r="AA35">
        <f>IFERROR(COUNTIF(OFFSET('Schedule Raw Data'!$A$2,MATCH($A35,'Schedule Raw Data'!$A$3:$A$2477,0),1,COUNTIF('Schedule Raw Data'!$A$3:$A$2477,$A35),2),AA$1),0)</f>
        <v>1</v>
      </c>
      <c r="AB35">
        <f>IFERROR(COUNTIF(OFFSET('Schedule Raw Data'!$A$2,MATCH($A35,'Schedule Raw Data'!$A$3:$A$2477,0),1,COUNTIF('Schedule Raw Data'!$A$3:$A$2477,$A35),2),AB$1),0)</f>
        <v>1</v>
      </c>
      <c r="AC35">
        <f>IFERROR(COUNTIF(OFFSET('Schedule Raw Data'!$A$2,MATCH($A35,'Schedule Raw Data'!$A$3:$A$2477,0),1,COUNTIF('Schedule Raw Data'!$A$3:$A$2477,$A35),2),AC$1),0)</f>
        <v>1</v>
      </c>
      <c r="AD35">
        <f>IFERROR(COUNTIF(OFFSET('Schedule Raw Data'!$A$2,MATCH($A35,'Schedule Raw Data'!$A$3:$A$2477,0),1,COUNTIF('Schedule Raw Data'!$A$3:$A$2477,$A35),2),AD$1),0)</f>
        <v>1</v>
      </c>
      <c r="AE35">
        <f>IFERROR(COUNTIF(OFFSET('Schedule Raw Data'!$A$2,MATCH($A35,'Schedule Raw Data'!$A$3:$A$2477,0),1,COUNTIF('Schedule Raw Data'!$A$3:$A$2477,$A35),2),AE$1),0)</f>
        <v>1</v>
      </c>
      <c r="AF35">
        <f>IFERROR(COUNTIF(OFFSET('Schedule Raw Data'!$A$2,MATCH($A35,'Schedule Raw Data'!$A$3:$A$2477,0),1,COUNTIF('Schedule Raw Data'!$A$3:$A$2477,$A35),2),AF$1),0)</f>
        <v>0</v>
      </c>
      <c r="AG35">
        <f t="shared" si="1"/>
        <v>10</v>
      </c>
    </row>
    <row r="36">
      <c r="A36" s="30">
        <f t="array" ref="A36">INDEX('Schedule Raw Data'!$A$3:$A$2477,MATCH(0,INDEX(COUNTIF($A$1:A35,'Schedule Raw Data'!$A$3:$A$2477),0,0),0))</f>
        <v>46350</v>
      </c>
      <c r="B36">
        <f t="shared" si="2"/>
        <v>6</v>
      </c>
      <c r="C36">
        <f>IFERROR(COUNTIF(OFFSET('Schedule Raw Data'!$A$2,MATCH($A36,'Schedule Raw Data'!$A$3:$A$2477,0),1,COUNTIF('Schedule Raw Data'!$A$3:$A$2477,$A36),2),C$1),0)</f>
        <v>0</v>
      </c>
      <c r="D36">
        <f>IFERROR(COUNTIF(OFFSET('Schedule Raw Data'!$A$2,MATCH($A36,'Schedule Raw Data'!$A$3:$A$2477,0),1,COUNTIF('Schedule Raw Data'!$A$3:$A$2477,$A36),2),D$1),0)</f>
        <v>0</v>
      </c>
      <c r="E36">
        <f>IFERROR(COUNTIF(OFFSET('Schedule Raw Data'!$A$2,MATCH($A36,'Schedule Raw Data'!$A$3:$A$2477,0),1,COUNTIF('Schedule Raw Data'!$A$3:$A$2477,$A36),2),E$1),0)</f>
        <v>1</v>
      </c>
      <c r="F36">
        <f>IFERROR(COUNTIF(OFFSET('Schedule Raw Data'!$A$2,MATCH($A36,'Schedule Raw Data'!$A$3:$A$2477,0),1,COUNTIF('Schedule Raw Data'!$A$3:$A$2477,$A36),2),F$1),0)</f>
        <v>0</v>
      </c>
      <c r="G36">
        <f>IFERROR(COUNTIF(OFFSET('Schedule Raw Data'!$A$2,MATCH($A36,'Schedule Raw Data'!$A$3:$A$2477,0),1,COUNTIF('Schedule Raw Data'!$A$3:$A$2477,$A36),2),G$1),0)</f>
        <v>0</v>
      </c>
      <c r="H36">
        <f>IFERROR(COUNTIF(OFFSET('Schedule Raw Data'!$A$2,MATCH($A36,'Schedule Raw Data'!$A$3:$A$2477,0),1,COUNTIF('Schedule Raw Data'!$A$3:$A$2477,$A36),2),H$1),0)</f>
        <v>0</v>
      </c>
      <c r="I36">
        <f>IFERROR(COUNTIF(OFFSET('Schedule Raw Data'!$A$2,MATCH($A36,'Schedule Raw Data'!$A$3:$A$2477,0),1,COUNTIF('Schedule Raw Data'!$A$3:$A$2477,$A36),2),I$1),0)</f>
        <v>1</v>
      </c>
      <c r="J36">
        <f>IFERROR(COUNTIF(OFFSET('Schedule Raw Data'!$A$2,MATCH($A36,'Schedule Raw Data'!$A$3:$A$2477,0),1,COUNTIF('Schedule Raw Data'!$A$3:$A$2477,$A36),2),J$1),0)</f>
        <v>1</v>
      </c>
      <c r="K36">
        <f>IFERROR(COUNTIF(OFFSET('Schedule Raw Data'!$A$2,MATCH($A36,'Schedule Raw Data'!$A$3:$A$2477,0),1,COUNTIF('Schedule Raw Data'!$A$3:$A$2477,$A36),2),K$1),0)</f>
        <v>1</v>
      </c>
      <c r="L36">
        <f>IFERROR(COUNTIF(OFFSET('Schedule Raw Data'!$A$2,MATCH($A36,'Schedule Raw Data'!$A$3:$A$2477,0),1,COUNTIF('Schedule Raw Data'!$A$3:$A$2477,$A36),2),L$1),0)</f>
        <v>0</v>
      </c>
      <c r="M36">
        <f>IFERROR(COUNTIF(OFFSET('Schedule Raw Data'!$A$2,MATCH($A36,'Schedule Raw Data'!$A$3:$A$2477,0),1,COUNTIF('Schedule Raw Data'!$A$3:$A$2477,$A36),2),M$1),0)</f>
        <v>0</v>
      </c>
      <c r="N36">
        <f>IFERROR(COUNTIF(OFFSET('Schedule Raw Data'!$A$2,MATCH($A36,'Schedule Raw Data'!$A$3:$A$2477,0),1,COUNTIF('Schedule Raw Data'!$A$3:$A$2477,$A36),2),N$1),0)</f>
        <v>0</v>
      </c>
      <c r="O36">
        <f>IFERROR(COUNTIF(OFFSET('Schedule Raw Data'!$A$2,MATCH($A36,'Schedule Raw Data'!$A$3:$A$2477,0),1,COUNTIF('Schedule Raw Data'!$A$3:$A$2477,$A36),2),O$1),0)</f>
        <v>0</v>
      </c>
      <c r="P36">
        <f>IFERROR(COUNTIF(OFFSET('Schedule Raw Data'!$A$2,MATCH($A36,'Schedule Raw Data'!$A$3:$A$2477,0),1,COUNTIF('Schedule Raw Data'!$A$3:$A$2477,$A36),2),P$1),0)</f>
        <v>0</v>
      </c>
      <c r="Q36">
        <f>IFERROR(COUNTIF(OFFSET('Schedule Raw Data'!$A$2,MATCH($A36,'Schedule Raw Data'!$A$3:$A$2477,0),1,COUNTIF('Schedule Raw Data'!$A$3:$A$2477,$A36),2),Q$1),0)</f>
        <v>0</v>
      </c>
      <c r="R36">
        <f>IFERROR(COUNTIF(OFFSET('Schedule Raw Data'!$A$2,MATCH($A36,'Schedule Raw Data'!$A$3:$A$2477,0),1,COUNTIF('Schedule Raw Data'!$A$3:$A$2477,$A36),2),R$1),0)</f>
        <v>0</v>
      </c>
      <c r="S36">
        <f>IFERROR(COUNTIF(OFFSET('Schedule Raw Data'!$A$2,MATCH($A36,'Schedule Raw Data'!$A$3:$A$2477,0),1,COUNTIF('Schedule Raw Data'!$A$3:$A$2477,$A36),2),S$1),0)</f>
        <v>0</v>
      </c>
      <c r="T36">
        <f>IFERROR(COUNTIF(OFFSET('Schedule Raw Data'!$A$2,MATCH($A36,'Schedule Raw Data'!$A$3:$A$2477,0),1,COUNTIF('Schedule Raw Data'!$A$3:$A$2477,$A36),2),T$1),0)</f>
        <v>0</v>
      </c>
      <c r="U36">
        <f>IFERROR(COUNTIF(OFFSET('Schedule Raw Data'!$A$2,MATCH($A36,'Schedule Raw Data'!$A$3:$A$2477,0),1,COUNTIF('Schedule Raw Data'!$A$3:$A$2477,$A36),2),U$1),0)</f>
        <v>0</v>
      </c>
      <c r="V36">
        <f>IFERROR(COUNTIF(OFFSET('Schedule Raw Data'!$A$2,MATCH($A36,'Schedule Raw Data'!$A$3:$A$2477,0),1,COUNTIF('Schedule Raw Data'!$A$3:$A$2477,$A36),2),V$1),0)</f>
        <v>0</v>
      </c>
      <c r="W36">
        <f>IFERROR(COUNTIF(OFFSET('Schedule Raw Data'!$A$2,MATCH($A36,'Schedule Raw Data'!$A$3:$A$2477,0),1,COUNTIF('Schedule Raw Data'!$A$3:$A$2477,$A36),2),W$1),0)</f>
        <v>0</v>
      </c>
      <c r="X36">
        <f>IFERROR(COUNTIF(OFFSET('Schedule Raw Data'!$A$2,MATCH($A36,'Schedule Raw Data'!$A$3:$A$2477,0),1,COUNTIF('Schedule Raw Data'!$A$3:$A$2477,$A36),2),X$1),0)</f>
        <v>1</v>
      </c>
      <c r="Y36">
        <f>IFERROR(COUNTIF(OFFSET('Schedule Raw Data'!$A$2,MATCH($A36,'Schedule Raw Data'!$A$3:$A$2477,0),1,COUNTIF('Schedule Raw Data'!$A$3:$A$2477,$A36),2),Y$1),0)</f>
        <v>0</v>
      </c>
      <c r="Z36">
        <f>IFERROR(COUNTIF(OFFSET('Schedule Raw Data'!$A$2,MATCH($A36,'Schedule Raw Data'!$A$3:$A$2477,0),1,COUNTIF('Schedule Raw Data'!$A$3:$A$2477,$A36),2),Z$1),0)</f>
        <v>0</v>
      </c>
      <c r="AA36">
        <f>IFERROR(COUNTIF(OFFSET('Schedule Raw Data'!$A$2,MATCH($A36,'Schedule Raw Data'!$A$3:$A$2477,0),1,COUNTIF('Schedule Raw Data'!$A$3:$A$2477,$A36),2),AA$1),0)</f>
        <v>0</v>
      </c>
      <c r="AB36">
        <f>IFERROR(COUNTIF(OFFSET('Schedule Raw Data'!$A$2,MATCH($A36,'Schedule Raw Data'!$A$3:$A$2477,0),1,COUNTIF('Schedule Raw Data'!$A$3:$A$2477,$A36),2),AB$1),0)</f>
        <v>0</v>
      </c>
      <c r="AC36">
        <f>IFERROR(COUNTIF(OFFSET('Schedule Raw Data'!$A$2,MATCH($A36,'Schedule Raw Data'!$A$3:$A$2477,0),1,COUNTIF('Schedule Raw Data'!$A$3:$A$2477,$A36),2),AC$1),0)</f>
        <v>0</v>
      </c>
      <c r="AD36">
        <f>IFERROR(COUNTIF(OFFSET('Schedule Raw Data'!$A$2,MATCH($A36,'Schedule Raw Data'!$A$3:$A$2477,0),1,COUNTIF('Schedule Raw Data'!$A$3:$A$2477,$A36),2),AD$1),0)</f>
        <v>0</v>
      </c>
      <c r="AE36">
        <f>IFERROR(COUNTIF(OFFSET('Schedule Raw Data'!$A$2,MATCH($A36,'Schedule Raw Data'!$A$3:$A$2477,0),1,COUNTIF('Schedule Raw Data'!$A$3:$A$2477,$A36),2),AE$1),0)</f>
        <v>0</v>
      </c>
      <c r="AF36">
        <f>IFERROR(COUNTIF(OFFSET('Schedule Raw Data'!$A$2,MATCH($A36,'Schedule Raw Data'!$A$3:$A$2477,0),1,COUNTIF('Schedule Raw Data'!$A$3:$A$2477,$A36),2),AF$1),0)</f>
        <v>1</v>
      </c>
      <c r="AG36">
        <f t="shared" si="1"/>
        <v>3</v>
      </c>
    </row>
    <row r="37">
      <c r="A37" s="30">
        <f t="array" ref="A37">INDEX('Schedule Raw Data'!$A$3:$A$2477,MATCH(0,INDEX(COUNTIF($A$1:A36,'Schedule Raw Data'!$A$3:$A$2477),0,0),0))</f>
        <v>46351</v>
      </c>
      <c r="B37">
        <f t="shared" si="2"/>
        <v>6</v>
      </c>
      <c r="C37">
        <f>IFERROR(COUNTIF(OFFSET('Schedule Raw Data'!$A$2,MATCH($A37,'Schedule Raw Data'!$A$3:$A$2477,0),1,COUNTIF('Schedule Raw Data'!$A$3:$A$2477,$A37),2),C$1),0)</f>
        <v>0</v>
      </c>
      <c r="D37">
        <f>IFERROR(COUNTIF(OFFSET('Schedule Raw Data'!$A$2,MATCH($A37,'Schedule Raw Data'!$A$3:$A$2477,0),1,COUNTIF('Schedule Raw Data'!$A$3:$A$2477,$A37),2),D$1),0)</f>
        <v>1</v>
      </c>
      <c r="E37">
        <f>IFERROR(COUNTIF(OFFSET('Schedule Raw Data'!$A$2,MATCH($A37,'Schedule Raw Data'!$A$3:$A$2477,0),1,COUNTIF('Schedule Raw Data'!$A$3:$A$2477,$A37),2),E$1),0)</f>
        <v>0</v>
      </c>
      <c r="F37">
        <f>IFERROR(COUNTIF(OFFSET('Schedule Raw Data'!$A$2,MATCH($A37,'Schedule Raw Data'!$A$3:$A$2477,0),1,COUNTIF('Schedule Raw Data'!$A$3:$A$2477,$A37),2),F$1),0)</f>
        <v>1</v>
      </c>
      <c r="G37">
        <f>IFERROR(COUNTIF(OFFSET('Schedule Raw Data'!$A$2,MATCH($A37,'Schedule Raw Data'!$A$3:$A$2477,0),1,COUNTIF('Schedule Raw Data'!$A$3:$A$2477,$A37),2),G$1),0)</f>
        <v>1</v>
      </c>
      <c r="H37">
        <f>IFERROR(COUNTIF(OFFSET('Schedule Raw Data'!$A$2,MATCH($A37,'Schedule Raw Data'!$A$3:$A$2477,0),1,COUNTIF('Schedule Raw Data'!$A$3:$A$2477,$A37),2),H$1),0)</f>
        <v>1</v>
      </c>
      <c r="I37">
        <f>IFERROR(COUNTIF(OFFSET('Schedule Raw Data'!$A$2,MATCH($A37,'Schedule Raw Data'!$A$3:$A$2477,0),1,COUNTIF('Schedule Raw Data'!$A$3:$A$2477,$A37),2),I$1),0)</f>
        <v>0</v>
      </c>
      <c r="J37">
        <f>IFERROR(COUNTIF(OFFSET('Schedule Raw Data'!$A$2,MATCH($A37,'Schedule Raw Data'!$A$3:$A$2477,0),1,COUNTIF('Schedule Raw Data'!$A$3:$A$2477,$A37),2),J$1),0)</f>
        <v>0</v>
      </c>
      <c r="K37">
        <f>IFERROR(COUNTIF(OFFSET('Schedule Raw Data'!$A$2,MATCH($A37,'Schedule Raw Data'!$A$3:$A$2477,0),1,COUNTIF('Schedule Raw Data'!$A$3:$A$2477,$A37),2),K$1),0)</f>
        <v>0</v>
      </c>
      <c r="L37">
        <f>IFERROR(COUNTIF(OFFSET('Schedule Raw Data'!$A$2,MATCH($A37,'Schedule Raw Data'!$A$3:$A$2477,0),1,COUNTIF('Schedule Raw Data'!$A$3:$A$2477,$A37),2),L$1),0)</f>
        <v>1</v>
      </c>
      <c r="M37">
        <f>IFERROR(COUNTIF(OFFSET('Schedule Raw Data'!$A$2,MATCH($A37,'Schedule Raw Data'!$A$3:$A$2477,0),1,COUNTIF('Schedule Raw Data'!$A$3:$A$2477,$A37),2),M$1),0)</f>
        <v>1</v>
      </c>
      <c r="N37">
        <f>IFERROR(COUNTIF(OFFSET('Schedule Raw Data'!$A$2,MATCH($A37,'Schedule Raw Data'!$A$3:$A$2477,0),1,COUNTIF('Schedule Raw Data'!$A$3:$A$2477,$A37),2),N$1),0)</f>
        <v>0</v>
      </c>
      <c r="O37">
        <f>IFERROR(COUNTIF(OFFSET('Schedule Raw Data'!$A$2,MATCH($A37,'Schedule Raw Data'!$A$3:$A$2477,0),1,COUNTIF('Schedule Raw Data'!$A$3:$A$2477,$A37),2),O$1),0)</f>
        <v>1</v>
      </c>
      <c r="P37">
        <f>IFERROR(COUNTIF(OFFSET('Schedule Raw Data'!$A$2,MATCH($A37,'Schedule Raw Data'!$A$3:$A$2477,0),1,COUNTIF('Schedule Raw Data'!$A$3:$A$2477,$A37),2),P$1),0)</f>
        <v>0</v>
      </c>
      <c r="Q37">
        <f>IFERROR(COUNTIF(OFFSET('Schedule Raw Data'!$A$2,MATCH($A37,'Schedule Raw Data'!$A$3:$A$2477,0),1,COUNTIF('Schedule Raw Data'!$A$3:$A$2477,$A37),2),Q$1),0)</f>
        <v>1</v>
      </c>
      <c r="R37">
        <f>IFERROR(COUNTIF(OFFSET('Schedule Raw Data'!$A$2,MATCH($A37,'Schedule Raw Data'!$A$3:$A$2477,0),1,COUNTIF('Schedule Raw Data'!$A$3:$A$2477,$A37),2),R$1),0)</f>
        <v>1</v>
      </c>
      <c r="S37">
        <f>IFERROR(COUNTIF(OFFSET('Schedule Raw Data'!$A$2,MATCH($A37,'Schedule Raw Data'!$A$3:$A$2477,0),1,COUNTIF('Schedule Raw Data'!$A$3:$A$2477,$A37),2),S$1),0)</f>
        <v>1</v>
      </c>
      <c r="T37">
        <f>IFERROR(COUNTIF(OFFSET('Schedule Raw Data'!$A$2,MATCH($A37,'Schedule Raw Data'!$A$3:$A$2477,0),1,COUNTIF('Schedule Raw Data'!$A$3:$A$2477,$A37),2),T$1),0)</f>
        <v>1</v>
      </c>
      <c r="U37">
        <f>IFERROR(COUNTIF(OFFSET('Schedule Raw Data'!$A$2,MATCH($A37,'Schedule Raw Data'!$A$3:$A$2477,0),1,COUNTIF('Schedule Raw Data'!$A$3:$A$2477,$A37),2),U$1),0)</f>
        <v>0</v>
      </c>
      <c r="V37">
        <f>IFERROR(COUNTIF(OFFSET('Schedule Raw Data'!$A$2,MATCH($A37,'Schedule Raw Data'!$A$3:$A$2477,0),1,COUNTIF('Schedule Raw Data'!$A$3:$A$2477,$A37),2),V$1),0)</f>
        <v>1</v>
      </c>
      <c r="W37">
        <f>IFERROR(COUNTIF(OFFSET('Schedule Raw Data'!$A$2,MATCH($A37,'Schedule Raw Data'!$A$3:$A$2477,0),1,COUNTIF('Schedule Raw Data'!$A$3:$A$2477,$A37),2),W$1),0)</f>
        <v>1</v>
      </c>
      <c r="X37">
        <f>IFERROR(COUNTIF(OFFSET('Schedule Raw Data'!$A$2,MATCH($A37,'Schedule Raw Data'!$A$3:$A$2477,0),1,COUNTIF('Schedule Raw Data'!$A$3:$A$2477,$A37),2),X$1),0)</f>
        <v>0</v>
      </c>
      <c r="Y37">
        <f>IFERROR(COUNTIF(OFFSET('Schedule Raw Data'!$A$2,MATCH($A37,'Schedule Raw Data'!$A$3:$A$2477,0),1,COUNTIF('Schedule Raw Data'!$A$3:$A$2477,$A37),2),Y$1),0)</f>
        <v>1</v>
      </c>
      <c r="Z37">
        <f>IFERROR(COUNTIF(OFFSET('Schedule Raw Data'!$A$2,MATCH($A37,'Schedule Raw Data'!$A$3:$A$2477,0),1,COUNTIF('Schedule Raw Data'!$A$3:$A$2477,$A37),2),Z$1),0)</f>
        <v>1</v>
      </c>
      <c r="AA37">
        <f>IFERROR(COUNTIF(OFFSET('Schedule Raw Data'!$A$2,MATCH($A37,'Schedule Raw Data'!$A$3:$A$2477,0),1,COUNTIF('Schedule Raw Data'!$A$3:$A$2477,$A37),2),AA$1),0)</f>
        <v>1</v>
      </c>
      <c r="AB37">
        <f>IFERROR(COUNTIF(OFFSET('Schedule Raw Data'!$A$2,MATCH($A37,'Schedule Raw Data'!$A$3:$A$2477,0),1,COUNTIF('Schedule Raw Data'!$A$3:$A$2477,$A37),2),AB$1),0)</f>
        <v>1</v>
      </c>
      <c r="AC37">
        <f>IFERROR(COUNTIF(OFFSET('Schedule Raw Data'!$A$2,MATCH($A37,'Schedule Raw Data'!$A$3:$A$2477,0),1,COUNTIF('Schedule Raw Data'!$A$3:$A$2477,$A37),2),AC$1),0)</f>
        <v>1</v>
      </c>
      <c r="AD37">
        <f>IFERROR(COUNTIF(OFFSET('Schedule Raw Data'!$A$2,MATCH($A37,'Schedule Raw Data'!$A$3:$A$2477,0),1,COUNTIF('Schedule Raw Data'!$A$3:$A$2477,$A37),2),AD$1),0)</f>
        <v>0</v>
      </c>
      <c r="AE37">
        <f>IFERROR(COUNTIF(OFFSET('Schedule Raw Data'!$A$2,MATCH($A37,'Schedule Raw Data'!$A$3:$A$2477,0),1,COUNTIF('Schedule Raw Data'!$A$3:$A$2477,$A37),2),AE$1),0)</f>
        <v>0</v>
      </c>
      <c r="AF37">
        <f>IFERROR(COUNTIF(OFFSET('Schedule Raw Data'!$A$2,MATCH($A37,'Schedule Raw Data'!$A$3:$A$2477,0),1,COUNTIF('Schedule Raw Data'!$A$3:$A$2477,$A37),2),AF$1),0)</f>
        <v>0</v>
      </c>
      <c r="AG37">
        <f t="shared" si="1"/>
        <v>9</v>
      </c>
    </row>
    <row r="38">
      <c r="A38" s="30">
        <f t="array" ref="A38">INDEX('Schedule Raw Data'!$A$3:$A$2477,MATCH(0,INDEX(COUNTIF($A$1:A37,'Schedule Raw Data'!$A$3:$A$2477),0,0),0))</f>
        <v>46353</v>
      </c>
      <c r="B38">
        <f t="shared" si="2"/>
        <v>6</v>
      </c>
      <c r="C38">
        <f>IFERROR(COUNTIF(OFFSET('Schedule Raw Data'!$A$2,MATCH($A38,'Schedule Raw Data'!$A$3:$A$2477,0),1,COUNTIF('Schedule Raw Data'!$A$3:$A$2477,$A38),2),C$1),0)</f>
        <v>1</v>
      </c>
      <c r="D38">
        <f>IFERROR(COUNTIF(OFFSET('Schedule Raw Data'!$A$2,MATCH($A38,'Schedule Raw Data'!$A$3:$A$2477,0),1,COUNTIF('Schedule Raw Data'!$A$3:$A$2477,$A38),2),D$1),0)</f>
        <v>1</v>
      </c>
      <c r="E38">
        <f>IFERROR(COUNTIF(OFFSET('Schedule Raw Data'!$A$2,MATCH($A38,'Schedule Raw Data'!$A$3:$A$2477,0),1,COUNTIF('Schedule Raw Data'!$A$3:$A$2477,$A38),2),E$1),0)</f>
        <v>1</v>
      </c>
      <c r="F38">
        <f>IFERROR(COUNTIF(OFFSET('Schedule Raw Data'!$A$2,MATCH($A38,'Schedule Raw Data'!$A$3:$A$2477,0),1,COUNTIF('Schedule Raw Data'!$A$3:$A$2477,$A38),2),F$1),0)</f>
        <v>0</v>
      </c>
      <c r="G38">
        <f>IFERROR(COUNTIF(OFFSET('Schedule Raw Data'!$A$2,MATCH($A38,'Schedule Raw Data'!$A$3:$A$2477,0),1,COUNTIF('Schedule Raw Data'!$A$3:$A$2477,$A38),2),G$1),0)</f>
        <v>0</v>
      </c>
      <c r="H38">
        <f>IFERROR(COUNTIF(OFFSET('Schedule Raw Data'!$A$2,MATCH($A38,'Schedule Raw Data'!$A$3:$A$2477,0),1,COUNTIF('Schedule Raw Data'!$A$3:$A$2477,$A38),2),H$1),0)</f>
        <v>0</v>
      </c>
      <c r="I38">
        <f>IFERROR(COUNTIF(OFFSET('Schedule Raw Data'!$A$2,MATCH($A38,'Schedule Raw Data'!$A$3:$A$2477,0),1,COUNTIF('Schedule Raw Data'!$A$3:$A$2477,$A38),2),I$1),0)</f>
        <v>1</v>
      </c>
      <c r="J38">
        <f>IFERROR(COUNTIF(OFFSET('Schedule Raw Data'!$A$2,MATCH($A38,'Schedule Raw Data'!$A$3:$A$2477,0),1,COUNTIF('Schedule Raw Data'!$A$3:$A$2477,$A38),2),J$1),0)</f>
        <v>1</v>
      </c>
      <c r="K38">
        <f>IFERROR(COUNTIF(OFFSET('Schedule Raw Data'!$A$2,MATCH($A38,'Schedule Raw Data'!$A$3:$A$2477,0),1,COUNTIF('Schedule Raw Data'!$A$3:$A$2477,$A38),2),K$1),0)</f>
        <v>1</v>
      </c>
      <c r="L38">
        <f>IFERROR(COUNTIF(OFFSET('Schedule Raw Data'!$A$2,MATCH($A38,'Schedule Raw Data'!$A$3:$A$2477,0),1,COUNTIF('Schedule Raw Data'!$A$3:$A$2477,$A38),2),L$1),0)</f>
        <v>1</v>
      </c>
      <c r="M38">
        <f>IFERROR(COUNTIF(OFFSET('Schedule Raw Data'!$A$2,MATCH($A38,'Schedule Raw Data'!$A$3:$A$2477,0),1,COUNTIF('Schedule Raw Data'!$A$3:$A$2477,$A38),2),M$1),0)</f>
        <v>0</v>
      </c>
      <c r="N38">
        <f>IFERROR(COUNTIF(OFFSET('Schedule Raw Data'!$A$2,MATCH($A38,'Schedule Raw Data'!$A$3:$A$2477,0),1,COUNTIF('Schedule Raw Data'!$A$3:$A$2477,$A38),2),N$1),0)</f>
        <v>1</v>
      </c>
      <c r="O38">
        <f>IFERROR(COUNTIF(OFFSET('Schedule Raw Data'!$A$2,MATCH($A38,'Schedule Raw Data'!$A$3:$A$2477,0),1,COUNTIF('Schedule Raw Data'!$A$3:$A$2477,$A38),2),O$1),0)</f>
        <v>1</v>
      </c>
      <c r="P38">
        <f>IFERROR(COUNTIF(OFFSET('Schedule Raw Data'!$A$2,MATCH($A38,'Schedule Raw Data'!$A$3:$A$2477,0),1,COUNTIF('Schedule Raw Data'!$A$3:$A$2477,$A38),2),P$1),0)</f>
        <v>1</v>
      </c>
      <c r="Q38">
        <f>IFERROR(COUNTIF(OFFSET('Schedule Raw Data'!$A$2,MATCH($A38,'Schedule Raw Data'!$A$3:$A$2477,0),1,COUNTIF('Schedule Raw Data'!$A$3:$A$2477,$A38),2),Q$1),0)</f>
        <v>1</v>
      </c>
      <c r="R38">
        <f>IFERROR(COUNTIF(OFFSET('Schedule Raw Data'!$A$2,MATCH($A38,'Schedule Raw Data'!$A$3:$A$2477,0),1,COUNTIF('Schedule Raw Data'!$A$3:$A$2477,$A38),2),R$1),0)</f>
        <v>1</v>
      </c>
      <c r="S38">
        <f>IFERROR(COUNTIF(OFFSET('Schedule Raw Data'!$A$2,MATCH($A38,'Schedule Raw Data'!$A$3:$A$2477,0),1,COUNTIF('Schedule Raw Data'!$A$3:$A$2477,$A38),2),S$1),0)</f>
        <v>1</v>
      </c>
      <c r="T38">
        <f>IFERROR(COUNTIF(OFFSET('Schedule Raw Data'!$A$2,MATCH($A38,'Schedule Raw Data'!$A$3:$A$2477,0),1,COUNTIF('Schedule Raw Data'!$A$3:$A$2477,$A38),2),T$1),0)</f>
        <v>1</v>
      </c>
      <c r="U38">
        <f>IFERROR(COUNTIF(OFFSET('Schedule Raw Data'!$A$2,MATCH($A38,'Schedule Raw Data'!$A$3:$A$2477,0),1,COUNTIF('Schedule Raw Data'!$A$3:$A$2477,$A38),2),U$1),0)</f>
        <v>1</v>
      </c>
      <c r="V38">
        <f>IFERROR(COUNTIF(OFFSET('Schedule Raw Data'!$A$2,MATCH($A38,'Schedule Raw Data'!$A$3:$A$2477,0),1,COUNTIF('Schedule Raw Data'!$A$3:$A$2477,$A38),2),V$1),0)</f>
        <v>1</v>
      </c>
      <c r="W38">
        <f>IFERROR(COUNTIF(OFFSET('Schedule Raw Data'!$A$2,MATCH($A38,'Schedule Raw Data'!$A$3:$A$2477,0),1,COUNTIF('Schedule Raw Data'!$A$3:$A$2477,$A38),2),W$1),0)</f>
        <v>0</v>
      </c>
      <c r="X38">
        <f>IFERROR(COUNTIF(OFFSET('Schedule Raw Data'!$A$2,MATCH($A38,'Schedule Raw Data'!$A$3:$A$2477,0),1,COUNTIF('Schedule Raw Data'!$A$3:$A$2477,$A38),2),X$1),0)</f>
        <v>0</v>
      </c>
      <c r="Y38">
        <f>IFERROR(COUNTIF(OFFSET('Schedule Raw Data'!$A$2,MATCH($A38,'Schedule Raw Data'!$A$3:$A$2477,0),1,COUNTIF('Schedule Raw Data'!$A$3:$A$2477,$A38),2),Y$1),0)</f>
        <v>1</v>
      </c>
      <c r="Z38">
        <f>IFERROR(COUNTIF(OFFSET('Schedule Raw Data'!$A$2,MATCH($A38,'Schedule Raw Data'!$A$3:$A$2477,0),1,COUNTIF('Schedule Raw Data'!$A$3:$A$2477,$A38),2),Z$1),0)</f>
        <v>1</v>
      </c>
      <c r="AA38">
        <f>IFERROR(COUNTIF(OFFSET('Schedule Raw Data'!$A$2,MATCH($A38,'Schedule Raw Data'!$A$3:$A$2477,0),1,COUNTIF('Schedule Raw Data'!$A$3:$A$2477,$A38),2),AA$1),0)</f>
        <v>1</v>
      </c>
      <c r="AB38">
        <f>IFERROR(COUNTIF(OFFSET('Schedule Raw Data'!$A$2,MATCH($A38,'Schedule Raw Data'!$A$3:$A$2477,0),1,COUNTIF('Schedule Raw Data'!$A$3:$A$2477,$A38),2),AB$1),0)</f>
        <v>0</v>
      </c>
      <c r="AC38">
        <f>IFERROR(COUNTIF(OFFSET('Schedule Raw Data'!$A$2,MATCH($A38,'Schedule Raw Data'!$A$3:$A$2477,0),1,COUNTIF('Schedule Raw Data'!$A$3:$A$2477,$A38),2),AC$1),0)</f>
        <v>1</v>
      </c>
      <c r="AD38">
        <f>IFERROR(COUNTIF(OFFSET('Schedule Raw Data'!$A$2,MATCH($A38,'Schedule Raw Data'!$A$3:$A$2477,0),1,COUNTIF('Schedule Raw Data'!$A$3:$A$2477,$A38),2),AD$1),0)</f>
        <v>1</v>
      </c>
      <c r="AE38">
        <f>IFERROR(COUNTIF(OFFSET('Schedule Raw Data'!$A$2,MATCH($A38,'Schedule Raw Data'!$A$3:$A$2477,0),1,COUNTIF('Schedule Raw Data'!$A$3:$A$2477,$A38),2),AE$1),0)</f>
        <v>1</v>
      </c>
      <c r="AF38">
        <f>IFERROR(COUNTIF(OFFSET('Schedule Raw Data'!$A$2,MATCH($A38,'Schedule Raw Data'!$A$3:$A$2477,0),1,COUNTIF('Schedule Raw Data'!$A$3:$A$2477,$A38),2),AF$1),0)</f>
        <v>0</v>
      </c>
      <c r="AG38">
        <f t="shared" si="1"/>
        <v>11</v>
      </c>
    </row>
    <row r="39">
      <c r="A39" s="30">
        <f t="array" ref="A39">INDEX('Schedule Raw Data'!$A$3:$A$2477,MATCH(0,INDEX(COUNTIF($A$1:A38,'Schedule Raw Data'!$A$3:$A$2477),0,0),0))</f>
        <v>46354</v>
      </c>
      <c r="B39">
        <f t="shared" si="2"/>
        <v>6</v>
      </c>
      <c r="C39">
        <f>IFERROR(COUNTIF(OFFSET('Schedule Raw Data'!$A$2,MATCH($A39,'Schedule Raw Data'!$A$3:$A$2477,0),1,COUNTIF('Schedule Raw Data'!$A$3:$A$2477,$A39),2),C$1),0)</f>
        <v>0</v>
      </c>
      <c r="D39">
        <f>IFERROR(COUNTIF(OFFSET('Schedule Raw Data'!$A$2,MATCH($A39,'Schedule Raw Data'!$A$3:$A$2477,0),1,COUNTIF('Schedule Raw Data'!$A$3:$A$2477,$A39),2),D$1),0)</f>
        <v>1</v>
      </c>
      <c r="E39">
        <f>IFERROR(COUNTIF(OFFSET('Schedule Raw Data'!$A$2,MATCH($A39,'Schedule Raw Data'!$A$3:$A$2477,0),1,COUNTIF('Schedule Raw Data'!$A$3:$A$2477,$A39),2),E$1),0)</f>
        <v>0</v>
      </c>
      <c r="F39">
        <f>IFERROR(COUNTIF(OFFSET('Schedule Raw Data'!$A$2,MATCH($A39,'Schedule Raw Data'!$A$3:$A$2477,0),1,COUNTIF('Schedule Raw Data'!$A$3:$A$2477,$A39),2),F$1),0)</f>
        <v>1</v>
      </c>
      <c r="G39">
        <f>IFERROR(COUNTIF(OFFSET('Schedule Raw Data'!$A$2,MATCH($A39,'Schedule Raw Data'!$A$3:$A$2477,0),1,COUNTIF('Schedule Raw Data'!$A$3:$A$2477,$A39),2),G$1),0)</f>
        <v>1</v>
      </c>
      <c r="H39">
        <f>IFERROR(COUNTIF(OFFSET('Schedule Raw Data'!$A$2,MATCH($A39,'Schedule Raw Data'!$A$3:$A$2477,0),1,COUNTIF('Schedule Raw Data'!$A$3:$A$2477,$A39),2),H$1),0)</f>
        <v>0</v>
      </c>
      <c r="I39">
        <f>IFERROR(COUNTIF(OFFSET('Schedule Raw Data'!$A$2,MATCH($A39,'Schedule Raw Data'!$A$3:$A$2477,0),1,COUNTIF('Schedule Raw Data'!$A$3:$A$2477,$A39),2),I$1),0)</f>
        <v>0</v>
      </c>
      <c r="J39">
        <f>IFERROR(COUNTIF(OFFSET('Schedule Raw Data'!$A$2,MATCH($A39,'Schedule Raw Data'!$A$3:$A$2477,0),1,COUNTIF('Schedule Raw Data'!$A$3:$A$2477,$A39),2),J$1),0)</f>
        <v>0</v>
      </c>
      <c r="K39">
        <f>IFERROR(COUNTIF(OFFSET('Schedule Raw Data'!$A$2,MATCH($A39,'Schedule Raw Data'!$A$3:$A$2477,0),1,COUNTIF('Schedule Raw Data'!$A$3:$A$2477,$A39),2),K$1),0)</f>
        <v>0</v>
      </c>
      <c r="L39">
        <f>IFERROR(COUNTIF(OFFSET('Schedule Raw Data'!$A$2,MATCH($A39,'Schedule Raw Data'!$A$3:$A$2477,0),1,COUNTIF('Schedule Raw Data'!$A$3:$A$2477,$A39),2),L$1),0)</f>
        <v>0</v>
      </c>
      <c r="M39">
        <f>IFERROR(COUNTIF(OFFSET('Schedule Raw Data'!$A$2,MATCH($A39,'Schedule Raw Data'!$A$3:$A$2477,0),1,COUNTIF('Schedule Raw Data'!$A$3:$A$2477,$A39),2),M$1),0)</f>
        <v>1</v>
      </c>
      <c r="N39">
        <f>IFERROR(COUNTIF(OFFSET('Schedule Raw Data'!$A$2,MATCH($A39,'Schedule Raw Data'!$A$3:$A$2477,0),1,COUNTIF('Schedule Raw Data'!$A$3:$A$2477,$A39),2),N$1),0)</f>
        <v>1</v>
      </c>
      <c r="O39">
        <f>IFERROR(COUNTIF(OFFSET('Schedule Raw Data'!$A$2,MATCH($A39,'Schedule Raw Data'!$A$3:$A$2477,0),1,COUNTIF('Schedule Raw Data'!$A$3:$A$2477,$A39),2),O$1),0)</f>
        <v>0</v>
      </c>
      <c r="P39">
        <f>IFERROR(COUNTIF(OFFSET('Schedule Raw Data'!$A$2,MATCH($A39,'Schedule Raw Data'!$A$3:$A$2477,0),1,COUNTIF('Schedule Raw Data'!$A$3:$A$2477,$A39),2),P$1),0)</f>
        <v>0</v>
      </c>
      <c r="Q39">
        <f>IFERROR(COUNTIF(OFFSET('Schedule Raw Data'!$A$2,MATCH($A39,'Schedule Raw Data'!$A$3:$A$2477,0),1,COUNTIF('Schedule Raw Data'!$A$3:$A$2477,$A39),2),Q$1),0)</f>
        <v>0</v>
      </c>
      <c r="R39">
        <f>IFERROR(COUNTIF(OFFSET('Schedule Raw Data'!$A$2,MATCH($A39,'Schedule Raw Data'!$A$3:$A$2477,0),1,COUNTIF('Schedule Raw Data'!$A$3:$A$2477,$A39),2),R$1),0)</f>
        <v>0</v>
      </c>
      <c r="S39">
        <f>IFERROR(COUNTIF(OFFSET('Schedule Raw Data'!$A$2,MATCH($A39,'Schedule Raw Data'!$A$3:$A$2477,0),1,COUNTIF('Schedule Raw Data'!$A$3:$A$2477,$A39),2),S$1),0)</f>
        <v>1</v>
      </c>
      <c r="T39">
        <f>IFERROR(COUNTIF(OFFSET('Schedule Raw Data'!$A$2,MATCH($A39,'Schedule Raw Data'!$A$3:$A$2477,0),1,COUNTIF('Schedule Raw Data'!$A$3:$A$2477,$A39),2),T$1),0)</f>
        <v>0</v>
      </c>
      <c r="U39">
        <f>IFERROR(COUNTIF(OFFSET('Schedule Raw Data'!$A$2,MATCH($A39,'Schedule Raw Data'!$A$3:$A$2477,0),1,COUNTIF('Schedule Raw Data'!$A$3:$A$2477,$A39),2),U$1),0)</f>
        <v>0</v>
      </c>
      <c r="V39">
        <f>IFERROR(COUNTIF(OFFSET('Schedule Raw Data'!$A$2,MATCH($A39,'Schedule Raw Data'!$A$3:$A$2477,0),1,COUNTIF('Schedule Raw Data'!$A$3:$A$2477,$A39),2),V$1),0)</f>
        <v>0</v>
      </c>
      <c r="W39">
        <f>IFERROR(COUNTIF(OFFSET('Schedule Raw Data'!$A$2,MATCH($A39,'Schedule Raw Data'!$A$3:$A$2477,0),1,COUNTIF('Schedule Raw Data'!$A$3:$A$2477,$A39),2),W$1),0)</f>
        <v>1</v>
      </c>
      <c r="X39">
        <f>IFERROR(COUNTIF(OFFSET('Schedule Raw Data'!$A$2,MATCH($A39,'Schedule Raw Data'!$A$3:$A$2477,0),1,COUNTIF('Schedule Raw Data'!$A$3:$A$2477,$A39),2),X$1),0)</f>
        <v>1</v>
      </c>
      <c r="Y39">
        <f>IFERROR(COUNTIF(OFFSET('Schedule Raw Data'!$A$2,MATCH($A39,'Schedule Raw Data'!$A$3:$A$2477,0),1,COUNTIF('Schedule Raw Data'!$A$3:$A$2477,$A39),2),Y$1),0)</f>
        <v>1</v>
      </c>
      <c r="Z39">
        <f>IFERROR(COUNTIF(OFFSET('Schedule Raw Data'!$A$2,MATCH($A39,'Schedule Raw Data'!$A$3:$A$2477,0),1,COUNTIF('Schedule Raw Data'!$A$3:$A$2477,$A39),2),Z$1),0)</f>
        <v>0</v>
      </c>
      <c r="AA39">
        <f>IFERROR(COUNTIF(OFFSET('Schedule Raw Data'!$A$2,MATCH($A39,'Schedule Raw Data'!$A$3:$A$2477,0),1,COUNTIF('Schedule Raw Data'!$A$3:$A$2477,$A39),2),AA$1),0)</f>
        <v>0</v>
      </c>
      <c r="AB39">
        <f>IFERROR(COUNTIF(OFFSET('Schedule Raw Data'!$A$2,MATCH($A39,'Schedule Raw Data'!$A$3:$A$2477,0),1,COUNTIF('Schedule Raw Data'!$A$3:$A$2477,$A39),2),AB$1),0)</f>
        <v>0</v>
      </c>
      <c r="AC39">
        <f>IFERROR(COUNTIF(OFFSET('Schedule Raw Data'!$A$2,MATCH($A39,'Schedule Raw Data'!$A$3:$A$2477,0),1,COUNTIF('Schedule Raw Data'!$A$3:$A$2477,$A39),2),AC$1),0)</f>
        <v>0</v>
      </c>
      <c r="AD39">
        <f>IFERROR(COUNTIF(OFFSET('Schedule Raw Data'!$A$2,MATCH($A39,'Schedule Raw Data'!$A$3:$A$2477,0),1,COUNTIF('Schedule Raw Data'!$A$3:$A$2477,$A39),2),AD$1),0)</f>
        <v>0</v>
      </c>
      <c r="AE39">
        <f>IFERROR(COUNTIF(OFFSET('Schedule Raw Data'!$A$2,MATCH($A39,'Schedule Raw Data'!$A$3:$A$2477,0),1,COUNTIF('Schedule Raw Data'!$A$3:$A$2477,$A39),2),AE$1),0)</f>
        <v>0</v>
      </c>
      <c r="AF39">
        <f>IFERROR(COUNTIF(OFFSET('Schedule Raw Data'!$A$2,MATCH($A39,'Schedule Raw Data'!$A$3:$A$2477,0),1,COUNTIF('Schedule Raw Data'!$A$3:$A$2477,$A39),2),AF$1),0)</f>
        <v>1</v>
      </c>
      <c r="AG39">
        <f t="shared" si="1"/>
        <v>5</v>
      </c>
    </row>
    <row r="40">
      <c r="A40" s="30">
        <f t="array" ref="A40">INDEX('Schedule Raw Data'!$A$3:$A$2477,MATCH(0,INDEX(COUNTIF($A$1:A39,'Schedule Raw Data'!$A$3:$A$2477),0,0),0))</f>
        <v>46355</v>
      </c>
      <c r="B40">
        <f t="shared" si="2"/>
        <v>6</v>
      </c>
      <c r="C40">
        <f>IFERROR(COUNTIF(OFFSET('Schedule Raw Data'!$A$2,MATCH($A40,'Schedule Raw Data'!$A$3:$A$2477,0),1,COUNTIF('Schedule Raw Data'!$A$3:$A$2477,$A40),2),C$1),0)</f>
        <v>1</v>
      </c>
      <c r="D40">
        <f>IFERROR(COUNTIF(OFFSET('Schedule Raw Data'!$A$2,MATCH($A40,'Schedule Raw Data'!$A$3:$A$2477,0),1,COUNTIF('Schedule Raw Data'!$A$3:$A$2477,$A40),2),D$1),0)</f>
        <v>0</v>
      </c>
      <c r="E40">
        <f>IFERROR(COUNTIF(OFFSET('Schedule Raw Data'!$A$2,MATCH($A40,'Schedule Raw Data'!$A$3:$A$2477,0),1,COUNTIF('Schedule Raw Data'!$A$3:$A$2477,$A40),2),E$1),0)</f>
        <v>1</v>
      </c>
      <c r="F40">
        <f>IFERROR(COUNTIF(OFFSET('Schedule Raw Data'!$A$2,MATCH($A40,'Schedule Raw Data'!$A$3:$A$2477,0),1,COUNTIF('Schedule Raw Data'!$A$3:$A$2477,$A40),2),F$1),0)</f>
        <v>0</v>
      </c>
      <c r="G40">
        <f>IFERROR(COUNTIF(OFFSET('Schedule Raw Data'!$A$2,MATCH($A40,'Schedule Raw Data'!$A$3:$A$2477,0),1,COUNTIF('Schedule Raw Data'!$A$3:$A$2477,$A40),2),G$1),0)</f>
        <v>0</v>
      </c>
      <c r="H40">
        <f>IFERROR(COUNTIF(OFFSET('Schedule Raw Data'!$A$2,MATCH($A40,'Schedule Raw Data'!$A$3:$A$2477,0),1,COUNTIF('Schedule Raw Data'!$A$3:$A$2477,$A40),2),H$1),0)</f>
        <v>1</v>
      </c>
      <c r="I40">
        <f>IFERROR(COUNTIF(OFFSET('Schedule Raw Data'!$A$2,MATCH($A40,'Schedule Raw Data'!$A$3:$A$2477,0),1,COUNTIF('Schedule Raw Data'!$A$3:$A$2477,$A40),2),I$1),0)</f>
        <v>0</v>
      </c>
      <c r="J40">
        <f>IFERROR(COUNTIF(OFFSET('Schedule Raw Data'!$A$2,MATCH($A40,'Schedule Raw Data'!$A$3:$A$2477,0),1,COUNTIF('Schedule Raw Data'!$A$3:$A$2477,$A40),2),J$1),0)</f>
        <v>1</v>
      </c>
      <c r="K40">
        <f>IFERROR(COUNTIF(OFFSET('Schedule Raw Data'!$A$2,MATCH($A40,'Schedule Raw Data'!$A$3:$A$2477,0),1,COUNTIF('Schedule Raw Data'!$A$3:$A$2477,$A40),2),K$1),0)</f>
        <v>1</v>
      </c>
      <c r="L40">
        <f>IFERROR(COUNTIF(OFFSET('Schedule Raw Data'!$A$2,MATCH($A40,'Schedule Raw Data'!$A$3:$A$2477,0),1,COUNTIF('Schedule Raw Data'!$A$3:$A$2477,$A40),2),L$1),0)</f>
        <v>1</v>
      </c>
      <c r="M40">
        <f>IFERROR(COUNTIF(OFFSET('Schedule Raw Data'!$A$2,MATCH($A40,'Schedule Raw Data'!$A$3:$A$2477,0),1,COUNTIF('Schedule Raw Data'!$A$3:$A$2477,$A40),2),M$1),0)</f>
        <v>0</v>
      </c>
      <c r="N40">
        <f>IFERROR(COUNTIF(OFFSET('Schedule Raw Data'!$A$2,MATCH($A40,'Schedule Raw Data'!$A$3:$A$2477,0),1,COUNTIF('Schedule Raw Data'!$A$3:$A$2477,$A40),2),N$1),0)</f>
        <v>0</v>
      </c>
      <c r="O40">
        <f>IFERROR(COUNTIF(OFFSET('Schedule Raw Data'!$A$2,MATCH($A40,'Schedule Raw Data'!$A$3:$A$2477,0),1,COUNTIF('Schedule Raw Data'!$A$3:$A$2477,$A40),2),O$1),0)</f>
        <v>1</v>
      </c>
      <c r="P40">
        <f>IFERROR(COUNTIF(OFFSET('Schedule Raw Data'!$A$2,MATCH($A40,'Schedule Raw Data'!$A$3:$A$2477,0),1,COUNTIF('Schedule Raw Data'!$A$3:$A$2477,$A40),2),P$1),0)</f>
        <v>1</v>
      </c>
      <c r="Q40">
        <f>IFERROR(COUNTIF(OFFSET('Schedule Raw Data'!$A$2,MATCH($A40,'Schedule Raw Data'!$A$3:$A$2477,0),1,COUNTIF('Schedule Raw Data'!$A$3:$A$2477,$A40),2),Q$1),0)</f>
        <v>1</v>
      </c>
      <c r="R40">
        <f>IFERROR(COUNTIF(OFFSET('Schedule Raw Data'!$A$2,MATCH($A40,'Schedule Raw Data'!$A$3:$A$2477,0),1,COUNTIF('Schedule Raw Data'!$A$3:$A$2477,$A40),2),R$1),0)</f>
        <v>1</v>
      </c>
      <c r="S40">
        <f>IFERROR(COUNTIF(OFFSET('Schedule Raw Data'!$A$2,MATCH($A40,'Schedule Raw Data'!$A$3:$A$2477,0),1,COUNTIF('Schedule Raw Data'!$A$3:$A$2477,$A40),2),S$1),0)</f>
        <v>0</v>
      </c>
      <c r="T40">
        <f>IFERROR(COUNTIF(OFFSET('Schedule Raw Data'!$A$2,MATCH($A40,'Schedule Raw Data'!$A$3:$A$2477,0),1,COUNTIF('Schedule Raw Data'!$A$3:$A$2477,$A40),2),T$1),0)</f>
        <v>1</v>
      </c>
      <c r="U40">
        <f>IFERROR(COUNTIF(OFFSET('Schedule Raw Data'!$A$2,MATCH($A40,'Schedule Raw Data'!$A$3:$A$2477,0),1,COUNTIF('Schedule Raw Data'!$A$3:$A$2477,$A40),2),U$1),0)</f>
        <v>1</v>
      </c>
      <c r="V40">
        <f>IFERROR(COUNTIF(OFFSET('Schedule Raw Data'!$A$2,MATCH($A40,'Schedule Raw Data'!$A$3:$A$2477,0),1,COUNTIF('Schedule Raw Data'!$A$3:$A$2477,$A40),2),V$1),0)</f>
        <v>1</v>
      </c>
      <c r="W40">
        <f>IFERROR(COUNTIF(OFFSET('Schedule Raw Data'!$A$2,MATCH($A40,'Schedule Raw Data'!$A$3:$A$2477,0),1,COUNTIF('Schedule Raw Data'!$A$3:$A$2477,$A40),2),W$1),0)</f>
        <v>0</v>
      </c>
      <c r="X40">
        <f>IFERROR(COUNTIF(OFFSET('Schedule Raw Data'!$A$2,MATCH($A40,'Schedule Raw Data'!$A$3:$A$2477,0),1,COUNTIF('Schedule Raw Data'!$A$3:$A$2477,$A40),2),X$1),0)</f>
        <v>1</v>
      </c>
      <c r="Y40">
        <f>IFERROR(COUNTIF(OFFSET('Schedule Raw Data'!$A$2,MATCH($A40,'Schedule Raw Data'!$A$3:$A$2477,0),1,COUNTIF('Schedule Raw Data'!$A$3:$A$2477,$A40),2),Y$1),0)</f>
        <v>0</v>
      </c>
      <c r="Z40">
        <f>IFERROR(COUNTIF(OFFSET('Schedule Raw Data'!$A$2,MATCH($A40,'Schedule Raw Data'!$A$3:$A$2477,0),1,COUNTIF('Schedule Raw Data'!$A$3:$A$2477,$A40),2),Z$1),0)</f>
        <v>1</v>
      </c>
      <c r="AA40">
        <f>IFERROR(COUNTIF(OFFSET('Schedule Raw Data'!$A$2,MATCH($A40,'Schedule Raw Data'!$A$3:$A$2477,0),1,COUNTIF('Schedule Raw Data'!$A$3:$A$2477,$A40),2),AA$1),0)</f>
        <v>1</v>
      </c>
      <c r="AB40">
        <f>IFERROR(COUNTIF(OFFSET('Schedule Raw Data'!$A$2,MATCH($A40,'Schedule Raw Data'!$A$3:$A$2477,0),1,COUNTIF('Schedule Raw Data'!$A$3:$A$2477,$A40),2),AB$1),0)</f>
        <v>1</v>
      </c>
      <c r="AC40">
        <f>IFERROR(COUNTIF(OFFSET('Schedule Raw Data'!$A$2,MATCH($A40,'Schedule Raw Data'!$A$3:$A$2477,0),1,COUNTIF('Schedule Raw Data'!$A$3:$A$2477,$A40),2),AC$1),0)</f>
        <v>1</v>
      </c>
      <c r="AD40">
        <f>IFERROR(COUNTIF(OFFSET('Schedule Raw Data'!$A$2,MATCH($A40,'Schedule Raw Data'!$A$3:$A$2477,0),1,COUNTIF('Schedule Raw Data'!$A$3:$A$2477,$A40),2),AD$1),0)</f>
        <v>1</v>
      </c>
      <c r="AE40">
        <f>IFERROR(COUNTIF(OFFSET('Schedule Raw Data'!$A$2,MATCH($A40,'Schedule Raw Data'!$A$3:$A$2477,0),1,COUNTIF('Schedule Raw Data'!$A$3:$A$2477,$A40),2),AE$1),0)</f>
        <v>1</v>
      </c>
      <c r="AF40">
        <f>IFERROR(COUNTIF(OFFSET('Schedule Raw Data'!$A$2,MATCH($A40,'Schedule Raw Data'!$A$3:$A$2477,0),1,COUNTIF('Schedule Raw Data'!$A$3:$A$2477,$A40),2),AF$1),0)</f>
        <v>0</v>
      </c>
      <c r="AG40">
        <f t="shared" si="1"/>
        <v>10</v>
      </c>
    </row>
    <row r="41">
      <c r="A41" s="30">
        <f t="array" ref="A41">INDEX('Schedule Raw Data'!$A$3:$A$2477,MATCH(0,INDEX(COUNTIF($A$1:A40,'Schedule Raw Data'!$A$3:$A$2477),0,0),0))</f>
        <v>46356</v>
      </c>
      <c r="B41">
        <f t="shared" si="2"/>
        <v>7</v>
      </c>
      <c r="C41">
        <f>IFERROR(COUNTIF(OFFSET('Schedule Raw Data'!$A$2,MATCH($A41,'Schedule Raw Data'!$A$3:$A$2477,0),1,COUNTIF('Schedule Raw Data'!$A$3:$A$2477,$A41),2),C$1),0)</f>
        <v>0</v>
      </c>
      <c r="D41">
        <f>IFERROR(COUNTIF(OFFSET('Schedule Raw Data'!$A$2,MATCH($A41,'Schedule Raw Data'!$A$3:$A$2477,0),1,COUNTIF('Schedule Raw Data'!$A$3:$A$2477,$A41),2),D$1),0)</f>
        <v>1</v>
      </c>
      <c r="E41">
        <f>IFERROR(COUNTIF(OFFSET('Schedule Raw Data'!$A$2,MATCH($A41,'Schedule Raw Data'!$A$3:$A$2477,0),1,COUNTIF('Schedule Raw Data'!$A$3:$A$2477,$A41),2),E$1),0)</f>
        <v>1</v>
      </c>
      <c r="F41">
        <f>IFERROR(COUNTIF(OFFSET('Schedule Raw Data'!$A$2,MATCH($A41,'Schedule Raw Data'!$A$3:$A$2477,0),1,COUNTIF('Schedule Raw Data'!$A$3:$A$2477,$A41),2),F$1),0)</f>
        <v>1</v>
      </c>
      <c r="G41">
        <f>IFERROR(COUNTIF(OFFSET('Schedule Raw Data'!$A$2,MATCH($A41,'Schedule Raw Data'!$A$3:$A$2477,0),1,COUNTIF('Schedule Raw Data'!$A$3:$A$2477,$A41),2),G$1),0)</f>
        <v>0</v>
      </c>
      <c r="H41">
        <f>IFERROR(COUNTIF(OFFSET('Schedule Raw Data'!$A$2,MATCH($A41,'Schedule Raw Data'!$A$3:$A$2477,0),1,COUNTIF('Schedule Raw Data'!$A$3:$A$2477,$A41),2),H$1),0)</f>
        <v>0</v>
      </c>
      <c r="I41">
        <f>IFERROR(COUNTIF(OFFSET('Schedule Raw Data'!$A$2,MATCH($A41,'Schedule Raw Data'!$A$3:$A$2477,0),1,COUNTIF('Schedule Raw Data'!$A$3:$A$2477,$A41),2),I$1),0)</f>
        <v>1</v>
      </c>
      <c r="J41">
        <f>IFERROR(COUNTIF(OFFSET('Schedule Raw Data'!$A$2,MATCH($A41,'Schedule Raw Data'!$A$3:$A$2477,0),1,COUNTIF('Schedule Raw Data'!$A$3:$A$2477,$A41),2),J$1),0)</f>
        <v>1</v>
      </c>
      <c r="K41">
        <f>IFERROR(COUNTIF(OFFSET('Schedule Raw Data'!$A$2,MATCH($A41,'Schedule Raw Data'!$A$3:$A$2477,0),1,COUNTIF('Schedule Raw Data'!$A$3:$A$2477,$A41),2),K$1),0)</f>
        <v>1</v>
      </c>
      <c r="L41">
        <f>IFERROR(COUNTIF(OFFSET('Schedule Raw Data'!$A$2,MATCH($A41,'Schedule Raw Data'!$A$3:$A$2477,0),1,COUNTIF('Schedule Raw Data'!$A$3:$A$2477,$A41),2),L$1),0)</f>
        <v>0</v>
      </c>
      <c r="M41">
        <f>IFERROR(COUNTIF(OFFSET('Schedule Raw Data'!$A$2,MATCH($A41,'Schedule Raw Data'!$A$3:$A$2477,0),1,COUNTIF('Schedule Raw Data'!$A$3:$A$2477,$A41),2),M$1),0)</f>
        <v>1</v>
      </c>
      <c r="N41">
        <f>IFERROR(COUNTIF(OFFSET('Schedule Raw Data'!$A$2,MATCH($A41,'Schedule Raw Data'!$A$3:$A$2477,0),1,COUNTIF('Schedule Raw Data'!$A$3:$A$2477,$A41),2),N$1),0)</f>
        <v>0</v>
      </c>
      <c r="O41">
        <f>IFERROR(COUNTIF(OFFSET('Schedule Raw Data'!$A$2,MATCH($A41,'Schedule Raw Data'!$A$3:$A$2477,0),1,COUNTIF('Schedule Raw Data'!$A$3:$A$2477,$A41),2),O$1),0)</f>
        <v>0</v>
      </c>
      <c r="P41">
        <f>IFERROR(COUNTIF(OFFSET('Schedule Raw Data'!$A$2,MATCH($A41,'Schedule Raw Data'!$A$3:$A$2477,0),1,COUNTIF('Schedule Raw Data'!$A$3:$A$2477,$A41),2),P$1),0)</f>
        <v>1</v>
      </c>
      <c r="Q41">
        <f>IFERROR(COUNTIF(OFFSET('Schedule Raw Data'!$A$2,MATCH($A41,'Schedule Raw Data'!$A$3:$A$2477,0),1,COUNTIF('Schedule Raw Data'!$A$3:$A$2477,$A41),2),Q$1),0)</f>
        <v>0</v>
      </c>
      <c r="R41">
        <f>IFERROR(COUNTIF(OFFSET('Schedule Raw Data'!$A$2,MATCH($A41,'Schedule Raw Data'!$A$3:$A$2477,0),1,COUNTIF('Schedule Raw Data'!$A$3:$A$2477,$A41),2),R$1),0)</f>
        <v>0</v>
      </c>
      <c r="S41">
        <f>IFERROR(COUNTIF(OFFSET('Schedule Raw Data'!$A$2,MATCH($A41,'Schedule Raw Data'!$A$3:$A$2477,0),1,COUNTIF('Schedule Raw Data'!$A$3:$A$2477,$A41),2),S$1),0)</f>
        <v>1</v>
      </c>
      <c r="T41">
        <f>IFERROR(COUNTIF(OFFSET('Schedule Raw Data'!$A$2,MATCH($A41,'Schedule Raw Data'!$A$3:$A$2477,0),1,COUNTIF('Schedule Raw Data'!$A$3:$A$2477,$A41),2),T$1),0)</f>
        <v>0</v>
      </c>
      <c r="U41">
        <f>IFERROR(COUNTIF(OFFSET('Schedule Raw Data'!$A$2,MATCH($A41,'Schedule Raw Data'!$A$3:$A$2477,0),1,COUNTIF('Schedule Raw Data'!$A$3:$A$2477,$A41),2),U$1),0)</f>
        <v>1</v>
      </c>
      <c r="V41">
        <f>IFERROR(COUNTIF(OFFSET('Schedule Raw Data'!$A$2,MATCH($A41,'Schedule Raw Data'!$A$3:$A$2477,0),1,COUNTIF('Schedule Raw Data'!$A$3:$A$2477,$A41),2),V$1),0)</f>
        <v>0</v>
      </c>
      <c r="W41">
        <f>IFERROR(COUNTIF(OFFSET('Schedule Raw Data'!$A$2,MATCH($A41,'Schedule Raw Data'!$A$3:$A$2477,0),1,COUNTIF('Schedule Raw Data'!$A$3:$A$2477,$A41),2),W$1),0)</f>
        <v>1</v>
      </c>
      <c r="X41">
        <f>IFERROR(COUNTIF(OFFSET('Schedule Raw Data'!$A$2,MATCH($A41,'Schedule Raw Data'!$A$3:$A$2477,0),1,COUNTIF('Schedule Raw Data'!$A$3:$A$2477,$A41),2),X$1),0)</f>
        <v>0</v>
      </c>
      <c r="Y41">
        <f>IFERROR(COUNTIF(OFFSET('Schedule Raw Data'!$A$2,MATCH($A41,'Schedule Raw Data'!$A$3:$A$2477,0),1,COUNTIF('Schedule Raw Data'!$A$3:$A$2477,$A41),2),Y$1),0)</f>
        <v>0</v>
      </c>
      <c r="Z41">
        <f>IFERROR(COUNTIF(OFFSET('Schedule Raw Data'!$A$2,MATCH($A41,'Schedule Raw Data'!$A$3:$A$2477,0),1,COUNTIF('Schedule Raw Data'!$A$3:$A$2477,$A41),2),Z$1),0)</f>
        <v>0</v>
      </c>
      <c r="AA41">
        <f>IFERROR(COUNTIF(OFFSET('Schedule Raw Data'!$A$2,MATCH($A41,'Schedule Raw Data'!$A$3:$A$2477,0),1,COUNTIF('Schedule Raw Data'!$A$3:$A$2477,$A41),2),AA$1),0)</f>
        <v>0</v>
      </c>
      <c r="AB41">
        <f>IFERROR(COUNTIF(OFFSET('Schedule Raw Data'!$A$2,MATCH($A41,'Schedule Raw Data'!$A$3:$A$2477,0),1,COUNTIF('Schedule Raw Data'!$A$3:$A$2477,$A41),2),AB$1),0)</f>
        <v>1</v>
      </c>
      <c r="AC41">
        <f>IFERROR(COUNTIF(OFFSET('Schedule Raw Data'!$A$2,MATCH($A41,'Schedule Raw Data'!$A$3:$A$2477,0),1,COUNTIF('Schedule Raw Data'!$A$3:$A$2477,$A41),2),AC$1),0)</f>
        <v>1</v>
      </c>
      <c r="AD41">
        <f>IFERROR(COUNTIF(OFFSET('Schedule Raw Data'!$A$2,MATCH($A41,'Schedule Raw Data'!$A$3:$A$2477,0),1,COUNTIF('Schedule Raw Data'!$A$3:$A$2477,$A41),2),AD$1),0)</f>
        <v>0</v>
      </c>
      <c r="AE41">
        <f>IFERROR(COUNTIF(OFFSET('Schedule Raw Data'!$A$2,MATCH($A41,'Schedule Raw Data'!$A$3:$A$2477,0),1,COUNTIF('Schedule Raw Data'!$A$3:$A$2477,$A41),2),AE$1),0)</f>
        <v>0</v>
      </c>
      <c r="AF41">
        <f>IFERROR(COUNTIF(OFFSET('Schedule Raw Data'!$A$2,MATCH($A41,'Schedule Raw Data'!$A$3:$A$2477,0),1,COUNTIF('Schedule Raw Data'!$A$3:$A$2477,$A41),2),AF$1),0)</f>
        <v>1</v>
      </c>
      <c r="AG41">
        <f t="shared" si="1"/>
        <v>7</v>
      </c>
    </row>
    <row r="42">
      <c r="A42" s="30">
        <f t="array" ref="A42">INDEX('Schedule Raw Data'!$A$3:$A$2477,MATCH(0,INDEX(COUNTIF($A$1:A41,'Schedule Raw Data'!$A$3:$A$2477),0,0),0))</f>
        <v>46357</v>
      </c>
      <c r="B42">
        <f t="shared" si="2"/>
        <v>7</v>
      </c>
      <c r="C42">
        <f>IFERROR(COUNTIF(OFFSET('Schedule Raw Data'!$A$2,MATCH($A42,'Schedule Raw Data'!$A$3:$A$2477,0),1,COUNTIF('Schedule Raw Data'!$A$3:$A$2477,$A42),2),C$1),0)</f>
        <v>1</v>
      </c>
      <c r="D42">
        <f>IFERROR(COUNTIF(OFFSET('Schedule Raw Data'!$A$2,MATCH($A42,'Schedule Raw Data'!$A$3:$A$2477,0),1,COUNTIF('Schedule Raw Data'!$A$3:$A$2477,$A42),2),D$1),0)</f>
        <v>0</v>
      </c>
      <c r="E42">
        <f>IFERROR(COUNTIF(OFFSET('Schedule Raw Data'!$A$2,MATCH($A42,'Schedule Raw Data'!$A$3:$A$2477,0),1,COUNTIF('Schedule Raw Data'!$A$3:$A$2477,$A42),2),E$1),0)</f>
        <v>0</v>
      </c>
      <c r="F42">
        <f>IFERROR(COUNTIF(OFFSET('Schedule Raw Data'!$A$2,MATCH($A42,'Schedule Raw Data'!$A$3:$A$2477,0),1,COUNTIF('Schedule Raw Data'!$A$3:$A$2477,$A42),2),F$1),0)</f>
        <v>0</v>
      </c>
      <c r="G42">
        <f>IFERROR(COUNTIF(OFFSET('Schedule Raw Data'!$A$2,MATCH($A42,'Schedule Raw Data'!$A$3:$A$2477,0),1,COUNTIF('Schedule Raw Data'!$A$3:$A$2477,$A42),2),G$1),0)</f>
        <v>1</v>
      </c>
      <c r="H42">
        <f>IFERROR(COUNTIF(OFFSET('Schedule Raw Data'!$A$2,MATCH($A42,'Schedule Raw Data'!$A$3:$A$2477,0),1,COUNTIF('Schedule Raw Data'!$A$3:$A$2477,$A42),2),H$1),0)</f>
        <v>1</v>
      </c>
      <c r="I42">
        <f>IFERROR(COUNTIF(OFFSET('Schedule Raw Data'!$A$2,MATCH($A42,'Schedule Raw Data'!$A$3:$A$2477,0),1,COUNTIF('Schedule Raw Data'!$A$3:$A$2477,$A42),2),I$1),0)</f>
        <v>0</v>
      </c>
      <c r="J42">
        <f>IFERROR(COUNTIF(OFFSET('Schedule Raw Data'!$A$2,MATCH($A42,'Schedule Raw Data'!$A$3:$A$2477,0),1,COUNTIF('Schedule Raw Data'!$A$3:$A$2477,$A42),2),J$1),0)</f>
        <v>0</v>
      </c>
      <c r="K42">
        <f>IFERROR(COUNTIF(OFFSET('Schedule Raw Data'!$A$2,MATCH($A42,'Schedule Raw Data'!$A$3:$A$2477,0),1,COUNTIF('Schedule Raw Data'!$A$3:$A$2477,$A42),2),K$1),0)</f>
        <v>0</v>
      </c>
      <c r="L42">
        <f>IFERROR(COUNTIF(OFFSET('Schedule Raw Data'!$A$2,MATCH($A42,'Schedule Raw Data'!$A$3:$A$2477,0),1,COUNTIF('Schedule Raw Data'!$A$3:$A$2477,$A42),2),L$1),0)</f>
        <v>1</v>
      </c>
      <c r="M42">
        <f>IFERROR(COUNTIF(OFFSET('Schedule Raw Data'!$A$2,MATCH($A42,'Schedule Raw Data'!$A$3:$A$2477,0),1,COUNTIF('Schedule Raw Data'!$A$3:$A$2477,$A42),2),M$1),0)</f>
        <v>1</v>
      </c>
      <c r="N42">
        <f>IFERROR(COUNTIF(OFFSET('Schedule Raw Data'!$A$2,MATCH($A42,'Schedule Raw Data'!$A$3:$A$2477,0),1,COUNTIF('Schedule Raw Data'!$A$3:$A$2477,$A42),2),N$1),0)</f>
        <v>1</v>
      </c>
      <c r="O42">
        <f>IFERROR(COUNTIF(OFFSET('Schedule Raw Data'!$A$2,MATCH($A42,'Schedule Raw Data'!$A$3:$A$2477,0),1,COUNTIF('Schedule Raw Data'!$A$3:$A$2477,$A42),2),O$1),0)</f>
        <v>1</v>
      </c>
      <c r="P42">
        <f>IFERROR(COUNTIF(OFFSET('Schedule Raw Data'!$A$2,MATCH($A42,'Schedule Raw Data'!$A$3:$A$2477,0),1,COUNTIF('Schedule Raw Data'!$A$3:$A$2477,$A42),2),P$1),0)</f>
        <v>0</v>
      </c>
      <c r="Q42">
        <f>IFERROR(COUNTIF(OFFSET('Schedule Raw Data'!$A$2,MATCH($A42,'Schedule Raw Data'!$A$3:$A$2477,0),1,COUNTIF('Schedule Raw Data'!$A$3:$A$2477,$A42),2),Q$1),0)</f>
        <v>1</v>
      </c>
      <c r="R42">
        <f>IFERROR(COUNTIF(OFFSET('Schedule Raw Data'!$A$2,MATCH($A42,'Schedule Raw Data'!$A$3:$A$2477,0),1,COUNTIF('Schedule Raw Data'!$A$3:$A$2477,$A42),2),R$1),0)</f>
        <v>1</v>
      </c>
      <c r="S42">
        <f>IFERROR(COUNTIF(OFFSET('Schedule Raw Data'!$A$2,MATCH($A42,'Schedule Raw Data'!$A$3:$A$2477,0),1,COUNTIF('Schedule Raw Data'!$A$3:$A$2477,$A42),2),S$1),0)</f>
        <v>0</v>
      </c>
      <c r="T42">
        <f>IFERROR(COUNTIF(OFFSET('Schedule Raw Data'!$A$2,MATCH($A42,'Schedule Raw Data'!$A$3:$A$2477,0),1,COUNTIF('Schedule Raw Data'!$A$3:$A$2477,$A42),2),T$1),0)</f>
        <v>1</v>
      </c>
      <c r="U42">
        <f>IFERROR(COUNTIF(OFFSET('Schedule Raw Data'!$A$2,MATCH($A42,'Schedule Raw Data'!$A$3:$A$2477,0),1,COUNTIF('Schedule Raw Data'!$A$3:$A$2477,$A42),2),U$1),0)</f>
        <v>0</v>
      </c>
      <c r="V42">
        <f>IFERROR(COUNTIF(OFFSET('Schedule Raw Data'!$A$2,MATCH($A42,'Schedule Raw Data'!$A$3:$A$2477,0),1,COUNTIF('Schedule Raw Data'!$A$3:$A$2477,$A42),2),V$1),0)</f>
        <v>1</v>
      </c>
      <c r="W42">
        <f>IFERROR(COUNTIF(OFFSET('Schedule Raw Data'!$A$2,MATCH($A42,'Schedule Raw Data'!$A$3:$A$2477,0),1,COUNTIF('Schedule Raw Data'!$A$3:$A$2477,$A42),2),W$1),0)</f>
        <v>0</v>
      </c>
      <c r="X42">
        <f>IFERROR(COUNTIF(OFFSET('Schedule Raw Data'!$A$2,MATCH($A42,'Schedule Raw Data'!$A$3:$A$2477,0),1,COUNTIF('Schedule Raw Data'!$A$3:$A$2477,$A42),2),X$1),0)</f>
        <v>0</v>
      </c>
      <c r="Y42">
        <f>IFERROR(COUNTIF(OFFSET('Schedule Raw Data'!$A$2,MATCH($A42,'Schedule Raw Data'!$A$3:$A$2477,0),1,COUNTIF('Schedule Raw Data'!$A$3:$A$2477,$A42),2),Y$1),0)</f>
        <v>1</v>
      </c>
      <c r="Z42">
        <f>IFERROR(COUNTIF(OFFSET('Schedule Raw Data'!$A$2,MATCH($A42,'Schedule Raw Data'!$A$3:$A$2477,0),1,COUNTIF('Schedule Raw Data'!$A$3:$A$2477,$A42),2),Z$1),0)</f>
        <v>1</v>
      </c>
      <c r="AA42">
        <f>IFERROR(COUNTIF(OFFSET('Schedule Raw Data'!$A$2,MATCH($A42,'Schedule Raw Data'!$A$3:$A$2477,0),1,COUNTIF('Schedule Raw Data'!$A$3:$A$2477,$A42),2),AA$1),0)</f>
        <v>1</v>
      </c>
      <c r="AB42">
        <f>IFERROR(COUNTIF(OFFSET('Schedule Raw Data'!$A$2,MATCH($A42,'Schedule Raw Data'!$A$3:$A$2477,0),1,COUNTIF('Schedule Raw Data'!$A$3:$A$2477,$A42),2),AB$1),0)</f>
        <v>0</v>
      </c>
      <c r="AC42">
        <f>IFERROR(COUNTIF(OFFSET('Schedule Raw Data'!$A$2,MATCH($A42,'Schedule Raw Data'!$A$3:$A$2477,0),1,COUNTIF('Schedule Raw Data'!$A$3:$A$2477,$A42),2),AC$1),0)</f>
        <v>0</v>
      </c>
      <c r="AD42">
        <f>IFERROR(COUNTIF(OFFSET('Schedule Raw Data'!$A$2,MATCH($A42,'Schedule Raw Data'!$A$3:$A$2477,0),1,COUNTIF('Schedule Raw Data'!$A$3:$A$2477,$A42),2),AD$1),0)</f>
        <v>1</v>
      </c>
      <c r="AE42">
        <f>IFERROR(COUNTIF(OFFSET('Schedule Raw Data'!$A$2,MATCH($A42,'Schedule Raw Data'!$A$3:$A$2477,0),1,COUNTIF('Schedule Raw Data'!$A$3:$A$2477,$A42),2),AE$1),0)</f>
        <v>1</v>
      </c>
      <c r="AF42">
        <f>IFERROR(COUNTIF(OFFSET('Schedule Raw Data'!$A$2,MATCH($A42,'Schedule Raw Data'!$A$3:$A$2477,0),1,COUNTIF('Schedule Raw Data'!$A$3:$A$2477,$A42),2),AF$1),0)</f>
        <v>0</v>
      </c>
      <c r="AG42">
        <f t="shared" si="1"/>
        <v>8</v>
      </c>
    </row>
    <row r="43">
      <c r="A43" s="30">
        <f t="array" ref="A43">INDEX('Schedule Raw Data'!$A$3:$A$2477,MATCH(0,INDEX(COUNTIF($A$1:A42,'Schedule Raw Data'!$A$3:$A$2477),0,0),0))</f>
        <v>46358</v>
      </c>
      <c r="B43">
        <f t="shared" si="2"/>
        <v>7</v>
      </c>
      <c r="C43">
        <f>IFERROR(COUNTIF(OFFSET('Schedule Raw Data'!$A$2,MATCH($A43,'Schedule Raw Data'!$A$3:$A$2477,0),1,COUNTIF('Schedule Raw Data'!$A$3:$A$2477,$A43),2),C$1),0)</f>
        <v>0</v>
      </c>
      <c r="D43">
        <f>IFERROR(COUNTIF(OFFSET('Schedule Raw Data'!$A$2,MATCH($A43,'Schedule Raw Data'!$A$3:$A$2477,0),1,COUNTIF('Schedule Raw Data'!$A$3:$A$2477,$A43),2),D$1),0)</f>
        <v>1</v>
      </c>
      <c r="E43">
        <f>IFERROR(COUNTIF(OFFSET('Schedule Raw Data'!$A$2,MATCH($A43,'Schedule Raw Data'!$A$3:$A$2477,0),1,COUNTIF('Schedule Raw Data'!$A$3:$A$2477,$A43),2),E$1),0)</f>
        <v>1</v>
      </c>
      <c r="F43">
        <f>IFERROR(COUNTIF(OFFSET('Schedule Raw Data'!$A$2,MATCH($A43,'Schedule Raw Data'!$A$3:$A$2477,0),1,COUNTIF('Schedule Raw Data'!$A$3:$A$2477,$A43),2),F$1),0)</f>
        <v>1</v>
      </c>
      <c r="G43">
        <f>IFERROR(COUNTIF(OFFSET('Schedule Raw Data'!$A$2,MATCH($A43,'Schedule Raw Data'!$A$3:$A$2477,0),1,COUNTIF('Schedule Raw Data'!$A$3:$A$2477,$A43),2),G$1),0)</f>
        <v>0</v>
      </c>
      <c r="H43">
        <f>IFERROR(COUNTIF(OFFSET('Schedule Raw Data'!$A$2,MATCH($A43,'Schedule Raw Data'!$A$3:$A$2477,0),1,COUNTIF('Schedule Raw Data'!$A$3:$A$2477,$A43),2),H$1),0)</f>
        <v>0</v>
      </c>
      <c r="I43">
        <f>IFERROR(COUNTIF(OFFSET('Schedule Raw Data'!$A$2,MATCH($A43,'Schedule Raw Data'!$A$3:$A$2477,0),1,COUNTIF('Schedule Raw Data'!$A$3:$A$2477,$A43),2),I$1),0)</f>
        <v>1</v>
      </c>
      <c r="J43">
        <f>IFERROR(COUNTIF(OFFSET('Schedule Raw Data'!$A$2,MATCH($A43,'Schedule Raw Data'!$A$3:$A$2477,0),1,COUNTIF('Schedule Raw Data'!$A$3:$A$2477,$A43),2),J$1),0)</f>
        <v>1</v>
      </c>
      <c r="K43">
        <f>IFERROR(COUNTIF(OFFSET('Schedule Raw Data'!$A$2,MATCH($A43,'Schedule Raw Data'!$A$3:$A$2477,0),1,COUNTIF('Schedule Raw Data'!$A$3:$A$2477,$A43),2),K$1),0)</f>
        <v>1</v>
      </c>
      <c r="L43">
        <f>IFERROR(COUNTIF(OFFSET('Schedule Raw Data'!$A$2,MATCH($A43,'Schedule Raw Data'!$A$3:$A$2477,0),1,COUNTIF('Schedule Raw Data'!$A$3:$A$2477,$A43),2),L$1),0)</f>
        <v>0</v>
      </c>
      <c r="M43">
        <f>IFERROR(COUNTIF(OFFSET('Schedule Raw Data'!$A$2,MATCH($A43,'Schedule Raw Data'!$A$3:$A$2477,0),1,COUNTIF('Schedule Raw Data'!$A$3:$A$2477,$A43),2),M$1),0)</f>
        <v>0</v>
      </c>
      <c r="N43">
        <f>IFERROR(COUNTIF(OFFSET('Schedule Raw Data'!$A$2,MATCH($A43,'Schedule Raw Data'!$A$3:$A$2477,0),1,COUNTIF('Schedule Raw Data'!$A$3:$A$2477,$A43),2),N$1),0)</f>
        <v>0</v>
      </c>
      <c r="O43">
        <f>IFERROR(COUNTIF(OFFSET('Schedule Raw Data'!$A$2,MATCH($A43,'Schedule Raw Data'!$A$3:$A$2477,0),1,COUNTIF('Schedule Raw Data'!$A$3:$A$2477,$A43),2),O$1),0)</f>
        <v>1</v>
      </c>
      <c r="P43">
        <f>IFERROR(COUNTIF(OFFSET('Schedule Raw Data'!$A$2,MATCH($A43,'Schedule Raw Data'!$A$3:$A$2477,0),1,COUNTIF('Schedule Raw Data'!$A$3:$A$2477,$A43),2),P$1),0)</f>
        <v>1</v>
      </c>
      <c r="Q43">
        <f>IFERROR(COUNTIF(OFFSET('Schedule Raw Data'!$A$2,MATCH($A43,'Schedule Raw Data'!$A$3:$A$2477,0),1,COUNTIF('Schedule Raw Data'!$A$3:$A$2477,$A43),2),Q$1),0)</f>
        <v>1</v>
      </c>
      <c r="R43">
        <f>IFERROR(COUNTIF(OFFSET('Schedule Raw Data'!$A$2,MATCH($A43,'Schedule Raw Data'!$A$3:$A$2477,0),1,COUNTIF('Schedule Raw Data'!$A$3:$A$2477,$A43),2),R$1),0)</f>
        <v>0</v>
      </c>
      <c r="S43">
        <f>IFERROR(COUNTIF(OFFSET('Schedule Raw Data'!$A$2,MATCH($A43,'Schedule Raw Data'!$A$3:$A$2477,0),1,COUNTIF('Schedule Raw Data'!$A$3:$A$2477,$A43),2),S$1),0)</f>
        <v>1</v>
      </c>
      <c r="T43">
        <f>IFERROR(COUNTIF(OFFSET('Schedule Raw Data'!$A$2,MATCH($A43,'Schedule Raw Data'!$A$3:$A$2477,0),1,COUNTIF('Schedule Raw Data'!$A$3:$A$2477,$A43),2),T$1),0)</f>
        <v>1</v>
      </c>
      <c r="U43">
        <f>IFERROR(COUNTIF(OFFSET('Schedule Raw Data'!$A$2,MATCH($A43,'Schedule Raw Data'!$A$3:$A$2477,0),1,COUNTIF('Schedule Raw Data'!$A$3:$A$2477,$A43),2),U$1),0)</f>
        <v>1</v>
      </c>
      <c r="V43">
        <f>IFERROR(COUNTIF(OFFSET('Schedule Raw Data'!$A$2,MATCH($A43,'Schedule Raw Data'!$A$3:$A$2477,0),1,COUNTIF('Schedule Raw Data'!$A$3:$A$2477,$A43),2),V$1),0)</f>
        <v>1</v>
      </c>
      <c r="W43">
        <f>IFERROR(COUNTIF(OFFSET('Schedule Raw Data'!$A$2,MATCH($A43,'Schedule Raw Data'!$A$3:$A$2477,0),1,COUNTIF('Schedule Raw Data'!$A$3:$A$2477,$A43),2),W$1),0)</f>
        <v>1</v>
      </c>
      <c r="X43">
        <f>IFERROR(COUNTIF(OFFSET('Schedule Raw Data'!$A$2,MATCH($A43,'Schedule Raw Data'!$A$3:$A$2477,0),1,COUNTIF('Schedule Raw Data'!$A$3:$A$2477,$A43),2),X$1),0)</f>
        <v>1</v>
      </c>
      <c r="Y43">
        <f>IFERROR(COUNTIF(OFFSET('Schedule Raw Data'!$A$2,MATCH($A43,'Schedule Raw Data'!$A$3:$A$2477,0),1,COUNTIF('Schedule Raw Data'!$A$3:$A$2477,$A43),2),Y$1),0)</f>
        <v>1</v>
      </c>
      <c r="Z43">
        <f>IFERROR(COUNTIF(OFFSET('Schedule Raw Data'!$A$2,MATCH($A43,'Schedule Raw Data'!$A$3:$A$2477,0),1,COUNTIF('Schedule Raw Data'!$A$3:$A$2477,$A43),2),Z$1),0)</f>
        <v>1</v>
      </c>
      <c r="AA43">
        <f>IFERROR(COUNTIF(OFFSET('Schedule Raw Data'!$A$2,MATCH($A43,'Schedule Raw Data'!$A$3:$A$2477,0),1,COUNTIF('Schedule Raw Data'!$A$3:$A$2477,$A43),2),AA$1),0)</f>
        <v>0</v>
      </c>
      <c r="AB43">
        <f>IFERROR(COUNTIF(OFFSET('Schedule Raw Data'!$A$2,MATCH($A43,'Schedule Raw Data'!$A$3:$A$2477,0),1,COUNTIF('Schedule Raw Data'!$A$3:$A$2477,$A43),2),AB$1),0)</f>
        <v>1</v>
      </c>
      <c r="AC43">
        <f>IFERROR(COUNTIF(OFFSET('Schedule Raw Data'!$A$2,MATCH($A43,'Schedule Raw Data'!$A$3:$A$2477,0),1,COUNTIF('Schedule Raw Data'!$A$3:$A$2477,$A43),2),AC$1),0)</f>
        <v>0</v>
      </c>
      <c r="AD43">
        <f>IFERROR(COUNTIF(OFFSET('Schedule Raw Data'!$A$2,MATCH($A43,'Schedule Raw Data'!$A$3:$A$2477,0),1,COUNTIF('Schedule Raw Data'!$A$3:$A$2477,$A43),2),AD$1),0)</f>
        <v>0</v>
      </c>
      <c r="AE43">
        <f>IFERROR(COUNTIF(OFFSET('Schedule Raw Data'!$A$2,MATCH($A43,'Schedule Raw Data'!$A$3:$A$2477,0),1,COUNTIF('Schedule Raw Data'!$A$3:$A$2477,$A43),2),AE$1),0)</f>
        <v>0</v>
      </c>
      <c r="AF43">
        <f>IFERROR(COUNTIF(OFFSET('Schedule Raw Data'!$A$2,MATCH($A43,'Schedule Raw Data'!$A$3:$A$2477,0),1,COUNTIF('Schedule Raw Data'!$A$3:$A$2477,$A43),2),AF$1),0)</f>
        <v>0</v>
      </c>
      <c r="AG43">
        <f t="shared" si="1"/>
        <v>9</v>
      </c>
    </row>
    <row r="44">
      <c r="A44" s="30">
        <f t="array" ref="A44">INDEX('Schedule Raw Data'!$A$3:$A$2477,MATCH(0,INDEX(COUNTIF($A$1:A43,'Schedule Raw Data'!$A$3:$A$2477),0,0),0))</f>
        <v>46359</v>
      </c>
      <c r="B44">
        <f t="shared" si="2"/>
        <v>7</v>
      </c>
      <c r="C44">
        <f>IFERROR(COUNTIF(OFFSET('Schedule Raw Data'!$A$2,MATCH($A44,'Schedule Raw Data'!$A$3:$A$2477,0),1,COUNTIF('Schedule Raw Data'!$A$3:$A$2477,$A44),2),C$1),0)</f>
        <v>1</v>
      </c>
      <c r="D44">
        <f>IFERROR(COUNTIF(OFFSET('Schedule Raw Data'!$A$2,MATCH($A44,'Schedule Raw Data'!$A$3:$A$2477,0),1,COUNTIF('Schedule Raw Data'!$A$3:$A$2477,$A44),2),D$1),0)</f>
        <v>0</v>
      </c>
      <c r="E44">
        <f>IFERROR(COUNTIF(OFFSET('Schedule Raw Data'!$A$2,MATCH($A44,'Schedule Raw Data'!$A$3:$A$2477,0),1,COUNTIF('Schedule Raw Data'!$A$3:$A$2477,$A44),2),E$1),0)</f>
        <v>0</v>
      </c>
      <c r="F44">
        <f>IFERROR(COUNTIF(OFFSET('Schedule Raw Data'!$A$2,MATCH($A44,'Schedule Raw Data'!$A$3:$A$2477,0),1,COUNTIF('Schedule Raw Data'!$A$3:$A$2477,$A44),2),F$1),0)</f>
        <v>0</v>
      </c>
      <c r="G44">
        <f>IFERROR(COUNTIF(OFFSET('Schedule Raw Data'!$A$2,MATCH($A44,'Schedule Raw Data'!$A$3:$A$2477,0),1,COUNTIF('Schedule Raw Data'!$A$3:$A$2477,$A44),2),G$1),0)</f>
        <v>1</v>
      </c>
      <c r="H44">
        <f>IFERROR(COUNTIF(OFFSET('Schedule Raw Data'!$A$2,MATCH($A44,'Schedule Raw Data'!$A$3:$A$2477,0),1,COUNTIF('Schedule Raw Data'!$A$3:$A$2477,$A44),2),H$1),0)</f>
        <v>1</v>
      </c>
      <c r="I44">
        <f>IFERROR(COUNTIF(OFFSET('Schedule Raw Data'!$A$2,MATCH($A44,'Schedule Raw Data'!$A$3:$A$2477,0),1,COUNTIF('Schedule Raw Data'!$A$3:$A$2477,$A44),2),I$1),0)</f>
        <v>0</v>
      </c>
      <c r="J44">
        <f>IFERROR(COUNTIF(OFFSET('Schedule Raw Data'!$A$2,MATCH($A44,'Schedule Raw Data'!$A$3:$A$2477,0),1,COUNTIF('Schedule Raw Data'!$A$3:$A$2477,$A44),2),J$1),0)</f>
        <v>0</v>
      </c>
      <c r="K44">
        <f>IFERROR(COUNTIF(OFFSET('Schedule Raw Data'!$A$2,MATCH($A44,'Schedule Raw Data'!$A$3:$A$2477,0),1,COUNTIF('Schedule Raw Data'!$A$3:$A$2477,$A44),2),K$1),0)</f>
        <v>0</v>
      </c>
      <c r="L44">
        <f>IFERROR(COUNTIF(OFFSET('Schedule Raw Data'!$A$2,MATCH($A44,'Schedule Raw Data'!$A$3:$A$2477,0),1,COUNTIF('Schedule Raw Data'!$A$3:$A$2477,$A44),2),L$1),0)</f>
        <v>0</v>
      </c>
      <c r="M44">
        <f>IFERROR(COUNTIF(OFFSET('Schedule Raw Data'!$A$2,MATCH($A44,'Schedule Raw Data'!$A$3:$A$2477,0),1,COUNTIF('Schedule Raw Data'!$A$3:$A$2477,$A44),2),M$1),0)</f>
        <v>0</v>
      </c>
      <c r="N44">
        <f>IFERROR(COUNTIF(OFFSET('Schedule Raw Data'!$A$2,MATCH($A44,'Schedule Raw Data'!$A$3:$A$2477,0),1,COUNTIF('Schedule Raw Data'!$A$3:$A$2477,$A44),2),N$1),0)</f>
        <v>1</v>
      </c>
      <c r="O44">
        <f>IFERROR(COUNTIF(OFFSET('Schedule Raw Data'!$A$2,MATCH($A44,'Schedule Raw Data'!$A$3:$A$2477,0),1,COUNTIF('Schedule Raw Data'!$A$3:$A$2477,$A44),2),O$1),0)</f>
        <v>0</v>
      </c>
      <c r="P44">
        <f>IFERROR(COUNTIF(OFFSET('Schedule Raw Data'!$A$2,MATCH($A44,'Schedule Raw Data'!$A$3:$A$2477,0),1,COUNTIF('Schedule Raw Data'!$A$3:$A$2477,$A44),2),P$1),0)</f>
        <v>0</v>
      </c>
      <c r="Q44">
        <f>IFERROR(COUNTIF(OFFSET('Schedule Raw Data'!$A$2,MATCH($A44,'Schedule Raw Data'!$A$3:$A$2477,0),1,COUNTIF('Schedule Raw Data'!$A$3:$A$2477,$A44),2),Q$1),0)</f>
        <v>0</v>
      </c>
      <c r="R44">
        <f>IFERROR(COUNTIF(OFFSET('Schedule Raw Data'!$A$2,MATCH($A44,'Schedule Raw Data'!$A$3:$A$2477,0),1,COUNTIF('Schedule Raw Data'!$A$3:$A$2477,$A44),2),R$1),0)</f>
        <v>1</v>
      </c>
      <c r="S44">
        <f>IFERROR(COUNTIF(OFFSET('Schedule Raw Data'!$A$2,MATCH($A44,'Schedule Raw Data'!$A$3:$A$2477,0),1,COUNTIF('Schedule Raw Data'!$A$3:$A$2477,$A44),2),S$1),0)</f>
        <v>0</v>
      </c>
      <c r="T44">
        <f>IFERROR(COUNTIF(OFFSET('Schedule Raw Data'!$A$2,MATCH($A44,'Schedule Raw Data'!$A$3:$A$2477,0),1,COUNTIF('Schedule Raw Data'!$A$3:$A$2477,$A44),2),T$1),0)</f>
        <v>0</v>
      </c>
      <c r="U44">
        <f>IFERROR(COUNTIF(OFFSET('Schedule Raw Data'!$A$2,MATCH($A44,'Schedule Raw Data'!$A$3:$A$2477,0),1,COUNTIF('Schedule Raw Data'!$A$3:$A$2477,$A44),2),U$1),0)</f>
        <v>0</v>
      </c>
      <c r="V44">
        <f>IFERROR(COUNTIF(OFFSET('Schedule Raw Data'!$A$2,MATCH($A44,'Schedule Raw Data'!$A$3:$A$2477,0),1,COUNTIF('Schedule Raw Data'!$A$3:$A$2477,$A44),2),V$1),0)</f>
        <v>0</v>
      </c>
      <c r="W44">
        <f>IFERROR(COUNTIF(OFFSET('Schedule Raw Data'!$A$2,MATCH($A44,'Schedule Raw Data'!$A$3:$A$2477,0),1,COUNTIF('Schedule Raw Data'!$A$3:$A$2477,$A44),2),W$1),0)</f>
        <v>0</v>
      </c>
      <c r="X44">
        <f>IFERROR(COUNTIF(OFFSET('Schedule Raw Data'!$A$2,MATCH($A44,'Schedule Raw Data'!$A$3:$A$2477,0),1,COUNTIF('Schedule Raw Data'!$A$3:$A$2477,$A44),2),X$1),0)</f>
        <v>0</v>
      </c>
      <c r="Y44">
        <f>IFERROR(COUNTIF(OFFSET('Schedule Raw Data'!$A$2,MATCH($A44,'Schedule Raw Data'!$A$3:$A$2477,0),1,COUNTIF('Schedule Raw Data'!$A$3:$A$2477,$A44),2),Y$1),0)</f>
        <v>0</v>
      </c>
      <c r="Z44">
        <f>IFERROR(COUNTIF(OFFSET('Schedule Raw Data'!$A$2,MATCH($A44,'Schedule Raw Data'!$A$3:$A$2477,0),1,COUNTIF('Schedule Raw Data'!$A$3:$A$2477,$A44),2),Z$1),0)</f>
        <v>0</v>
      </c>
      <c r="AA44">
        <f>IFERROR(COUNTIF(OFFSET('Schedule Raw Data'!$A$2,MATCH($A44,'Schedule Raw Data'!$A$3:$A$2477,0),1,COUNTIF('Schedule Raw Data'!$A$3:$A$2477,$A44),2),AA$1),0)</f>
        <v>1</v>
      </c>
      <c r="AB44">
        <f>IFERROR(COUNTIF(OFFSET('Schedule Raw Data'!$A$2,MATCH($A44,'Schedule Raw Data'!$A$3:$A$2477,0),1,COUNTIF('Schedule Raw Data'!$A$3:$A$2477,$A44),2),AB$1),0)</f>
        <v>0</v>
      </c>
      <c r="AC44">
        <f>IFERROR(COUNTIF(OFFSET('Schedule Raw Data'!$A$2,MATCH($A44,'Schedule Raw Data'!$A$3:$A$2477,0),1,COUNTIF('Schedule Raw Data'!$A$3:$A$2477,$A44),2),AC$1),0)</f>
        <v>1</v>
      </c>
      <c r="AD44">
        <f>IFERROR(COUNTIF(OFFSET('Schedule Raw Data'!$A$2,MATCH($A44,'Schedule Raw Data'!$A$3:$A$2477,0),1,COUNTIF('Schedule Raw Data'!$A$3:$A$2477,$A44),2),AD$1),0)</f>
        <v>1</v>
      </c>
      <c r="AE44">
        <f>IFERROR(COUNTIF(OFFSET('Schedule Raw Data'!$A$2,MATCH($A44,'Schedule Raw Data'!$A$3:$A$2477,0),1,COUNTIF('Schedule Raw Data'!$A$3:$A$2477,$A44),2),AE$1),0)</f>
        <v>1</v>
      </c>
      <c r="AF44">
        <f>IFERROR(COUNTIF(OFFSET('Schedule Raw Data'!$A$2,MATCH($A44,'Schedule Raw Data'!$A$3:$A$2477,0),1,COUNTIF('Schedule Raw Data'!$A$3:$A$2477,$A44),2),AF$1),0)</f>
        <v>1</v>
      </c>
      <c r="AG44">
        <f t="shared" si="1"/>
        <v>5</v>
      </c>
    </row>
    <row r="45">
      <c r="A45" s="30">
        <f t="array" ref="A45">INDEX('Schedule Raw Data'!$A$3:$A$2477,MATCH(0,INDEX(COUNTIF($A$1:A44,'Schedule Raw Data'!$A$3:$A$2477),0,0),0))</f>
        <v>46368</v>
      </c>
      <c r="B45">
        <f t="shared" si="2"/>
        <v>7</v>
      </c>
      <c r="C45">
        <f>IFERROR(COUNTIF(OFFSET('Schedule Raw Data'!$A$2,MATCH($A45,'Schedule Raw Data'!$A$3:$A$2477,0),1,COUNTIF('Schedule Raw Data'!$A$3:$A$2477,$A45),2),C$1),0)</f>
        <v>1</v>
      </c>
      <c r="D45">
        <f>IFERROR(COUNTIF(OFFSET('Schedule Raw Data'!$A$2,MATCH($A45,'Schedule Raw Data'!$A$3:$A$2477,0),1,COUNTIF('Schedule Raw Data'!$A$3:$A$2477,$A45),2),D$1),0)</f>
        <v>0</v>
      </c>
      <c r="E45">
        <f>IFERROR(COUNTIF(OFFSET('Schedule Raw Data'!$A$2,MATCH($A45,'Schedule Raw Data'!$A$3:$A$2477,0),1,COUNTIF('Schedule Raw Data'!$A$3:$A$2477,$A45),2),E$1),0)</f>
        <v>0</v>
      </c>
      <c r="F45">
        <f>IFERROR(COUNTIF(OFFSET('Schedule Raw Data'!$A$2,MATCH($A45,'Schedule Raw Data'!$A$3:$A$2477,0),1,COUNTIF('Schedule Raw Data'!$A$3:$A$2477,$A45),2),F$1),0)</f>
        <v>1</v>
      </c>
      <c r="G45">
        <f>IFERROR(COUNTIF(OFFSET('Schedule Raw Data'!$A$2,MATCH($A45,'Schedule Raw Data'!$A$3:$A$2477,0),1,COUNTIF('Schedule Raw Data'!$A$3:$A$2477,$A45),2),G$1),0)</f>
        <v>0</v>
      </c>
      <c r="H45">
        <f>IFERROR(COUNTIF(OFFSET('Schedule Raw Data'!$A$2,MATCH($A45,'Schedule Raw Data'!$A$3:$A$2477,0),1,COUNTIF('Schedule Raw Data'!$A$3:$A$2477,$A45),2),H$1),0)</f>
        <v>1</v>
      </c>
      <c r="I45">
        <f>IFERROR(COUNTIF(OFFSET('Schedule Raw Data'!$A$2,MATCH($A45,'Schedule Raw Data'!$A$3:$A$2477,0),1,COUNTIF('Schedule Raw Data'!$A$3:$A$2477,$A45),2),I$1),0)</f>
        <v>0</v>
      </c>
      <c r="J45">
        <f>IFERROR(COUNTIF(OFFSET('Schedule Raw Data'!$A$2,MATCH($A45,'Schedule Raw Data'!$A$3:$A$2477,0),1,COUNTIF('Schedule Raw Data'!$A$3:$A$2477,$A45),2),J$1),0)</f>
        <v>1</v>
      </c>
      <c r="K45">
        <f>IFERROR(COUNTIF(OFFSET('Schedule Raw Data'!$A$2,MATCH($A45,'Schedule Raw Data'!$A$3:$A$2477,0),1,COUNTIF('Schedule Raw Data'!$A$3:$A$2477,$A45),2),K$1),0)</f>
        <v>0</v>
      </c>
      <c r="L45">
        <f>IFERROR(COUNTIF(OFFSET('Schedule Raw Data'!$A$2,MATCH($A45,'Schedule Raw Data'!$A$3:$A$2477,0),1,COUNTIF('Schedule Raw Data'!$A$3:$A$2477,$A45),2),L$1),0)</f>
        <v>1</v>
      </c>
      <c r="M45">
        <f>IFERROR(COUNTIF(OFFSET('Schedule Raw Data'!$A$2,MATCH($A45,'Schedule Raw Data'!$A$3:$A$2477,0),1,COUNTIF('Schedule Raw Data'!$A$3:$A$2477,$A45),2),M$1),0)</f>
        <v>0</v>
      </c>
      <c r="N45">
        <f>IFERROR(COUNTIF(OFFSET('Schedule Raw Data'!$A$2,MATCH($A45,'Schedule Raw Data'!$A$3:$A$2477,0),1,COUNTIF('Schedule Raw Data'!$A$3:$A$2477,$A45),2),N$1),0)</f>
        <v>0</v>
      </c>
      <c r="O45">
        <f>IFERROR(COUNTIF(OFFSET('Schedule Raw Data'!$A$2,MATCH($A45,'Schedule Raw Data'!$A$3:$A$2477,0),1,COUNTIF('Schedule Raw Data'!$A$3:$A$2477,$A45),2),O$1),0)</f>
        <v>0</v>
      </c>
      <c r="P45">
        <f>IFERROR(COUNTIF(OFFSET('Schedule Raw Data'!$A$2,MATCH($A45,'Schedule Raw Data'!$A$3:$A$2477,0),1,COUNTIF('Schedule Raw Data'!$A$3:$A$2477,$A45),2),P$1),0)</f>
        <v>0</v>
      </c>
      <c r="Q45">
        <f>IFERROR(COUNTIF(OFFSET('Schedule Raw Data'!$A$2,MATCH($A45,'Schedule Raw Data'!$A$3:$A$2477,0),1,COUNTIF('Schedule Raw Data'!$A$3:$A$2477,$A45),2),Q$1),0)</f>
        <v>1</v>
      </c>
      <c r="R45">
        <f>IFERROR(COUNTIF(OFFSET('Schedule Raw Data'!$A$2,MATCH($A45,'Schedule Raw Data'!$A$3:$A$2477,0),1,COUNTIF('Schedule Raw Data'!$A$3:$A$2477,$A45),2),R$1),0)</f>
        <v>1</v>
      </c>
      <c r="S45">
        <f>IFERROR(COUNTIF(OFFSET('Schedule Raw Data'!$A$2,MATCH($A45,'Schedule Raw Data'!$A$3:$A$2477,0),1,COUNTIF('Schedule Raw Data'!$A$3:$A$2477,$A45),2),S$1),0)</f>
        <v>1</v>
      </c>
      <c r="T45">
        <f>IFERROR(COUNTIF(OFFSET('Schedule Raw Data'!$A$2,MATCH($A45,'Schedule Raw Data'!$A$3:$A$2477,0),1,COUNTIF('Schedule Raw Data'!$A$3:$A$2477,$A45),2),T$1),0)</f>
        <v>1</v>
      </c>
      <c r="U45">
        <f>IFERROR(COUNTIF(OFFSET('Schedule Raw Data'!$A$2,MATCH($A45,'Schedule Raw Data'!$A$3:$A$2477,0),1,COUNTIF('Schedule Raw Data'!$A$3:$A$2477,$A45),2),U$1),0)</f>
        <v>0</v>
      </c>
      <c r="V45">
        <f>IFERROR(COUNTIF(OFFSET('Schedule Raw Data'!$A$2,MATCH($A45,'Schedule Raw Data'!$A$3:$A$2477,0),1,COUNTIF('Schedule Raw Data'!$A$3:$A$2477,$A45),2),V$1),0)</f>
        <v>1</v>
      </c>
      <c r="W45">
        <f>IFERROR(COUNTIF(OFFSET('Schedule Raw Data'!$A$2,MATCH($A45,'Schedule Raw Data'!$A$3:$A$2477,0),1,COUNTIF('Schedule Raw Data'!$A$3:$A$2477,$A45),2),W$1),0)</f>
        <v>0</v>
      </c>
      <c r="X45">
        <f>IFERROR(COUNTIF(OFFSET('Schedule Raw Data'!$A$2,MATCH($A45,'Schedule Raw Data'!$A$3:$A$2477,0),1,COUNTIF('Schedule Raw Data'!$A$3:$A$2477,$A45),2),X$1),0)</f>
        <v>1</v>
      </c>
      <c r="Y45">
        <f>IFERROR(COUNTIF(OFFSET('Schedule Raw Data'!$A$2,MATCH($A45,'Schedule Raw Data'!$A$3:$A$2477,0),1,COUNTIF('Schedule Raw Data'!$A$3:$A$2477,$A45),2),Y$1),0)</f>
        <v>1</v>
      </c>
      <c r="Z45">
        <f>IFERROR(COUNTIF(OFFSET('Schedule Raw Data'!$A$2,MATCH($A45,'Schedule Raw Data'!$A$3:$A$2477,0),1,COUNTIF('Schedule Raw Data'!$A$3:$A$2477,$A45),2),Z$1),0)</f>
        <v>1</v>
      </c>
      <c r="AA45">
        <f>IFERROR(COUNTIF(OFFSET('Schedule Raw Data'!$A$2,MATCH($A45,'Schedule Raw Data'!$A$3:$A$2477,0),1,COUNTIF('Schedule Raw Data'!$A$3:$A$2477,$A45),2),AA$1),0)</f>
        <v>1</v>
      </c>
      <c r="AB45">
        <f>IFERROR(COUNTIF(OFFSET('Schedule Raw Data'!$A$2,MATCH($A45,'Schedule Raw Data'!$A$3:$A$2477,0),1,COUNTIF('Schedule Raw Data'!$A$3:$A$2477,$A45),2),AB$1),0)</f>
        <v>0</v>
      </c>
      <c r="AC45">
        <f>IFERROR(COUNTIF(OFFSET('Schedule Raw Data'!$A$2,MATCH($A45,'Schedule Raw Data'!$A$3:$A$2477,0),1,COUNTIF('Schedule Raw Data'!$A$3:$A$2477,$A45),2),AC$1),0)</f>
        <v>0</v>
      </c>
      <c r="AD45">
        <f>IFERROR(COUNTIF(OFFSET('Schedule Raw Data'!$A$2,MATCH($A45,'Schedule Raw Data'!$A$3:$A$2477,0),1,COUNTIF('Schedule Raw Data'!$A$3:$A$2477,$A45),2),AD$1),0)</f>
        <v>0</v>
      </c>
      <c r="AE45">
        <f>IFERROR(COUNTIF(OFFSET('Schedule Raw Data'!$A$2,MATCH($A45,'Schedule Raw Data'!$A$3:$A$2477,0),1,COUNTIF('Schedule Raw Data'!$A$3:$A$2477,$A45),2),AE$1),0)</f>
        <v>1</v>
      </c>
      <c r="AF45">
        <f>IFERROR(COUNTIF(OFFSET('Schedule Raw Data'!$A$2,MATCH($A45,'Schedule Raw Data'!$A$3:$A$2477,0),1,COUNTIF('Schedule Raw Data'!$A$3:$A$2477,$A45),2),AF$1),0)</f>
        <v>1</v>
      </c>
      <c r="AG45">
        <f t="shared" si="1"/>
        <v>8</v>
      </c>
    </row>
    <row r="46">
      <c r="A46" s="30">
        <f t="array" ref="A46">INDEX('Schedule Raw Data'!$A$3:$A$2477,MATCH(0,INDEX(COUNTIF($A$1:A45,'Schedule Raw Data'!$A$3:$A$2477),0,0),0))</f>
        <v>46369</v>
      </c>
      <c r="B46">
        <f t="shared" si="2"/>
        <v>7</v>
      </c>
      <c r="C46">
        <f>IFERROR(COUNTIF(OFFSET('Schedule Raw Data'!$A$2,MATCH($A46,'Schedule Raw Data'!$A$3:$A$2477,0),1,COUNTIF('Schedule Raw Data'!$A$3:$A$2477,$A46),2),C$1),0)</f>
        <v>0</v>
      </c>
      <c r="D46">
        <f>IFERROR(COUNTIF(OFFSET('Schedule Raw Data'!$A$2,MATCH($A46,'Schedule Raw Data'!$A$3:$A$2477,0),1,COUNTIF('Schedule Raw Data'!$A$3:$A$2477,$A46),2),D$1),0)</f>
        <v>1</v>
      </c>
      <c r="E46">
        <f>IFERROR(COUNTIF(OFFSET('Schedule Raw Data'!$A$2,MATCH($A46,'Schedule Raw Data'!$A$3:$A$2477,0),1,COUNTIF('Schedule Raw Data'!$A$3:$A$2477,$A46),2),E$1),0)</f>
        <v>1</v>
      </c>
      <c r="F46">
        <f>IFERROR(COUNTIF(OFFSET('Schedule Raw Data'!$A$2,MATCH($A46,'Schedule Raw Data'!$A$3:$A$2477,0),1,COUNTIF('Schedule Raw Data'!$A$3:$A$2477,$A46),2),F$1),0)</f>
        <v>0</v>
      </c>
      <c r="G46">
        <f>IFERROR(COUNTIF(OFFSET('Schedule Raw Data'!$A$2,MATCH($A46,'Schedule Raw Data'!$A$3:$A$2477,0),1,COUNTIF('Schedule Raw Data'!$A$3:$A$2477,$A46),2),G$1),0)</f>
        <v>1</v>
      </c>
      <c r="H46">
        <f>IFERROR(COUNTIF(OFFSET('Schedule Raw Data'!$A$2,MATCH($A46,'Schedule Raw Data'!$A$3:$A$2477,0),1,COUNTIF('Schedule Raw Data'!$A$3:$A$2477,$A46),2),H$1),0)</f>
        <v>0</v>
      </c>
      <c r="I46">
        <f>IFERROR(COUNTIF(OFFSET('Schedule Raw Data'!$A$2,MATCH($A46,'Schedule Raw Data'!$A$3:$A$2477,0),1,COUNTIF('Schedule Raw Data'!$A$3:$A$2477,$A46),2),I$1),0)</f>
        <v>0</v>
      </c>
      <c r="J46">
        <f>IFERROR(COUNTIF(OFFSET('Schedule Raw Data'!$A$2,MATCH($A46,'Schedule Raw Data'!$A$3:$A$2477,0),1,COUNTIF('Schedule Raw Data'!$A$3:$A$2477,$A46),2),J$1),0)</f>
        <v>0</v>
      </c>
      <c r="K46">
        <f>IFERROR(COUNTIF(OFFSET('Schedule Raw Data'!$A$2,MATCH($A46,'Schedule Raw Data'!$A$3:$A$2477,0),1,COUNTIF('Schedule Raw Data'!$A$3:$A$2477,$A46),2),K$1),0)</f>
        <v>1</v>
      </c>
      <c r="L46">
        <f>IFERROR(COUNTIF(OFFSET('Schedule Raw Data'!$A$2,MATCH($A46,'Schedule Raw Data'!$A$3:$A$2477,0),1,COUNTIF('Schedule Raw Data'!$A$3:$A$2477,$A46),2),L$1),0)</f>
        <v>0</v>
      </c>
      <c r="M46">
        <f>IFERROR(COUNTIF(OFFSET('Schedule Raw Data'!$A$2,MATCH($A46,'Schedule Raw Data'!$A$3:$A$2477,0),1,COUNTIF('Schedule Raw Data'!$A$3:$A$2477,$A46),2),M$1),0)</f>
        <v>1</v>
      </c>
      <c r="N46">
        <f>IFERROR(COUNTIF(OFFSET('Schedule Raw Data'!$A$2,MATCH($A46,'Schedule Raw Data'!$A$3:$A$2477,0),1,COUNTIF('Schedule Raw Data'!$A$3:$A$2477,$A46),2),N$1),0)</f>
        <v>1</v>
      </c>
      <c r="O46">
        <f>IFERROR(COUNTIF(OFFSET('Schedule Raw Data'!$A$2,MATCH($A46,'Schedule Raw Data'!$A$3:$A$2477,0),1,COUNTIF('Schedule Raw Data'!$A$3:$A$2477,$A46),2),O$1),0)</f>
        <v>1</v>
      </c>
      <c r="P46">
        <f>IFERROR(COUNTIF(OFFSET('Schedule Raw Data'!$A$2,MATCH($A46,'Schedule Raw Data'!$A$3:$A$2477,0),1,COUNTIF('Schedule Raw Data'!$A$3:$A$2477,$A46),2),P$1),0)</f>
        <v>0</v>
      </c>
      <c r="Q46">
        <f>IFERROR(COUNTIF(OFFSET('Schedule Raw Data'!$A$2,MATCH($A46,'Schedule Raw Data'!$A$3:$A$2477,0),1,COUNTIF('Schedule Raw Data'!$A$3:$A$2477,$A46),2),Q$1),0)</f>
        <v>0</v>
      </c>
      <c r="R46">
        <f>IFERROR(COUNTIF(OFFSET('Schedule Raw Data'!$A$2,MATCH($A46,'Schedule Raw Data'!$A$3:$A$2477,0),1,COUNTIF('Schedule Raw Data'!$A$3:$A$2477,$A46),2),R$1),0)</f>
        <v>0</v>
      </c>
      <c r="S46">
        <f>IFERROR(COUNTIF(OFFSET('Schedule Raw Data'!$A$2,MATCH($A46,'Schedule Raw Data'!$A$3:$A$2477,0),1,COUNTIF('Schedule Raw Data'!$A$3:$A$2477,$A46),2),S$1),0)</f>
        <v>0</v>
      </c>
      <c r="T46">
        <f>IFERROR(COUNTIF(OFFSET('Schedule Raw Data'!$A$2,MATCH($A46,'Schedule Raw Data'!$A$3:$A$2477,0),1,COUNTIF('Schedule Raw Data'!$A$3:$A$2477,$A46),2),T$1),0)</f>
        <v>0</v>
      </c>
      <c r="U46">
        <f>IFERROR(COUNTIF(OFFSET('Schedule Raw Data'!$A$2,MATCH($A46,'Schedule Raw Data'!$A$3:$A$2477,0),1,COUNTIF('Schedule Raw Data'!$A$3:$A$2477,$A46),2),U$1),0)</f>
        <v>1</v>
      </c>
      <c r="V46">
        <f>IFERROR(COUNTIF(OFFSET('Schedule Raw Data'!$A$2,MATCH($A46,'Schedule Raw Data'!$A$3:$A$2477,0),1,COUNTIF('Schedule Raw Data'!$A$3:$A$2477,$A46),2),V$1),0)</f>
        <v>0</v>
      </c>
      <c r="W46">
        <f>IFERROR(COUNTIF(OFFSET('Schedule Raw Data'!$A$2,MATCH($A46,'Schedule Raw Data'!$A$3:$A$2477,0),1,COUNTIF('Schedule Raw Data'!$A$3:$A$2477,$A46),2),W$1),0)</f>
        <v>1</v>
      </c>
      <c r="X46">
        <f>IFERROR(COUNTIF(OFFSET('Schedule Raw Data'!$A$2,MATCH($A46,'Schedule Raw Data'!$A$3:$A$2477,0),1,COUNTIF('Schedule Raw Data'!$A$3:$A$2477,$A46),2),X$1),0)</f>
        <v>0</v>
      </c>
      <c r="Y46">
        <f>IFERROR(COUNTIF(OFFSET('Schedule Raw Data'!$A$2,MATCH($A46,'Schedule Raw Data'!$A$3:$A$2477,0),1,COUNTIF('Schedule Raw Data'!$A$3:$A$2477,$A46),2),Y$1),0)</f>
        <v>0</v>
      </c>
      <c r="Z46">
        <f>IFERROR(COUNTIF(OFFSET('Schedule Raw Data'!$A$2,MATCH($A46,'Schedule Raw Data'!$A$3:$A$2477,0),1,COUNTIF('Schedule Raw Data'!$A$3:$A$2477,$A46),2),Z$1),0)</f>
        <v>0</v>
      </c>
      <c r="AA46">
        <f>IFERROR(COUNTIF(OFFSET('Schedule Raw Data'!$A$2,MATCH($A46,'Schedule Raw Data'!$A$3:$A$2477,0),1,COUNTIF('Schedule Raw Data'!$A$3:$A$2477,$A46),2),AA$1),0)</f>
        <v>0</v>
      </c>
      <c r="AB46">
        <f>IFERROR(COUNTIF(OFFSET('Schedule Raw Data'!$A$2,MATCH($A46,'Schedule Raw Data'!$A$3:$A$2477,0),1,COUNTIF('Schedule Raw Data'!$A$3:$A$2477,$A46),2),AB$1),0)</f>
        <v>1</v>
      </c>
      <c r="AC46">
        <f>IFERROR(COUNTIF(OFFSET('Schedule Raw Data'!$A$2,MATCH($A46,'Schedule Raw Data'!$A$3:$A$2477,0),1,COUNTIF('Schedule Raw Data'!$A$3:$A$2477,$A46),2),AC$1),0)</f>
        <v>1</v>
      </c>
      <c r="AD46">
        <f>IFERROR(COUNTIF(OFFSET('Schedule Raw Data'!$A$2,MATCH($A46,'Schedule Raw Data'!$A$3:$A$2477,0),1,COUNTIF('Schedule Raw Data'!$A$3:$A$2477,$A46),2),AD$1),0)</f>
        <v>1</v>
      </c>
      <c r="AE46">
        <f>IFERROR(COUNTIF(OFFSET('Schedule Raw Data'!$A$2,MATCH($A46,'Schedule Raw Data'!$A$3:$A$2477,0),1,COUNTIF('Schedule Raw Data'!$A$3:$A$2477,$A46),2),AE$1),0)</f>
        <v>0</v>
      </c>
      <c r="AF46">
        <f>IFERROR(COUNTIF(OFFSET('Schedule Raw Data'!$A$2,MATCH($A46,'Schedule Raw Data'!$A$3:$A$2477,0),1,COUNTIF('Schedule Raw Data'!$A$3:$A$2477,$A46),2),AF$1),0)</f>
        <v>0</v>
      </c>
      <c r="AG46">
        <f t="shared" si="1"/>
        <v>6</v>
      </c>
    </row>
    <row r="47">
      <c r="A47" s="30">
        <f t="array" ref="A47">INDEX('Schedule Raw Data'!$A$3:$A$2477,MATCH(0,INDEX(COUNTIF($A$1:A46,'Schedule Raw Data'!$A$3:$A$2477),0,0),0))</f>
        <v>46370</v>
      </c>
      <c r="B47">
        <f t="shared" si="2"/>
        <v>8</v>
      </c>
      <c r="C47">
        <f>IFERROR(COUNTIF(OFFSET('Schedule Raw Data'!$A$2,MATCH($A47,'Schedule Raw Data'!$A$3:$A$2477,0),1,COUNTIF('Schedule Raw Data'!$A$3:$A$2477,$A47),2),C$1),0)</f>
        <v>1</v>
      </c>
      <c r="D47">
        <f>IFERROR(COUNTIF(OFFSET('Schedule Raw Data'!$A$2,MATCH($A47,'Schedule Raw Data'!$A$3:$A$2477,0),1,COUNTIF('Schedule Raw Data'!$A$3:$A$2477,$A47),2),D$1),0)</f>
        <v>1</v>
      </c>
      <c r="E47">
        <f>IFERROR(COUNTIF(OFFSET('Schedule Raw Data'!$A$2,MATCH($A47,'Schedule Raw Data'!$A$3:$A$2477,0),1,COUNTIF('Schedule Raw Data'!$A$3:$A$2477,$A47),2),E$1),0)</f>
        <v>1</v>
      </c>
      <c r="F47">
        <f>IFERROR(COUNTIF(OFFSET('Schedule Raw Data'!$A$2,MATCH($A47,'Schedule Raw Data'!$A$3:$A$2477,0),1,COUNTIF('Schedule Raw Data'!$A$3:$A$2477,$A47),2),F$1),0)</f>
        <v>1</v>
      </c>
      <c r="G47">
        <f>IFERROR(COUNTIF(OFFSET('Schedule Raw Data'!$A$2,MATCH($A47,'Schedule Raw Data'!$A$3:$A$2477,0),1,COUNTIF('Schedule Raw Data'!$A$3:$A$2477,$A47),2),G$1),0)</f>
        <v>1</v>
      </c>
      <c r="H47">
        <f>IFERROR(COUNTIF(OFFSET('Schedule Raw Data'!$A$2,MATCH($A47,'Schedule Raw Data'!$A$3:$A$2477,0),1,COUNTIF('Schedule Raw Data'!$A$3:$A$2477,$A47),2),H$1),0)</f>
        <v>0</v>
      </c>
      <c r="I47">
        <f>IFERROR(COUNTIF(OFFSET('Schedule Raw Data'!$A$2,MATCH($A47,'Schedule Raw Data'!$A$3:$A$2477,0),1,COUNTIF('Schedule Raw Data'!$A$3:$A$2477,$A47),2),I$1),0)</f>
        <v>1</v>
      </c>
      <c r="J47">
        <f>IFERROR(COUNTIF(OFFSET('Schedule Raw Data'!$A$2,MATCH($A47,'Schedule Raw Data'!$A$3:$A$2477,0),1,COUNTIF('Schedule Raw Data'!$A$3:$A$2477,$A47),2),J$1),0)</f>
        <v>0</v>
      </c>
      <c r="K47">
        <f>IFERROR(COUNTIF(OFFSET('Schedule Raw Data'!$A$2,MATCH($A47,'Schedule Raw Data'!$A$3:$A$2477,0),1,COUNTIF('Schedule Raw Data'!$A$3:$A$2477,$A47),2),K$1),0)</f>
        <v>1</v>
      </c>
      <c r="L47">
        <f>IFERROR(COUNTIF(OFFSET('Schedule Raw Data'!$A$2,MATCH($A47,'Schedule Raw Data'!$A$3:$A$2477,0),1,COUNTIF('Schedule Raw Data'!$A$3:$A$2477,$A47),2),L$1),0)</f>
        <v>1</v>
      </c>
      <c r="M47">
        <f>IFERROR(COUNTIF(OFFSET('Schedule Raw Data'!$A$2,MATCH($A47,'Schedule Raw Data'!$A$3:$A$2477,0),1,COUNTIF('Schedule Raw Data'!$A$3:$A$2477,$A47),2),M$1),0)</f>
        <v>1</v>
      </c>
      <c r="N47">
        <f>IFERROR(COUNTIF(OFFSET('Schedule Raw Data'!$A$2,MATCH($A47,'Schedule Raw Data'!$A$3:$A$2477,0),1,COUNTIF('Schedule Raw Data'!$A$3:$A$2477,$A47),2),N$1),0)</f>
        <v>0</v>
      </c>
      <c r="O47">
        <f>IFERROR(COUNTIF(OFFSET('Schedule Raw Data'!$A$2,MATCH($A47,'Schedule Raw Data'!$A$3:$A$2477,0),1,COUNTIF('Schedule Raw Data'!$A$3:$A$2477,$A47),2),O$1),0)</f>
        <v>0</v>
      </c>
      <c r="P47">
        <f>IFERROR(COUNTIF(OFFSET('Schedule Raw Data'!$A$2,MATCH($A47,'Schedule Raw Data'!$A$3:$A$2477,0),1,COUNTIF('Schedule Raw Data'!$A$3:$A$2477,$A47),2),P$1),0)</f>
        <v>1</v>
      </c>
      <c r="Q47">
        <f>IFERROR(COUNTIF(OFFSET('Schedule Raw Data'!$A$2,MATCH($A47,'Schedule Raw Data'!$A$3:$A$2477,0),1,COUNTIF('Schedule Raw Data'!$A$3:$A$2477,$A47),2),Q$1),0)</f>
        <v>1</v>
      </c>
      <c r="R47">
        <f>IFERROR(COUNTIF(OFFSET('Schedule Raw Data'!$A$2,MATCH($A47,'Schedule Raw Data'!$A$3:$A$2477,0),1,COUNTIF('Schedule Raw Data'!$A$3:$A$2477,$A47),2),R$1),0)</f>
        <v>1</v>
      </c>
      <c r="S47">
        <f>IFERROR(COUNTIF(OFFSET('Schedule Raw Data'!$A$2,MATCH($A47,'Schedule Raw Data'!$A$3:$A$2477,0),1,COUNTIF('Schedule Raw Data'!$A$3:$A$2477,$A47),2),S$1),0)</f>
        <v>1</v>
      </c>
      <c r="T47">
        <f>IFERROR(COUNTIF(OFFSET('Schedule Raw Data'!$A$2,MATCH($A47,'Schedule Raw Data'!$A$3:$A$2477,0),1,COUNTIF('Schedule Raw Data'!$A$3:$A$2477,$A47),2),T$1),0)</f>
        <v>1</v>
      </c>
      <c r="U47">
        <f>IFERROR(COUNTIF(OFFSET('Schedule Raw Data'!$A$2,MATCH($A47,'Schedule Raw Data'!$A$3:$A$2477,0),1,COUNTIF('Schedule Raw Data'!$A$3:$A$2477,$A47),2),U$1),0)</f>
        <v>1</v>
      </c>
      <c r="V47">
        <f>IFERROR(COUNTIF(OFFSET('Schedule Raw Data'!$A$2,MATCH($A47,'Schedule Raw Data'!$A$3:$A$2477,0),1,COUNTIF('Schedule Raw Data'!$A$3:$A$2477,$A47),2),V$1),0)</f>
        <v>1</v>
      </c>
      <c r="W47">
        <f>IFERROR(COUNTIF(OFFSET('Schedule Raw Data'!$A$2,MATCH($A47,'Schedule Raw Data'!$A$3:$A$2477,0),1,COUNTIF('Schedule Raw Data'!$A$3:$A$2477,$A47),2),W$1),0)</f>
        <v>0</v>
      </c>
      <c r="X47">
        <f>IFERROR(COUNTIF(OFFSET('Schedule Raw Data'!$A$2,MATCH($A47,'Schedule Raw Data'!$A$3:$A$2477,0),1,COUNTIF('Schedule Raw Data'!$A$3:$A$2477,$A47),2),X$1),0)</f>
        <v>1</v>
      </c>
      <c r="Y47">
        <f>IFERROR(COUNTIF(OFFSET('Schedule Raw Data'!$A$2,MATCH($A47,'Schedule Raw Data'!$A$3:$A$2477,0),1,COUNTIF('Schedule Raw Data'!$A$3:$A$2477,$A47),2),Y$1),0)</f>
        <v>1</v>
      </c>
      <c r="Z47">
        <f>IFERROR(COUNTIF(OFFSET('Schedule Raw Data'!$A$2,MATCH($A47,'Schedule Raw Data'!$A$3:$A$2477,0),1,COUNTIF('Schedule Raw Data'!$A$3:$A$2477,$A47),2),Z$1),0)</f>
        <v>1</v>
      </c>
      <c r="AA47">
        <f>IFERROR(COUNTIF(OFFSET('Schedule Raw Data'!$A$2,MATCH($A47,'Schedule Raw Data'!$A$3:$A$2477,0),1,COUNTIF('Schedule Raw Data'!$A$3:$A$2477,$A47),2),AA$1),0)</f>
        <v>0</v>
      </c>
      <c r="AB47">
        <f>IFERROR(COUNTIF(OFFSET('Schedule Raw Data'!$A$2,MATCH($A47,'Schedule Raw Data'!$A$3:$A$2477,0),1,COUNTIF('Schedule Raw Data'!$A$3:$A$2477,$A47),2),AB$1),0)</f>
        <v>0</v>
      </c>
      <c r="AC47">
        <f>IFERROR(COUNTIF(OFFSET('Schedule Raw Data'!$A$2,MATCH($A47,'Schedule Raw Data'!$A$3:$A$2477,0),1,COUNTIF('Schedule Raw Data'!$A$3:$A$2477,$A47),2),AC$1),0)</f>
        <v>0</v>
      </c>
      <c r="AD47">
        <f>IFERROR(COUNTIF(OFFSET('Schedule Raw Data'!$A$2,MATCH($A47,'Schedule Raw Data'!$A$3:$A$2477,0),1,COUNTIF('Schedule Raw Data'!$A$3:$A$2477,$A47),2),AD$1),0)</f>
        <v>1</v>
      </c>
      <c r="AE47">
        <f>IFERROR(COUNTIF(OFFSET('Schedule Raw Data'!$A$2,MATCH($A47,'Schedule Raw Data'!$A$3:$A$2477,0),1,COUNTIF('Schedule Raw Data'!$A$3:$A$2477,$A47),2),AE$1),0)</f>
        <v>1</v>
      </c>
      <c r="AF47">
        <f>IFERROR(COUNTIF(OFFSET('Schedule Raw Data'!$A$2,MATCH($A47,'Schedule Raw Data'!$A$3:$A$2477,0),1,COUNTIF('Schedule Raw Data'!$A$3:$A$2477,$A47),2),AF$1),0)</f>
        <v>1</v>
      </c>
      <c r="AG47">
        <f t="shared" si="1"/>
        <v>11</v>
      </c>
    </row>
    <row r="48">
      <c r="A48" s="30">
        <f t="array" ref="A48">INDEX('Schedule Raw Data'!$A$3:$A$2477,MATCH(0,INDEX(COUNTIF($A$1:A47,'Schedule Raw Data'!$A$3:$A$2477),0,0),0))</f>
        <v>46371</v>
      </c>
      <c r="B48">
        <f t="shared" si="2"/>
        <v>8</v>
      </c>
      <c r="C48">
        <f>IFERROR(COUNTIF(OFFSET('Schedule Raw Data'!$A$2,MATCH($A48,'Schedule Raw Data'!$A$3:$A$2477,0),1,COUNTIF('Schedule Raw Data'!$A$3:$A$2477,$A48),2),C$1),0)</f>
        <v>0</v>
      </c>
      <c r="D48">
        <f>IFERROR(COUNTIF(OFFSET('Schedule Raw Data'!$A$2,MATCH($A48,'Schedule Raw Data'!$A$3:$A$2477,0),1,COUNTIF('Schedule Raw Data'!$A$3:$A$2477,$A48),2),D$1),0)</f>
        <v>0</v>
      </c>
      <c r="E48">
        <f>IFERROR(COUNTIF(OFFSET('Schedule Raw Data'!$A$2,MATCH($A48,'Schedule Raw Data'!$A$3:$A$2477,0),1,COUNTIF('Schedule Raw Data'!$A$3:$A$2477,$A48),2),E$1),0)</f>
        <v>0</v>
      </c>
      <c r="F48">
        <f>IFERROR(COUNTIF(OFFSET('Schedule Raw Data'!$A$2,MATCH($A48,'Schedule Raw Data'!$A$3:$A$2477,0),1,COUNTIF('Schedule Raw Data'!$A$3:$A$2477,$A48),2),F$1),0)</f>
        <v>0</v>
      </c>
      <c r="G48">
        <f>IFERROR(COUNTIF(OFFSET('Schedule Raw Data'!$A$2,MATCH($A48,'Schedule Raw Data'!$A$3:$A$2477,0),1,COUNTIF('Schedule Raw Data'!$A$3:$A$2477,$A48),2),G$1),0)</f>
        <v>0</v>
      </c>
      <c r="H48">
        <f>IFERROR(COUNTIF(OFFSET('Schedule Raw Data'!$A$2,MATCH($A48,'Schedule Raw Data'!$A$3:$A$2477,0),1,COUNTIF('Schedule Raw Data'!$A$3:$A$2477,$A48),2),H$1),0)</f>
        <v>1</v>
      </c>
      <c r="I48">
        <f>IFERROR(COUNTIF(OFFSET('Schedule Raw Data'!$A$2,MATCH($A48,'Schedule Raw Data'!$A$3:$A$2477,0),1,COUNTIF('Schedule Raw Data'!$A$3:$A$2477,$A48),2),I$1),0)</f>
        <v>0</v>
      </c>
      <c r="J48">
        <f>IFERROR(COUNTIF(OFFSET('Schedule Raw Data'!$A$2,MATCH($A48,'Schedule Raw Data'!$A$3:$A$2477,0),1,COUNTIF('Schedule Raw Data'!$A$3:$A$2477,$A48),2),J$1),0)</f>
        <v>1</v>
      </c>
      <c r="K48">
        <f>IFERROR(COUNTIF(OFFSET('Schedule Raw Data'!$A$2,MATCH($A48,'Schedule Raw Data'!$A$3:$A$2477,0),1,COUNTIF('Schedule Raw Data'!$A$3:$A$2477,$A48),2),K$1),0)</f>
        <v>0</v>
      </c>
      <c r="L48">
        <f>IFERROR(COUNTIF(OFFSET('Schedule Raw Data'!$A$2,MATCH($A48,'Schedule Raw Data'!$A$3:$A$2477,0),1,COUNTIF('Schedule Raw Data'!$A$3:$A$2477,$A48),2),L$1),0)</f>
        <v>0</v>
      </c>
      <c r="M48">
        <f>IFERROR(COUNTIF(OFFSET('Schedule Raw Data'!$A$2,MATCH($A48,'Schedule Raw Data'!$A$3:$A$2477,0),1,COUNTIF('Schedule Raw Data'!$A$3:$A$2477,$A48),2),M$1),0)</f>
        <v>0</v>
      </c>
      <c r="N48">
        <f>IFERROR(COUNTIF(OFFSET('Schedule Raw Data'!$A$2,MATCH($A48,'Schedule Raw Data'!$A$3:$A$2477,0),1,COUNTIF('Schedule Raw Data'!$A$3:$A$2477,$A48),2),N$1),0)</f>
        <v>0</v>
      </c>
      <c r="O48">
        <f>IFERROR(COUNTIF(OFFSET('Schedule Raw Data'!$A$2,MATCH($A48,'Schedule Raw Data'!$A$3:$A$2477,0),1,COUNTIF('Schedule Raw Data'!$A$3:$A$2477,$A48),2),O$1),0)</f>
        <v>0</v>
      </c>
      <c r="P48">
        <f>IFERROR(COUNTIF(OFFSET('Schedule Raw Data'!$A$2,MATCH($A48,'Schedule Raw Data'!$A$3:$A$2477,0),1,COUNTIF('Schedule Raw Data'!$A$3:$A$2477,$A48),2),P$1),0)</f>
        <v>0</v>
      </c>
      <c r="Q48">
        <f>IFERROR(COUNTIF(OFFSET('Schedule Raw Data'!$A$2,MATCH($A48,'Schedule Raw Data'!$A$3:$A$2477,0),1,COUNTIF('Schedule Raw Data'!$A$3:$A$2477,$A48),2),Q$1),0)</f>
        <v>0</v>
      </c>
      <c r="R48">
        <f>IFERROR(COUNTIF(OFFSET('Schedule Raw Data'!$A$2,MATCH($A48,'Schedule Raw Data'!$A$3:$A$2477,0),1,COUNTIF('Schedule Raw Data'!$A$3:$A$2477,$A48),2),R$1),0)</f>
        <v>0</v>
      </c>
      <c r="S48">
        <f>IFERROR(COUNTIF(OFFSET('Schedule Raw Data'!$A$2,MATCH($A48,'Schedule Raw Data'!$A$3:$A$2477,0),1,COUNTIF('Schedule Raw Data'!$A$3:$A$2477,$A48),2),S$1),0)</f>
        <v>0</v>
      </c>
      <c r="T48">
        <f>IFERROR(COUNTIF(OFFSET('Schedule Raw Data'!$A$2,MATCH($A48,'Schedule Raw Data'!$A$3:$A$2477,0),1,COUNTIF('Schedule Raw Data'!$A$3:$A$2477,$A48),2),T$1),0)</f>
        <v>0</v>
      </c>
      <c r="U48">
        <f>IFERROR(COUNTIF(OFFSET('Schedule Raw Data'!$A$2,MATCH($A48,'Schedule Raw Data'!$A$3:$A$2477,0),1,COUNTIF('Schedule Raw Data'!$A$3:$A$2477,$A48),2),U$1),0)</f>
        <v>0</v>
      </c>
      <c r="V48">
        <f>IFERROR(COUNTIF(OFFSET('Schedule Raw Data'!$A$2,MATCH($A48,'Schedule Raw Data'!$A$3:$A$2477,0),1,COUNTIF('Schedule Raw Data'!$A$3:$A$2477,$A48),2),V$1),0)</f>
        <v>0</v>
      </c>
      <c r="W48">
        <f>IFERROR(COUNTIF(OFFSET('Schedule Raw Data'!$A$2,MATCH($A48,'Schedule Raw Data'!$A$3:$A$2477,0),1,COUNTIF('Schedule Raw Data'!$A$3:$A$2477,$A48),2),W$1),0)</f>
        <v>0</v>
      </c>
      <c r="X48">
        <f>IFERROR(COUNTIF(OFFSET('Schedule Raw Data'!$A$2,MATCH($A48,'Schedule Raw Data'!$A$3:$A$2477,0),1,COUNTIF('Schedule Raw Data'!$A$3:$A$2477,$A48),2),X$1),0)</f>
        <v>0</v>
      </c>
      <c r="Y48">
        <f>IFERROR(COUNTIF(OFFSET('Schedule Raw Data'!$A$2,MATCH($A48,'Schedule Raw Data'!$A$3:$A$2477,0),1,COUNTIF('Schedule Raw Data'!$A$3:$A$2477,$A48),2),Y$1),0)</f>
        <v>0</v>
      </c>
      <c r="Z48">
        <f>IFERROR(COUNTIF(OFFSET('Schedule Raw Data'!$A$2,MATCH($A48,'Schedule Raw Data'!$A$3:$A$2477,0),1,COUNTIF('Schedule Raw Data'!$A$3:$A$2477,$A48),2),Z$1),0)</f>
        <v>0</v>
      </c>
      <c r="AA48">
        <f>IFERROR(COUNTIF(OFFSET('Schedule Raw Data'!$A$2,MATCH($A48,'Schedule Raw Data'!$A$3:$A$2477,0),1,COUNTIF('Schedule Raw Data'!$A$3:$A$2477,$A48),2),AA$1),0)</f>
        <v>1</v>
      </c>
      <c r="AB48">
        <f>IFERROR(COUNTIF(OFFSET('Schedule Raw Data'!$A$2,MATCH($A48,'Schedule Raw Data'!$A$3:$A$2477,0),1,COUNTIF('Schedule Raw Data'!$A$3:$A$2477,$A48),2),AB$1),0)</f>
        <v>0</v>
      </c>
      <c r="AC48">
        <f>IFERROR(COUNTIF(OFFSET('Schedule Raw Data'!$A$2,MATCH($A48,'Schedule Raw Data'!$A$3:$A$2477,0),1,COUNTIF('Schedule Raw Data'!$A$3:$A$2477,$A48),2),AC$1),0)</f>
        <v>1</v>
      </c>
      <c r="AD48">
        <f>IFERROR(COUNTIF(OFFSET('Schedule Raw Data'!$A$2,MATCH($A48,'Schedule Raw Data'!$A$3:$A$2477,0),1,COUNTIF('Schedule Raw Data'!$A$3:$A$2477,$A48),2),AD$1),0)</f>
        <v>0</v>
      </c>
      <c r="AE48">
        <f>IFERROR(COUNTIF(OFFSET('Schedule Raw Data'!$A$2,MATCH($A48,'Schedule Raw Data'!$A$3:$A$2477,0),1,COUNTIF('Schedule Raw Data'!$A$3:$A$2477,$A48),2),AE$1),0)</f>
        <v>0</v>
      </c>
      <c r="AF48">
        <f>IFERROR(COUNTIF(OFFSET('Schedule Raw Data'!$A$2,MATCH($A48,'Schedule Raw Data'!$A$3:$A$2477,0),1,COUNTIF('Schedule Raw Data'!$A$3:$A$2477,$A48),2),AF$1),0)</f>
        <v>0</v>
      </c>
      <c r="AG48">
        <f t="shared" si="1"/>
        <v>2</v>
      </c>
    </row>
    <row r="49">
      <c r="A49" s="30">
        <f t="array" ref="A49">INDEX('Schedule Raw Data'!$A$3:$A$2477,MATCH(0,INDEX(COUNTIF($A$1:A48,'Schedule Raw Data'!$A$3:$A$2477),0,0),0))</f>
        <v>46372</v>
      </c>
      <c r="B49">
        <f t="shared" si="2"/>
        <v>8</v>
      </c>
      <c r="C49">
        <f>IFERROR(COUNTIF(OFFSET('Schedule Raw Data'!$A$2,MATCH($A49,'Schedule Raw Data'!$A$3:$A$2477,0),1,COUNTIF('Schedule Raw Data'!$A$3:$A$2477,$A49),2),C$1),0)</f>
        <v>0</v>
      </c>
      <c r="D49">
        <f>IFERROR(COUNTIF(OFFSET('Schedule Raw Data'!$A$2,MATCH($A49,'Schedule Raw Data'!$A$3:$A$2477,0),1,COUNTIF('Schedule Raw Data'!$A$3:$A$2477,$A49),2),D$1),0)</f>
        <v>1</v>
      </c>
      <c r="E49">
        <f>IFERROR(COUNTIF(OFFSET('Schedule Raw Data'!$A$2,MATCH($A49,'Schedule Raw Data'!$A$3:$A$2477,0),1,COUNTIF('Schedule Raw Data'!$A$3:$A$2477,$A49),2),E$1),0)</f>
        <v>1</v>
      </c>
      <c r="F49">
        <f>IFERROR(COUNTIF(OFFSET('Schedule Raw Data'!$A$2,MATCH($A49,'Schedule Raw Data'!$A$3:$A$2477,0),1,COUNTIF('Schedule Raw Data'!$A$3:$A$2477,$A49),2),F$1),0)</f>
        <v>1</v>
      </c>
      <c r="G49">
        <f>IFERROR(COUNTIF(OFFSET('Schedule Raw Data'!$A$2,MATCH($A49,'Schedule Raw Data'!$A$3:$A$2477,0),1,COUNTIF('Schedule Raw Data'!$A$3:$A$2477,$A49),2),G$1),0)</f>
        <v>1</v>
      </c>
      <c r="H49">
        <f>IFERROR(COUNTIF(OFFSET('Schedule Raw Data'!$A$2,MATCH($A49,'Schedule Raw Data'!$A$3:$A$2477,0),1,COUNTIF('Schedule Raw Data'!$A$3:$A$2477,$A49),2),H$1),0)</f>
        <v>1</v>
      </c>
      <c r="I49">
        <f>IFERROR(COUNTIF(OFFSET('Schedule Raw Data'!$A$2,MATCH($A49,'Schedule Raw Data'!$A$3:$A$2477,0),1,COUNTIF('Schedule Raw Data'!$A$3:$A$2477,$A49),2),I$1),0)</f>
        <v>1</v>
      </c>
      <c r="J49">
        <f>IFERROR(COUNTIF(OFFSET('Schedule Raw Data'!$A$2,MATCH($A49,'Schedule Raw Data'!$A$3:$A$2477,0),1,COUNTIF('Schedule Raw Data'!$A$3:$A$2477,$A49),2),J$1),0)</f>
        <v>0</v>
      </c>
      <c r="K49">
        <f>IFERROR(COUNTIF(OFFSET('Schedule Raw Data'!$A$2,MATCH($A49,'Schedule Raw Data'!$A$3:$A$2477,0),1,COUNTIF('Schedule Raw Data'!$A$3:$A$2477,$A49),2),K$1),0)</f>
        <v>1</v>
      </c>
      <c r="L49">
        <f>IFERROR(COUNTIF(OFFSET('Schedule Raw Data'!$A$2,MATCH($A49,'Schedule Raw Data'!$A$3:$A$2477,0),1,COUNTIF('Schedule Raw Data'!$A$3:$A$2477,$A49),2),L$1),0)</f>
        <v>1</v>
      </c>
      <c r="M49">
        <f>IFERROR(COUNTIF(OFFSET('Schedule Raw Data'!$A$2,MATCH($A49,'Schedule Raw Data'!$A$3:$A$2477,0),1,COUNTIF('Schedule Raw Data'!$A$3:$A$2477,$A49),2),M$1),0)</f>
        <v>1</v>
      </c>
      <c r="N49">
        <f>IFERROR(COUNTIF(OFFSET('Schedule Raw Data'!$A$2,MATCH($A49,'Schedule Raw Data'!$A$3:$A$2477,0),1,COUNTIF('Schedule Raw Data'!$A$3:$A$2477,$A49),2),N$1),0)</f>
        <v>1</v>
      </c>
      <c r="O49">
        <f>IFERROR(COUNTIF(OFFSET('Schedule Raw Data'!$A$2,MATCH($A49,'Schedule Raw Data'!$A$3:$A$2477,0),1,COUNTIF('Schedule Raw Data'!$A$3:$A$2477,$A49),2),O$1),0)</f>
        <v>1</v>
      </c>
      <c r="P49">
        <f>IFERROR(COUNTIF(OFFSET('Schedule Raw Data'!$A$2,MATCH($A49,'Schedule Raw Data'!$A$3:$A$2477,0),1,COUNTIF('Schedule Raw Data'!$A$3:$A$2477,$A49),2),P$1),0)</f>
        <v>1</v>
      </c>
      <c r="Q49">
        <f>IFERROR(COUNTIF(OFFSET('Schedule Raw Data'!$A$2,MATCH($A49,'Schedule Raw Data'!$A$3:$A$2477,0),1,COUNTIF('Schedule Raw Data'!$A$3:$A$2477,$A49),2),Q$1),0)</f>
        <v>1</v>
      </c>
      <c r="R49">
        <f>IFERROR(COUNTIF(OFFSET('Schedule Raw Data'!$A$2,MATCH($A49,'Schedule Raw Data'!$A$3:$A$2477,0),1,COUNTIF('Schedule Raw Data'!$A$3:$A$2477,$A49),2),R$1),0)</f>
        <v>1</v>
      </c>
      <c r="S49">
        <f>IFERROR(COUNTIF(OFFSET('Schedule Raw Data'!$A$2,MATCH($A49,'Schedule Raw Data'!$A$3:$A$2477,0),1,COUNTIF('Schedule Raw Data'!$A$3:$A$2477,$A49),2),S$1),0)</f>
        <v>1</v>
      </c>
      <c r="T49">
        <f>IFERROR(COUNTIF(OFFSET('Schedule Raw Data'!$A$2,MATCH($A49,'Schedule Raw Data'!$A$3:$A$2477,0),1,COUNTIF('Schedule Raw Data'!$A$3:$A$2477,$A49),2),T$1),0)</f>
        <v>1</v>
      </c>
      <c r="U49">
        <f>IFERROR(COUNTIF(OFFSET('Schedule Raw Data'!$A$2,MATCH($A49,'Schedule Raw Data'!$A$3:$A$2477,0),1,COUNTIF('Schedule Raw Data'!$A$3:$A$2477,$A49),2),U$1),0)</f>
        <v>1</v>
      </c>
      <c r="V49">
        <f>IFERROR(COUNTIF(OFFSET('Schedule Raw Data'!$A$2,MATCH($A49,'Schedule Raw Data'!$A$3:$A$2477,0),1,COUNTIF('Schedule Raw Data'!$A$3:$A$2477,$A49),2),V$1),0)</f>
        <v>1</v>
      </c>
      <c r="W49">
        <f>IFERROR(COUNTIF(OFFSET('Schedule Raw Data'!$A$2,MATCH($A49,'Schedule Raw Data'!$A$3:$A$2477,0),1,COUNTIF('Schedule Raw Data'!$A$3:$A$2477,$A49),2),W$1),0)</f>
        <v>1</v>
      </c>
      <c r="X49">
        <f>IFERROR(COUNTIF(OFFSET('Schedule Raw Data'!$A$2,MATCH($A49,'Schedule Raw Data'!$A$3:$A$2477,0),1,COUNTIF('Schedule Raw Data'!$A$3:$A$2477,$A49),2),X$1),0)</f>
        <v>1</v>
      </c>
      <c r="Y49">
        <f>IFERROR(COUNTIF(OFFSET('Schedule Raw Data'!$A$2,MATCH($A49,'Schedule Raw Data'!$A$3:$A$2477,0),1,COUNTIF('Schedule Raw Data'!$A$3:$A$2477,$A49),2),Y$1),0)</f>
        <v>0</v>
      </c>
      <c r="Z49">
        <f>IFERROR(COUNTIF(OFFSET('Schedule Raw Data'!$A$2,MATCH($A49,'Schedule Raw Data'!$A$3:$A$2477,0),1,COUNTIF('Schedule Raw Data'!$A$3:$A$2477,$A49),2),Z$1),0)</f>
        <v>1</v>
      </c>
      <c r="AA49">
        <f>IFERROR(COUNTIF(OFFSET('Schedule Raw Data'!$A$2,MATCH($A49,'Schedule Raw Data'!$A$3:$A$2477,0),1,COUNTIF('Schedule Raw Data'!$A$3:$A$2477,$A49),2),AA$1),0)</f>
        <v>0</v>
      </c>
      <c r="AB49">
        <f>IFERROR(COUNTIF(OFFSET('Schedule Raw Data'!$A$2,MATCH($A49,'Schedule Raw Data'!$A$3:$A$2477,0),1,COUNTIF('Schedule Raw Data'!$A$3:$A$2477,$A49),2),AB$1),0)</f>
        <v>1</v>
      </c>
      <c r="AC49">
        <f>IFERROR(COUNTIF(OFFSET('Schedule Raw Data'!$A$2,MATCH($A49,'Schedule Raw Data'!$A$3:$A$2477,0),1,COUNTIF('Schedule Raw Data'!$A$3:$A$2477,$A49),2),AC$1),0)</f>
        <v>1</v>
      </c>
      <c r="AD49">
        <f>IFERROR(COUNTIF(OFFSET('Schedule Raw Data'!$A$2,MATCH($A49,'Schedule Raw Data'!$A$3:$A$2477,0),1,COUNTIF('Schedule Raw Data'!$A$3:$A$2477,$A49),2),AD$1),0)</f>
        <v>1</v>
      </c>
      <c r="AE49">
        <f>IFERROR(COUNTIF(OFFSET('Schedule Raw Data'!$A$2,MATCH($A49,'Schedule Raw Data'!$A$3:$A$2477,0),1,COUNTIF('Schedule Raw Data'!$A$3:$A$2477,$A49),2),AE$1),0)</f>
        <v>1</v>
      </c>
      <c r="AF49">
        <f>IFERROR(COUNTIF(OFFSET('Schedule Raw Data'!$A$2,MATCH($A49,'Schedule Raw Data'!$A$3:$A$2477,0),1,COUNTIF('Schedule Raw Data'!$A$3:$A$2477,$A49),2),AF$1),0)</f>
        <v>1</v>
      </c>
      <c r="AG49">
        <f t="shared" si="1"/>
        <v>13</v>
      </c>
    </row>
    <row r="50">
      <c r="A50" s="30">
        <f t="array" ref="A50">INDEX('Schedule Raw Data'!$A$3:$A$2477,MATCH(0,INDEX(COUNTIF($A$1:A49,'Schedule Raw Data'!$A$3:$A$2477),0,0),0))</f>
        <v>46373</v>
      </c>
      <c r="B50">
        <f t="shared" si="2"/>
        <v>8</v>
      </c>
      <c r="C50">
        <f>IFERROR(COUNTIF(OFFSET('Schedule Raw Data'!$A$2,MATCH($A50,'Schedule Raw Data'!$A$3:$A$2477,0),1,COUNTIF('Schedule Raw Data'!$A$3:$A$2477,$A50),2),C$1),0)</f>
        <v>1</v>
      </c>
      <c r="D50">
        <f>IFERROR(COUNTIF(OFFSET('Schedule Raw Data'!$A$2,MATCH($A50,'Schedule Raw Data'!$A$3:$A$2477,0),1,COUNTIF('Schedule Raw Data'!$A$3:$A$2477,$A50),2),D$1),0)</f>
        <v>0</v>
      </c>
      <c r="E50">
        <f>IFERROR(COUNTIF(OFFSET('Schedule Raw Data'!$A$2,MATCH($A50,'Schedule Raw Data'!$A$3:$A$2477,0),1,COUNTIF('Schedule Raw Data'!$A$3:$A$2477,$A50),2),E$1),0)</f>
        <v>0</v>
      </c>
      <c r="F50">
        <f>IFERROR(COUNTIF(OFFSET('Schedule Raw Data'!$A$2,MATCH($A50,'Schedule Raw Data'!$A$3:$A$2477,0),1,COUNTIF('Schedule Raw Data'!$A$3:$A$2477,$A50),2),F$1),0)</f>
        <v>0</v>
      </c>
      <c r="G50">
        <f>IFERROR(COUNTIF(OFFSET('Schedule Raw Data'!$A$2,MATCH($A50,'Schedule Raw Data'!$A$3:$A$2477,0),1,COUNTIF('Schedule Raw Data'!$A$3:$A$2477,$A50),2),G$1),0)</f>
        <v>0</v>
      </c>
      <c r="H50">
        <f>IFERROR(COUNTIF(OFFSET('Schedule Raw Data'!$A$2,MATCH($A50,'Schedule Raw Data'!$A$3:$A$2477,0),1,COUNTIF('Schedule Raw Data'!$A$3:$A$2477,$A50),2),H$1),0)</f>
        <v>0</v>
      </c>
      <c r="I50">
        <f>IFERROR(COUNTIF(OFFSET('Schedule Raw Data'!$A$2,MATCH($A50,'Schedule Raw Data'!$A$3:$A$2477,0),1,COUNTIF('Schedule Raw Data'!$A$3:$A$2477,$A50),2),I$1),0)</f>
        <v>1</v>
      </c>
      <c r="J50">
        <f>IFERROR(COUNTIF(OFFSET('Schedule Raw Data'!$A$2,MATCH($A50,'Schedule Raw Data'!$A$3:$A$2477,0),1,COUNTIF('Schedule Raw Data'!$A$3:$A$2477,$A50),2),J$1),0)</f>
        <v>1</v>
      </c>
      <c r="K50">
        <f>IFERROR(COUNTIF(OFFSET('Schedule Raw Data'!$A$2,MATCH($A50,'Schedule Raw Data'!$A$3:$A$2477,0),1,COUNTIF('Schedule Raw Data'!$A$3:$A$2477,$A50),2),K$1),0)</f>
        <v>0</v>
      </c>
      <c r="L50">
        <f>IFERROR(COUNTIF(OFFSET('Schedule Raw Data'!$A$2,MATCH($A50,'Schedule Raw Data'!$A$3:$A$2477,0),1,COUNTIF('Schedule Raw Data'!$A$3:$A$2477,$A50),2),L$1),0)</f>
        <v>0</v>
      </c>
      <c r="M50">
        <f>IFERROR(COUNTIF(OFFSET('Schedule Raw Data'!$A$2,MATCH($A50,'Schedule Raw Data'!$A$3:$A$2477,0),1,COUNTIF('Schedule Raw Data'!$A$3:$A$2477,$A50),2),M$1),0)</f>
        <v>0</v>
      </c>
      <c r="N50">
        <f>IFERROR(COUNTIF(OFFSET('Schedule Raw Data'!$A$2,MATCH($A50,'Schedule Raw Data'!$A$3:$A$2477,0),1,COUNTIF('Schedule Raw Data'!$A$3:$A$2477,$A50),2),N$1),0)</f>
        <v>1</v>
      </c>
      <c r="O50">
        <f>IFERROR(COUNTIF(OFFSET('Schedule Raw Data'!$A$2,MATCH($A50,'Schedule Raw Data'!$A$3:$A$2477,0),1,COUNTIF('Schedule Raw Data'!$A$3:$A$2477,$A50),2),O$1),0)</f>
        <v>0</v>
      </c>
      <c r="P50">
        <f>IFERROR(COUNTIF(OFFSET('Schedule Raw Data'!$A$2,MATCH($A50,'Schedule Raw Data'!$A$3:$A$2477,0),1,COUNTIF('Schedule Raw Data'!$A$3:$A$2477,$A50),2),P$1),0)</f>
        <v>0</v>
      </c>
      <c r="Q50">
        <f>IFERROR(COUNTIF(OFFSET('Schedule Raw Data'!$A$2,MATCH($A50,'Schedule Raw Data'!$A$3:$A$2477,0),1,COUNTIF('Schedule Raw Data'!$A$3:$A$2477,$A50),2),Q$1),0)</f>
        <v>0</v>
      </c>
      <c r="R50">
        <f>IFERROR(COUNTIF(OFFSET('Schedule Raw Data'!$A$2,MATCH($A50,'Schedule Raw Data'!$A$3:$A$2477,0),1,COUNTIF('Schedule Raw Data'!$A$3:$A$2477,$A50),2),R$1),0)</f>
        <v>0</v>
      </c>
      <c r="S50">
        <f>IFERROR(COUNTIF(OFFSET('Schedule Raw Data'!$A$2,MATCH($A50,'Schedule Raw Data'!$A$3:$A$2477,0),1,COUNTIF('Schedule Raw Data'!$A$3:$A$2477,$A50),2),S$1),0)</f>
        <v>0</v>
      </c>
      <c r="T50">
        <f>IFERROR(COUNTIF(OFFSET('Schedule Raw Data'!$A$2,MATCH($A50,'Schedule Raw Data'!$A$3:$A$2477,0),1,COUNTIF('Schedule Raw Data'!$A$3:$A$2477,$A50),2),T$1),0)</f>
        <v>0</v>
      </c>
      <c r="U50">
        <f>IFERROR(COUNTIF(OFFSET('Schedule Raw Data'!$A$2,MATCH($A50,'Schedule Raw Data'!$A$3:$A$2477,0),1,COUNTIF('Schedule Raw Data'!$A$3:$A$2477,$A50),2),U$1),0)</f>
        <v>0</v>
      </c>
      <c r="V50">
        <f>IFERROR(COUNTIF(OFFSET('Schedule Raw Data'!$A$2,MATCH($A50,'Schedule Raw Data'!$A$3:$A$2477,0),1,COUNTIF('Schedule Raw Data'!$A$3:$A$2477,$A50),2),V$1),0)</f>
        <v>0</v>
      </c>
      <c r="W50">
        <f>IFERROR(COUNTIF(OFFSET('Schedule Raw Data'!$A$2,MATCH($A50,'Schedule Raw Data'!$A$3:$A$2477,0),1,COUNTIF('Schedule Raw Data'!$A$3:$A$2477,$A50),2),W$1),0)</f>
        <v>0</v>
      </c>
      <c r="X50">
        <f>IFERROR(COUNTIF(OFFSET('Schedule Raw Data'!$A$2,MATCH($A50,'Schedule Raw Data'!$A$3:$A$2477,0),1,COUNTIF('Schedule Raw Data'!$A$3:$A$2477,$A50),2),X$1),0)</f>
        <v>0</v>
      </c>
      <c r="Y50">
        <f>IFERROR(COUNTIF(OFFSET('Schedule Raw Data'!$A$2,MATCH($A50,'Schedule Raw Data'!$A$3:$A$2477,0),1,COUNTIF('Schedule Raw Data'!$A$3:$A$2477,$A50),2),Y$1),0)</f>
        <v>1</v>
      </c>
      <c r="Z50">
        <f>IFERROR(COUNTIF(OFFSET('Schedule Raw Data'!$A$2,MATCH($A50,'Schedule Raw Data'!$A$3:$A$2477,0),1,COUNTIF('Schedule Raw Data'!$A$3:$A$2477,$A50),2),Z$1),0)</f>
        <v>0</v>
      </c>
      <c r="AA50">
        <f>IFERROR(COUNTIF(OFFSET('Schedule Raw Data'!$A$2,MATCH($A50,'Schedule Raw Data'!$A$3:$A$2477,0),1,COUNTIF('Schedule Raw Data'!$A$3:$A$2477,$A50),2),AA$1),0)</f>
        <v>1</v>
      </c>
      <c r="AB50">
        <f>IFERROR(COUNTIF(OFFSET('Schedule Raw Data'!$A$2,MATCH($A50,'Schedule Raw Data'!$A$3:$A$2477,0),1,COUNTIF('Schedule Raw Data'!$A$3:$A$2477,$A50),2),AB$1),0)</f>
        <v>0</v>
      </c>
      <c r="AC50">
        <f>IFERROR(COUNTIF(OFFSET('Schedule Raw Data'!$A$2,MATCH($A50,'Schedule Raw Data'!$A$3:$A$2477,0),1,COUNTIF('Schedule Raw Data'!$A$3:$A$2477,$A50),2),AC$1),0)</f>
        <v>0</v>
      </c>
      <c r="AD50">
        <f>IFERROR(COUNTIF(OFFSET('Schedule Raw Data'!$A$2,MATCH($A50,'Schedule Raw Data'!$A$3:$A$2477,0),1,COUNTIF('Schedule Raw Data'!$A$3:$A$2477,$A50),2),AD$1),0)</f>
        <v>0</v>
      </c>
      <c r="AE50">
        <f>IFERROR(COUNTIF(OFFSET('Schedule Raw Data'!$A$2,MATCH($A50,'Schedule Raw Data'!$A$3:$A$2477,0),1,COUNTIF('Schedule Raw Data'!$A$3:$A$2477,$A50),2),AE$1),0)</f>
        <v>0</v>
      </c>
      <c r="AF50">
        <f>IFERROR(COUNTIF(OFFSET('Schedule Raw Data'!$A$2,MATCH($A50,'Schedule Raw Data'!$A$3:$A$2477,0),1,COUNTIF('Schedule Raw Data'!$A$3:$A$2477,$A50),2),AF$1),0)</f>
        <v>0</v>
      </c>
      <c r="AG50">
        <f t="shared" si="1"/>
        <v>3</v>
      </c>
    </row>
    <row r="51">
      <c r="A51" s="30">
        <f t="array" ref="A51">INDEX('Schedule Raw Data'!$A$3:$A$2477,MATCH(0,INDEX(COUNTIF($A$1:A50,'Schedule Raw Data'!$A$3:$A$2477),0,0),0))</f>
        <v>46374</v>
      </c>
      <c r="B51">
        <f t="shared" si="2"/>
        <v>8</v>
      </c>
      <c r="C51">
        <f>IFERROR(COUNTIF(OFFSET('Schedule Raw Data'!$A$2,MATCH($A51,'Schedule Raw Data'!$A$3:$A$2477,0),1,COUNTIF('Schedule Raw Data'!$A$3:$A$2477,$A51),2),C$1),0)</f>
        <v>0</v>
      </c>
      <c r="D51">
        <f>IFERROR(COUNTIF(OFFSET('Schedule Raw Data'!$A$2,MATCH($A51,'Schedule Raw Data'!$A$3:$A$2477,0),1,COUNTIF('Schedule Raw Data'!$A$3:$A$2477,$A51),2),D$1),0)</f>
        <v>1</v>
      </c>
      <c r="E51">
        <f>IFERROR(COUNTIF(OFFSET('Schedule Raw Data'!$A$2,MATCH($A51,'Schedule Raw Data'!$A$3:$A$2477,0),1,COUNTIF('Schedule Raw Data'!$A$3:$A$2477,$A51),2),E$1),0)</f>
        <v>1</v>
      </c>
      <c r="F51">
        <f>IFERROR(COUNTIF(OFFSET('Schedule Raw Data'!$A$2,MATCH($A51,'Schedule Raw Data'!$A$3:$A$2477,0),1,COUNTIF('Schedule Raw Data'!$A$3:$A$2477,$A51),2),F$1),0)</f>
        <v>1</v>
      </c>
      <c r="G51">
        <f>IFERROR(COUNTIF(OFFSET('Schedule Raw Data'!$A$2,MATCH($A51,'Schedule Raw Data'!$A$3:$A$2477,0),1,COUNTIF('Schedule Raw Data'!$A$3:$A$2477,$A51),2),G$1),0)</f>
        <v>1</v>
      </c>
      <c r="H51">
        <f>IFERROR(COUNTIF(OFFSET('Schedule Raw Data'!$A$2,MATCH($A51,'Schedule Raw Data'!$A$3:$A$2477,0),1,COUNTIF('Schedule Raw Data'!$A$3:$A$2477,$A51),2),H$1),0)</f>
        <v>1</v>
      </c>
      <c r="I51">
        <f>IFERROR(COUNTIF(OFFSET('Schedule Raw Data'!$A$2,MATCH($A51,'Schedule Raw Data'!$A$3:$A$2477,0),1,COUNTIF('Schedule Raw Data'!$A$3:$A$2477,$A51),2),I$1),0)</f>
        <v>0</v>
      </c>
      <c r="J51">
        <f>IFERROR(COUNTIF(OFFSET('Schedule Raw Data'!$A$2,MATCH($A51,'Schedule Raw Data'!$A$3:$A$2477,0),1,COUNTIF('Schedule Raw Data'!$A$3:$A$2477,$A51),2),J$1),0)</f>
        <v>0</v>
      </c>
      <c r="K51">
        <f>IFERROR(COUNTIF(OFFSET('Schedule Raw Data'!$A$2,MATCH($A51,'Schedule Raw Data'!$A$3:$A$2477,0),1,COUNTIF('Schedule Raw Data'!$A$3:$A$2477,$A51),2),K$1),0)</f>
        <v>1</v>
      </c>
      <c r="L51">
        <f>IFERROR(COUNTIF(OFFSET('Schedule Raw Data'!$A$2,MATCH($A51,'Schedule Raw Data'!$A$3:$A$2477,0),1,COUNTIF('Schedule Raw Data'!$A$3:$A$2477,$A51),2),L$1),0)</f>
        <v>1</v>
      </c>
      <c r="M51">
        <f>IFERROR(COUNTIF(OFFSET('Schedule Raw Data'!$A$2,MATCH($A51,'Schedule Raw Data'!$A$3:$A$2477,0),1,COUNTIF('Schedule Raw Data'!$A$3:$A$2477,$A51),2),M$1),0)</f>
        <v>1</v>
      </c>
      <c r="N51">
        <f>IFERROR(COUNTIF(OFFSET('Schedule Raw Data'!$A$2,MATCH($A51,'Schedule Raw Data'!$A$3:$A$2477,0),1,COUNTIF('Schedule Raw Data'!$A$3:$A$2477,$A51),2),N$1),0)</f>
        <v>0</v>
      </c>
      <c r="O51">
        <f>IFERROR(COUNTIF(OFFSET('Schedule Raw Data'!$A$2,MATCH($A51,'Schedule Raw Data'!$A$3:$A$2477,0),1,COUNTIF('Schedule Raw Data'!$A$3:$A$2477,$A51),2),O$1),0)</f>
        <v>1</v>
      </c>
      <c r="P51">
        <f>IFERROR(COUNTIF(OFFSET('Schedule Raw Data'!$A$2,MATCH($A51,'Schedule Raw Data'!$A$3:$A$2477,0),1,COUNTIF('Schedule Raw Data'!$A$3:$A$2477,$A51),2),P$1),0)</f>
        <v>1</v>
      </c>
      <c r="Q51">
        <f>IFERROR(COUNTIF(OFFSET('Schedule Raw Data'!$A$2,MATCH($A51,'Schedule Raw Data'!$A$3:$A$2477,0),1,COUNTIF('Schedule Raw Data'!$A$3:$A$2477,$A51),2),Q$1),0)</f>
        <v>1</v>
      </c>
      <c r="R51">
        <f>IFERROR(COUNTIF(OFFSET('Schedule Raw Data'!$A$2,MATCH($A51,'Schedule Raw Data'!$A$3:$A$2477,0),1,COUNTIF('Schedule Raw Data'!$A$3:$A$2477,$A51),2),R$1),0)</f>
        <v>1</v>
      </c>
      <c r="S51">
        <f>IFERROR(COUNTIF(OFFSET('Schedule Raw Data'!$A$2,MATCH($A51,'Schedule Raw Data'!$A$3:$A$2477,0),1,COUNTIF('Schedule Raw Data'!$A$3:$A$2477,$A51),2),S$1),0)</f>
        <v>1</v>
      </c>
      <c r="T51">
        <f>IFERROR(COUNTIF(OFFSET('Schedule Raw Data'!$A$2,MATCH($A51,'Schedule Raw Data'!$A$3:$A$2477,0),1,COUNTIF('Schedule Raw Data'!$A$3:$A$2477,$A51),2),T$1),0)</f>
        <v>1</v>
      </c>
      <c r="U51">
        <f>IFERROR(COUNTIF(OFFSET('Schedule Raw Data'!$A$2,MATCH($A51,'Schedule Raw Data'!$A$3:$A$2477,0),1,COUNTIF('Schedule Raw Data'!$A$3:$A$2477,$A51),2),U$1),0)</f>
        <v>1</v>
      </c>
      <c r="V51">
        <f>IFERROR(COUNTIF(OFFSET('Schedule Raw Data'!$A$2,MATCH($A51,'Schedule Raw Data'!$A$3:$A$2477,0),1,COUNTIF('Schedule Raw Data'!$A$3:$A$2477,$A51),2),V$1),0)</f>
        <v>1</v>
      </c>
      <c r="W51">
        <f>IFERROR(COUNTIF(OFFSET('Schedule Raw Data'!$A$2,MATCH($A51,'Schedule Raw Data'!$A$3:$A$2477,0),1,COUNTIF('Schedule Raw Data'!$A$3:$A$2477,$A51),2),W$1),0)</f>
        <v>1</v>
      </c>
      <c r="X51">
        <f>IFERROR(COUNTIF(OFFSET('Schedule Raw Data'!$A$2,MATCH($A51,'Schedule Raw Data'!$A$3:$A$2477,0),1,COUNTIF('Schedule Raw Data'!$A$3:$A$2477,$A51),2),X$1),0)</f>
        <v>1</v>
      </c>
      <c r="Y51">
        <f>IFERROR(COUNTIF(OFFSET('Schedule Raw Data'!$A$2,MATCH($A51,'Schedule Raw Data'!$A$3:$A$2477,0),1,COUNTIF('Schedule Raw Data'!$A$3:$A$2477,$A51),2),Y$1),0)</f>
        <v>0</v>
      </c>
      <c r="Z51">
        <f>IFERROR(COUNTIF(OFFSET('Schedule Raw Data'!$A$2,MATCH($A51,'Schedule Raw Data'!$A$3:$A$2477,0),1,COUNTIF('Schedule Raw Data'!$A$3:$A$2477,$A51),2),Z$1),0)</f>
        <v>1</v>
      </c>
      <c r="AA51">
        <f>IFERROR(COUNTIF(OFFSET('Schedule Raw Data'!$A$2,MATCH($A51,'Schedule Raw Data'!$A$3:$A$2477,0),1,COUNTIF('Schedule Raw Data'!$A$3:$A$2477,$A51),2),AA$1),0)</f>
        <v>0</v>
      </c>
      <c r="AB51">
        <f>IFERROR(COUNTIF(OFFSET('Schedule Raw Data'!$A$2,MATCH($A51,'Schedule Raw Data'!$A$3:$A$2477,0),1,COUNTIF('Schedule Raw Data'!$A$3:$A$2477,$A51),2),AB$1),0)</f>
        <v>1</v>
      </c>
      <c r="AC51">
        <f>IFERROR(COUNTIF(OFFSET('Schedule Raw Data'!$A$2,MATCH($A51,'Schedule Raw Data'!$A$3:$A$2477,0),1,COUNTIF('Schedule Raw Data'!$A$3:$A$2477,$A51),2),AC$1),0)</f>
        <v>1</v>
      </c>
      <c r="AD51">
        <f>IFERROR(COUNTIF(OFFSET('Schedule Raw Data'!$A$2,MATCH($A51,'Schedule Raw Data'!$A$3:$A$2477,0),1,COUNTIF('Schedule Raw Data'!$A$3:$A$2477,$A51),2),AD$1),0)</f>
        <v>1</v>
      </c>
      <c r="AE51">
        <f>IFERROR(COUNTIF(OFFSET('Schedule Raw Data'!$A$2,MATCH($A51,'Schedule Raw Data'!$A$3:$A$2477,0),1,COUNTIF('Schedule Raw Data'!$A$3:$A$2477,$A51),2),AE$1),0)</f>
        <v>1</v>
      </c>
      <c r="AF51">
        <f>IFERROR(COUNTIF(OFFSET('Schedule Raw Data'!$A$2,MATCH($A51,'Schedule Raw Data'!$A$3:$A$2477,0),1,COUNTIF('Schedule Raw Data'!$A$3:$A$2477,$A51),2),AF$1),0)</f>
        <v>1</v>
      </c>
      <c r="AG51">
        <f t="shared" si="1"/>
        <v>12</v>
      </c>
    </row>
    <row r="52">
      <c r="A52" s="30">
        <f t="array" ref="A52">INDEX('Schedule Raw Data'!$A$3:$A$2477,MATCH(0,INDEX(COUNTIF($A$1:A51,'Schedule Raw Data'!$A$3:$A$2477),0,0),0))</f>
        <v>46375</v>
      </c>
      <c r="B52">
        <f t="shared" si="2"/>
        <v>8</v>
      </c>
      <c r="C52">
        <f>IFERROR(COUNTIF(OFFSET('Schedule Raw Data'!$A$2,MATCH($A52,'Schedule Raw Data'!$A$3:$A$2477,0),1,COUNTIF('Schedule Raw Data'!$A$3:$A$2477,$A52),2),C$1),0)</f>
        <v>1</v>
      </c>
      <c r="D52">
        <f>IFERROR(COUNTIF(OFFSET('Schedule Raw Data'!$A$2,MATCH($A52,'Schedule Raw Data'!$A$3:$A$2477,0),1,COUNTIF('Schedule Raw Data'!$A$3:$A$2477,$A52),2),D$1),0)</f>
        <v>0</v>
      </c>
      <c r="E52">
        <f>IFERROR(COUNTIF(OFFSET('Schedule Raw Data'!$A$2,MATCH($A52,'Schedule Raw Data'!$A$3:$A$2477,0),1,COUNTIF('Schedule Raw Data'!$A$3:$A$2477,$A52),2),E$1),0)</f>
        <v>0</v>
      </c>
      <c r="F52">
        <f>IFERROR(COUNTIF(OFFSET('Schedule Raw Data'!$A$2,MATCH($A52,'Schedule Raw Data'!$A$3:$A$2477,0),1,COUNTIF('Schedule Raw Data'!$A$3:$A$2477,$A52),2),F$1),0)</f>
        <v>1</v>
      </c>
      <c r="G52">
        <f>IFERROR(COUNTIF(OFFSET('Schedule Raw Data'!$A$2,MATCH($A52,'Schedule Raw Data'!$A$3:$A$2477,0),1,COUNTIF('Schedule Raw Data'!$A$3:$A$2477,$A52),2),G$1),0)</f>
        <v>1</v>
      </c>
      <c r="H52">
        <f>IFERROR(COUNTIF(OFFSET('Schedule Raw Data'!$A$2,MATCH($A52,'Schedule Raw Data'!$A$3:$A$2477,0),1,COUNTIF('Schedule Raw Data'!$A$3:$A$2477,$A52),2),H$1),0)</f>
        <v>0</v>
      </c>
      <c r="I52">
        <f>IFERROR(COUNTIF(OFFSET('Schedule Raw Data'!$A$2,MATCH($A52,'Schedule Raw Data'!$A$3:$A$2477,0),1,COUNTIF('Schedule Raw Data'!$A$3:$A$2477,$A52),2),I$1),0)</f>
        <v>1</v>
      </c>
      <c r="J52">
        <f>IFERROR(COUNTIF(OFFSET('Schedule Raw Data'!$A$2,MATCH($A52,'Schedule Raw Data'!$A$3:$A$2477,0),1,COUNTIF('Schedule Raw Data'!$A$3:$A$2477,$A52),2),J$1),0)</f>
        <v>1</v>
      </c>
      <c r="K52">
        <f>IFERROR(COUNTIF(OFFSET('Schedule Raw Data'!$A$2,MATCH($A52,'Schedule Raw Data'!$A$3:$A$2477,0),1,COUNTIF('Schedule Raw Data'!$A$3:$A$2477,$A52),2),K$1),0)</f>
        <v>0</v>
      </c>
      <c r="L52">
        <f>IFERROR(COUNTIF(OFFSET('Schedule Raw Data'!$A$2,MATCH($A52,'Schedule Raw Data'!$A$3:$A$2477,0),1,COUNTIF('Schedule Raw Data'!$A$3:$A$2477,$A52),2),L$1),0)</f>
        <v>0</v>
      </c>
      <c r="M52">
        <f>IFERROR(COUNTIF(OFFSET('Schedule Raw Data'!$A$2,MATCH($A52,'Schedule Raw Data'!$A$3:$A$2477,0),1,COUNTIF('Schedule Raw Data'!$A$3:$A$2477,$A52),2),M$1),0)</f>
        <v>0</v>
      </c>
      <c r="N52">
        <f>IFERROR(COUNTIF(OFFSET('Schedule Raw Data'!$A$2,MATCH($A52,'Schedule Raw Data'!$A$3:$A$2477,0),1,COUNTIF('Schedule Raw Data'!$A$3:$A$2477,$A52),2),N$1),0)</f>
        <v>0</v>
      </c>
      <c r="O52">
        <f>IFERROR(COUNTIF(OFFSET('Schedule Raw Data'!$A$2,MATCH($A52,'Schedule Raw Data'!$A$3:$A$2477,0),1,COUNTIF('Schedule Raw Data'!$A$3:$A$2477,$A52),2),O$1),0)</f>
        <v>0</v>
      </c>
      <c r="P52">
        <f>IFERROR(COUNTIF(OFFSET('Schedule Raw Data'!$A$2,MATCH($A52,'Schedule Raw Data'!$A$3:$A$2477,0),1,COUNTIF('Schedule Raw Data'!$A$3:$A$2477,$A52),2),P$1),0)</f>
        <v>1</v>
      </c>
      <c r="Q52">
        <f>IFERROR(COUNTIF(OFFSET('Schedule Raw Data'!$A$2,MATCH($A52,'Schedule Raw Data'!$A$3:$A$2477,0),1,COUNTIF('Schedule Raw Data'!$A$3:$A$2477,$A52),2),Q$1),0)</f>
        <v>0</v>
      </c>
      <c r="R52">
        <f>IFERROR(COUNTIF(OFFSET('Schedule Raw Data'!$A$2,MATCH($A52,'Schedule Raw Data'!$A$3:$A$2477,0),1,COUNTIF('Schedule Raw Data'!$A$3:$A$2477,$A52),2),R$1),0)</f>
        <v>0</v>
      </c>
      <c r="S52">
        <f>IFERROR(COUNTIF(OFFSET('Schedule Raw Data'!$A$2,MATCH($A52,'Schedule Raw Data'!$A$3:$A$2477,0),1,COUNTIF('Schedule Raw Data'!$A$3:$A$2477,$A52),2),S$1),0)</f>
        <v>0</v>
      </c>
      <c r="T52">
        <f>IFERROR(COUNTIF(OFFSET('Schedule Raw Data'!$A$2,MATCH($A52,'Schedule Raw Data'!$A$3:$A$2477,0),1,COUNTIF('Schedule Raw Data'!$A$3:$A$2477,$A52),2),T$1),0)</f>
        <v>0</v>
      </c>
      <c r="U52">
        <f>IFERROR(COUNTIF(OFFSET('Schedule Raw Data'!$A$2,MATCH($A52,'Schedule Raw Data'!$A$3:$A$2477,0),1,COUNTIF('Schedule Raw Data'!$A$3:$A$2477,$A52),2),U$1),0)</f>
        <v>0</v>
      </c>
      <c r="V52">
        <f>IFERROR(COUNTIF(OFFSET('Schedule Raw Data'!$A$2,MATCH($A52,'Schedule Raw Data'!$A$3:$A$2477,0),1,COUNTIF('Schedule Raw Data'!$A$3:$A$2477,$A52),2),V$1),0)</f>
        <v>0</v>
      </c>
      <c r="W52">
        <f>IFERROR(COUNTIF(OFFSET('Schedule Raw Data'!$A$2,MATCH($A52,'Schedule Raw Data'!$A$3:$A$2477,0),1,COUNTIF('Schedule Raw Data'!$A$3:$A$2477,$A52),2),W$1),0)</f>
        <v>0</v>
      </c>
      <c r="X52">
        <f>IFERROR(COUNTIF(OFFSET('Schedule Raw Data'!$A$2,MATCH($A52,'Schedule Raw Data'!$A$3:$A$2477,0),1,COUNTIF('Schedule Raw Data'!$A$3:$A$2477,$A52),2),X$1),0)</f>
        <v>1</v>
      </c>
      <c r="Y52">
        <f>IFERROR(COUNTIF(OFFSET('Schedule Raw Data'!$A$2,MATCH($A52,'Schedule Raw Data'!$A$3:$A$2477,0),1,COUNTIF('Schedule Raw Data'!$A$3:$A$2477,$A52),2),Y$1),0)</f>
        <v>0</v>
      </c>
      <c r="Z52">
        <f>IFERROR(COUNTIF(OFFSET('Schedule Raw Data'!$A$2,MATCH($A52,'Schedule Raw Data'!$A$3:$A$2477,0),1,COUNTIF('Schedule Raw Data'!$A$3:$A$2477,$A52),2),Z$1),0)</f>
        <v>0</v>
      </c>
      <c r="AA52">
        <f>IFERROR(COUNTIF(OFFSET('Schedule Raw Data'!$A$2,MATCH($A52,'Schedule Raw Data'!$A$3:$A$2477,0),1,COUNTIF('Schedule Raw Data'!$A$3:$A$2477,$A52),2),AA$1),0)</f>
        <v>1</v>
      </c>
      <c r="AB52">
        <f>IFERROR(COUNTIF(OFFSET('Schedule Raw Data'!$A$2,MATCH($A52,'Schedule Raw Data'!$A$3:$A$2477,0),1,COUNTIF('Schedule Raw Data'!$A$3:$A$2477,$A52),2),AB$1),0)</f>
        <v>0</v>
      </c>
      <c r="AC52">
        <f>IFERROR(COUNTIF(OFFSET('Schedule Raw Data'!$A$2,MATCH($A52,'Schedule Raw Data'!$A$3:$A$2477,0),1,COUNTIF('Schedule Raw Data'!$A$3:$A$2477,$A52),2),AC$1),0)</f>
        <v>0</v>
      </c>
      <c r="AD52">
        <f>IFERROR(COUNTIF(OFFSET('Schedule Raw Data'!$A$2,MATCH($A52,'Schedule Raw Data'!$A$3:$A$2477,0),1,COUNTIF('Schedule Raw Data'!$A$3:$A$2477,$A52),2),AD$1),0)</f>
        <v>0</v>
      </c>
      <c r="AE52">
        <f>IFERROR(COUNTIF(OFFSET('Schedule Raw Data'!$A$2,MATCH($A52,'Schedule Raw Data'!$A$3:$A$2477,0),1,COUNTIF('Schedule Raw Data'!$A$3:$A$2477,$A52),2),AE$1),0)</f>
        <v>0</v>
      </c>
      <c r="AF52">
        <f>IFERROR(COUNTIF(OFFSET('Schedule Raw Data'!$A$2,MATCH($A52,'Schedule Raw Data'!$A$3:$A$2477,0),1,COUNTIF('Schedule Raw Data'!$A$3:$A$2477,$A52),2),AF$1),0)</f>
        <v>0</v>
      </c>
      <c r="AG52">
        <f t="shared" si="1"/>
        <v>4</v>
      </c>
    </row>
    <row r="53">
      <c r="A53" s="30">
        <f t="array" ref="A53">INDEX('Schedule Raw Data'!$A$3:$A$2477,MATCH(0,INDEX(COUNTIF($A$1:A52,'Schedule Raw Data'!$A$3:$A$2477),0,0),0))</f>
        <v>46376</v>
      </c>
      <c r="B53">
        <f t="shared" si="2"/>
        <v>8</v>
      </c>
      <c r="C53">
        <f>IFERROR(COUNTIF(OFFSET('Schedule Raw Data'!$A$2,MATCH($A53,'Schedule Raw Data'!$A$3:$A$2477,0),1,COUNTIF('Schedule Raw Data'!$A$3:$A$2477,$A53),2),C$1),0)</f>
        <v>1</v>
      </c>
      <c r="D53">
        <f>IFERROR(COUNTIF(OFFSET('Schedule Raw Data'!$A$2,MATCH($A53,'Schedule Raw Data'!$A$3:$A$2477,0),1,COUNTIF('Schedule Raw Data'!$A$3:$A$2477,$A53),2),D$1),0)</f>
        <v>1</v>
      </c>
      <c r="E53">
        <f>IFERROR(COUNTIF(OFFSET('Schedule Raw Data'!$A$2,MATCH($A53,'Schedule Raw Data'!$A$3:$A$2477,0),1,COUNTIF('Schedule Raw Data'!$A$3:$A$2477,$A53),2),E$1),0)</f>
        <v>1</v>
      </c>
      <c r="F53">
        <f>IFERROR(COUNTIF(OFFSET('Schedule Raw Data'!$A$2,MATCH($A53,'Schedule Raw Data'!$A$3:$A$2477,0),1,COUNTIF('Schedule Raw Data'!$A$3:$A$2477,$A53),2),F$1),0)</f>
        <v>0</v>
      </c>
      <c r="G53">
        <f>IFERROR(COUNTIF(OFFSET('Schedule Raw Data'!$A$2,MATCH($A53,'Schedule Raw Data'!$A$3:$A$2477,0),1,COUNTIF('Schedule Raw Data'!$A$3:$A$2477,$A53),2),G$1),0)</f>
        <v>0</v>
      </c>
      <c r="H53">
        <f>IFERROR(COUNTIF(OFFSET('Schedule Raw Data'!$A$2,MATCH($A53,'Schedule Raw Data'!$A$3:$A$2477,0),1,COUNTIF('Schedule Raw Data'!$A$3:$A$2477,$A53),2),H$1),0)</f>
        <v>1</v>
      </c>
      <c r="I53">
        <f>IFERROR(COUNTIF(OFFSET('Schedule Raw Data'!$A$2,MATCH($A53,'Schedule Raw Data'!$A$3:$A$2477,0),1,COUNTIF('Schedule Raw Data'!$A$3:$A$2477,$A53),2),I$1),0)</f>
        <v>0</v>
      </c>
      <c r="J53">
        <f>IFERROR(COUNTIF(OFFSET('Schedule Raw Data'!$A$2,MATCH($A53,'Schedule Raw Data'!$A$3:$A$2477,0),1,COUNTIF('Schedule Raw Data'!$A$3:$A$2477,$A53),2),J$1),0)</f>
        <v>0</v>
      </c>
      <c r="K53">
        <f>IFERROR(COUNTIF(OFFSET('Schedule Raw Data'!$A$2,MATCH($A53,'Schedule Raw Data'!$A$3:$A$2477,0),1,COUNTIF('Schedule Raw Data'!$A$3:$A$2477,$A53),2),K$1),0)</f>
        <v>1</v>
      </c>
      <c r="L53">
        <f>IFERROR(COUNTIF(OFFSET('Schedule Raw Data'!$A$2,MATCH($A53,'Schedule Raw Data'!$A$3:$A$2477,0),1,COUNTIF('Schedule Raw Data'!$A$3:$A$2477,$A53),2),L$1),0)</f>
        <v>1</v>
      </c>
      <c r="M53">
        <f>IFERROR(COUNTIF(OFFSET('Schedule Raw Data'!$A$2,MATCH($A53,'Schedule Raw Data'!$A$3:$A$2477,0),1,COUNTIF('Schedule Raw Data'!$A$3:$A$2477,$A53),2),M$1),0)</f>
        <v>1</v>
      </c>
      <c r="N53">
        <f>IFERROR(COUNTIF(OFFSET('Schedule Raw Data'!$A$2,MATCH($A53,'Schedule Raw Data'!$A$3:$A$2477,0),1,COUNTIF('Schedule Raw Data'!$A$3:$A$2477,$A53),2),N$1),0)</f>
        <v>1</v>
      </c>
      <c r="O53">
        <f>IFERROR(COUNTIF(OFFSET('Schedule Raw Data'!$A$2,MATCH($A53,'Schedule Raw Data'!$A$3:$A$2477,0),1,COUNTIF('Schedule Raw Data'!$A$3:$A$2477,$A53),2),O$1),0)</f>
        <v>1</v>
      </c>
      <c r="P53">
        <f>IFERROR(COUNTIF(OFFSET('Schedule Raw Data'!$A$2,MATCH($A53,'Schedule Raw Data'!$A$3:$A$2477,0),1,COUNTIF('Schedule Raw Data'!$A$3:$A$2477,$A53),2),P$1),0)</f>
        <v>0</v>
      </c>
      <c r="Q53">
        <f>IFERROR(COUNTIF(OFFSET('Schedule Raw Data'!$A$2,MATCH($A53,'Schedule Raw Data'!$A$3:$A$2477,0),1,COUNTIF('Schedule Raw Data'!$A$3:$A$2477,$A53),2),Q$1),0)</f>
        <v>1</v>
      </c>
      <c r="R53">
        <f>IFERROR(COUNTIF(OFFSET('Schedule Raw Data'!$A$2,MATCH($A53,'Schedule Raw Data'!$A$3:$A$2477,0),1,COUNTIF('Schedule Raw Data'!$A$3:$A$2477,$A53),2),R$1),0)</f>
        <v>1</v>
      </c>
      <c r="S53">
        <f>IFERROR(COUNTIF(OFFSET('Schedule Raw Data'!$A$2,MATCH($A53,'Schedule Raw Data'!$A$3:$A$2477,0),1,COUNTIF('Schedule Raw Data'!$A$3:$A$2477,$A53),2),S$1),0)</f>
        <v>1</v>
      </c>
      <c r="T53">
        <f>IFERROR(COUNTIF(OFFSET('Schedule Raw Data'!$A$2,MATCH($A53,'Schedule Raw Data'!$A$3:$A$2477,0),1,COUNTIF('Schedule Raw Data'!$A$3:$A$2477,$A53),2),T$1),0)</f>
        <v>0</v>
      </c>
      <c r="U53">
        <f>IFERROR(COUNTIF(OFFSET('Schedule Raw Data'!$A$2,MATCH($A53,'Schedule Raw Data'!$A$3:$A$2477,0),1,COUNTIF('Schedule Raw Data'!$A$3:$A$2477,$A53),2),U$1),0)</f>
        <v>1</v>
      </c>
      <c r="V53">
        <f>IFERROR(COUNTIF(OFFSET('Schedule Raw Data'!$A$2,MATCH($A53,'Schedule Raw Data'!$A$3:$A$2477,0),1,COUNTIF('Schedule Raw Data'!$A$3:$A$2477,$A53),2),V$1),0)</f>
        <v>0</v>
      </c>
      <c r="W53">
        <f>IFERROR(COUNTIF(OFFSET('Schedule Raw Data'!$A$2,MATCH($A53,'Schedule Raw Data'!$A$3:$A$2477,0),1,COUNTIF('Schedule Raw Data'!$A$3:$A$2477,$A53),2),W$1),0)</f>
        <v>1</v>
      </c>
      <c r="X53">
        <f>IFERROR(COUNTIF(OFFSET('Schedule Raw Data'!$A$2,MATCH($A53,'Schedule Raw Data'!$A$3:$A$2477,0),1,COUNTIF('Schedule Raw Data'!$A$3:$A$2477,$A53),2),X$1),0)</f>
        <v>0</v>
      </c>
      <c r="Y53">
        <f>IFERROR(COUNTIF(OFFSET('Schedule Raw Data'!$A$2,MATCH($A53,'Schedule Raw Data'!$A$3:$A$2477,0),1,COUNTIF('Schedule Raw Data'!$A$3:$A$2477,$A53),2),Y$1),0)</f>
        <v>0</v>
      </c>
      <c r="Z53">
        <f>IFERROR(COUNTIF(OFFSET('Schedule Raw Data'!$A$2,MATCH($A53,'Schedule Raw Data'!$A$3:$A$2477,0),1,COUNTIF('Schedule Raw Data'!$A$3:$A$2477,$A53),2),Z$1),0)</f>
        <v>1</v>
      </c>
      <c r="AA53">
        <f>IFERROR(COUNTIF(OFFSET('Schedule Raw Data'!$A$2,MATCH($A53,'Schedule Raw Data'!$A$3:$A$2477,0),1,COUNTIF('Schedule Raw Data'!$A$3:$A$2477,$A53),2),AA$1),0)</f>
        <v>0</v>
      </c>
      <c r="AB53">
        <f>IFERROR(COUNTIF(OFFSET('Schedule Raw Data'!$A$2,MATCH($A53,'Schedule Raw Data'!$A$3:$A$2477,0),1,COUNTIF('Schedule Raw Data'!$A$3:$A$2477,$A53),2),AB$1),0)</f>
        <v>1</v>
      </c>
      <c r="AC53">
        <f>IFERROR(COUNTIF(OFFSET('Schedule Raw Data'!$A$2,MATCH($A53,'Schedule Raw Data'!$A$3:$A$2477,0),1,COUNTIF('Schedule Raw Data'!$A$3:$A$2477,$A53),2),AC$1),0)</f>
        <v>1</v>
      </c>
      <c r="AD53">
        <f>IFERROR(COUNTIF(OFFSET('Schedule Raw Data'!$A$2,MATCH($A53,'Schedule Raw Data'!$A$3:$A$2477,0),1,COUNTIF('Schedule Raw Data'!$A$3:$A$2477,$A53),2),AD$1),0)</f>
        <v>1</v>
      </c>
      <c r="AE53">
        <f>IFERROR(COUNTIF(OFFSET('Schedule Raw Data'!$A$2,MATCH($A53,'Schedule Raw Data'!$A$3:$A$2477,0),1,COUNTIF('Schedule Raw Data'!$A$3:$A$2477,$A53),2),AE$1),0)</f>
        <v>1</v>
      </c>
      <c r="AF53">
        <f>IFERROR(COUNTIF(OFFSET('Schedule Raw Data'!$A$2,MATCH($A53,'Schedule Raw Data'!$A$3:$A$2477,0),1,COUNTIF('Schedule Raw Data'!$A$3:$A$2477,$A53),2),AF$1),0)</f>
        <v>1</v>
      </c>
      <c r="AG53">
        <f t="shared" si="1"/>
        <v>10</v>
      </c>
    </row>
    <row r="54">
      <c r="A54" s="30">
        <f t="array" ref="A54">INDEX('Schedule Raw Data'!$A$3:$A$2477,MATCH(0,INDEX(COUNTIF($A$1:A53,'Schedule Raw Data'!$A$3:$A$2477),0,0),0))</f>
        <v>46377</v>
      </c>
      <c r="B54">
        <f t="shared" si="2"/>
        <v>9</v>
      </c>
      <c r="C54">
        <f>IFERROR(COUNTIF(OFFSET('Schedule Raw Data'!$A$2,MATCH($A54,'Schedule Raw Data'!$A$3:$A$2477,0),1,COUNTIF('Schedule Raw Data'!$A$3:$A$2477,$A54),2),C$1),0)</f>
        <v>0</v>
      </c>
      <c r="D54">
        <f>IFERROR(COUNTIF(OFFSET('Schedule Raw Data'!$A$2,MATCH($A54,'Schedule Raw Data'!$A$3:$A$2477,0),1,COUNTIF('Schedule Raw Data'!$A$3:$A$2477,$A54),2),D$1),0)</f>
        <v>1</v>
      </c>
      <c r="E54">
        <f>IFERROR(COUNTIF(OFFSET('Schedule Raw Data'!$A$2,MATCH($A54,'Schedule Raw Data'!$A$3:$A$2477,0),1,COUNTIF('Schedule Raw Data'!$A$3:$A$2477,$A54),2),E$1),0)</f>
        <v>0</v>
      </c>
      <c r="F54">
        <f>IFERROR(COUNTIF(OFFSET('Schedule Raw Data'!$A$2,MATCH($A54,'Schedule Raw Data'!$A$3:$A$2477,0),1,COUNTIF('Schedule Raw Data'!$A$3:$A$2477,$A54),2),F$1),0)</f>
        <v>1</v>
      </c>
      <c r="G54">
        <f>IFERROR(COUNTIF(OFFSET('Schedule Raw Data'!$A$2,MATCH($A54,'Schedule Raw Data'!$A$3:$A$2477,0),1,COUNTIF('Schedule Raw Data'!$A$3:$A$2477,$A54),2),G$1),0)</f>
        <v>1</v>
      </c>
      <c r="H54">
        <f>IFERROR(COUNTIF(OFFSET('Schedule Raw Data'!$A$2,MATCH($A54,'Schedule Raw Data'!$A$3:$A$2477,0),1,COUNTIF('Schedule Raw Data'!$A$3:$A$2477,$A54),2),H$1),0)</f>
        <v>1</v>
      </c>
      <c r="I54">
        <f>IFERROR(COUNTIF(OFFSET('Schedule Raw Data'!$A$2,MATCH($A54,'Schedule Raw Data'!$A$3:$A$2477,0),1,COUNTIF('Schedule Raw Data'!$A$3:$A$2477,$A54),2),I$1),0)</f>
        <v>0</v>
      </c>
      <c r="J54">
        <f>IFERROR(COUNTIF(OFFSET('Schedule Raw Data'!$A$2,MATCH($A54,'Schedule Raw Data'!$A$3:$A$2477,0),1,COUNTIF('Schedule Raw Data'!$A$3:$A$2477,$A54),2),J$1),0)</f>
        <v>1</v>
      </c>
      <c r="K54">
        <f>IFERROR(COUNTIF(OFFSET('Schedule Raw Data'!$A$2,MATCH($A54,'Schedule Raw Data'!$A$3:$A$2477,0),1,COUNTIF('Schedule Raw Data'!$A$3:$A$2477,$A54),2),K$1),0)</f>
        <v>0</v>
      </c>
      <c r="L54">
        <f>IFERROR(COUNTIF(OFFSET('Schedule Raw Data'!$A$2,MATCH($A54,'Schedule Raw Data'!$A$3:$A$2477,0),1,COUNTIF('Schedule Raw Data'!$A$3:$A$2477,$A54),2),L$1),0)</f>
        <v>0</v>
      </c>
      <c r="M54">
        <f>IFERROR(COUNTIF(OFFSET('Schedule Raw Data'!$A$2,MATCH($A54,'Schedule Raw Data'!$A$3:$A$2477,0),1,COUNTIF('Schedule Raw Data'!$A$3:$A$2477,$A54),2),M$1),0)</f>
        <v>0</v>
      </c>
      <c r="N54">
        <f>IFERROR(COUNTIF(OFFSET('Schedule Raw Data'!$A$2,MATCH($A54,'Schedule Raw Data'!$A$3:$A$2477,0),1,COUNTIF('Schedule Raw Data'!$A$3:$A$2477,$A54),2),N$1),0)</f>
        <v>1</v>
      </c>
      <c r="O54">
        <f>IFERROR(COUNTIF(OFFSET('Schedule Raw Data'!$A$2,MATCH($A54,'Schedule Raw Data'!$A$3:$A$2477,0),1,COUNTIF('Schedule Raw Data'!$A$3:$A$2477,$A54),2),O$1),0)</f>
        <v>1</v>
      </c>
      <c r="P54">
        <f>IFERROR(COUNTIF(OFFSET('Schedule Raw Data'!$A$2,MATCH($A54,'Schedule Raw Data'!$A$3:$A$2477,0),1,COUNTIF('Schedule Raw Data'!$A$3:$A$2477,$A54),2),P$1),0)</f>
        <v>1</v>
      </c>
      <c r="Q54">
        <f>IFERROR(COUNTIF(OFFSET('Schedule Raw Data'!$A$2,MATCH($A54,'Schedule Raw Data'!$A$3:$A$2477,0),1,COUNTIF('Schedule Raw Data'!$A$3:$A$2477,$A54),2),Q$1),0)</f>
        <v>1</v>
      </c>
      <c r="R54">
        <f>IFERROR(COUNTIF(OFFSET('Schedule Raw Data'!$A$2,MATCH($A54,'Schedule Raw Data'!$A$3:$A$2477,0),1,COUNTIF('Schedule Raw Data'!$A$3:$A$2477,$A54),2),R$1),0)</f>
        <v>1</v>
      </c>
      <c r="S54">
        <f>IFERROR(COUNTIF(OFFSET('Schedule Raw Data'!$A$2,MATCH($A54,'Schedule Raw Data'!$A$3:$A$2477,0),1,COUNTIF('Schedule Raw Data'!$A$3:$A$2477,$A54),2),S$1),0)</f>
        <v>1</v>
      </c>
      <c r="T54">
        <f>IFERROR(COUNTIF(OFFSET('Schedule Raw Data'!$A$2,MATCH($A54,'Schedule Raw Data'!$A$3:$A$2477,0),1,COUNTIF('Schedule Raw Data'!$A$3:$A$2477,$A54),2),T$1),0)</f>
        <v>1</v>
      </c>
      <c r="U54">
        <f>IFERROR(COUNTIF(OFFSET('Schedule Raw Data'!$A$2,MATCH($A54,'Schedule Raw Data'!$A$3:$A$2477,0),1,COUNTIF('Schedule Raw Data'!$A$3:$A$2477,$A54),2),U$1),0)</f>
        <v>1</v>
      </c>
      <c r="V54">
        <f>IFERROR(COUNTIF(OFFSET('Schedule Raw Data'!$A$2,MATCH($A54,'Schedule Raw Data'!$A$3:$A$2477,0),1,COUNTIF('Schedule Raw Data'!$A$3:$A$2477,$A54),2),V$1),0)</f>
        <v>1</v>
      </c>
      <c r="W54">
        <f>IFERROR(COUNTIF(OFFSET('Schedule Raw Data'!$A$2,MATCH($A54,'Schedule Raw Data'!$A$3:$A$2477,0),1,COUNTIF('Schedule Raw Data'!$A$3:$A$2477,$A54),2),W$1),0)</f>
        <v>0</v>
      </c>
      <c r="X54">
        <f>IFERROR(COUNTIF(OFFSET('Schedule Raw Data'!$A$2,MATCH($A54,'Schedule Raw Data'!$A$3:$A$2477,0),1,COUNTIF('Schedule Raw Data'!$A$3:$A$2477,$A54),2),X$1),0)</f>
        <v>1</v>
      </c>
      <c r="Y54">
        <f>IFERROR(COUNTIF(OFFSET('Schedule Raw Data'!$A$2,MATCH($A54,'Schedule Raw Data'!$A$3:$A$2477,0),1,COUNTIF('Schedule Raw Data'!$A$3:$A$2477,$A54),2),Y$1),0)</f>
        <v>1</v>
      </c>
      <c r="Z54">
        <f>IFERROR(COUNTIF(OFFSET('Schedule Raw Data'!$A$2,MATCH($A54,'Schedule Raw Data'!$A$3:$A$2477,0),1,COUNTIF('Schedule Raw Data'!$A$3:$A$2477,$A54),2),Z$1),0)</f>
        <v>1</v>
      </c>
      <c r="AA54">
        <f>IFERROR(COUNTIF(OFFSET('Schedule Raw Data'!$A$2,MATCH($A54,'Schedule Raw Data'!$A$3:$A$2477,0),1,COUNTIF('Schedule Raw Data'!$A$3:$A$2477,$A54),2),AA$1),0)</f>
        <v>1</v>
      </c>
      <c r="AB54">
        <f>IFERROR(COUNTIF(OFFSET('Schedule Raw Data'!$A$2,MATCH($A54,'Schedule Raw Data'!$A$3:$A$2477,0),1,COUNTIF('Schedule Raw Data'!$A$3:$A$2477,$A54),2),AB$1),0)</f>
        <v>1</v>
      </c>
      <c r="AC54">
        <f>IFERROR(COUNTIF(OFFSET('Schedule Raw Data'!$A$2,MATCH($A54,'Schedule Raw Data'!$A$3:$A$2477,0),1,COUNTIF('Schedule Raw Data'!$A$3:$A$2477,$A54),2),AC$1),0)</f>
        <v>1</v>
      </c>
      <c r="AD54">
        <f>IFERROR(COUNTIF(OFFSET('Schedule Raw Data'!$A$2,MATCH($A54,'Schedule Raw Data'!$A$3:$A$2477,0),1,COUNTIF('Schedule Raw Data'!$A$3:$A$2477,$A54),2),AD$1),0)</f>
        <v>0</v>
      </c>
      <c r="AE54">
        <f>IFERROR(COUNTIF(OFFSET('Schedule Raw Data'!$A$2,MATCH($A54,'Schedule Raw Data'!$A$3:$A$2477,0),1,COUNTIF('Schedule Raw Data'!$A$3:$A$2477,$A54),2),AE$1),0)</f>
        <v>0</v>
      </c>
      <c r="AF54">
        <f>IFERROR(COUNTIF(OFFSET('Schedule Raw Data'!$A$2,MATCH($A54,'Schedule Raw Data'!$A$3:$A$2477,0),1,COUNTIF('Schedule Raw Data'!$A$3:$A$2477,$A54),2),AF$1),0)</f>
        <v>0</v>
      </c>
      <c r="AG54">
        <f t="shared" si="1"/>
        <v>10</v>
      </c>
    </row>
    <row r="55">
      <c r="A55" s="30">
        <f t="array" ref="A55">INDEX('Schedule Raw Data'!$A$3:$A$2477,MATCH(0,INDEX(COUNTIF($A$1:A54,'Schedule Raw Data'!$A$3:$A$2477),0,0),0))</f>
        <v>46378</v>
      </c>
      <c r="B55">
        <f t="shared" si="2"/>
        <v>9</v>
      </c>
      <c r="C55">
        <f>IFERROR(COUNTIF(OFFSET('Schedule Raw Data'!$A$2,MATCH($A55,'Schedule Raw Data'!$A$3:$A$2477,0),1,COUNTIF('Schedule Raw Data'!$A$3:$A$2477,$A55),2),C$1),0)</f>
        <v>0</v>
      </c>
      <c r="D55">
        <f>IFERROR(COUNTIF(OFFSET('Schedule Raw Data'!$A$2,MATCH($A55,'Schedule Raw Data'!$A$3:$A$2477,0),1,COUNTIF('Schedule Raw Data'!$A$3:$A$2477,$A55),2),D$1),0)</f>
        <v>0</v>
      </c>
      <c r="E55">
        <f>IFERROR(COUNTIF(OFFSET('Schedule Raw Data'!$A$2,MATCH($A55,'Schedule Raw Data'!$A$3:$A$2477,0),1,COUNTIF('Schedule Raw Data'!$A$3:$A$2477,$A55),2),E$1),0)</f>
        <v>0</v>
      </c>
      <c r="F55">
        <f>IFERROR(COUNTIF(OFFSET('Schedule Raw Data'!$A$2,MATCH($A55,'Schedule Raw Data'!$A$3:$A$2477,0),1,COUNTIF('Schedule Raw Data'!$A$3:$A$2477,$A55),2),F$1),0)</f>
        <v>0</v>
      </c>
      <c r="G55">
        <f>IFERROR(COUNTIF(OFFSET('Schedule Raw Data'!$A$2,MATCH($A55,'Schedule Raw Data'!$A$3:$A$2477,0),1,COUNTIF('Schedule Raw Data'!$A$3:$A$2477,$A55),2),G$1),0)</f>
        <v>0</v>
      </c>
      <c r="H55">
        <f>IFERROR(COUNTIF(OFFSET('Schedule Raw Data'!$A$2,MATCH($A55,'Schedule Raw Data'!$A$3:$A$2477,0),1,COUNTIF('Schedule Raw Data'!$A$3:$A$2477,$A55),2),H$1),0)</f>
        <v>0</v>
      </c>
      <c r="I55">
        <f>IFERROR(COUNTIF(OFFSET('Schedule Raw Data'!$A$2,MATCH($A55,'Schedule Raw Data'!$A$3:$A$2477,0),1,COUNTIF('Schedule Raw Data'!$A$3:$A$2477,$A55),2),I$1),0)</f>
        <v>1</v>
      </c>
      <c r="J55">
        <f>IFERROR(COUNTIF(OFFSET('Schedule Raw Data'!$A$2,MATCH($A55,'Schedule Raw Data'!$A$3:$A$2477,0),1,COUNTIF('Schedule Raw Data'!$A$3:$A$2477,$A55),2),J$1),0)</f>
        <v>0</v>
      </c>
      <c r="K55">
        <f>IFERROR(COUNTIF(OFFSET('Schedule Raw Data'!$A$2,MATCH($A55,'Schedule Raw Data'!$A$3:$A$2477,0),1,COUNTIF('Schedule Raw Data'!$A$3:$A$2477,$A55),2),K$1),0)</f>
        <v>1</v>
      </c>
      <c r="L55">
        <f>IFERROR(COUNTIF(OFFSET('Schedule Raw Data'!$A$2,MATCH($A55,'Schedule Raw Data'!$A$3:$A$2477,0),1,COUNTIF('Schedule Raw Data'!$A$3:$A$2477,$A55),2),L$1),0)</f>
        <v>1</v>
      </c>
      <c r="M55">
        <f>IFERROR(COUNTIF(OFFSET('Schedule Raw Data'!$A$2,MATCH($A55,'Schedule Raw Data'!$A$3:$A$2477,0),1,COUNTIF('Schedule Raw Data'!$A$3:$A$2477,$A55),2),M$1),0)</f>
        <v>0</v>
      </c>
      <c r="N55">
        <f>IFERROR(COUNTIF(OFFSET('Schedule Raw Data'!$A$2,MATCH($A55,'Schedule Raw Data'!$A$3:$A$2477,0),1,COUNTIF('Schedule Raw Data'!$A$3:$A$2477,$A55),2),N$1),0)</f>
        <v>0</v>
      </c>
      <c r="O55">
        <f>IFERROR(COUNTIF(OFFSET('Schedule Raw Data'!$A$2,MATCH($A55,'Schedule Raw Data'!$A$3:$A$2477,0),1,COUNTIF('Schedule Raw Data'!$A$3:$A$2477,$A55),2),O$1),0)</f>
        <v>0</v>
      </c>
      <c r="P55">
        <f>IFERROR(COUNTIF(OFFSET('Schedule Raw Data'!$A$2,MATCH($A55,'Schedule Raw Data'!$A$3:$A$2477,0),1,COUNTIF('Schedule Raw Data'!$A$3:$A$2477,$A55),2),P$1),0)</f>
        <v>0</v>
      </c>
      <c r="Q55">
        <f>IFERROR(COUNTIF(OFFSET('Schedule Raw Data'!$A$2,MATCH($A55,'Schedule Raw Data'!$A$3:$A$2477,0),1,COUNTIF('Schedule Raw Data'!$A$3:$A$2477,$A55),2),Q$1),0)</f>
        <v>0</v>
      </c>
      <c r="R55">
        <f>IFERROR(COUNTIF(OFFSET('Schedule Raw Data'!$A$2,MATCH($A55,'Schedule Raw Data'!$A$3:$A$2477,0),1,COUNTIF('Schedule Raw Data'!$A$3:$A$2477,$A55),2),R$1),0)</f>
        <v>0</v>
      </c>
      <c r="S55">
        <f>IFERROR(COUNTIF(OFFSET('Schedule Raw Data'!$A$2,MATCH($A55,'Schedule Raw Data'!$A$3:$A$2477,0),1,COUNTIF('Schedule Raw Data'!$A$3:$A$2477,$A55),2),S$1),0)</f>
        <v>0</v>
      </c>
      <c r="T55">
        <f>IFERROR(COUNTIF(OFFSET('Schedule Raw Data'!$A$2,MATCH($A55,'Schedule Raw Data'!$A$3:$A$2477,0),1,COUNTIF('Schedule Raw Data'!$A$3:$A$2477,$A55),2),T$1),0)</f>
        <v>0</v>
      </c>
      <c r="U55">
        <f>IFERROR(COUNTIF(OFFSET('Schedule Raw Data'!$A$2,MATCH($A55,'Schedule Raw Data'!$A$3:$A$2477,0),1,COUNTIF('Schedule Raw Data'!$A$3:$A$2477,$A55),2),U$1),0)</f>
        <v>0</v>
      </c>
      <c r="V55">
        <f>IFERROR(COUNTIF(OFFSET('Schedule Raw Data'!$A$2,MATCH($A55,'Schedule Raw Data'!$A$3:$A$2477,0),1,COUNTIF('Schedule Raw Data'!$A$3:$A$2477,$A55),2),V$1),0)</f>
        <v>0</v>
      </c>
      <c r="W55">
        <f>IFERROR(COUNTIF(OFFSET('Schedule Raw Data'!$A$2,MATCH($A55,'Schedule Raw Data'!$A$3:$A$2477,0),1,COUNTIF('Schedule Raw Data'!$A$3:$A$2477,$A55),2),W$1),0)</f>
        <v>1</v>
      </c>
      <c r="X55">
        <f>IFERROR(COUNTIF(OFFSET('Schedule Raw Data'!$A$2,MATCH($A55,'Schedule Raw Data'!$A$3:$A$2477,0),1,COUNTIF('Schedule Raw Data'!$A$3:$A$2477,$A55),2),X$1),0)</f>
        <v>0</v>
      </c>
      <c r="Y55">
        <f>IFERROR(COUNTIF(OFFSET('Schedule Raw Data'!$A$2,MATCH($A55,'Schedule Raw Data'!$A$3:$A$2477,0),1,COUNTIF('Schedule Raw Data'!$A$3:$A$2477,$A55),2),Y$1),0)</f>
        <v>0</v>
      </c>
      <c r="Z55">
        <f>IFERROR(COUNTIF(OFFSET('Schedule Raw Data'!$A$2,MATCH($A55,'Schedule Raw Data'!$A$3:$A$2477,0),1,COUNTIF('Schedule Raw Data'!$A$3:$A$2477,$A55),2),Z$1),0)</f>
        <v>0</v>
      </c>
      <c r="AA55">
        <f>IFERROR(COUNTIF(OFFSET('Schedule Raw Data'!$A$2,MATCH($A55,'Schedule Raw Data'!$A$3:$A$2477,0),1,COUNTIF('Schedule Raw Data'!$A$3:$A$2477,$A55),2),AA$1),0)</f>
        <v>0</v>
      </c>
      <c r="AB55">
        <f>IFERROR(COUNTIF(OFFSET('Schedule Raw Data'!$A$2,MATCH($A55,'Schedule Raw Data'!$A$3:$A$2477,0),1,COUNTIF('Schedule Raw Data'!$A$3:$A$2477,$A55),2),AB$1),0)</f>
        <v>0</v>
      </c>
      <c r="AC55">
        <f>IFERROR(COUNTIF(OFFSET('Schedule Raw Data'!$A$2,MATCH($A55,'Schedule Raw Data'!$A$3:$A$2477,0),1,COUNTIF('Schedule Raw Data'!$A$3:$A$2477,$A55),2),AC$1),0)</f>
        <v>0</v>
      </c>
      <c r="AD55">
        <f>IFERROR(COUNTIF(OFFSET('Schedule Raw Data'!$A$2,MATCH($A55,'Schedule Raw Data'!$A$3:$A$2477,0),1,COUNTIF('Schedule Raw Data'!$A$3:$A$2477,$A55),2),AD$1),0)</f>
        <v>1</v>
      </c>
      <c r="AE55">
        <f>IFERROR(COUNTIF(OFFSET('Schedule Raw Data'!$A$2,MATCH($A55,'Schedule Raw Data'!$A$3:$A$2477,0),1,COUNTIF('Schedule Raw Data'!$A$3:$A$2477,$A55),2),AE$1),0)</f>
        <v>0</v>
      </c>
      <c r="AF55">
        <f>IFERROR(COUNTIF(OFFSET('Schedule Raw Data'!$A$2,MATCH($A55,'Schedule Raw Data'!$A$3:$A$2477,0),1,COUNTIF('Schedule Raw Data'!$A$3:$A$2477,$A55),2),AF$1),0)</f>
        <v>1</v>
      </c>
      <c r="AG55">
        <f t="shared" si="1"/>
        <v>3</v>
      </c>
    </row>
    <row r="56">
      <c r="A56" s="30">
        <f t="array" ref="A56">INDEX('Schedule Raw Data'!$A$3:$A$2477,MATCH(0,INDEX(COUNTIF($A$1:A55,'Schedule Raw Data'!$A$3:$A$2477),0,0),0))</f>
        <v>46379</v>
      </c>
      <c r="B56">
        <f t="shared" si="2"/>
        <v>9</v>
      </c>
      <c r="C56">
        <f>IFERROR(COUNTIF(OFFSET('Schedule Raw Data'!$A$2,MATCH($A56,'Schedule Raw Data'!$A$3:$A$2477,0),1,COUNTIF('Schedule Raw Data'!$A$3:$A$2477,$A56),2),C$1),0)</f>
        <v>1</v>
      </c>
      <c r="D56">
        <f>IFERROR(COUNTIF(OFFSET('Schedule Raw Data'!$A$2,MATCH($A56,'Schedule Raw Data'!$A$3:$A$2477,0),1,COUNTIF('Schedule Raw Data'!$A$3:$A$2477,$A56),2),D$1),0)</f>
        <v>1</v>
      </c>
      <c r="E56">
        <f>IFERROR(COUNTIF(OFFSET('Schedule Raw Data'!$A$2,MATCH($A56,'Schedule Raw Data'!$A$3:$A$2477,0),1,COUNTIF('Schedule Raw Data'!$A$3:$A$2477,$A56),2),E$1),0)</f>
        <v>1</v>
      </c>
      <c r="F56">
        <f>IFERROR(COUNTIF(OFFSET('Schedule Raw Data'!$A$2,MATCH($A56,'Schedule Raw Data'!$A$3:$A$2477,0),1,COUNTIF('Schedule Raw Data'!$A$3:$A$2477,$A56),2),F$1),0)</f>
        <v>1</v>
      </c>
      <c r="G56">
        <f>IFERROR(COUNTIF(OFFSET('Schedule Raw Data'!$A$2,MATCH($A56,'Schedule Raw Data'!$A$3:$A$2477,0),1,COUNTIF('Schedule Raw Data'!$A$3:$A$2477,$A56),2),G$1),0)</f>
        <v>1</v>
      </c>
      <c r="H56">
        <f>IFERROR(COUNTIF(OFFSET('Schedule Raw Data'!$A$2,MATCH($A56,'Schedule Raw Data'!$A$3:$A$2477,0),1,COUNTIF('Schedule Raw Data'!$A$3:$A$2477,$A56),2),H$1),0)</f>
        <v>1</v>
      </c>
      <c r="I56">
        <f>IFERROR(COUNTIF(OFFSET('Schedule Raw Data'!$A$2,MATCH($A56,'Schedule Raw Data'!$A$3:$A$2477,0),1,COUNTIF('Schedule Raw Data'!$A$3:$A$2477,$A56),2),I$1),0)</f>
        <v>1</v>
      </c>
      <c r="J56">
        <f>IFERROR(COUNTIF(OFFSET('Schedule Raw Data'!$A$2,MATCH($A56,'Schedule Raw Data'!$A$3:$A$2477,0),1,COUNTIF('Schedule Raw Data'!$A$3:$A$2477,$A56),2),J$1),0)</f>
        <v>1</v>
      </c>
      <c r="K56">
        <f>IFERROR(COUNTIF(OFFSET('Schedule Raw Data'!$A$2,MATCH($A56,'Schedule Raw Data'!$A$3:$A$2477,0),1,COUNTIF('Schedule Raw Data'!$A$3:$A$2477,$A56),2),K$1),0)</f>
        <v>1</v>
      </c>
      <c r="L56">
        <f>IFERROR(COUNTIF(OFFSET('Schedule Raw Data'!$A$2,MATCH($A56,'Schedule Raw Data'!$A$3:$A$2477,0),1,COUNTIF('Schedule Raw Data'!$A$3:$A$2477,$A56),2),L$1),0)</f>
        <v>1</v>
      </c>
      <c r="M56">
        <f>IFERROR(COUNTIF(OFFSET('Schedule Raw Data'!$A$2,MATCH($A56,'Schedule Raw Data'!$A$3:$A$2477,0),1,COUNTIF('Schedule Raw Data'!$A$3:$A$2477,$A56),2),M$1),0)</f>
        <v>1</v>
      </c>
      <c r="N56">
        <f>IFERROR(COUNTIF(OFFSET('Schedule Raw Data'!$A$2,MATCH($A56,'Schedule Raw Data'!$A$3:$A$2477,0),1,COUNTIF('Schedule Raw Data'!$A$3:$A$2477,$A56),2),N$1),0)</f>
        <v>1</v>
      </c>
      <c r="O56">
        <f>IFERROR(COUNTIF(OFFSET('Schedule Raw Data'!$A$2,MATCH($A56,'Schedule Raw Data'!$A$3:$A$2477,0),1,COUNTIF('Schedule Raw Data'!$A$3:$A$2477,$A56),2),O$1),0)</f>
        <v>1</v>
      </c>
      <c r="P56">
        <f>IFERROR(COUNTIF(OFFSET('Schedule Raw Data'!$A$2,MATCH($A56,'Schedule Raw Data'!$A$3:$A$2477,0),1,COUNTIF('Schedule Raw Data'!$A$3:$A$2477,$A56),2),P$1),0)</f>
        <v>1</v>
      </c>
      <c r="Q56">
        <f>IFERROR(COUNTIF(OFFSET('Schedule Raw Data'!$A$2,MATCH($A56,'Schedule Raw Data'!$A$3:$A$2477,0),1,COUNTIF('Schedule Raw Data'!$A$3:$A$2477,$A56),2),Q$1),0)</f>
        <v>1</v>
      </c>
      <c r="R56">
        <f>IFERROR(COUNTIF(OFFSET('Schedule Raw Data'!$A$2,MATCH($A56,'Schedule Raw Data'!$A$3:$A$2477,0),1,COUNTIF('Schedule Raw Data'!$A$3:$A$2477,$A56),2),R$1),0)</f>
        <v>1</v>
      </c>
      <c r="S56">
        <f>IFERROR(COUNTIF(OFFSET('Schedule Raw Data'!$A$2,MATCH($A56,'Schedule Raw Data'!$A$3:$A$2477,0),1,COUNTIF('Schedule Raw Data'!$A$3:$A$2477,$A56),2),S$1),0)</f>
        <v>1</v>
      </c>
      <c r="T56">
        <f>IFERROR(COUNTIF(OFFSET('Schedule Raw Data'!$A$2,MATCH($A56,'Schedule Raw Data'!$A$3:$A$2477,0),1,COUNTIF('Schedule Raw Data'!$A$3:$A$2477,$A56),2),T$1),0)</f>
        <v>1</v>
      </c>
      <c r="U56">
        <f>IFERROR(COUNTIF(OFFSET('Schedule Raw Data'!$A$2,MATCH($A56,'Schedule Raw Data'!$A$3:$A$2477,0),1,COUNTIF('Schedule Raw Data'!$A$3:$A$2477,$A56),2),U$1),0)</f>
        <v>1</v>
      </c>
      <c r="V56">
        <f>IFERROR(COUNTIF(OFFSET('Schedule Raw Data'!$A$2,MATCH($A56,'Schedule Raw Data'!$A$3:$A$2477,0),1,COUNTIF('Schedule Raw Data'!$A$3:$A$2477,$A56),2),V$1),0)</f>
        <v>1</v>
      </c>
      <c r="W56">
        <f>IFERROR(COUNTIF(OFFSET('Schedule Raw Data'!$A$2,MATCH($A56,'Schedule Raw Data'!$A$3:$A$2477,0),1,COUNTIF('Schedule Raw Data'!$A$3:$A$2477,$A56),2),W$1),0)</f>
        <v>1</v>
      </c>
      <c r="X56">
        <f>IFERROR(COUNTIF(OFFSET('Schedule Raw Data'!$A$2,MATCH($A56,'Schedule Raw Data'!$A$3:$A$2477,0),1,COUNTIF('Schedule Raw Data'!$A$3:$A$2477,$A56),2),X$1),0)</f>
        <v>1</v>
      </c>
      <c r="Y56">
        <f>IFERROR(COUNTIF(OFFSET('Schedule Raw Data'!$A$2,MATCH($A56,'Schedule Raw Data'!$A$3:$A$2477,0),1,COUNTIF('Schedule Raw Data'!$A$3:$A$2477,$A56),2),Y$1),0)</f>
        <v>1</v>
      </c>
      <c r="Z56">
        <f>IFERROR(COUNTIF(OFFSET('Schedule Raw Data'!$A$2,MATCH($A56,'Schedule Raw Data'!$A$3:$A$2477,0),1,COUNTIF('Schedule Raw Data'!$A$3:$A$2477,$A56),2),Z$1),0)</f>
        <v>1</v>
      </c>
      <c r="AA56">
        <f>IFERROR(COUNTIF(OFFSET('Schedule Raw Data'!$A$2,MATCH($A56,'Schedule Raw Data'!$A$3:$A$2477,0),1,COUNTIF('Schedule Raw Data'!$A$3:$A$2477,$A56),2),AA$1),0)</f>
        <v>1</v>
      </c>
      <c r="AB56">
        <f>IFERROR(COUNTIF(OFFSET('Schedule Raw Data'!$A$2,MATCH($A56,'Schedule Raw Data'!$A$3:$A$2477,0),1,COUNTIF('Schedule Raw Data'!$A$3:$A$2477,$A56),2),AB$1),0)</f>
        <v>1</v>
      </c>
      <c r="AC56">
        <f>IFERROR(COUNTIF(OFFSET('Schedule Raw Data'!$A$2,MATCH($A56,'Schedule Raw Data'!$A$3:$A$2477,0),1,COUNTIF('Schedule Raw Data'!$A$3:$A$2477,$A56),2),AC$1),0)</f>
        <v>1</v>
      </c>
      <c r="AD56">
        <f>IFERROR(COUNTIF(OFFSET('Schedule Raw Data'!$A$2,MATCH($A56,'Schedule Raw Data'!$A$3:$A$2477,0),1,COUNTIF('Schedule Raw Data'!$A$3:$A$2477,$A56),2),AD$1),0)</f>
        <v>1</v>
      </c>
      <c r="AE56">
        <f>IFERROR(COUNTIF(OFFSET('Schedule Raw Data'!$A$2,MATCH($A56,'Schedule Raw Data'!$A$3:$A$2477,0),1,COUNTIF('Schedule Raw Data'!$A$3:$A$2477,$A56),2),AE$1),0)</f>
        <v>1</v>
      </c>
      <c r="AF56">
        <f>IFERROR(COUNTIF(OFFSET('Schedule Raw Data'!$A$2,MATCH($A56,'Schedule Raw Data'!$A$3:$A$2477,0),1,COUNTIF('Schedule Raw Data'!$A$3:$A$2477,$A56),2),AF$1),0)</f>
        <v>1</v>
      </c>
      <c r="AG56">
        <f t="shared" si="1"/>
        <v>15</v>
      </c>
    </row>
    <row r="57">
      <c r="A57" s="30">
        <f t="array" ref="A57">INDEX('Schedule Raw Data'!$A$3:$A$2477,MATCH(0,INDEX(COUNTIF($A$1:A56,'Schedule Raw Data'!$A$3:$A$2477),0,0),0))</f>
        <v>46381</v>
      </c>
      <c r="B57">
        <f t="shared" si="2"/>
        <v>9</v>
      </c>
      <c r="C57">
        <f>IFERROR(COUNTIF(OFFSET('Schedule Raw Data'!$A$2,MATCH($A57,'Schedule Raw Data'!$A$3:$A$2477,0),1,COUNTIF('Schedule Raw Data'!$A$3:$A$2477,$A57),2),C$1),0)</f>
        <v>0</v>
      </c>
      <c r="D57">
        <f>IFERROR(COUNTIF(OFFSET('Schedule Raw Data'!$A$2,MATCH($A57,'Schedule Raw Data'!$A$3:$A$2477,0),1,COUNTIF('Schedule Raw Data'!$A$3:$A$2477,$A57),2),D$1),0)</f>
        <v>0</v>
      </c>
      <c r="E57">
        <f>IFERROR(COUNTIF(OFFSET('Schedule Raw Data'!$A$2,MATCH($A57,'Schedule Raw Data'!$A$3:$A$2477,0),1,COUNTIF('Schedule Raw Data'!$A$3:$A$2477,$A57),2),E$1),0)</f>
        <v>1</v>
      </c>
      <c r="F57">
        <f>IFERROR(COUNTIF(OFFSET('Schedule Raw Data'!$A$2,MATCH($A57,'Schedule Raw Data'!$A$3:$A$2477,0),1,COUNTIF('Schedule Raw Data'!$A$3:$A$2477,$A57),2),F$1),0)</f>
        <v>0</v>
      </c>
      <c r="G57">
        <f>IFERROR(COUNTIF(OFFSET('Schedule Raw Data'!$A$2,MATCH($A57,'Schedule Raw Data'!$A$3:$A$2477,0),1,COUNTIF('Schedule Raw Data'!$A$3:$A$2477,$A57),2),G$1),0)</f>
        <v>0</v>
      </c>
      <c r="H57">
        <f>IFERROR(COUNTIF(OFFSET('Schedule Raw Data'!$A$2,MATCH($A57,'Schedule Raw Data'!$A$3:$A$2477,0),1,COUNTIF('Schedule Raw Data'!$A$3:$A$2477,$A57),2),H$1),0)</f>
        <v>0</v>
      </c>
      <c r="I57">
        <f>IFERROR(COUNTIF(OFFSET('Schedule Raw Data'!$A$2,MATCH($A57,'Schedule Raw Data'!$A$3:$A$2477,0),1,COUNTIF('Schedule Raw Data'!$A$3:$A$2477,$A57),2),I$1),0)</f>
        <v>0</v>
      </c>
      <c r="J57">
        <f>IFERROR(COUNTIF(OFFSET('Schedule Raw Data'!$A$2,MATCH($A57,'Schedule Raw Data'!$A$3:$A$2477,0),1,COUNTIF('Schedule Raw Data'!$A$3:$A$2477,$A57),2),J$1),0)</f>
        <v>1</v>
      </c>
      <c r="K57">
        <f>IFERROR(COUNTIF(OFFSET('Schedule Raw Data'!$A$2,MATCH($A57,'Schedule Raw Data'!$A$3:$A$2477,0),1,COUNTIF('Schedule Raw Data'!$A$3:$A$2477,$A57),2),K$1),0)</f>
        <v>0</v>
      </c>
      <c r="L57">
        <f>IFERROR(COUNTIF(OFFSET('Schedule Raw Data'!$A$2,MATCH($A57,'Schedule Raw Data'!$A$3:$A$2477,0),1,COUNTIF('Schedule Raw Data'!$A$3:$A$2477,$A57),2),L$1),0)</f>
        <v>1</v>
      </c>
      <c r="M57">
        <f>IFERROR(COUNTIF(OFFSET('Schedule Raw Data'!$A$2,MATCH($A57,'Schedule Raw Data'!$A$3:$A$2477,0),1,COUNTIF('Schedule Raw Data'!$A$3:$A$2477,$A57),2),M$1),0)</f>
        <v>0</v>
      </c>
      <c r="N57">
        <f>IFERROR(COUNTIF(OFFSET('Schedule Raw Data'!$A$2,MATCH($A57,'Schedule Raw Data'!$A$3:$A$2477,0),1,COUNTIF('Schedule Raw Data'!$A$3:$A$2477,$A57),2),N$1),0)</f>
        <v>0</v>
      </c>
      <c r="O57">
        <f>IFERROR(COUNTIF(OFFSET('Schedule Raw Data'!$A$2,MATCH($A57,'Schedule Raw Data'!$A$3:$A$2477,0),1,COUNTIF('Schedule Raw Data'!$A$3:$A$2477,$A57),2),O$1),0)</f>
        <v>0</v>
      </c>
      <c r="P57">
        <f>IFERROR(COUNTIF(OFFSET('Schedule Raw Data'!$A$2,MATCH($A57,'Schedule Raw Data'!$A$3:$A$2477,0),1,COUNTIF('Schedule Raw Data'!$A$3:$A$2477,$A57),2),P$1),0)</f>
        <v>1</v>
      </c>
      <c r="Q57">
        <f>IFERROR(COUNTIF(OFFSET('Schedule Raw Data'!$A$2,MATCH($A57,'Schedule Raw Data'!$A$3:$A$2477,0),1,COUNTIF('Schedule Raw Data'!$A$3:$A$2477,$A57),2),Q$1),0)</f>
        <v>0</v>
      </c>
      <c r="R57">
        <f>IFERROR(COUNTIF(OFFSET('Schedule Raw Data'!$A$2,MATCH($A57,'Schedule Raw Data'!$A$3:$A$2477,0),1,COUNTIF('Schedule Raw Data'!$A$3:$A$2477,$A57),2),R$1),0)</f>
        <v>1</v>
      </c>
      <c r="S57">
        <f>IFERROR(COUNTIF(OFFSET('Schedule Raw Data'!$A$2,MATCH($A57,'Schedule Raw Data'!$A$3:$A$2477,0),1,COUNTIF('Schedule Raw Data'!$A$3:$A$2477,$A57),2),S$1),0)</f>
        <v>0</v>
      </c>
      <c r="T57">
        <f>IFERROR(COUNTIF(OFFSET('Schedule Raw Data'!$A$2,MATCH($A57,'Schedule Raw Data'!$A$3:$A$2477,0),1,COUNTIF('Schedule Raw Data'!$A$3:$A$2477,$A57),2),T$1),0)</f>
        <v>1</v>
      </c>
      <c r="U57">
        <f>IFERROR(COUNTIF(OFFSET('Schedule Raw Data'!$A$2,MATCH($A57,'Schedule Raw Data'!$A$3:$A$2477,0),1,COUNTIF('Schedule Raw Data'!$A$3:$A$2477,$A57),2),U$1),0)</f>
        <v>0</v>
      </c>
      <c r="V57">
        <f>IFERROR(COUNTIF(OFFSET('Schedule Raw Data'!$A$2,MATCH($A57,'Schedule Raw Data'!$A$3:$A$2477,0),1,COUNTIF('Schedule Raw Data'!$A$3:$A$2477,$A57),2),V$1),0)</f>
        <v>1</v>
      </c>
      <c r="W57">
        <f>IFERROR(COUNTIF(OFFSET('Schedule Raw Data'!$A$2,MATCH($A57,'Schedule Raw Data'!$A$3:$A$2477,0),1,COUNTIF('Schedule Raw Data'!$A$3:$A$2477,$A57),2),W$1),0)</f>
        <v>1</v>
      </c>
      <c r="X57">
        <f>IFERROR(COUNTIF(OFFSET('Schedule Raw Data'!$A$2,MATCH($A57,'Schedule Raw Data'!$A$3:$A$2477,0),1,COUNTIF('Schedule Raw Data'!$A$3:$A$2477,$A57),2),X$1),0)</f>
        <v>0</v>
      </c>
      <c r="Y57">
        <f>IFERROR(COUNTIF(OFFSET('Schedule Raw Data'!$A$2,MATCH($A57,'Schedule Raw Data'!$A$3:$A$2477,0),1,COUNTIF('Schedule Raw Data'!$A$3:$A$2477,$A57),2),Y$1),0)</f>
        <v>1</v>
      </c>
      <c r="Z57">
        <f>IFERROR(COUNTIF(OFFSET('Schedule Raw Data'!$A$2,MATCH($A57,'Schedule Raw Data'!$A$3:$A$2477,0),1,COUNTIF('Schedule Raw Data'!$A$3:$A$2477,$A57),2),Z$1),0)</f>
        <v>0</v>
      </c>
      <c r="AA57">
        <f>IFERROR(COUNTIF(OFFSET('Schedule Raw Data'!$A$2,MATCH($A57,'Schedule Raw Data'!$A$3:$A$2477,0),1,COUNTIF('Schedule Raw Data'!$A$3:$A$2477,$A57),2),AA$1),0)</f>
        <v>0</v>
      </c>
      <c r="AB57">
        <f>IFERROR(COUNTIF(OFFSET('Schedule Raw Data'!$A$2,MATCH($A57,'Schedule Raw Data'!$A$3:$A$2477,0),1,COUNTIF('Schedule Raw Data'!$A$3:$A$2477,$A57),2),AB$1),0)</f>
        <v>0</v>
      </c>
      <c r="AC57">
        <f>IFERROR(COUNTIF(OFFSET('Schedule Raw Data'!$A$2,MATCH($A57,'Schedule Raw Data'!$A$3:$A$2477,0),1,COUNTIF('Schedule Raw Data'!$A$3:$A$2477,$A57),2),AC$1),0)</f>
        <v>1</v>
      </c>
      <c r="AD57">
        <f>IFERROR(COUNTIF(OFFSET('Schedule Raw Data'!$A$2,MATCH($A57,'Schedule Raw Data'!$A$3:$A$2477,0),1,COUNTIF('Schedule Raw Data'!$A$3:$A$2477,$A57),2),AD$1),0)</f>
        <v>0</v>
      </c>
      <c r="AE57">
        <f>IFERROR(COUNTIF(OFFSET('Schedule Raw Data'!$A$2,MATCH($A57,'Schedule Raw Data'!$A$3:$A$2477,0),1,COUNTIF('Schedule Raw Data'!$A$3:$A$2477,$A57),2),AE$1),0)</f>
        <v>0</v>
      </c>
      <c r="AF57">
        <f>IFERROR(COUNTIF(OFFSET('Schedule Raw Data'!$A$2,MATCH($A57,'Schedule Raw Data'!$A$3:$A$2477,0),1,COUNTIF('Schedule Raw Data'!$A$3:$A$2477,$A57),2),AF$1),0)</f>
        <v>0</v>
      </c>
      <c r="AG57">
        <f t="shared" si="1"/>
        <v>5</v>
      </c>
    </row>
    <row r="58">
      <c r="A58" s="30">
        <f t="array" ref="A58">INDEX('Schedule Raw Data'!$A$3:$A$2477,MATCH(0,INDEX(COUNTIF($A$1:A57,'Schedule Raw Data'!$A$3:$A$2477),0,0),0))</f>
        <v>46382</v>
      </c>
      <c r="B58">
        <f t="shared" si="2"/>
        <v>9</v>
      </c>
      <c r="C58">
        <f>IFERROR(COUNTIF(OFFSET('Schedule Raw Data'!$A$2,MATCH($A58,'Schedule Raw Data'!$A$3:$A$2477,0),1,COUNTIF('Schedule Raw Data'!$A$3:$A$2477,$A58),2),C$1),0)</f>
        <v>1</v>
      </c>
      <c r="D58">
        <f>IFERROR(COUNTIF(OFFSET('Schedule Raw Data'!$A$2,MATCH($A58,'Schedule Raw Data'!$A$3:$A$2477,0),1,COUNTIF('Schedule Raw Data'!$A$3:$A$2477,$A58),2),D$1),0)</f>
        <v>1</v>
      </c>
      <c r="E58">
        <f>IFERROR(COUNTIF(OFFSET('Schedule Raw Data'!$A$2,MATCH($A58,'Schedule Raw Data'!$A$3:$A$2477,0),1,COUNTIF('Schedule Raw Data'!$A$3:$A$2477,$A58),2),E$1),0)</f>
        <v>0</v>
      </c>
      <c r="F58">
        <f>IFERROR(COUNTIF(OFFSET('Schedule Raw Data'!$A$2,MATCH($A58,'Schedule Raw Data'!$A$3:$A$2477,0),1,COUNTIF('Schedule Raw Data'!$A$3:$A$2477,$A58),2),F$1),0)</f>
        <v>1</v>
      </c>
      <c r="G58">
        <f>IFERROR(COUNTIF(OFFSET('Schedule Raw Data'!$A$2,MATCH($A58,'Schedule Raw Data'!$A$3:$A$2477,0),1,COUNTIF('Schedule Raw Data'!$A$3:$A$2477,$A58),2),G$1),0)</f>
        <v>1</v>
      </c>
      <c r="H58">
        <f>IFERROR(COUNTIF(OFFSET('Schedule Raw Data'!$A$2,MATCH($A58,'Schedule Raw Data'!$A$3:$A$2477,0),1,COUNTIF('Schedule Raw Data'!$A$3:$A$2477,$A58),2),H$1),0)</f>
        <v>0</v>
      </c>
      <c r="I58">
        <f>IFERROR(COUNTIF(OFFSET('Schedule Raw Data'!$A$2,MATCH($A58,'Schedule Raw Data'!$A$3:$A$2477,0),1,COUNTIF('Schedule Raw Data'!$A$3:$A$2477,$A58),2),I$1),0)</f>
        <v>1</v>
      </c>
      <c r="J58">
        <f>IFERROR(COUNTIF(OFFSET('Schedule Raw Data'!$A$2,MATCH($A58,'Schedule Raw Data'!$A$3:$A$2477,0),1,COUNTIF('Schedule Raw Data'!$A$3:$A$2477,$A58),2),J$1),0)</f>
        <v>0</v>
      </c>
      <c r="K58">
        <f>IFERROR(COUNTIF(OFFSET('Schedule Raw Data'!$A$2,MATCH($A58,'Schedule Raw Data'!$A$3:$A$2477,0),1,COUNTIF('Schedule Raw Data'!$A$3:$A$2477,$A58),2),K$1),0)</f>
        <v>1</v>
      </c>
      <c r="L58">
        <f>IFERROR(COUNTIF(OFFSET('Schedule Raw Data'!$A$2,MATCH($A58,'Schedule Raw Data'!$A$3:$A$2477,0),1,COUNTIF('Schedule Raw Data'!$A$3:$A$2477,$A58),2),L$1),0)</f>
        <v>0</v>
      </c>
      <c r="M58">
        <f>IFERROR(COUNTIF(OFFSET('Schedule Raw Data'!$A$2,MATCH($A58,'Schedule Raw Data'!$A$3:$A$2477,0),1,COUNTIF('Schedule Raw Data'!$A$3:$A$2477,$A58),2),M$1),0)</f>
        <v>0</v>
      </c>
      <c r="N58">
        <f>IFERROR(COUNTIF(OFFSET('Schedule Raw Data'!$A$2,MATCH($A58,'Schedule Raw Data'!$A$3:$A$2477,0),1,COUNTIF('Schedule Raw Data'!$A$3:$A$2477,$A58),2),N$1),0)</f>
        <v>1</v>
      </c>
      <c r="O58">
        <f>IFERROR(COUNTIF(OFFSET('Schedule Raw Data'!$A$2,MATCH($A58,'Schedule Raw Data'!$A$3:$A$2477,0),1,COUNTIF('Schedule Raw Data'!$A$3:$A$2477,$A58),2),O$1),0)</f>
        <v>1</v>
      </c>
      <c r="P58">
        <f>IFERROR(COUNTIF(OFFSET('Schedule Raw Data'!$A$2,MATCH($A58,'Schedule Raw Data'!$A$3:$A$2477,0),1,COUNTIF('Schedule Raw Data'!$A$3:$A$2477,$A58),2),P$1),0)</f>
        <v>0</v>
      </c>
      <c r="Q58">
        <f>IFERROR(COUNTIF(OFFSET('Schedule Raw Data'!$A$2,MATCH($A58,'Schedule Raw Data'!$A$3:$A$2477,0),1,COUNTIF('Schedule Raw Data'!$A$3:$A$2477,$A58),2),Q$1),0)</f>
        <v>1</v>
      </c>
      <c r="R58">
        <f>IFERROR(COUNTIF(OFFSET('Schedule Raw Data'!$A$2,MATCH($A58,'Schedule Raw Data'!$A$3:$A$2477,0),1,COUNTIF('Schedule Raw Data'!$A$3:$A$2477,$A58),2),R$1),0)</f>
        <v>0</v>
      </c>
      <c r="S58">
        <f>IFERROR(COUNTIF(OFFSET('Schedule Raw Data'!$A$2,MATCH($A58,'Schedule Raw Data'!$A$3:$A$2477,0),1,COUNTIF('Schedule Raw Data'!$A$3:$A$2477,$A58),2),S$1),0)</f>
        <v>0</v>
      </c>
      <c r="T58">
        <f>IFERROR(COUNTIF(OFFSET('Schedule Raw Data'!$A$2,MATCH($A58,'Schedule Raw Data'!$A$3:$A$2477,0),1,COUNTIF('Schedule Raw Data'!$A$3:$A$2477,$A58),2),T$1),0)</f>
        <v>0</v>
      </c>
      <c r="U58">
        <f>IFERROR(COUNTIF(OFFSET('Schedule Raw Data'!$A$2,MATCH($A58,'Schedule Raw Data'!$A$3:$A$2477,0),1,COUNTIF('Schedule Raw Data'!$A$3:$A$2477,$A58),2),U$1),0)</f>
        <v>1</v>
      </c>
      <c r="V58">
        <f>IFERROR(COUNTIF(OFFSET('Schedule Raw Data'!$A$2,MATCH($A58,'Schedule Raw Data'!$A$3:$A$2477,0),1,COUNTIF('Schedule Raw Data'!$A$3:$A$2477,$A58),2),V$1),0)</f>
        <v>0</v>
      </c>
      <c r="W58">
        <f>IFERROR(COUNTIF(OFFSET('Schedule Raw Data'!$A$2,MATCH($A58,'Schedule Raw Data'!$A$3:$A$2477,0),1,COUNTIF('Schedule Raw Data'!$A$3:$A$2477,$A58),2),W$1),0)</f>
        <v>0</v>
      </c>
      <c r="X58">
        <f>IFERROR(COUNTIF(OFFSET('Schedule Raw Data'!$A$2,MATCH($A58,'Schedule Raw Data'!$A$3:$A$2477,0),1,COUNTIF('Schedule Raw Data'!$A$3:$A$2477,$A58),2),X$1),0)</f>
        <v>1</v>
      </c>
      <c r="Y58">
        <f>IFERROR(COUNTIF(OFFSET('Schedule Raw Data'!$A$2,MATCH($A58,'Schedule Raw Data'!$A$3:$A$2477,0),1,COUNTIF('Schedule Raw Data'!$A$3:$A$2477,$A58),2),Y$1),0)</f>
        <v>0</v>
      </c>
      <c r="Z58">
        <f>IFERROR(COUNTIF(OFFSET('Schedule Raw Data'!$A$2,MATCH($A58,'Schedule Raw Data'!$A$3:$A$2477,0),1,COUNTIF('Schedule Raw Data'!$A$3:$A$2477,$A58),2),Z$1),0)</f>
        <v>1</v>
      </c>
      <c r="AA58">
        <f>IFERROR(COUNTIF(OFFSET('Schedule Raw Data'!$A$2,MATCH($A58,'Schedule Raw Data'!$A$3:$A$2477,0),1,COUNTIF('Schedule Raw Data'!$A$3:$A$2477,$A58),2),AA$1),0)</f>
        <v>1</v>
      </c>
      <c r="AB58">
        <f>IFERROR(COUNTIF(OFFSET('Schedule Raw Data'!$A$2,MATCH($A58,'Schedule Raw Data'!$A$3:$A$2477,0),1,COUNTIF('Schedule Raw Data'!$A$3:$A$2477,$A58),2),AB$1),0)</f>
        <v>0</v>
      </c>
      <c r="AC58">
        <f>IFERROR(COUNTIF(OFFSET('Schedule Raw Data'!$A$2,MATCH($A58,'Schedule Raw Data'!$A$3:$A$2477,0),1,COUNTIF('Schedule Raw Data'!$A$3:$A$2477,$A58),2),AC$1),0)</f>
        <v>0</v>
      </c>
      <c r="AD58">
        <f>IFERROR(COUNTIF(OFFSET('Schedule Raw Data'!$A$2,MATCH($A58,'Schedule Raw Data'!$A$3:$A$2477,0),1,COUNTIF('Schedule Raw Data'!$A$3:$A$2477,$A58),2),AD$1),0)</f>
        <v>1</v>
      </c>
      <c r="AE58">
        <f>IFERROR(COUNTIF(OFFSET('Schedule Raw Data'!$A$2,MATCH($A58,'Schedule Raw Data'!$A$3:$A$2477,0),1,COUNTIF('Schedule Raw Data'!$A$3:$A$2477,$A58),2),AE$1),0)</f>
        <v>1</v>
      </c>
      <c r="AF58">
        <f>IFERROR(COUNTIF(OFFSET('Schedule Raw Data'!$A$2,MATCH($A58,'Schedule Raw Data'!$A$3:$A$2477,0),1,COUNTIF('Schedule Raw Data'!$A$3:$A$2477,$A58),2),AF$1),0)</f>
        <v>1</v>
      </c>
      <c r="AG58">
        <f t="shared" si="1"/>
        <v>8</v>
      </c>
    </row>
    <row r="59">
      <c r="A59" s="30">
        <f t="array" ref="A59">INDEX('Schedule Raw Data'!$A$3:$A$2477,MATCH(0,INDEX(COUNTIF($A$1:A58,'Schedule Raw Data'!$A$3:$A$2477),0,0),0))</f>
        <v>46383</v>
      </c>
      <c r="B59">
        <f t="shared" si="2"/>
        <v>9</v>
      </c>
      <c r="C59">
        <f>IFERROR(COUNTIF(OFFSET('Schedule Raw Data'!$A$2,MATCH($A59,'Schedule Raw Data'!$A$3:$A$2477,0),1,COUNTIF('Schedule Raw Data'!$A$3:$A$2477,$A59),2),C$1),0)</f>
        <v>1</v>
      </c>
      <c r="D59">
        <f>IFERROR(COUNTIF(OFFSET('Schedule Raw Data'!$A$2,MATCH($A59,'Schedule Raw Data'!$A$3:$A$2477,0),1,COUNTIF('Schedule Raw Data'!$A$3:$A$2477,$A59),2),D$1),0)</f>
        <v>1</v>
      </c>
      <c r="E59">
        <f>IFERROR(COUNTIF(OFFSET('Schedule Raw Data'!$A$2,MATCH($A59,'Schedule Raw Data'!$A$3:$A$2477,0),1,COUNTIF('Schedule Raw Data'!$A$3:$A$2477,$A59),2),E$1),0)</f>
        <v>0</v>
      </c>
      <c r="F59">
        <f>IFERROR(COUNTIF(OFFSET('Schedule Raw Data'!$A$2,MATCH($A59,'Schedule Raw Data'!$A$3:$A$2477,0),1,COUNTIF('Schedule Raw Data'!$A$3:$A$2477,$A59),2),F$1),0)</f>
        <v>1</v>
      </c>
      <c r="G59">
        <f>IFERROR(COUNTIF(OFFSET('Schedule Raw Data'!$A$2,MATCH($A59,'Schedule Raw Data'!$A$3:$A$2477,0),1,COUNTIF('Schedule Raw Data'!$A$3:$A$2477,$A59),2),G$1),0)</f>
        <v>0</v>
      </c>
      <c r="H59">
        <f>IFERROR(COUNTIF(OFFSET('Schedule Raw Data'!$A$2,MATCH($A59,'Schedule Raw Data'!$A$3:$A$2477,0),1,COUNTIF('Schedule Raw Data'!$A$3:$A$2477,$A59),2),H$1),0)</f>
        <v>1</v>
      </c>
      <c r="I59">
        <f>IFERROR(COUNTIF(OFFSET('Schedule Raw Data'!$A$2,MATCH($A59,'Schedule Raw Data'!$A$3:$A$2477,0),1,COUNTIF('Schedule Raw Data'!$A$3:$A$2477,$A59),2),I$1),0)</f>
        <v>0</v>
      </c>
      <c r="J59">
        <f>IFERROR(COUNTIF(OFFSET('Schedule Raw Data'!$A$2,MATCH($A59,'Schedule Raw Data'!$A$3:$A$2477,0),1,COUNTIF('Schedule Raw Data'!$A$3:$A$2477,$A59),2),J$1),0)</f>
        <v>1</v>
      </c>
      <c r="K59">
        <f>IFERROR(COUNTIF(OFFSET('Schedule Raw Data'!$A$2,MATCH($A59,'Schedule Raw Data'!$A$3:$A$2477,0),1,COUNTIF('Schedule Raw Data'!$A$3:$A$2477,$A59),2),K$1),0)</f>
        <v>1</v>
      </c>
      <c r="L59">
        <f>IFERROR(COUNTIF(OFFSET('Schedule Raw Data'!$A$2,MATCH($A59,'Schedule Raw Data'!$A$3:$A$2477,0),1,COUNTIF('Schedule Raw Data'!$A$3:$A$2477,$A59),2),L$1),0)</f>
        <v>1</v>
      </c>
      <c r="M59">
        <f>IFERROR(COUNTIF(OFFSET('Schedule Raw Data'!$A$2,MATCH($A59,'Schedule Raw Data'!$A$3:$A$2477,0),1,COUNTIF('Schedule Raw Data'!$A$3:$A$2477,$A59),2),M$1),0)</f>
        <v>1</v>
      </c>
      <c r="N59">
        <f>IFERROR(COUNTIF(OFFSET('Schedule Raw Data'!$A$2,MATCH($A59,'Schedule Raw Data'!$A$3:$A$2477,0),1,COUNTIF('Schedule Raw Data'!$A$3:$A$2477,$A59),2),N$1),0)</f>
        <v>1</v>
      </c>
      <c r="O59">
        <f>IFERROR(COUNTIF(OFFSET('Schedule Raw Data'!$A$2,MATCH($A59,'Schedule Raw Data'!$A$3:$A$2477,0),1,COUNTIF('Schedule Raw Data'!$A$3:$A$2477,$A59),2),O$1),0)</f>
        <v>1</v>
      </c>
      <c r="P59">
        <f>IFERROR(COUNTIF(OFFSET('Schedule Raw Data'!$A$2,MATCH($A59,'Schedule Raw Data'!$A$3:$A$2477,0),1,COUNTIF('Schedule Raw Data'!$A$3:$A$2477,$A59),2),P$1),0)</f>
        <v>1</v>
      </c>
      <c r="Q59">
        <f>IFERROR(COUNTIF(OFFSET('Schedule Raw Data'!$A$2,MATCH($A59,'Schedule Raw Data'!$A$3:$A$2477,0),1,COUNTIF('Schedule Raw Data'!$A$3:$A$2477,$A59),2),Q$1),0)</f>
        <v>1</v>
      </c>
      <c r="R59">
        <f>IFERROR(COUNTIF(OFFSET('Schedule Raw Data'!$A$2,MATCH($A59,'Schedule Raw Data'!$A$3:$A$2477,0),1,COUNTIF('Schedule Raw Data'!$A$3:$A$2477,$A59),2),R$1),0)</f>
        <v>1</v>
      </c>
      <c r="S59">
        <f>IFERROR(COUNTIF(OFFSET('Schedule Raw Data'!$A$2,MATCH($A59,'Schedule Raw Data'!$A$3:$A$2477,0),1,COUNTIF('Schedule Raw Data'!$A$3:$A$2477,$A59),2),S$1),0)</f>
        <v>1</v>
      </c>
      <c r="T59">
        <f>IFERROR(COUNTIF(OFFSET('Schedule Raw Data'!$A$2,MATCH($A59,'Schedule Raw Data'!$A$3:$A$2477,0),1,COUNTIF('Schedule Raw Data'!$A$3:$A$2477,$A59),2),T$1),0)</f>
        <v>1</v>
      </c>
      <c r="U59">
        <f>IFERROR(COUNTIF(OFFSET('Schedule Raw Data'!$A$2,MATCH($A59,'Schedule Raw Data'!$A$3:$A$2477,0),1,COUNTIF('Schedule Raw Data'!$A$3:$A$2477,$A59),2),U$1),0)</f>
        <v>0</v>
      </c>
      <c r="V59">
        <f>IFERROR(COUNTIF(OFFSET('Schedule Raw Data'!$A$2,MATCH($A59,'Schedule Raw Data'!$A$3:$A$2477,0),1,COUNTIF('Schedule Raw Data'!$A$3:$A$2477,$A59),2),V$1),0)</f>
        <v>1</v>
      </c>
      <c r="W59">
        <f>IFERROR(COUNTIF(OFFSET('Schedule Raw Data'!$A$2,MATCH($A59,'Schedule Raw Data'!$A$3:$A$2477,0),1,COUNTIF('Schedule Raw Data'!$A$3:$A$2477,$A59),2),W$1),0)</f>
        <v>1</v>
      </c>
      <c r="X59">
        <f>IFERROR(COUNTIF(OFFSET('Schedule Raw Data'!$A$2,MATCH($A59,'Schedule Raw Data'!$A$3:$A$2477,0),1,COUNTIF('Schedule Raw Data'!$A$3:$A$2477,$A59),2),X$1),0)</f>
        <v>1</v>
      </c>
      <c r="Y59">
        <f>IFERROR(COUNTIF(OFFSET('Schedule Raw Data'!$A$2,MATCH($A59,'Schedule Raw Data'!$A$3:$A$2477,0),1,COUNTIF('Schedule Raw Data'!$A$3:$A$2477,$A59),2),Y$1),0)</f>
        <v>1</v>
      </c>
      <c r="Z59">
        <f>IFERROR(COUNTIF(OFFSET('Schedule Raw Data'!$A$2,MATCH($A59,'Schedule Raw Data'!$A$3:$A$2477,0),1,COUNTIF('Schedule Raw Data'!$A$3:$A$2477,$A59),2),Z$1),0)</f>
        <v>0</v>
      </c>
      <c r="AA59">
        <f>IFERROR(COUNTIF(OFFSET('Schedule Raw Data'!$A$2,MATCH($A59,'Schedule Raw Data'!$A$3:$A$2477,0),1,COUNTIF('Schedule Raw Data'!$A$3:$A$2477,$A59),2),AA$1),0)</f>
        <v>1</v>
      </c>
      <c r="AB59">
        <f>IFERROR(COUNTIF(OFFSET('Schedule Raw Data'!$A$2,MATCH($A59,'Schedule Raw Data'!$A$3:$A$2477,0),1,COUNTIF('Schedule Raw Data'!$A$3:$A$2477,$A59),2),AB$1),0)</f>
        <v>1</v>
      </c>
      <c r="AC59">
        <f>IFERROR(COUNTIF(OFFSET('Schedule Raw Data'!$A$2,MATCH($A59,'Schedule Raw Data'!$A$3:$A$2477,0),1,COUNTIF('Schedule Raw Data'!$A$3:$A$2477,$A59),2),AC$1),0)</f>
        <v>1</v>
      </c>
      <c r="AD59">
        <f>IFERROR(COUNTIF(OFFSET('Schedule Raw Data'!$A$2,MATCH($A59,'Schedule Raw Data'!$A$3:$A$2477,0),1,COUNTIF('Schedule Raw Data'!$A$3:$A$2477,$A59),2),AD$1),0)</f>
        <v>0</v>
      </c>
      <c r="AE59">
        <f>IFERROR(COUNTIF(OFFSET('Schedule Raw Data'!$A$2,MATCH($A59,'Schedule Raw Data'!$A$3:$A$2477,0),1,COUNTIF('Schedule Raw Data'!$A$3:$A$2477,$A59),2),AE$1),0)</f>
        <v>1</v>
      </c>
      <c r="AF59">
        <f>IFERROR(COUNTIF(OFFSET('Schedule Raw Data'!$A$2,MATCH($A59,'Schedule Raw Data'!$A$3:$A$2477,0),1,COUNTIF('Schedule Raw Data'!$A$3:$A$2477,$A59),2),AF$1),0)</f>
        <v>1</v>
      </c>
      <c r="AG59">
        <f t="shared" si="1"/>
        <v>12</v>
      </c>
    </row>
    <row r="60">
      <c r="A60" s="30">
        <f t="array" ref="A60">INDEX('Schedule Raw Data'!$A$3:$A$2477,MATCH(0,INDEX(COUNTIF($A$1:A59,'Schedule Raw Data'!$A$3:$A$2477),0,0),0))</f>
        <v>46384</v>
      </c>
      <c r="B60">
        <f t="shared" si="2"/>
        <v>10</v>
      </c>
      <c r="C60">
        <f>IFERROR(COUNTIF(OFFSET('Schedule Raw Data'!$A$2,MATCH($A60,'Schedule Raw Data'!$A$3:$A$2477,0),1,COUNTIF('Schedule Raw Data'!$A$3:$A$2477,$A60),2),C$1),0)</f>
        <v>0</v>
      </c>
      <c r="D60">
        <f>IFERROR(COUNTIF(OFFSET('Schedule Raw Data'!$A$2,MATCH($A60,'Schedule Raw Data'!$A$3:$A$2477,0),1,COUNTIF('Schedule Raw Data'!$A$3:$A$2477,$A60),2),D$1),0)</f>
        <v>0</v>
      </c>
      <c r="E60">
        <f>IFERROR(COUNTIF(OFFSET('Schedule Raw Data'!$A$2,MATCH($A60,'Schedule Raw Data'!$A$3:$A$2477,0),1,COUNTIF('Schedule Raw Data'!$A$3:$A$2477,$A60),2),E$1),0)</f>
        <v>1</v>
      </c>
      <c r="F60">
        <f>IFERROR(COUNTIF(OFFSET('Schedule Raw Data'!$A$2,MATCH($A60,'Schedule Raw Data'!$A$3:$A$2477,0),1,COUNTIF('Schedule Raw Data'!$A$3:$A$2477,$A60),2),F$1),0)</f>
        <v>0</v>
      </c>
      <c r="G60">
        <f>IFERROR(COUNTIF(OFFSET('Schedule Raw Data'!$A$2,MATCH($A60,'Schedule Raw Data'!$A$3:$A$2477,0),1,COUNTIF('Schedule Raw Data'!$A$3:$A$2477,$A60),2),G$1),0)</f>
        <v>0</v>
      </c>
      <c r="H60">
        <f>IFERROR(COUNTIF(OFFSET('Schedule Raw Data'!$A$2,MATCH($A60,'Schedule Raw Data'!$A$3:$A$2477,0),1,COUNTIF('Schedule Raw Data'!$A$3:$A$2477,$A60),2),H$1),0)</f>
        <v>1</v>
      </c>
      <c r="I60">
        <f>IFERROR(COUNTIF(OFFSET('Schedule Raw Data'!$A$2,MATCH($A60,'Schedule Raw Data'!$A$3:$A$2477,0),1,COUNTIF('Schedule Raw Data'!$A$3:$A$2477,$A60),2),I$1),0)</f>
        <v>0</v>
      </c>
      <c r="J60">
        <f>IFERROR(COUNTIF(OFFSET('Schedule Raw Data'!$A$2,MATCH($A60,'Schedule Raw Data'!$A$3:$A$2477,0),1,COUNTIF('Schedule Raw Data'!$A$3:$A$2477,$A60),2),J$1),0)</f>
        <v>1</v>
      </c>
      <c r="K60">
        <f>IFERROR(COUNTIF(OFFSET('Schedule Raw Data'!$A$2,MATCH($A60,'Schedule Raw Data'!$A$3:$A$2477,0),1,COUNTIF('Schedule Raw Data'!$A$3:$A$2477,$A60),2),K$1),0)</f>
        <v>0</v>
      </c>
      <c r="L60">
        <f>IFERROR(COUNTIF(OFFSET('Schedule Raw Data'!$A$2,MATCH($A60,'Schedule Raw Data'!$A$3:$A$2477,0),1,COUNTIF('Schedule Raw Data'!$A$3:$A$2477,$A60),2),L$1),0)</f>
        <v>1</v>
      </c>
      <c r="M60">
        <f>IFERROR(COUNTIF(OFFSET('Schedule Raw Data'!$A$2,MATCH($A60,'Schedule Raw Data'!$A$3:$A$2477,0),1,COUNTIF('Schedule Raw Data'!$A$3:$A$2477,$A60),2),M$1),0)</f>
        <v>0</v>
      </c>
      <c r="N60">
        <f>IFERROR(COUNTIF(OFFSET('Schedule Raw Data'!$A$2,MATCH($A60,'Schedule Raw Data'!$A$3:$A$2477,0),1,COUNTIF('Schedule Raw Data'!$A$3:$A$2477,$A60),2),N$1),0)</f>
        <v>0</v>
      </c>
      <c r="O60">
        <f>IFERROR(COUNTIF(OFFSET('Schedule Raw Data'!$A$2,MATCH($A60,'Schedule Raw Data'!$A$3:$A$2477,0),1,COUNTIF('Schedule Raw Data'!$A$3:$A$2477,$A60),2),O$1),0)</f>
        <v>0</v>
      </c>
      <c r="P60">
        <f>IFERROR(COUNTIF(OFFSET('Schedule Raw Data'!$A$2,MATCH($A60,'Schedule Raw Data'!$A$3:$A$2477,0),1,COUNTIF('Schedule Raw Data'!$A$3:$A$2477,$A60),2),P$1),0)</f>
        <v>0</v>
      </c>
      <c r="Q60">
        <f>IFERROR(COUNTIF(OFFSET('Schedule Raw Data'!$A$2,MATCH($A60,'Schedule Raw Data'!$A$3:$A$2477,0),1,COUNTIF('Schedule Raw Data'!$A$3:$A$2477,$A60),2),Q$1),0)</f>
        <v>0</v>
      </c>
      <c r="R60">
        <f>IFERROR(COUNTIF(OFFSET('Schedule Raw Data'!$A$2,MATCH($A60,'Schedule Raw Data'!$A$3:$A$2477,0),1,COUNTIF('Schedule Raw Data'!$A$3:$A$2477,$A60),2),R$1),0)</f>
        <v>0</v>
      </c>
      <c r="S60">
        <f>IFERROR(COUNTIF(OFFSET('Schedule Raw Data'!$A$2,MATCH($A60,'Schedule Raw Data'!$A$3:$A$2477,0),1,COUNTIF('Schedule Raw Data'!$A$3:$A$2477,$A60),2),S$1),0)</f>
        <v>0</v>
      </c>
      <c r="T60">
        <f>IFERROR(COUNTIF(OFFSET('Schedule Raw Data'!$A$2,MATCH($A60,'Schedule Raw Data'!$A$3:$A$2477,0),1,COUNTIF('Schedule Raw Data'!$A$3:$A$2477,$A60),2),T$1),0)</f>
        <v>1</v>
      </c>
      <c r="U60">
        <f>IFERROR(COUNTIF(OFFSET('Schedule Raw Data'!$A$2,MATCH($A60,'Schedule Raw Data'!$A$3:$A$2477,0),1,COUNTIF('Schedule Raw Data'!$A$3:$A$2477,$A60),2),U$1),0)</f>
        <v>1</v>
      </c>
      <c r="V60">
        <f>IFERROR(COUNTIF(OFFSET('Schedule Raw Data'!$A$2,MATCH($A60,'Schedule Raw Data'!$A$3:$A$2477,0),1,COUNTIF('Schedule Raw Data'!$A$3:$A$2477,$A60),2),V$1),0)</f>
        <v>0</v>
      </c>
      <c r="W60">
        <f>IFERROR(COUNTIF(OFFSET('Schedule Raw Data'!$A$2,MATCH($A60,'Schedule Raw Data'!$A$3:$A$2477,0),1,COUNTIF('Schedule Raw Data'!$A$3:$A$2477,$A60),2),W$1),0)</f>
        <v>0</v>
      </c>
      <c r="X60">
        <f>IFERROR(COUNTIF(OFFSET('Schedule Raw Data'!$A$2,MATCH($A60,'Schedule Raw Data'!$A$3:$A$2477,0),1,COUNTIF('Schedule Raw Data'!$A$3:$A$2477,$A60),2),X$1),0)</f>
        <v>0</v>
      </c>
      <c r="Y60">
        <f>IFERROR(COUNTIF(OFFSET('Schedule Raw Data'!$A$2,MATCH($A60,'Schedule Raw Data'!$A$3:$A$2477,0),1,COUNTIF('Schedule Raw Data'!$A$3:$A$2477,$A60),2),Y$1),0)</f>
        <v>0</v>
      </c>
      <c r="Z60">
        <f>IFERROR(COUNTIF(OFFSET('Schedule Raw Data'!$A$2,MATCH($A60,'Schedule Raw Data'!$A$3:$A$2477,0),1,COUNTIF('Schedule Raw Data'!$A$3:$A$2477,$A60),2),Z$1),0)</f>
        <v>1</v>
      </c>
      <c r="AA60">
        <f>IFERROR(COUNTIF(OFFSET('Schedule Raw Data'!$A$2,MATCH($A60,'Schedule Raw Data'!$A$3:$A$2477,0),1,COUNTIF('Schedule Raw Data'!$A$3:$A$2477,$A60),2),AA$1),0)</f>
        <v>0</v>
      </c>
      <c r="AB60">
        <f>IFERROR(COUNTIF(OFFSET('Schedule Raw Data'!$A$2,MATCH($A60,'Schedule Raw Data'!$A$3:$A$2477,0),1,COUNTIF('Schedule Raw Data'!$A$3:$A$2477,$A60),2),AB$1),0)</f>
        <v>0</v>
      </c>
      <c r="AC60">
        <f>IFERROR(COUNTIF(OFFSET('Schedule Raw Data'!$A$2,MATCH($A60,'Schedule Raw Data'!$A$3:$A$2477,0),1,COUNTIF('Schedule Raw Data'!$A$3:$A$2477,$A60),2),AC$1),0)</f>
        <v>0</v>
      </c>
      <c r="AD60">
        <f>IFERROR(COUNTIF(OFFSET('Schedule Raw Data'!$A$2,MATCH($A60,'Schedule Raw Data'!$A$3:$A$2477,0),1,COUNTIF('Schedule Raw Data'!$A$3:$A$2477,$A60),2),AD$1),0)</f>
        <v>1</v>
      </c>
      <c r="AE60">
        <f>IFERROR(COUNTIF(OFFSET('Schedule Raw Data'!$A$2,MATCH($A60,'Schedule Raw Data'!$A$3:$A$2477,0),1,COUNTIF('Schedule Raw Data'!$A$3:$A$2477,$A60),2),AE$1),0)</f>
        <v>0</v>
      </c>
      <c r="AF60">
        <f>IFERROR(COUNTIF(OFFSET('Schedule Raw Data'!$A$2,MATCH($A60,'Schedule Raw Data'!$A$3:$A$2477,0),1,COUNTIF('Schedule Raw Data'!$A$3:$A$2477,$A60),2),AF$1),0)</f>
        <v>0</v>
      </c>
      <c r="AG60">
        <f t="shared" si="1"/>
        <v>4</v>
      </c>
    </row>
    <row r="61">
      <c r="A61" s="30">
        <f t="array" ref="A61">INDEX('Schedule Raw Data'!$A$3:$A$2477,MATCH(0,INDEX(COUNTIF($A$1:A60,'Schedule Raw Data'!$A$3:$A$2477),0,0),0))</f>
        <v>46385</v>
      </c>
      <c r="B61">
        <f t="shared" si="2"/>
        <v>10</v>
      </c>
      <c r="C61">
        <f>IFERROR(COUNTIF(OFFSET('Schedule Raw Data'!$A$2,MATCH($A61,'Schedule Raw Data'!$A$3:$A$2477,0),1,COUNTIF('Schedule Raw Data'!$A$3:$A$2477,$A61),2),C$1),0)</f>
        <v>1</v>
      </c>
      <c r="D61">
        <f>IFERROR(COUNTIF(OFFSET('Schedule Raw Data'!$A$2,MATCH($A61,'Schedule Raw Data'!$A$3:$A$2477,0),1,COUNTIF('Schedule Raw Data'!$A$3:$A$2477,$A61),2),D$1),0)</f>
        <v>1</v>
      </c>
      <c r="E61">
        <f>IFERROR(COUNTIF(OFFSET('Schedule Raw Data'!$A$2,MATCH($A61,'Schedule Raw Data'!$A$3:$A$2477,0),1,COUNTIF('Schedule Raw Data'!$A$3:$A$2477,$A61),2),E$1),0)</f>
        <v>0</v>
      </c>
      <c r="F61">
        <f>IFERROR(COUNTIF(OFFSET('Schedule Raw Data'!$A$2,MATCH($A61,'Schedule Raw Data'!$A$3:$A$2477,0),1,COUNTIF('Schedule Raw Data'!$A$3:$A$2477,$A61),2),F$1),0)</f>
        <v>1</v>
      </c>
      <c r="G61">
        <f>IFERROR(COUNTIF(OFFSET('Schedule Raw Data'!$A$2,MATCH($A61,'Schedule Raw Data'!$A$3:$A$2477,0),1,COUNTIF('Schedule Raw Data'!$A$3:$A$2477,$A61),2),G$1),0)</f>
        <v>1</v>
      </c>
      <c r="H61">
        <f>IFERROR(COUNTIF(OFFSET('Schedule Raw Data'!$A$2,MATCH($A61,'Schedule Raw Data'!$A$3:$A$2477,0),1,COUNTIF('Schedule Raw Data'!$A$3:$A$2477,$A61),2),H$1),0)</f>
        <v>0</v>
      </c>
      <c r="I61">
        <f>IFERROR(COUNTIF(OFFSET('Schedule Raw Data'!$A$2,MATCH($A61,'Schedule Raw Data'!$A$3:$A$2477,0),1,COUNTIF('Schedule Raw Data'!$A$3:$A$2477,$A61),2),I$1),0)</f>
        <v>1</v>
      </c>
      <c r="J61">
        <f>IFERROR(COUNTIF(OFFSET('Schedule Raw Data'!$A$2,MATCH($A61,'Schedule Raw Data'!$A$3:$A$2477,0),1,COUNTIF('Schedule Raw Data'!$A$3:$A$2477,$A61),2),J$1),0)</f>
        <v>0</v>
      </c>
      <c r="K61">
        <f>IFERROR(COUNTIF(OFFSET('Schedule Raw Data'!$A$2,MATCH($A61,'Schedule Raw Data'!$A$3:$A$2477,0),1,COUNTIF('Schedule Raw Data'!$A$3:$A$2477,$A61),2),K$1),0)</f>
        <v>0</v>
      </c>
      <c r="L61">
        <f>IFERROR(COUNTIF(OFFSET('Schedule Raw Data'!$A$2,MATCH($A61,'Schedule Raw Data'!$A$3:$A$2477,0),1,COUNTIF('Schedule Raw Data'!$A$3:$A$2477,$A61),2),L$1),0)</f>
        <v>0</v>
      </c>
      <c r="M61">
        <f>IFERROR(COUNTIF(OFFSET('Schedule Raw Data'!$A$2,MATCH($A61,'Schedule Raw Data'!$A$3:$A$2477,0),1,COUNTIF('Schedule Raw Data'!$A$3:$A$2477,$A61),2),M$1),0)</f>
        <v>1</v>
      </c>
      <c r="N61">
        <f>IFERROR(COUNTIF(OFFSET('Schedule Raw Data'!$A$2,MATCH($A61,'Schedule Raw Data'!$A$3:$A$2477,0),1,COUNTIF('Schedule Raw Data'!$A$3:$A$2477,$A61),2),N$1),0)</f>
        <v>1</v>
      </c>
      <c r="O61">
        <f>IFERROR(COUNTIF(OFFSET('Schedule Raw Data'!$A$2,MATCH($A61,'Schedule Raw Data'!$A$3:$A$2477,0),1,COUNTIF('Schedule Raw Data'!$A$3:$A$2477,$A61),2),O$1),0)</f>
        <v>1</v>
      </c>
      <c r="P61">
        <f>IFERROR(COUNTIF(OFFSET('Schedule Raw Data'!$A$2,MATCH($A61,'Schedule Raw Data'!$A$3:$A$2477,0),1,COUNTIF('Schedule Raw Data'!$A$3:$A$2477,$A61),2),P$1),0)</f>
        <v>1</v>
      </c>
      <c r="Q61">
        <f>IFERROR(COUNTIF(OFFSET('Schedule Raw Data'!$A$2,MATCH($A61,'Schedule Raw Data'!$A$3:$A$2477,0),1,COUNTIF('Schedule Raw Data'!$A$3:$A$2477,$A61),2),Q$1),0)</f>
        <v>1</v>
      </c>
      <c r="R61">
        <f>IFERROR(COUNTIF(OFFSET('Schedule Raw Data'!$A$2,MATCH($A61,'Schedule Raw Data'!$A$3:$A$2477,0),1,COUNTIF('Schedule Raw Data'!$A$3:$A$2477,$A61),2),R$1),0)</f>
        <v>1</v>
      </c>
      <c r="S61">
        <f>IFERROR(COUNTIF(OFFSET('Schedule Raw Data'!$A$2,MATCH($A61,'Schedule Raw Data'!$A$3:$A$2477,0),1,COUNTIF('Schedule Raw Data'!$A$3:$A$2477,$A61),2),S$1),0)</f>
        <v>1</v>
      </c>
      <c r="T61">
        <f>IFERROR(COUNTIF(OFFSET('Schedule Raw Data'!$A$2,MATCH($A61,'Schedule Raw Data'!$A$3:$A$2477,0),1,COUNTIF('Schedule Raw Data'!$A$3:$A$2477,$A61),2),T$1),0)</f>
        <v>0</v>
      </c>
      <c r="U61">
        <f>IFERROR(COUNTIF(OFFSET('Schedule Raw Data'!$A$2,MATCH($A61,'Schedule Raw Data'!$A$3:$A$2477,0),1,COUNTIF('Schedule Raw Data'!$A$3:$A$2477,$A61),2),U$1),0)</f>
        <v>0</v>
      </c>
      <c r="V61">
        <f>IFERROR(COUNTIF(OFFSET('Schedule Raw Data'!$A$2,MATCH($A61,'Schedule Raw Data'!$A$3:$A$2477,0),1,COUNTIF('Schedule Raw Data'!$A$3:$A$2477,$A61),2),V$1),0)</f>
        <v>0</v>
      </c>
      <c r="W61">
        <f>IFERROR(COUNTIF(OFFSET('Schedule Raw Data'!$A$2,MATCH($A61,'Schedule Raw Data'!$A$3:$A$2477,0),1,COUNTIF('Schedule Raw Data'!$A$3:$A$2477,$A61),2),W$1),0)</f>
        <v>1</v>
      </c>
      <c r="X61">
        <f>IFERROR(COUNTIF(OFFSET('Schedule Raw Data'!$A$2,MATCH($A61,'Schedule Raw Data'!$A$3:$A$2477,0),1,COUNTIF('Schedule Raw Data'!$A$3:$A$2477,$A61),2),X$1),0)</f>
        <v>1</v>
      </c>
      <c r="Y61">
        <f>IFERROR(COUNTIF(OFFSET('Schedule Raw Data'!$A$2,MATCH($A61,'Schedule Raw Data'!$A$3:$A$2477,0),1,COUNTIF('Schedule Raw Data'!$A$3:$A$2477,$A61),2),Y$1),0)</f>
        <v>1</v>
      </c>
      <c r="Z61">
        <f>IFERROR(COUNTIF(OFFSET('Schedule Raw Data'!$A$2,MATCH($A61,'Schedule Raw Data'!$A$3:$A$2477,0),1,COUNTIF('Schedule Raw Data'!$A$3:$A$2477,$A61),2),Z$1),0)</f>
        <v>0</v>
      </c>
      <c r="AA61">
        <f>IFERROR(COUNTIF(OFFSET('Schedule Raw Data'!$A$2,MATCH($A61,'Schedule Raw Data'!$A$3:$A$2477,0),1,COUNTIF('Schedule Raw Data'!$A$3:$A$2477,$A61),2),AA$1),0)</f>
        <v>1</v>
      </c>
      <c r="AB61">
        <f>IFERROR(COUNTIF(OFFSET('Schedule Raw Data'!$A$2,MATCH($A61,'Schedule Raw Data'!$A$3:$A$2477,0),1,COUNTIF('Schedule Raw Data'!$A$3:$A$2477,$A61),2),AB$1),0)</f>
        <v>1</v>
      </c>
      <c r="AC61">
        <f>IFERROR(COUNTIF(OFFSET('Schedule Raw Data'!$A$2,MATCH($A61,'Schedule Raw Data'!$A$3:$A$2477,0),1,COUNTIF('Schedule Raw Data'!$A$3:$A$2477,$A61),2),AC$1),0)</f>
        <v>1</v>
      </c>
      <c r="AD61">
        <f>IFERROR(COUNTIF(OFFSET('Schedule Raw Data'!$A$2,MATCH($A61,'Schedule Raw Data'!$A$3:$A$2477,0),1,COUNTIF('Schedule Raw Data'!$A$3:$A$2477,$A61),2),AD$1),0)</f>
        <v>0</v>
      </c>
      <c r="AE61">
        <f>IFERROR(COUNTIF(OFFSET('Schedule Raw Data'!$A$2,MATCH($A61,'Schedule Raw Data'!$A$3:$A$2477,0),1,COUNTIF('Schedule Raw Data'!$A$3:$A$2477,$A61),2),AE$1),0)</f>
        <v>0</v>
      </c>
      <c r="AF61">
        <f>IFERROR(COUNTIF(OFFSET('Schedule Raw Data'!$A$2,MATCH($A61,'Schedule Raw Data'!$A$3:$A$2477,0),1,COUNTIF('Schedule Raw Data'!$A$3:$A$2477,$A61),2),AF$1),0)</f>
        <v>0</v>
      </c>
      <c r="AG61">
        <f t="shared" si="1"/>
        <v>9</v>
      </c>
    </row>
    <row r="62">
      <c r="A62" s="30">
        <f t="array" ref="A62">INDEX('Schedule Raw Data'!$A$3:$A$2477,MATCH(0,INDEX(COUNTIF($A$1:A61,'Schedule Raw Data'!$A$3:$A$2477),0,0),0))</f>
        <v>46386</v>
      </c>
      <c r="B62">
        <f t="shared" si="2"/>
        <v>10</v>
      </c>
      <c r="C62">
        <f>IFERROR(COUNTIF(OFFSET('Schedule Raw Data'!$A$2,MATCH($A62,'Schedule Raw Data'!$A$3:$A$2477,0),1,COUNTIF('Schedule Raw Data'!$A$3:$A$2477,$A62),2),C$1),0)</f>
        <v>0</v>
      </c>
      <c r="D62">
        <f>IFERROR(COUNTIF(OFFSET('Schedule Raw Data'!$A$2,MATCH($A62,'Schedule Raw Data'!$A$3:$A$2477,0),1,COUNTIF('Schedule Raw Data'!$A$3:$A$2477,$A62),2),D$1),0)</f>
        <v>0</v>
      </c>
      <c r="E62">
        <f>IFERROR(COUNTIF(OFFSET('Schedule Raw Data'!$A$2,MATCH($A62,'Schedule Raw Data'!$A$3:$A$2477,0),1,COUNTIF('Schedule Raw Data'!$A$3:$A$2477,$A62),2),E$1),0)</f>
        <v>1</v>
      </c>
      <c r="F62">
        <f>IFERROR(COUNTIF(OFFSET('Schedule Raw Data'!$A$2,MATCH($A62,'Schedule Raw Data'!$A$3:$A$2477,0),1,COUNTIF('Schedule Raw Data'!$A$3:$A$2477,$A62),2),F$1),0)</f>
        <v>0</v>
      </c>
      <c r="G62">
        <f>IFERROR(COUNTIF(OFFSET('Schedule Raw Data'!$A$2,MATCH($A62,'Schedule Raw Data'!$A$3:$A$2477,0),1,COUNTIF('Schedule Raw Data'!$A$3:$A$2477,$A62),2),G$1),0)</f>
        <v>1</v>
      </c>
      <c r="H62">
        <f>IFERROR(COUNTIF(OFFSET('Schedule Raw Data'!$A$2,MATCH($A62,'Schedule Raw Data'!$A$3:$A$2477,0),1,COUNTIF('Schedule Raw Data'!$A$3:$A$2477,$A62),2),H$1),0)</f>
        <v>0</v>
      </c>
      <c r="I62">
        <f>IFERROR(COUNTIF(OFFSET('Schedule Raw Data'!$A$2,MATCH($A62,'Schedule Raw Data'!$A$3:$A$2477,0),1,COUNTIF('Schedule Raw Data'!$A$3:$A$2477,$A62),2),I$1),0)</f>
        <v>0</v>
      </c>
      <c r="J62">
        <f>IFERROR(COUNTIF(OFFSET('Schedule Raw Data'!$A$2,MATCH($A62,'Schedule Raw Data'!$A$3:$A$2477,0),1,COUNTIF('Schedule Raw Data'!$A$3:$A$2477,$A62),2),J$1),0)</f>
        <v>0</v>
      </c>
      <c r="K62">
        <f>IFERROR(COUNTIF(OFFSET('Schedule Raw Data'!$A$2,MATCH($A62,'Schedule Raw Data'!$A$3:$A$2477,0),1,COUNTIF('Schedule Raw Data'!$A$3:$A$2477,$A62),2),K$1),0)</f>
        <v>1</v>
      </c>
      <c r="L62">
        <f>IFERROR(COUNTIF(OFFSET('Schedule Raw Data'!$A$2,MATCH($A62,'Schedule Raw Data'!$A$3:$A$2477,0),1,COUNTIF('Schedule Raw Data'!$A$3:$A$2477,$A62),2),L$1),0)</f>
        <v>1</v>
      </c>
      <c r="M62">
        <f>IFERROR(COUNTIF(OFFSET('Schedule Raw Data'!$A$2,MATCH($A62,'Schedule Raw Data'!$A$3:$A$2477,0),1,COUNTIF('Schedule Raw Data'!$A$3:$A$2477,$A62),2),M$1),0)</f>
        <v>1</v>
      </c>
      <c r="N62">
        <f>IFERROR(COUNTIF(OFFSET('Schedule Raw Data'!$A$2,MATCH($A62,'Schedule Raw Data'!$A$3:$A$2477,0),1,COUNTIF('Schedule Raw Data'!$A$3:$A$2477,$A62),2),N$1),0)</f>
        <v>0</v>
      </c>
      <c r="O62">
        <f>IFERROR(COUNTIF(OFFSET('Schedule Raw Data'!$A$2,MATCH($A62,'Schedule Raw Data'!$A$3:$A$2477,0),1,COUNTIF('Schedule Raw Data'!$A$3:$A$2477,$A62),2),O$1),0)</f>
        <v>0</v>
      </c>
      <c r="P62">
        <f>IFERROR(COUNTIF(OFFSET('Schedule Raw Data'!$A$2,MATCH($A62,'Schedule Raw Data'!$A$3:$A$2477,0),1,COUNTIF('Schedule Raw Data'!$A$3:$A$2477,$A62),2),P$1),0)</f>
        <v>0</v>
      </c>
      <c r="Q62">
        <f>IFERROR(COUNTIF(OFFSET('Schedule Raw Data'!$A$2,MATCH($A62,'Schedule Raw Data'!$A$3:$A$2477,0),1,COUNTIF('Schedule Raw Data'!$A$3:$A$2477,$A62),2),Q$1),0)</f>
        <v>0</v>
      </c>
      <c r="R62">
        <f>IFERROR(COUNTIF(OFFSET('Schedule Raw Data'!$A$2,MATCH($A62,'Schedule Raw Data'!$A$3:$A$2477,0),1,COUNTIF('Schedule Raw Data'!$A$3:$A$2477,$A62),2),R$1),0)</f>
        <v>0</v>
      </c>
      <c r="S62">
        <f>IFERROR(COUNTIF(OFFSET('Schedule Raw Data'!$A$2,MATCH($A62,'Schedule Raw Data'!$A$3:$A$2477,0),1,COUNTIF('Schedule Raw Data'!$A$3:$A$2477,$A62),2),S$1),0)</f>
        <v>0</v>
      </c>
      <c r="T62">
        <f>IFERROR(COUNTIF(OFFSET('Schedule Raw Data'!$A$2,MATCH($A62,'Schedule Raw Data'!$A$3:$A$2477,0),1,COUNTIF('Schedule Raw Data'!$A$3:$A$2477,$A62),2),T$1),0)</f>
        <v>0</v>
      </c>
      <c r="U62">
        <f>IFERROR(COUNTIF(OFFSET('Schedule Raw Data'!$A$2,MATCH($A62,'Schedule Raw Data'!$A$3:$A$2477,0),1,COUNTIF('Schedule Raw Data'!$A$3:$A$2477,$A62),2),U$1),0)</f>
        <v>1</v>
      </c>
      <c r="V62">
        <f>IFERROR(COUNTIF(OFFSET('Schedule Raw Data'!$A$2,MATCH($A62,'Schedule Raw Data'!$A$3:$A$2477,0),1,COUNTIF('Schedule Raw Data'!$A$3:$A$2477,$A62),2),V$1),0)</f>
        <v>1</v>
      </c>
      <c r="W62">
        <f>IFERROR(COUNTIF(OFFSET('Schedule Raw Data'!$A$2,MATCH($A62,'Schedule Raw Data'!$A$3:$A$2477,0),1,COUNTIF('Schedule Raw Data'!$A$3:$A$2477,$A62),2),W$1),0)</f>
        <v>0</v>
      </c>
      <c r="X62">
        <f>IFERROR(COUNTIF(OFFSET('Schedule Raw Data'!$A$2,MATCH($A62,'Schedule Raw Data'!$A$3:$A$2477,0),1,COUNTIF('Schedule Raw Data'!$A$3:$A$2477,$A62),2),X$1),0)</f>
        <v>0</v>
      </c>
      <c r="Y62">
        <f>IFERROR(COUNTIF(OFFSET('Schedule Raw Data'!$A$2,MATCH($A62,'Schedule Raw Data'!$A$3:$A$2477,0),1,COUNTIF('Schedule Raw Data'!$A$3:$A$2477,$A62),2),Y$1),0)</f>
        <v>1</v>
      </c>
      <c r="Z62">
        <f>IFERROR(COUNTIF(OFFSET('Schedule Raw Data'!$A$2,MATCH($A62,'Schedule Raw Data'!$A$3:$A$2477,0),1,COUNTIF('Schedule Raw Data'!$A$3:$A$2477,$A62),2),Z$1),0)</f>
        <v>1</v>
      </c>
      <c r="AA62">
        <f>IFERROR(COUNTIF(OFFSET('Schedule Raw Data'!$A$2,MATCH($A62,'Schedule Raw Data'!$A$3:$A$2477,0),1,COUNTIF('Schedule Raw Data'!$A$3:$A$2477,$A62),2),AA$1),0)</f>
        <v>0</v>
      </c>
      <c r="AB62">
        <f>IFERROR(COUNTIF(OFFSET('Schedule Raw Data'!$A$2,MATCH($A62,'Schedule Raw Data'!$A$3:$A$2477,0),1,COUNTIF('Schedule Raw Data'!$A$3:$A$2477,$A62),2),AB$1),0)</f>
        <v>0</v>
      </c>
      <c r="AC62">
        <f>IFERROR(COUNTIF(OFFSET('Schedule Raw Data'!$A$2,MATCH($A62,'Schedule Raw Data'!$A$3:$A$2477,0),1,COUNTIF('Schedule Raw Data'!$A$3:$A$2477,$A62),2),AC$1),0)</f>
        <v>0</v>
      </c>
      <c r="AD62">
        <f>IFERROR(COUNTIF(OFFSET('Schedule Raw Data'!$A$2,MATCH($A62,'Schedule Raw Data'!$A$3:$A$2477,0),1,COUNTIF('Schedule Raw Data'!$A$3:$A$2477,$A62),2),AD$1),0)</f>
        <v>1</v>
      </c>
      <c r="AE62">
        <f>IFERROR(COUNTIF(OFFSET('Schedule Raw Data'!$A$2,MATCH($A62,'Schedule Raw Data'!$A$3:$A$2477,0),1,COUNTIF('Schedule Raw Data'!$A$3:$A$2477,$A62),2),AE$1),0)</f>
        <v>1</v>
      </c>
      <c r="AF62">
        <f>IFERROR(COUNTIF(OFFSET('Schedule Raw Data'!$A$2,MATCH($A62,'Schedule Raw Data'!$A$3:$A$2477,0),1,COUNTIF('Schedule Raw Data'!$A$3:$A$2477,$A62),2),AF$1),0)</f>
        <v>1</v>
      </c>
      <c r="AG62">
        <f t="shared" si="1"/>
        <v>6</v>
      </c>
    </row>
    <row r="63">
      <c r="A63" s="30">
        <f t="array" ref="A63">INDEX('Schedule Raw Data'!$A$3:$A$2477,MATCH(0,INDEX(COUNTIF($A$1:A62,'Schedule Raw Data'!$A$3:$A$2477),0,0),0))</f>
        <v>46387</v>
      </c>
      <c r="B63">
        <f t="shared" si="2"/>
        <v>10</v>
      </c>
      <c r="C63">
        <f>IFERROR(COUNTIF(OFFSET('Schedule Raw Data'!$A$2,MATCH($A63,'Schedule Raw Data'!$A$3:$A$2477,0),1,COUNTIF('Schedule Raw Data'!$A$3:$A$2477,$A63),2),C$1),0)</f>
        <v>1</v>
      </c>
      <c r="D63">
        <f>IFERROR(COUNTIF(OFFSET('Schedule Raw Data'!$A$2,MATCH($A63,'Schedule Raw Data'!$A$3:$A$2477,0),1,COUNTIF('Schedule Raw Data'!$A$3:$A$2477,$A63),2),D$1),0)</f>
        <v>1</v>
      </c>
      <c r="E63">
        <f>IFERROR(COUNTIF(OFFSET('Schedule Raw Data'!$A$2,MATCH($A63,'Schedule Raw Data'!$A$3:$A$2477,0),1,COUNTIF('Schedule Raw Data'!$A$3:$A$2477,$A63),2),E$1),0)</f>
        <v>0</v>
      </c>
      <c r="F63">
        <f>IFERROR(COUNTIF(OFFSET('Schedule Raw Data'!$A$2,MATCH($A63,'Schedule Raw Data'!$A$3:$A$2477,0),1,COUNTIF('Schedule Raw Data'!$A$3:$A$2477,$A63),2),F$1),0)</f>
        <v>1</v>
      </c>
      <c r="G63">
        <f>IFERROR(COUNTIF(OFFSET('Schedule Raw Data'!$A$2,MATCH($A63,'Schedule Raw Data'!$A$3:$A$2477,0),1,COUNTIF('Schedule Raw Data'!$A$3:$A$2477,$A63),2),G$1),0)</f>
        <v>0</v>
      </c>
      <c r="H63">
        <f>IFERROR(COUNTIF(OFFSET('Schedule Raw Data'!$A$2,MATCH($A63,'Schedule Raw Data'!$A$3:$A$2477,0),1,COUNTIF('Schedule Raw Data'!$A$3:$A$2477,$A63),2),H$1),0)</f>
        <v>1</v>
      </c>
      <c r="I63">
        <f>IFERROR(COUNTIF(OFFSET('Schedule Raw Data'!$A$2,MATCH($A63,'Schedule Raw Data'!$A$3:$A$2477,0),1,COUNTIF('Schedule Raw Data'!$A$3:$A$2477,$A63),2),I$1),0)</f>
        <v>0</v>
      </c>
      <c r="J63">
        <f>IFERROR(COUNTIF(OFFSET('Schedule Raw Data'!$A$2,MATCH($A63,'Schedule Raw Data'!$A$3:$A$2477,0),1,COUNTIF('Schedule Raw Data'!$A$3:$A$2477,$A63),2),J$1),0)</f>
        <v>1</v>
      </c>
      <c r="K63">
        <f>IFERROR(COUNTIF(OFFSET('Schedule Raw Data'!$A$2,MATCH($A63,'Schedule Raw Data'!$A$3:$A$2477,0),1,COUNTIF('Schedule Raw Data'!$A$3:$A$2477,$A63),2),K$1),0)</f>
        <v>0</v>
      </c>
      <c r="L63">
        <f>IFERROR(COUNTIF(OFFSET('Schedule Raw Data'!$A$2,MATCH($A63,'Schedule Raw Data'!$A$3:$A$2477,0),1,COUNTIF('Schedule Raw Data'!$A$3:$A$2477,$A63),2),L$1),0)</f>
        <v>0</v>
      </c>
      <c r="M63">
        <f>IFERROR(COUNTIF(OFFSET('Schedule Raw Data'!$A$2,MATCH($A63,'Schedule Raw Data'!$A$3:$A$2477,0),1,COUNTIF('Schedule Raw Data'!$A$3:$A$2477,$A63),2),M$1),0)</f>
        <v>0</v>
      </c>
      <c r="N63">
        <f>IFERROR(COUNTIF(OFFSET('Schedule Raw Data'!$A$2,MATCH($A63,'Schedule Raw Data'!$A$3:$A$2477,0),1,COUNTIF('Schedule Raw Data'!$A$3:$A$2477,$A63),2),N$1),0)</f>
        <v>1</v>
      </c>
      <c r="O63">
        <f>IFERROR(COUNTIF(OFFSET('Schedule Raw Data'!$A$2,MATCH($A63,'Schedule Raw Data'!$A$3:$A$2477,0),1,COUNTIF('Schedule Raw Data'!$A$3:$A$2477,$A63),2),O$1),0)</f>
        <v>1</v>
      </c>
      <c r="P63">
        <f>IFERROR(COUNTIF(OFFSET('Schedule Raw Data'!$A$2,MATCH($A63,'Schedule Raw Data'!$A$3:$A$2477,0),1,COUNTIF('Schedule Raw Data'!$A$3:$A$2477,$A63),2),P$1),0)</f>
        <v>1</v>
      </c>
      <c r="Q63">
        <f>IFERROR(COUNTIF(OFFSET('Schedule Raw Data'!$A$2,MATCH($A63,'Schedule Raw Data'!$A$3:$A$2477,0),1,COUNTIF('Schedule Raw Data'!$A$3:$A$2477,$A63),2),Q$1),0)</f>
        <v>0</v>
      </c>
      <c r="R63">
        <f>IFERROR(COUNTIF(OFFSET('Schedule Raw Data'!$A$2,MATCH($A63,'Schedule Raw Data'!$A$3:$A$2477,0),1,COUNTIF('Schedule Raw Data'!$A$3:$A$2477,$A63),2),R$1),0)</f>
        <v>1</v>
      </c>
      <c r="S63">
        <f>IFERROR(COUNTIF(OFFSET('Schedule Raw Data'!$A$2,MATCH($A63,'Schedule Raw Data'!$A$3:$A$2477,0),1,COUNTIF('Schedule Raw Data'!$A$3:$A$2477,$A63),2),S$1),0)</f>
        <v>1</v>
      </c>
      <c r="T63">
        <f>IFERROR(COUNTIF(OFFSET('Schedule Raw Data'!$A$2,MATCH($A63,'Schedule Raw Data'!$A$3:$A$2477,0),1,COUNTIF('Schedule Raw Data'!$A$3:$A$2477,$A63),2),T$1),0)</f>
        <v>1</v>
      </c>
      <c r="U63">
        <f>IFERROR(COUNTIF(OFFSET('Schedule Raw Data'!$A$2,MATCH($A63,'Schedule Raw Data'!$A$3:$A$2477,0),1,COUNTIF('Schedule Raw Data'!$A$3:$A$2477,$A63),2),U$1),0)</f>
        <v>1</v>
      </c>
      <c r="V63">
        <f>IFERROR(COUNTIF(OFFSET('Schedule Raw Data'!$A$2,MATCH($A63,'Schedule Raw Data'!$A$3:$A$2477,0),1,COUNTIF('Schedule Raw Data'!$A$3:$A$2477,$A63),2),V$1),0)</f>
        <v>1</v>
      </c>
      <c r="W63">
        <f>IFERROR(COUNTIF(OFFSET('Schedule Raw Data'!$A$2,MATCH($A63,'Schedule Raw Data'!$A$3:$A$2477,0),1,COUNTIF('Schedule Raw Data'!$A$3:$A$2477,$A63),2),W$1),0)</f>
        <v>1</v>
      </c>
      <c r="X63">
        <f>IFERROR(COUNTIF(OFFSET('Schedule Raw Data'!$A$2,MATCH($A63,'Schedule Raw Data'!$A$3:$A$2477,0),1,COUNTIF('Schedule Raw Data'!$A$3:$A$2477,$A63),2),X$1),0)</f>
        <v>1</v>
      </c>
      <c r="Y63">
        <f>IFERROR(COUNTIF(OFFSET('Schedule Raw Data'!$A$2,MATCH($A63,'Schedule Raw Data'!$A$3:$A$2477,0),1,COUNTIF('Schedule Raw Data'!$A$3:$A$2477,$A63),2),Y$1),0)</f>
        <v>0</v>
      </c>
      <c r="Z63">
        <f>IFERROR(COUNTIF(OFFSET('Schedule Raw Data'!$A$2,MATCH($A63,'Schedule Raw Data'!$A$3:$A$2477,0),1,COUNTIF('Schedule Raw Data'!$A$3:$A$2477,$A63),2),Z$1),0)</f>
        <v>1</v>
      </c>
      <c r="AA63">
        <f>IFERROR(COUNTIF(OFFSET('Schedule Raw Data'!$A$2,MATCH($A63,'Schedule Raw Data'!$A$3:$A$2477,0),1,COUNTIF('Schedule Raw Data'!$A$3:$A$2477,$A63),2),AA$1),0)</f>
        <v>0</v>
      </c>
      <c r="AB63">
        <f>IFERROR(COUNTIF(OFFSET('Schedule Raw Data'!$A$2,MATCH($A63,'Schedule Raw Data'!$A$3:$A$2477,0),1,COUNTIF('Schedule Raw Data'!$A$3:$A$2477,$A63),2),AB$1),0)</f>
        <v>1</v>
      </c>
      <c r="AC63">
        <f>IFERROR(COUNTIF(OFFSET('Schedule Raw Data'!$A$2,MATCH($A63,'Schedule Raw Data'!$A$3:$A$2477,0),1,COUNTIF('Schedule Raw Data'!$A$3:$A$2477,$A63),2),AC$1),0)</f>
        <v>1</v>
      </c>
      <c r="AD63">
        <f>IFERROR(COUNTIF(OFFSET('Schedule Raw Data'!$A$2,MATCH($A63,'Schedule Raw Data'!$A$3:$A$2477,0),1,COUNTIF('Schedule Raw Data'!$A$3:$A$2477,$A63),2),AD$1),0)</f>
        <v>0</v>
      </c>
      <c r="AE63">
        <f>IFERROR(COUNTIF(OFFSET('Schedule Raw Data'!$A$2,MATCH($A63,'Schedule Raw Data'!$A$3:$A$2477,0),1,COUNTIF('Schedule Raw Data'!$A$3:$A$2477,$A63),2),AE$1),0)</f>
        <v>0</v>
      </c>
      <c r="AF63">
        <f>IFERROR(COUNTIF(OFFSET('Schedule Raw Data'!$A$2,MATCH($A63,'Schedule Raw Data'!$A$3:$A$2477,0),1,COUNTIF('Schedule Raw Data'!$A$3:$A$2477,$A63),2),AF$1),0)</f>
        <v>0</v>
      </c>
      <c r="AG63">
        <f t="shared" si="1"/>
        <v>9</v>
      </c>
    </row>
    <row r="64">
      <c r="A64" s="30">
        <f t="array" ref="A64">INDEX('Schedule Raw Data'!$A$3:$A$2477,MATCH(0,INDEX(COUNTIF($A$1:A63,'Schedule Raw Data'!$A$3:$A$2477),0,0),0))</f>
        <v>46388</v>
      </c>
      <c r="B64">
        <f t="shared" si="2"/>
        <v>10</v>
      </c>
      <c r="C64">
        <f>IFERROR(COUNTIF(OFFSET('Schedule Raw Data'!$A$2,MATCH($A64,'Schedule Raw Data'!$A$3:$A$2477,0),1,COUNTIF('Schedule Raw Data'!$A$3:$A$2477,$A64),2),C$1),0)</f>
        <v>0</v>
      </c>
      <c r="D64">
        <f>IFERROR(COUNTIF(OFFSET('Schedule Raw Data'!$A$2,MATCH($A64,'Schedule Raw Data'!$A$3:$A$2477,0),1,COUNTIF('Schedule Raw Data'!$A$3:$A$2477,$A64),2),D$1),0)</f>
        <v>0</v>
      </c>
      <c r="E64">
        <f>IFERROR(COUNTIF(OFFSET('Schedule Raw Data'!$A$2,MATCH($A64,'Schedule Raw Data'!$A$3:$A$2477,0),1,COUNTIF('Schedule Raw Data'!$A$3:$A$2477,$A64),2),E$1),0)</f>
        <v>1</v>
      </c>
      <c r="F64">
        <f>IFERROR(COUNTIF(OFFSET('Schedule Raw Data'!$A$2,MATCH($A64,'Schedule Raw Data'!$A$3:$A$2477,0),1,COUNTIF('Schedule Raw Data'!$A$3:$A$2477,$A64),2),F$1),0)</f>
        <v>0</v>
      </c>
      <c r="G64">
        <f>IFERROR(COUNTIF(OFFSET('Schedule Raw Data'!$A$2,MATCH($A64,'Schedule Raw Data'!$A$3:$A$2477,0),1,COUNTIF('Schedule Raw Data'!$A$3:$A$2477,$A64),2),G$1),0)</f>
        <v>0</v>
      </c>
      <c r="H64">
        <f>IFERROR(COUNTIF(OFFSET('Schedule Raw Data'!$A$2,MATCH($A64,'Schedule Raw Data'!$A$3:$A$2477,0),1,COUNTIF('Schedule Raw Data'!$A$3:$A$2477,$A64),2),H$1),0)</f>
        <v>0</v>
      </c>
      <c r="I64">
        <f>IFERROR(COUNTIF(OFFSET('Schedule Raw Data'!$A$2,MATCH($A64,'Schedule Raw Data'!$A$3:$A$2477,0),1,COUNTIF('Schedule Raw Data'!$A$3:$A$2477,$A64),2),I$1),0)</f>
        <v>1</v>
      </c>
      <c r="J64">
        <f>IFERROR(COUNTIF(OFFSET('Schedule Raw Data'!$A$2,MATCH($A64,'Schedule Raw Data'!$A$3:$A$2477,0),1,COUNTIF('Schedule Raw Data'!$A$3:$A$2477,$A64),2),J$1),0)</f>
        <v>0</v>
      </c>
      <c r="K64">
        <f>IFERROR(COUNTIF(OFFSET('Schedule Raw Data'!$A$2,MATCH($A64,'Schedule Raw Data'!$A$3:$A$2477,0),1,COUNTIF('Schedule Raw Data'!$A$3:$A$2477,$A64),2),K$1),0)</f>
        <v>1</v>
      </c>
      <c r="L64">
        <f>IFERROR(COUNTIF(OFFSET('Schedule Raw Data'!$A$2,MATCH($A64,'Schedule Raw Data'!$A$3:$A$2477,0),1,COUNTIF('Schedule Raw Data'!$A$3:$A$2477,$A64),2),L$1),0)</f>
        <v>0</v>
      </c>
      <c r="M64">
        <f>IFERROR(COUNTIF(OFFSET('Schedule Raw Data'!$A$2,MATCH($A64,'Schedule Raw Data'!$A$3:$A$2477,0),1,COUNTIF('Schedule Raw Data'!$A$3:$A$2477,$A64),2),M$1),0)</f>
        <v>1</v>
      </c>
      <c r="N64">
        <f>IFERROR(COUNTIF(OFFSET('Schedule Raw Data'!$A$2,MATCH($A64,'Schedule Raw Data'!$A$3:$A$2477,0),1,COUNTIF('Schedule Raw Data'!$A$3:$A$2477,$A64),2),N$1),0)</f>
        <v>0</v>
      </c>
      <c r="O64">
        <f>IFERROR(COUNTIF(OFFSET('Schedule Raw Data'!$A$2,MATCH($A64,'Schedule Raw Data'!$A$3:$A$2477,0),1,COUNTIF('Schedule Raw Data'!$A$3:$A$2477,$A64),2),O$1),0)</f>
        <v>1</v>
      </c>
      <c r="P64">
        <f>IFERROR(COUNTIF(OFFSET('Schedule Raw Data'!$A$2,MATCH($A64,'Schedule Raw Data'!$A$3:$A$2477,0),1,COUNTIF('Schedule Raw Data'!$A$3:$A$2477,$A64),2),P$1),0)</f>
        <v>0</v>
      </c>
      <c r="Q64">
        <f>IFERROR(COUNTIF(OFFSET('Schedule Raw Data'!$A$2,MATCH($A64,'Schedule Raw Data'!$A$3:$A$2477,0),1,COUNTIF('Schedule Raw Data'!$A$3:$A$2477,$A64),2),Q$1),0)</f>
        <v>0</v>
      </c>
      <c r="R64">
        <f>IFERROR(COUNTIF(OFFSET('Schedule Raw Data'!$A$2,MATCH($A64,'Schedule Raw Data'!$A$3:$A$2477,0),1,COUNTIF('Schedule Raw Data'!$A$3:$A$2477,$A64),2),R$1),0)</f>
        <v>0</v>
      </c>
      <c r="S64">
        <f>IFERROR(COUNTIF(OFFSET('Schedule Raw Data'!$A$2,MATCH($A64,'Schedule Raw Data'!$A$3:$A$2477,0),1,COUNTIF('Schedule Raw Data'!$A$3:$A$2477,$A64),2),S$1),0)</f>
        <v>1</v>
      </c>
      <c r="T64">
        <f>IFERROR(COUNTIF(OFFSET('Schedule Raw Data'!$A$2,MATCH($A64,'Schedule Raw Data'!$A$3:$A$2477,0),1,COUNTIF('Schedule Raw Data'!$A$3:$A$2477,$A64),2),T$1),0)</f>
        <v>0</v>
      </c>
      <c r="U64">
        <f>IFERROR(COUNTIF(OFFSET('Schedule Raw Data'!$A$2,MATCH($A64,'Schedule Raw Data'!$A$3:$A$2477,0),1,COUNTIF('Schedule Raw Data'!$A$3:$A$2477,$A64),2),U$1),0)</f>
        <v>0</v>
      </c>
      <c r="V64">
        <f>IFERROR(COUNTIF(OFFSET('Schedule Raw Data'!$A$2,MATCH($A64,'Schedule Raw Data'!$A$3:$A$2477,0),1,COUNTIF('Schedule Raw Data'!$A$3:$A$2477,$A64),2),V$1),0)</f>
        <v>0</v>
      </c>
      <c r="W64">
        <f>IFERROR(COUNTIF(OFFSET('Schedule Raw Data'!$A$2,MATCH($A64,'Schedule Raw Data'!$A$3:$A$2477,0),1,COUNTIF('Schedule Raw Data'!$A$3:$A$2477,$A64),2),W$1),0)</f>
        <v>0</v>
      </c>
      <c r="X64">
        <f>IFERROR(COUNTIF(OFFSET('Schedule Raw Data'!$A$2,MATCH($A64,'Schedule Raw Data'!$A$3:$A$2477,0),1,COUNTIF('Schedule Raw Data'!$A$3:$A$2477,$A64),2),X$1),0)</f>
        <v>1</v>
      </c>
      <c r="Y64">
        <f>IFERROR(COUNTIF(OFFSET('Schedule Raw Data'!$A$2,MATCH($A64,'Schedule Raw Data'!$A$3:$A$2477,0),1,COUNTIF('Schedule Raw Data'!$A$3:$A$2477,$A64),2),Y$1),0)</f>
        <v>1</v>
      </c>
      <c r="Z64">
        <f>IFERROR(COUNTIF(OFFSET('Schedule Raw Data'!$A$2,MATCH($A64,'Schedule Raw Data'!$A$3:$A$2477,0),1,COUNTIF('Schedule Raw Data'!$A$3:$A$2477,$A64),2),Z$1),0)</f>
        <v>0</v>
      </c>
      <c r="AA64">
        <f>IFERROR(COUNTIF(OFFSET('Schedule Raw Data'!$A$2,MATCH($A64,'Schedule Raw Data'!$A$3:$A$2477,0),1,COUNTIF('Schedule Raw Data'!$A$3:$A$2477,$A64),2),AA$1),0)</f>
        <v>0</v>
      </c>
      <c r="AB64">
        <f>IFERROR(COUNTIF(OFFSET('Schedule Raw Data'!$A$2,MATCH($A64,'Schedule Raw Data'!$A$3:$A$2477,0),1,COUNTIF('Schedule Raw Data'!$A$3:$A$2477,$A64),2),AB$1),0)</f>
        <v>0</v>
      </c>
      <c r="AC64">
        <f>IFERROR(COUNTIF(OFFSET('Schedule Raw Data'!$A$2,MATCH($A64,'Schedule Raw Data'!$A$3:$A$2477,0),1,COUNTIF('Schedule Raw Data'!$A$3:$A$2477,$A64),2),AC$1),0)</f>
        <v>1</v>
      </c>
      <c r="AD64">
        <f>IFERROR(COUNTIF(OFFSET('Schedule Raw Data'!$A$2,MATCH($A64,'Schedule Raw Data'!$A$3:$A$2477,0),1,COUNTIF('Schedule Raw Data'!$A$3:$A$2477,$A64),2),AD$1),0)</f>
        <v>1</v>
      </c>
      <c r="AE64">
        <f>IFERROR(COUNTIF(OFFSET('Schedule Raw Data'!$A$2,MATCH($A64,'Schedule Raw Data'!$A$3:$A$2477,0),1,COUNTIF('Schedule Raw Data'!$A$3:$A$2477,$A64),2),AE$1),0)</f>
        <v>1</v>
      </c>
      <c r="AF64">
        <f>IFERROR(COUNTIF(OFFSET('Schedule Raw Data'!$A$2,MATCH($A64,'Schedule Raw Data'!$A$3:$A$2477,0),1,COUNTIF('Schedule Raw Data'!$A$3:$A$2477,$A64),2),AF$1),0)</f>
        <v>1</v>
      </c>
      <c r="AG64">
        <f t="shared" si="1"/>
        <v>6</v>
      </c>
    </row>
    <row r="65">
      <c r="A65" s="30">
        <f t="array" ref="A65">INDEX('Schedule Raw Data'!$A$3:$A$2477,MATCH(0,INDEX(COUNTIF($A$1:A64,'Schedule Raw Data'!$A$3:$A$2477),0,0),0))</f>
        <v>46389</v>
      </c>
      <c r="B65">
        <f t="shared" si="2"/>
        <v>10</v>
      </c>
      <c r="C65">
        <f>IFERROR(COUNTIF(OFFSET('Schedule Raw Data'!$A$2,MATCH($A65,'Schedule Raw Data'!$A$3:$A$2477,0),1,COUNTIF('Schedule Raw Data'!$A$3:$A$2477,$A65),2),C$1),0)</f>
        <v>1</v>
      </c>
      <c r="D65">
        <f>IFERROR(COUNTIF(OFFSET('Schedule Raw Data'!$A$2,MATCH($A65,'Schedule Raw Data'!$A$3:$A$2477,0),1,COUNTIF('Schedule Raw Data'!$A$3:$A$2477,$A65),2),D$1),0)</f>
        <v>1</v>
      </c>
      <c r="E65">
        <f>IFERROR(COUNTIF(OFFSET('Schedule Raw Data'!$A$2,MATCH($A65,'Schedule Raw Data'!$A$3:$A$2477,0),1,COUNTIF('Schedule Raw Data'!$A$3:$A$2477,$A65),2),E$1),0)</f>
        <v>1</v>
      </c>
      <c r="F65">
        <f>IFERROR(COUNTIF(OFFSET('Schedule Raw Data'!$A$2,MATCH($A65,'Schedule Raw Data'!$A$3:$A$2477,0),1,COUNTIF('Schedule Raw Data'!$A$3:$A$2477,$A65),2),F$1),0)</f>
        <v>1</v>
      </c>
      <c r="G65">
        <f>IFERROR(COUNTIF(OFFSET('Schedule Raw Data'!$A$2,MATCH($A65,'Schedule Raw Data'!$A$3:$A$2477,0),1,COUNTIF('Schedule Raw Data'!$A$3:$A$2477,$A65),2),G$1),0)</f>
        <v>1</v>
      </c>
      <c r="H65">
        <f>IFERROR(COUNTIF(OFFSET('Schedule Raw Data'!$A$2,MATCH($A65,'Schedule Raw Data'!$A$3:$A$2477,0),1,COUNTIF('Schedule Raw Data'!$A$3:$A$2477,$A65),2),H$1),0)</f>
        <v>1</v>
      </c>
      <c r="I65">
        <f>IFERROR(COUNTIF(OFFSET('Schedule Raw Data'!$A$2,MATCH($A65,'Schedule Raw Data'!$A$3:$A$2477,0),1,COUNTIF('Schedule Raw Data'!$A$3:$A$2477,$A65),2),I$1),0)</f>
        <v>1</v>
      </c>
      <c r="J65">
        <f>IFERROR(COUNTIF(OFFSET('Schedule Raw Data'!$A$2,MATCH($A65,'Schedule Raw Data'!$A$3:$A$2477,0),1,COUNTIF('Schedule Raw Data'!$A$3:$A$2477,$A65),2),J$1),0)</f>
        <v>1</v>
      </c>
      <c r="K65">
        <f>IFERROR(COUNTIF(OFFSET('Schedule Raw Data'!$A$2,MATCH($A65,'Schedule Raw Data'!$A$3:$A$2477,0),1,COUNTIF('Schedule Raw Data'!$A$3:$A$2477,$A65),2),K$1),0)</f>
        <v>0</v>
      </c>
      <c r="L65">
        <f>IFERROR(COUNTIF(OFFSET('Schedule Raw Data'!$A$2,MATCH($A65,'Schedule Raw Data'!$A$3:$A$2477,0),1,COUNTIF('Schedule Raw Data'!$A$3:$A$2477,$A65),2),L$1),0)</f>
        <v>1</v>
      </c>
      <c r="M65">
        <f>IFERROR(COUNTIF(OFFSET('Schedule Raw Data'!$A$2,MATCH($A65,'Schedule Raw Data'!$A$3:$A$2477,0),1,COUNTIF('Schedule Raw Data'!$A$3:$A$2477,$A65),2),M$1),0)</f>
        <v>0</v>
      </c>
      <c r="N65">
        <f>IFERROR(COUNTIF(OFFSET('Schedule Raw Data'!$A$2,MATCH($A65,'Schedule Raw Data'!$A$3:$A$2477,0),1,COUNTIF('Schedule Raw Data'!$A$3:$A$2477,$A65),2),N$1),0)</f>
        <v>1</v>
      </c>
      <c r="O65">
        <f>IFERROR(COUNTIF(OFFSET('Schedule Raw Data'!$A$2,MATCH($A65,'Schedule Raw Data'!$A$3:$A$2477,0),1,COUNTIF('Schedule Raw Data'!$A$3:$A$2477,$A65),2),O$1),0)</f>
        <v>0</v>
      </c>
      <c r="P65">
        <f>IFERROR(COUNTIF(OFFSET('Schedule Raw Data'!$A$2,MATCH($A65,'Schedule Raw Data'!$A$3:$A$2477,0),1,COUNTIF('Schedule Raw Data'!$A$3:$A$2477,$A65),2),P$1),0)</f>
        <v>1</v>
      </c>
      <c r="Q65">
        <f>IFERROR(COUNTIF(OFFSET('Schedule Raw Data'!$A$2,MATCH($A65,'Schedule Raw Data'!$A$3:$A$2477,0),1,COUNTIF('Schedule Raw Data'!$A$3:$A$2477,$A65),2),Q$1),0)</f>
        <v>0</v>
      </c>
      <c r="R65">
        <f>IFERROR(COUNTIF(OFFSET('Schedule Raw Data'!$A$2,MATCH($A65,'Schedule Raw Data'!$A$3:$A$2477,0),1,COUNTIF('Schedule Raw Data'!$A$3:$A$2477,$A65),2),R$1),0)</f>
        <v>1</v>
      </c>
      <c r="S65">
        <f>IFERROR(COUNTIF(OFFSET('Schedule Raw Data'!$A$2,MATCH($A65,'Schedule Raw Data'!$A$3:$A$2477,0),1,COUNTIF('Schedule Raw Data'!$A$3:$A$2477,$A65),2),S$1),0)</f>
        <v>0</v>
      </c>
      <c r="T65">
        <f>IFERROR(COUNTIF(OFFSET('Schedule Raw Data'!$A$2,MATCH($A65,'Schedule Raw Data'!$A$3:$A$2477,0),1,COUNTIF('Schedule Raw Data'!$A$3:$A$2477,$A65),2),T$1),0)</f>
        <v>1</v>
      </c>
      <c r="U65">
        <f>IFERROR(COUNTIF(OFFSET('Schedule Raw Data'!$A$2,MATCH($A65,'Schedule Raw Data'!$A$3:$A$2477,0),1,COUNTIF('Schedule Raw Data'!$A$3:$A$2477,$A65),2),U$1),0)</f>
        <v>1</v>
      </c>
      <c r="V65">
        <f>IFERROR(COUNTIF(OFFSET('Schedule Raw Data'!$A$2,MATCH($A65,'Schedule Raw Data'!$A$3:$A$2477,0),1,COUNTIF('Schedule Raw Data'!$A$3:$A$2477,$A65),2),V$1),0)</f>
        <v>1</v>
      </c>
      <c r="W65">
        <f>IFERROR(COUNTIF(OFFSET('Schedule Raw Data'!$A$2,MATCH($A65,'Schedule Raw Data'!$A$3:$A$2477,0),1,COUNTIF('Schedule Raw Data'!$A$3:$A$2477,$A65),2),W$1),0)</f>
        <v>1</v>
      </c>
      <c r="X65">
        <f>IFERROR(COUNTIF(OFFSET('Schedule Raw Data'!$A$2,MATCH($A65,'Schedule Raw Data'!$A$3:$A$2477,0),1,COUNTIF('Schedule Raw Data'!$A$3:$A$2477,$A65),2),X$1),0)</f>
        <v>0</v>
      </c>
      <c r="Y65">
        <f>IFERROR(COUNTIF(OFFSET('Schedule Raw Data'!$A$2,MATCH($A65,'Schedule Raw Data'!$A$3:$A$2477,0),1,COUNTIF('Schedule Raw Data'!$A$3:$A$2477,$A65),2),Y$1),0)</f>
        <v>0</v>
      </c>
      <c r="Z65">
        <f>IFERROR(COUNTIF(OFFSET('Schedule Raw Data'!$A$2,MATCH($A65,'Schedule Raw Data'!$A$3:$A$2477,0),1,COUNTIF('Schedule Raw Data'!$A$3:$A$2477,$A65),2),Z$1),0)</f>
        <v>1</v>
      </c>
      <c r="AA65">
        <f>IFERROR(COUNTIF(OFFSET('Schedule Raw Data'!$A$2,MATCH($A65,'Schedule Raw Data'!$A$3:$A$2477,0),1,COUNTIF('Schedule Raw Data'!$A$3:$A$2477,$A65),2),AA$1),0)</f>
        <v>1</v>
      </c>
      <c r="AB65">
        <f>IFERROR(COUNTIF(OFFSET('Schedule Raw Data'!$A$2,MATCH($A65,'Schedule Raw Data'!$A$3:$A$2477,0),1,COUNTIF('Schedule Raw Data'!$A$3:$A$2477,$A65),2),AB$1),0)</f>
        <v>1</v>
      </c>
      <c r="AC65">
        <f>IFERROR(COUNTIF(OFFSET('Schedule Raw Data'!$A$2,MATCH($A65,'Schedule Raw Data'!$A$3:$A$2477,0),1,COUNTIF('Schedule Raw Data'!$A$3:$A$2477,$A65),2),AC$1),0)</f>
        <v>0</v>
      </c>
      <c r="AD65">
        <f>IFERROR(COUNTIF(OFFSET('Schedule Raw Data'!$A$2,MATCH($A65,'Schedule Raw Data'!$A$3:$A$2477,0),1,COUNTIF('Schedule Raw Data'!$A$3:$A$2477,$A65),2),AD$1),0)</f>
        <v>0</v>
      </c>
      <c r="AE65">
        <f>IFERROR(COUNTIF(OFFSET('Schedule Raw Data'!$A$2,MATCH($A65,'Schedule Raw Data'!$A$3:$A$2477,0),1,COUNTIF('Schedule Raw Data'!$A$3:$A$2477,$A65),2),AE$1),0)</f>
        <v>1</v>
      </c>
      <c r="AF65">
        <f>IFERROR(COUNTIF(OFFSET('Schedule Raw Data'!$A$2,MATCH($A65,'Schedule Raw Data'!$A$3:$A$2477,0),1,COUNTIF('Schedule Raw Data'!$A$3:$A$2477,$A65),2),AF$1),0)</f>
        <v>0</v>
      </c>
      <c r="AG65">
        <f t="shared" si="1"/>
        <v>10</v>
      </c>
    </row>
    <row r="66">
      <c r="A66" s="30">
        <f t="array" ref="A66">INDEX('Schedule Raw Data'!$A$3:$A$2477,MATCH(0,INDEX(COUNTIF($A$1:A65,'Schedule Raw Data'!$A$3:$A$2477),0,0),0))</f>
        <v>46390</v>
      </c>
      <c r="B66">
        <f t="shared" si="2"/>
        <v>10</v>
      </c>
      <c r="C66">
        <f>IFERROR(COUNTIF(OFFSET('Schedule Raw Data'!$A$2,MATCH($A66,'Schedule Raw Data'!$A$3:$A$2477,0),1,COUNTIF('Schedule Raw Data'!$A$3:$A$2477,$A66),2),C$1),0)</f>
        <v>0</v>
      </c>
      <c r="D66">
        <f>IFERROR(COUNTIF(OFFSET('Schedule Raw Data'!$A$2,MATCH($A66,'Schedule Raw Data'!$A$3:$A$2477,0),1,COUNTIF('Schedule Raw Data'!$A$3:$A$2477,$A66),2),D$1),0)</f>
        <v>0</v>
      </c>
      <c r="E66">
        <f>IFERROR(COUNTIF(OFFSET('Schedule Raw Data'!$A$2,MATCH($A66,'Schedule Raw Data'!$A$3:$A$2477,0),1,COUNTIF('Schedule Raw Data'!$A$3:$A$2477,$A66),2),E$1),0)</f>
        <v>0</v>
      </c>
      <c r="F66">
        <f>IFERROR(COUNTIF(OFFSET('Schedule Raw Data'!$A$2,MATCH($A66,'Schedule Raw Data'!$A$3:$A$2477,0),1,COUNTIF('Schedule Raw Data'!$A$3:$A$2477,$A66),2),F$1),0)</f>
        <v>1</v>
      </c>
      <c r="G66">
        <f>IFERROR(COUNTIF(OFFSET('Schedule Raw Data'!$A$2,MATCH($A66,'Schedule Raw Data'!$A$3:$A$2477,0),1,COUNTIF('Schedule Raw Data'!$A$3:$A$2477,$A66),2),G$1),0)</f>
        <v>0</v>
      </c>
      <c r="H66">
        <f>IFERROR(COUNTIF(OFFSET('Schedule Raw Data'!$A$2,MATCH($A66,'Schedule Raw Data'!$A$3:$A$2477,0),1,COUNTIF('Schedule Raw Data'!$A$3:$A$2477,$A66),2),H$1),0)</f>
        <v>1</v>
      </c>
      <c r="I66">
        <f>IFERROR(COUNTIF(OFFSET('Schedule Raw Data'!$A$2,MATCH($A66,'Schedule Raw Data'!$A$3:$A$2477,0),1,COUNTIF('Schedule Raw Data'!$A$3:$A$2477,$A66),2),I$1),0)</f>
        <v>0</v>
      </c>
      <c r="J66">
        <f>IFERROR(COUNTIF(OFFSET('Schedule Raw Data'!$A$2,MATCH($A66,'Schedule Raw Data'!$A$3:$A$2477,0),1,COUNTIF('Schedule Raw Data'!$A$3:$A$2477,$A66),2),J$1),0)</f>
        <v>1</v>
      </c>
      <c r="K66">
        <f>IFERROR(COUNTIF(OFFSET('Schedule Raw Data'!$A$2,MATCH($A66,'Schedule Raw Data'!$A$3:$A$2477,0),1,COUNTIF('Schedule Raw Data'!$A$3:$A$2477,$A66),2),K$1),0)</f>
        <v>1</v>
      </c>
      <c r="L66">
        <f>IFERROR(COUNTIF(OFFSET('Schedule Raw Data'!$A$2,MATCH($A66,'Schedule Raw Data'!$A$3:$A$2477,0),1,COUNTIF('Schedule Raw Data'!$A$3:$A$2477,$A66),2),L$1),0)</f>
        <v>0</v>
      </c>
      <c r="M66">
        <f>IFERROR(COUNTIF(OFFSET('Schedule Raw Data'!$A$2,MATCH($A66,'Schedule Raw Data'!$A$3:$A$2477,0),1,COUNTIF('Schedule Raw Data'!$A$3:$A$2477,$A66),2),M$1),0)</f>
        <v>1</v>
      </c>
      <c r="N66">
        <f>IFERROR(COUNTIF(OFFSET('Schedule Raw Data'!$A$2,MATCH($A66,'Schedule Raw Data'!$A$3:$A$2477,0),1,COUNTIF('Schedule Raw Data'!$A$3:$A$2477,$A66),2),N$1),0)</f>
        <v>0</v>
      </c>
      <c r="O66">
        <f>IFERROR(COUNTIF(OFFSET('Schedule Raw Data'!$A$2,MATCH($A66,'Schedule Raw Data'!$A$3:$A$2477,0),1,COUNTIF('Schedule Raw Data'!$A$3:$A$2477,$A66),2),O$1),0)</f>
        <v>1</v>
      </c>
      <c r="P66">
        <f>IFERROR(COUNTIF(OFFSET('Schedule Raw Data'!$A$2,MATCH($A66,'Schedule Raw Data'!$A$3:$A$2477,0),1,COUNTIF('Schedule Raw Data'!$A$3:$A$2477,$A66),2),P$1),0)</f>
        <v>1</v>
      </c>
      <c r="Q66">
        <f>IFERROR(COUNTIF(OFFSET('Schedule Raw Data'!$A$2,MATCH($A66,'Schedule Raw Data'!$A$3:$A$2477,0),1,COUNTIF('Schedule Raw Data'!$A$3:$A$2477,$A66),2),Q$1),0)</f>
        <v>1</v>
      </c>
      <c r="R66">
        <f>IFERROR(COUNTIF(OFFSET('Schedule Raw Data'!$A$2,MATCH($A66,'Schedule Raw Data'!$A$3:$A$2477,0),1,COUNTIF('Schedule Raw Data'!$A$3:$A$2477,$A66),2),R$1),0)</f>
        <v>0</v>
      </c>
      <c r="S66">
        <f>IFERROR(COUNTIF(OFFSET('Schedule Raw Data'!$A$2,MATCH($A66,'Schedule Raw Data'!$A$3:$A$2477,0),1,COUNTIF('Schedule Raw Data'!$A$3:$A$2477,$A66),2),S$1),0)</f>
        <v>1</v>
      </c>
      <c r="T66">
        <f>IFERROR(COUNTIF(OFFSET('Schedule Raw Data'!$A$2,MATCH($A66,'Schedule Raw Data'!$A$3:$A$2477,0),1,COUNTIF('Schedule Raw Data'!$A$3:$A$2477,$A66),2),T$1),0)</f>
        <v>1</v>
      </c>
      <c r="U66">
        <f>IFERROR(COUNTIF(OFFSET('Schedule Raw Data'!$A$2,MATCH($A66,'Schedule Raw Data'!$A$3:$A$2477,0),1,COUNTIF('Schedule Raw Data'!$A$3:$A$2477,$A66),2),U$1),0)</f>
        <v>0</v>
      </c>
      <c r="V66">
        <f>IFERROR(COUNTIF(OFFSET('Schedule Raw Data'!$A$2,MATCH($A66,'Schedule Raw Data'!$A$3:$A$2477,0),1,COUNTIF('Schedule Raw Data'!$A$3:$A$2477,$A66),2),V$1),0)</f>
        <v>0</v>
      </c>
      <c r="W66">
        <f>IFERROR(COUNTIF(OFFSET('Schedule Raw Data'!$A$2,MATCH($A66,'Schedule Raw Data'!$A$3:$A$2477,0),1,COUNTIF('Schedule Raw Data'!$A$3:$A$2477,$A66),2),W$1),0)</f>
        <v>1</v>
      </c>
      <c r="X66">
        <f>IFERROR(COUNTIF(OFFSET('Schedule Raw Data'!$A$2,MATCH($A66,'Schedule Raw Data'!$A$3:$A$2477,0),1,COUNTIF('Schedule Raw Data'!$A$3:$A$2477,$A66),2),X$1),0)</f>
        <v>1</v>
      </c>
      <c r="Y66">
        <f>IFERROR(COUNTIF(OFFSET('Schedule Raw Data'!$A$2,MATCH($A66,'Schedule Raw Data'!$A$3:$A$2477,0),1,COUNTIF('Schedule Raw Data'!$A$3:$A$2477,$A66),2),Y$1),0)</f>
        <v>0</v>
      </c>
      <c r="Z66">
        <f>IFERROR(COUNTIF(OFFSET('Schedule Raw Data'!$A$2,MATCH($A66,'Schedule Raw Data'!$A$3:$A$2477,0),1,COUNTIF('Schedule Raw Data'!$A$3:$A$2477,$A66),2),Z$1),0)</f>
        <v>0</v>
      </c>
      <c r="AA66">
        <f>IFERROR(COUNTIF(OFFSET('Schedule Raw Data'!$A$2,MATCH($A66,'Schedule Raw Data'!$A$3:$A$2477,0),1,COUNTIF('Schedule Raw Data'!$A$3:$A$2477,$A66),2),AA$1),0)</f>
        <v>0</v>
      </c>
      <c r="AB66">
        <f>IFERROR(COUNTIF(OFFSET('Schedule Raw Data'!$A$2,MATCH($A66,'Schedule Raw Data'!$A$3:$A$2477,0),1,COUNTIF('Schedule Raw Data'!$A$3:$A$2477,$A66),2),AB$1),0)</f>
        <v>1</v>
      </c>
      <c r="AC66">
        <f>IFERROR(COUNTIF(OFFSET('Schedule Raw Data'!$A$2,MATCH($A66,'Schedule Raw Data'!$A$3:$A$2477,0),1,COUNTIF('Schedule Raw Data'!$A$3:$A$2477,$A66),2),AC$1),0)</f>
        <v>1</v>
      </c>
      <c r="AD66">
        <f>IFERROR(COUNTIF(OFFSET('Schedule Raw Data'!$A$2,MATCH($A66,'Schedule Raw Data'!$A$3:$A$2477,0),1,COUNTIF('Schedule Raw Data'!$A$3:$A$2477,$A66),2),AD$1),0)</f>
        <v>1</v>
      </c>
      <c r="AE66">
        <f>IFERROR(COUNTIF(OFFSET('Schedule Raw Data'!$A$2,MATCH($A66,'Schedule Raw Data'!$A$3:$A$2477,0),1,COUNTIF('Schedule Raw Data'!$A$3:$A$2477,$A66),2),AE$1),0)</f>
        <v>0</v>
      </c>
      <c r="AF66">
        <f>IFERROR(COUNTIF(OFFSET('Schedule Raw Data'!$A$2,MATCH($A66,'Schedule Raw Data'!$A$3:$A$2477,0),1,COUNTIF('Schedule Raw Data'!$A$3:$A$2477,$A66),2),AF$1),0)</f>
        <v>1</v>
      </c>
      <c r="AG66">
        <f t="shared" si="1"/>
        <v>8</v>
      </c>
    </row>
    <row r="67">
      <c r="A67" s="30">
        <f t="array" ref="A67">INDEX('Schedule Raw Data'!$A$3:$A$2477,MATCH(0,INDEX(COUNTIF($A$1:A66,'Schedule Raw Data'!$A$3:$A$2477),0,0),0))</f>
        <v>46391</v>
      </c>
      <c r="B67">
        <f t="shared" si="2"/>
        <v>11</v>
      </c>
      <c r="C67">
        <f>IFERROR(COUNTIF(OFFSET('Schedule Raw Data'!$A$2,MATCH($A67,'Schedule Raw Data'!$A$3:$A$2477,0),1,COUNTIF('Schedule Raw Data'!$A$3:$A$2477,$A67),2),C$1),0)</f>
        <v>1</v>
      </c>
      <c r="D67">
        <f>IFERROR(COUNTIF(OFFSET('Schedule Raw Data'!$A$2,MATCH($A67,'Schedule Raw Data'!$A$3:$A$2477,0),1,COUNTIF('Schedule Raw Data'!$A$3:$A$2477,$A67),2),D$1),0)</f>
        <v>1</v>
      </c>
      <c r="E67">
        <f>IFERROR(COUNTIF(OFFSET('Schedule Raw Data'!$A$2,MATCH($A67,'Schedule Raw Data'!$A$3:$A$2477,0),1,COUNTIF('Schedule Raw Data'!$A$3:$A$2477,$A67),2),E$1),0)</f>
        <v>1</v>
      </c>
      <c r="F67">
        <f>IFERROR(COUNTIF(OFFSET('Schedule Raw Data'!$A$2,MATCH($A67,'Schedule Raw Data'!$A$3:$A$2477,0),1,COUNTIF('Schedule Raw Data'!$A$3:$A$2477,$A67),2),F$1),0)</f>
        <v>0</v>
      </c>
      <c r="G67">
        <f>IFERROR(COUNTIF(OFFSET('Schedule Raw Data'!$A$2,MATCH($A67,'Schedule Raw Data'!$A$3:$A$2477,0),1,COUNTIF('Schedule Raw Data'!$A$3:$A$2477,$A67),2),G$1),0)</f>
        <v>1</v>
      </c>
      <c r="H67">
        <f>IFERROR(COUNTIF(OFFSET('Schedule Raw Data'!$A$2,MATCH($A67,'Schedule Raw Data'!$A$3:$A$2477,0),1,COUNTIF('Schedule Raw Data'!$A$3:$A$2477,$A67),2),H$1),0)</f>
        <v>0</v>
      </c>
      <c r="I67">
        <f>IFERROR(COUNTIF(OFFSET('Schedule Raw Data'!$A$2,MATCH($A67,'Schedule Raw Data'!$A$3:$A$2477,0),1,COUNTIF('Schedule Raw Data'!$A$3:$A$2477,$A67),2),I$1),0)</f>
        <v>1</v>
      </c>
      <c r="J67">
        <f>IFERROR(COUNTIF(OFFSET('Schedule Raw Data'!$A$2,MATCH($A67,'Schedule Raw Data'!$A$3:$A$2477,0),1,COUNTIF('Schedule Raw Data'!$A$3:$A$2477,$A67),2),J$1),0)</f>
        <v>0</v>
      </c>
      <c r="K67">
        <f>IFERROR(COUNTIF(OFFSET('Schedule Raw Data'!$A$2,MATCH($A67,'Schedule Raw Data'!$A$3:$A$2477,0),1,COUNTIF('Schedule Raw Data'!$A$3:$A$2477,$A67),2),K$1),0)</f>
        <v>0</v>
      </c>
      <c r="L67">
        <f>IFERROR(COUNTIF(OFFSET('Schedule Raw Data'!$A$2,MATCH($A67,'Schedule Raw Data'!$A$3:$A$2477,0),1,COUNTIF('Schedule Raw Data'!$A$3:$A$2477,$A67),2),L$1),0)</f>
        <v>0</v>
      </c>
      <c r="M67">
        <f>IFERROR(COUNTIF(OFFSET('Schedule Raw Data'!$A$2,MATCH($A67,'Schedule Raw Data'!$A$3:$A$2477,0),1,COUNTIF('Schedule Raw Data'!$A$3:$A$2477,$A67),2),M$1),0)</f>
        <v>0</v>
      </c>
      <c r="N67">
        <f>IFERROR(COUNTIF(OFFSET('Schedule Raw Data'!$A$2,MATCH($A67,'Schedule Raw Data'!$A$3:$A$2477,0),1,COUNTIF('Schedule Raw Data'!$A$3:$A$2477,$A67),2),N$1),0)</f>
        <v>1</v>
      </c>
      <c r="O67">
        <f>IFERROR(COUNTIF(OFFSET('Schedule Raw Data'!$A$2,MATCH($A67,'Schedule Raw Data'!$A$3:$A$2477,0),1,COUNTIF('Schedule Raw Data'!$A$3:$A$2477,$A67),2),O$1),0)</f>
        <v>0</v>
      </c>
      <c r="P67">
        <f>IFERROR(COUNTIF(OFFSET('Schedule Raw Data'!$A$2,MATCH($A67,'Schedule Raw Data'!$A$3:$A$2477,0),1,COUNTIF('Schedule Raw Data'!$A$3:$A$2477,$A67),2),P$1),0)</f>
        <v>0</v>
      </c>
      <c r="Q67">
        <f>IFERROR(COUNTIF(OFFSET('Schedule Raw Data'!$A$2,MATCH($A67,'Schedule Raw Data'!$A$3:$A$2477,0),1,COUNTIF('Schedule Raw Data'!$A$3:$A$2477,$A67),2),Q$1),0)</f>
        <v>0</v>
      </c>
      <c r="R67">
        <f>IFERROR(COUNTIF(OFFSET('Schedule Raw Data'!$A$2,MATCH($A67,'Schedule Raw Data'!$A$3:$A$2477,0),1,COUNTIF('Schedule Raw Data'!$A$3:$A$2477,$A67),2),R$1),0)</f>
        <v>0</v>
      </c>
      <c r="S67">
        <f>IFERROR(COUNTIF(OFFSET('Schedule Raw Data'!$A$2,MATCH($A67,'Schedule Raw Data'!$A$3:$A$2477,0),1,COUNTIF('Schedule Raw Data'!$A$3:$A$2477,$A67),2),S$1),0)</f>
        <v>0</v>
      </c>
      <c r="T67">
        <f>IFERROR(COUNTIF(OFFSET('Schedule Raw Data'!$A$2,MATCH($A67,'Schedule Raw Data'!$A$3:$A$2477,0),1,COUNTIF('Schedule Raw Data'!$A$3:$A$2477,$A67),2),T$1),0)</f>
        <v>0</v>
      </c>
      <c r="U67">
        <f>IFERROR(COUNTIF(OFFSET('Schedule Raw Data'!$A$2,MATCH($A67,'Schedule Raw Data'!$A$3:$A$2477,0),1,COUNTIF('Schedule Raw Data'!$A$3:$A$2477,$A67),2),U$1),0)</f>
        <v>1</v>
      </c>
      <c r="V67">
        <f>IFERROR(COUNTIF(OFFSET('Schedule Raw Data'!$A$2,MATCH($A67,'Schedule Raw Data'!$A$3:$A$2477,0),1,COUNTIF('Schedule Raw Data'!$A$3:$A$2477,$A67),2),V$1),0)</f>
        <v>1</v>
      </c>
      <c r="W67">
        <f>IFERROR(COUNTIF(OFFSET('Schedule Raw Data'!$A$2,MATCH($A67,'Schedule Raw Data'!$A$3:$A$2477,0),1,COUNTIF('Schedule Raw Data'!$A$3:$A$2477,$A67),2),W$1),0)</f>
        <v>0</v>
      </c>
      <c r="X67">
        <f>IFERROR(COUNTIF(OFFSET('Schedule Raw Data'!$A$2,MATCH($A67,'Schedule Raw Data'!$A$3:$A$2477,0),1,COUNTIF('Schedule Raw Data'!$A$3:$A$2477,$A67),2),X$1),0)</f>
        <v>0</v>
      </c>
      <c r="Y67">
        <f>IFERROR(COUNTIF(OFFSET('Schedule Raw Data'!$A$2,MATCH($A67,'Schedule Raw Data'!$A$3:$A$2477,0),1,COUNTIF('Schedule Raw Data'!$A$3:$A$2477,$A67),2),Y$1),0)</f>
        <v>1</v>
      </c>
      <c r="Z67">
        <f>IFERROR(COUNTIF(OFFSET('Schedule Raw Data'!$A$2,MATCH($A67,'Schedule Raw Data'!$A$3:$A$2477,0),1,COUNTIF('Schedule Raw Data'!$A$3:$A$2477,$A67),2),Z$1),0)</f>
        <v>1</v>
      </c>
      <c r="AA67">
        <f>IFERROR(COUNTIF(OFFSET('Schedule Raw Data'!$A$2,MATCH($A67,'Schedule Raw Data'!$A$3:$A$2477,0),1,COUNTIF('Schedule Raw Data'!$A$3:$A$2477,$A67),2),AA$1),0)</f>
        <v>1</v>
      </c>
      <c r="AB67">
        <f>IFERROR(COUNTIF(OFFSET('Schedule Raw Data'!$A$2,MATCH($A67,'Schedule Raw Data'!$A$3:$A$2477,0),1,COUNTIF('Schedule Raw Data'!$A$3:$A$2477,$A67),2),AB$1),0)</f>
        <v>0</v>
      </c>
      <c r="AC67">
        <f>IFERROR(COUNTIF(OFFSET('Schedule Raw Data'!$A$2,MATCH($A67,'Schedule Raw Data'!$A$3:$A$2477,0),1,COUNTIF('Schedule Raw Data'!$A$3:$A$2477,$A67),2),AC$1),0)</f>
        <v>0</v>
      </c>
      <c r="AD67">
        <f>IFERROR(COUNTIF(OFFSET('Schedule Raw Data'!$A$2,MATCH($A67,'Schedule Raw Data'!$A$3:$A$2477,0),1,COUNTIF('Schedule Raw Data'!$A$3:$A$2477,$A67),2),AD$1),0)</f>
        <v>0</v>
      </c>
      <c r="AE67">
        <f>IFERROR(COUNTIF(OFFSET('Schedule Raw Data'!$A$2,MATCH($A67,'Schedule Raw Data'!$A$3:$A$2477,0),1,COUNTIF('Schedule Raw Data'!$A$3:$A$2477,$A67),2),AE$1),0)</f>
        <v>1</v>
      </c>
      <c r="AF67">
        <f>IFERROR(COUNTIF(OFFSET('Schedule Raw Data'!$A$2,MATCH($A67,'Schedule Raw Data'!$A$3:$A$2477,0),1,COUNTIF('Schedule Raw Data'!$A$3:$A$2477,$A67),2),AF$1),0)</f>
        <v>0</v>
      </c>
      <c r="AG67">
        <f t="shared" si="1"/>
        <v>6</v>
      </c>
    </row>
    <row r="68">
      <c r="A68" s="30">
        <f t="array" ref="A68">INDEX('Schedule Raw Data'!$A$3:$A$2477,MATCH(0,INDEX(COUNTIF($A$1:A67,'Schedule Raw Data'!$A$3:$A$2477),0,0),0))</f>
        <v>46392</v>
      </c>
      <c r="B68">
        <f t="shared" si="2"/>
        <v>11</v>
      </c>
      <c r="C68">
        <f>IFERROR(COUNTIF(OFFSET('Schedule Raw Data'!$A$2,MATCH($A68,'Schedule Raw Data'!$A$3:$A$2477,0),1,COUNTIF('Schedule Raw Data'!$A$3:$A$2477,$A68),2),C$1),0)</f>
        <v>1</v>
      </c>
      <c r="D68">
        <f>IFERROR(COUNTIF(OFFSET('Schedule Raw Data'!$A$2,MATCH($A68,'Schedule Raw Data'!$A$3:$A$2477,0),1,COUNTIF('Schedule Raw Data'!$A$3:$A$2477,$A68),2),D$1),0)</f>
        <v>0</v>
      </c>
      <c r="E68">
        <f>IFERROR(COUNTIF(OFFSET('Schedule Raw Data'!$A$2,MATCH($A68,'Schedule Raw Data'!$A$3:$A$2477,0),1,COUNTIF('Schedule Raw Data'!$A$3:$A$2477,$A68),2),E$1),0)</f>
        <v>0</v>
      </c>
      <c r="F68">
        <f>IFERROR(COUNTIF(OFFSET('Schedule Raw Data'!$A$2,MATCH($A68,'Schedule Raw Data'!$A$3:$A$2477,0),1,COUNTIF('Schedule Raw Data'!$A$3:$A$2477,$A68),2),F$1),0)</f>
        <v>1</v>
      </c>
      <c r="G68">
        <f>IFERROR(COUNTIF(OFFSET('Schedule Raw Data'!$A$2,MATCH($A68,'Schedule Raw Data'!$A$3:$A$2477,0),1,COUNTIF('Schedule Raw Data'!$A$3:$A$2477,$A68),2),G$1),0)</f>
        <v>1</v>
      </c>
      <c r="H68">
        <f>IFERROR(COUNTIF(OFFSET('Schedule Raw Data'!$A$2,MATCH($A68,'Schedule Raw Data'!$A$3:$A$2477,0),1,COUNTIF('Schedule Raw Data'!$A$3:$A$2477,$A68),2),H$1),0)</f>
        <v>1</v>
      </c>
      <c r="I68">
        <f>IFERROR(COUNTIF(OFFSET('Schedule Raw Data'!$A$2,MATCH($A68,'Schedule Raw Data'!$A$3:$A$2477,0),1,COUNTIF('Schedule Raw Data'!$A$3:$A$2477,$A68),2),I$1),0)</f>
        <v>0</v>
      </c>
      <c r="J68">
        <f>IFERROR(COUNTIF(OFFSET('Schedule Raw Data'!$A$2,MATCH($A68,'Schedule Raw Data'!$A$3:$A$2477,0),1,COUNTIF('Schedule Raw Data'!$A$3:$A$2477,$A68),2),J$1),0)</f>
        <v>1</v>
      </c>
      <c r="K68">
        <f>IFERROR(COUNTIF(OFFSET('Schedule Raw Data'!$A$2,MATCH($A68,'Schedule Raw Data'!$A$3:$A$2477,0),1,COUNTIF('Schedule Raw Data'!$A$3:$A$2477,$A68),2),K$1),0)</f>
        <v>1</v>
      </c>
      <c r="L68">
        <f>IFERROR(COUNTIF(OFFSET('Schedule Raw Data'!$A$2,MATCH($A68,'Schedule Raw Data'!$A$3:$A$2477,0),1,COUNTIF('Schedule Raw Data'!$A$3:$A$2477,$A68),2),L$1),0)</f>
        <v>0</v>
      </c>
      <c r="M68">
        <f>IFERROR(COUNTIF(OFFSET('Schedule Raw Data'!$A$2,MATCH($A68,'Schedule Raw Data'!$A$3:$A$2477,0),1,COUNTIF('Schedule Raw Data'!$A$3:$A$2477,$A68),2),M$1),0)</f>
        <v>1</v>
      </c>
      <c r="N68">
        <f>IFERROR(COUNTIF(OFFSET('Schedule Raw Data'!$A$2,MATCH($A68,'Schedule Raw Data'!$A$3:$A$2477,0),1,COUNTIF('Schedule Raw Data'!$A$3:$A$2477,$A68),2),N$1),0)</f>
        <v>0</v>
      </c>
      <c r="O68">
        <f>IFERROR(COUNTIF(OFFSET('Schedule Raw Data'!$A$2,MATCH($A68,'Schedule Raw Data'!$A$3:$A$2477,0),1,COUNTIF('Schedule Raw Data'!$A$3:$A$2477,$A68),2),O$1),0)</f>
        <v>1</v>
      </c>
      <c r="P68">
        <f>IFERROR(COUNTIF(OFFSET('Schedule Raw Data'!$A$2,MATCH($A68,'Schedule Raw Data'!$A$3:$A$2477,0),1,COUNTIF('Schedule Raw Data'!$A$3:$A$2477,$A68),2),P$1),0)</f>
        <v>1</v>
      </c>
      <c r="Q68">
        <f>IFERROR(COUNTIF(OFFSET('Schedule Raw Data'!$A$2,MATCH($A68,'Schedule Raw Data'!$A$3:$A$2477,0),1,COUNTIF('Schedule Raw Data'!$A$3:$A$2477,$A68),2),Q$1),0)</f>
        <v>1</v>
      </c>
      <c r="R68">
        <f>IFERROR(COUNTIF(OFFSET('Schedule Raw Data'!$A$2,MATCH($A68,'Schedule Raw Data'!$A$3:$A$2477,0),1,COUNTIF('Schedule Raw Data'!$A$3:$A$2477,$A68),2),R$1),0)</f>
        <v>1</v>
      </c>
      <c r="S68">
        <f>IFERROR(COUNTIF(OFFSET('Schedule Raw Data'!$A$2,MATCH($A68,'Schedule Raw Data'!$A$3:$A$2477,0),1,COUNTIF('Schedule Raw Data'!$A$3:$A$2477,$A68),2),S$1),0)</f>
        <v>1</v>
      </c>
      <c r="T68">
        <f>IFERROR(COUNTIF(OFFSET('Schedule Raw Data'!$A$2,MATCH($A68,'Schedule Raw Data'!$A$3:$A$2477,0),1,COUNTIF('Schedule Raw Data'!$A$3:$A$2477,$A68),2),T$1),0)</f>
        <v>1</v>
      </c>
      <c r="U68">
        <f>IFERROR(COUNTIF(OFFSET('Schedule Raw Data'!$A$2,MATCH($A68,'Schedule Raw Data'!$A$3:$A$2477,0),1,COUNTIF('Schedule Raw Data'!$A$3:$A$2477,$A68),2),U$1),0)</f>
        <v>0</v>
      </c>
      <c r="V68">
        <f>IFERROR(COUNTIF(OFFSET('Schedule Raw Data'!$A$2,MATCH($A68,'Schedule Raw Data'!$A$3:$A$2477,0),1,COUNTIF('Schedule Raw Data'!$A$3:$A$2477,$A68),2),V$1),0)</f>
        <v>0</v>
      </c>
      <c r="W68">
        <f>IFERROR(COUNTIF(OFFSET('Schedule Raw Data'!$A$2,MATCH($A68,'Schedule Raw Data'!$A$3:$A$2477,0),1,COUNTIF('Schedule Raw Data'!$A$3:$A$2477,$A68),2),W$1),0)</f>
        <v>0</v>
      </c>
      <c r="X68">
        <f>IFERROR(COUNTIF(OFFSET('Schedule Raw Data'!$A$2,MATCH($A68,'Schedule Raw Data'!$A$3:$A$2477,0),1,COUNTIF('Schedule Raw Data'!$A$3:$A$2477,$A68),2),X$1),0)</f>
        <v>1</v>
      </c>
      <c r="Y68">
        <f>IFERROR(COUNTIF(OFFSET('Schedule Raw Data'!$A$2,MATCH($A68,'Schedule Raw Data'!$A$3:$A$2477,0),1,COUNTIF('Schedule Raw Data'!$A$3:$A$2477,$A68),2),Y$1),0)</f>
        <v>0</v>
      </c>
      <c r="Z68">
        <f>IFERROR(COUNTIF(OFFSET('Schedule Raw Data'!$A$2,MATCH($A68,'Schedule Raw Data'!$A$3:$A$2477,0),1,COUNTIF('Schedule Raw Data'!$A$3:$A$2477,$A68),2),Z$1),0)</f>
        <v>1</v>
      </c>
      <c r="AA68">
        <f>IFERROR(COUNTIF(OFFSET('Schedule Raw Data'!$A$2,MATCH($A68,'Schedule Raw Data'!$A$3:$A$2477,0),1,COUNTIF('Schedule Raw Data'!$A$3:$A$2477,$A68),2),AA$1),0)</f>
        <v>0</v>
      </c>
      <c r="AB68">
        <f>IFERROR(COUNTIF(OFFSET('Schedule Raw Data'!$A$2,MATCH($A68,'Schedule Raw Data'!$A$3:$A$2477,0),1,COUNTIF('Schedule Raw Data'!$A$3:$A$2477,$A68),2),AB$1),0)</f>
        <v>1</v>
      </c>
      <c r="AC68">
        <f>IFERROR(COUNTIF(OFFSET('Schedule Raw Data'!$A$2,MATCH($A68,'Schedule Raw Data'!$A$3:$A$2477,0),1,COUNTIF('Schedule Raw Data'!$A$3:$A$2477,$A68),2),AC$1),0)</f>
        <v>0</v>
      </c>
      <c r="AD68">
        <f>IFERROR(COUNTIF(OFFSET('Schedule Raw Data'!$A$2,MATCH($A68,'Schedule Raw Data'!$A$3:$A$2477,0),1,COUNTIF('Schedule Raw Data'!$A$3:$A$2477,$A68),2),AD$1),0)</f>
        <v>1</v>
      </c>
      <c r="AE68">
        <f>IFERROR(COUNTIF(OFFSET('Schedule Raw Data'!$A$2,MATCH($A68,'Schedule Raw Data'!$A$3:$A$2477,0),1,COUNTIF('Schedule Raw Data'!$A$3:$A$2477,$A68),2),AE$1),0)</f>
        <v>0</v>
      </c>
      <c r="AF68">
        <f>IFERROR(COUNTIF(OFFSET('Schedule Raw Data'!$A$2,MATCH($A68,'Schedule Raw Data'!$A$3:$A$2477,0),1,COUNTIF('Schedule Raw Data'!$A$3:$A$2477,$A68),2),AF$1),0)</f>
        <v>1</v>
      </c>
      <c r="AG68">
        <f t="shared" si="1"/>
        <v>9</v>
      </c>
    </row>
    <row r="69">
      <c r="A69" s="30">
        <f t="array" ref="A69">INDEX('Schedule Raw Data'!$A$3:$A$2477,MATCH(0,INDEX(COUNTIF($A$1:A68,'Schedule Raw Data'!$A$3:$A$2477),0,0),0))</f>
        <v>46393</v>
      </c>
      <c r="B69">
        <f t="shared" si="2"/>
        <v>11</v>
      </c>
      <c r="C69">
        <f>IFERROR(COUNTIF(OFFSET('Schedule Raw Data'!$A$2,MATCH($A69,'Schedule Raw Data'!$A$3:$A$2477,0),1,COUNTIF('Schedule Raw Data'!$A$3:$A$2477,$A69),2),C$1),0)</f>
        <v>0</v>
      </c>
      <c r="D69">
        <f>IFERROR(COUNTIF(OFFSET('Schedule Raw Data'!$A$2,MATCH($A69,'Schedule Raw Data'!$A$3:$A$2477,0),1,COUNTIF('Schedule Raw Data'!$A$3:$A$2477,$A69),2),D$1),0)</f>
        <v>1</v>
      </c>
      <c r="E69">
        <f>IFERROR(COUNTIF(OFFSET('Schedule Raw Data'!$A$2,MATCH($A69,'Schedule Raw Data'!$A$3:$A$2477,0),1,COUNTIF('Schedule Raw Data'!$A$3:$A$2477,$A69),2),E$1),0)</f>
        <v>0</v>
      </c>
      <c r="F69">
        <f>IFERROR(COUNTIF(OFFSET('Schedule Raw Data'!$A$2,MATCH($A69,'Schedule Raw Data'!$A$3:$A$2477,0),1,COUNTIF('Schedule Raw Data'!$A$3:$A$2477,$A69),2),F$1),0)</f>
        <v>0</v>
      </c>
      <c r="G69">
        <f>IFERROR(COUNTIF(OFFSET('Schedule Raw Data'!$A$2,MATCH($A69,'Schedule Raw Data'!$A$3:$A$2477,0),1,COUNTIF('Schedule Raw Data'!$A$3:$A$2477,$A69),2),G$1),0)</f>
        <v>0</v>
      </c>
      <c r="H69">
        <f>IFERROR(COUNTIF(OFFSET('Schedule Raw Data'!$A$2,MATCH($A69,'Schedule Raw Data'!$A$3:$A$2477,0),1,COUNTIF('Schedule Raw Data'!$A$3:$A$2477,$A69),2),H$1),0)</f>
        <v>0</v>
      </c>
      <c r="I69">
        <f>IFERROR(COUNTIF(OFFSET('Schedule Raw Data'!$A$2,MATCH($A69,'Schedule Raw Data'!$A$3:$A$2477,0),1,COUNTIF('Schedule Raw Data'!$A$3:$A$2477,$A69),2),I$1),0)</f>
        <v>0</v>
      </c>
      <c r="J69">
        <f>IFERROR(COUNTIF(OFFSET('Schedule Raw Data'!$A$2,MATCH($A69,'Schedule Raw Data'!$A$3:$A$2477,0),1,COUNTIF('Schedule Raw Data'!$A$3:$A$2477,$A69),2),J$1),0)</f>
        <v>0</v>
      </c>
      <c r="K69">
        <f>IFERROR(COUNTIF(OFFSET('Schedule Raw Data'!$A$2,MATCH($A69,'Schedule Raw Data'!$A$3:$A$2477,0),1,COUNTIF('Schedule Raw Data'!$A$3:$A$2477,$A69),2),K$1),0)</f>
        <v>0</v>
      </c>
      <c r="L69">
        <f>IFERROR(COUNTIF(OFFSET('Schedule Raw Data'!$A$2,MATCH($A69,'Schedule Raw Data'!$A$3:$A$2477,0),1,COUNTIF('Schedule Raw Data'!$A$3:$A$2477,$A69),2),L$1),0)</f>
        <v>1</v>
      </c>
      <c r="M69">
        <f>IFERROR(COUNTIF(OFFSET('Schedule Raw Data'!$A$2,MATCH($A69,'Schedule Raw Data'!$A$3:$A$2477,0),1,COUNTIF('Schedule Raw Data'!$A$3:$A$2477,$A69),2),M$1),0)</f>
        <v>0</v>
      </c>
      <c r="N69">
        <f>IFERROR(COUNTIF(OFFSET('Schedule Raw Data'!$A$2,MATCH($A69,'Schedule Raw Data'!$A$3:$A$2477,0),1,COUNTIF('Schedule Raw Data'!$A$3:$A$2477,$A69),2),N$1),0)</f>
        <v>1</v>
      </c>
      <c r="O69">
        <f>IFERROR(COUNTIF(OFFSET('Schedule Raw Data'!$A$2,MATCH($A69,'Schedule Raw Data'!$A$3:$A$2477,0),1,COUNTIF('Schedule Raw Data'!$A$3:$A$2477,$A69),2),O$1),0)</f>
        <v>0</v>
      </c>
      <c r="P69">
        <f>IFERROR(COUNTIF(OFFSET('Schedule Raw Data'!$A$2,MATCH($A69,'Schedule Raw Data'!$A$3:$A$2477,0),1,COUNTIF('Schedule Raw Data'!$A$3:$A$2477,$A69),2),P$1),0)</f>
        <v>0</v>
      </c>
      <c r="Q69">
        <f>IFERROR(COUNTIF(OFFSET('Schedule Raw Data'!$A$2,MATCH($A69,'Schedule Raw Data'!$A$3:$A$2477,0),1,COUNTIF('Schedule Raw Data'!$A$3:$A$2477,$A69),2),Q$1),0)</f>
        <v>0</v>
      </c>
      <c r="R69">
        <f>IFERROR(COUNTIF(OFFSET('Schedule Raw Data'!$A$2,MATCH($A69,'Schedule Raw Data'!$A$3:$A$2477,0),1,COUNTIF('Schedule Raw Data'!$A$3:$A$2477,$A69),2),R$1),0)</f>
        <v>0</v>
      </c>
      <c r="S69">
        <f>IFERROR(COUNTIF(OFFSET('Schedule Raw Data'!$A$2,MATCH($A69,'Schedule Raw Data'!$A$3:$A$2477,0),1,COUNTIF('Schedule Raw Data'!$A$3:$A$2477,$A69),2),S$1),0)</f>
        <v>0</v>
      </c>
      <c r="T69">
        <f>IFERROR(COUNTIF(OFFSET('Schedule Raw Data'!$A$2,MATCH($A69,'Schedule Raw Data'!$A$3:$A$2477,0),1,COUNTIF('Schedule Raw Data'!$A$3:$A$2477,$A69),2),T$1),0)</f>
        <v>0</v>
      </c>
      <c r="U69">
        <f>IFERROR(COUNTIF(OFFSET('Schedule Raw Data'!$A$2,MATCH($A69,'Schedule Raw Data'!$A$3:$A$2477,0),1,COUNTIF('Schedule Raw Data'!$A$3:$A$2477,$A69),2),U$1),0)</f>
        <v>1</v>
      </c>
      <c r="V69">
        <f>IFERROR(COUNTIF(OFFSET('Schedule Raw Data'!$A$2,MATCH($A69,'Schedule Raw Data'!$A$3:$A$2477,0),1,COUNTIF('Schedule Raw Data'!$A$3:$A$2477,$A69),2),V$1),0)</f>
        <v>1</v>
      </c>
      <c r="W69">
        <f>IFERROR(COUNTIF(OFFSET('Schedule Raw Data'!$A$2,MATCH($A69,'Schedule Raw Data'!$A$3:$A$2477,0),1,COUNTIF('Schedule Raw Data'!$A$3:$A$2477,$A69),2),W$1),0)</f>
        <v>1</v>
      </c>
      <c r="X69">
        <f>IFERROR(COUNTIF(OFFSET('Schedule Raw Data'!$A$2,MATCH($A69,'Schedule Raw Data'!$A$3:$A$2477,0),1,COUNTIF('Schedule Raw Data'!$A$3:$A$2477,$A69),2),X$1),0)</f>
        <v>0</v>
      </c>
      <c r="Y69">
        <f>IFERROR(COUNTIF(OFFSET('Schedule Raw Data'!$A$2,MATCH($A69,'Schedule Raw Data'!$A$3:$A$2477,0),1,COUNTIF('Schedule Raw Data'!$A$3:$A$2477,$A69),2),Y$1),0)</f>
        <v>1</v>
      </c>
      <c r="Z69">
        <f>IFERROR(COUNTIF(OFFSET('Schedule Raw Data'!$A$2,MATCH($A69,'Schedule Raw Data'!$A$3:$A$2477,0),1,COUNTIF('Schedule Raw Data'!$A$3:$A$2477,$A69),2),Z$1),0)</f>
        <v>0</v>
      </c>
      <c r="AA69">
        <f>IFERROR(COUNTIF(OFFSET('Schedule Raw Data'!$A$2,MATCH($A69,'Schedule Raw Data'!$A$3:$A$2477,0),1,COUNTIF('Schedule Raw Data'!$A$3:$A$2477,$A69),2),AA$1),0)</f>
        <v>1</v>
      </c>
      <c r="AB69">
        <f>IFERROR(COUNTIF(OFFSET('Schedule Raw Data'!$A$2,MATCH($A69,'Schedule Raw Data'!$A$3:$A$2477,0),1,COUNTIF('Schedule Raw Data'!$A$3:$A$2477,$A69),2),AB$1),0)</f>
        <v>0</v>
      </c>
      <c r="AC69">
        <f>IFERROR(COUNTIF(OFFSET('Schedule Raw Data'!$A$2,MATCH($A69,'Schedule Raw Data'!$A$3:$A$2477,0),1,COUNTIF('Schedule Raw Data'!$A$3:$A$2477,$A69),2),AC$1),0)</f>
        <v>1</v>
      </c>
      <c r="AD69">
        <f>IFERROR(COUNTIF(OFFSET('Schedule Raw Data'!$A$2,MATCH($A69,'Schedule Raw Data'!$A$3:$A$2477,0),1,COUNTIF('Schedule Raw Data'!$A$3:$A$2477,$A69),2),AD$1),0)</f>
        <v>0</v>
      </c>
      <c r="AE69">
        <f>IFERROR(COUNTIF(OFFSET('Schedule Raw Data'!$A$2,MATCH($A69,'Schedule Raw Data'!$A$3:$A$2477,0),1,COUNTIF('Schedule Raw Data'!$A$3:$A$2477,$A69),2),AE$1),0)</f>
        <v>1</v>
      </c>
      <c r="AF69">
        <f>IFERROR(COUNTIF(OFFSET('Schedule Raw Data'!$A$2,MATCH($A69,'Schedule Raw Data'!$A$3:$A$2477,0),1,COUNTIF('Schedule Raw Data'!$A$3:$A$2477,$A69),2),AF$1),0)</f>
        <v>0</v>
      </c>
      <c r="AG69">
        <f t="shared" si="1"/>
        <v>5</v>
      </c>
    </row>
    <row r="70">
      <c r="A70" s="30">
        <f t="array" ref="A70">INDEX('Schedule Raw Data'!$A$3:$A$2477,MATCH(0,INDEX(COUNTIF($A$1:A69,'Schedule Raw Data'!$A$3:$A$2477),0,0),0))</f>
        <v>46394</v>
      </c>
      <c r="B70">
        <f t="shared" si="2"/>
        <v>11</v>
      </c>
      <c r="C70">
        <f>IFERROR(COUNTIF(OFFSET('Schedule Raw Data'!$A$2,MATCH($A70,'Schedule Raw Data'!$A$3:$A$2477,0),1,COUNTIF('Schedule Raw Data'!$A$3:$A$2477,$A70),2),C$1),0)</f>
        <v>1</v>
      </c>
      <c r="D70">
        <f>IFERROR(COUNTIF(OFFSET('Schedule Raw Data'!$A$2,MATCH($A70,'Schedule Raw Data'!$A$3:$A$2477,0),1,COUNTIF('Schedule Raw Data'!$A$3:$A$2477,$A70),2),D$1),0)</f>
        <v>1</v>
      </c>
      <c r="E70">
        <f>IFERROR(COUNTIF(OFFSET('Schedule Raw Data'!$A$2,MATCH($A70,'Schedule Raw Data'!$A$3:$A$2477,0),1,COUNTIF('Schedule Raw Data'!$A$3:$A$2477,$A70),2),E$1),0)</f>
        <v>1</v>
      </c>
      <c r="F70">
        <f>IFERROR(COUNTIF(OFFSET('Schedule Raw Data'!$A$2,MATCH($A70,'Schedule Raw Data'!$A$3:$A$2477,0),1,COUNTIF('Schedule Raw Data'!$A$3:$A$2477,$A70),2),F$1),0)</f>
        <v>1</v>
      </c>
      <c r="G70">
        <f>IFERROR(COUNTIF(OFFSET('Schedule Raw Data'!$A$2,MATCH($A70,'Schedule Raw Data'!$A$3:$A$2477,0),1,COUNTIF('Schedule Raw Data'!$A$3:$A$2477,$A70),2),G$1),0)</f>
        <v>1</v>
      </c>
      <c r="H70">
        <f>IFERROR(COUNTIF(OFFSET('Schedule Raw Data'!$A$2,MATCH($A70,'Schedule Raw Data'!$A$3:$A$2477,0),1,COUNTIF('Schedule Raw Data'!$A$3:$A$2477,$A70),2),H$1),0)</f>
        <v>1</v>
      </c>
      <c r="I70">
        <f>IFERROR(COUNTIF(OFFSET('Schedule Raw Data'!$A$2,MATCH($A70,'Schedule Raw Data'!$A$3:$A$2477,0),1,COUNTIF('Schedule Raw Data'!$A$3:$A$2477,$A70),2),I$1),0)</f>
        <v>1</v>
      </c>
      <c r="J70">
        <f>IFERROR(COUNTIF(OFFSET('Schedule Raw Data'!$A$2,MATCH($A70,'Schedule Raw Data'!$A$3:$A$2477,0),1,COUNTIF('Schedule Raw Data'!$A$3:$A$2477,$A70),2),J$1),0)</f>
        <v>1</v>
      </c>
      <c r="K70">
        <f>IFERROR(COUNTIF(OFFSET('Schedule Raw Data'!$A$2,MATCH($A70,'Schedule Raw Data'!$A$3:$A$2477,0),1,COUNTIF('Schedule Raw Data'!$A$3:$A$2477,$A70),2),K$1),0)</f>
        <v>1</v>
      </c>
      <c r="L70">
        <f>IFERROR(COUNTIF(OFFSET('Schedule Raw Data'!$A$2,MATCH($A70,'Schedule Raw Data'!$A$3:$A$2477,0),1,COUNTIF('Schedule Raw Data'!$A$3:$A$2477,$A70),2),L$1),0)</f>
        <v>1</v>
      </c>
      <c r="M70">
        <f>IFERROR(COUNTIF(OFFSET('Schedule Raw Data'!$A$2,MATCH($A70,'Schedule Raw Data'!$A$3:$A$2477,0),1,COUNTIF('Schedule Raw Data'!$A$3:$A$2477,$A70),2),M$1),0)</f>
        <v>1</v>
      </c>
      <c r="N70">
        <f>IFERROR(COUNTIF(OFFSET('Schedule Raw Data'!$A$2,MATCH($A70,'Schedule Raw Data'!$A$3:$A$2477,0),1,COUNTIF('Schedule Raw Data'!$A$3:$A$2477,$A70),2),N$1),0)</f>
        <v>1</v>
      </c>
      <c r="O70">
        <f>IFERROR(COUNTIF(OFFSET('Schedule Raw Data'!$A$2,MATCH($A70,'Schedule Raw Data'!$A$3:$A$2477,0),1,COUNTIF('Schedule Raw Data'!$A$3:$A$2477,$A70),2),O$1),0)</f>
        <v>1</v>
      </c>
      <c r="P70">
        <f>IFERROR(COUNTIF(OFFSET('Schedule Raw Data'!$A$2,MATCH($A70,'Schedule Raw Data'!$A$3:$A$2477,0),1,COUNTIF('Schedule Raw Data'!$A$3:$A$2477,$A70),2),P$1),0)</f>
        <v>1</v>
      </c>
      <c r="Q70">
        <f>IFERROR(COUNTIF(OFFSET('Schedule Raw Data'!$A$2,MATCH($A70,'Schedule Raw Data'!$A$3:$A$2477,0),1,COUNTIF('Schedule Raw Data'!$A$3:$A$2477,$A70),2),Q$1),0)</f>
        <v>1</v>
      </c>
      <c r="R70">
        <f>IFERROR(COUNTIF(OFFSET('Schedule Raw Data'!$A$2,MATCH($A70,'Schedule Raw Data'!$A$3:$A$2477,0),1,COUNTIF('Schedule Raw Data'!$A$3:$A$2477,$A70),2),R$1),0)</f>
        <v>1</v>
      </c>
      <c r="S70">
        <f>IFERROR(COUNTIF(OFFSET('Schedule Raw Data'!$A$2,MATCH($A70,'Schedule Raw Data'!$A$3:$A$2477,0),1,COUNTIF('Schedule Raw Data'!$A$3:$A$2477,$A70),2),S$1),0)</f>
        <v>1</v>
      </c>
      <c r="T70">
        <f>IFERROR(COUNTIF(OFFSET('Schedule Raw Data'!$A$2,MATCH($A70,'Schedule Raw Data'!$A$3:$A$2477,0),1,COUNTIF('Schedule Raw Data'!$A$3:$A$2477,$A70),2),T$1),0)</f>
        <v>1</v>
      </c>
      <c r="U70">
        <f>IFERROR(COUNTIF(OFFSET('Schedule Raw Data'!$A$2,MATCH($A70,'Schedule Raw Data'!$A$3:$A$2477,0),1,COUNTIF('Schedule Raw Data'!$A$3:$A$2477,$A70),2),U$1),0)</f>
        <v>0</v>
      </c>
      <c r="V70">
        <f>IFERROR(COUNTIF(OFFSET('Schedule Raw Data'!$A$2,MATCH($A70,'Schedule Raw Data'!$A$3:$A$2477,0),1,COUNTIF('Schedule Raw Data'!$A$3:$A$2477,$A70),2),V$1),0)</f>
        <v>0</v>
      </c>
      <c r="W70">
        <f>IFERROR(COUNTIF(OFFSET('Schedule Raw Data'!$A$2,MATCH($A70,'Schedule Raw Data'!$A$3:$A$2477,0),1,COUNTIF('Schedule Raw Data'!$A$3:$A$2477,$A70),2),W$1),0)</f>
        <v>1</v>
      </c>
      <c r="X70">
        <f>IFERROR(COUNTIF(OFFSET('Schedule Raw Data'!$A$2,MATCH($A70,'Schedule Raw Data'!$A$3:$A$2477,0),1,COUNTIF('Schedule Raw Data'!$A$3:$A$2477,$A70),2),X$1),0)</f>
        <v>1</v>
      </c>
      <c r="Y70">
        <f>IFERROR(COUNTIF(OFFSET('Schedule Raw Data'!$A$2,MATCH($A70,'Schedule Raw Data'!$A$3:$A$2477,0),1,COUNTIF('Schedule Raw Data'!$A$3:$A$2477,$A70),2),Y$1),0)</f>
        <v>0</v>
      </c>
      <c r="Z70">
        <f>IFERROR(COUNTIF(OFFSET('Schedule Raw Data'!$A$2,MATCH($A70,'Schedule Raw Data'!$A$3:$A$2477,0),1,COUNTIF('Schedule Raw Data'!$A$3:$A$2477,$A70),2),Z$1),0)</f>
        <v>0</v>
      </c>
      <c r="AA70">
        <f>IFERROR(COUNTIF(OFFSET('Schedule Raw Data'!$A$2,MATCH($A70,'Schedule Raw Data'!$A$3:$A$2477,0),1,COUNTIF('Schedule Raw Data'!$A$3:$A$2477,$A70),2),AA$1),0)</f>
        <v>1</v>
      </c>
      <c r="AB70">
        <f>IFERROR(COUNTIF(OFFSET('Schedule Raw Data'!$A$2,MATCH($A70,'Schedule Raw Data'!$A$3:$A$2477,0),1,COUNTIF('Schedule Raw Data'!$A$3:$A$2477,$A70),2),AB$1),0)</f>
        <v>1</v>
      </c>
      <c r="AC70">
        <f>IFERROR(COUNTIF(OFFSET('Schedule Raw Data'!$A$2,MATCH($A70,'Schedule Raw Data'!$A$3:$A$2477,0),1,COUNTIF('Schedule Raw Data'!$A$3:$A$2477,$A70),2),AC$1),0)</f>
        <v>0</v>
      </c>
      <c r="AD70">
        <f>IFERROR(COUNTIF(OFFSET('Schedule Raw Data'!$A$2,MATCH($A70,'Schedule Raw Data'!$A$3:$A$2477,0),1,COUNTIF('Schedule Raw Data'!$A$3:$A$2477,$A70),2),AD$1),0)</f>
        <v>1</v>
      </c>
      <c r="AE70">
        <f>IFERROR(COUNTIF(OFFSET('Schedule Raw Data'!$A$2,MATCH($A70,'Schedule Raw Data'!$A$3:$A$2477,0),1,COUNTIF('Schedule Raw Data'!$A$3:$A$2477,$A70),2),AE$1),0)</f>
        <v>0</v>
      </c>
      <c r="AF70">
        <f>IFERROR(COUNTIF(OFFSET('Schedule Raw Data'!$A$2,MATCH($A70,'Schedule Raw Data'!$A$3:$A$2477,0),1,COUNTIF('Schedule Raw Data'!$A$3:$A$2477,$A70),2),AF$1),0)</f>
        <v>1</v>
      </c>
      <c r="AG70">
        <f t="shared" si="1"/>
        <v>12</v>
      </c>
    </row>
    <row r="71">
      <c r="A71" s="30">
        <f t="array" ref="A71">INDEX('Schedule Raw Data'!$A$3:$A$2477,MATCH(0,INDEX(COUNTIF($A$1:A70,'Schedule Raw Data'!$A$3:$A$2477),0,0),0))</f>
        <v>46395</v>
      </c>
      <c r="B71">
        <f t="shared" si="2"/>
        <v>11</v>
      </c>
      <c r="C71">
        <f>IFERROR(COUNTIF(OFFSET('Schedule Raw Data'!$A$2,MATCH($A71,'Schedule Raw Data'!$A$3:$A$2477,0),1,COUNTIF('Schedule Raw Data'!$A$3:$A$2477,$A71),2),C$1),0)</f>
        <v>0</v>
      </c>
      <c r="D71">
        <f>IFERROR(COUNTIF(OFFSET('Schedule Raw Data'!$A$2,MATCH($A71,'Schedule Raw Data'!$A$3:$A$2477,0),1,COUNTIF('Schedule Raw Data'!$A$3:$A$2477,$A71),2),D$1),0)</f>
        <v>0</v>
      </c>
      <c r="E71">
        <f>IFERROR(COUNTIF(OFFSET('Schedule Raw Data'!$A$2,MATCH($A71,'Schedule Raw Data'!$A$3:$A$2477,0),1,COUNTIF('Schedule Raw Data'!$A$3:$A$2477,$A71),2),E$1),0)</f>
        <v>0</v>
      </c>
      <c r="F71">
        <f>IFERROR(COUNTIF(OFFSET('Schedule Raw Data'!$A$2,MATCH($A71,'Schedule Raw Data'!$A$3:$A$2477,0),1,COUNTIF('Schedule Raw Data'!$A$3:$A$2477,$A71),2),F$1),0)</f>
        <v>0</v>
      </c>
      <c r="G71">
        <f>IFERROR(COUNTIF(OFFSET('Schedule Raw Data'!$A$2,MATCH($A71,'Schedule Raw Data'!$A$3:$A$2477,0),1,COUNTIF('Schedule Raw Data'!$A$3:$A$2477,$A71),2),G$1),0)</f>
        <v>0</v>
      </c>
      <c r="H71">
        <f>IFERROR(COUNTIF(OFFSET('Schedule Raw Data'!$A$2,MATCH($A71,'Schedule Raw Data'!$A$3:$A$2477,0),1,COUNTIF('Schedule Raw Data'!$A$3:$A$2477,$A71),2),H$1),0)</f>
        <v>0</v>
      </c>
      <c r="I71">
        <f>IFERROR(COUNTIF(OFFSET('Schedule Raw Data'!$A$2,MATCH($A71,'Schedule Raw Data'!$A$3:$A$2477,0),1,COUNTIF('Schedule Raw Data'!$A$3:$A$2477,$A71),2),I$1),0)</f>
        <v>1</v>
      </c>
      <c r="J71">
        <f>IFERROR(COUNTIF(OFFSET('Schedule Raw Data'!$A$2,MATCH($A71,'Schedule Raw Data'!$A$3:$A$2477,0),1,COUNTIF('Schedule Raw Data'!$A$3:$A$2477,$A71),2),J$1),0)</f>
        <v>0</v>
      </c>
      <c r="K71">
        <f>IFERROR(COUNTIF(OFFSET('Schedule Raw Data'!$A$2,MATCH($A71,'Schedule Raw Data'!$A$3:$A$2477,0),1,COUNTIF('Schedule Raw Data'!$A$3:$A$2477,$A71),2),K$1),0)</f>
        <v>1</v>
      </c>
      <c r="L71">
        <f>IFERROR(COUNTIF(OFFSET('Schedule Raw Data'!$A$2,MATCH($A71,'Schedule Raw Data'!$A$3:$A$2477,0),1,COUNTIF('Schedule Raw Data'!$A$3:$A$2477,$A71),2),L$1),0)</f>
        <v>0</v>
      </c>
      <c r="M71">
        <f>IFERROR(COUNTIF(OFFSET('Schedule Raw Data'!$A$2,MATCH($A71,'Schedule Raw Data'!$A$3:$A$2477,0),1,COUNTIF('Schedule Raw Data'!$A$3:$A$2477,$A71),2),M$1),0)</f>
        <v>0</v>
      </c>
      <c r="N71">
        <f>IFERROR(COUNTIF(OFFSET('Schedule Raw Data'!$A$2,MATCH($A71,'Schedule Raw Data'!$A$3:$A$2477,0),1,COUNTIF('Schedule Raw Data'!$A$3:$A$2477,$A71),2),N$1),0)</f>
        <v>0</v>
      </c>
      <c r="O71">
        <f>IFERROR(COUNTIF(OFFSET('Schedule Raw Data'!$A$2,MATCH($A71,'Schedule Raw Data'!$A$3:$A$2477,0),1,COUNTIF('Schedule Raw Data'!$A$3:$A$2477,$A71),2),O$1),0)</f>
        <v>0</v>
      </c>
      <c r="P71">
        <f>IFERROR(COUNTIF(OFFSET('Schedule Raw Data'!$A$2,MATCH($A71,'Schedule Raw Data'!$A$3:$A$2477,0),1,COUNTIF('Schedule Raw Data'!$A$3:$A$2477,$A71),2),P$1),0)</f>
        <v>1</v>
      </c>
      <c r="Q71">
        <f>IFERROR(COUNTIF(OFFSET('Schedule Raw Data'!$A$2,MATCH($A71,'Schedule Raw Data'!$A$3:$A$2477,0),1,COUNTIF('Schedule Raw Data'!$A$3:$A$2477,$A71),2),Q$1),0)</f>
        <v>1</v>
      </c>
      <c r="R71">
        <f>IFERROR(COUNTIF(OFFSET('Schedule Raw Data'!$A$2,MATCH($A71,'Schedule Raw Data'!$A$3:$A$2477,0),1,COUNTIF('Schedule Raw Data'!$A$3:$A$2477,$A71),2),R$1),0)</f>
        <v>1</v>
      </c>
      <c r="S71">
        <f>IFERROR(COUNTIF(OFFSET('Schedule Raw Data'!$A$2,MATCH($A71,'Schedule Raw Data'!$A$3:$A$2477,0),1,COUNTIF('Schedule Raw Data'!$A$3:$A$2477,$A71),2),S$1),0)</f>
        <v>0</v>
      </c>
      <c r="T71">
        <f>IFERROR(COUNTIF(OFFSET('Schedule Raw Data'!$A$2,MATCH($A71,'Schedule Raw Data'!$A$3:$A$2477,0),1,COUNTIF('Schedule Raw Data'!$A$3:$A$2477,$A71),2),T$1),0)</f>
        <v>1</v>
      </c>
      <c r="U71">
        <f>IFERROR(COUNTIF(OFFSET('Schedule Raw Data'!$A$2,MATCH($A71,'Schedule Raw Data'!$A$3:$A$2477,0),1,COUNTIF('Schedule Raw Data'!$A$3:$A$2477,$A71),2),U$1),0)</f>
        <v>1</v>
      </c>
      <c r="V71">
        <f>IFERROR(COUNTIF(OFFSET('Schedule Raw Data'!$A$2,MATCH($A71,'Schedule Raw Data'!$A$3:$A$2477,0),1,COUNTIF('Schedule Raw Data'!$A$3:$A$2477,$A71),2),V$1),0)</f>
        <v>1</v>
      </c>
      <c r="W71">
        <f>IFERROR(COUNTIF(OFFSET('Schedule Raw Data'!$A$2,MATCH($A71,'Schedule Raw Data'!$A$3:$A$2477,0),1,COUNTIF('Schedule Raw Data'!$A$3:$A$2477,$A71),2),W$1),0)</f>
        <v>0</v>
      </c>
      <c r="X71">
        <f>IFERROR(COUNTIF(OFFSET('Schedule Raw Data'!$A$2,MATCH($A71,'Schedule Raw Data'!$A$3:$A$2477,0),1,COUNTIF('Schedule Raw Data'!$A$3:$A$2477,$A71),2),X$1),0)</f>
        <v>1</v>
      </c>
      <c r="Y71">
        <f>IFERROR(COUNTIF(OFFSET('Schedule Raw Data'!$A$2,MATCH($A71,'Schedule Raw Data'!$A$3:$A$2477,0),1,COUNTIF('Schedule Raw Data'!$A$3:$A$2477,$A71),2),Y$1),0)</f>
        <v>1</v>
      </c>
      <c r="Z71">
        <f>IFERROR(COUNTIF(OFFSET('Schedule Raw Data'!$A$2,MATCH($A71,'Schedule Raw Data'!$A$3:$A$2477,0),1,COUNTIF('Schedule Raw Data'!$A$3:$A$2477,$A71),2),Z$1),0)</f>
        <v>1</v>
      </c>
      <c r="AA71">
        <f>IFERROR(COUNTIF(OFFSET('Schedule Raw Data'!$A$2,MATCH($A71,'Schedule Raw Data'!$A$3:$A$2477,0),1,COUNTIF('Schedule Raw Data'!$A$3:$A$2477,$A71),2),AA$1),0)</f>
        <v>0</v>
      </c>
      <c r="AB71">
        <f>IFERROR(COUNTIF(OFFSET('Schedule Raw Data'!$A$2,MATCH($A71,'Schedule Raw Data'!$A$3:$A$2477,0),1,COUNTIF('Schedule Raw Data'!$A$3:$A$2477,$A71),2),AB$1),0)</f>
        <v>1</v>
      </c>
      <c r="AC71">
        <f>IFERROR(COUNTIF(OFFSET('Schedule Raw Data'!$A$2,MATCH($A71,'Schedule Raw Data'!$A$3:$A$2477,0),1,COUNTIF('Schedule Raw Data'!$A$3:$A$2477,$A71),2),AC$1),0)</f>
        <v>1</v>
      </c>
      <c r="AD71">
        <f>IFERROR(COUNTIF(OFFSET('Schedule Raw Data'!$A$2,MATCH($A71,'Schedule Raw Data'!$A$3:$A$2477,0),1,COUNTIF('Schedule Raw Data'!$A$3:$A$2477,$A71),2),AD$1),0)</f>
        <v>1</v>
      </c>
      <c r="AE71">
        <f>IFERROR(COUNTIF(OFFSET('Schedule Raw Data'!$A$2,MATCH($A71,'Schedule Raw Data'!$A$3:$A$2477,0),1,COUNTIF('Schedule Raw Data'!$A$3:$A$2477,$A71),2),AE$1),0)</f>
        <v>1</v>
      </c>
      <c r="AF71">
        <f>IFERROR(COUNTIF(OFFSET('Schedule Raw Data'!$A$2,MATCH($A71,'Schedule Raw Data'!$A$3:$A$2477,0),1,COUNTIF('Schedule Raw Data'!$A$3:$A$2477,$A71),2),AF$1),0)</f>
        <v>1</v>
      </c>
      <c r="AG71">
        <f t="shared" si="1"/>
        <v>8</v>
      </c>
    </row>
    <row r="72">
      <c r="A72" s="30">
        <f t="array" ref="A72">INDEX('Schedule Raw Data'!$A$3:$A$2477,MATCH(0,INDEX(COUNTIF($A$1:A71,'Schedule Raw Data'!$A$3:$A$2477),0,0),0))</f>
        <v>46396</v>
      </c>
      <c r="B72">
        <f t="shared" si="2"/>
        <v>11</v>
      </c>
      <c r="C72">
        <f>IFERROR(COUNTIF(OFFSET('Schedule Raw Data'!$A$2,MATCH($A72,'Schedule Raw Data'!$A$3:$A$2477,0),1,COUNTIF('Schedule Raw Data'!$A$3:$A$2477,$A72),2),C$1),0)</f>
        <v>0</v>
      </c>
      <c r="D72">
        <f>IFERROR(COUNTIF(OFFSET('Schedule Raw Data'!$A$2,MATCH($A72,'Schedule Raw Data'!$A$3:$A$2477,0),1,COUNTIF('Schedule Raw Data'!$A$3:$A$2477,$A72),2),D$1),0)</f>
        <v>1</v>
      </c>
      <c r="E72">
        <f>IFERROR(COUNTIF(OFFSET('Schedule Raw Data'!$A$2,MATCH($A72,'Schedule Raw Data'!$A$3:$A$2477,0),1,COUNTIF('Schedule Raw Data'!$A$3:$A$2477,$A72),2),E$1),0)</f>
        <v>1</v>
      </c>
      <c r="F72">
        <f>IFERROR(COUNTIF(OFFSET('Schedule Raw Data'!$A$2,MATCH($A72,'Schedule Raw Data'!$A$3:$A$2477,0),1,COUNTIF('Schedule Raw Data'!$A$3:$A$2477,$A72),2),F$1),0)</f>
        <v>1</v>
      </c>
      <c r="G72">
        <f>IFERROR(COUNTIF(OFFSET('Schedule Raw Data'!$A$2,MATCH($A72,'Schedule Raw Data'!$A$3:$A$2477,0),1,COUNTIF('Schedule Raw Data'!$A$3:$A$2477,$A72),2),G$1),0)</f>
        <v>1</v>
      </c>
      <c r="H72">
        <f>IFERROR(COUNTIF(OFFSET('Schedule Raw Data'!$A$2,MATCH($A72,'Schedule Raw Data'!$A$3:$A$2477,0),1,COUNTIF('Schedule Raw Data'!$A$3:$A$2477,$A72),2),H$1),0)</f>
        <v>1</v>
      </c>
      <c r="I72">
        <f>IFERROR(COUNTIF(OFFSET('Schedule Raw Data'!$A$2,MATCH($A72,'Schedule Raw Data'!$A$3:$A$2477,0),1,COUNTIF('Schedule Raw Data'!$A$3:$A$2477,$A72),2),I$1),0)</f>
        <v>0</v>
      </c>
      <c r="J72">
        <f>IFERROR(COUNTIF(OFFSET('Schedule Raw Data'!$A$2,MATCH($A72,'Schedule Raw Data'!$A$3:$A$2477,0),1,COUNTIF('Schedule Raw Data'!$A$3:$A$2477,$A72),2),J$1),0)</f>
        <v>1</v>
      </c>
      <c r="K72">
        <f>IFERROR(COUNTIF(OFFSET('Schedule Raw Data'!$A$2,MATCH($A72,'Schedule Raw Data'!$A$3:$A$2477,0),1,COUNTIF('Schedule Raw Data'!$A$3:$A$2477,$A72),2),K$1),0)</f>
        <v>0</v>
      </c>
      <c r="L72">
        <f>IFERROR(COUNTIF(OFFSET('Schedule Raw Data'!$A$2,MATCH($A72,'Schedule Raw Data'!$A$3:$A$2477,0),1,COUNTIF('Schedule Raw Data'!$A$3:$A$2477,$A72),2),L$1),0)</f>
        <v>1</v>
      </c>
      <c r="M72">
        <f>IFERROR(COUNTIF(OFFSET('Schedule Raw Data'!$A$2,MATCH($A72,'Schedule Raw Data'!$A$3:$A$2477,0),1,COUNTIF('Schedule Raw Data'!$A$3:$A$2477,$A72),2),M$1),0)</f>
        <v>1</v>
      </c>
      <c r="N72">
        <f>IFERROR(COUNTIF(OFFSET('Schedule Raw Data'!$A$2,MATCH($A72,'Schedule Raw Data'!$A$3:$A$2477,0),1,COUNTIF('Schedule Raw Data'!$A$3:$A$2477,$A72),2),N$1),0)</f>
        <v>1</v>
      </c>
      <c r="O72">
        <f>IFERROR(COUNTIF(OFFSET('Schedule Raw Data'!$A$2,MATCH($A72,'Schedule Raw Data'!$A$3:$A$2477,0),1,COUNTIF('Schedule Raw Data'!$A$3:$A$2477,$A72),2),O$1),0)</f>
        <v>1</v>
      </c>
      <c r="P72">
        <f>IFERROR(COUNTIF(OFFSET('Schedule Raw Data'!$A$2,MATCH($A72,'Schedule Raw Data'!$A$3:$A$2477,0),1,COUNTIF('Schedule Raw Data'!$A$3:$A$2477,$A72),2),P$1),0)</f>
        <v>0</v>
      </c>
      <c r="Q72">
        <f>IFERROR(COUNTIF(OFFSET('Schedule Raw Data'!$A$2,MATCH($A72,'Schedule Raw Data'!$A$3:$A$2477,0),1,COUNTIF('Schedule Raw Data'!$A$3:$A$2477,$A72),2),Q$1),0)</f>
        <v>0</v>
      </c>
      <c r="R72">
        <f>IFERROR(COUNTIF(OFFSET('Schedule Raw Data'!$A$2,MATCH($A72,'Schedule Raw Data'!$A$3:$A$2477,0),1,COUNTIF('Schedule Raw Data'!$A$3:$A$2477,$A72),2),R$1),0)</f>
        <v>0</v>
      </c>
      <c r="S72">
        <f>IFERROR(COUNTIF(OFFSET('Schedule Raw Data'!$A$2,MATCH($A72,'Schedule Raw Data'!$A$3:$A$2477,0),1,COUNTIF('Schedule Raw Data'!$A$3:$A$2477,$A72),2),S$1),0)</f>
        <v>1</v>
      </c>
      <c r="T72">
        <f>IFERROR(COUNTIF(OFFSET('Schedule Raw Data'!$A$2,MATCH($A72,'Schedule Raw Data'!$A$3:$A$2477,0),1,COUNTIF('Schedule Raw Data'!$A$3:$A$2477,$A72),2),T$1),0)</f>
        <v>0</v>
      </c>
      <c r="U72">
        <f>IFERROR(COUNTIF(OFFSET('Schedule Raw Data'!$A$2,MATCH($A72,'Schedule Raw Data'!$A$3:$A$2477,0),1,COUNTIF('Schedule Raw Data'!$A$3:$A$2477,$A72),2),U$1),0)</f>
        <v>0</v>
      </c>
      <c r="V72">
        <f>IFERROR(COUNTIF(OFFSET('Schedule Raw Data'!$A$2,MATCH($A72,'Schedule Raw Data'!$A$3:$A$2477,0),1,COUNTIF('Schedule Raw Data'!$A$3:$A$2477,$A72),2),V$1),0)</f>
        <v>0</v>
      </c>
      <c r="W72">
        <f>IFERROR(COUNTIF(OFFSET('Schedule Raw Data'!$A$2,MATCH($A72,'Schedule Raw Data'!$A$3:$A$2477,0),1,COUNTIF('Schedule Raw Data'!$A$3:$A$2477,$A72),2),W$1),0)</f>
        <v>0</v>
      </c>
      <c r="X72">
        <f>IFERROR(COUNTIF(OFFSET('Schedule Raw Data'!$A$2,MATCH($A72,'Schedule Raw Data'!$A$3:$A$2477,0),1,COUNTIF('Schedule Raw Data'!$A$3:$A$2477,$A72),2),X$1),0)</f>
        <v>0</v>
      </c>
      <c r="Y72">
        <f>IFERROR(COUNTIF(OFFSET('Schedule Raw Data'!$A$2,MATCH($A72,'Schedule Raw Data'!$A$3:$A$2477,0),1,COUNTIF('Schedule Raw Data'!$A$3:$A$2477,$A72),2),Y$1),0)</f>
        <v>0</v>
      </c>
      <c r="Z72">
        <f>IFERROR(COUNTIF(OFFSET('Schedule Raw Data'!$A$2,MATCH($A72,'Schedule Raw Data'!$A$3:$A$2477,0),1,COUNTIF('Schedule Raw Data'!$A$3:$A$2477,$A72),2),Z$1),0)</f>
        <v>0</v>
      </c>
      <c r="AA72">
        <f>IFERROR(COUNTIF(OFFSET('Schedule Raw Data'!$A$2,MATCH($A72,'Schedule Raw Data'!$A$3:$A$2477,0),1,COUNTIF('Schedule Raw Data'!$A$3:$A$2477,$A72),2),AA$1),0)</f>
        <v>1</v>
      </c>
      <c r="AB72">
        <f>IFERROR(COUNTIF(OFFSET('Schedule Raw Data'!$A$2,MATCH($A72,'Schedule Raw Data'!$A$3:$A$2477,0),1,COUNTIF('Schedule Raw Data'!$A$3:$A$2477,$A72),2),AB$1),0)</f>
        <v>0</v>
      </c>
      <c r="AC72">
        <f>IFERROR(COUNTIF(OFFSET('Schedule Raw Data'!$A$2,MATCH($A72,'Schedule Raw Data'!$A$3:$A$2477,0),1,COUNTIF('Schedule Raw Data'!$A$3:$A$2477,$A72),2),AC$1),0)</f>
        <v>0</v>
      </c>
      <c r="AD72">
        <f>IFERROR(COUNTIF(OFFSET('Schedule Raw Data'!$A$2,MATCH($A72,'Schedule Raw Data'!$A$3:$A$2477,0),1,COUNTIF('Schedule Raw Data'!$A$3:$A$2477,$A72),2),AD$1),0)</f>
        <v>0</v>
      </c>
      <c r="AE72">
        <f>IFERROR(COUNTIF(OFFSET('Schedule Raw Data'!$A$2,MATCH($A72,'Schedule Raw Data'!$A$3:$A$2477,0),1,COUNTIF('Schedule Raw Data'!$A$3:$A$2477,$A72),2),AE$1),0)</f>
        <v>0</v>
      </c>
      <c r="AF72">
        <f>IFERROR(COUNTIF(OFFSET('Schedule Raw Data'!$A$2,MATCH($A72,'Schedule Raw Data'!$A$3:$A$2477,0),1,COUNTIF('Schedule Raw Data'!$A$3:$A$2477,$A72),2),AF$1),0)</f>
        <v>0</v>
      </c>
      <c r="AG72">
        <f t="shared" si="1"/>
        <v>6</v>
      </c>
    </row>
    <row r="73">
      <c r="A73" s="30">
        <f t="array" ref="A73">INDEX('Schedule Raw Data'!$A$3:$A$2477,MATCH(0,INDEX(COUNTIF($A$1:A72,'Schedule Raw Data'!$A$3:$A$2477),0,0),0))</f>
        <v>46397</v>
      </c>
      <c r="B73">
        <f t="shared" si="2"/>
        <v>11</v>
      </c>
      <c r="C73">
        <f>IFERROR(COUNTIF(OFFSET('Schedule Raw Data'!$A$2,MATCH($A73,'Schedule Raw Data'!$A$3:$A$2477,0),1,COUNTIF('Schedule Raw Data'!$A$3:$A$2477,$A73),2),C$1),0)</f>
        <v>1</v>
      </c>
      <c r="D73">
        <f>IFERROR(COUNTIF(OFFSET('Schedule Raw Data'!$A$2,MATCH($A73,'Schedule Raw Data'!$A$3:$A$2477,0),1,COUNTIF('Schedule Raw Data'!$A$3:$A$2477,$A73),2),D$1),0)</f>
        <v>0</v>
      </c>
      <c r="E73">
        <f>IFERROR(COUNTIF(OFFSET('Schedule Raw Data'!$A$2,MATCH($A73,'Schedule Raw Data'!$A$3:$A$2477,0),1,COUNTIF('Schedule Raw Data'!$A$3:$A$2477,$A73),2),E$1),0)</f>
        <v>0</v>
      </c>
      <c r="F73">
        <f>IFERROR(COUNTIF(OFFSET('Schedule Raw Data'!$A$2,MATCH($A73,'Schedule Raw Data'!$A$3:$A$2477,0),1,COUNTIF('Schedule Raw Data'!$A$3:$A$2477,$A73),2),F$1),0)</f>
        <v>1</v>
      </c>
      <c r="G73">
        <f>IFERROR(COUNTIF(OFFSET('Schedule Raw Data'!$A$2,MATCH($A73,'Schedule Raw Data'!$A$3:$A$2477,0),1,COUNTIF('Schedule Raw Data'!$A$3:$A$2477,$A73),2),G$1),0)</f>
        <v>1</v>
      </c>
      <c r="H73">
        <f>IFERROR(COUNTIF(OFFSET('Schedule Raw Data'!$A$2,MATCH($A73,'Schedule Raw Data'!$A$3:$A$2477,0),1,COUNTIF('Schedule Raw Data'!$A$3:$A$2477,$A73),2),H$1),0)</f>
        <v>0</v>
      </c>
      <c r="I73">
        <f>IFERROR(COUNTIF(OFFSET('Schedule Raw Data'!$A$2,MATCH($A73,'Schedule Raw Data'!$A$3:$A$2477,0),1,COUNTIF('Schedule Raw Data'!$A$3:$A$2477,$A73),2),I$1),0)</f>
        <v>1</v>
      </c>
      <c r="J73">
        <f>IFERROR(COUNTIF(OFFSET('Schedule Raw Data'!$A$2,MATCH($A73,'Schedule Raw Data'!$A$3:$A$2477,0),1,COUNTIF('Schedule Raw Data'!$A$3:$A$2477,$A73),2),J$1),0)</f>
        <v>0</v>
      </c>
      <c r="K73">
        <f>IFERROR(COUNTIF(OFFSET('Schedule Raw Data'!$A$2,MATCH($A73,'Schedule Raw Data'!$A$3:$A$2477,0),1,COUNTIF('Schedule Raw Data'!$A$3:$A$2477,$A73),2),K$1),0)</f>
        <v>1</v>
      </c>
      <c r="L73">
        <f>IFERROR(COUNTIF(OFFSET('Schedule Raw Data'!$A$2,MATCH($A73,'Schedule Raw Data'!$A$3:$A$2477,0),1,COUNTIF('Schedule Raw Data'!$A$3:$A$2477,$A73),2),L$1),0)</f>
        <v>0</v>
      </c>
      <c r="M73">
        <f>IFERROR(COUNTIF(OFFSET('Schedule Raw Data'!$A$2,MATCH($A73,'Schedule Raw Data'!$A$3:$A$2477,0),1,COUNTIF('Schedule Raw Data'!$A$3:$A$2477,$A73),2),M$1),0)</f>
        <v>0</v>
      </c>
      <c r="N73">
        <f>IFERROR(COUNTIF(OFFSET('Schedule Raw Data'!$A$2,MATCH($A73,'Schedule Raw Data'!$A$3:$A$2477,0),1,COUNTIF('Schedule Raw Data'!$A$3:$A$2477,$A73),2),N$1),0)</f>
        <v>0</v>
      </c>
      <c r="O73">
        <f>IFERROR(COUNTIF(OFFSET('Schedule Raw Data'!$A$2,MATCH($A73,'Schedule Raw Data'!$A$3:$A$2477,0),1,COUNTIF('Schedule Raw Data'!$A$3:$A$2477,$A73),2),O$1),0)</f>
        <v>0</v>
      </c>
      <c r="P73">
        <f>IFERROR(COUNTIF(OFFSET('Schedule Raw Data'!$A$2,MATCH($A73,'Schedule Raw Data'!$A$3:$A$2477,0),1,COUNTIF('Schedule Raw Data'!$A$3:$A$2477,$A73),2),P$1),0)</f>
        <v>0</v>
      </c>
      <c r="Q73">
        <f>IFERROR(COUNTIF(OFFSET('Schedule Raw Data'!$A$2,MATCH($A73,'Schedule Raw Data'!$A$3:$A$2477,0),1,COUNTIF('Schedule Raw Data'!$A$3:$A$2477,$A73),2),Q$1),0)</f>
        <v>1</v>
      </c>
      <c r="R73">
        <f>IFERROR(COUNTIF(OFFSET('Schedule Raw Data'!$A$2,MATCH($A73,'Schedule Raw Data'!$A$3:$A$2477,0),1,COUNTIF('Schedule Raw Data'!$A$3:$A$2477,$A73),2),R$1),0)</f>
        <v>1</v>
      </c>
      <c r="S73">
        <f>IFERROR(COUNTIF(OFFSET('Schedule Raw Data'!$A$2,MATCH($A73,'Schedule Raw Data'!$A$3:$A$2477,0),1,COUNTIF('Schedule Raw Data'!$A$3:$A$2477,$A73),2),S$1),0)</f>
        <v>0</v>
      </c>
      <c r="T73">
        <f>IFERROR(COUNTIF(OFFSET('Schedule Raw Data'!$A$2,MATCH($A73,'Schedule Raw Data'!$A$3:$A$2477,0),1,COUNTIF('Schedule Raw Data'!$A$3:$A$2477,$A73),2),T$1),0)</f>
        <v>0</v>
      </c>
      <c r="U73">
        <f>IFERROR(COUNTIF(OFFSET('Schedule Raw Data'!$A$2,MATCH($A73,'Schedule Raw Data'!$A$3:$A$2477,0),1,COUNTIF('Schedule Raw Data'!$A$3:$A$2477,$A73),2),U$1),0)</f>
        <v>1</v>
      </c>
      <c r="V73">
        <f>IFERROR(COUNTIF(OFFSET('Schedule Raw Data'!$A$2,MATCH($A73,'Schedule Raw Data'!$A$3:$A$2477,0),1,COUNTIF('Schedule Raw Data'!$A$3:$A$2477,$A73),2),V$1),0)</f>
        <v>0</v>
      </c>
      <c r="W73">
        <f>IFERROR(COUNTIF(OFFSET('Schedule Raw Data'!$A$2,MATCH($A73,'Schedule Raw Data'!$A$3:$A$2477,0),1,COUNTIF('Schedule Raw Data'!$A$3:$A$2477,$A73),2),W$1),0)</f>
        <v>1</v>
      </c>
      <c r="X73">
        <f>IFERROR(COUNTIF(OFFSET('Schedule Raw Data'!$A$2,MATCH($A73,'Schedule Raw Data'!$A$3:$A$2477,0),1,COUNTIF('Schedule Raw Data'!$A$3:$A$2477,$A73),2),X$1),0)</f>
        <v>1</v>
      </c>
      <c r="Y73">
        <f>IFERROR(COUNTIF(OFFSET('Schedule Raw Data'!$A$2,MATCH($A73,'Schedule Raw Data'!$A$3:$A$2477,0),1,COUNTIF('Schedule Raw Data'!$A$3:$A$2477,$A73),2),Y$1),0)</f>
        <v>1</v>
      </c>
      <c r="Z73">
        <f>IFERROR(COUNTIF(OFFSET('Schedule Raw Data'!$A$2,MATCH($A73,'Schedule Raw Data'!$A$3:$A$2477,0),1,COUNTIF('Schedule Raw Data'!$A$3:$A$2477,$A73),2),Z$1),0)</f>
        <v>1</v>
      </c>
      <c r="AA73">
        <f>IFERROR(COUNTIF(OFFSET('Schedule Raw Data'!$A$2,MATCH($A73,'Schedule Raw Data'!$A$3:$A$2477,0),1,COUNTIF('Schedule Raw Data'!$A$3:$A$2477,$A73),2),AA$1),0)</f>
        <v>0</v>
      </c>
      <c r="AB73">
        <f>IFERROR(COUNTIF(OFFSET('Schedule Raw Data'!$A$2,MATCH($A73,'Schedule Raw Data'!$A$3:$A$2477,0),1,COUNTIF('Schedule Raw Data'!$A$3:$A$2477,$A73),2),AB$1),0)</f>
        <v>1</v>
      </c>
      <c r="AC73">
        <f>IFERROR(COUNTIF(OFFSET('Schedule Raw Data'!$A$2,MATCH($A73,'Schedule Raw Data'!$A$3:$A$2477,0),1,COUNTIF('Schedule Raw Data'!$A$3:$A$2477,$A73),2),AC$1),0)</f>
        <v>1</v>
      </c>
      <c r="AD73">
        <f>IFERROR(COUNTIF(OFFSET('Schedule Raw Data'!$A$2,MATCH($A73,'Schedule Raw Data'!$A$3:$A$2477,0),1,COUNTIF('Schedule Raw Data'!$A$3:$A$2477,$A73),2),AD$1),0)</f>
        <v>1</v>
      </c>
      <c r="AE73">
        <f>IFERROR(COUNTIF(OFFSET('Schedule Raw Data'!$A$2,MATCH($A73,'Schedule Raw Data'!$A$3:$A$2477,0),1,COUNTIF('Schedule Raw Data'!$A$3:$A$2477,$A73),2),AE$1),0)</f>
        <v>1</v>
      </c>
      <c r="AF73">
        <f>IFERROR(COUNTIF(OFFSET('Schedule Raw Data'!$A$2,MATCH($A73,'Schedule Raw Data'!$A$3:$A$2477,0),1,COUNTIF('Schedule Raw Data'!$A$3:$A$2477,$A73),2),AF$1),0)</f>
        <v>0</v>
      </c>
      <c r="AG73">
        <f t="shared" si="1"/>
        <v>8</v>
      </c>
    </row>
    <row r="74">
      <c r="A74" s="30">
        <f t="array" ref="A74">INDEX('Schedule Raw Data'!$A$3:$A$2477,MATCH(0,INDEX(COUNTIF($A$1:A73,'Schedule Raw Data'!$A$3:$A$2477),0,0),0))</f>
        <v>46398</v>
      </c>
      <c r="B74">
        <f t="shared" si="2"/>
        <v>12</v>
      </c>
      <c r="C74">
        <f>IFERROR(COUNTIF(OFFSET('Schedule Raw Data'!$A$2,MATCH($A74,'Schedule Raw Data'!$A$3:$A$2477,0),1,COUNTIF('Schedule Raw Data'!$A$3:$A$2477,$A74),2),C$1),0)</f>
        <v>1</v>
      </c>
      <c r="D74">
        <f>IFERROR(COUNTIF(OFFSET('Schedule Raw Data'!$A$2,MATCH($A74,'Schedule Raw Data'!$A$3:$A$2477,0),1,COUNTIF('Schedule Raw Data'!$A$3:$A$2477,$A74),2),D$1),0)</f>
        <v>1</v>
      </c>
      <c r="E74">
        <f>IFERROR(COUNTIF(OFFSET('Schedule Raw Data'!$A$2,MATCH($A74,'Schedule Raw Data'!$A$3:$A$2477,0),1,COUNTIF('Schedule Raw Data'!$A$3:$A$2477,$A74),2),E$1),0)</f>
        <v>1</v>
      </c>
      <c r="F74">
        <f>IFERROR(COUNTIF(OFFSET('Schedule Raw Data'!$A$2,MATCH($A74,'Schedule Raw Data'!$A$3:$A$2477,0),1,COUNTIF('Schedule Raw Data'!$A$3:$A$2477,$A74),2),F$1),0)</f>
        <v>0</v>
      </c>
      <c r="G74">
        <f>IFERROR(COUNTIF(OFFSET('Schedule Raw Data'!$A$2,MATCH($A74,'Schedule Raw Data'!$A$3:$A$2477,0),1,COUNTIF('Schedule Raw Data'!$A$3:$A$2477,$A74),2),G$1),0)</f>
        <v>0</v>
      </c>
      <c r="H74">
        <f>IFERROR(COUNTIF(OFFSET('Schedule Raw Data'!$A$2,MATCH($A74,'Schedule Raw Data'!$A$3:$A$2477,0),1,COUNTIF('Schedule Raw Data'!$A$3:$A$2477,$A74),2),H$1),0)</f>
        <v>1</v>
      </c>
      <c r="I74">
        <f>IFERROR(COUNTIF(OFFSET('Schedule Raw Data'!$A$2,MATCH($A74,'Schedule Raw Data'!$A$3:$A$2477,0),1,COUNTIF('Schedule Raw Data'!$A$3:$A$2477,$A74),2),I$1),0)</f>
        <v>0</v>
      </c>
      <c r="J74">
        <f>IFERROR(COUNTIF(OFFSET('Schedule Raw Data'!$A$2,MATCH($A74,'Schedule Raw Data'!$A$3:$A$2477,0),1,COUNTIF('Schedule Raw Data'!$A$3:$A$2477,$A74),2),J$1),0)</f>
        <v>1</v>
      </c>
      <c r="K74">
        <f>IFERROR(COUNTIF(OFFSET('Schedule Raw Data'!$A$2,MATCH($A74,'Schedule Raw Data'!$A$3:$A$2477,0),1,COUNTIF('Schedule Raw Data'!$A$3:$A$2477,$A74),2),K$1),0)</f>
        <v>0</v>
      </c>
      <c r="L74">
        <f>IFERROR(COUNTIF(OFFSET('Schedule Raw Data'!$A$2,MATCH($A74,'Schedule Raw Data'!$A$3:$A$2477,0),1,COUNTIF('Schedule Raw Data'!$A$3:$A$2477,$A74),2),L$1),0)</f>
        <v>0</v>
      </c>
      <c r="M74">
        <f>IFERROR(COUNTIF(OFFSET('Schedule Raw Data'!$A$2,MATCH($A74,'Schedule Raw Data'!$A$3:$A$2477,0),1,COUNTIF('Schedule Raw Data'!$A$3:$A$2477,$A74),2),M$1),0)</f>
        <v>1</v>
      </c>
      <c r="N74">
        <f>IFERROR(COUNTIF(OFFSET('Schedule Raw Data'!$A$2,MATCH($A74,'Schedule Raw Data'!$A$3:$A$2477,0),1,COUNTIF('Schedule Raw Data'!$A$3:$A$2477,$A74),2),N$1),0)</f>
        <v>1</v>
      </c>
      <c r="O74">
        <f>IFERROR(COUNTIF(OFFSET('Schedule Raw Data'!$A$2,MATCH($A74,'Schedule Raw Data'!$A$3:$A$2477,0),1,COUNTIF('Schedule Raw Data'!$A$3:$A$2477,$A74),2),O$1),0)</f>
        <v>1</v>
      </c>
      <c r="P74">
        <f>IFERROR(COUNTIF(OFFSET('Schedule Raw Data'!$A$2,MATCH($A74,'Schedule Raw Data'!$A$3:$A$2477,0),1,COUNTIF('Schedule Raw Data'!$A$3:$A$2477,$A74),2),P$1),0)</f>
        <v>1</v>
      </c>
      <c r="Q74">
        <f>IFERROR(COUNTIF(OFFSET('Schedule Raw Data'!$A$2,MATCH($A74,'Schedule Raw Data'!$A$3:$A$2477,0),1,COUNTIF('Schedule Raw Data'!$A$3:$A$2477,$A74),2),Q$1),0)</f>
        <v>0</v>
      </c>
      <c r="R74">
        <f>IFERROR(COUNTIF(OFFSET('Schedule Raw Data'!$A$2,MATCH($A74,'Schedule Raw Data'!$A$3:$A$2477,0),1,COUNTIF('Schedule Raw Data'!$A$3:$A$2477,$A74),2),R$1),0)</f>
        <v>0</v>
      </c>
      <c r="S74">
        <f>IFERROR(COUNTIF(OFFSET('Schedule Raw Data'!$A$2,MATCH($A74,'Schedule Raw Data'!$A$3:$A$2477,0),1,COUNTIF('Schedule Raw Data'!$A$3:$A$2477,$A74),2),S$1),0)</f>
        <v>0</v>
      </c>
      <c r="T74">
        <f>IFERROR(COUNTIF(OFFSET('Schedule Raw Data'!$A$2,MATCH($A74,'Schedule Raw Data'!$A$3:$A$2477,0),1,COUNTIF('Schedule Raw Data'!$A$3:$A$2477,$A74),2),T$1),0)</f>
        <v>1</v>
      </c>
      <c r="U74">
        <f>IFERROR(COUNTIF(OFFSET('Schedule Raw Data'!$A$2,MATCH($A74,'Schedule Raw Data'!$A$3:$A$2477,0),1,COUNTIF('Schedule Raw Data'!$A$3:$A$2477,$A74),2),U$1),0)</f>
        <v>0</v>
      </c>
      <c r="V74">
        <f>IFERROR(COUNTIF(OFFSET('Schedule Raw Data'!$A$2,MATCH($A74,'Schedule Raw Data'!$A$3:$A$2477,0),1,COUNTIF('Schedule Raw Data'!$A$3:$A$2477,$A74),2),V$1),0)</f>
        <v>1</v>
      </c>
      <c r="W74">
        <f>IFERROR(COUNTIF(OFFSET('Schedule Raw Data'!$A$2,MATCH($A74,'Schedule Raw Data'!$A$3:$A$2477,0),1,COUNTIF('Schedule Raw Data'!$A$3:$A$2477,$A74),2),W$1),0)</f>
        <v>0</v>
      </c>
      <c r="X74">
        <f>IFERROR(COUNTIF(OFFSET('Schedule Raw Data'!$A$2,MATCH($A74,'Schedule Raw Data'!$A$3:$A$2477,0),1,COUNTIF('Schedule Raw Data'!$A$3:$A$2477,$A74),2),X$1),0)</f>
        <v>0</v>
      </c>
      <c r="Y74">
        <f>IFERROR(COUNTIF(OFFSET('Schedule Raw Data'!$A$2,MATCH($A74,'Schedule Raw Data'!$A$3:$A$2477,0),1,COUNTIF('Schedule Raw Data'!$A$3:$A$2477,$A74),2),Y$1),0)</f>
        <v>0</v>
      </c>
      <c r="Z74">
        <f>IFERROR(COUNTIF(OFFSET('Schedule Raw Data'!$A$2,MATCH($A74,'Schedule Raw Data'!$A$3:$A$2477,0),1,COUNTIF('Schedule Raw Data'!$A$3:$A$2477,$A74),2),Z$1),0)</f>
        <v>0</v>
      </c>
      <c r="AA74">
        <f>IFERROR(COUNTIF(OFFSET('Schedule Raw Data'!$A$2,MATCH($A74,'Schedule Raw Data'!$A$3:$A$2477,0),1,COUNTIF('Schedule Raw Data'!$A$3:$A$2477,$A74),2),AA$1),0)</f>
        <v>0</v>
      </c>
      <c r="AB74">
        <f>IFERROR(COUNTIF(OFFSET('Schedule Raw Data'!$A$2,MATCH($A74,'Schedule Raw Data'!$A$3:$A$2477,0),1,COUNTIF('Schedule Raw Data'!$A$3:$A$2477,$A74),2),AB$1),0)</f>
        <v>0</v>
      </c>
      <c r="AC74">
        <f>IFERROR(COUNTIF(OFFSET('Schedule Raw Data'!$A$2,MATCH($A74,'Schedule Raw Data'!$A$3:$A$2477,0),1,COUNTIF('Schedule Raw Data'!$A$3:$A$2477,$A74),2),AC$1),0)</f>
        <v>0</v>
      </c>
      <c r="AD74">
        <f>IFERROR(COUNTIF(OFFSET('Schedule Raw Data'!$A$2,MATCH($A74,'Schedule Raw Data'!$A$3:$A$2477,0),1,COUNTIF('Schedule Raw Data'!$A$3:$A$2477,$A74),2),AD$1),0)</f>
        <v>0</v>
      </c>
      <c r="AE74">
        <f>IFERROR(COUNTIF(OFFSET('Schedule Raw Data'!$A$2,MATCH($A74,'Schedule Raw Data'!$A$3:$A$2477,0),1,COUNTIF('Schedule Raw Data'!$A$3:$A$2477,$A74),2),AE$1),0)</f>
        <v>0</v>
      </c>
      <c r="AF74">
        <f>IFERROR(COUNTIF(OFFSET('Schedule Raw Data'!$A$2,MATCH($A74,'Schedule Raw Data'!$A$3:$A$2477,0),1,COUNTIF('Schedule Raw Data'!$A$3:$A$2477,$A74),2),AF$1),0)</f>
        <v>1</v>
      </c>
      <c r="AG74">
        <f t="shared" si="1"/>
        <v>6</v>
      </c>
    </row>
    <row r="75">
      <c r="A75" s="30">
        <f t="array" ref="A75">INDEX('Schedule Raw Data'!$A$3:$A$2477,MATCH(0,INDEX(COUNTIF($A$1:A74,'Schedule Raw Data'!$A$3:$A$2477),0,0),0))</f>
        <v>46399</v>
      </c>
      <c r="B75">
        <f t="shared" si="2"/>
        <v>12</v>
      </c>
      <c r="C75">
        <f>IFERROR(COUNTIF(OFFSET('Schedule Raw Data'!$A$2,MATCH($A75,'Schedule Raw Data'!$A$3:$A$2477,0),1,COUNTIF('Schedule Raw Data'!$A$3:$A$2477,$A75),2),C$1),0)</f>
        <v>0</v>
      </c>
      <c r="D75">
        <f>IFERROR(COUNTIF(OFFSET('Schedule Raw Data'!$A$2,MATCH($A75,'Schedule Raw Data'!$A$3:$A$2477,0),1,COUNTIF('Schedule Raw Data'!$A$3:$A$2477,$A75),2),D$1),0)</f>
        <v>1</v>
      </c>
      <c r="E75">
        <f>IFERROR(COUNTIF(OFFSET('Schedule Raw Data'!$A$2,MATCH($A75,'Schedule Raw Data'!$A$3:$A$2477,0),1,COUNTIF('Schedule Raw Data'!$A$3:$A$2477,$A75),2),E$1),0)</f>
        <v>0</v>
      </c>
      <c r="F75">
        <f>IFERROR(COUNTIF(OFFSET('Schedule Raw Data'!$A$2,MATCH($A75,'Schedule Raw Data'!$A$3:$A$2477,0),1,COUNTIF('Schedule Raw Data'!$A$3:$A$2477,$A75),2),F$1),0)</f>
        <v>0</v>
      </c>
      <c r="G75">
        <f>IFERROR(COUNTIF(OFFSET('Schedule Raw Data'!$A$2,MATCH($A75,'Schedule Raw Data'!$A$3:$A$2477,0),1,COUNTIF('Schedule Raw Data'!$A$3:$A$2477,$A75),2),G$1),0)</f>
        <v>1</v>
      </c>
      <c r="H75">
        <f>IFERROR(COUNTIF(OFFSET('Schedule Raw Data'!$A$2,MATCH($A75,'Schedule Raw Data'!$A$3:$A$2477,0),1,COUNTIF('Schedule Raw Data'!$A$3:$A$2477,$A75),2),H$1),0)</f>
        <v>0</v>
      </c>
      <c r="I75">
        <f>IFERROR(COUNTIF(OFFSET('Schedule Raw Data'!$A$2,MATCH($A75,'Schedule Raw Data'!$A$3:$A$2477,0),1,COUNTIF('Schedule Raw Data'!$A$3:$A$2477,$A75),2),I$1),0)</f>
        <v>1</v>
      </c>
      <c r="J75">
        <f>IFERROR(COUNTIF(OFFSET('Schedule Raw Data'!$A$2,MATCH($A75,'Schedule Raw Data'!$A$3:$A$2477,0),1,COUNTIF('Schedule Raw Data'!$A$3:$A$2477,$A75),2),J$1),0)</f>
        <v>1</v>
      </c>
      <c r="K75">
        <f>IFERROR(COUNTIF(OFFSET('Schedule Raw Data'!$A$2,MATCH($A75,'Schedule Raw Data'!$A$3:$A$2477,0),1,COUNTIF('Schedule Raw Data'!$A$3:$A$2477,$A75),2),K$1),0)</f>
        <v>1</v>
      </c>
      <c r="L75">
        <f>IFERROR(COUNTIF(OFFSET('Schedule Raw Data'!$A$2,MATCH($A75,'Schedule Raw Data'!$A$3:$A$2477,0),1,COUNTIF('Schedule Raw Data'!$A$3:$A$2477,$A75),2),L$1),0)</f>
        <v>1</v>
      </c>
      <c r="M75">
        <f>IFERROR(COUNTIF(OFFSET('Schedule Raw Data'!$A$2,MATCH($A75,'Schedule Raw Data'!$A$3:$A$2477,0),1,COUNTIF('Schedule Raw Data'!$A$3:$A$2477,$A75),2),M$1),0)</f>
        <v>0</v>
      </c>
      <c r="N75">
        <f>IFERROR(COUNTIF(OFFSET('Schedule Raw Data'!$A$2,MATCH($A75,'Schedule Raw Data'!$A$3:$A$2477,0),1,COUNTIF('Schedule Raw Data'!$A$3:$A$2477,$A75),2),N$1),0)</f>
        <v>0</v>
      </c>
      <c r="O75">
        <f>IFERROR(COUNTIF(OFFSET('Schedule Raw Data'!$A$2,MATCH($A75,'Schedule Raw Data'!$A$3:$A$2477,0),1,COUNTIF('Schedule Raw Data'!$A$3:$A$2477,$A75),2),O$1),0)</f>
        <v>0</v>
      </c>
      <c r="P75">
        <f>IFERROR(COUNTIF(OFFSET('Schedule Raw Data'!$A$2,MATCH($A75,'Schedule Raw Data'!$A$3:$A$2477,0),1,COUNTIF('Schedule Raw Data'!$A$3:$A$2477,$A75),2),P$1),0)</f>
        <v>0</v>
      </c>
      <c r="Q75">
        <f>IFERROR(COUNTIF(OFFSET('Schedule Raw Data'!$A$2,MATCH($A75,'Schedule Raw Data'!$A$3:$A$2477,0),1,COUNTIF('Schedule Raw Data'!$A$3:$A$2477,$A75),2),Q$1),0)</f>
        <v>1</v>
      </c>
      <c r="R75">
        <f>IFERROR(COUNTIF(OFFSET('Schedule Raw Data'!$A$2,MATCH($A75,'Schedule Raw Data'!$A$3:$A$2477,0),1,COUNTIF('Schedule Raw Data'!$A$3:$A$2477,$A75),2),R$1),0)</f>
        <v>1</v>
      </c>
      <c r="S75">
        <f>IFERROR(COUNTIF(OFFSET('Schedule Raw Data'!$A$2,MATCH($A75,'Schedule Raw Data'!$A$3:$A$2477,0),1,COUNTIF('Schedule Raw Data'!$A$3:$A$2477,$A75),2),S$1),0)</f>
        <v>1</v>
      </c>
      <c r="T75">
        <f>IFERROR(COUNTIF(OFFSET('Schedule Raw Data'!$A$2,MATCH($A75,'Schedule Raw Data'!$A$3:$A$2477,0),1,COUNTIF('Schedule Raw Data'!$A$3:$A$2477,$A75),2),T$1),0)</f>
        <v>0</v>
      </c>
      <c r="U75">
        <f>IFERROR(COUNTIF(OFFSET('Schedule Raw Data'!$A$2,MATCH($A75,'Schedule Raw Data'!$A$3:$A$2477,0),1,COUNTIF('Schedule Raw Data'!$A$3:$A$2477,$A75),2),U$1),0)</f>
        <v>0</v>
      </c>
      <c r="V75">
        <f>IFERROR(COUNTIF(OFFSET('Schedule Raw Data'!$A$2,MATCH($A75,'Schedule Raw Data'!$A$3:$A$2477,0),1,COUNTIF('Schedule Raw Data'!$A$3:$A$2477,$A75),2),V$1),0)</f>
        <v>0</v>
      </c>
      <c r="W75">
        <f>IFERROR(COUNTIF(OFFSET('Schedule Raw Data'!$A$2,MATCH($A75,'Schedule Raw Data'!$A$3:$A$2477,0),1,COUNTIF('Schedule Raw Data'!$A$3:$A$2477,$A75),2),W$1),0)</f>
        <v>0</v>
      </c>
      <c r="X75">
        <f>IFERROR(COUNTIF(OFFSET('Schedule Raw Data'!$A$2,MATCH($A75,'Schedule Raw Data'!$A$3:$A$2477,0),1,COUNTIF('Schedule Raw Data'!$A$3:$A$2477,$A75),2),X$1),0)</f>
        <v>1</v>
      </c>
      <c r="Y75">
        <f>IFERROR(COUNTIF(OFFSET('Schedule Raw Data'!$A$2,MATCH($A75,'Schedule Raw Data'!$A$3:$A$2477,0),1,COUNTIF('Schedule Raw Data'!$A$3:$A$2477,$A75),2),Y$1),0)</f>
        <v>1</v>
      </c>
      <c r="Z75">
        <f>IFERROR(COUNTIF(OFFSET('Schedule Raw Data'!$A$2,MATCH($A75,'Schedule Raw Data'!$A$3:$A$2477,0),1,COUNTIF('Schedule Raw Data'!$A$3:$A$2477,$A75),2),Z$1),0)</f>
        <v>0</v>
      </c>
      <c r="AA75">
        <f>IFERROR(COUNTIF(OFFSET('Schedule Raw Data'!$A$2,MATCH($A75,'Schedule Raw Data'!$A$3:$A$2477,0),1,COUNTIF('Schedule Raw Data'!$A$3:$A$2477,$A75),2),AA$1),0)</f>
        <v>1</v>
      </c>
      <c r="AB75">
        <f>IFERROR(COUNTIF(OFFSET('Schedule Raw Data'!$A$2,MATCH($A75,'Schedule Raw Data'!$A$3:$A$2477,0),1,COUNTIF('Schedule Raw Data'!$A$3:$A$2477,$A75),2),AB$1),0)</f>
        <v>1</v>
      </c>
      <c r="AC75">
        <f>IFERROR(COUNTIF(OFFSET('Schedule Raw Data'!$A$2,MATCH($A75,'Schedule Raw Data'!$A$3:$A$2477,0),1,COUNTIF('Schedule Raw Data'!$A$3:$A$2477,$A75),2),AC$1),0)</f>
        <v>0</v>
      </c>
      <c r="AD75">
        <f>IFERROR(COUNTIF(OFFSET('Schedule Raw Data'!$A$2,MATCH($A75,'Schedule Raw Data'!$A$3:$A$2477,0),1,COUNTIF('Schedule Raw Data'!$A$3:$A$2477,$A75),2),AD$1),0)</f>
        <v>1</v>
      </c>
      <c r="AE75">
        <f>IFERROR(COUNTIF(OFFSET('Schedule Raw Data'!$A$2,MATCH($A75,'Schedule Raw Data'!$A$3:$A$2477,0),1,COUNTIF('Schedule Raw Data'!$A$3:$A$2477,$A75),2),AE$1),0)</f>
        <v>1</v>
      </c>
      <c r="AF75">
        <f>IFERROR(COUNTIF(OFFSET('Schedule Raw Data'!$A$2,MATCH($A75,'Schedule Raw Data'!$A$3:$A$2477,0),1,COUNTIF('Schedule Raw Data'!$A$3:$A$2477,$A75),2),AF$1),0)</f>
        <v>1</v>
      </c>
      <c r="AG75">
        <f t="shared" si="1"/>
        <v>8</v>
      </c>
    </row>
    <row r="76">
      <c r="A76" s="30">
        <f t="array" ref="A76">INDEX('Schedule Raw Data'!$A$3:$A$2477,MATCH(0,INDEX(COUNTIF($A$1:A75,'Schedule Raw Data'!$A$3:$A$2477),0,0),0))</f>
        <v>46400</v>
      </c>
      <c r="B76">
        <f t="shared" si="2"/>
        <v>12</v>
      </c>
      <c r="C76">
        <f>IFERROR(COUNTIF(OFFSET('Schedule Raw Data'!$A$2,MATCH($A76,'Schedule Raw Data'!$A$3:$A$2477,0),1,COUNTIF('Schedule Raw Data'!$A$3:$A$2477,$A76),2),C$1),0)</f>
        <v>1</v>
      </c>
      <c r="D76">
        <f>IFERROR(COUNTIF(OFFSET('Schedule Raw Data'!$A$2,MATCH($A76,'Schedule Raw Data'!$A$3:$A$2477,0),1,COUNTIF('Schedule Raw Data'!$A$3:$A$2477,$A76),2),D$1),0)</f>
        <v>0</v>
      </c>
      <c r="E76">
        <f>IFERROR(COUNTIF(OFFSET('Schedule Raw Data'!$A$2,MATCH($A76,'Schedule Raw Data'!$A$3:$A$2477,0),1,COUNTIF('Schedule Raw Data'!$A$3:$A$2477,$A76),2),E$1),0)</f>
        <v>1</v>
      </c>
      <c r="F76">
        <f>IFERROR(COUNTIF(OFFSET('Schedule Raw Data'!$A$2,MATCH($A76,'Schedule Raw Data'!$A$3:$A$2477,0),1,COUNTIF('Schedule Raw Data'!$A$3:$A$2477,$A76),2),F$1),0)</f>
        <v>1</v>
      </c>
      <c r="G76">
        <f>IFERROR(COUNTIF(OFFSET('Schedule Raw Data'!$A$2,MATCH($A76,'Schedule Raw Data'!$A$3:$A$2477,0),1,COUNTIF('Schedule Raw Data'!$A$3:$A$2477,$A76),2),G$1),0)</f>
        <v>0</v>
      </c>
      <c r="H76">
        <f>IFERROR(COUNTIF(OFFSET('Schedule Raw Data'!$A$2,MATCH($A76,'Schedule Raw Data'!$A$3:$A$2477,0),1,COUNTIF('Schedule Raw Data'!$A$3:$A$2477,$A76),2),H$1),0)</f>
        <v>1</v>
      </c>
      <c r="I76">
        <f>IFERROR(COUNTIF(OFFSET('Schedule Raw Data'!$A$2,MATCH($A76,'Schedule Raw Data'!$A$3:$A$2477,0),1,COUNTIF('Schedule Raw Data'!$A$3:$A$2477,$A76),2),I$1),0)</f>
        <v>0</v>
      </c>
      <c r="J76">
        <f>IFERROR(COUNTIF(OFFSET('Schedule Raw Data'!$A$2,MATCH($A76,'Schedule Raw Data'!$A$3:$A$2477,0),1,COUNTIF('Schedule Raw Data'!$A$3:$A$2477,$A76),2),J$1),0)</f>
        <v>0</v>
      </c>
      <c r="K76">
        <f>IFERROR(COUNTIF(OFFSET('Schedule Raw Data'!$A$2,MATCH($A76,'Schedule Raw Data'!$A$3:$A$2477,0),1,COUNTIF('Schedule Raw Data'!$A$3:$A$2477,$A76),2),K$1),0)</f>
        <v>0</v>
      </c>
      <c r="L76">
        <f>IFERROR(COUNTIF(OFFSET('Schedule Raw Data'!$A$2,MATCH($A76,'Schedule Raw Data'!$A$3:$A$2477,0),1,COUNTIF('Schedule Raw Data'!$A$3:$A$2477,$A76),2),L$1),0)</f>
        <v>1</v>
      </c>
      <c r="M76">
        <f>IFERROR(COUNTIF(OFFSET('Schedule Raw Data'!$A$2,MATCH($A76,'Schedule Raw Data'!$A$3:$A$2477,0),1,COUNTIF('Schedule Raw Data'!$A$3:$A$2477,$A76),2),M$1),0)</f>
        <v>1</v>
      </c>
      <c r="N76">
        <f>IFERROR(COUNTIF(OFFSET('Schedule Raw Data'!$A$2,MATCH($A76,'Schedule Raw Data'!$A$3:$A$2477,0),1,COUNTIF('Schedule Raw Data'!$A$3:$A$2477,$A76),2),N$1),0)</f>
        <v>1</v>
      </c>
      <c r="O76">
        <f>IFERROR(COUNTIF(OFFSET('Schedule Raw Data'!$A$2,MATCH($A76,'Schedule Raw Data'!$A$3:$A$2477,0),1,COUNTIF('Schedule Raw Data'!$A$3:$A$2477,$A76),2),O$1),0)</f>
        <v>0</v>
      </c>
      <c r="P76">
        <f>IFERROR(COUNTIF(OFFSET('Schedule Raw Data'!$A$2,MATCH($A76,'Schedule Raw Data'!$A$3:$A$2477,0),1,COUNTIF('Schedule Raw Data'!$A$3:$A$2477,$A76),2),P$1),0)</f>
        <v>1</v>
      </c>
      <c r="Q76">
        <f>IFERROR(COUNTIF(OFFSET('Schedule Raw Data'!$A$2,MATCH($A76,'Schedule Raw Data'!$A$3:$A$2477,0),1,COUNTIF('Schedule Raw Data'!$A$3:$A$2477,$A76),2),Q$1),0)</f>
        <v>0</v>
      </c>
      <c r="R76">
        <f>IFERROR(COUNTIF(OFFSET('Schedule Raw Data'!$A$2,MATCH($A76,'Schedule Raw Data'!$A$3:$A$2477,0),1,COUNTIF('Schedule Raw Data'!$A$3:$A$2477,$A76),2),R$1),0)</f>
        <v>0</v>
      </c>
      <c r="S76">
        <f>IFERROR(COUNTIF(OFFSET('Schedule Raw Data'!$A$2,MATCH($A76,'Schedule Raw Data'!$A$3:$A$2477,0),1,COUNTIF('Schedule Raw Data'!$A$3:$A$2477,$A76),2),S$1),0)</f>
        <v>1</v>
      </c>
      <c r="T76">
        <f>IFERROR(COUNTIF(OFFSET('Schedule Raw Data'!$A$2,MATCH($A76,'Schedule Raw Data'!$A$3:$A$2477,0),1,COUNTIF('Schedule Raw Data'!$A$3:$A$2477,$A76),2),T$1),0)</f>
        <v>0</v>
      </c>
      <c r="U76">
        <f>IFERROR(COUNTIF(OFFSET('Schedule Raw Data'!$A$2,MATCH($A76,'Schedule Raw Data'!$A$3:$A$2477,0),1,COUNTIF('Schedule Raw Data'!$A$3:$A$2477,$A76),2),U$1),0)</f>
        <v>0</v>
      </c>
      <c r="V76">
        <f>IFERROR(COUNTIF(OFFSET('Schedule Raw Data'!$A$2,MATCH($A76,'Schedule Raw Data'!$A$3:$A$2477,0),1,COUNTIF('Schedule Raw Data'!$A$3:$A$2477,$A76),2),V$1),0)</f>
        <v>1</v>
      </c>
      <c r="W76">
        <f>IFERROR(COUNTIF(OFFSET('Schedule Raw Data'!$A$2,MATCH($A76,'Schedule Raw Data'!$A$3:$A$2477,0),1,COUNTIF('Schedule Raw Data'!$A$3:$A$2477,$A76),2),W$1),0)</f>
        <v>1</v>
      </c>
      <c r="X76">
        <f>IFERROR(COUNTIF(OFFSET('Schedule Raw Data'!$A$2,MATCH($A76,'Schedule Raw Data'!$A$3:$A$2477,0),1,COUNTIF('Schedule Raw Data'!$A$3:$A$2477,$A76),2),X$1),0)</f>
        <v>0</v>
      </c>
      <c r="Y76">
        <f>IFERROR(COUNTIF(OFFSET('Schedule Raw Data'!$A$2,MATCH($A76,'Schedule Raw Data'!$A$3:$A$2477,0),1,COUNTIF('Schedule Raw Data'!$A$3:$A$2477,$A76),2),Y$1),0)</f>
        <v>0</v>
      </c>
      <c r="Z76">
        <f>IFERROR(COUNTIF(OFFSET('Schedule Raw Data'!$A$2,MATCH($A76,'Schedule Raw Data'!$A$3:$A$2477,0),1,COUNTIF('Schedule Raw Data'!$A$3:$A$2477,$A76),2),Z$1),0)</f>
        <v>1</v>
      </c>
      <c r="AA76">
        <f>IFERROR(COUNTIF(OFFSET('Schedule Raw Data'!$A$2,MATCH($A76,'Schedule Raw Data'!$A$3:$A$2477,0),1,COUNTIF('Schedule Raw Data'!$A$3:$A$2477,$A76),2),AA$1),0)</f>
        <v>1</v>
      </c>
      <c r="AB76">
        <f>IFERROR(COUNTIF(OFFSET('Schedule Raw Data'!$A$2,MATCH($A76,'Schedule Raw Data'!$A$3:$A$2477,0),1,COUNTIF('Schedule Raw Data'!$A$3:$A$2477,$A76),2),AB$1),0)</f>
        <v>0</v>
      </c>
      <c r="AC76">
        <f>IFERROR(COUNTIF(OFFSET('Schedule Raw Data'!$A$2,MATCH($A76,'Schedule Raw Data'!$A$3:$A$2477,0),1,COUNTIF('Schedule Raw Data'!$A$3:$A$2477,$A76),2),AC$1),0)</f>
        <v>0</v>
      </c>
      <c r="AD76">
        <f>IFERROR(COUNTIF(OFFSET('Schedule Raw Data'!$A$2,MATCH($A76,'Schedule Raw Data'!$A$3:$A$2477,0),1,COUNTIF('Schedule Raw Data'!$A$3:$A$2477,$A76),2),AD$1),0)</f>
        <v>1</v>
      </c>
      <c r="AE76">
        <f>IFERROR(COUNTIF(OFFSET('Schedule Raw Data'!$A$2,MATCH($A76,'Schedule Raw Data'!$A$3:$A$2477,0),1,COUNTIF('Schedule Raw Data'!$A$3:$A$2477,$A76),2),AE$1),0)</f>
        <v>0</v>
      </c>
      <c r="AF76">
        <f>IFERROR(COUNTIF(OFFSET('Schedule Raw Data'!$A$2,MATCH($A76,'Schedule Raw Data'!$A$3:$A$2477,0),1,COUNTIF('Schedule Raw Data'!$A$3:$A$2477,$A76),2),AF$1),0)</f>
        <v>0</v>
      </c>
      <c r="AG76">
        <f t="shared" si="1"/>
        <v>7</v>
      </c>
    </row>
    <row r="77">
      <c r="A77" s="30">
        <f t="array" ref="A77">INDEX('Schedule Raw Data'!$A$3:$A$2477,MATCH(0,INDEX(COUNTIF($A$1:A76,'Schedule Raw Data'!$A$3:$A$2477),0,0),0))</f>
        <v>46401</v>
      </c>
      <c r="B77">
        <f t="shared" si="2"/>
        <v>12</v>
      </c>
      <c r="C77">
        <f>IFERROR(COUNTIF(OFFSET('Schedule Raw Data'!$A$2,MATCH($A77,'Schedule Raw Data'!$A$3:$A$2477,0),1,COUNTIF('Schedule Raw Data'!$A$3:$A$2477,$A77),2),C$1),0)</f>
        <v>0</v>
      </c>
      <c r="D77">
        <f>IFERROR(COUNTIF(OFFSET('Schedule Raw Data'!$A$2,MATCH($A77,'Schedule Raw Data'!$A$3:$A$2477,0),1,COUNTIF('Schedule Raw Data'!$A$3:$A$2477,$A77),2),D$1),0)</f>
        <v>1</v>
      </c>
      <c r="E77">
        <f>IFERROR(COUNTIF(OFFSET('Schedule Raw Data'!$A$2,MATCH($A77,'Schedule Raw Data'!$A$3:$A$2477,0),1,COUNTIF('Schedule Raw Data'!$A$3:$A$2477,$A77),2),E$1),0)</f>
        <v>0</v>
      </c>
      <c r="F77">
        <f>IFERROR(COUNTIF(OFFSET('Schedule Raw Data'!$A$2,MATCH($A77,'Schedule Raw Data'!$A$3:$A$2477,0),1,COUNTIF('Schedule Raw Data'!$A$3:$A$2477,$A77),2),F$1),0)</f>
        <v>1</v>
      </c>
      <c r="G77">
        <f>IFERROR(COUNTIF(OFFSET('Schedule Raw Data'!$A$2,MATCH($A77,'Schedule Raw Data'!$A$3:$A$2477,0),1,COUNTIF('Schedule Raw Data'!$A$3:$A$2477,$A77),2),G$1),0)</f>
        <v>1</v>
      </c>
      <c r="H77">
        <f>IFERROR(COUNTIF(OFFSET('Schedule Raw Data'!$A$2,MATCH($A77,'Schedule Raw Data'!$A$3:$A$2477,0),1,COUNTIF('Schedule Raw Data'!$A$3:$A$2477,$A77),2),H$1),0)</f>
        <v>0</v>
      </c>
      <c r="I77">
        <f>IFERROR(COUNTIF(OFFSET('Schedule Raw Data'!$A$2,MATCH($A77,'Schedule Raw Data'!$A$3:$A$2477,0),1,COUNTIF('Schedule Raw Data'!$A$3:$A$2477,$A77),2),I$1),0)</f>
        <v>1</v>
      </c>
      <c r="J77">
        <f>IFERROR(COUNTIF(OFFSET('Schedule Raw Data'!$A$2,MATCH($A77,'Schedule Raw Data'!$A$3:$A$2477,0),1,COUNTIF('Schedule Raw Data'!$A$3:$A$2477,$A77),2),J$1),0)</f>
        <v>1</v>
      </c>
      <c r="K77">
        <f>IFERROR(COUNTIF(OFFSET('Schedule Raw Data'!$A$2,MATCH($A77,'Schedule Raw Data'!$A$3:$A$2477,0),1,COUNTIF('Schedule Raw Data'!$A$3:$A$2477,$A77),2),K$1),0)</f>
        <v>1</v>
      </c>
      <c r="L77">
        <f>IFERROR(COUNTIF(OFFSET('Schedule Raw Data'!$A$2,MATCH($A77,'Schedule Raw Data'!$A$3:$A$2477,0),1,COUNTIF('Schedule Raw Data'!$A$3:$A$2477,$A77),2),L$1),0)</f>
        <v>0</v>
      </c>
      <c r="M77">
        <f>IFERROR(COUNTIF(OFFSET('Schedule Raw Data'!$A$2,MATCH($A77,'Schedule Raw Data'!$A$3:$A$2477,0),1,COUNTIF('Schedule Raw Data'!$A$3:$A$2477,$A77),2),M$1),0)</f>
        <v>0</v>
      </c>
      <c r="N77">
        <f>IFERROR(COUNTIF(OFFSET('Schedule Raw Data'!$A$2,MATCH($A77,'Schedule Raw Data'!$A$3:$A$2477,0),1,COUNTIF('Schedule Raw Data'!$A$3:$A$2477,$A77),2),N$1),0)</f>
        <v>0</v>
      </c>
      <c r="O77">
        <f>IFERROR(COUNTIF(OFFSET('Schedule Raw Data'!$A$2,MATCH($A77,'Schedule Raw Data'!$A$3:$A$2477,0),1,COUNTIF('Schedule Raw Data'!$A$3:$A$2477,$A77),2),O$1),0)</f>
        <v>1</v>
      </c>
      <c r="P77">
        <f>IFERROR(COUNTIF(OFFSET('Schedule Raw Data'!$A$2,MATCH($A77,'Schedule Raw Data'!$A$3:$A$2477,0),1,COUNTIF('Schedule Raw Data'!$A$3:$A$2477,$A77),2),P$1),0)</f>
        <v>1</v>
      </c>
      <c r="Q77">
        <f>IFERROR(COUNTIF(OFFSET('Schedule Raw Data'!$A$2,MATCH($A77,'Schedule Raw Data'!$A$3:$A$2477,0),1,COUNTIF('Schedule Raw Data'!$A$3:$A$2477,$A77),2),Q$1),0)</f>
        <v>1</v>
      </c>
      <c r="R77">
        <f>IFERROR(COUNTIF(OFFSET('Schedule Raw Data'!$A$2,MATCH($A77,'Schedule Raw Data'!$A$3:$A$2477,0),1,COUNTIF('Schedule Raw Data'!$A$3:$A$2477,$A77),2),R$1),0)</f>
        <v>1</v>
      </c>
      <c r="S77">
        <f>IFERROR(COUNTIF(OFFSET('Schedule Raw Data'!$A$2,MATCH($A77,'Schedule Raw Data'!$A$3:$A$2477,0),1,COUNTIF('Schedule Raw Data'!$A$3:$A$2477,$A77),2),S$1),0)</f>
        <v>0</v>
      </c>
      <c r="T77">
        <f>IFERROR(COUNTIF(OFFSET('Schedule Raw Data'!$A$2,MATCH($A77,'Schedule Raw Data'!$A$3:$A$2477,0),1,COUNTIF('Schedule Raw Data'!$A$3:$A$2477,$A77),2),T$1),0)</f>
        <v>1</v>
      </c>
      <c r="U77">
        <f>IFERROR(COUNTIF(OFFSET('Schedule Raw Data'!$A$2,MATCH($A77,'Schedule Raw Data'!$A$3:$A$2477,0),1,COUNTIF('Schedule Raw Data'!$A$3:$A$2477,$A77),2),U$1),0)</f>
        <v>1</v>
      </c>
      <c r="V77">
        <f>IFERROR(COUNTIF(OFFSET('Schedule Raw Data'!$A$2,MATCH($A77,'Schedule Raw Data'!$A$3:$A$2477,0),1,COUNTIF('Schedule Raw Data'!$A$3:$A$2477,$A77),2),V$1),0)</f>
        <v>1</v>
      </c>
      <c r="W77">
        <f>IFERROR(COUNTIF(OFFSET('Schedule Raw Data'!$A$2,MATCH($A77,'Schedule Raw Data'!$A$3:$A$2477,0),1,COUNTIF('Schedule Raw Data'!$A$3:$A$2477,$A77),2),W$1),0)</f>
        <v>0</v>
      </c>
      <c r="X77">
        <f>IFERROR(COUNTIF(OFFSET('Schedule Raw Data'!$A$2,MATCH($A77,'Schedule Raw Data'!$A$3:$A$2477,0),1,COUNTIF('Schedule Raw Data'!$A$3:$A$2477,$A77),2),X$1),0)</f>
        <v>1</v>
      </c>
      <c r="Y77">
        <f>IFERROR(COUNTIF(OFFSET('Schedule Raw Data'!$A$2,MATCH($A77,'Schedule Raw Data'!$A$3:$A$2477,0),1,COUNTIF('Schedule Raw Data'!$A$3:$A$2477,$A77),2),Y$1),0)</f>
        <v>1</v>
      </c>
      <c r="Z77">
        <f>IFERROR(COUNTIF(OFFSET('Schedule Raw Data'!$A$2,MATCH($A77,'Schedule Raw Data'!$A$3:$A$2477,0),1,COUNTIF('Schedule Raw Data'!$A$3:$A$2477,$A77),2),Z$1),0)</f>
        <v>0</v>
      </c>
      <c r="AA77">
        <f>IFERROR(COUNTIF(OFFSET('Schedule Raw Data'!$A$2,MATCH($A77,'Schedule Raw Data'!$A$3:$A$2477,0),1,COUNTIF('Schedule Raw Data'!$A$3:$A$2477,$A77),2),AA$1),0)</f>
        <v>0</v>
      </c>
      <c r="AB77">
        <f>IFERROR(COUNTIF(OFFSET('Schedule Raw Data'!$A$2,MATCH($A77,'Schedule Raw Data'!$A$3:$A$2477,0),1,COUNTIF('Schedule Raw Data'!$A$3:$A$2477,$A77),2),AB$1),0)</f>
        <v>1</v>
      </c>
      <c r="AC77">
        <f>IFERROR(COUNTIF(OFFSET('Schedule Raw Data'!$A$2,MATCH($A77,'Schedule Raw Data'!$A$3:$A$2477,0),1,COUNTIF('Schedule Raw Data'!$A$3:$A$2477,$A77),2),AC$1),0)</f>
        <v>1</v>
      </c>
      <c r="AD77">
        <f>IFERROR(COUNTIF(OFFSET('Schedule Raw Data'!$A$2,MATCH($A77,'Schedule Raw Data'!$A$3:$A$2477,0),1,COUNTIF('Schedule Raw Data'!$A$3:$A$2477,$A77),2),AD$1),0)</f>
        <v>0</v>
      </c>
      <c r="AE77">
        <f>IFERROR(COUNTIF(OFFSET('Schedule Raw Data'!$A$2,MATCH($A77,'Schedule Raw Data'!$A$3:$A$2477,0),1,COUNTIF('Schedule Raw Data'!$A$3:$A$2477,$A77),2),AE$1),0)</f>
        <v>1</v>
      </c>
      <c r="AF77">
        <f>IFERROR(COUNTIF(OFFSET('Schedule Raw Data'!$A$2,MATCH($A77,'Schedule Raw Data'!$A$3:$A$2477,0),1,COUNTIF('Schedule Raw Data'!$A$3:$A$2477,$A77),2),AF$1),0)</f>
        <v>0</v>
      </c>
      <c r="AG77">
        <f t="shared" si="1"/>
        <v>9</v>
      </c>
    </row>
    <row r="78">
      <c r="A78" s="30">
        <f t="array" ref="A78">INDEX('Schedule Raw Data'!$A$3:$A$2477,MATCH(0,INDEX(COUNTIF($A$1:A77,'Schedule Raw Data'!$A$3:$A$2477),0,0),0))</f>
        <v>46402</v>
      </c>
      <c r="B78">
        <f t="shared" si="2"/>
        <v>12</v>
      </c>
      <c r="C78">
        <f>IFERROR(COUNTIF(OFFSET('Schedule Raw Data'!$A$2,MATCH($A78,'Schedule Raw Data'!$A$3:$A$2477,0),1,COUNTIF('Schedule Raw Data'!$A$3:$A$2477,$A78),2),C$1),0)</f>
        <v>1</v>
      </c>
      <c r="D78">
        <f>IFERROR(COUNTIF(OFFSET('Schedule Raw Data'!$A$2,MATCH($A78,'Schedule Raw Data'!$A$3:$A$2477,0),1,COUNTIF('Schedule Raw Data'!$A$3:$A$2477,$A78),2),D$1),0)</f>
        <v>0</v>
      </c>
      <c r="E78">
        <f>IFERROR(COUNTIF(OFFSET('Schedule Raw Data'!$A$2,MATCH($A78,'Schedule Raw Data'!$A$3:$A$2477,0),1,COUNTIF('Schedule Raw Data'!$A$3:$A$2477,$A78),2),E$1),0)</f>
        <v>0</v>
      </c>
      <c r="F78">
        <f>IFERROR(COUNTIF(OFFSET('Schedule Raw Data'!$A$2,MATCH($A78,'Schedule Raw Data'!$A$3:$A$2477,0),1,COUNTIF('Schedule Raw Data'!$A$3:$A$2477,$A78),2),F$1),0)</f>
        <v>0</v>
      </c>
      <c r="G78">
        <f>IFERROR(COUNTIF(OFFSET('Schedule Raw Data'!$A$2,MATCH($A78,'Schedule Raw Data'!$A$3:$A$2477,0),1,COUNTIF('Schedule Raw Data'!$A$3:$A$2477,$A78),2),G$1),0)</f>
        <v>0</v>
      </c>
      <c r="H78">
        <f>IFERROR(COUNTIF(OFFSET('Schedule Raw Data'!$A$2,MATCH($A78,'Schedule Raw Data'!$A$3:$A$2477,0),1,COUNTIF('Schedule Raw Data'!$A$3:$A$2477,$A78),2),H$1),0)</f>
        <v>1</v>
      </c>
      <c r="I78">
        <f>IFERROR(COUNTIF(OFFSET('Schedule Raw Data'!$A$2,MATCH($A78,'Schedule Raw Data'!$A$3:$A$2477,0),1,COUNTIF('Schedule Raw Data'!$A$3:$A$2477,$A78),2),I$1),0)</f>
        <v>0</v>
      </c>
      <c r="J78">
        <f>IFERROR(COUNTIF(OFFSET('Schedule Raw Data'!$A$2,MATCH($A78,'Schedule Raw Data'!$A$3:$A$2477,0),1,COUNTIF('Schedule Raw Data'!$A$3:$A$2477,$A78),2),J$1),0)</f>
        <v>0</v>
      </c>
      <c r="K78">
        <f>IFERROR(COUNTIF(OFFSET('Schedule Raw Data'!$A$2,MATCH($A78,'Schedule Raw Data'!$A$3:$A$2477,0),1,COUNTIF('Schedule Raw Data'!$A$3:$A$2477,$A78),2),K$1),0)</f>
        <v>0</v>
      </c>
      <c r="L78">
        <f>IFERROR(COUNTIF(OFFSET('Schedule Raw Data'!$A$2,MATCH($A78,'Schedule Raw Data'!$A$3:$A$2477,0),1,COUNTIF('Schedule Raw Data'!$A$3:$A$2477,$A78),2),L$1),0)</f>
        <v>1</v>
      </c>
      <c r="M78">
        <f>IFERROR(COUNTIF(OFFSET('Schedule Raw Data'!$A$2,MATCH($A78,'Schedule Raw Data'!$A$3:$A$2477,0),1,COUNTIF('Schedule Raw Data'!$A$3:$A$2477,$A78),2),M$1),0)</f>
        <v>1</v>
      </c>
      <c r="N78">
        <f>IFERROR(COUNTIF(OFFSET('Schedule Raw Data'!$A$2,MATCH($A78,'Schedule Raw Data'!$A$3:$A$2477,0),1,COUNTIF('Schedule Raw Data'!$A$3:$A$2477,$A78),2),N$1),0)</f>
        <v>1</v>
      </c>
      <c r="O78">
        <f>IFERROR(COUNTIF(OFFSET('Schedule Raw Data'!$A$2,MATCH($A78,'Schedule Raw Data'!$A$3:$A$2477,0),1,COUNTIF('Schedule Raw Data'!$A$3:$A$2477,$A78),2),O$1),0)</f>
        <v>1</v>
      </c>
      <c r="P78">
        <f>IFERROR(COUNTIF(OFFSET('Schedule Raw Data'!$A$2,MATCH($A78,'Schedule Raw Data'!$A$3:$A$2477,0),1,COUNTIF('Schedule Raw Data'!$A$3:$A$2477,$A78),2),P$1),0)</f>
        <v>0</v>
      </c>
      <c r="Q78">
        <f>IFERROR(COUNTIF(OFFSET('Schedule Raw Data'!$A$2,MATCH($A78,'Schedule Raw Data'!$A$3:$A$2477,0),1,COUNTIF('Schedule Raw Data'!$A$3:$A$2477,$A78),2),Q$1),0)</f>
        <v>0</v>
      </c>
      <c r="R78">
        <f>IFERROR(COUNTIF(OFFSET('Schedule Raw Data'!$A$2,MATCH($A78,'Schedule Raw Data'!$A$3:$A$2477,0),1,COUNTIF('Schedule Raw Data'!$A$3:$A$2477,$A78),2),R$1),0)</f>
        <v>1</v>
      </c>
      <c r="S78">
        <f>IFERROR(COUNTIF(OFFSET('Schedule Raw Data'!$A$2,MATCH($A78,'Schedule Raw Data'!$A$3:$A$2477,0),1,COUNTIF('Schedule Raw Data'!$A$3:$A$2477,$A78),2),S$1),0)</f>
        <v>1</v>
      </c>
      <c r="T78">
        <f>IFERROR(COUNTIF(OFFSET('Schedule Raw Data'!$A$2,MATCH($A78,'Schedule Raw Data'!$A$3:$A$2477,0),1,COUNTIF('Schedule Raw Data'!$A$3:$A$2477,$A78),2),T$1),0)</f>
        <v>0</v>
      </c>
      <c r="U78">
        <f>IFERROR(COUNTIF(OFFSET('Schedule Raw Data'!$A$2,MATCH($A78,'Schedule Raw Data'!$A$3:$A$2477,0),1,COUNTIF('Schedule Raw Data'!$A$3:$A$2477,$A78),2),U$1),0)</f>
        <v>0</v>
      </c>
      <c r="V78">
        <f>IFERROR(COUNTIF(OFFSET('Schedule Raw Data'!$A$2,MATCH($A78,'Schedule Raw Data'!$A$3:$A$2477,0),1,COUNTIF('Schedule Raw Data'!$A$3:$A$2477,$A78),2),V$1),0)</f>
        <v>0</v>
      </c>
      <c r="W78">
        <f>IFERROR(COUNTIF(OFFSET('Schedule Raw Data'!$A$2,MATCH($A78,'Schedule Raw Data'!$A$3:$A$2477,0),1,COUNTIF('Schedule Raw Data'!$A$3:$A$2477,$A78),2),W$1),0)</f>
        <v>1</v>
      </c>
      <c r="X78">
        <f>IFERROR(COUNTIF(OFFSET('Schedule Raw Data'!$A$2,MATCH($A78,'Schedule Raw Data'!$A$3:$A$2477,0),1,COUNTIF('Schedule Raw Data'!$A$3:$A$2477,$A78),2),X$1),0)</f>
        <v>1</v>
      </c>
      <c r="Y78">
        <f>IFERROR(COUNTIF(OFFSET('Schedule Raw Data'!$A$2,MATCH($A78,'Schedule Raw Data'!$A$3:$A$2477,0),1,COUNTIF('Schedule Raw Data'!$A$3:$A$2477,$A78),2),Y$1),0)</f>
        <v>0</v>
      </c>
      <c r="Z78">
        <f>IFERROR(COUNTIF(OFFSET('Schedule Raw Data'!$A$2,MATCH($A78,'Schedule Raw Data'!$A$3:$A$2477,0),1,COUNTIF('Schedule Raw Data'!$A$3:$A$2477,$A78),2),Z$1),0)</f>
        <v>1</v>
      </c>
      <c r="AA78">
        <f>IFERROR(COUNTIF(OFFSET('Schedule Raw Data'!$A$2,MATCH($A78,'Schedule Raw Data'!$A$3:$A$2477,0),1,COUNTIF('Schedule Raw Data'!$A$3:$A$2477,$A78),2),AA$1),0)</f>
        <v>1</v>
      </c>
      <c r="AB78">
        <f>IFERROR(COUNTIF(OFFSET('Schedule Raw Data'!$A$2,MATCH($A78,'Schedule Raw Data'!$A$3:$A$2477,0),1,COUNTIF('Schedule Raw Data'!$A$3:$A$2477,$A78),2),AB$1),0)</f>
        <v>1</v>
      </c>
      <c r="AC78">
        <f>IFERROR(COUNTIF(OFFSET('Schedule Raw Data'!$A$2,MATCH($A78,'Schedule Raw Data'!$A$3:$A$2477,0),1,COUNTIF('Schedule Raw Data'!$A$3:$A$2477,$A78),2),AC$1),0)</f>
        <v>0</v>
      </c>
      <c r="AD78">
        <f>IFERROR(COUNTIF(OFFSET('Schedule Raw Data'!$A$2,MATCH($A78,'Schedule Raw Data'!$A$3:$A$2477,0),1,COUNTIF('Schedule Raw Data'!$A$3:$A$2477,$A78),2),AD$1),0)</f>
        <v>1</v>
      </c>
      <c r="AE78">
        <f>IFERROR(COUNTIF(OFFSET('Schedule Raw Data'!$A$2,MATCH($A78,'Schedule Raw Data'!$A$3:$A$2477,0),1,COUNTIF('Schedule Raw Data'!$A$3:$A$2477,$A78),2),AE$1),0)</f>
        <v>1</v>
      </c>
      <c r="AF78">
        <f>IFERROR(COUNTIF(OFFSET('Schedule Raw Data'!$A$2,MATCH($A78,'Schedule Raw Data'!$A$3:$A$2477,0),1,COUNTIF('Schedule Raw Data'!$A$3:$A$2477,$A78),2),AF$1),0)</f>
        <v>1</v>
      </c>
      <c r="AG78">
        <f t="shared" si="1"/>
        <v>8</v>
      </c>
    </row>
    <row r="79">
      <c r="A79" s="30">
        <f t="array" ref="A79">INDEX('Schedule Raw Data'!$A$3:$A$2477,MATCH(0,INDEX(COUNTIF($A$1:A78,'Schedule Raw Data'!$A$3:$A$2477),0,0),0))</f>
        <v>46403</v>
      </c>
      <c r="B79">
        <f t="shared" si="2"/>
        <v>12</v>
      </c>
      <c r="C79">
        <f>IFERROR(COUNTIF(OFFSET('Schedule Raw Data'!$A$2,MATCH($A79,'Schedule Raw Data'!$A$3:$A$2477,0),1,COUNTIF('Schedule Raw Data'!$A$3:$A$2477,$A79),2),C$1),0)</f>
        <v>0</v>
      </c>
      <c r="D79">
        <f>IFERROR(COUNTIF(OFFSET('Schedule Raw Data'!$A$2,MATCH($A79,'Schedule Raw Data'!$A$3:$A$2477,0),1,COUNTIF('Schedule Raw Data'!$A$3:$A$2477,$A79),2),D$1),0)</f>
        <v>1</v>
      </c>
      <c r="E79">
        <f>IFERROR(COUNTIF(OFFSET('Schedule Raw Data'!$A$2,MATCH($A79,'Schedule Raw Data'!$A$3:$A$2477,0),1,COUNTIF('Schedule Raw Data'!$A$3:$A$2477,$A79),2),E$1),0)</f>
        <v>1</v>
      </c>
      <c r="F79">
        <f>IFERROR(COUNTIF(OFFSET('Schedule Raw Data'!$A$2,MATCH($A79,'Schedule Raw Data'!$A$3:$A$2477,0),1,COUNTIF('Schedule Raw Data'!$A$3:$A$2477,$A79),2),F$1),0)</f>
        <v>1</v>
      </c>
      <c r="G79">
        <f>IFERROR(COUNTIF(OFFSET('Schedule Raw Data'!$A$2,MATCH($A79,'Schedule Raw Data'!$A$3:$A$2477,0),1,COUNTIF('Schedule Raw Data'!$A$3:$A$2477,$A79),2),G$1),0)</f>
        <v>0</v>
      </c>
      <c r="H79">
        <f>IFERROR(COUNTIF(OFFSET('Schedule Raw Data'!$A$2,MATCH($A79,'Schedule Raw Data'!$A$3:$A$2477,0),1,COUNTIF('Schedule Raw Data'!$A$3:$A$2477,$A79),2),H$1),0)</f>
        <v>1</v>
      </c>
      <c r="I79">
        <f>IFERROR(COUNTIF(OFFSET('Schedule Raw Data'!$A$2,MATCH($A79,'Schedule Raw Data'!$A$3:$A$2477,0),1,COUNTIF('Schedule Raw Data'!$A$3:$A$2477,$A79),2),I$1),0)</f>
        <v>1</v>
      </c>
      <c r="J79">
        <f>IFERROR(COUNTIF(OFFSET('Schedule Raw Data'!$A$2,MATCH($A79,'Schedule Raw Data'!$A$3:$A$2477,0),1,COUNTIF('Schedule Raw Data'!$A$3:$A$2477,$A79),2),J$1),0)</f>
        <v>1</v>
      </c>
      <c r="K79">
        <f>IFERROR(COUNTIF(OFFSET('Schedule Raw Data'!$A$2,MATCH($A79,'Schedule Raw Data'!$A$3:$A$2477,0),1,COUNTIF('Schedule Raw Data'!$A$3:$A$2477,$A79),2),K$1),0)</f>
        <v>1</v>
      </c>
      <c r="L79">
        <f>IFERROR(COUNTIF(OFFSET('Schedule Raw Data'!$A$2,MATCH($A79,'Schedule Raw Data'!$A$3:$A$2477,0),1,COUNTIF('Schedule Raw Data'!$A$3:$A$2477,$A79),2),L$1),0)</f>
        <v>0</v>
      </c>
      <c r="M79">
        <f>IFERROR(COUNTIF(OFFSET('Schedule Raw Data'!$A$2,MATCH($A79,'Schedule Raw Data'!$A$3:$A$2477,0),1,COUNTIF('Schedule Raw Data'!$A$3:$A$2477,$A79),2),M$1),0)</f>
        <v>1</v>
      </c>
      <c r="N79">
        <f>IFERROR(COUNTIF(OFFSET('Schedule Raw Data'!$A$2,MATCH($A79,'Schedule Raw Data'!$A$3:$A$2477,0),1,COUNTIF('Schedule Raw Data'!$A$3:$A$2477,$A79),2),N$1),0)</f>
        <v>0</v>
      </c>
      <c r="O79">
        <f>IFERROR(COUNTIF(OFFSET('Schedule Raw Data'!$A$2,MATCH($A79,'Schedule Raw Data'!$A$3:$A$2477,0),1,COUNTIF('Schedule Raw Data'!$A$3:$A$2477,$A79),2),O$1),0)</f>
        <v>0</v>
      </c>
      <c r="P79">
        <f>IFERROR(COUNTIF(OFFSET('Schedule Raw Data'!$A$2,MATCH($A79,'Schedule Raw Data'!$A$3:$A$2477,0),1,COUNTIF('Schedule Raw Data'!$A$3:$A$2477,$A79),2),P$1),0)</f>
        <v>0</v>
      </c>
      <c r="Q79">
        <f>IFERROR(COUNTIF(OFFSET('Schedule Raw Data'!$A$2,MATCH($A79,'Schedule Raw Data'!$A$3:$A$2477,0),1,COUNTIF('Schedule Raw Data'!$A$3:$A$2477,$A79),2),Q$1),0)</f>
        <v>1</v>
      </c>
      <c r="R79">
        <f>IFERROR(COUNTIF(OFFSET('Schedule Raw Data'!$A$2,MATCH($A79,'Schedule Raw Data'!$A$3:$A$2477,0),1,COUNTIF('Schedule Raw Data'!$A$3:$A$2477,$A79),2),R$1),0)</f>
        <v>0</v>
      </c>
      <c r="S79">
        <f>IFERROR(COUNTIF(OFFSET('Schedule Raw Data'!$A$2,MATCH($A79,'Schedule Raw Data'!$A$3:$A$2477,0),1,COUNTIF('Schedule Raw Data'!$A$3:$A$2477,$A79),2),S$1),0)</f>
        <v>0</v>
      </c>
      <c r="T79">
        <f>IFERROR(COUNTIF(OFFSET('Schedule Raw Data'!$A$2,MATCH($A79,'Schedule Raw Data'!$A$3:$A$2477,0),1,COUNTIF('Schedule Raw Data'!$A$3:$A$2477,$A79),2),T$1),0)</f>
        <v>1</v>
      </c>
      <c r="U79">
        <f>IFERROR(COUNTIF(OFFSET('Schedule Raw Data'!$A$2,MATCH($A79,'Schedule Raw Data'!$A$3:$A$2477,0),1,COUNTIF('Schedule Raw Data'!$A$3:$A$2477,$A79),2),U$1),0)</f>
        <v>0</v>
      </c>
      <c r="V79">
        <f>IFERROR(COUNTIF(OFFSET('Schedule Raw Data'!$A$2,MATCH($A79,'Schedule Raw Data'!$A$3:$A$2477,0),1,COUNTIF('Schedule Raw Data'!$A$3:$A$2477,$A79),2),V$1),0)</f>
        <v>1</v>
      </c>
      <c r="W79">
        <f>IFERROR(COUNTIF(OFFSET('Schedule Raw Data'!$A$2,MATCH($A79,'Schedule Raw Data'!$A$3:$A$2477,0),1,COUNTIF('Schedule Raw Data'!$A$3:$A$2477,$A79),2),W$1),0)</f>
        <v>0</v>
      </c>
      <c r="X79">
        <f>IFERROR(COUNTIF(OFFSET('Schedule Raw Data'!$A$2,MATCH($A79,'Schedule Raw Data'!$A$3:$A$2477,0),1,COUNTIF('Schedule Raw Data'!$A$3:$A$2477,$A79),2),X$1),0)</f>
        <v>0</v>
      </c>
      <c r="Y79">
        <f>IFERROR(COUNTIF(OFFSET('Schedule Raw Data'!$A$2,MATCH($A79,'Schedule Raw Data'!$A$3:$A$2477,0),1,COUNTIF('Schedule Raw Data'!$A$3:$A$2477,$A79),2),Y$1),0)</f>
        <v>1</v>
      </c>
      <c r="Z79">
        <f>IFERROR(COUNTIF(OFFSET('Schedule Raw Data'!$A$2,MATCH($A79,'Schedule Raw Data'!$A$3:$A$2477,0),1,COUNTIF('Schedule Raw Data'!$A$3:$A$2477,$A79),2),Z$1),0)</f>
        <v>0</v>
      </c>
      <c r="AA79">
        <f>IFERROR(COUNTIF(OFFSET('Schedule Raw Data'!$A$2,MATCH($A79,'Schedule Raw Data'!$A$3:$A$2477,0),1,COUNTIF('Schedule Raw Data'!$A$3:$A$2477,$A79),2),AA$1),0)</f>
        <v>0</v>
      </c>
      <c r="AB79">
        <f>IFERROR(COUNTIF(OFFSET('Schedule Raw Data'!$A$2,MATCH($A79,'Schedule Raw Data'!$A$3:$A$2477,0),1,COUNTIF('Schedule Raw Data'!$A$3:$A$2477,$A79),2),AB$1),0)</f>
        <v>0</v>
      </c>
      <c r="AC79">
        <f>IFERROR(COUNTIF(OFFSET('Schedule Raw Data'!$A$2,MATCH($A79,'Schedule Raw Data'!$A$3:$A$2477,0),1,COUNTIF('Schedule Raw Data'!$A$3:$A$2477,$A79),2),AC$1),0)</f>
        <v>0</v>
      </c>
      <c r="AD79">
        <f>IFERROR(COUNTIF(OFFSET('Schedule Raw Data'!$A$2,MATCH($A79,'Schedule Raw Data'!$A$3:$A$2477,0),1,COUNTIF('Schedule Raw Data'!$A$3:$A$2477,$A79),2),AD$1),0)</f>
        <v>0</v>
      </c>
      <c r="AE79">
        <f>IFERROR(COUNTIF(OFFSET('Schedule Raw Data'!$A$2,MATCH($A79,'Schedule Raw Data'!$A$3:$A$2477,0),1,COUNTIF('Schedule Raw Data'!$A$3:$A$2477,$A79),2),AE$1),0)</f>
        <v>0</v>
      </c>
      <c r="AF79">
        <f>IFERROR(COUNTIF(OFFSET('Schedule Raw Data'!$A$2,MATCH($A79,'Schedule Raw Data'!$A$3:$A$2477,0),1,COUNTIF('Schedule Raw Data'!$A$3:$A$2477,$A79),2),AF$1),0)</f>
        <v>0</v>
      </c>
      <c r="AG79">
        <f t="shared" si="1"/>
        <v>6</v>
      </c>
    </row>
    <row r="80">
      <c r="A80" s="30">
        <f t="array" ref="A80">INDEX('Schedule Raw Data'!$A$3:$A$2477,MATCH(0,INDEX(COUNTIF($A$1:A79,'Schedule Raw Data'!$A$3:$A$2477),0,0),0))</f>
        <v>46404</v>
      </c>
      <c r="B80">
        <f t="shared" si="2"/>
        <v>12</v>
      </c>
      <c r="C80">
        <f>IFERROR(COUNTIF(OFFSET('Schedule Raw Data'!$A$2,MATCH($A80,'Schedule Raw Data'!$A$3:$A$2477,0),1,COUNTIF('Schedule Raw Data'!$A$3:$A$2477,$A80),2),C$1),0)</f>
        <v>0</v>
      </c>
      <c r="D80">
        <f>IFERROR(COUNTIF(OFFSET('Schedule Raw Data'!$A$2,MATCH($A80,'Schedule Raw Data'!$A$3:$A$2477,0),1,COUNTIF('Schedule Raw Data'!$A$3:$A$2477,$A80),2),D$1),0)</f>
        <v>0</v>
      </c>
      <c r="E80">
        <f>IFERROR(COUNTIF(OFFSET('Schedule Raw Data'!$A$2,MATCH($A80,'Schedule Raw Data'!$A$3:$A$2477,0),1,COUNTIF('Schedule Raw Data'!$A$3:$A$2477,$A80),2),E$1),0)</f>
        <v>0</v>
      </c>
      <c r="F80">
        <f>IFERROR(COUNTIF(OFFSET('Schedule Raw Data'!$A$2,MATCH($A80,'Schedule Raw Data'!$A$3:$A$2477,0),1,COUNTIF('Schedule Raw Data'!$A$3:$A$2477,$A80),2),F$1),0)</f>
        <v>0</v>
      </c>
      <c r="G80">
        <f>IFERROR(COUNTIF(OFFSET('Schedule Raw Data'!$A$2,MATCH($A80,'Schedule Raw Data'!$A$3:$A$2477,0),1,COUNTIF('Schedule Raw Data'!$A$3:$A$2477,$A80),2),G$1),0)</f>
        <v>1</v>
      </c>
      <c r="H80">
        <f>IFERROR(COUNTIF(OFFSET('Schedule Raw Data'!$A$2,MATCH($A80,'Schedule Raw Data'!$A$3:$A$2477,0),1,COUNTIF('Schedule Raw Data'!$A$3:$A$2477,$A80),2),H$1),0)</f>
        <v>0</v>
      </c>
      <c r="I80">
        <f>IFERROR(COUNTIF(OFFSET('Schedule Raw Data'!$A$2,MATCH($A80,'Schedule Raw Data'!$A$3:$A$2477,0),1,COUNTIF('Schedule Raw Data'!$A$3:$A$2477,$A80),2),I$1),0)</f>
        <v>0</v>
      </c>
      <c r="J80">
        <f>IFERROR(COUNTIF(OFFSET('Schedule Raw Data'!$A$2,MATCH($A80,'Schedule Raw Data'!$A$3:$A$2477,0),1,COUNTIF('Schedule Raw Data'!$A$3:$A$2477,$A80),2),J$1),0)</f>
        <v>1</v>
      </c>
      <c r="K80">
        <f>IFERROR(COUNTIF(OFFSET('Schedule Raw Data'!$A$2,MATCH($A80,'Schedule Raw Data'!$A$3:$A$2477,0),1,COUNTIF('Schedule Raw Data'!$A$3:$A$2477,$A80),2),K$1),0)</f>
        <v>0</v>
      </c>
      <c r="L80">
        <f>IFERROR(COUNTIF(OFFSET('Schedule Raw Data'!$A$2,MATCH($A80,'Schedule Raw Data'!$A$3:$A$2477,0),1,COUNTIF('Schedule Raw Data'!$A$3:$A$2477,$A80),2),L$1),0)</f>
        <v>1</v>
      </c>
      <c r="M80">
        <f>IFERROR(COUNTIF(OFFSET('Schedule Raw Data'!$A$2,MATCH($A80,'Schedule Raw Data'!$A$3:$A$2477,0),1,COUNTIF('Schedule Raw Data'!$A$3:$A$2477,$A80),2),M$1),0)</f>
        <v>0</v>
      </c>
      <c r="N80">
        <f>IFERROR(COUNTIF(OFFSET('Schedule Raw Data'!$A$2,MATCH($A80,'Schedule Raw Data'!$A$3:$A$2477,0),1,COUNTIF('Schedule Raw Data'!$A$3:$A$2477,$A80),2),N$1),0)</f>
        <v>1</v>
      </c>
      <c r="O80">
        <f>IFERROR(COUNTIF(OFFSET('Schedule Raw Data'!$A$2,MATCH($A80,'Schedule Raw Data'!$A$3:$A$2477,0),1,COUNTIF('Schedule Raw Data'!$A$3:$A$2477,$A80),2),O$1),0)</f>
        <v>0</v>
      </c>
      <c r="P80">
        <f>IFERROR(COUNTIF(OFFSET('Schedule Raw Data'!$A$2,MATCH($A80,'Schedule Raw Data'!$A$3:$A$2477,0),1,COUNTIF('Schedule Raw Data'!$A$3:$A$2477,$A80),2),P$1),0)</f>
        <v>1</v>
      </c>
      <c r="Q80">
        <f>IFERROR(COUNTIF(OFFSET('Schedule Raw Data'!$A$2,MATCH($A80,'Schedule Raw Data'!$A$3:$A$2477,0),1,COUNTIF('Schedule Raw Data'!$A$3:$A$2477,$A80),2),Q$1),0)</f>
        <v>0</v>
      </c>
      <c r="R80">
        <f>IFERROR(COUNTIF(OFFSET('Schedule Raw Data'!$A$2,MATCH($A80,'Schedule Raw Data'!$A$3:$A$2477,0),1,COUNTIF('Schedule Raw Data'!$A$3:$A$2477,$A80),2),R$1),0)</f>
        <v>1</v>
      </c>
      <c r="S80">
        <f>IFERROR(COUNTIF(OFFSET('Schedule Raw Data'!$A$2,MATCH($A80,'Schedule Raw Data'!$A$3:$A$2477,0),1,COUNTIF('Schedule Raw Data'!$A$3:$A$2477,$A80),2),S$1),0)</f>
        <v>1</v>
      </c>
      <c r="T80">
        <f>IFERROR(COUNTIF(OFFSET('Schedule Raw Data'!$A$2,MATCH($A80,'Schedule Raw Data'!$A$3:$A$2477,0),1,COUNTIF('Schedule Raw Data'!$A$3:$A$2477,$A80),2),T$1),0)</f>
        <v>0</v>
      </c>
      <c r="U80">
        <f>IFERROR(COUNTIF(OFFSET('Schedule Raw Data'!$A$2,MATCH($A80,'Schedule Raw Data'!$A$3:$A$2477,0),1,COUNTIF('Schedule Raw Data'!$A$3:$A$2477,$A80),2),U$1),0)</f>
        <v>1</v>
      </c>
      <c r="V80">
        <f>IFERROR(COUNTIF(OFFSET('Schedule Raw Data'!$A$2,MATCH($A80,'Schedule Raw Data'!$A$3:$A$2477,0),1,COUNTIF('Schedule Raw Data'!$A$3:$A$2477,$A80),2),V$1),0)</f>
        <v>0</v>
      </c>
      <c r="W80">
        <f>IFERROR(COUNTIF(OFFSET('Schedule Raw Data'!$A$2,MATCH($A80,'Schedule Raw Data'!$A$3:$A$2477,0),1,COUNTIF('Schedule Raw Data'!$A$3:$A$2477,$A80),2),W$1),0)</f>
        <v>1</v>
      </c>
      <c r="X80">
        <f>IFERROR(COUNTIF(OFFSET('Schedule Raw Data'!$A$2,MATCH($A80,'Schedule Raw Data'!$A$3:$A$2477,0),1,COUNTIF('Schedule Raw Data'!$A$3:$A$2477,$A80),2),X$1),0)</f>
        <v>1</v>
      </c>
      <c r="Y80">
        <f>IFERROR(COUNTIF(OFFSET('Schedule Raw Data'!$A$2,MATCH($A80,'Schedule Raw Data'!$A$3:$A$2477,0),1,COUNTIF('Schedule Raw Data'!$A$3:$A$2477,$A80),2),Y$1),0)</f>
        <v>0</v>
      </c>
      <c r="Z80">
        <f>IFERROR(COUNTIF(OFFSET('Schedule Raw Data'!$A$2,MATCH($A80,'Schedule Raw Data'!$A$3:$A$2477,0),1,COUNTIF('Schedule Raw Data'!$A$3:$A$2477,$A80),2),Z$1),0)</f>
        <v>0</v>
      </c>
      <c r="AA80">
        <f>IFERROR(COUNTIF(OFFSET('Schedule Raw Data'!$A$2,MATCH($A80,'Schedule Raw Data'!$A$3:$A$2477,0),1,COUNTIF('Schedule Raw Data'!$A$3:$A$2477,$A80),2),AA$1),0)</f>
        <v>1</v>
      </c>
      <c r="AB80">
        <f>IFERROR(COUNTIF(OFFSET('Schedule Raw Data'!$A$2,MATCH($A80,'Schedule Raw Data'!$A$3:$A$2477,0),1,COUNTIF('Schedule Raw Data'!$A$3:$A$2477,$A80),2),AB$1),0)</f>
        <v>1</v>
      </c>
      <c r="AC80">
        <f>IFERROR(COUNTIF(OFFSET('Schedule Raw Data'!$A$2,MATCH($A80,'Schedule Raw Data'!$A$3:$A$2477,0),1,COUNTIF('Schedule Raw Data'!$A$3:$A$2477,$A80),2),AC$1),0)</f>
        <v>1</v>
      </c>
      <c r="AD80">
        <f>IFERROR(COUNTIF(OFFSET('Schedule Raw Data'!$A$2,MATCH($A80,'Schedule Raw Data'!$A$3:$A$2477,0),1,COUNTIF('Schedule Raw Data'!$A$3:$A$2477,$A80),2),AD$1),0)</f>
        <v>1</v>
      </c>
      <c r="AE80">
        <f>IFERROR(COUNTIF(OFFSET('Schedule Raw Data'!$A$2,MATCH($A80,'Schedule Raw Data'!$A$3:$A$2477,0),1,COUNTIF('Schedule Raw Data'!$A$3:$A$2477,$A80),2),AE$1),0)</f>
        <v>1</v>
      </c>
      <c r="AF80">
        <f>IFERROR(COUNTIF(OFFSET('Schedule Raw Data'!$A$2,MATCH($A80,'Schedule Raw Data'!$A$3:$A$2477,0),1,COUNTIF('Schedule Raw Data'!$A$3:$A$2477,$A80),2),AF$1),0)</f>
        <v>1</v>
      </c>
      <c r="AG80">
        <f t="shared" si="1"/>
        <v>8</v>
      </c>
    </row>
    <row r="81">
      <c r="A81" s="30">
        <f t="array" ref="A81">INDEX('Schedule Raw Data'!$A$3:$A$2477,MATCH(0,INDEX(COUNTIF($A$1:A80,'Schedule Raw Data'!$A$3:$A$2477),0,0),0))</f>
        <v>46405</v>
      </c>
      <c r="B81">
        <f t="shared" si="2"/>
        <v>13</v>
      </c>
      <c r="C81">
        <f>IFERROR(COUNTIF(OFFSET('Schedule Raw Data'!$A$2,MATCH($A81,'Schedule Raw Data'!$A$3:$A$2477,0),1,COUNTIF('Schedule Raw Data'!$A$3:$A$2477,$A81),2),C$1),0)</f>
        <v>1</v>
      </c>
      <c r="D81">
        <f>IFERROR(COUNTIF(OFFSET('Schedule Raw Data'!$A$2,MATCH($A81,'Schedule Raw Data'!$A$3:$A$2477,0),1,COUNTIF('Schedule Raw Data'!$A$3:$A$2477,$A81),2),D$1),0)</f>
        <v>0</v>
      </c>
      <c r="E81">
        <f>IFERROR(COUNTIF(OFFSET('Schedule Raw Data'!$A$2,MATCH($A81,'Schedule Raw Data'!$A$3:$A$2477,0),1,COUNTIF('Schedule Raw Data'!$A$3:$A$2477,$A81),2),E$1),0)</f>
        <v>1</v>
      </c>
      <c r="F81">
        <f>IFERROR(COUNTIF(OFFSET('Schedule Raw Data'!$A$2,MATCH($A81,'Schedule Raw Data'!$A$3:$A$2477,0),1,COUNTIF('Schedule Raw Data'!$A$3:$A$2477,$A81),2),F$1),0)</f>
        <v>0</v>
      </c>
      <c r="G81">
        <f>IFERROR(COUNTIF(OFFSET('Schedule Raw Data'!$A$2,MATCH($A81,'Schedule Raw Data'!$A$3:$A$2477,0),1,COUNTIF('Schedule Raw Data'!$A$3:$A$2477,$A81),2),G$1),0)</f>
        <v>0</v>
      </c>
      <c r="H81">
        <f>IFERROR(COUNTIF(OFFSET('Schedule Raw Data'!$A$2,MATCH($A81,'Schedule Raw Data'!$A$3:$A$2477,0),1,COUNTIF('Schedule Raw Data'!$A$3:$A$2477,$A81),2),H$1),0)</f>
        <v>1</v>
      </c>
      <c r="I81">
        <f>IFERROR(COUNTIF(OFFSET('Schedule Raw Data'!$A$2,MATCH($A81,'Schedule Raw Data'!$A$3:$A$2477,0),1,COUNTIF('Schedule Raw Data'!$A$3:$A$2477,$A81),2),I$1),0)</f>
        <v>1</v>
      </c>
      <c r="J81">
        <f>IFERROR(COUNTIF(OFFSET('Schedule Raw Data'!$A$2,MATCH($A81,'Schedule Raw Data'!$A$3:$A$2477,0),1,COUNTIF('Schedule Raw Data'!$A$3:$A$2477,$A81),2),J$1),0)</f>
        <v>0</v>
      </c>
      <c r="K81">
        <f>IFERROR(COUNTIF(OFFSET('Schedule Raw Data'!$A$2,MATCH($A81,'Schedule Raw Data'!$A$3:$A$2477,0),1,COUNTIF('Schedule Raw Data'!$A$3:$A$2477,$A81),2),K$1),0)</f>
        <v>1</v>
      </c>
      <c r="L81">
        <f>IFERROR(COUNTIF(OFFSET('Schedule Raw Data'!$A$2,MATCH($A81,'Schedule Raw Data'!$A$3:$A$2477,0),1,COUNTIF('Schedule Raw Data'!$A$3:$A$2477,$A81),2),L$1),0)</f>
        <v>0</v>
      </c>
      <c r="M81">
        <f>IFERROR(COUNTIF(OFFSET('Schedule Raw Data'!$A$2,MATCH($A81,'Schedule Raw Data'!$A$3:$A$2477,0),1,COUNTIF('Schedule Raw Data'!$A$3:$A$2477,$A81),2),M$1),0)</f>
        <v>1</v>
      </c>
      <c r="N81">
        <f>IFERROR(COUNTIF(OFFSET('Schedule Raw Data'!$A$2,MATCH($A81,'Schedule Raw Data'!$A$3:$A$2477,0),1,COUNTIF('Schedule Raw Data'!$A$3:$A$2477,$A81),2),N$1),0)</f>
        <v>0</v>
      </c>
      <c r="O81">
        <f>IFERROR(COUNTIF(OFFSET('Schedule Raw Data'!$A$2,MATCH($A81,'Schedule Raw Data'!$A$3:$A$2477,0),1,COUNTIF('Schedule Raw Data'!$A$3:$A$2477,$A81),2),O$1),0)</f>
        <v>1</v>
      </c>
      <c r="P81">
        <f>IFERROR(COUNTIF(OFFSET('Schedule Raw Data'!$A$2,MATCH($A81,'Schedule Raw Data'!$A$3:$A$2477,0),1,COUNTIF('Schedule Raw Data'!$A$3:$A$2477,$A81),2),P$1),0)</f>
        <v>0</v>
      </c>
      <c r="Q81">
        <f>IFERROR(COUNTIF(OFFSET('Schedule Raw Data'!$A$2,MATCH($A81,'Schedule Raw Data'!$A$3:$A$2477,0),1,COUNTIF('Schedule Raw Data'!$A$3:$A$2477,$A81),2),Q$1),0)</f>
        <v>1</v>
      </c>
      <c r="R81">
        <f>IFERROR(COUNTIF(OFFSET('Schedule Raw Data'!$A$2,MATCH($A81,'Schedule Raw Data'!$A$3:$A$2477,0),1,COUNTIF('Schedule Raw Data'!$A$3:$A$2477,$A81),2),R$1),0)</f>
        <v>0</v>
      </c>
      <c r="S81">
        <f>IFERROR(COUNTIF(OFFSET('Schedule Raw Data'!$A$2,MATCH($A81,'Schedule Raw Data'!$A$3:$A$2477,0),1,COUNTIF('Schedule Raw Data'!$A$3:$A$2477,$A81),2),S$1),0)</f>
        <v>0</v>
      </c>
      <c r="T81">
        <f>IFERROR(COUNTIF(OFFSET('Schedule Raw Data'!$A$2,MATCH($A81,'Schedule Raw Data'!$A$3:$A$2477,0),1,COUNTIF('Schedule Raw Data'!$A$3:$A$2477,$A81),2),T$1),0)</f>
        <v>1</v>
      </c>
      <c r="U81">
        <f>IFERROR(COUNTIF(OFFSET('Schedule Raw Data'!$A$2,MATCH($A81,'Schedule Raw Data'!$A$3:$A$2477,0),1,COUNTIF('Schedule Raw Data'!$A$3:$A$2477,$A81),2),U$1),0)</f>
        <v>0</v>
      </c>
      <c r="V81">
        <f>IFERROR(COUNTIF(OFFSET('Schedule Raw Data'!$A$2,MATCH($A81,'Schedule Raw Data'!$A$3:$A$2477,0),1,COUNTIF('Schedule Raw Data'!$A$3:$A$2477,$A81),2),V$1),0)</f>
        <v>1</v>
      </c>
      <c r="W81">
        <f>IFERROR(COUNTIF(OFFSET('Schedule Raw Data'!$A$2,MATCH($A81,'Schedule Raw Data'!$A$3:$A$2477,0),1,COUNTIF('Schedule Raw Data'!$A$3:$A$2477,$A81),2),W$1),0)</f>
        <v>1</v>
      </c>
      <c r="X81">
        <f>IFERROR(COUNTIF(OFFSET('Schedule Raw Data'!$A$2,MATCH($A81,'Schedule Raw Data'!$A$3:$A$2477,0),1,COUNTIF('Schedule Raw Data'!$A$3:$A$2477,$A81),2),X$1),0)</f>
        <v>0</v>
      </c>
      <c r="Y81">
        <f>IFERROR(COUNTIF(OFFSET('Schedule Raw Data'!$A$2,MATCH($A81,'Schedule Raw Data'!$A$3:$A$2477,0),1,COUNTIF('Schedule Raw Data'!$A$3:$A$2477,$A81),2),Y$1),0)</f>
        <v>1</v>
      </c>
      <c r="Z81">
        <f>IFERROR(COUNTIF(OFFSET('Schedule Raw Data'!$A$2,MATCH($A81,'Schedule Raw Data'!$A$3:$A$2477,0),1,COUNTIF('Schedule Raw Data'!$A$3:$A$2477,$A81),2),Z$1),0)</f>
        <v>1</v>
      </c>
      <c r="AA81">
        <f>IFERROR(COUNTIF(OFFSET('Schedule Raw Data'!$A$2,MATCH($A81,'Schedule Raw Data'!$A$3:$A$2477,0),1,COUNTIF('Schedule Raw Data'!$A$3:$A$2477,$A81),2),AA$1),0)</f>
        <v>0</v>
      </c>
      <c r="AB81">
        <f>IFERROR(COUNTIF(OFFSET('Schedule Raw Data'!$A$2,MATCH($A81,'Schedule Raw Data'!$A$3:$A$2477,0),1,COUNTIF('Schedule Raw Data'!$A$3:$A$2477,$A81),2),AB$1),0)</f>
        <v>0</v>
      </c>
      <c r="AC81">
        <f>IFERROR(COUNTIF(OFFSET('Schedule Raw Data'!$A$2,MATCH($A81,'Schedule Raw Data'!$A$3:$A$2477,0),1,COUNTIF('Schedule Raw Data'!$A$3:$A$2477,$A81),2),AC$1),0)</f>
        <v>0</v>
      </c>
      <c r="AD81">
        <f>IFERROR(COUNTIF(OFFSET('Schedule Raw Data'!$A$2,MATCH($A81,'Schedule Raw Data'!$A$3:$A$2477,0),1,COUNTIF('Schedule Raw Data'!$A$3:$A$2477,$A81),2),AD$1),0)</f>
        <v>0</v>
      </c>
      <c r="AE81">
        <f>IFERROR(COUNTIF(OFFSET('Schedule Raw Data'!$A$2,MATCH($A81,'Schedule Raw Data'!$A$3:$A$2477,0),1,COUNTIF('Schedule Raw Data'!$A$3:$A$2477,$A81),2),AE$1),0)</f>
        <v>0</v>
      </c>
      <c r="AF81">
        <f>IFERROR(COUNTIF(OFFSET('Schedule Raw Data'!$A$2,MATCH($A81,'Schedule Raw Data'!$A$3:$A$2477,0),1,COUNTIF('Schedule Raw Data'!$A$3:$A$2477,$A81),2),AF$1),0)</f>
        <v>1</v>
      </c>
      <c r="AG81">
        <f t="shared" si="1"/>
        <v>7</v>
      </c>
    </row>
    <row r="82">
      <c r="A82" s="30">
        <f t="array" ref="A82">INDEX('Schedule Raw Data'!$A$3:$A$2477,MATCH(0,INDEX(COUNTIF($A$1:A81,'Schedule Raw Data'!$A$3:$A$2477),0,0),0))</f>
        <v>46406</v>
      </c>
      <c r="B82">
        <f t="shared" si="2"/>
        <v>13</v>
      </c>
      <c r="C82">
        <f>IFERROR(COUNTIF(OFFSET('Schedule Raw Data'!$A$2,MATCH($A82,'Schedule Raw Data'!$A$3:$A$2477,0),1,COUNTIF('Schedule Raw Data'!$A$3:$A$2477,$A82),2),C$1),0)</f>
        <v>0</v>
      </c>
      <c r="D82">
        <f>IFERROR(COUNTIF(OFFSET('Schedule Raw Data'!$A$2,MATCH($A82,'Schedule Raw Data'!$A$3:$A$2477,0),1,COUNTIF('Schedule Raw Data'!$A$3:$A$2477,$A82),2),D$1),0)</f>
        <v>0</v>
      </c>
      <c r="E82">
        <f>IFERROR(COUNTIF(OFFSET('Schedule Raw Data'!$A$2,MATCH($A82,'Schedule Raw Data'!$A$3:$A$2477,0),1,COUNTIF('Schedule Raw Data'!$A$3:$A$2477,$A82),2),E$1),0)</f>
        <v>0</v>
      </c>
      <c r="F82">
        <f>IFERROR(COUNTIF(OFFSET('Schedule Raw Data'!$A$2,MATCH($A82,'Schedule Raw Data'!$A$3:$A$2477,0),1,COUNTIF('Schedule Raw Data'!$A$3:$A$2477,$A82),2),F$1),0)</f>
        <v>1</v>
      </c>
      <c r="G82">
        <f>IFERROR(COUNTIF(OFFSET('Schedule Raw Data'!$A$2,MATCH($A82,'Schedule Raw Data'!$A$3:$A$2477,0),1,COUNTIF('Schedule Raw Data'!$A$3:$A$2477,$A82),2),G$1),0)</f>
        <v>1</v>
      </c>
      <c r="H82">
        <f>IFERROR(COUNTIF(OFFSET('Schedule Raw Data'!$A$2,MATCH($A82,'Schedule Raw Data'!$A$3:$A$2477,0),1,COUNTIF('Schedule Raw Data'!$A$3:$A$2477,$A82),2),H$1),0)</f>
        <v>0</v>
      </c>
      <c r="I82">
        <f>IFERROR(COUNTIF(OFFSET('Schedule Raw Data'!$A$2,MATCH($A82,'Schedule Raw Data'!$A$3:$A$2477,0),1,COUNTIF('Schedule Raw Data'!$A$3:$A$2477,$A82),2),I$1),0)</f>
        <v>1</v>
      </c>
      <c r="J82">
        <f>IFERROR(COUNTIF(OFFSET('Schedule Raw Data'!$A$2,MATCH($A82,'Schedule Raw Data'!$A$3:$A$2477,0),1,COUNTIF('Schedule Raw Data'!$A$3:$A$2477,$A82),2),J$1),0)</f>
        <v>1</v>
      </c>
      <c r="K82">
        <f>IFERROR(COUNTIF(OFFSET('Schedule Raw Data'!$A$2,MATCH($A82,'Schedule Raw Data'!$A$3:$A$2477,0),1,COUNTIF('Schedule Raw Data'!$A$3:$A$2477,$A82),2),K$1),0)</f>
        <v>0</v>
      </c>
      <c r="L82">
        <f>IFERROR(COUNTIF(OFFSET('Schedule Raw Data'!$A$2,MATCH($A82,'Schedule Raw Data'!$A$3:$A$2477,0),1,COUNTIF('Schedule Raw Data'!$A$3:$A$2477,$A82),2),L$1),0)</f>
        <v>1</v>
      </c>
      <c r="M82">
        <f>IFERROR(COUNTIF(OFFSET('Schedule Raw Data'!$A$2,MATCH($A82,'Schedule Raw Data'!$A$3:$A$2477,0),1,COUNTIF('Schedule Raw Data'!$A$3:$A$2477,$A82),2),M$1),0)</f>
        <v>0</v>
      </c>
      <c r="N82">
        <f>IFERROR(COUNTIF(OFFSET('Schedule Raw Data'!$A$2,MATCH($A82,'Schedule Raw Data'!$A$3:$A$2477,0),1,COUNTIF('Schedule Raw Data'!$A$3:$A$2477,$A82),2),N$1),0)</f>
        <v>1</v>
      </c>
      <c r="O82">
        <f>IFERROR(COUNTIF(OFFSET('Schedule Raw Data'!$A$2,MATCH($A82,'Schedule Raw Data'!$A$3:$A$2477,0),1,COUNTIF('Schedule Raw Data'!$A$3:$A$2477,$A82),2),O$1),0)</f>
        <v>0</v>
      </c>
      <c r="P82">
        <f>IFERROR(COUNTIF(OFFSET('Schedule Raw Data'!$A$2,MATCH($A82,'Schedule Raw Data'!$A$3:$A$2477,0),1,COUNTIF('Schedule Raw Data'!$A$3:$A$2477,$A82),2),P$1),0)</f>
        <v>1</v>
      </c>
      <c r="Q82">
        <f>IFERROR(COUNTIF(OFFSET('Schedule Raw Data'!$A$2,MATCH($A82,'Schedule Raw Data'!$A$3:$A$2477,0),1,COUNTIF('Schedule Raw Data'!$A$3:$A$2477,$A82),2),Q$1),0)</f>
        <v>0</v>
      </c>
      <c r="R82">
        <f>IFERROR(COUNTIF(OFFSET('Schedule Raw Data'!$A$2,MATCH($A82,'Schedule Raw Data'!$A$3:$A$2477,0),1,COUNTIF('Schedule Raw Data'!$A$3:$A$2477,$A82),2),R$1),0)</f>
        <v>1</v>
      </c>
      <c r="S82">
        <f>IFERROR(COUNTIF(OFFSET('Schedule Raw Data'!$A$2,MATCH($A82,'Schedule Raw Data'!$A$3:$A$2477,0),1,COUNTIF('Schedule Raw Data'!$A$3:$A$2477,$A82),2),S$1),0)</f>
        <v>0</v>
      </c>
      <c r="T82">
        <f>IFERROR(COUNTIF(OFFSET('Schedule Raw Data'!$A$2,MATCH($A82,'Schedule Raw Data'!$A$3:$A$2477,0),1,COUNTIF('Schedule Raw Data'!$A$3:$A$2477,$A82),2),T$1),0)</f>
        <v>0</v>
      </c>
      <c r="U82">
        <f>IFERROR(COUNTIF(OFFSET('Schedule Raw Data'!$A$2,MATCH($A82,'Schedule Raw Data'!$A$3:$A$2477,0),1,COUNTIF('Schedule Raw Data'!$A$3:$A$2477,$A82),2),U$1),0)</f>
        <v>0</v>
      </c>
      <c r="V82">
        <f>IFERROR(COUNTIF(OFFSET('Schedule Raw Data'!$A$2,MATCH($A82,'Schedule Raw Data'!$A$3:$A$2477,0),1,COUNTIF('Schedule Raw Data'!$A$3:$A$2477,$A82),2),V$1),0)</f>
        <v>0</v>
      </c>
      <c r="W82">
        <f>IFERROR(COUNTIF(OFFSET('Schedule Raw Data'!$A$2,MATCH($A82,'Schedule Raw Data'!$A$3:$A$2477,0),1,COUNTIF('Schedule Raw Data'!$A$3:$A$2477,$A82),2),W$1),0)</f>
        <v>0</v>
      </c>
      <c r="X82">
        <f>IFERROR(COUNTIF(OFFSET('Schedule Raw Data'!$A$2,MATCH($A82,'Schedule Raw Data'!$A$3:$A$2477,0),1,COUNTIF('Schedule Raw Data'!$A$3:$A$2477,$A82),2),X$1),0)</f>
        <v>1</v>
      </c>
      <c r="Y82">
        <f>IFERROR(COUNTIF(OFFSET('Schedule Raw Data'!$A$2,MATCH($A82,'Schedule Raw Data'!$A$3:$A$2477,0),1,COUNTIF('Schedule Raw Data'!$A$3:$A$2477,$A82),2),Y$1),0)</f>
        <v>1</v>
      </c>
      <c r="Z82">
        <f>IFERROR(COUNTIF(OFFSET('Schedule Raw Data'!$A$2,MATCH($A82,'Schedule Raw Data'!$A$3:$A$2477,0),1,COUNTIF('Schedule Raw Data'!$A$3:$A$2477,$A82),2),Z$1),0)</f>
        <v>0</v>
      </c>
      <c r="AA82">
        <f>IFERROR(COUNTIF(OFFSET('Schedule Raw Data'!$A$2,MATCH($A82,'Schedule Raw Data'!$A$3:$A$2477,0),1,COUNTIF('Schedule Raw Data'!$A$3:$A$2477,$A82),2),AA$1),0)</f>
        <v>1</v>
      </c>
      <c r="AB82">
        <f>IFERROR(COUNTIF(OFFSET('Schedule Raw Data'!$A$2,MATCH($A82,'Schedule Raw Data'!$A$3:$A$2477,0),1,COUNTIF('Schedule Raw Data'!$A$3:$A$2477,$A82),2),AB$1),0)</f>
        <v>1</v>
      </c>
      <c r="AC82">
        <f>IFERROR(COUNTIF(OFFSET('Schedule Raw Data'!$A$2,MATCH($A82,'Schedule Raw Data'!$A$3:$A$2477,0),1,COUNTIF('Schedule Raw Data'!$A$3:$A$2477,$A82),2),AC$1),0)</f>
        <v>0</v>
      </c>
      <c r="AD82">
        <f>IFERROR(COUNTIF(OFFSET('Schedule Raw Data'!$A$2,MATCH($A82,'Schedule Raw Data'!$A$3:$A$2477,0),1,COUNTIF('Schedule Raw Data'!$A$3:$A$2477,$A82),2),AD$1),0)</f>
        <v>1</v>
      </c>
      <c r="AE82">
        <f>IFERROR(COUNTIF(OFFSET('Schedule Raw Data'!$A$2,MATCH($A82,'Schedule Raw Data'!$A$3:$A$2477,0),1,COUNTIF('Schedule Raw Data'!$A$3:$A$2477,$A82),2),AE$1),0)</f>
        <v>1</v>
      </c>
      <c r="AF82">
        <f>IFERROR(COUNTIF(OFFSET('Schedule Raw Data'!$A$2,MATCH($A82,'Schedule Raw Data'!$A$3:$A$2477,0),1,COUNTIF('Schedule Raw Data'!$A$3:$A$2477,$A82),2),AF$1),0)</f>
        <v>0</v>
      </c>
      <c r="AG82">
        <f t="shared" si="1"/>
        <v>7</v>
      </c>
    </row>
    <row r="83">
      <c r="A83" s="30">
        <f t="array" ref="A83">INDEX('Schedule Raw Data'!$A$3:$A$2477,MATCH(0,INDEX(COUNTIF($A$1:A82,'Schedule Raw Data'!$A$3:$A$2477),0,0),0))</f>
        <v>46407</v>
      </c>
      <c r="B83">
        <f t="shared" si="2"/>
        <v>13</v>
      </c>
      <c r="C83">
        <f>IFERROR(COUNTIF(OFFSET('Schedule Raw Data'!$A$2,MATCH($A83,'Schedule Raw Data'!$A$3:$A$2477,0),1,COUNTIF('Schedule Raw Data'!$A$3:$A$2477,$A83),2),C$1),0)</f>
        <v>1</v>
      </c>
      <c r="D83">
        <f>IFERROR(COUNTIF(OFFSET('Schedule Raw Data'!$A$2,MATCH($A83,'Schedule Raw Data'!$A$3:$A$2477,0),1,COUNTIF('Schedule Raw Data'!$A$3:$A$2477,$A83),2),D$1),0)</f>
        <v>1</v>
      </c>
      <c r="E83">
        <f>IFERROR(COUNTIF(OFFSET('Schedule Raw Data'!$A$2,MATCH($A83,'Schedule Raw Data'!$A$3:$A$2477,0),1,COUNTIF('Schedule Raw Data'!$A$3:$A$2477,$A83),2),E$1),0)</f>
        <v>1</v>
      </c>
      <c r="F83">
        <f>IFERROR(COUNTIF(OFFSET('Schedule Raw Data'!$A$2,MATCH($A83,'Schedule Raw Data'!$A$3:$A$2477,0),1,COUNTIF('Schedule Raw Data'!$A$3:$A$2477,$A83),2),F$1),0)</f>
        <v>0</v>
      </c>
      <c r="G83">
        <f>IFERROR(COUNTIF(OFFSET('Schedule Raw Data'!$A$2,MATCH($A83,'Schedule Raw Data'!$A$3:$A$2477,0),1,COUNTIF('Schedule Raw Data'!$A$3:$A$2477,$A83),2),G$1),0)</f>
        <v>1</v>
      </c>
      <c r="H83">
        <f>IFERROR(COUNTIF(OFFSET('Schedule Raw Data'!$A$2,MATCH($A83,'Schedule Raw Data'!$A$3:$A$2477,0),1,COUNTIF('Schedule Raw Data'!$A$3:$A$2477,$A83),2),H$1),0)</f>
        <v>0</v>
      </c>
      <c r="I83">
        <f>IFERROR(COUNTIF(OFFSET('Schedule Raw Data'!$A$2,MATCH($A83,'Schedule Raw Data'!$A$3:$A$2477,0),1,COUNTIF('Schedule Raw Data'!$A$3:$A$2477,$A83),2),I$1),0)</f>
        <v>0</v>
      </c>
      <c r="J83">
        <f>IFERROR(COUNTIF(OFFSET('Schedule Raw Data'!$A$2,MATCH($A83,'Schedule Raw Data'!$A$3:$A$2477,0),1,COUNTIF('Schedule Raw Data'!$A$3:$A$2477,$A83),2),J$1),0)</f>
        <v>0</v>
      </c>
      <c r="K83">
        <f>IFERROR(COUNTIF(OFFSET('Schedule Raw Data'!$A$2,MATCH($A83,'Schedule Raw Data'!$A$3:$A$2477,0),1,COUNTIF('Schedule Raw Data'!$A$3:$A$2477,$A83),2),K$1),0)</f>
        <v>0</v>
      </c>
      <c r="L83">
        <f>IFERROR(COUNTIF(OFFSET('Schedule Raw Data'!$A$2,MATCH($A83,'Schedule Raw Data'!$A$3:$A$2477,0),1,COUNTIF('Schedule Raw Data'!$A$3:$A$2477,$A83),2),L$1),0)</f>
        <v>0</v>
      </c>
      <c r="M83">
        <f>IFERROR(COUNTIF(OFFSET('Schedule Raw Data'!$A$2,MATCH($A83,'Schedule Raw Data'!$A$3:$A$2477,0),1,COUNTIF('Schedule Raw Data'!$A$3:$A$2477,$A83),2),M$1),0)</f>
        <v>1</v>
      </c>
      <c r="N83">
        <f>IFERROR(COUNTIF(OFFSET('Schedule Raw Data'!$A$2,MATCH($A83,'Schedule Raw Data'!$A$3:$A$2477,0),1,COUNTIF('Schedule Raw Data'!$A$3:$A$2477,$A83),2),N$1),0)</f>
        <v>1</v>
      </c>
      <c r="O83">
        <f>IFERROR(COUNTIF(OFFSET('Schedule Raw Data'!$A$2,MATCH($A83,'Schedule Raw Data'!$A$3:$A$2477,0),1,COUNTIF('Schedule Raw Data'!$A$3:$A$2477,$A83),2),O$1),0)</f>
        <v>1</v>
      </c>
      <c r="P83">
        <f>IFERROR(COUNTIF(OFFSET('Schedule Raw Data'!$A$2,MATCH($A83,'Schedule Raw Data'!$A$3:$A$2477,0),1,COUNTIF('Schedule Raw Data'!$A$3:$A$2477,$A83),2),P$1),0)</f>
        <v>0</v>
      </c>
      <c r="Q83">
        <f>IFERROR(COUNTIF(OFFSET('Schedule Raw Data'!$A$2,MATCH($A83,'Schedule Raw Data'!$A$3:$A$2477,0),1,COUNTIF('Schedule Raw Data'!$A$3:$A$2477,$A83),2),Q$1),0)</f>
        <v>1</v>
      </c>
      <c r="R83">
        <f>IFERROR(COUNTIF(OFFSET('Schedule Raw Data'!$A$2,MATCH($A83,'Schedule Raw Data'!$A$3:$A$2477,0),1,COUNTIF('Schedule Raw Data'!$A$3:$A$2477,$A83),2),R$1),0)</f>
        <v>1</v>
      </c>
      <c r="S83">
        <f>IFERROR(COUNTIF(OFFSET('Schedule Raw Data'!$A$2,MATCH($A83,'Schedule Raw Data'!$A$3:$A$2477,0),1,COUNTIF('Schedule Raw Data'!$A$3:$A$2477,$A83),2),S$1),0)</f>
        <v>1</v>
      </c>
      <c r="T83">
        <f>IFERROR(COUNTIF(OFFSET('Schedule Raw Data'!$A$2,MATCH($A83,'Schedule Raw Data'!$A$3:$A$2477,0),1,COUNTIF('Schedule Raw Data'!$A$3:$A$2477,$A83),2),T$1),0)</f>
        <v>1</v>
      </c>
      <c r="U83">
        <f>IFERROR(COUNTIF(OFFSET('Schedule Raw Data'!$A$2,MATCH($A83,'Schedule Raw Data'!$A$3:$A$2477,0),1,COUNTIF('Schedule Raw Data'!$A$3:$A$2477,$A83),2),U$1),0)</f>
        <v>1</v>
      </c>
      <c r="V83">
        <f>IFERROR(COUNTIF(OFFSET('Schedule Raw Data'!$A$2,MATCH($A83,'Schedule Raw Data'!$A$3:$A$2477,0),1,COUNTIF('Schedule Raw Data'!$A$3:$A$2477,$A83),2),V$1),0)</f>
        <v>1</v>
      </c>
      <c r="W83">
        <f>IFERROR(COUNTIF(OFFSET('Schedule Raw Data'!$A$2,MATCH($A83,'Schedule Raw Data'!$A$3:$A$2477,0),1,COUNTIF('Schedule Raw Data'!$A$3:$A$2477,$A83),2),W$1),0)</f>
        <v>1</v>
      </c>
      <c r="X83">
        <f>IFERROR(COUNTIF(OFFSET('Schedule Raw Data'!$A$2,MATCH($A83,'Schedule Raw Data'!$A$3:$A$2477,0),1,COUNTIF('Schedule Raw Data'!$A$3:$A$2477,$A83),2),X$1),0)</f>
        <v>0</v>
      </c>
      <c r="Y83">
        <f>IFERROR(COUNTIF(OFFSET('Schedule Raw Data'!$A$2,MATCH($A83,'Schedule Raw Data'!$A$3:$A$2477,0),1,COUNTIF('Schedule Raw Data'!$A$3:$A$2477,$A83),2),Y$1),0)</f>
        <v>0</v>
      </c>
      <c r="Z83">
        <f>IFERROR(COUNTIF(OFFSET('Schedule Raw Data'!$A$2,MATCH($A83,'Schedule Raw Data'!$A$3:$A$2477,0),1,COUNTIF('Schedule Raw Data'!$A$3:$A$2477,$A83),2),Z$1),0)</f>
        <v>1</v>
      </c>
      <c r="AA83">
        <f>IFERROR(COUNTIF(OFFSET('Schedule Raw Data'!$A$2,MATCH($A83,'Schedule Raw Data'!$A$3:$A$2477,0),1,COUNTIF('Schedule Raw Data'!$A$3:$A$2477,$A83),2),AA$1),0)</f>
        <v>1</v>
      </c>
      <c r="AB83">
        <f>IFERROR(COUNTIF(OFFSET('Schedule Raw Data'!$A$2,MATCH($A83,'Schedule Raw Data'!$A$3:$A$2477,0),1,COUNTIF('Schedule Raw Data'!$A$3:$A$2477,$A83),2),AB$1),0)</f>
        <v>1</v>
      </c>
      <c r="AC83">
        <f>IFERROR(COUNTIF(OFFSET('Schedule Raw Data'!$A$2,MATCH($A83,'Schedule Raw Data'!$A$3:$A$2477,0),1,COUNTIF('Schedule Raw Data'!$A$3:$A$2477,$A83),2),AC$1),0)</f>
        <v>1</v>
      </c>
      <c r="AD83">
        <f>IFERROR(COUNTIF(OFFSET('Schedule Raw Data'!$A$2,MATCH($A83,'Schedule Raw Data'!$A$3:$A$2477,0),1,COUNTIF('Schedule Raw Data'!$A$3:$A$2477,$A83),2),AD$1),0)</f>
        <v>1</v>
      </c>
      <c r="AE83">
        <f>IFERROR(COUNTIF(OFFSET('Schedule Raw Data'!$A$2,MATCH($A83,'Schedule Raw Data'!$A$3:$A$2477,0),1,COUNTIF('Schedule Raw Data'!$A$3:$A$2477,$A83),2),AE$1),0)</f>
        <v>1</v>
      </c>
      <c r="AF83">
        <f>IFERROR(COUNTIF(OFFSET('Schedule Raw Data'!$A$2,MATCH($A83,'Schedule Raw Data'!$A$3:$A$2477,0),1,COUNTIF('Schedule Raw Data'!$A$3:$A$2477,$A83),2),AF$1),0)</f>
        <v>0</v>
      </c>
      <c r="AG83">
        <f t="shared" si="1"/>
        <v>10</v>
      </c>
    </row>
    <row r="84">
      <c r="A84" s="30">
        <f t="array" ref="A84">INDEX('Schedule Raw Data'!$A$3:$A$2477,MATCH(0,INDEX(COUNTIF($A$1:A83,'Schedule Raw Data'!$A$3:$A$2477),0,0),0))</f>
        <v>46408</v>
      </c>
      <c r="B84">
        <f t="shared" si="2"/>
        <v>13</v>
      </c>
      <c r="C84">
        <f>IFERROR(COUNTIF(OFFSET('Schedule Raw Data'!$A$2,MATCH($A84,'Schedule Raw Data'!$A$3:$A$2477,0),1,COUNTIF('Schedule Raw Data'!$A$3:$A$2477,$A84),2),C$1),0)</f>
        <v>0</v>
      </c>
      <c r="D84">
        <f>IFERROR(COUNTIF(OFFSET('Schedule Raw Data'!$A$2,MATCH($A84,'Schedule Raw Data'!$A$3:$A$2477,0),1,COUNTIF('Schedule Raw Data'!$A$3:$A$2477,$A84),2),D$1),0)</f>
        <v>1</v>
      </c>
      <c r="E84">
        <f>IFERROR(COUNTIF(OFFSET('Schedule Raw Data'!$A$2,MATCH($A84,'Schedule Raw Data'!$A$3:$A$2477,0),1,COUNTIF('Schedule Raw Data'!$A$3:$A$2477,$A84),2),E$1),0)</f>
        <v>1</v>
      </c>
      <c r="F84">
        <f>IFERROR(COUNTIF(OFFSET('Schedule Raw Data'!$A$2,MATCH($A84,'Schedule Raw Data'!$A$3:$A$2477,0),1,COUNTIF('Schedule Raw Data'!$A$3:$A$2477,$A84),2),F$1),0)</f>
        <v>0</v>
      </c>
      <c r="G84">
        <f>IFERROR(COUNTIF(OFFSET('Schedule Raw Data'!$A$2,MATCH($A84,'Schedule Raw Data'!$A$3:$A$2477,0),1,COUNTIF('Schedule Raw Data'!$A$3:$A$2477,$A84),2),G$1),0)</f>
        <v>0</v>
      </c>
      <c r="H84">
        <f>IFERROR(COUNTIF(OFFSET('Schedule Raw Data'!$A$2,MATCH($A84,'Schedule Raw Data'!$A$3:$A$2477,0),1,COUNTIF('Schedule Raw Data'!$A$3:$A$2477,$A84),2),H$1),0)</f>
        <v>1</v>
      </c>
      <c r="I84">
        <f>IFERROR(COUNTIF(OFFSET('Schedule Raw Data'!$A$2,MATCH($A84,'Schedule Raw Data'!$A$3:$A$2477,0),1,COUNTIF('Schedule Raw Data'!$A$3:$A$2477,$A84),2),I$1),0)</f>
        <v>0</v>
      </c>
      <c r="J84">
        <f>IFERROR(COUNTIF(OFFSET('Schedule Raw Data'!$A$2,MATCH($A84,'Schedule Raw Data'!$A$3:$A$2477,0),1,COUNTIF('Schedule Raw Data'!$A$3:$A$2477,$A84),2),J$1),0)</f>
        <v>1</v>
      </c>
      <c r="K84">
        <f>IFERROR(COUNTIF(OFFSET('Schedule Raw Data'!$A$2,MATCH($A84,'Schedule Raw Data'!$A$3:$A$2477,0),1,COUNTIF('Schedule Raw Data'!$A$3:$A$2477,$A84),2),K$1),0)</f>
        <v>0</v>
      </c>
      <c r="L84">
        <f>IFERROR(COUNTIF(OFFSET('Schedule Raw Data'!$A$2,MATCH($A84,'Schedule Raw Data'!$A$3:$A$2477,0),1,COUNTIF('Schedule Raw Data'!$A$3:$A$2477,$A84),2),L$1),0)</f>
        <v>1</v>
      </c>
      <c r="M84">
        <f>IFERROR(COUNTIF(OFFSET('Schedule Raw Data'!$A$2,MATCH($A84,'Schedule Raw Data'!$A$3:$A$2477,0),1,COUNTIF('Schedule Raw Data'!$A$3:$A$2477,$A84),2),M$1),0)</f>
        <v>0</v>
      </c>
      <c r="N84">
        <f>IFERROR(COUNTIF(OFFSET('Schedule Raw Data'!$A$2,MATCH($A84,'Schedule Raw Data'!$A$3:$A$2477,0),1,COUNTIF('Schedule Raw Data'!$A$3:$A$2477,$A84),2),N$1),0)</f>
        <v>0</v>
      </c>
      <c r="O84">
        <f>IFERROR(COUNTIF(OFFSET('Schedule Raw Data'!$A$2,MATCH($A84,'Schedule Raw Data'!$A$3:$A$2477,0),1,COUNTIF('Schedule Raw Data'!$A$3:$A$2477,$A84),2),O$1),0)</f>
        <v>0</v>
      </c>
      <c r="P84">
        <f>IFERROR(COUNTIF(OFFSET('Schedule Raw Data'!$A$2,MATCH($A84,'Schedule Raw Data'!$A$3:$A$2477,0),1,COUNTIF('Schedule Raw Data'!$A$3:$A$2477,$A84),2),P$1),0)</f>
        <v>1</v>
      </c>
      <c r="Q84">
        <f>IFERROR(COUNTIF(OFFSET('Schedule Raw Data'!$A$2,MATCH($A84,'Schedule Raw Data'!$A$3:$A$2477,0),1,COUNTIF('Schedule Raw Data'!$A$3:$A$2477,$A84),2),Q$1),0)</f>
        <v>0</v>
      </c>
      <c r="R84">
        <f>IFERROR(COUNTIF(OFFSET('Schedule Raw Data'!$A$2,MATCH($A84,'Schedule Raw Data'!$A$3:$A$2477,0),1,COUNTIF('Schedule Raw Data'!$A$3:$A$2477,$A84),2),R$1),0)</f>
        <v>0</v>
      </c>
      <c r="S84">
        <f>IFERROR(COUNTIF(OFFSET('Schedule Raw Data'!$A$2,MATCH($A84,'Schedule Raw Data'!$A$3:$A$2477,0),1,COUNTIF('Schedule Raw Data'!$A$3:$A$2477,$A84),2),S$1),0)</f>
        <v>0</v>
      </c>
      <c r="T84">
        <f>IFERROR(COUNTIF(OFFSET('Schedule Raw Data'!$A$2,MATCH($A84,'Schedule Raw Data'!$A$3:$A$2477,0),1,COUNTIF('Schedule Raw Data'!$A$3:$A$2477,$A84),2),T$1),0)</f>
        <v>0</v>
      </c>
      <c r="U84">
        <f>IFERROR(COUNTIF(OFFSET('Schedule Raw Data'!$A$2,MATCH($A84,'Schedule Raw Data'!$A$3:$A$2477,0),1,COUNTIF('Schedule Raw Data'!$A$3:$A$2477,$A84),2),U$1),0)</f>
        <v>0</v>
      </c>
      <c r="V84">
        <f>IFERROR(COUNTIF(OFFSET('Schedule Raw Data'!$A$2,MATCH($A84,'Schedule Raw Data'!$A$3:$A$2477,0),1,COUNTIF('Schedule Raw Data'!$A$3:$A$2477,$A84),2),V$1),0)</f>
        <v>0</v>
      </c>
      <c r="W84">
        <f>IFERROR(COUNTIF(OFFSET('Schedule Raw Data'!$A$2,MATCH($A84,'Schedule Raw Data'!$A$3:$A$2477,0),1,COUNTIF('Schedule Raw Data'!$A$3:$A$2477,$A84),2),W$1),0)</f>
        <v>0</v>
      </c>
      <c r="X84">
        <f>IFERROR(COUNTIF(OFFSET('Schedule Raw Data'!$A$2,MATCH($A84,'Schedule Raw Data'!$A$3:$A$2477,0),1,COUNTIF('Schedule Raw Data'!$A$3:$A$2477,$A84),2),X$1),0)</f>
        <v>0</v>
      </c>
      <c r="Y84">
        <f>IFERROR(COUNTIF(OFFSET('Schedule Raw Data'!$A$2,MATCH($A84,'Schedule Raw Data'!$A$3:$A$2477,0),1,COUNTIF('Schedule Raw Data'!$A$3:$A$2477,$A84),2),Y$1),0)</f>
        <v>1</v>
      </c>
      <c r="Z84">
        <f>IFERROR(COUNTIF(OFFSET('Schedule Raw Data'!$A$2,MATCH($A84,'Schedule Raw Data'!$A$3:$A$2477,0),1,COUNTIF('Schedule Raw Data'!$A$3:$A$2477,$A84),2),Z$1),0)</f>
        <v>0</v>
      </c>
      <c r="AA84">
        <f>IFERROR(COUNTIF(OFFSET('Schedule Raw Data'!$A$2,MATCH($A84,'Schedule Raw Data'!$A$3:$A$2477,0),1,COUNTIF('Schedule Raw Data'!$A$3:$A$2477,$A84),2),AA$1),0)</f>
        <v>0</v>
      </c>
      <c r="AB84">
        <f>IFERROR(COUNTIF(OFFSET('Schedule Raw Data'!$A$2,MATCH($A84,'Schedule Raw Data'!$A$3:$A$2477,0),1,COUNTIF('Schedule Raw Data'!$A$3:$A$2477,$A84),2),AB$1),0)</f>
        <v>0</v>
      </c>
      <c r="AC84">
        <f>IFERROR(COUNTIF(OFFSET('Schedule Raw Data'!$A$2,MATCH($A84,'Schedule Raw Data'!$A$3:$A$2477,0),1,COUNTIF('Schedule Raw Data'!$A$3:$A$2477,$A84),2),AC$1),0)</f>
        <v>0</v>
      </c>
      <c r="AD84">
        <f>IFERROR(COUNTIF(OFFSET('Schedule Raw Data'!$A$2,MATCH($A84,'Schedule Raw Data'!$A$3:$A$2477,0),1,COUNTIF('Schedule Raw Data'!$A$3:$A$2477,$A84),2),AD$1),0)</f>
        <v>0</v>
      </c>
      <c r="AE84">
        <f>IFERROR(COUNTIF(OFFSET('Schedule Raw Data'!$A$2,MATCH($A84,'Schedule Raw Data'!$A$3:$A$2477,0),1,COUNTIF('Schedule Raw Data'!$A$3:$A$2477,$A84),2),AE$1),0)</f>
        <v>0</v>
      </c>
      <c r="AF84">
        <f>IFERROR(COUNTIF(OFFSET('Schedule Raw Data'!$A$2,MATCH($A84,'Schedule Raw Data'!$A$3:$A$2477,0),1,COUNTIF('Schedule Raw Data'!$A$3:$A$2477,$A84),2),AF$1),0)</f>
        <v>1</v>
      </c>
      <c r="AG84">
        <f t="shared" si="1"/>
        <v>4</v>
      </c>
    </row>
    <row r="85">
      <c r="A85" s="30">
        <f t="array" ref="A85">INDEX('Schedule Raw Data'!$A$3:$A$2477,MATCH(0,INDEX(COUNTIF($A$1:A84,'Schedule Raw Data'!$A$3:$A$2477),0,0),0))</f>
        <v>46409</v>
      </c>
      <c r="B85">
        <f t="shared" si="2"/>
        <v>13</v>
      </c>
      <c r="C85">
        <f>IFERROR(COUNTIF(OFFSET('Schedule Raw Data'!$A$2,MATCH($A85,'Schedule Raw Data'!$A$3:$A$2477,0),1,COUNTIF('Schedule Raw Data'!$A$3:$A$2477,$A85),2),C$1),0)</f>
        <v>1</v>
      </c>
      <c r="D85">
        <f>IFERROR(COUNTIF(OFFSET('Schedule Raw Data'!$A$2,MATCH($A85,'Schedule Raw Data'!$A$3:$A$2477,0),1,COUNTIF('Schedule Raw Data'!$A$3:$A$2477,$A85),2),D$1),0)</f>
        <v>0</v>
      </c>
      <c r="E85">
        <f>IFERROR(COUNTIF(OFFSET('Schedule Raw Data'!$A$2,MATCH($A85,'Schedule Raw Data'!$A$3:$A$2477,0),1,COUNTIF('Schedule Raw Data'!$A$3:$A$2477,$A85),2),E$1),0)</f>
        <v>0</v>
      </c>
      <c r="F85">
        <f>IFERROR(COUNTIF(OFFSET('Schedule Raw Data'!$A$2,MATCH($A85,'Schedule Raw Data'!$A$3:$A$2477,0),1,COUNTIF('Schedule Raw Data'!$A$3:$A$2477,$A85),2),F$1),0)</f>
        <v>1</v>
      </c>
      <c r="G85">
        <f>IFERROR(COUNTIF(OFFSET('Schedule Raw Data'!$A$2,MATCH($A85,'Schedule Raw Data'!$A$3:$A$2477,0),1,COUNTIF('Schedule Raw Data'!$A$3:$A$2477,$A85),2),G$1),0)</f>
        <v>0</v>
      </c>
      <c r="H85">
        <f>IFERROR(COUNTIF(OFFSET('Schedule Raw Data'!$A$2,MATCH($A85,'Schedule Raw Data'!$A$3:$A$2477,0),1,COUNTIF('Schedule Raw Data'!$A$3:$A$2477,$A85),2),H$1),0)</f>
        <v>0</v>
      </c>
      <c r="I85">
        <f>IFERROR(COUNTIF(OFFSET('Schedule Raw Data'!$A$2,MATCH($A85,'Schedule Raw Data'!$A$3:$A$2477,0),1,COUNTIF('Schedule Raw Data'!$A$3:$A$2477,$A85),2),I$1),0)</f>
        <v>1</v>
      </c>
      <c r="J85">
        <f>IFERROR(COUNTIF(OFFSET('Schedule Raw Data'!$A$2,MATCH($A85,'Schedule Raw Data'!$A$3:$A$2477,0),1,COUNTIF('Schedule Raw Data'!$A$3:$A$2477,$A85),2),J$1),0)</f>
        <v>0</v>
      </c>
      <c r="K85">
        <f>IFERROR(COUNTIF(OFFSET('Schedule Raw Data'!$A$2,MATCH($A85,'Schedule Raw Data'!$A$3:$A$2477,0),1,COUNTIF('Schedule Raw Data'!$A$3:$A$2477,$A85),2),K$1),0)</f>
        <v>1</v>
      </c>
      <c r="L85">
        <f>IFERROR(COUNTIF(OFFSET('Schedule Raw Data'!$A$2,MATCH($A85,'Schedule Raw Data'!$A$3:$A$2477,0),1,COUNTIF('Schedule Raw Data'!$A$3:$A$2477,$A85),2),L$1),0)</f>
        <v>1</v>
      </c>
      <c r="M85">
        <f>IFERROR(COUNTIF(OFFSET('Schedule Raw Data'!$A$2,MATCH($A85,'Schedule Raw Data'!$A$3:$A$2477,0),1,COUNTIF('Schedule Raw Data'!$A$3:$A$2477,$A85),2),M$1),0)</f>
        <v>1</v>
      </c>
      <c r="N85">
        <f>IFERROR(COUNTIF(OFFSET('Schedule Raw Data'!$A$2,MATCH($A85,'Schedule Raw Data'!$A$3:$A$2477,0),1,COUNTIF('Schedule Raw Data'!$A$3:$A$2477,$A85),2),N$1),0)</f>
        <v>1</v>
      </c>
      <c r="O85">
        <f>IFERROR(COUNTIF(OFFSET('Schedule Raw Data'!$A$2,MATCH($A85,'Schedule Raw Data'!$A$3:$A$2477,0),1,COUNTIF('Schedule Raw Data'!$A$3:$A$2477,$A85),2),O$1),0)</f>
        <v>1</v>
      </c>
      <c r="P85">
        <f>IFERROR(COUNTIF(OFFSET('Schedule Raw Data'!$A$2,MATCH($A85,'Schedule Raw Data'!$A$3:$A$2477,0),1,COUNTIF('Schedule Raw Data'!$A$3:$A$2477,$A85),2),P$1),0)</f>
        <v>1</v>
      </c>
      <c r="Q85">
        <f>IFERROR(COUNTIF(OFFSET('Schedule Raw Data'!$A$2,MATCH($A85,'Schedule Raw Data'!$A$3:$A$2477,0),1,COUNTIF('Schedule Raw Data'!$A$3:$A$2477,$A85),2),Q$1),0)</f>
        <v>1</v>
      </c>
      <c r="R85">
        <f>IFERROR(COUNTIF(OFFSET('Schedule Raw Data'!$A$2,MATCH($A85,'Schedule Raw Data'!$A$3:$A$2477,0),1,COUNTIF('Schedule Raw Data'!$A$3:$A$2477,$A85),2),R$1),0)</f>
        <v>0</v>
      </c>
      <c r="S85">
        <f>IFERROR(COUNTIF(OFFSET('Schedule Raw Data'!$A$2,MATCH($A85,'Schedule Raw Data'!$A$3:$A$2477,0),1,COUNTIF('Schedule Raw Data'!$A$3:$A$2477,$A85),2),S$1),0)</f>
        <v>1</v>
      </c>
      <c r="T85">
        <f>IFERROR(COUNTIF(OFFSET('Schedule Raw Data'!$A$2,MATCH($A85,'Schedule Raw Data'!$A$3:$A$2477,0),1,COUNTIF('Schedule Raw Data'!$A$3:$A$2477,$A85),2),T$1),0)</f>
        <v>1</v>
      </c>
      <c r="U85">
        <f>IFERROR(COUNTIF(OFFSET('Schedule Raw Data'!$A$2,MATCH($A85,'Schedule Raw Data'!$A$3:$A$2477,0),1,COUNTIF('Schedule Raw Data'!$A$3:$A$2477,$A85),2),U$1),0)</f>
        <v>1</v>
      </c>
      <c r="V85">
        <f>IFERROR(COUNTIF(OFFSET('Schedule Raw Data'!$A$2,MATCH($A85,'Schedule Raw Data'!$A$3:$A$2477,0),1,COUNTIF('Schedule Raw Data'!$A$3:$A$2477,$A85),2),V$1),0)</f>
        <v>1</v>
      </c>
      <c r="W85">
        <f>IFERROR(COUNTIF(OFFSET('Schedule Raw Data'!$A$2,MATCH($A85,'Schedule Raw Data'!$A$3:$A$2477,0),1,COUNTIF('Schedule Raw Data'!$A$3:$A$2477,$A85),2),W$1),0)</f>
        <v>1</v>
      </c>
      <c r="X85">
        <f>IFERROR(COUNTIF(OFFSET('Schedule Raw Data'!$A$2,MATCH($A85,'Schedule Raw Data'!$A$3:$A$2477,0),1,COUNTIF('Schedule Raw Data'!$A$3:$A$2477,$A85),2),X$1),0)</f>
        <v>1</v>
      </c>
      <c r="Y85">
        <f>IFERROR(COUNTIF(OFFSET('Schedule Raw Data'!$A$2,MATCH($A85,'Schedule Raw Data'!$A$3:$A$2477,0),1,COUNTIF('Schedule Raw Data'!$A$3:$A$2477,$A85),2),Y$1),0)</f>
        <v>0</v>
      </c>
      <c r="Z85">
        <f>IFERROR(COUNTIF(OFFSET('Schedule Raw Data'!$A$2,MATCH($A85,'Schedule Raw Data'!$A$3:$A$2477,0),1,COUNTIF('Schedule Raw Data'!$A$3:$A$2477,$A85),2),Z$1),0)</f>
        <v>1</v>
      </c>
      <c r="AA85">
        <f>IFERROR(COUNTIF(OFFSET('Schedule Raw Data'!$A$2,MATCH($A85,'Schedule Raw Data'!$A$3:$A$2477,0),1,COUNTIF('Schedule Raw Data'!$A$3:$A$2477,$A85),2),AA$1),0)</f>
        <v>1</v>
      </c>
      <c r="AB85">
        <f>IFERROR(COUNTIF(OFFSET('Schedule Raw Data'!$A$2,MATCH($A85,'Schedule Raw Data'!$A$3:$A$2477,0),1,COUNTIF('Schedule Raw Data'!$A$3:$A$2477,$A85),2),AB$1),0)</f>
        <v>1</v>
      </c>
      <c r="AC85">
        <f>IFERROR(COUNTIF(OFFSET('Schedule Raw Data'!$A$2,MATCH($A85,'Schedule Raw Data'!$A$3:$A$2477,0),1,COUNTIF('Schedule Raw Data'!$A$3:$A$2477,$A85),2),AC$1),0)</f>
        <v>1</v>
      </c>
      <c r="AD85">
        <f>IFERROR(COUNTIF(OFFSET('Schedule Raw Data'!$A$2,MATCH($A85,'Schedule Raw Data'!$A$3:$A$2477,0),1,COUNTIF('Schedule Raw Data'!$A$3:$A$2477,$A85),2),AD$1),0)</f>
        <v>0</v>
      </c>
      <c r="AE85">
        <f>IFERROR(COUNTIF(OFFSET('Schedule Raw Data'!$A$2,MATCH($A85,'Schedule Raw Data'!$A$3:$A$2477,0),1,COUNTIF('Schedule Raw Data'!$A$3:$A$2477,$A85),2),AE$1),0)</f>
        <v>1</v>
      </c>
      <c r="AF85">
        <f>IFERROR(COUNTIF(OFFSET('Schedule Raw Data'!$A$2,MATCH($A85,'Schedule Raw Data'!$A$3:$A$2477,0),1,COUNTIF('Schedule Raw Data'!$A$3:$A$2477,$A85),2),AF$1),0)</f>
        <v>1</v>
      </c>
      <c r="AG85">
        <f t="shared" si="1"/>
        <v>11</v>
      </c>
    </row>
    <row r="86">
      <c r="A86" s="30">
        <f t="array" ref="A86">INDEX('Schedule Raw Data'!$A$3:$A$2477,MATCH(0,INDEX(COUNTIF($A$1:A85,'Schedule Raw Data'!$A$3:$A$2477),0,0),0))</f>
        <v>46410</v>
      </c>
      <c r="B86">
        <f t="shared" si="2"/>
        <v>13</v>
      </c>
      <c r="C86">
        <f>IFERROR(COUNTIF(OFFSET('Schedule Raw Data'!$A$2,MATCH($A86,'Schedule Raw Data'!$A$3:$A$2477,0),1,COUNTIF('Schedule Raw Data'!$A$3:$A$2477,$A86),2),C$1),0)</f>
        <v>1</v>
      </c>
      <c r="D86">
        <f>IFERROR(COUNTIF(OFFSET('Schedule Raw Data'!$A$2,MATCH($A86,'Schedule Raw Data'!$A$3:$A$2477,0),1,COUNTIF('Schedule Raw Data'!$A$3:$A$2477,$A86),2),D$1),0)</f>
        <v>1</v>
      </c>
      <c r="E86">
        <f>IFERROR(COUNTIF(OFFSET('Schedule Raw Data'!$A$2,MATCH($A86,'Schedule Raw Data'!$A$3:$A$2477,0),1,COUNTIF('Schedule Raw Data'!$A$3:$A$2477,$A86),2),E$1),0)</f>
        <v>1</v>
      </c>
      <c r="F86">
        <f>IFERROR(COUNTIF(OFFSET('Schedule Raw Data'!$A$2,MATCH($A86,'Schedule Raw Data'!$A$3:$A$2477,0),1,COUNTIF('Schedule Raw Data'!$A$3:$A$2477,$A86),2),F$1),0)</f>
        <v>1</v>
      </c>
      <c r="G86">
        <f>IFERROR(COUNTIF(OFFSET('Schedule Raw Data'!$A$2,MATCH($A86,'Schedule Raw Data'!$A$3:$A$2477,0),1,COUNTIF('Schedule Raw Data'!$A$3:$A$2477,$A86),2),G$1),0)</f>
        <v>1</v>
      </c>
      <c r="H86">
        <f>IFERROR(COUNTIF(OFFSET('Schedule Raw Data'!$A$2,MATCH($A86,'Schedule Raw Data'!$A$3:$A$2477,0),1,COUNTIF('Schedule Raw Data'!$A$3:$A$2477,$A86),2),H$1),0)</f>
        <v>1</v>
      </c>
      <c r="I86">
        <f>IFERROR(COUNTIF(OFFSET('Schedule Raw Data'!$A$2,MATCH($A86,'Schedule Raw Data'!$A$3:$A$2477,0),1,COUNTIF('Schedule Raw Data'!$A$3:$A$2477,$A86),2),I$1),0)</f>
        <v>1</v>
      </c>
      <c r="J86">
        <f>IFERROR(COUNTIF(OFFSET('Schedule Raw Data'!$A$2,MATCH($A86,'Schedule Raw Data'!$A$3:$A$2477,0),1,COUNTIF('Schedule Raw Data'!$A$3:$A$2477,$A86),2),J$1),0)</f>
        <v>1</v>
      </c>
      <c r="K86">
        <f>IFERROR(COUNTIF(OFFSET('Schedule Raw Data'!$A$2,MATCH($A86,'Schedule Raw Data'!$A$3:$A$2477,0),1,COUNTIF('Schedule Raw Data'!$A$3:$A$2477,$A86),2),K$1),0)</f>
        <v>0</v>
      </c>
      <c r="L86">
        <f>IFERROR(COUNTIF(OFFSET('Schedule Raw Data'!$A$2,MATCH($A86,'Schedule Raw Data'!$A$3:$A$2477,0),1,COUNTIF('Schedule Raw Data'!$A$3:$A$2477,$A86),2),L$1),0)</f>
        <v>0</v>
      </c>
      <c r="M86">
        <f>IFERROR(COUNTIF(OFFSET('Schedule Raw Data'!$A$2,MATCH($A86,'Schedule Raw Data'!$A$3:$A$2477,0),1,COUNTIF('Schedule Raw Data'!$A$3:$A$2477,$A86),2),M$1),0)</f>
        <v>0</v>
      </c>
      <c r="N86">
        <f>IFERROR(COUNTIF(OFFSET('Schedule Raw Data'!$A$2,MATCH($A86,'Schedule Raw Data'!$A$3:$A$2477,0),1,COUNTIF('Schedule Raw Data'!$A$3:$A$2477,$A86),2),N$1),0)</f>
        <v>0</v>
      </c>
      <c r="O86">
        <f>IFERROR(COUNTIF(OFFSET('Schedule Raw Data'!$A$2,MATCH($A86,'Schedule Raw Data'!$A$3:$A$2477,0),1,COUNTIF('Schedule Raw Data'!$A$3:$A$2477,$A86),2),O$1),0)</f>
        <v>0</v>
      </c>
      <c r="P86">
        <f>IFERROR(COUNTIF(OFFSET('Schedule Raw Data'!$A$2,MATCH($A86,'Schedule Raw Data'!$A$3:$A$2477,0),1,COUNTIF('Schedule Raw Data'!$A$3:$A$2477,$A86),2),P$1),0)</f>
        <v>0</v>
      </c>
      <c r="Q86">
        <f>IFERROR(COUNTIF(OFFSET('Schedule Raw Data'!$A$2,MATCH($A86,'Schedule Raw Data'!$A$3:$A$2477,0),1,COUNTIF('Schedule Raw Data'!$A$3:$A$2477,$A86),2),Q$1),0)</f>
        <v>0</v>
      </c>
      <c r="R86">
        <f>IFERROR(COUNTIF(OFFSET('Schedule Raw Data'!$A$2,MATCH($A86,'Schedule Raw Data'!$A$3:$A$2477,0),1,COUNTIF('Schedule Raw Data'!$A$3:$A$2477,$A86),2),R$1),0)</f>
        <v>1</v>
      </c>
      <c r="S86">
        <f>IFERROR(COUNTIF(OFFSET('Schedule Raw Data'!$A$2,MATCH($A86,'Schedule Raw Data'!$A$3:$A$2477,0),1,COUNTIF('Schedule Raw Data'!$A$3:$A$2477,$A86),2),S$1),0)</f>
        <v>1</v>
      </c>
      <c r="T86">
        <f>IFERROR(COUNTIF(OFFSET('Schedule Raw Data'!$A$2,MATCH($A86,'Schedule Raw Data'!$A$3:$A$2477,0),1,COUNTIF('Schedule Raw Data'!$A$3:$A$2477,$A86),2),T$1),0)</f>
        <v>0</v>
      </c>
      <c r="U86">
        <f>IFERROR(COUNTIF(OFFSET('Schedule Raw Data'!$A$2,MATCH($A86,'Schedule Raw Data'!$A$3:$A$2477,0),1,COUNTIF('Schedule Raw Data'!$A$3:$A$2477,$A86),2),U$1),0)</f>
        <v>0</v>
      </c>
      <c r="V86">
        <f>IFERROR(COUNTIF(OFFSET('Schedule Raw Data'!$A$2,MATCH($A86,'Schedule Raw Data'!$A$3:$A$2477,0),1,COUNTIF('Schedule Raw Data'!$A$3:$A$2477,$A86),2),V$1),0)</f>
        <v>0</v>
      </c>
      <c r="W86">
        <f>IFERROR(COUNTIF(OFFSET('Schedule Raw Data'!$A$2,MATCH($A86,'Schedule Raw Data'!$A$3:$A$2477,0),1,COUNTIF('Schedule Raw Data'!$A$3:$A$2477,$A86),2),W$1),0)</f>
        <v>0</v>
      </c>
      <c r="X86">
        <f>IFERROR(COUNTIF(OFFSET('Schedule Raw Data'!$A$2,MATCH($A86,'Schedule Raw Data'!$A$3:$A$2477,0),1,COUNTIF('Schedule Raw Data'!$A$3:$A$2477,$A86),2),X$1),0)</f>
        <v>0</v>
      </c>
      <c r="Y86">
        <f>IFERROR(COUNTIF(OFFSET('Schedule Raw Data'!$A$2,MATCH($A86,'Schedule Raw Data'!$A$3:$A$2477,0),1,COUNTIF('Schedule Raw Data'!$A$3:$A$2477,$A86),2),Y$1),0)</f>
        <v>1</v>
      </c>
      <c r="Z86">
        <f>IFERROR(COUNTIF(OFFSET('Schedule Raw Data'!$A$2,MATCH($A86,'Schedule Raw Data'!$A$3:$A$2477,0),1,COUNTIF('Schedule Raw Data'!$A$3:$A$2477,$A86),2),Z$1),0)</f>
        <v>0</v>
      </c>
      <c r="AA86">
        <f>IFERROR(COUNTIF(OFFSET('Schedule Raw Data'!$A$2,MATCH($A86,'Schedule Raw Data'!$A$3:$A$2477,0),1,COUNTIF('Schedule Raw Data'!$A$3:$A$2477,$A86),2),AA$1),0)</f>
        <v>0</v>
      </c>
      <c r="AB86">
        <f>IFERROR(COUNTIF(OFFSET('Schedule Raw Data'!$A$2,MATCH($A86,'Schedule Raw Data'!$A$3:$A$2477,0),1,COUNTIF('Schedule Raw Data'!$A$3:$A$2477,$A86),2),AB$1),0)</f>
        <v>0</v>
      </c>
      <c r="AC86">
        <f>IFERROR(COUNTIF(OFFSET('Schedule Raw Data'!$A$2,MATCH($A86,'Schedule Raw Data'!$A$3:$A$2477,0),1,COUNTIF('Schedule Raw Data'!$A$3:$A$2477,$A86),2),AC$1),0)</f>
        <v>0</v>
      </c>
      <c r="AD86">
        <f>IFERROR(COUNTIF(OFFSET('Schedule Raw Data'!$A$2,MATCH($A86,'Schedule Raw Data'!$A$3:$A$2477,0),1,COUNTIF('Schedule Raw Data'!$A$3:$A$2477,$A86),2),AD$1),0)</f>
        <v>1</v>
      </c>
      <c r="AE86">
        <f>IFERROR(COUNTIF(OFFSET('Schedule Raw Data'!$A$2,MATCH($A86,'Schedule Raw Data'!$A$3:$A$2477,0),1,COUNTIF('Schedule Raw Data'!$A$3:$A$2477,$A86),2),AE$1),0)</f>
        <v>0</v>
      </c>
      <c r="AF86">
        <f>IFERROR(COUNTIF(OFFSET('Schedule Raw Data'!$A$2,MATCH($A86,'Schedule Raw Data'!$A$3:$A$2477,0),1,COUNTIF('Schedule Raw Data'!$A$3:$A$2477,$A86),2),AF$1),0)</f>
        <v>0</v>
      </c>
      <c r="AG86">
        <f t="shared" si="1"/>
        <v>6</v>
      </c>
    </row>
    <row r="87">
      <c r="A87" s="30">
        <f t="array" ref="A87">INDEX('Schedule Raw Data'!$A$3:$A$2477,MATCH(0,INDEX(COUNTIF($A$1:A86,'Schedule Raw Data'!$A$3:$A$2477),0,0),0))</f>
        <v>46411</v>
      </c>
      <c r="B87">
        <f t="shared" si="2"/>
        <v>13</v>
      </c>
      <c r="C87">
        <f>IFERROR(COUNTIF(OFFSET('Schedule Raw Data'!$A$2,MATCH($A87,'Schedule Raw Data'!$A$3:$A$2477,0),1,COUNTIF('Schedule Raw Data'!$A$3:$A$2477,$A87),2),C$1),0)</f>
        <v>0</v>
      </c>
      <c r="D87">
        <f>IFERROR(COUNTIF(OFFSET('Schedule Raw Data'!$A$2,MATCH($A87,'Schedule Raw Data'!$A$3:$A$2477,0),1,COUNTIF('Schedule Raw Data'!$A$3:$A$2477,$A87),2),D$1),0)</f>
        <v>0</v>
      </c>
      <c r="E87">
        <f>IFERROR(COUNTIF(OFFSET('Schedule Raw Data'!$A$2,MATCH($A87,'Schedule Raw Data'!$A$3:$A$2477,0),1,COUNTIF('Schedule Raw Data'!$A$3:$A$2477,$A87),2),E$1),0)</f>
        <v>0</v>
      </c>
      <c r="F87">
        <f>IFERROR(COUNTIF(OFFSET('Schedule Raw Data'!$A$2,MATCH($A87,'Schedule Raw Data'!$A$3:$A$2477,0),1,COUNTIF('Schedule Raw Data'!$A$3:$A$2477,$A87),2),F$1),0)</f>
        <v>0</v>
      </c>
      <c r="G87">
        <f>IFERROR(COUNTIF(OFFSET('Schedule Raw Data'!$A$2,MATCH($A87,'Schedule Raw Data'!$A$3:$A$2477,0),1,COUNTIF('Schedule Raw Data'!$A$3:$A$2477,$A87),2),G$1),0)</f>
        <v>0</v>
      </c>
      <c r="H87">
        <f>IFERROR(COUNTIF(OFFSET('Schedule Raw Data'!$A$2,MATCH($A87,'Schedule Raw Data'!$A$3:$A$2477,0),1,COUNTIF('Schedule Raw Data'!$A$3:$A$2477,$A87),2),H$1),0)</f>
        <v>0</v>
      </c>
      <c r="I87">
        <f>IFERROR(COUNTIF(OFFSET('Schedule Raw Data'!$A$2,MATCH($A87,'Schedule Raw Data'!$A$3:$A$2477,0),1,COUNTIF('Schedule Raw Data'!$A$3:$A$2477,$A87),2),I$1),0)</f>
        <v>0</v>
      </c>
      <c r="J87">
        <f>IFERROR(COUNTIF(OFFSET('Schedule Raw Data'!$A$2,MATCH($A87,'Schedule Raw Data'!$A$3:$A$2477,0),1,COUNTIF('Schedule Raw Data'!$A$3:$A$2477,$A87),2),J$1),0)</f>
        <v>0</v>
      </c>
      <c r="K87">
        <f>IFERROR(COUNTIF(OFFSET('Schedule Raw Data'!$A$2,MATCH($A87,'Schedule Raw Data'!$A$3:$A$2477,0),1,COUNTIF('Schedule Raw Data'!$A$3:$A$2477,$A87),2),K$1),0)</f>
        <v>1</v>
      </c>
      <c r="L87">
        <f>IFERROR(COUNTIF(OFFSET('Schedule Raw Data'!$A$2,MATCH($A87,'Schedule Raw Data'!$A$3:$A$2477,0),1,COUNTIF('Schedule Raw Data'!$A$3:$A$2477,$A87),2),L$1),0)</f>
        <v>1</v>
      </c>
      <c r="M87">
        <f>IFERROR(COUNTIF(OFFSET('Schedule Raw Data'!$A$2,MATCH($A87,'Schedule Raw Data'!$A$3:$A$2477,0),1,COUNTIF('Schedule Raw Data'!$A$3:$A$2477,$A87),2),M$1),0)</f>
        <v>1</v>
      </c>
      <c r="N87">
        <f>IFERROR(COUNTIF(OFFSET('Schedule Raw Data'!$A$2,MATCH($A87,'Schedule Raw Data'!$A$3:$A$2477,0),1,COUNTIF('Schedule Raw Data'!$A$3:$A$2477,$A87),2),N$1),0)</f>
        <v>0</v>
      </c>
      <c r="O87">
        <f>IFERROR(COUNTIF(OFFSET('Schedule Raw Data'!$A$2,MATCH($A87,'Schedule Raw Data'!$A$3:$A$2477,0),1,COUNTIF('Schedule Raw Data'!$A$3:$A$2477,$A87),2),O$1),0)</f>
        <v>1</v>
      </c>
      <c r="P87">
        <f>IFERROR(COUNTIF(OFFSET('Schedule Raw Data'!$A$2,MATCH($A87,'Schedule Raw Data'!$A$3:$A$2477,0),1,COUNTIF('Schedule Raw Data'!$A$3:$A$2477,$A87),2),P$1),0)</f>
        <v>1</v>
      </c>
      <c r="Q87">
        <f>IFERROR(COUNTIF(OFFSET('Schedule Raw Data'!$A$2,MATCH($A87,'Schedule Raw Data'!$A$3:$A$2477,0),1,COUNTIF('Schedule Raw Data'!$A$3:$A$2477,$A87),2),Q$1),0)</f>
        <v>0</v>
      </c>
      <c r="R87">
        <f>IFERROR(COUNTIF(OFFSET('Schedule Raw Data'!$A$2,MATCH($A87,'Schedule Raw Data'!$A$3:$A$2477,0),1,COUNTIF('Schedule Raw Data'!$A$3:$A$2477,$A87),2),R$1),0)</f>
        <v>0</v>
      </c>
      <c r="S87">
        <f>IFERROR(COUNTIF(OFFSET('Schedule Raw Data'!$A$2,MATCH($A87,'Schedule Raw Data'!$A$3:$A$2477,0),1,COUNTIF('Schedule Raw Data'!$A$3:$A$2477,$A87),2),S$1),0)</f>
        <v>0</v>
      </c>
      <c r="T87">
        <f>IFERROR(COUNTIF(OFFSET('Schedule Raw Data'!$A$2,MATCH($A87,'Schedule Raw Data'!$A$3:$A$2477,0),1,COUNTIF('Schedule Raw Data'!$A$3:$A$2477,$A87),2),T$1),0)</f>
        <v>1</v>
      </c>
      <c r="U87">
        <f>IFERROR(COUNTIF(OFFSET('Schedule Raw Data'!$A$2,MATCH($A87,'Schedule Raw Data'!$A$3:$A$2477,0),1,COUNTIF('Schedule Raw Data'!$A$3:$A$2477,$A87),2),U$1),0)</f>
        <v>0</v>
      </c>
      <c r="V87">
        <f>IFERROR(COUNTIF(OFFSET('Schedule Raw Data'!$A$2,MATCH($A87,'Schedule Raw Data'!$A$3:$A$2477,0),1,COUNTIF('Schedule Raw Data'!$A$3:$A$2477,$A87),2),V$1),0)</f>
        <v>1</v>
      </c>
      <c r="W87">
        <f>IFERROR(COUNTIF(OFFSET('Schedule Raw Data'!$A$2,MATCH($A87,'Schedule Raw Data'!$A$3:$A$2477,0),1,COUNTIF('Schedule Raw Data'!$A$3:$A$2477,$A87),2),W$1),0)</f>
        <v>1</v>
      </c>
      <c r="X87">
        <f>IFERROR(COUNTIF(OFFSET('Schedule Raw Data'!$A$2,MATCH($A87,'Schedule Raw Data'!$A$3:$A$2477,0),1,COUNTIF('Schedule Raw Data'!$A$3:$A$2477,$A87),2),X$1),0)</f>
        <v>1</v>
      </c>
      <c r="Y87">
        <f>IFERROR(COUNTIF(OFFSET('Schedule Raw Data'!$A$2,MATCH($A87,'Schedule Raw Data'!$A$3:$A$2477,0),1,COUNTIF('Schedule Raw Data'!$A$3:$A$2477,$A87),2),Y$1),0)</f>
        <v>0</v>
      </c>
      <c r="Z87">
        <f>IFERROR(COUNTIF(OFFSET('Schedule Raw Data'!$A$2,MATCH($A87,'Schedule Raw Data'!$A$3:$A$2477,0),1,COUNTIF('Schedule Raw Data'!$A$3:$A$2477,$A87),2),Z$1),0)</f>
        <v>1</v>
      </c>
      <c r="AA87">
        <f>IFERROR(COUNTIF(OFFSET('Schedule Raw Data'!$A$2,MATCH($A87,'Schedule Raw Data'!$A$3:$A$2477,0),1,COUNTIF('Schedule Raw Data'!$A$3:$A$2477,$A87),2),AA$1),0)</f>
        <v>1</v>
      </c>
      <c r="AB87">
        <f>IFERROR(COUNTIF(OFFSET('Schedule Raw Data'!$A$2,MATCH($A87,'Schedule Raw Data'!$A$3:$A$2477,0),1,COUNTIF('Schedule Raw Data'!$A$3:$A$2477,$A87),2),AB$1),0)</f>
        <v>0</v>
      </c>
      <c r="AC87">
        <f>IFERROR(COUNTIF(OFFSET('Schedule Raw Data'!$A$2,MATCH($A87,'Schedule Raw Data'!$A$3:$A$2477,0),1,COUNTIF('Schedule Raw Data'!$A$3:$A$2477,$A87),2),AC$1),0)</f>
        <v>1</v>
      </c>
      <c r="AD87">
        <f>IFERROR(COUNTIF(OFFSET('Schedule Raw Data'!$A$2,MATCH($A87,'Schedule Raw Data'!$A$3:$A$2477,0),1,COUNTIF('Schedule Raw Data'!$A$3:$A$2477,$A87),2),AD$1),0)</f>
        <v>0</v>
      </c>
      <c r="AE87">
        <f>IFERROR(COUNTIF(OFFSET('Schedule Raw Data'!$A$2,MATCH($A87,'Schedule Raw Data'!$A$3:$A$2477,0),1,COUNTIF('Schedule Raw Data'!$A$3:$A$2477,$A87),2),AE$1),0)</f>
        <v>1</v>
      </c>
      <c r="AF87">
        <f>IFERROR(COUNTIF(OFFSET('Schedule Raw Data'!$A$2,MATCH($A87,'Schedule Raw Data'!$A$3:$A$2477,0),1,COUNTIF('Schedule Raw Data'!$A$3:$A$2477,$A87),2),AF$1),0)</f>
        <v>1</v>
      </c>
      <c r="AG87">
        <f t="shared" si="1"/>
        <v>7</v>
      </c>
    </row>
    <row r="88">
      <c r="A88" s="30">
        <f t="array" ref="A88">INDEX('Schedule Raw Data'!$A$3:$A$2477,MATCH(0,INDEX(COUNTIF($A$1:A87,'Schedule Raw Data'!$A$3:$A$2477),0,0),0))</f>
        <v>46412</v>
      </c>
      <c r="B88">
        <f t="shared" si="2"/>
        <v>14</v>
      </c>
      <c r="C88">
        <f>IFERROR(COUNTIF(OFFSET('Schedule Raw Data'!$A$2,MATCH($A88,'Schedule Raw Data'!$A$3:$A$2477,0),1,COUNTIF('Schedule Raw Data'!$A$3:$A$2477,$A88),2),C$1),0)</f>
        <v>0</v>
      </c>
      <c r="D88">
        <f>IFERROR(COUNTIF(OFFSET('Schedule Raw Data'!$A$2,MATCH($A88,'Schedule Raw Data'!$A$3:$A$2477,0),1,COUNTIF('Schedule Raw Data'!$A$3:$A$2477,$A88),2),D$1),0)</f>
        <v>1</v>
      </c>
      <c r="E88">
        <f>IFERROR(COUNTIF(OFFSET('Schedule Raw Data'!$A$2,MATCH($A88,'Schedule Raw Data'!$A$3:$A$2477,0),1,COUNTIF('Schedule Raw Data'!$A$3:$A$2477,$A88),2),E$1),0)</f>
        <v>1</v>
      </c>
      <c r="F88">
        <f>IFERROR(COUNTIF(OFFSET('Schedule Raw Data'!$A$2,MATCH($A88,'Schedule Raw Data'!$A$3:$A$2477,0),1,COUNTIF('Schedule Raw Data'!$A$3:$A$2477,$A88),2),F$1),0)</f>
        <v>1</v>
      </c>
      <c r="G88">
        <f>IFERROR(COUNTIF(OFFSET('Schedule Raw Data'!$A$2,MATCH($A88,'Schedule Raw Data'!$A$3:$A$2477,0),1,COUNTIF('Schedule Raw Data'!$A$3:$A$2477,$A88),2),G$1),0)</f>
        <v>1</v>
      </c>
      <c r="H88">
        <f>IFERROR(COUNTIF(OFFSET('Schedule Raw Data'!$A$2,MATCH($A88,'Schedule Raw Data'!$A$3:$A$2477,0),1,COUNTIF('Schedule Raw Data'!$A$3:$A$2477,$A88),2),H$1),0)</f>
        <v>1</v>
      </c>
      <c r="I88">
        <f>IFERROR(COUNTIF(OFFSET('Schedule Raw Data'!$A$2,MATCH($A88,'Schedule Raw Data'!$A$3:$A$2477,0),1,COUNTIF('Schedule Raw Data'!$A$3:$A$2477,$A88),2),I$1),0)</f>
        <v>1</v>
      </c>
      <c r="J88">
        <f>IFERROR(COUNTIF(OFFSET('Schedule Raw Data'!$A$2,MATCH($A88,'Schedule Raw Data'!$A$3:$A$2477,0),1,COUNTIF('Schedule Raw Data'!$A$3:$A$2477,$A88),2),J$1),0)</f>
        <v>1</v>
      </c>
      <c r="K88">
        <f>IFERROR(COUNTIF(OFFSET('Schedule Raw Data'!$A$2,MATCH($A88,'Schedule Raw Data'!$A$3:$A$2477,0),1,COUNTIF('Schedule Raw Data'!$A$3:$A$2477,$A88),2),K$1),0)</f>
        <v>0</v>
      </c>
      <c r="L88">
        <f>IFERROR(COUNTIF(OFFSET('Schedule Raw Data'!$A$2,MATCH($A88,'Schedule Raw Data'!$A$3:$A$2477,0),1,COUNTIF('Schedule Raw Data'!$A$3:$A$2477,$A88),2),L$1),0)</f>
        <v>0</v>
      </c>
      <c r="M88">
        <f>IFERROR(COUNTIF(OFFSET('Schedule Raw Data'!$A$2,MATCH($A88,'Schedule Raw Data'!$A$3:$A$2477,0),1,COUNTIF('Schedule Raw Data'!$A$3:$A$2477,$A88),2),M$1),0)</f>
        <v>0</v>
      </c>
      <c r="N88">
        <f>IFERROR(COUNTIF(OFFSET('Schedule Raw Data'!$A$2,MATCH($A88,'Schedule Raw Data'!$A$3:$A$2477,0),1,COUNTIF('Schedule Raw Data'!$A$3:$A$2477,$A88),2),N$1),0)</f>
        <v>0</v>
      </c>
      <c r="O88">
        <f>IFERROR(COUNTIF(OFFSET('Schedule Raw Data'!$A$2,MATCH($A88,'Schedule Raw Data'!$A$3:$A$2477,0),1,COUNTIF('Schedule Raw Data'!$A$3:$A$2477,$A88),2),O$1),0)</f>
        <v>1</v>
      </c>
      <c r="P88">
        <f>IFERROR(COUNTIF(OFFSET('Schedule Raw Data'!$A$2,MATCH($A88,'Schedule Raw Data'!$A$3:$A$2477,0),1,COUNTIF('Schedule Raw Data'!$A$3:$A$2477,$A88),2),P$1),0)</f>
        <v>0</v>
      </c>
      <c r="Q88">
        <f>IFERROR(COUNTIF(OFFSET('Schedule Raw Data'!$A$2,MATCH($A88,'Schedule Raw Data'!$A$3:$A$2477,0),1,COUNTIF('Schedule Raw Data'!$A$3:$A$2477,$A88),2),Q$1),0)</f>
        <v>1</v>
      </c>
      <c r="R88">
        <f>IFERROR(COUNTIF(OFFSET('Schedule Raw Data'!$A$2,MATCH($A88,'Schedule Raw Data'!$A$3:$A$2477,0),1,COUNTIF('Schedule Raw Data'!$A$3:$A$2477,$A88),2),R$1),0)</f>
        <v>1</v>
      </c>
      <c r="S88">
        <f>IFERROR(COUNTIF(OFFSET('Schedule Raw Data'!$A$2,MATCH($A88,'Schedule Raw Data'!$A$3:$A$2477,0),1,COUNTIF('Schedule Raw Data'!$A$3:$A$2477,$A88),2),S$1),0)</f>
        <v>0</v>
      </c>
      <c r="T88">
        <f>IFERROR(COUNTIF(OFFSET('Schedule Raw Data'!$A$2,MATCH($A88,'Schedule Raw Data'!$A$3:$A$2477,0),1,COUNTIF('Schedule Raw Data'!$A$3:$A$2477,$A88),2),T$1),0)</f>
        <v>1</v>
      </c>
      <c r="U88">
        <f>IFERROR(COUNTIF(OFFSET('Schedule Raw Data'!$A$2,MATCH($A88,'Schedule Raw Data'!$A$3:$A$2477,0),1,COUNTIF('Schedule Raw Data'!$A$3:$A$2477,$A88),2),U$1),0)</f>
        <v>1</v>
      </c>
      <c r="V88">
        <f>IFERROR(COUNTIF(OFFSET('Schedule Raw Data'!$A$2,MATCH($A88,'Schedule Raw Data'!$A$3:$A$2477,0),1,COUNTIF('Schedule Raw Data'!$A$3:$A$2477,$A88),2),V$1),0)</f>
        <v>0</v>
      </c>
      <c r="W88">
        <f>IFERROR(COUNTIF(OFFSET('Schedule Raw Data'!$A$2,MATCH($A88,'Schedule Raw Data'!$A$3:$A$2477,0),1,COUNTIF('Schedule Raw Data'!$A$3:$A$2477,$A88),2),W$1),0)</f>
        <v>0</v>
      </c>
      <c r="X88">
        <f>IFERROR(COUNTIF(OFFSET('Schedule Raw Data'!$A$2,MATCH($A88,'Schedule Raw Data'!$A$3:$A$2477,0),1,COUNTIF('Schedule Raw Data'!$A$3:$A$2477,$A88),2),X$1),0)</f>
        <v>1</v>
      </c>
      <c r="Y88">
        <f>IFERROR(COUNTIF(OFFSET('Schedule Raw Data'!$A$2,MATCH($A88,'Schedule Raw Data'!$A$3:$A$2477,0),1,COUNTIF('Schedule Raw Data'!$A$3:$A$2477,$A88),2),Y$1),0)</f>
        <v>1</v>
      </c>
      <c r="Z88">
        <f>IFERROR(COUNTIF(OFFSET('Schedule Raw Data'!$A$2,MATCH($A88,'Schedule Raw Data'!$A$3:$A$2477,0),1,COUNTIF('Schedule Raw Data'!$A$3:$A$2477,$A88),2),Z$1),0)</f>
        <v>0</v>
      </c>
      <c r="AA88">
        <f>IFERROR(COUNTIF(OFFSET('Schedule Raw Data'!$A$2,MATCH($A88,'Schedule Raw Data'!$A$3:$A$2477,0),1,COUNTIF('Schedule Raw Data'!$A$3:$A$2477,$A88),2),AA$1),0)</f>
        <v>0</v>
      </c>
      <c r="AB88">
        <f>IFERROR(COUNTIF(OFFSET('Schedule Raw Data'!$A$2,MATCH($A88,'Schedule Raw Data'!$A$3:$A$2477,0),1,COUNTIF('Schedule Raw Data'!$A$3:$A$2477,$A88),2),AB$1),0)</f>
        <v>1</v>
      </c>
      <c r="AC88">
        <f>IFERROR(COUNTIF(OFFSET('Schedule Raw Data'!$A$2,MATCH($A88,'Schedule Raw Data'!$A$3:$A$2477,0),1,COUNTIF('Schedule Raw Data'!$A$3:$A$2477,$A88),2),AC$1),0)</f>
        <v>0</v>
      </c>
      <c r="AD88">
        <f>IFERROR(COUNTIF(OFFSET('Schedule Raw Data'!$A$2,MATCH($A88,'Schedule Raw Data'!$A$3:$A$2477,0),1,COUNTIF('Schedule Raw Data'!$A$3:$A$2477,$A88),2),AD$1),0)</f>
        <v>1</v>
      </c>
      <c r="AE88">
        <f>IFERROR(COUNTIF(OFFSET('Schedule Raw Data'!$A$2,MATCH($A88,'Schedule Raw Data'!$A$3:$A$2477,0),1,COUNTIF('Schedule Raw Data'!$A$3:$A$2477,$A88),2),AE$1),0)</f>
        <v>0</v>
      </c>
      <c r="AF88">
        <f>IFERROR(COUNTIF(OFFSET('Schedule Raw Data'!$A$2,MATCH($A88,'Schedule Raw Data'!$A$3:$A$2477,0),1,COUNTIF('Schedule Raw Data'!$A$3:$A$2477,$A88),2),AF$1),0)</f>
        <v>0</v>
      </c>
      <c r="AG88">
        <f t="shared" si="1"/>
        <v>8</v>
      </c>
    </row>
    <row r="89">
      <c r="A89" s="30">
        <f t="array" ref="A89">INDEX('Schedule Raw Data'!$A$3:$A$2477,MATCH(0,INDEX(COUNTIF($A$1:A88,'Schedule Raw Data'!$A$3:$A$2477),0,0),0))</f>
        <v>46413</v>
      </c>
      <c r="B89">
        <f t="shared" si="2"/>
        <v>14</v>
      </c>
      <c r="C89">
        <f>IFERROR(COUNTIF(OFFSET('Schedule Raw Data'!$A$2,MATCH($A89,'Schedule Raw Data'!$A$3:$A$2477,0),1,COUNTIF('Schedule Raw Data'!$A$3:$A$2477,$A89),2),C$1),0)</f>
        <v>1</v>
      </c>
      <c r="D89">
        <f>IFERROR(COUNTIF(OFFSET('Schedule Raw Data'!$A$2,MATCH($A89,'Schedule Raw Data'!$A$3:$A$2477,0),1,COUNTIF('Schedule Raw Data'!$A$3:$A$2477,$A89),2),D$1),0)</f>
        <v>0</v>
      </c>
      <c r="E89">
        <f>IFERROR(COUNTIF(OFFSET('Schedule Raw Data'!$A$2,MATCH($A89,'Schedule Raw Data'!$A$3:$A$2477,0),1,COUNTIF('Schedule Raw Data'!$A$3:$A$2477,$A89),2),E$1),0)</f>
        <v>0</v>
      </c>
      <c r="F89">
        <f>IFERROR(COUNTIF(OFFSET('Schedule Raw Data'!$A$2,MATCH($A89,'Schedule Raw Data'!$A$3:$A$2477,0),1,COUNTIF('Schedule Raw Data'!$A$3:$A$2477,$A89),2),F$1),0)</f>
        <v>0</v>
      </c>
      <c r="G89">
        <f>IFERROR(COUNTIF(OFFSET('Schedule Raw Data'!$A$2,MATCH($A89,'Schedule Raw Data'!$A$3:$A$2477,0),1,COUNTIF('Schedule Raw Data'!$A$3:$A$2477,$A89),2),G$1),0)</f>
        <v>1</v>
      </c>
      <c r="H89">
        <f>IFERROR(COUNTIF(OFFSET('Schedule Raw Data'!$A$2,MATCH($A89,'Schedule Raw Data'!$A$3:$A$2477,0),1,COUNTIF('Schedule Raw Data'!$A$3:$A$2477,$A89),2),H$1),0)</f>
        <v>0</v>
      </c>
      <c r="I89">
        <f>IFERROR(COUNTIF(OFFSET('Schedule Raw Data'!$A$2,MATCH($A89,'Schedule Raw Data'!$A$3:$A$2477,0),1,COUNTIF('Schedule Raw Data'!$A$3:$A$2477,$A89),2),I$1),0)</f>
        <v>0</v>
      </c>
      <c r="J89">
        <f>IFERROR(COUNTIF(OFFSET('Schedule Raw Data'!$A$2,MATCH($A89,'Schedule Raw Data'!$A$3:$A$2477,0),1,COUNTIF('Schedule Raw Data'!$A$3:$A$2477,$A89),2),J$1),0)</f>
        <v>0</v>
      </c>
      <c r="K89">
        <f>IFERROR(COUNTIF(OFFSET('Schedule Raw Data'!$A$2,MATCH($A89,'Schedule Raw Data'!$A$3:$A$2477,0),1,COUNTIF('Schedule Raw Data'!$A$3:$A$2477,$A89),2),K$1),0)</f>
        <v>1</v>
      </c>
      <c r="L89">
        <f>IFERROR(COUNTIF(OFFSET('Schedule Raw Data'!$A$2,MATCH($A89,'Schedule Raw Data'!$A$3:$A$2477,0),1,COUNTIF('Schedule Raw Data'!$A$3:$A$2477,$A89),2),L$1),0)</f>
        <v>0</v>
      </c>
      <c r="M89">
        <f>IFERROR(COUNTIF(OFFSET('Schedule Raw Data'!$A$2,MATCH($A89,'Schedule Raw Data'!$A$3:$A$2477,0),1,COUNTIF('Schedule Raw Data'!$A$3:$A$2477,$A89),2),M$1),0)</f>
        <v>1</v>
      </c>
      <c r="N89">
        <f>IFERROR(COUNTIF(OFFSET('Schedule Raw Data'!$A$2,MATCH($A89,'Schedule Raw Data'!$A$3:$A$2477,0),1,COUNTIF('Schedule Raw Data'!$A$3:$A$2477,$A89),2),N$1),0)</f>
        <v>1</v>
      </c>
      <c r="O89">
        <f>IFERROR(COUNTIF(OFFSET('Schedule Raw Data'!$A$2,MATCH($A89,'Schedule Raw Data'!$A$3:$A$2477,0),1,COUNTIF('Schedule Raw Data'!$A$3:$A$2477,$A89),2),O$1),0)</f>
        <v>0</v>
      </c>
      <c r="P89">
        <f>IFERROR(COUNTIF(OFFSET('Schedule Raw Data'!$A$2,MATCH($A89,'Schedule Raw Data'!$A$3:$A$2477,0),1,COUNTIF('Schedule Raw Data'!$A$3:$A$2477,$A89),2),P$1),0)</f>
        <v>1</v>
      </c>
      <c r="Q89">
        <f>IFERROR(COUNTIF(OFFSET('Schedule Raw Data'!$A$2,MATCH($A89,'Schedule Raw Data'!$A$3:$A$2477,0),1,COUNTIF('Schedule Raw Data'!$A$3:$A$2477,$A89),2),Q$1),0)</f>
        <v>0</v>
      </c>
      <c r="R89">
        <f>IFERROR(COUNTIF(OFFSET('Schedule Raw Data'!$A$2,MATCH($A89,'Schedule Raw Data'!$A$3:$A$2477,0),1,COUNTIF('Schedule Raw Data'!$A$3:$A$2477,$A89),2),R$1),0)</f>
        <v>0</v>
      </c>
      <c r="S89">
        <f>IFERROR(COUNTIF(OFFSET('Schedule Raw Data'!$A$2,MATCH($A89,'Schedule Raw Data'!$A$3:$A$2477,0),1,COUNTIF('Schedule Raw Data'!$A$3:$A$2477,$A89),2),S$1),0)</f>
        <v>1</v>
      </c>
      <c r="T89">
        <f>IFERROR(COUNTIF(OFFSET('Schedule Raw Data'!$A$2,MATCH($A89,'Schedule Raw Data'!$A$3:$A$2477,0),1,COUNTIF('Schedule Raw Data'!$A$3:$A$2477,$A89),2),T$1),0)</f>
        <v>0</v>
      </c>
      <c r="U89">
        <f>IFERROR(COUNTIF(OFFSET('Schedule Raw Data'!$A$2,MATCH($A89,'Schedule Raw Data'!$A$3:$A$2477,0),1,COUNTIF('Schedule Raw Data'!$A$3:$A$2477,$A89),2),U$1),0)</f>
        <v>0</v>
      </c>
      <c r="V89">
        <f>IFERROR(COUNTIF(OFFSET('Schedule Raw Data'!$A$2,MATCH($A89,'Schedule Raw Data'!$A$3:$A$2477,0),1,COUNTIF('Schedule Raw Data'!$A$3:$A$2477,$A89),2),V$1),0)</f>
        <v>1</v>
      </c>
      <c r="W89">
        <f>IFERROR(COUNTIF(OFFSET('Schedule Raw Data'!$A$2,MATCH($A89,'Schedule Raw Data'!$A$3:$A$2477,0),1,COUNTIF('Schedule Raw Data'!$A$3:$A$2477,$A89),2),W$1),0)</f>
        <v>1</v>
      </c>
      <c r="X89">
        <f>IFERROR(COUNTIF(OFFSET('Schedule Raw Data'!$A$2,MATCH($A89,'Schedule Raw Data'!$A$3:$A$2477,0),1,COUNTIF('Schedule Raw Data'!$A$3:$A$2477,$A89),2),X$1),0)</f>
        <v>0</v>
      </c>
      <c r="Y89">
        <f>IFERROR(COUNTIF(OFFSET('Schedule Raw Data'!$A$2,MATCH($A89,'Schedule Raw Data'!$A$3:$A$2477,0),1,COUNTIF('Schedule Raw Data'!$A$3:$A$2477,$A89),2),Y$1),0)</f>
        <v>0</v>
      </c>
      <c r="Z89">
        <f>IFERROR(COUNTIF(OFFSET('Schedule Raw Data'!$A$2,MATCH($A89,'Schedule Raw Data'!$A$3:$A$2477,0),1,COUNTIF('Schedule Raw Data'!$A$3:$A$2477,$A89),2),Z$1),0)</f>
        <v>1</v>
      </c>
      <c r="AA89">
        <f>IFERROR(COUNTIF(OFFSET('Schedule Raw Data'!$A$2,MATCH($A89,'Schedule Raw Data'!$A$3:$A$2477,0),1,COUNTIF('Schedule Raw Data'!$A$3:$A$2477,$A89),2),AA$1),0)</f>
        <v>1</v>
      </c>
      <c r="AB89">
        <f>IFERROR(COUNTIF(OFFSET('Schedule Raw Data'!$A$2,MATCH($A89,'Schedule Raw Data'!$A$3:$A$2477,0),1,COUNTIF('Schedule Raw Data'!$A$3:$A$2477,$A89),2),AB$1),0)</f>
        <v>0</v>
      </c>
      <c r="AC89">
        <f>IFERROR(COUNTIF(OFFSET('Schedule Raw Data'!$A$2,MATCH($A89,'Schedule Raw Data'!$A$3:$A$2477,0),1,COUNTIF('Schedule Raw Data'!$A$3:$A$2477,$A89),2),AC$1),0)</f>
        <v>1</v>
      </c>
      <c r="AD89">
        <f>IFERROR(COUNTIF(OFFSET('Schedule Raw Data'!$A$2,MATCH($A89,'Schedule Raw Data'!$A$3:$A$2477,0),1,COUNTIF('Schedule Raw Data'!$A$3:$A$2477,$A89),2),AD$1),0)</f>
        <v>0</v>
      </c>
      <c r="AE89">
        <f>IFERROR(COUNTIF(OFFSET('Schedule Raw Data'!$A$2,MATCH($A89,'Schedule Raw Data'!$A$3:$A$2477,0),1,COUNTIF('Schedule Raw Data'!$A$3:$A$2477,$A89),2),AE$1),0)</f>
        <v>1</v>
      </c>
      <c r="AF89">
        <f>IFERROR(COUNTIF(OFFSET('Schedule Raw Data'!$A$2,MATCH($A89,'Schedule Raw Data'!$A$3:$A$2477,0),1,COUNTIF('Schedule Raw Data'!$A$3:$A$2477,$A89),2),AF$1),0)</f>
        <v>1</v>
      </c>
      <c r="AG89">
        <f t="shared" si="1"/>
        <v>7</v>
      </c>
    </row>
    <row r="90">
      <c r="A90" s="30">
        <f t="array" ref="A90">INDEX('Schedule Raw Data'!$A$3:$A$2477,MATCH(0,INDEX(COUNTIF($A$1:A89,'Schedule Raw Data'!$A$3:$A$2477),0,0),0))</f>
        <v>46414</v>
      </c>
      <c r="B90">
        <f t="shared" si="2"/>
        <v>14</v>
      </c>
      <c r="C90">
        <f>IFERROR(COUNTIF(OFFSET('Schedule Raw Data'!$A$2,MATCH($A90,'Schedule Raw Data'!$A$3:$A$2477,0),1,COUNTIF('Schedule Raw Data'!$A$3:$A$2477,$A90),2),C$1),0)</f>
        <v>0</v>
      </c>
      <c r="D90">
        <f>IFERROR(COUNTIF(OFFSET('Schedule Raw Data'!$A$2,MATCH($A90,'Schedule Raw Data'!$A$3:$A$2477,0),1,COUNTIF('Schedule Raw Data'!$A$3:$A$2477,$A90),2),D$1),0)</f>
        <v>1</v>
      </c>
      <c r="E90">
        <f>IFERROR(COUNTIF(OFFSET('Schedule Raw Data'!$A$2,MATCH($A90,'Schedule Raw Data'!$A$3:$A$2477,0),1,COUNTIF('Schedule Raw Data'!$A$3:$A$2477,$A90),2),E$1),0)</f>
        <v>1</v>
      </c>
      <c r="F90">
        <f>IFERROR(COUNTIF(OFFSET('Schedule Raw Data'!$A$2,MATCH($A90,'Schedule Raw Data'!$A$3:$A$2477,0),1,COUNTIF('Schedule Raw Data'!$A$3:$A$2477,$A90),2),F$1),0)</f>
        <v>1</v>
      </c>
      <c r="G90">
        <f>IFERROR(COUNTIF(OFFSET('Schedule Raw Data'!$A$2,MATCH($A90,'Schedule Raw Data'!$A$3:$A$2477,0),1,COUNTIF('Schedule Raw Data'!$A$3:$A$2477,$A90),2),G$1),0)</f>
        <v>0</v>
      </c>
      <c r="H90">
        <f>IFERROR(COUNTIF(OFFSET('Schedule Raw Data'!$A$2,MATCH($A90,'Schedule Raw Data'!$A$3:$A$2477,0),1,COUNTIF('Schedule Raw Data'!$A$3:$A$2477,$A90),2),H$1),0)</f>
        <v>1</v>
      </c>
      <c r="I90">
        <f>IFERROR(COUNTIF(OFFSET('Schedule Raw Data'!$A$2,MATCH($A90,'Schedule Raw Data'!$A$3:$A$2477,0),1,COUNTIF('Schedule Raw Data'!$A$3:$A$2477,$A90),2),I$1),0)</f>
        <v>1</v>
      </c>
      <c r="J90">
        <f>IFERROR(COUNTIF(OFFSET('Schedule Raw Data'!$A$2,MATCH($A90,'Schedule Raw Data'!$A$3:$A$2477,0),1,COUNTIF('Schedule Raw Data'!$A$3:$A$2477,$A90),2),J$1),0)</f>
        <v>1</v>
      </c>
      <c r="K90">
        <f>IFERROR(COUNTIF(OFFSET('Schedule Raw Data'!$A$2,MATCH($A90,'Schedule Raw Data'!$A$3:$A$2477,0),1,COUNTIF('Schedule Raw Data'!$A$3:$A$2477,$A90),2),K$1),0)</f>
        <v>1</v>
      </c>
      <c r="L90">
        <f>IFERROR(COUNTIF(OFFSET('Schedule Raw Data'!$A$2,MATCH($A90,'Schedule Raw Data'!$A$3:$A$2477,0),1,COUNTIF('Schedule Raw Data'!$A$3:$A$2477,$A90),2),L$1),0)</f>
        <v>1</v>
      </c>
      <c r="M90">
        <f>IFERROR(COUNTIF(OFFSET('Schedule Raw Data'!$A$2,MATCH($A90,'Schedule Raw Data'!$A$3:$A$2477,0),1,COUNTIF('Schedule Raw Data'!$A$3:$A$2477,$A90),2),M$1),0)</f>
        <v>1</v>
      </c>
      <c r="N90">
        <f>IFERROR(COUNTIF(OFFSET('Schedule Raw Data'!$A$2,MATCH($A90,'Schedule Raw Data'!$A$3:$A$2477,0),1,COUNTIF('Schedule Raw Data'!$A$3:$A$2477,$A90),2),N$1),0)</f>
        <v>0</v>
      </c>
      <c r="O90">
        <f>IFERROR(COUNTIF(OFFSET('Schedule Raw Data'!$A$2,MATCH($A90,'Schedule Raw Data'!$A$3:$A$2477,0),1,COUNTIF('Schedule Raw Data'!$A$3:$A$2477,$A90),2),O$1),0)</f>
        <v>1</v>
      </c>
      <c r="P90">
        <f>IFERROR(COUNTIF(OFFSET('Schedule Raw Data'!$A$2,MATCH($A90,'Schedule Raw Data'!$A$3:$A$2477,0),1,COUNTIF('Schedule Raw Data'!$A$3:$A$2477,$A90),2),P$1),0)</f>
        <v>0</v>
      </c>
      <c r="Q90">
        <f>IFERROR(COUNTIF(OFFSET('Schedule Raw Data'!$A$2,MATCH($A90,'Schedule Raw Data'!$A$3:$A$2477,0),1,COUNTIF('Schedule Raw Data'!$A$3:$A$2477,$A90),2),Q$1),0)</f>
        <v>0</v>
      </c>
      <c r="R90">
        <f>IFERROR(COUNTIF(OFFSET('Schedule Raw Data'!$A$2,MATCH($A90,'Schedule Raw Data'!$A$3:$A$2477,0),1,COUNTIF('Schedule Raw Data'!$A$3:$A$2477,$A90),2),R$1),0)</f>
        <v>0</v>
      </c>
      <c r="S90">
        <f>IFERROR(COUNTIF(OFFSET('Schedule Raw Data'!$A$2,MATCH($A90,'Schedule Raw Data'!$A$3:$A$2477,0),1,COUNTIF('Schedule Raw Data'!$A$3:$A$2477,$A90),2),S$1),0)</f>
        <v>0</v>
      </c>
      <c r="T90">
        <f>IFERROR(COUNTIF(OFFSET('Schedule Raw Data'!$A$2,MATCH($A90,'Schedule Raw Data'!$A$3:$A$2477,0),1,COUNTIF('Schedule Raw Data'!$A$3:$A$2477,$A90),2),T$1),0)</f>
        <v>1</v>
      </c>
      <c r="U90">
        <f>IFERROR(COUNTIF(OFFSET('Schedule Raw Data'!$A$2,MATCH($A90,'Schedule Raw Data'!$A$3:$A$2477,0),1,COUNTIF('Schedule Raw Data'!$A$3:$A$2477,$A90),2),U$1),0)</f>
        <v>1</v>
      </c>
      <c r="V90">
        <f>IFERROR(COUNTIF(OFFSET('Schedule Raw Data'!$A$2,MATCH($A90,'Schedule Raw Data'!$A$3:$A$2477,0),1,COUNTIF('Schedule Raw Data'!$A$3:$A$2477,$A90),2),V$1),0)</f>
        <v>0</v>
      </c>
      <c r="W90">
        <f>IFERROR(COUNTIF(OFFSET('Schedule Raw Data'!$A$2,MATCH($A90,'Schedule Raw Data'!$A$3:$A$2477,0),1,COUNTIF('Schedule Raw Data'!$A$3:$A$2477,$A90),2),W$1),0)</f>
        <v>0</v>
      </c>
      <c r="X90">
        <f>IFERROR(COUNTIF(OFFSET('Schedule Raw Data'!$A$2,MATCH($A90,'Schedule Raw Data'!$A$3:$A$2477,0),1,COUNTIF('Schedule Raw Data'!$A$3:$A$2477,$A90),2),X$1),0)</f>
        <v>0</v>
      </c>
      <c r="Y90">
        <f>IFERROR(COUNTIF(OFFSET('Schedule Raw Data'!$A$2,MATCH($A90,'Schedule Raw Data'!$A$3:$A$2477,0),1,COUNTIF('Schedule Raw Data'!$A$3:$A$2477,$A90),2),Y$1),0)</f>
        <v>1</v>
      </c>
      <c r="Z90">
        <f>IFERROR(COUNTIF(OFFSET('Schedule Raw Data'!$A$2,MATCH($A90,'Schedule Raw Data'!$A$3:$A$2477,0),1,COUNTIF('Schedule Raw Data'!$A$3:$A$2477,$A90),2),Z$1),0)</f>
        <v>1</v>
      </c>
      <c r="AA90">
        <f>IFERROR(COUNTIF(OFFSET('Schedule Raw Data'!$A$2,MATCH($A90,'Schedule Raw Data'!$A$3:$A$2477,0),1,COUNTIF('Schedule Raw Data'!$A$3:$A$2477,$A90),2),AA$1),0)</f>
        <v>1</v>
      </c>
      <c r="AB90">
        <f>IFERROR(COUNTIF(OFFSET('Schedule Raw Data'!$A$2,MATCH($A90,'Schedule Raw Data'!$A$3:$A$2477,0),1,COUNTIF('Schedule Raw Data'!$A$3:$A$2477,$A90),2),AB$1),0)</f>
        <v>1</v>
      </c>
      <c r="AC90">
        <f>IFERROR(COUNTIF(OFFSET('Schedule Raw Data'!$A$2,MATCH($A90,'Schedule Raw Data'!$A$3:$A$2477,0),1,COUNTIF('Schedule Raw Data'!$A$3:$A$2477,$A90),2),AC$1),0)</f>
        <v>1</v>
      </c>
      <c r="AD90">
        <f>IFERROR(COUNTIF(OFFSET('Schedule Raw Data'!$A$2,MATCH($A90,'Schedule Raw Data'!$A$3:$A$2477,0),1,COUNTIF('Schedule Raw Data'!$A$3:$A$2477,$A90),2),AD$1),0)</f>
        <v>1</v>
      </c>
      <c r="AE90">
        <f>IFERROR(COUNTIF(OFFSET('Schedule Raw Data'!$A$2,MATCH($A90,'Schedule Raw Data'!$A$3:$A$2477,0),1,COUNTIF('Schedule Raw Data'!$A$3:$A$2477,$A90),2),AE$1),0)</f>
        <v>0</v>
      </c>
      <c r="AF90">
        <f>IFERROR(COUNTIF(OFFSET('Schedule Raw Data'!$A$2,MATCH($A90,'Schedule Raw Data'!$A$3:$A$2477,0),1,COUNTIF('Schedule Raw Data'!$A$3:$A$2477,$A90),2),AF$1),0)</f>
        <v>0</v>
      </c>
      <c r="AG90">
        <f t="shared" si="1"/>
        <v>9</v>
      </c>
    </row>
    <row r="91">
      <c r="A91" s="30">
        <f t="array" ref="A91">INDEX('Schedule Raw Data'!$A$3:$A$2477,MATCH(0,INDEX(COUNTIF($A$1:A90,'Schedule Raw Data'!$A$3:$A$2477),0,0),0))</f>
        <v>46415</v>
      </c>
      <c r="B91">
        <f t="shared" si="2"/>
        <v>14</v>
      </c>
      <c r="C91">
        <f>IFERROR(COUNTIF(OFFSET('Schedule Raw Data'!$A$2,MATCH($A91,'Schedule Raw Data'!$A$3:$A$2477,0),1,COUNTIF('Schedule Raw Data'!$A$3:$A$2477,$A91),2),C$1),0)</f>
        <v>1</v>
      </c>
      <c r="D91">
        <f>IFERROR(COUNTIF(OFFSET('Schedule Raw Data'!$A$2,MATCH($A91,'Schedule Raw Data'!$A$3:$A$2477,0),1,COUNTIF('Schedule Raw Data'!$A$3:$A$2477,$A91),2),D$1),0)</f>
        <v>0</v>
      </c>
      <c r="E91">
        <f>IFERROR(COUNTIF(OFFSET('Schedule Raw Data'!$A$2,MATCH($A91,'Schedule Raw Data'!$A$3:$A$2477,0),1,COUNTIF('Schedule Raw Data'!$A$3:$A$2477,$A91),2),E$1),0)</f>
        <v>0</v>
      </c>
      <c r="F91">
        <f>IFERROR(COUNTIF(OFFSET('Schedule Raw Data'!$A$2,MATCH($A91,'Schedule Raw Data'!$A$3:$A$2477,0),1,COUNTIF('Schedule Raw Data'!$A$3:$A$2477,$A91),2),F$1),0)</f>
        <v>0</v>
      </c>
      <c r="G91">
        <f>IFERROR(COUNTIF(OFFSET('Schedule Raw Data'!$A$2,MATCH($A91,'Schedule Raw Data'!$A$3:$A$2477,0),1,COUNTIF('Schedule Raw Data'!$A$3:$A$2477,$A91),2),G$1),0)</f>
        <v>1</v>
      </c>
      <c r="H91">
        <f>IFERROR(COUNTIF(OFFSET('Schedule Raw Data'!$A$2,MATCH($A91,'Schedule Raw Data'!$A$3:$A$2477,0),1,COUNTIF('Schedule Raw Data'!$A$3:$A$2477,$A91),2),H$1),0)</f>
        <v>0</v>
      </c>
      <c r="I91">
        <f>IFERROR(COUNTIF(OFFSET('Schedule Raw Data'!$A$2,MATCH($A91,'Schedule Raw Data'!$A$3:$A$2477,0),1,COUNTIF('Schedule Raw Data'!$A$3:$A$2477,$A91),2),I$1),0)</f>
        <v>0</v>
      </c>
      <c r="J91">
        <f>IFERROR(COUNTIF(OFFSET('Schedule Raw Data'!$A$2,MATCH($A91,'Schedule Raw Data'!$A$3:$A$2477,0),1,COUNTIF('Schedule Raw Data'!$A$3:$A$2477,$A91),2),J$1),0)</f>
        <v>0</v>
      </c>
      <c r="K91">
        <f>IFERROR(COUNTIF(OFFSET('Schedule Raw Data'!$A$2,MATCH($A91,'Schedule Raw Data'!$A$3:$A$2477,0),1,COUNTIF('Schedule Raw Data'!$A$3:$A$2477,$A91),2),K$1),0)</f>
        <v>0</v>
      </c>
      <c r="L91">
        <f>IFERROR(COUNTIF(OFFSET('Schedule Raw Data'!$A$2,MATCH($A91,'Schedule Raw Data'!$A$3:$A$2477,0),1,COUNTIF('Schedule Raw Data'!$A$3:$A$2477,$A91),2),L$1),0)</f>
        <v>1</v>
      </c>
      <c r="M91">
        <f>IFERROR(COUNTIF(OFFSET('Schedule Raw Data'!$A$2,MATCH($A91,'Schedule Raw Data'!$A$3:$A$2477,0),1,COUNTIF('Schedule Raw Data'!$A$3:$A$2477,$A91),2),M$1),0)</f>
        <v>0</v>
      </c>
      <c r="N91">
        <f>IFERROR(COUNTIF(OFFSET('Schedule Raw Data'!$A$2,MATCH($A91,'Schedule Raw Data'!$A$3:$A$2477,0),1,COUNTIF('Schedule Raw Data'!$A$3:$A$2477,$A91),2),N$1),0)</f>
        <v>1</v>
      </c>
      <c r="O91">
        <f>IFERROR(COUNTIF(OFFSET('Schedule Raw Data'!$A$2,MATCH($A91,'Schedule Raw Data'!$A$3:$A$2477,0),1,COUNTIF('Schedule Raw Data'!$A$3:$A$2477,$A91),2),O$1),0)</f>
        <v>0</v>
      </c>
      <c r="P91">
        <f>IFERROR(COUNTIF(OFFSET('Schedule Raw Data'!$A$2,MATCH($A91,'Schedule Raw Data'!$A$3:$A$2477,0),1,COUNTIF('Schedule Raw Data'!$A$3:$A$2477,$A91),2),P$1),0)</f>
        <v>1</v>
      </c>
      <c r="Q91">
        <f>IFERROR(COUNTIF(OFFSET('Schedule Raw Data'!$A$2,MATCH($A91,'Schedule Raw Data'!$A$3:$A$2477,0),1,COUNTIF('Schedule Raw Data'!$A$3:$A$2477,$A91),2),Q$1),0)</f>
        <v>1</v>
      </c>
      <c r="R91">
        <f>IFERROR(COUNTIF(OFFSET('Schedule Raw Data'!$A$2,MATCH($A91,'Schedule Raw Data'!$A$3:$A$2477,0),1,COUNTIF('Schedule Raw Data'!$A$3:$A$2477,$A91),2),R$1),0)</f>
        <v>1</v>
      </c>
      <c r="S91">
        <f>IFERROR(COUNTIF(OFFSET('Schedule Raw Data'!$A$2,MATCH($A91,'Schedule Raw Data'!$A$3:$A$2477,0),1,COUNTIF('Schedule Raw Data'!$A$3:$A$2477,$A91),2),S$1),0)</f>
        <v>1</v>
      </c>
      <c r="T91">
        <f>IFERROR(COUNTIF(OFFSET('Schedule Raw Data'!$A$2,MATCH($A91,'Schedule Raw Data'!$A$3:$A$2477,0),1,COUNTIF('Schedule Raw Data'!$A$3:$A$2477,$A91),2),T$1),0)</f>
        <v>0</v>
      </c>
      <c r="U91">
        <f>IFERROR(COUNTIF(OFFSET('Schedule Raw Data'!$A$2,MATCH($A91,'Schedule Raw Data'!$A$3:$A$2477,0),1,COUNTIF('Schedule Raw Data'!$A$3:$A$2477,$A91),2),U$1),0)</f>
        <v>1</v>
      </c>
      <c r="V91">
        <f>IFERROR(COUNTIF(OFFSET('Schedule Raw Data'!$A$2,MATCH($A91,'Schedule Raw Data'!$A$3:$A$2477,0),1,COUNTIF('Schedule Raw Data'!$A$3:$A$2477,$A91),2),V$1),0)</f>
        <v>1</v>
      </c>
      <c r="W91">
        <f>IFERROR(COUNTIF(OFFSET('Schedule Raw Data'!$A$2,MATCH($A91,'Schedule Raw Data'!$A$3:$A$2477,0),1,COUNTIF('Schedule Raw Data'!$A$3:$A$2477,$A91),2),W$1),0)</f>
        <v>1</v>
      </c>
      <c r="X91">
        <f>IFERROR(COUNTIF(OFFSET('Schedule Raw Data'!$A$2,MATCH($A91,'Schedule Raw Data'!$A$3:$A$2477,0),1,COUNTIF('Schedule Raw Data'!$A$3:$A$2477,$A91),2),X$1),0)</f>
        <v>1</v>
      </c>
      <c r="Y91">
        <f>IFERROR(COUNTIF(OFFSET('Schedule Raw Data'!$A$2,MATCH($A91,'Schedule Raw Data'!$A$3:$A$2477,0),1,COUNTIF('Schedule Raw Data'!$A$3:$A$2477,$A91),2),Y$1),0)</f>
        <v>1</v>
      </c>
      <c r="Z91">
        <f>IFERROR(COUNTIF(OFFSET('Schedule Raw Data'!$A$2,MATCH($A91,'Schedule Raw Data'!$A$3:$A$2477,0),1,COUNTIF('Schedule Raw Data'!$A$3:$A$2477,$A91),2),Z$1),0)</f>
        <v>0</v>
      </c>
      <c r="AA91">
        <f>IFERROR(COUNTIF(OFFSET('Schedule Raw Data'!$A$2,MATCH($A91,'Schedule Raw Data'!$A$3:$A$2477,0),1,COUNTIF('Schedule Raw Data'!$A$3:$A$2477,$A91),2),AA$1),0)</f>
        <v>0</v>
      </c>
      <c r="AB91">
        <f>IFERROR(COUNTIF(OFFSET('Schedule Raw Data'!$A$2,MATCH($A91,'Schedule Raw Data'!$A$3:$A$2477,0),1,COUNTIF('Schedule Raw Data'!$A$3:$A$2477,$A91),2),AB$1),0)</f>
        <v>1</v>
      </c>
      <c r="AC91">
        <f>IFERROR(COUNTIF(OFFSET('Schedule Raw Data'!$A$2,MATCH($A91,'Schedule Raw Data'!$A$3:$A$2477,0),1,COUNTIF('Schedule Raw Data'!$A$3:$A$2477,$A91),2),AC$1),0)</f>
        <v>0</v>
      </c>
      <c r="AD91">
        <f>IFERROR(COUNTIF(OFFSET('Schedule Raw Data'!$A$2,MATCH($A91,'Schedule Raw Data'!$A$3:$A$2477,0),1,COUNTIF('Schedule Raw Data'!$A$3:$A$2477,$A91),2),AD$1),0)</f>
        <v>0</v>
      </c>
      <c r="AE91">
        <f>IFERROR(COUNTIF(OFFSET('Schedule Raw Data'!$A$2,MATCH($A91,'Schedule Raw Data'!$A$3:$A$2477,0),1,COUNTIF('Schedule Raw Data'!$A$3:$A$2477,$A91),2),AE$1),0)</f>
        <v>1</v>
      </c>
      <c r="AF91">
        <f>IFERROR(COUNTIF(OFFSET('Schedule Raw Data'!$A$2,MATCH($A91,'Schedule Raw Data'!$A$3:$A$2477,0),1,COUNTIF('Schedule Raw Data'!$A$3:$A$2477,$A91),2),AF$1),0)</f>
        <v>1</v>
      </c>
      <c r="AG91">
        <f t="shared" si="1"/>
        <v>8</v>
      </c>
    </row>
    <row r="92">
      <c r="A92" s="30">
        <f t="array" ref="A92">INDEX('Schedule Raw Data'!$A$3:$A$2477,MATCH(0,INDEX(COUNTIF($A$1:A91,'Schedule Raw Data'!$A$3:$A$2477),0,0),0))</f>
        <v>46416</v>
      </c>
      <c r="B92">
        <f t="shared" si="2"/>
        <v>14</v>
      </c>
      <c r="C92">
        <f>IFERROR(COUNTIF(OFFSET('Schedule Raw Data'!$A$2,MATCH($A92,'Schedule Raw Data'!$A$3:$A$2477,0),1,COUNTIF('Schedule Raw Data'!$A$3:$A$2477,$A92),2),C$1),0)</f>
        <v>0</v>
      </c>
      <c r="D92">
        <f>IFERROR(COUNTIF(OFFSET('Schedule Raw Data'!$A$2,MATCH($A92,'Schedule Raw Data'!$A$3:$A$2477,0),1,COUNTIF('Schedule Raw Data'!$A$3:$A$2477,$A92),2),D$1),0)</f>
        <v>1</v>
      </c>
      <c r="E92">
        <f>IFERROR(COUNTIF(OFFSET('Schedule Raw Data'!$A$2,MATCH($A92,'Schedule Raw Data'!$A$3:$A$2477,0),1,COUNTIF('Schedule Raw Data'!$A$3:$A$2477,$A92),2),E$1),0)</f>
        <v>1</v>
      </c>
      <c r="F92">
        <f>IFERROR(COUNTIF(OFFSET('Schedule Raw Data'!$A$2,MATCH($A92,'Schedule Raw Data'!$A$3:$A$2477,0),1,COUNTIF('Schedule Raw Data'!$A$3:$A$2477,$A92),2),F$1),0)</f>
        <v>1</v>
      </c>
      <c r="G92">
        <f>IFERROR(COUNTIF(OFFSET('Schedule Raw Data'!$A$2,MATCH($A92,'Schedule Raw Data'!$A$3:$A$2477,0),1,COUNTIF('Schedule Raw Data'!$A$3:$A$2477,$A92),2),G$1),0)</f>
        <v>0</v>
      </c>
      <c r="H92">
        <f>IFERROR(COUNTIF(OFFSET('Schedule Raw Data'!$A$2,MATCH($A92,'Schedule Raw Data'!$A$3:$A$2477,0),1,COUNTIF('Schedule Raw Data'!$A$3:$A$2477,$A92),2),H$1),0)</f>
        <v>1</v>
      </c>
      <c r="I92">
        <f>IFERROR(COUNTIF(OFFSET('Schedule Raw Data'!$A$2,MATCH($A92,'Schedule Raw Data'!$A$3:$A$2477,0),1,COUNTIF('Schedule Raw Data'!$A$3:$A$2477,$A92),2),I$1),0)</f>
        <v>1</v>
      </c>
      <c r="J92">
        <f>IFERROR(COUNTIF(OFFSET('Schedule Raw Data'!$A$2,MATCH($A92,'Schedule Raw Data'!$A$3:$A$2477,0),1,COUNTIF('Schedule Raw Data'!$A$3:$A$2477,$A92),2),J$1),0)</f>
        <v>0</v>
      </c>
      <c r="K92">
        <f>IFERROR(COUNTIF(OFFSET('Schedule Raw Data'!$A$2,MATCH($A92,'Schedule Raw Data'!$A$3:$A$2477,0),1,COUNTIF('Schedule Raw Data'!$A$3:$A$2477,$A92),2),K$1),0)</f>
        <v>1</v>
      </c>
      <c r="L92">
        <f>IFERROR(COUNTIF(OFFSET('Schedule Raw Data'!$A$2,MATCH($A92,'Schedule Raw Data'!$A$3:$A$2477,0),1,COUNTIF('Schedule Raw Data'!$A$3:$A$2477,$A92),2),L$1),0)</f>
        <v>0</v>
      </c>
      <c r="M92">
        <f>IFERROR(COUNTIF(OFFSET('Schedule Raw Data'!$A$2,MATCH($A92,'Schedule Raw Data'!$A$3:$A$2477,0),1,COUNTIF('Schedule Raw Data'!$A$3:$A$2477,$A92),2),M$1),0)</f>
        <v>1</v>
      </c>
      <c r="N92">
        <f>IFERROR(COUNTIF(OFFSET('Schedule Raw Data'!$A$2,MATCH($A92,'Schedule Raw Data'!$A$3:$A$2477,0),1,COUNTIF('Schedule Raw Data'!$A$3:$A$2477,$A92),2),N$1),0)</f>
        <v>0</v>
      </c>
      <c r="O92">
        <f>IFERROR(COUNTIF(OFFSET('Schedule Raw Data'!$A$2,MATCH($A92,'Schedule Raw Data'!$A$3:$A$2477,0),1,COUNTIF('Schedule Raw Data'!$A$3:$A$2477,$A92),2),O$1),0)</f>
        <v>1</v>
      </c>
      <c r="P92">
        <f>IFERROR(COUNTIF(OFFSET('Schedule Raw Data'!$A$2,MATCH($A92,'Schedule Raw Data'!$A$3:$A$2477,0),1,COUNTIF('Schedule Raw Data'!$A$3:$A$2477,$A92),2),P$1),0)</f>
        <v>0</v>
      </c>
      <c r="Q92">
        <f>IFERROR(COUNTIF(OFFSET('Schedule Raw Data'!$A$2,MATCH($A92,'Schedule Raw Data'!$A$3:$A$2477,0),1,COUNTIF('Schedule Raw Data'!$A$3:$A$2477,$A92),2),Q$1),0)</f>
        <v>0</v>
      </c>
      <c r="R92">
        <f>IFERROR(COUNTIF(OFFSET('Schedule Raw Data'!$A$2,MATCH($A92,'Schedule Raw Data'!$A$3:$A$2477,0),1,COUNTIF('Schedule Raw Data'!$A$3:$A$2477,$A92),2),R$1),0)</f>
        <v>0</v>
      </c>
      <c r="S92">
        <f>IFERROR(COUNTIF(OFFSET('Schedule Raw Data'!$A$2,MATCH($A92,'Schedule Raw Data'!$A$3:$A$2477,0),1,COUNTIF('Schedule Raw Data'!$A$3:$A$2477,$A92),2),S$1),0)</f>
        <v>0</v>
      </c>
      <c r="T92">
        <f>IFERROR(COUNTIF(OFFSET('Schedule Raw Data'!$A$2,MATCH($A92,'Schedule Raw Data'!$A$3:$A$2477,0),1,COUNTIF('Schedule Raw Data'!$A$3:$A$2477,$A92),2),T$1),0)</f>
        <v>1</v>
      </c>
      <c r="U92">
        <f>IFERROR(COUNTIF(OFFSET('Schedule Raw Data'!$A$2,MATCH($A92,'Schedule Raw Data'!$A$3:$A$2477,0),1,COUNTIF('Schedule Raw Data'!$A$3:$A$2477,$A92),2),U$1),0)</f>
        <v>0</v>
      </c>
      <c r="V92">
        <f>IFERROR(COUNTIF(OFFSET('Schedule Raw Data'!$A$2,MATCH($A92,'Schedule Raw Data'!$A$3:$A$2477,0),1,COUNTIF('Schedule Raw Data'!$A$3:$A$2477,$A92),2),V$1),0)</f>
        <v>0</v>
      </c>
      <c r="W92">
        <f>IFERROR(COUNTIF(OFFSET('Schedule Raw Data'!$A$2,MATCH($A92,'Schedule Raw Data'!$A$3:$A$2477,0),1,COUNTIF('Schedule Raw Data'!$A$3:$A$2477,$A92),2),W$1),0)</f>
        <v>0</v>
      </c>
      <c r="X92">
        <f>IFERROR(COUNTIF(OFFSET('Schedule Raw Data'!$A$2,MATCH($A92,'Schedule Raw Data'!$A$3:$A$2477,0),1,COUNTIF('Schedule Raw Data'!$A$3:$A$2477,$A92),2),X$1),0)</f>
        <v>1</v>
      </c>
      <c r="Y92">
        <f>IFERROR(COUNTIF(OFFSET('Schedule Raw Data'!$A$2,MATCH($A92,'Schedule Raw Data'!$A$3:$A$2477,0),1,COUNTIF('Schedule Raw Data'!$A$3:$A$2477,$A92),2),Y$1),0)</f>
        <v>0</v>
      </c>
      <c r="Z92">
        <f>IFERROR(COUNTIF(OFFSET('Schedule Raw Data'!$A$2,MATCH($A92,'Schedule Raw Data'!$A$3:$A$2477,0),1,COUNTIF('Schedule Raw Data'!$A$3:$A$2477,$A92),2),Z$1),0)</f>
        <v>1</v>
      </c>
      <c r="AA92">
        <f>IFERROR(COUNTIF(OFFSET('Schedule Raw Data'!$A$2,MATCH($A92,'Schedule Raw Data'!$A$3:$A$2477,0),1,COUNTIF('Schedule Raw Data'!$A$3:$A$2477,$A92),2),AA$1),0)</f>
        <v>0</v>
      </c>
      <c r="AB92">
        <f>IFERROR(COUNTIF(OFFSET('Schedule Raw Data'!$A$2,MATCH($A92,'Schedule Raw Data'!$A$3:$A$2477,0),1,COUNTIF('Schedule Raw Data'!$A$3:$A$2477,$A92),2),AB$1),0)</f>
        <v>0</v>
      </c>
      <c r="AC92">
        <f>IFERROR(COUNTIF(OFFSET('Schedule Raw Data'!$A$2,MATCH($A92,'Schedule Raw Data'!$A$3:$A$2477,0),1,COUNTIF('Schedule Raw Data'!$A$3:$A$2477,$A92),2),AC$1),0)</f>
        <v>0</v>
      </c>
      <c r="AD92">
        <f>IFERROR(COUNTIF(OFFSET('Schedule Raw Data'!$A$2,MATCH($A92,'Schedule Raw Data'!$A$3:$A$2477,0),1,COUNTIF('Schedule Raw Data'!$A$3:$A$2477,$A92),2),AD$1),0)</f>
        <v>1</v>
      </c>
      <c r="AE92">
        <f>IFERROR(COUNTIF(OFFSET('Schedule Raw Data'!$A$2,MATCH($A92,'Schedule Raw Data'!$A$3:$A$2477,0),1,COUNTIF('Schedule Raw Data'!$A$3:$A$2477,$A92),2),AE$1),0)</f>
        <v>0</v>
      </c>
      <c r="AF92">
        <f>IFERROR(COUNTIF(OFFSET('Schedule Raw Data'!$A$2,MATCH($A92,'Schedule Raw Data'!$A$3:$A$2477,0),1,COUNTIF('Schedule Raw Data'!$A$3:$A$2477,$A92),2),AF$1),0)</f>
        <v>0</v>
      </c>
      <c r="AG92">
        <f t="shared" si="1"/>
        <v>6</v>
      </c>
    </row>
    <row r="93">
      <c r="A93" s="30">
        <f t="array" ref="A93">INDEX('Schedule Raw Data'!$A$3:$A$2477,MATCH(0,INDEX(COUNTIF($A$1:A92,'Schedule Raw Data'!$A$3:$A$2477),0,0),0))</f>
        <v>46417</v>
      </c>
      <c r="B93">
        <f t="shared" si="2"/>
        <v>14</v>
      </c>
      <c r="C93">
        <f>IFERROR(COUNTIF(OFFSET('Schedule Raw Data'!$A$2,MATCH($A93,'Schedule Raw Data'!$A$3:$A$2477,0),1,COUNTIF('Schedule Raw Data'!$A$3:$A$2477,$A93),2),C$1),0)</f>
        <v>1</v>
      </c>
      <c r="D93">
        <f>IFERROR(COUNTIF(OFFSET('Schedule Raw Data'!$A$2,MATCH($A93,'Schedule Raw Data'!$A$3:$A$2477,0),1,COUNTIF('Schedule Raw Data'!$A$3:$A$2477,$A93),2),D$1),0)</f>
        <v>0</v>
      </c>
      <c r="E93">
        <f>IFERROR(COUNTIF(OFFSET('Schedule Raw Data'!$A$2,MATCH($A93,'Schedule Raw Data'!$A$3:$A$2477,0),1,COUNTIF('Schedule Raw Data'!$A$3:$A$2477,$A93),2),E$1),0)</f>
        <v>0</v>
      </c>
      <c r="F93">
        <f>IFERROR(COUNTIF(OFFSET('Schedule Raw Data'!$A$2,MATCH($A93,'Schedule Raw Data'!$A$3:$A$2477,0),1,COUNTIF('Schedule Raw Data'!$A$3:$A$2477,$A93),2),F$1),0)</f>
        <v>0</v>
      </c>
      <c r="G93">
        <f>IFERROR(COUNTIF(OFFSET('Schedule Raw Data'!$A$2,MATCH($A93,'Schedule Raw Data'!$A$3:$A$2477,0),1,COUNTIF('Schedule Raw Data'!$A$3:$A$2477,$A93),2),G$1),0)</f>
        <v>0</v>
      </c>
      <c r="H93">
        <f>IFERROR(COUNTIF(OFFSET('Schedule Raw Data'!$A$2,MATCH($A93,'Schedule Raw Data'!$A$3:$A$2477,0),1,COUNTIF('Schedule Raw Data'!$A$3:$A$2477,$A93),2),H$1),0)</f>
        <v>1</v>
      </c>
      <c r="I93">
        <f>IFERROR(COUNTIF(OFFSET('Schedule Raw Data'!$A$2,MATCH($A93,'Schedule Raw Data'!$A$3:$A$2477,0),1,COUNTIF('Schedule Raw Data'!$A$3:$A$2477,$A93),2),I$1),0)</f>
        <v>0</v>
      </c>
      <c r="J93">
        <f>IFERROR(COUNTIF(OFFSET('Schedule Raw Data'!$A$2,MATCH($A93,'Schedule Raw Data'!$A$3:$A$2477,0),1,COUNTIF('Schedule Raw Data'!$A$3:$A$2477,$A93),2),J$1),0)</f>
        <v>1</v>
      </c>
      <c r="K93">
        <f>IFERROR(COUNTIF(OFFSET('Schedule Raw Data'!$A$2,MATCH($A93,'Schedule Raw Data'!$A$3:$A$2477,0),1,COUNTIF('Schedule Raw Data'!$A$3:$A$2477,$A93),2),K$1),0)</f>
        <v>0</v>
      </c>
      <c r="L93">
        <f>IFERROR(COUNTIF(OFFSET('Schedule Raw Data'!$A$2,MATCH($A93,'Schedule Raw Data'!$A$3:$A$2477,0),1,COUNTIF('Schedule Raw Data'!$A$3:$A$2477,$A93),2),L$1),0)</f>
        <v>1</v>
      </c>
      <c r="M93">
        <f>IFERROR(COUNTIF(OFFSET('Schedule Raw Data'!$A$2,MATCH($A93,'Schedule Raw Data'!$A$3:$A$2477,0),1,COUNTIF('Schedule Raw Data'!$A$3:$A$2477,$A93),2),M$1),0)</f>
        <v>0</v>
      </c>
      <c r="N93">
        <f>IFERROR(COUNTIF(OFFSET('Schedule Raw Data'!$A$2,MATCH($A93,'Schedule Raw Data'!$A$3:$A$2477,0),1,COUNTIF('Schedule Raw Data'!$A$3:$A$2477,$A93),2),N$1),0)</f>
        <v>1</v>
      </c>
      <c r="O93">
        <f>IFERROR(COUNTIF(OFFSET('Schedule Raw Data'!$A$2,MATCH($A93,'Schedule Raw Data'!$A$3:$A$2477,0),1,COUNTIF('Schedule Raw Data'!$A$3:$A$2477,$A93),2),O$1),0)</f>
        <v>0</v>
      </c>
      <c r="P93">
        <f>IFERROR(COUNTIF(OFFSET('Schedule Raw Data'!$A$2,MATCH($A93,'Schedule Raw Data'!$A$3:$A$2477,0),1,COUNTIF('Schedule Raw Data'!$A$3:$A$2477,$A93),2),P$1),0)</f>
        <v>1</v>
      </c>
      <c r="Q93">
        <f>IFERROR(COUNTIF(OFFSET('Schedule Raw Data'!$A$2,MATCH($A93,'Schedule Raw Data'!$A$3:$A$2477,0),1,COUNTIF('Schedule Raw Data'!$A$3:$A$2477,$A93),2),Q$1),0)</f>
        <v>1</v>
      </c>
      <c r="R93">
        <f>IFERROR(COUNTIF(OFFSET('Schedule Raw Data'!$A$2,MATCH($A93,'Schedule Raw Data'!$A$3:$A$2477,0),1,COUNTIF('Schedule Raw Data'!$A$3:$A$2477,$A93),2),R$1),0)</f>
        <v>1</v>
      </c>
      <c r="S93">
        <f>IFERROR(COUNTIF(OFFSET('Schedule Raw Data'!$A$2,MATCH($A93,'Schedule Raw Data'!$A$3:$A$2477,0),1,COUNTIF('Schedule Raw Data'!$A$3:$A$2477,$A93),2),S$1),0)</f>
        <v>1</v>
      </c>
      <c r="T93">
        <f>IFERROR(COUNTIF(OFFSET('Schedule Raw Data'!$A$2,MATCH($A93,'Schedule Raw Data'!$A$3:$A$2477,0),1,COUNTIF('Schedule Raw Data'!$A$3:$A$2477,$A93),2),T$1),0)</f>
        <v>0</v>
      </c>
      <c r="U93">
        <f>IFERROR(COUNTIF(OFFSET('Schedule Raw Data'!$A$2,MATCH($A93,'Schedule Raw Data'!$A$3:$A$2477,0),1,COUNTIF('Schedule Raw Data'!$A$3:$A$2477,$A93),2),U$1),0)</f>
        <v>1</v>
      </c>
      <c r="V93">
        <f>IFERROR(COUNTIF(OFFSET('Schedule Raw Data'!$A$2,MATCH($A93,'Schedule Raw Data'!$A$3:$A$2477,0),1,COUNTIF('Schedule Raw Data'!$A$3:$A$2477,$A93),2),V$1),0)</f>
        <v>1</v>
      </c>
      <c r="W93">
        <f>IFERROR(COUNTIF(OFFSET('Schedule Raw Data'!$A$2,MATCH($A93,'Schedule Raw Data'!$A$3:$A$2477,0),1,COUNTIF('Schedule Raw Data'!$A$3:$A$2477,$A93),2),W$1),0)</f>
        <v>1</v>
      </c>
      <c r="X93">
        <f>IFERROR(COUNTIF(OFFSET('Schedule Raw Data'!$A$2,MATCH($A93,'Schedule Raw Data'!$A$3:$A$2477,0),1,COUNTIF('Schedule Raw Data'!$A$3:$A$2477,$A93),2),X$1),0)</f>
        <v>0</v>
      </c>
      <c r="Y93">
        <f>IFERROR(COUNTIF(OFFSET('Schedule Raw Data'!$A$2,MATCH($A93,'Schedule Raw Data'!$A$3:$A$2477,0),1,COUNTIF('Schedule Raw Data'!$A$3:$A$2477,$A93),2),Y$1),0)</f>
        <v>1</v>
      </c>
      <c r="Z93">
        <f>IFERROR(COUNTIF(OFFSET('Schedule Raw Data'!$A$2,MATCH($A93,'Schedule Raw Data'!$A$3:$A$2477,0),1,COUNTIF('Schedule Raw Data'!$A$3:$A$2477,$A93),2),Z$1),0)</f>
        <v>0</v>
      </c>
      <c r="AA93">
        <f>IFERROR(COUNTIF(OFFSET('Schedule Raw Data'!$A$2,MATCH($A93,'Schedule Raw Data'!$A$3:$A$2477,0),1,COUNTIF('Schedule Raw Data'!$A$3:$A$2477,$A93),2),AA$1),0)</f>
        <v>0</v>
      </c>
      <c r="AB93">
        <f>IFERROR(COUNTIF(OFFSET('Schedule Raw Data'!$A$2,MATCH($A93,'Schedule Raw Data'!$A$3:$A$2477,0),1,COUNTIF('Schedule Raw Data'!$A$3:$A$2477,$A93),2),AB$1),0)</f>
        <v>0</v>
      </c>
      <c r="AC93">
        <f>IFERROR(COUNTIF(OFFSET('Schedule Raw Data'!$A$2,MATCH($A93,'Schedule Raw Data'!$A$3:$A$2477,0),1,COUNTIF('Schedule Raw Data'!$A$3:$A$2477,$A93),2),AC$1),0)</f>
        <v>1</v>
      </c>
      <c r="AD93">
        <f>IFERROR(COUNTIF(OFFSET('Schedule Raw Data'!$A$2,MATCH($A93,'Schedule Raw Data'!$A$3:$A$2477,0),1,COUNTIF('Schedule Raw Data'!$A$3:$A$2477,$A93),2),AD$1),0)</f>
        <v>0</v>
      </c>
      <c r="AE93">
        <f>IFERROR(COUNTIF(OFFSET('Schedule Raw Data'!$A$2,MATCH($A93,'Schedule Raw Data'!$A$3:$A$2477,0),1,COUNTIF('Schedule Raw Data'!$A$3:$A$2477,$A93),2),AE$1),0)</f>
        <v>1</v>
      </c>
      <c r="AF93">
        <f>IFERROR(COUNTIF(OFFSET('Schedule Raw Data'!$A$2,MATCH($A93,'Schedule Raw Data'!$A$3:$A$2477,0),1,COUNTIF('Schedule Raw Data'!$A$3:$A$2477,$A93),2),AF$1),0)</f>
        <v>1</v>
      </c>
      <c r="AG93">
        <f t="shared" si="1"/>
        <v>8</v>
      </c>
    </row>
    <row r="94">
      <c r="A94" s="30">
        <f t="array" ref="A94">INDEX('Schedule Raw Data'!$A$3:$A$2477,MATCH(0,INDEX(COUNTIF($A$1:A93,'Schedule Raw Data'!$A$3:$A$2477),0,0),0))</f>
        <v>46418</v>
      </c>
      <c r="B94">
        <f t="shared" si="2"/>
        <v>14</v>
      </c>
      <c r="C94">
        <f>IFERROR(COUNTIF(OFFSET('Schedule Raw Data'!$A$2,MATCH($A94,'Schedule Raw Data'!$A$3:$A$2477,0),1,COUNTIF('Schedule Raw Data'!$A$3:$A$2477,$A94),2),C$1),0)</f>
        <v>0</v>
      </c>
      <c r="D94">
        <f>IFERROR(COUNTIF(OFFSET('Schedule Raw Data'!$A$2,MATCH($A94,'Schedule Raw Data'!$A$3:$A$2477,0),1,COUNTIF('Schedule Raw Data'!$A$3:$A$2477,$A94),2),D$1),0)</f>
        <v>1</v>
      </c>
      <c r="E94">
        <f>IFERROR(COUNTIF(OFFSET('Schedule Raw Data'!$A$2,MATCH($A94,'Schedule Raw Data'!$A$3:$A$2477,0),1,COUNTIF('Schedule Raw Data'!$A$3:$A$2477,$A94),2),E$1),0)</f>
        <v>1</v>
      </c>
      <c r="F94">
        <f>IFERROR(COUNTIF(OFFSET('Schedule Raw Data'!$A$2,MATCH($A94,'Schedule Raw Data'!$A$3:$A$2477,0),1,COUNTIF('Schedule Raw Data'!$A$3:$A$2477,$A94),2),F$1),0)</f>
        <v>1</v>
      </c>
      <c r="G94">
        <f>IFERROR(COUNTIF(OFFSET('Schedule Raw Data'!$A$2,MATCH($A94,'Schedule Raw Data'!$A$3:$A$2477,0),1,COUNTIF('Schedule Raw Data'!$A$3:$A$2477,$A94),2),G$1),0)</f>
        <v>1</v>
      </c>
      <c r="H94">
        <f>IFERROR(COUNTIF(OFFSET('Schedule Raw Data'!$A$2,MATCH($A94,'Schedule Raw Data'!$A$3:$A$2477,0),1,COUNTIF('Schedule Raw Data'!$A$3:$A$2477,$A94),2),H$1),0)</f>
        <v>0</v>
      </c>
      <c r="I94">
        <f>IFERROR(COUNTIF(OFFSET('Schedule Raw Data'!$A$2,MATCH($A94,'Schedule Raw Data'!$A$3:$A$2477,0),1,COUNTIF('Schedule Raw Data'!$A$3:$A$2477,$A94),2),I$1),0)</f>
        <v>1</v>
      </c>
      <c r="J94">
        <f>IFERROR(COUNTIF(OFFSET('Schedule Raw Data'!$A$2,MATCH($A94,'Schedule Raw Data'!$A$3:$A$2477,0),1,COUNTIF('Schedule Raw Data'!$A$3:$A$2477,$A94),2),J$1),0)</f>
        <v>1</v>
      </c>
      <c r="K94">
        <f>IFERROR(COUNTIF(OFFSET('Schedule Raw Data'!$A$2,MATCH($A94,'Schedule Raw Data'!$A$3:$A$2477,0),1,COUNTIF('Schedule Raw Data'!$A$3:$A$2477,$A94),2),K$1),0)</f>
        <v>1</v>
      </c>
      <c r="L94">
        <f>IFERROR(COUNTIF(OFFSET('Schedule Raw Data'!$A$2,MATCH($A94,'Schedule Raw Data'!$A$3:$A$2477,0),1,COUNTIF('Schedule Raw Data'!$A$3:$A$2477,$A94),2),L$1),0)</f>
        <v>0</v>
      </c>
      <c r="M94">
        <f>IFERROR(COUNTIF(OFFSET('Schedule Raw Data'!$A$2,MATCH($A94,'Schedule Raw Data'!$A$3:$A$2477,0),1,COUNTIF('Schedule Raw Data'!$A$3:$A$2477,$A94),2),M$1),0)</f>
        <v>1</v>
      </c>
      <c r="N94">
        <f>IFERROR(COUNTIF(OFFSET('Schedule Raw Data'!$A$2,MATCH($A94,'Schedule Raw Data'!$A$3:$A$2477,0),1,COUNTIF('Schedule Raw Data'!$A$3:$A$2477,$A94),2),N$1),0)</f>
        <v>0</v>
      </c>
      <c r="O94">
        <f>IFERROR(COUNTIF(OFFSET('Schedule Raw Data'!$A$2,MATCH($A94,'Schedule Raw Data'!$A$3:$A$2477,0),1,COUNTIF('Schedule Raw Data'!$A$3:$A$2477,$A94),2),O$1),0)</f>
        <v>0</v>
      </c>
      <c r="P94">
        <f>IFERROR(COUNTIF(OFFSET('Schedule Raw Data'!$A$2,MATCH($A94,'Schedule Raw Data'!$A$3:$A$2477,0),1,COUNTIF('Schedule Raw Data'!$A$3:$A$2477,$A94),2),P$1),0)</f>
        <v>1</v>
      </c>
      <c r="Q94">
        <f>IFERROR(COUNTIF(OFFSET('Schedule Raw Data'!$A$2,MATCH($A94,'Schedule Raw Data'!$A$3:$A$2477,0),1,COUNTIF('Schedule Raw Data'!$A$3:$A$2477,$A94),2),Q$1),0)</f>
        <v>0</v>
      </c>
      <c r="R94">
        <f>IFERROR(COUNTIF(OFFSET('Schedule Raw Data'!$A$2,MATCH($A94,'Schedule Raw Data'!$A$3:$A$2477,0),1,COUNTIF('Schedule Raw Data'!$A$3:$A$2477,$A94),2),R$1),0)</f>
        <v>0</v>
      </c>
      <c r="S94">
        <f>IFERROR(COUNTIF(OFFSET('Schedule Raw Data'!$A$2,MATCH($A94,'Schedule Raw Data'!$A$3:$A$2477,0),1,COUNTIF('Schedule Raw Data'!$A$3:$A$2477,$A94),2),S$1),0)</f>
        <v>0</v>
      </c>
      <c r="T94">
        <f>IFERROR(COUNTIF(OFFSET('Schedule Raw Data'!$A$2,MATCH($A94,'Schedule Raw Data'!$A$3:$A$2477,0),1,COUNTIF('Schedule Raw Data'!$A$3:$A$2477,$A94),2),T$1),0)</f>
        <v>1</v>
      </c>
      <c r="U94">
        <f>IFERROR(COUNTIF(OFFSET('Schedule Raw Data'!$A$2,MATCH($A94,'Schedule Raw Data'!$A$3:$A$2477,0),1,COUNTIF('Schedule Raw Data'!$A$3:$A$2477,$A94),2),U$1),0)</f>
        <v>0</v>
      </c>
      <c r="V94">
        <f>IFERROR(COUNTIF(OFFSET('Schedule Raw Data'!$A$2,MATCH($A94,'Schedule Raw Data'!$A$3:$A$2477,0),1,COUNTIF('Schedule Raw Data'!$A$3:$A$2477,$A94),2),V$1),0)</f>
        <v>0</v>
      </c>
      <c r="W94">
        <f>IFERROR(COUNTIF(OFFSET('Schedule Raw Data'!$A$2,MATCH($A94,'Schedule Raw Data'!$A$3:$A$2477,0),1,COUNTIF('Schedule Raw Data'!$A$3:$A$2477,$A94),2),W$1),0)</f>
        <v>1</v>
      </c>
      <c r="X94">
        <f>IFERROR(COUNTIF(OFFSET('Schedule Raw Data'!$A$2,MATCH($A94,'Schedule Raw Data'!$A$3:$A$2477,0),1,COUNTIF('Schedule Raw Data'!$A$3:$A$2477,$A94),2),X$1),0)</f>
        <v>1</v>
      </c>
      <c r="Y94">
        <f>IFERROR(COUNTIF(OFFSET('Schedule Raw Data'!$A$2,MATCH($A94,'Schedule Raw Data'!$A$3:$A$2477,0),1,COUNTIF('Schedule Raw Data'!$A$3:$A$2477,$A94),2),Y$1),0)</f>
        <v>0</v>
      </c>
      <c r="Z94">
        <f>IFERROR(COUNTIF(OFFSET('Schedule Raw Data'!$A$2,MATCH($A94,'Schedule Raw Data'!$A$3:$A$2477,0),1,COUNTIF('Schedule Raw Data'!$A$3:$A$2477,$A94),2),Z$1),0)</f>
        <v>1</v>
      </c>
      <c r="AA94">
        <f>IFERROR(COUNTIF(OFFSET('Schedule Raw Data'!$A$2,MATCH($A94,'Schedule Raw Data'!$A$3:$A$2477,0),1,COUNTIF('Schedule Raw Data'!$A$3:$A$2477,$A94),2),AA$1),0)</f>
        <v>1</v>
      </c>
      <c r="AB94">
        <f>IFERROR(COUNTIF(OFFSET('Schedule Raw Data'!$A$2,MATCH($A94,'Schedule Raw Data'!$A$3:$A$2477,0),1,COUNTIF('Schedule Raw Data'!$A$3:$A$2477,$A94),2),AB$1),0)</f>
        <v>1</v>
      </c>
      <c r="AC94">
        <f>IFERROR(COUNTIF(OFFSET('Schedule Raw Data'!$A$2,MATCH($A94,'Schedule Raw Data'!$A$3:$A$2477,0),1,COUNTIF('Schedule Raw Data'!$A$3:$A$2477,$A94),2),AC$1),0)</f>
        <v>0</v>
      </c>
      <c r="AD94">
        <f>IFERROR(COUNTIF(OFFSET('Schedule Raw Data'!$A$2,MATCH($A94,'Schedule Raw Data'!$A$3:$A$2477,0),1,COUNTIF('Schedule Raw Data'!$A$3:$A$2477,$A94),2),AD$1),0)</f>
        <v>1</v>
      </c>
      <c r="AE94">
        <f>IFERROR(COUNTIF(OFFSET('Schedule Raw Data'!$A$2,MATCH($A94,'Schedule Raw Data'!$A$3:$A$2477,0),1,COUNTIF('Schedule Raw Data'!$A$3:$A$2477,$A94),2),AE$1),0)</f>
        <v>0</v>
      </c>
      <c r="AF94">
        <f>IFERROR(COUNTIF(OFFSET('Schedule Raw Data'!$A$2,MATCH($A94,'Schedule Raw Data'!$A$3:$A$2477,0),1,COUNTIF('Schedule Raw Data'!$A$3:$A$2477,$A94),2),AF$1),0)</f>
        <v>0</v>
      </c>
      <c r="AG94">
        <f t="shared" si="1"/>
        <v>8</v>
      </c>
    </row>
    <row r="95">
      <c r="A95" s="30">
        <f t="array" ref="A95">INDEX('Schedule Raw Data'!$A$3:$A$2477,MATCH(0,INDEX(COUNTIF($A$1:A94,'Schedule Raw Data'!$A$3:$A$2477),0,0),0))</f>
        <v>46419</v>
      </c>
      <c r="B95">
        <f t="shared" si="2"/>
        <v>15</v>
      </c>
      <c r="C95">
        <f>IFERROR(COUNTIF(OFFSET('Schedule Raw Data'!$A$2,MATCH($A95,'Schedule Raw Data'!$A$3:$A$2477,0),1,COUNTIF('Schedule Raw Data'!$A$3:$A$2477,$A95),2),C$1),0)</f>
        <v>1</v>
      </c>
      <c r="D95">
        <f>IFERROR(COUNTIF(OFFSET('Schedule Raw Data'!$A$2,MATCH($A95,'Schedule Raw Data'!$A$3:$A$2477,0),1,COUNTIF('Schedule Raw Data'!$A$3:$A$2477,$A95),2),D$1),0)</f>
        <v>1</v>
      </c>
      <c r="E95">
        <f>IFERROR(COUNTIF(OFFSET('Schedule Raw Data'!$A$2,MATCH($A95,'Schedule Raw Data'!$A$3:$A$2477,0),1,COUNTIF('Schedule Raw Data'!$A$3:$A$2477,$A95),2),E$1),0)</f>
        <v>0</v>
      </c>
      <c r="F95">
        <f>IFERROR(COUNTIF(OFFSET('Schedule Raw Data'!$A$2,MATCH($A95,'Schedule Raw Data'!$A$3:$A$2477,0),1,COUNTIF('Schedule Raw Data'!$A$3:$A$2477,$A95),2),F$1),0)</f>
        <v>0</v>
      </c>
      <c r="G95">
        <f>IFERROR(COUNTIF(OFFSET('Schedule Raw Data'!$A$2,MATCH($A95,'Schedule Raw Data'!$A$3:$A$2477,0),1,COUNTIF('Schedule Raw Data'!$A$3:$A$2477,$A95),2),G$1),0)</f>
        <v>0</v>
      </c>
      <c r="H95">
        <f>IFERROR(COUNTIF(OFFSET('Schedule Raw Data'!$A$2,MATCH($A95,'Schedule Raw Data'!$A$3:$A$2477,0),1,COUNTIF('Schedule Raw Data'!$A$3:$A$2477,$A95),2),H$1),0)</f>
        <v>1</v>
      </c>
      <c r="I95">
        <f>IFERROR(COUNTIF(OFFSET('Schedule Raw Data'!$A$2,MATCH($A95,'Schedule Raw Data'!$A$3:$A$2477,0),1,COUNTIF('Schedule Raw Data'!$A$3:$A$2477,$A95),2),I$1),0)</f>
        <v>0</v>
      </c>
      <c r="J95">
        <f>IFERROR(COUNTIF(OFFSET('Schedule Raw Data'!$A$2,MATCH($A95,'Schedule Raw Data'!$A$3:$A$2477,0),1,COUNTIF('Schedule Raw Data'!$A$3:$A$2477,$A95),2),J$1),0)</f>
        <v>0</v>
      </c>
      <c r="K95">
        <f>IFERROR(COUNTIF(OFFSET('Schedule Raw Data'!$A$2,MATCH($A95,'Schedule Raw Data'!$A$3:$A$2477,0),1,COUNTIF('Schedule Raw Data'!$A$3:$A$2477,$A95),2),K$1),0)</f>
        <v>0</v>
      </c>
      <c r="L95">
        <f>IFERROR(COUNTIF(OFFSET('Schedule Raw Data'!$A$2,MATCH($A95,'Schedule Raw Data'!$A$3:$A$2477,0),1,COUNTIF('Schedule Raw Data'!$A$3:$A$2477,$A95),2),L$1),0)</f>
        <v>1</v>
      </c>
      <c r="M95">
        <f>IFERROR(COUNTIF(OFFSET('Schedule Raw Data'!$A$2,MATCH($A95,'Schedule Raw Data'!$A$3:$A$2477,0),1,COUNTIF('Schedule Raw Data'!$A$3:$A$2477,$A95),2),M$1),0)</f>
        <v>0</v>
      </c>
      <c r="N95">
        <f>IFERROR(COUNTIF(OFFSET('Schedule Raw Data'!$A$2,MATCH($A95,'Schedule Raw Data'!$A$3:$A$2477,0),1,COUNTIF('Schedule Raw Data'!$A$3:$A$2477,$A95),2),N$1),0)</f>
        <v>1</v>
      </c>
      <c r="O95">
        <f>IFERROR(COUNTIF(OFFSET('Schedule Raw Data'!$A$2,MATCH($A95,'Schedule Raw Data'!$A$3:$A$2477,0),1,COUNTIF('Schedule Raw Data'!$A$3:$A$2477,$A95),2),O$1),0)</f>
        <v>0</v>
      </c>
      <c r="P95">
        <f>IFERROR(COUNTIF(OFFSET('Schedule Raw Data'!$A$2,MATCH($A95,'Schedule Raw Data'!$A$3:$A$2477,0),1,COUNTIF('Schedule Raw Data'!$A$3:$A$2477,$A95),2),P$1),0)</f>
        <v>0</v>
      </c>
      <c r="Q95">
        <f>IFERROR(COUNTIF(OFFSET('Schedule Raw Data'!$A$2,MATCH($A95,'Schedule Raw Data'!$A$3:$A$2477,0),1,COUNTIF('Schedule Raw Data'!$A$3:$A$2477,$A95),2),Q$1),0)</f>
        <v>1</v>
      </c>
      <c r="R95">
        <f>IFERROR(COUNTIF(OFFSET('Schedule Raw Data'!$A$2,MATCH($A95,'Schedule Raw Data'!$A$3:$A$2477,0),1,COUNTIF('Schedule Raw Data'!$A$3:$A$2477,$A95),2),R$1),0)</f>
        <v>1</v>
      </c>
      <c r="S95">
        <f>IFERROR(COUNTIF(OFFSET('Schedule Raw Data'!$A$2,MATCH($A95,'Schedule Raw Data'!$A$3:$A$2477,0),1,COUNTIF('Schedule Raw Data'!$A$3:$A$2477,$A95),2),S$1),0)</f>
        <v>1</v>
      </c>
      <c r="T95">
        <f>IFERROR(COUNTIF(OFFSET('Schedule Raw Data'!$A$2,MATCH($A95,'Schedule Raw Data'!$A$3:$A$2477,0),1,COUNTIF('Schedule Raw Data'!$A$3:$A$2477,$A95),2),T$1),0)</f>
        <v>0</v>
      </c>
      <c r="U95">
        <f>IFERROR(COUNTIF(OFFSET('Schedule Raw Data'!$A$2,MATCH($A95,'Schedule Raw Data'!$A$3:$A$2477,0),1,COUNTIF('Schedule Raw Data'!$A$3:$A$2477,$A95),2),U$1),0)</f>
        <v>1</v>
      </c>
      <c r="V95">
        <f>IFERROR(COUNTIF(OFFSET('Schedule Raw Data'!$A$2,MATCH($A95,'Schedule Raw Data'!$A$3:$A$2477,0),1,COUNTIF('Schedule Raw Data'!$A$3:$A$2477,$A95),2),V$1),0)</f>
        <v>1</v>
      </c>
      <c r="W95">
        <f>IFERROR(COUNTIF(OFFSET('Schedule Raw Data'!$A$2,MATCH($A95,'Schedule Raw Data'!$A$3:$A$2477,0),1,COUNTIF('Schedule Raw Data'!$A$3:$A$2477,$A95),2),W$1),0)</f>
        <v>0</v>
      </c>
      <c r="X95">
        <f>IFERROR(COUNTIF(OFFSET('Schedule Raw Data'!$A$2,MATCH($A95,'Schedule Raw Data'!$A$3:$A$2477,0),1,COUNTIF('Schedule Raw Data'!$A$3:$A$2477,$A95),2),X$1),0)</f>
        <v>0</v>
      </c>
      <c r="Y95">
        <f>IFERROR(COUNTIF(OFFSET('Schedule Raw Data'!$A$2,MATCH($A95,'Schedule Raw Data'!$A$3:$A$2477,0),1,COUNTIF('Schedule Raw Data'!$A$3:$A$2477,$A95),2),Y$1),0)</f>
        <v>1</v>
      </c>
      <c r="Z95">
        <f>IFERROR(COUNTIF(OFFSET('Schedule Raw Data'!$A$2,MATCH($A95,'Schedule Raw Data'!$A$3:$A$2477,0),1,COUNTIF('Schedule Raw Data'!$A$3:$A$2477,$A95),2),Z$1),0)</f>
        <v>0</v>
      </c>
      <c r="AA95">
        <f>IFERROR(COUNTIF(OFFSET('Schedule Raw Data'!$A$2,MATCH($A95,'Schedule Raw Data'!$A$3:$A$2477,0),1,COUNTIF('Schedule Raw Data'!$A$3:$A$2477,$A95),2),AA$1),0)</f>
        <v>0</v>
      </c>
      <c r="AB95">
        <f>IFERROR(COUNTIF(OFFSET('Schedule Raw Data'!$A$2,MATCH($A95,'Schedule Raw Data'!$A$3:$A$2477,0),1,COUNTIF('Schedule Raw Data'!$A$3:$A$2477,$A95),2),AB$1),0)</f>
        <v>0</v>
      </c>
      <c r="AC95">
        <f>IFERROR(COUNTIF(OFFSET('Schedule Raw Data'!$A$2,MATCH($A95,'Schedule Raw Data'!$A$3:$A$2477,0),1,COUNTIF('Schedule Raw Data'!$A$3:$A$2477,$A95),2),AC$1),0)</f>
        <v>1</v>
      </c>
      <c r="AD95">
        <f>IFERROR(COUNTIF(OFFSET('Schedule Raw Data'!$A$2,MATCH($A95,'Schedule Raw Data'!$A$3:$A$2477,0),1,COUNTIF('Schedule Raw Data'!$A$3:$A$2477,$A95),2),AD$1),0)</f>
        <v>0</v>
      </c>
      <c r="AE95">
        <f>IFERROR(COUNTIF(OFFSET('Schedule Raw Data'!$A$2,MATCH($A95,'Schedule Raw Data'!$A$3:$A$2477,0),1,COUNTIF('Schedule Raw Data'!$A$3:$A$2477,$A95),2),AE$1),0)</f>
        <v>1</v>
      </c>
      <c r="AF95">
        <f>IFERROR(COUNTIF(OFFSET('Schedule Raw Data'!$A$2,MATCH($A95,'Schedule Raw Data'!$A$3:$A$2477,0),1,COUNTIF('Schedule Raw Data'!$A$3:$A$2477,$A95),2),AF$1),0)</f>
        <v>1</v>
      </c>
      <c r="AG95">
        <f t="shared" si="1"/>
        <v>7</v>
      </c>
    </row>
    <row r="96">
      <c r="A96" s="30">
        <f t="array" ref="A96">INDEX('Schedule Raw Data'!$A$3:$A$2477,MATCH(0,INDEX(COUNTIF($A$1:A95,'Schedule Raw Data'!$A$3:$A$2477),0,0),0))</f>
        <v>46420</v>
      </c>
      <c r="B96">
        <f t="shared" si="2"/>
        <v>15</v>
      </c>
      <c r="C96">
        <f>IFERROR(COUNTIF(OFFSET('Schedule Raw Data'!$A$2,MATCH($A96,'Schedule Raw Data'!$A$3:$A$2477,0),1,COUNTIF('Schedule Raw Data'!$A$3:$A$2477,$A96),2),C$1),0)</f>
        <v>0</v>
      </c>
      <c r="D96">
        <f>IFERROR(COUNTIF(OFFSET('Schedule Raw Data'!$A$2,MATCH($A96,'Schedule Raw Data'!$A$3:$A$2477,0),1,COUNTIF('Schedule Raw Data'!$A$3:$A$2477,$A96),2),D$1),0)</f>
        <v>0</v>
      </c>
      <c r="E96">
        <f>IFERROR(COUNTIF(OFFSET('Schedule Raw Data'!$A$2,MATCH($A96,'Schedule Raw Data'!$A$3:$A$2477,0),1,COUNTIF('Schedule Raw Data'!$A$3:$A$2477,$A96),2),E$1),0)</f>
        <v>1</v>
      </c>
      <c r="F96">
        <f>IFERROR(COUNTIF(OFFSET('Schedule Raw Data'!$A$2,MATCH($A96,'Schedule Raw Data'!$A$3:$A$2477,0),1,COUNTIF('Schedule Raw Data'!$A$3:$A$2477,$A96),2),F$1),0)</f>
        <v>1</v>
      </c>
      <c r="G96">
        <f>IFERROR(COUNTIF(OFFSET('Schedule Raw Data'!$A$2,MATCH($A96,'Schedule Raw Data'!$A$3:$A$2477,0),1,COUNTIF('Schedule Raw Data'!$A$3:$A$2477,$A96),2),G$1),0)</f>
        <v>1</v>
      </c>
      <c r="H96">
        <f>IFERROR(COUNTIF(OFFSET('Schedule Raw Data'!$A$2,MATCH($A96,'Schedule Raw Data'!$A$3:$A$2477,0),1,COUNTIF('Schedule Raw Data'!$A$3:$A$2477,$A96),2),H$1),0)</f>
        <v>0</v>
      </c>
      <c r="I96">
        <f>IFERROR(COUNTIF(OFFSET('Schedule Raw Data'!$A$2,MATCH($A96,'Schedule Raw Data'!$A$3:$A$2477,0),1,COUNTIF('Schedule Raw Data'!$A$3:$A$2477,$A96),2),I$1),0)</f>
        <v>1</v>
      </c>
      <c r="J96">
        <f>IFERROR(COUNTIF(OFFSET('Schedule Raw Data'!$A$2,MATCH($A96,'Schedule Raw Data'!$A$3:$A$2477,0),1,COUNTIF('Schedule Raw Data'!$A$3:$A$2477,$A96),2),J$1),0)</f>
        <v>1</v>
      </c>
      <c r="K96">
        <f>IFERROR(COUNTIF(OFFSET('Schedule Raw Data'!$A$2,MATCH($A96,'Schedule Raw Data'!$A$3:$A$2477,0),1,COUNTIF('Schedule Raw Data'!$A$3:$A$2477,$A96),2),K$1),0)</f>
        <v>1</v>
      </c>
      <c r="L96">
        <f>IFERROR(COUNTIF(OFFSET('Schedule Raw Data'!$A$2,MATCH($A96,'Schedule Raw Data'!$A$3:$A$2477,0),1,COUNTIF('Schedule Raw Data'!$A$3:$A$2477,$A96),2),L$1),0)</f>
        <v>0</v>
      </c>
      <c r="M96">
        <f>IFERROR(COUNTIF(OFFSET('Schedule Raw Data'!$A$2,MATCH($A96,'Schedule Raw Data'!$A$3:$A$2477,0),1,COUNTIF('Schedule Raw Data'!$A$3:$A$2477,$A96),2),M$1),0)</f>
        <v>0</v>
      </c>
      <c r="N96">
        <f>IFERROR(COUNTIF(OFFSET('Schedule Raw Data'!$A$2,MATCH($A96,'Schedule Raw Data'!$A$3:$A$2477,0),1,COUNTIF('Schedule Raw Data'!$A$3:$A$2477,$A96),2),N$1),0)</f>
        <v>0</v>
      </c>
      <c r="O96">
        <f>IFERROR(COUNTIF(OFFSET('Schedule Raw Data'!$A$2,MATCH($A96,'Schedule Raw Data'!$A$3:$A$2477,0),1,COUNTIF('Schedule Raw Data'!$A$3:$A$2477,$A96),2),O$1),0)</f>
        <v>1</v>
      </c>
      <c r="P96">
        <f>IFERROR(COUNTIF(OFFSET('Schedule Raw Data'!$A$2,MATCH($A96,'Schedule Raw Data'!$A$3:$A$2477,0),1,COUNTIF('Schedule Raw Data'!$A$3:$A$2477,$A96),2),P$1),0)</f>
        <v>1</v>
      </c>
      <c r="Q96">
        <f>IFERROR(COUNTIF(OFFSET('Schedule Raw Data'!$A$2,MATCH($A96,'Schedule Raw Data'!$A$3:$A$2477,0),1,COUNTIF('Schedule Raw Data'!$A$3:$A$2477,$A96),2),Q$1),0)</f>
        <v>0</v>
      </c>
      <c r="R96">
        <f>IFERROR(COUNTIF(OFFSET('Schedule Raw Data'!$A$2,MATCH($A96,'Schedule Raw Data'!$A$3:$A$2477,0),1,COUNTIF('Schedule Raw Data'!$A$3:$A$2477,$A96),2),R$1),0)</f>
        <v>1</v>
      </c>
      <c r="S96">
        <f>IFERROR(COUNTIF(OFFSET('Schedule Raw Data'!$A$2,MATCH($A96,'Schedule Raw Data'!$A$3:$A$2477,0),1,COUNTIF('Schedule Raw Data'!$A$3:$A$2477,$A96),2),S$1),0)</f>
        <v>0</v>
      </c>
      <c r="T96">
        <f>IFERROR(COUNTIF(OFFSET('Schedule Raw Data'!$A$2,MATCH($A96,'Schedule Raw Data'!$A$3:$A$2477,0),1,COUNTIF('Schedule Raw Data'!$A$3:$A$2477,$A96),2),T$1),0)</f>
        <v>1</v>
      </c>
      <c r="U96">
        <f>IFERROR(COUNTIF(OFFSET('Schedule Raw Data'!$A$2,MATCH($A96,'Schedule Raw Data'!$A$3:$A$2477,0),1,COUNTIF('Schedule Raw Data'!$A$3:$A$2477,$A96),2),U$1),0)</f>
        <v>1</v>
      </c>
      <c r="V96">
        <f>IFERROR(COUNTIF(OFFSET('Schedule Raw Data'!$A$2,MATCH($A96,'Schedule Raw Data'!$A$3:$A$2477,0),1,COUNTIF('Schedule Raw Data'!$A$3:$A$2477,$A96),2),V$1),0)</f>
        <v>0</v>
      </c>
      <c r="W96">
        <f>IFERROR(COUNTIF(OFFSET('Schedule Raw Data'!$A$2,MATCH($A96,'Schedule Raw Data'!$A$3:$A$2477,0),1,COUNTIF('Schedule Raw Data'!$A$3:$A$2477,$A96),2),W$1),0)</f>
        <v>1</v>
      </c>
      <c r="X96">
        <f>IFERROR(COUNTIF(OFFSET('Schedule Raw Data'!$A$2,MATCH($A96,'Schedule Raw Data'!$A$3:$A$2477,0),1,COUNTIF('Schedule Raw Data'!$A$3:$A$2477,$A96),2),X$1),0)</f>
        <v>1</v>
      </c>
      <c r="Y96">
        <f>IFERROR(COUNTIF(OFFSET('Schedule Raw Data'!$A$2,MATCH($A96,'Schedule Raw Data'!$A$3:$A$2477,0),1,COUNTIF('Schedule Raw Data'!$A$3:$A$2477,$A96),2),Y$1),0)</f>
        <v>0</v>
      </c>
      <c r="Z96">
        <f>IFERROR(COUNTIF(OFFSET('Schedule Raw Data'!$A$2,MATCH($A96,'Schedule Raw Data'!$A$3:$A$2477,0),1,COUNTIF('Schedule Raw Data'!$A$3:$A$2477,$A96),2),Z$1),0)</f>
        <v>0</v>
      </c>
      <c r="AA96">
        <f>IFERROR(COUNTIF(OFFSET('Schedule Raw Data'!$A$2,MATCH($A96,'Schedule Raw Data'!$A$3:$A$2477,0),1,COUNTIF('Schedule Raw Data'!$A$3:$A$2477,$A96),2),AA$1),0)</f>
        <v>1</v>
      </c>
      <c r="AB96">
        <f>IFERROR(COUNTIF(OFFSET('Schedule Raw Data'!$A$2,MATCH($A96,'Schedule Raw Data'!$A$3:$A$2477,0),1,COUNTIF('Schedule Raw Data'!$A$3:$A$2477,$A96),2),AB$1),0)</f>
        <v>0</v>
      </c>
      <c r="AC96">
        <f>IFERROR(COUNTIF(OFFSET('Schedule Raw Data'!$A$2,MATCH($A96,'Schedule Raw Data'!$A$3:$A$2477,0),1,COUNTIF('Schedule Raw Data'!$A$3:$A$2477,$A96),2),AC$1),0)</f>
        <v>1</v>
      </c>
      <c r="AD96">
        <f>IFERROR(COUNTIF(OFFSET('Schedule Raw Data'!$A$2,MATCH($A96,'Schedule Raw Data'!$A$3:$A$2477,0),1,COUNTIF('Schedule Raw Data'!$A$3:$A$2477,$A96),2),AD$1),0)</f>
        <v>1</v>
      </c>
      <c r="AE96">
        <f>IFERROR(COUNTIF(OFFSET('Schedule Raw Data'!$A$2,MATCH($A96,'Schedule Raw Data'!$A$3:$A$2477,0),1,COUNTIF('Schedule Raw Data'!$A$3:$A$2477,$A96),2),AE$1),0)</f>
        <v>0</v>
      </c>
      <c r="AF96">
        <f>IFERROR(COUNTIF(OFFSET('Schedule Raw Data'!$A$2,MATCH($A96,'Schedule Raw Data'!$A$3:$A$2477,0),1,COUNTIF('Schedule Raw Data'!$A$3:$A$2477,$A96),2),AF$1),0)</f>
        <v>0</v>
      </c>
      <c r="AG96">
        <f t="shared" si="1"/>
        <v>8</v>
      </c>
    </row>
    <row r="97">
      <c r="A97" s="30">
        <f t="array" ref="A97">INDEX('Schedule Raw Data'!$A$3:$A$2477,MATCH(0,INDEX(COUNTIF($A$1:A96,'Schedule Raw Data'!$A$3:$A$2477),0,0),0))</f>
        <v>46421</v>
      </c>
      <c r="B97">
        <f t="shared" si="2"/>
        <v>15</v>
      </c>
      <c r="C97">
        <f>IFERROR(COUNTIF(OFFSET('Schedule Raw Data'!$A$2,MATCH($A97,'Schedule Raw Data'!$A$3:$A$2477,0),1,COUNTIF('Schedule Raw Data'!$A$3:$A$2477,$A97),2),C$1),0)</f>
        <v>1</v>
      </c>
      <c r="D97">
        <f>IFERROR(COUNTIF(OFFSET('Schedule Raw Data'!$A$2,MATCH($A97,'Schedule Raw Data'!$A$3:$A$2477,0),1,COUNTIF('Schedule Raw Data'!$A$3:$A$2477,$A97),2),D$1),0)</f>
        <v>0</v>
      </c>
      <c r="E97">
        <f>IFERROR(COUNTIF(OFFSET('Schedule Raw Data'!$A$2,MATCH($A97,'Schedule Raw Data'!$A$3:$A$2477,0),1,COUNTIF('Schedule Raw Data'!$A$3:$A$2477,$A97),2),E$1),0)</f>
        <v>0</v>
      </c>
      <c r="F97">
        <f>IFERROR(COUNTIF(OFFSET('Schedule Raw Data'!$A$2,MATCH($A97,'Schedule Raw Data'!$A$3:$A$2477,0),1,COUNTIF('Schedule Raw Data'!$A$3:$A$2477,$A97),2),F$1),0)</f>
        <v>0</v>
      </c>
      <c r="G97">
        <f>IFERROR(COUNTIF(OFFSET('Schedule Raw Data'!$A$2,MATCH($A97,'Schedule Raw Data'!$A$3:$A$2477,0),1,COUNTIF('Schedule Raw Data'!$A$3:$A$2477,$A97),2),G$1),0)</f>
        <v>0</v>
      </c>
      <c r="H97">
        <f>IFERROR(COUNTIF(OFFSET('Schedule Raw Data'!$A$2,MATCH($A97,'Schedule Raw Data'!$A$3:$A$2477,0),1,COUNTIF('Schedule Raw Data'!$A$3:$A$2477,$A97),2),H$1),0)</f>
        <v>1</v>
      </c>
      <c r="I97">
        <f>IFERROR(COUNTIF(OFFSET('Schedule Raw Data'!$A$2,MATCH($A97,'Schedule Raw Data'!$A$3:$A$2477,0),1,COUNTIF('Schedule Raw Data'!$A$3:$A$2477,$A97),2),I$1),0)</f>
        <v>0</v>
      </c>
      <c r="J97">
        <f>IFERROR(COUNTIF(OFFSET('Schedule Raw Data'!$A$2,MATCH($A97,'Schedule Raw Data'!$A$3:$A$2477,0),1,COUNTIF('Schedule Raw Data'!$A$3:$A$2477,$A97),2),J$1),0)</f>
        <v>0</v>
      </c>
      <c r="K97">
        <f>IFERROR(COUNTIF(OFFSET('Schedule Raw Data'!$A$2,MATCH($A97,'Schedule Raw Data'!$A$3:$A$2477,0),1,COUNTIF('Schedule Raw Data'!$A$3:$A$2477,$A97),2),K$1),0)</f>
        <v>1</v>
      </c>
      <c r="L97">
        <f>IFERROR(COUNTIF(OFFSET('Schedule Raw Data'!$A$2,MATCH($A97,'Schedule Raw Data'!$A$3:$A$2477,0),1,COUNTIF('Schedule Raw Data'!$A$3:$A$2477,$A97),2),L$1),0)</f>
        <v>1</v>
      </c>
      <c r="M97">
        <f>IFERROR(COUNTIF(OFFSET('Schedule Raw Data'!$A$2,MATCH($A97,'Schedule Raw Data'!$A$3:$A$2477,0),1,COUNTIF('Schedule Raw Data'!$A$3:$A$2477,$A97),2),M$1),0)</f>
        <v>1</v>
      </c>
      <c r="N97">
        <f>IFERROR(COUNTIF(OFFSET('Schedule Raw Data'!$A$2,MATCH($A97,'Schedule Raw Data'!$A$3:$A$2477,0),1,COUNTIF('Schedule Raw Data'!$A$3:$A$2477,$A97),2),N$1),0)</f>
        <v>1</v>
      </c>
      <c r="O97">
        <f>IFERROR(COUNTIF(OFFSET('Schedule Raw Data'!$A$2,MATCH($A97,'Schedule Raw Data'!$A$3:$A$2477,0),1,COUNTIF('Schedule Raw Data'!$A$3:$A$2477,$A97),2),O$1),0)</f>
        <v>1</v>
      </c>
      <c r="P97">
        <f>IFERROR(COUNTIF(OFFSET('Schedule Raw Data'!$A$2,MATCH($A97,'Schedule Raw Data'!$A$3:$A$2477,0),1,COUNTIF('Schedule Raw Data'!$A$3:$A$2477,$A97),2),P$1),0)</f>
        <v>0</v>
      </c>
      <c r="Q97">
        <f>IFERROR(COUNTIF(OFFSET('Schedule Raw Data'!$A$2,MATCH($A97,'Schedule Raw Data'!$A$3:$A$2477,0),1,COUNTIF('Schedule Raw Data'!$A$3:$A$2477,$A97),2),Q$1),0)</f>
        <v>1</v>
      </c>
      <c r="R97">
        <f>IFERROR(COUNTIF(OFFSET('Schedule Raw Data'!$A$2,MATCH($A97,'Schedule Raw Data'!$A$3:$A$2477,0),1,COUNTIF('Schedule Raw Data'!$A$3:$A$2477,$A97),2),R$1),0)</f>
        <v>0</v>
      </c>
      <c r="S97">
        <f>IFERROR(COUNTIF(OFFSET('Schedule Raw Data'!$A$2,MATCH($A97,'Schedule Raw Data'!$A$3:$A$2477,0),1,COUNTIF('Schedule Raw Data'!$A$3:$A$2477,$A97),2),S$1),0)</f>
        <v>0</v>
      </c>
      <c r="T97">
        <f>IFERROR(COUNTIF(OFFSET('Schedule Raw Data'!$A$2,MATCH($A97,'Schedule Raw Data'!$A$3:$A$2477,0),1,COUNTIF('Schedule Raw Data'!$A$3:$A$2477,$A97),2),T$1),0)</f>
        <v>0</v>
      </c>
      <c r="U97">
        <f>IFERROR(COUNTIF(OFFSET('Schedule Raw Data'!$A$2,MATCH($A97,'Schedule Raw Data'!$A$3:$A$2477,0),1,COUNTIF('Schedule Raw Data'!$A$3:$A$2477,$A97),2),U$1),0)</f>
        <v>0</v>
      </c>
      <c r="V97">
        <f>IFERROR(COUNTIF(OFFSET('Schedule Raw Data'!$A$2,MATCH($A97,'Schedule Raw Data'!$A$3:$A$2477,0),1,COUNTIF('Schedule Raw Data'!$A$3:$A$2477,$A97),2),V$1),0)</f>
        <v>1</v>
      </c>
      <c r="W97">
        <f>IFERROR(COUNTIF(OFFSET('Schedule Raw Data'!$A$2,MATCH($A97,'Schedule Raw Data'!$A$3:$A$2477,0),1,COUNTIF('Schedule Raw Data'!$A$3:$A$2477,$A97),2),W$1),0)</f>
        <v>0</v>
      </c>
      <c r="X97">
        <f>IFERROR(COUNTIF(OFFSET('Schedule Raw Data'!$A$2,MATCH($A97,'Schedule Raw Data'!$A$3:$A$2477,0),1,COUNTIF('Schedule Raw Data'!$A$3:$A$2477,$A97),2),X$1),0)</f>
        <v>0</v>
      </c>
      <c r="Y97">
        <f>IFERROR(COUNTIF(OFFSET('Schedule Raw Data'!$A$2,MATCH($A97,'Schedule Raw Data'!$A$3:$A$2477,0),1,COUNTIF('Schedule Raw Data'!$A$3:$A$2477,$A97),2),Y$1),0)</f>
        <v>1</v>
      </c>
      <c r="Z97">
        <f>IFERROR(COUNTIF(OFFSET('Schedule Raw Data'!$A$2,MATCH($A97,'Schedule Raw Data'!$A$3:$A$2477,0),1,COUNTIF('Schedule Raw Data'!$A$3:$A$2477,$A97),2),Z$1),0)</f>
        <v>1</v>
      </c>
      <c r="AA97">
        <f>IFERROR(COUNTIF(OFFSET('Schedule Raw Data'!$A$2,MATCH($A97,'Schedule Raw Data'!$A$3:$A$2477,0),1,COUNTIF('Schedule Raw Data'!$A$3:$A$2477,$A97),2),AA$1),0)</f>
        <v>0</v>
      </c>
      <c r="AB97">
        <f>IFERROR(COUNTIF(OFFSET('Schedule Raw Data'!$A$2,MATCH($A97,'Schedule Raw Data'!$A$3:$A$2477,0),1,COUNTIF('Schedule Raw Data'!$A$3:$A$2477,$A97),2),AB$1),0)</f>
        <v>0</v>
      </c>
      <c r="AC97">
        <f>IFERROR(COUNTIF(OFFSET('Schedule Raw Data'!$A$2,MATCH($A97,'Schedule Raw Data'!$A$3:$A$2477,0),1,COUNTIF('Schedule Raw Data'!$A$3:$A$2477,$A97),2),AC$1),0)</f>
        <v>0</v>
      </c>
      <c r="AD97">
        <f>IFERROR(COUNTIF(OFFSET('Schedule Raw Data'!$A$2,MATCH($A97,'Schedule Raw Data'!$A$3:$A$2477,0),1,COUNTIF('Schedule Raw Data'!$A$3:$A$2477,$A97),2),AD$1),0)</f>
        <v>0</v>
      </c>
      <c r="AE97">
        <f>IFERROR(COUNTIF(OFFSET('Schedule Raw Data'!$A$2,MATCH($A97,'Schedule Raw Data'!$A$3:$A$2477,0),1,COUNTIF('Schedule Raw Data'!$A$3:$A$2477,$A97),2),AE$1),0)</f>
        <v>1</v>
      </c>
      <c r="AF97">
        <f>IFERROR(COUNTIF(OFFSET('Schedule Raw Data'!$A$2,MATCH($A97,'Schedule Raw Data'!$A$3:$A$2477,0),1,COUNTIF('Schedule Raw Data'!$A$3:$A$2477,$A97),2),AF$1),0)</f>
        <v>0</v>
      </c>
      <c r="AG97">
        <f t="shared" si="1"/>
        <v>6</v>
      </c>
    </row>
    <row r="98">
      <c r="A98" s="30">
        <f t="array" ref="A98">INDEX('Schedule Raw Data'!$A$3:$A$2477,MATCH(0,INDEX(COUNTIF($A$1:A97,'Schedule Raw Data'!$A$3:$A$2477),0,0),0))</f>
        <v>46422</v>
      </c>
      <c r="B98">
        <f t="shared" si="2"/>
        <v>15</v>
      </c>
      <c r="C98">
        <f>IFERROR(COUNTIF(OFFSET('Schedule Raw Data'!$A$2,MATCH($A98,'Schedule Raw Data'!$A$3:$A$2477,0),1,COUNTIF('Schedule Raw Data'!$A$3:$A$2477,$A98),2),C$1),0)</f>
        <v>0</v>
      </c>
      <c r="D98">
        <f>IFERROR(COUNTIF(OFFSET('Schedule Raw Data'!$A$2,MATCH($A98,'Schedule Raw Data'!$A$3:$A$2477,0),1,COUNTIF('Schedule Raw Data'!$A$3:$A$2477,$A98),2),D$1),0)</f>
        <v>1</v>
      </c>
      <c r="E98">
        <f>IFERROR(COUNTIF(OFFSET('Schedule Raw Data'!$A$2,MATCH($A98,'Schedule Raw Data'!$A$3:$A$2477,0),1,COUNTIF('Schedule Raw Data'!$A$3:$A$2477,$A98),2),E$1),0)</f>
        <v>1</v>
      </c>
      <c r="F98">
        <f>IFERROR(COUNTIF(OFFSET('Schedule Raw Data'!$A$2,MATCH($A98,'Schedule Raw Data'!$A$3:$A$2477,0),1,COUNTIF('Schedule Raw Data'!$A$3:$A$2477,$A98),2),F$1),0)</f>
        <v>1</v>
      </c>
      <c r="G98">
        <f>IFERROR(COUNTIF(OFFSET('Schedule Raw Data'!$A$2,MATCH($A98,'Schedule Raw Data'!$A$3:$A$2477,0),1,COUNTIF('Schedule Raw Data'!$A$3:$A$2477,$A98),2),G$1),0)</f>
        <v>1</v>
      </c>
      <c r="H98">
        <f>IFERROR(COUNTIF(OFFSET('Schedule Raw Data'!$A$2,MATCH($A98,'Schedule Raw Data'!$A$3:$A$2477,0),1,COUNTIF('Schedule Raw Data'!$A$3:$A$2477,$A98),2),H$1),0)</f>
        <v>1</v>
      </c>
      <c r="I98">
        <f>IFERROR(COUNTIF(OFFSET('Schedule Raw Data'!$A$2,MATCH($A98,'Schedule Raw Data'!$A$3:$A$2477,0),1,COUNTIF('Schedule Raw Data'!$A$3:$A$2477,$A98),2),I$1),0)</f>
        <v>1</v>
      </c>
      <c r="J98">
        <f>IFERROR(COUNTIF(OFFSET('Schedule Raw Data'!$A$2,MATCH($A98,'Schedule Raw Data'!$A$3:$A$2477,0),1,COUNTIF('Schedule Raw Data'!$A$3:$A$2477,$A98),2),J$1),0)</f>
        <v>1</v>
      </c>
      <c r="K98">
        <f>IFERROR(COUNTIF(OFFSET('Schedule Raw Data'!$A$2,MATCH($A98,'Schedule Raw Data'!$A$3:$A$2477,0),1,COUNTIF('Schedule Raw Data'!$A$3:$A$2477,$A98),2),K$1),0)</f>
        <v>0</v>
      </c>
      <c r="L98">
        <f>IFERROR(COUNTIF(OFFSET('Schedule Raw Data'!$A$2,MATCH($A98,'Schedule Raw Data'!$A$3:$A$2477,0),1,COUNTIF('Schedule Raw Data'!$A$3:$A$2477,$A98),2),L$1),0)</f>
        <v>0</v>
      </c>
      <c r="M98">
        <f>IFERROR(COUNTIF(OFFSET('Schedule Raw Data'!$A$2,MATCH($A98,'Schedule Raw Data'!$A$3:$A$2477,0),1,COUNTIF('Schedule Raw Data'!$A$3:$A$2477,$A98),2),M$1),0)</f>
        <v>0</v>
      </c>
      <c r="N98">
        <f>IFERROR(COUNTIF(OFFSET('Schedule Raw Data'!$A$2,MATCH($A98,'Schedule Raw Data'!$A$3:$A$2477,0),1,COUNTIF('Schedule Raw Data'!$A$3:$A$2477,$A98),2),N$1),0)</f>
        <v>0</v>
      </c>
      <c r="O98">
        <f>IFERROR(COUNTIF(OFFSET('Schedule Raw Data'!$A$2,MATCH($A98,'Schedule Raw Data'!$A$3:$A$2477,0),1,COUNTIF('Schedule Raw Data'!$A$3:$A$2477,$A98),2),O$1),0)</f>
        <v>0</v>
      </c>
      <c r="P98">
        <f>IFERROR(COUNTIF(OFFSET('Schedule Raw Data'!$A$2,MATCH($A98,'Schedule Raw Data'!$A$3:$A$2477,0),1,COUNTIF('Schedule Raw Data'!$A$3:$A$2477,$A98),2),P$1),0)</f>
        <v>1</v>
      </c>
      <c r="Q98">
        <f>IFERROR(COUNTIF(OFFSET('Schedule Raw Data'!$A$2,MATCH($A98,'Schedule Raw Data'!$A$3:$A$2477,0),1,COUNTIF('Schedule Raw Data'!$A$3:$A$2477,$A98),2),Q$1),0)</f>
        <v>0</v>
      </c>
      <c r="R98">
        <f>IFERROR(COUNTIF(OFFSET('Schedule Raw Data'!$A$2,MATCH($A98,'Schedule Raw Data'!$A$3:$A$2477,0),1,COUNTIF('Schedule Raw Data'!$A$3:$A$2477,$A98),2),R$1),0)</f>
        <v>1</v>
      </c>
      <c r="S98">
        <f>IFERROR(COUNTIF(OFFSET('Schedule Raw Data'!$A$2,MATCH($A98,'Schedule Raw Data'!$A$3:$A$2477,0),1,COUNTIF('Schedule Raw Data'!$A$3:$A$2477,$A98),2),S$1),0)</f>
        <v>1</v>
      </c>
      <c r="T98">
        <f>IFERROR(COUNTIF(OFFSET('Schedule Raw Data'!$A$2,MATCH($A98,'Schedule Raw Data'!$A$3:$A$2477,0),1,COUNTIF('Schedule Raw Data'!$A$3:$A$2477,$A98),2),T$1),0)</f>
        <v>1</v>
      </c>
      <c r="U98">
        <f>IFERROR(COUNTIF(OFFSET('Schedule Raw Data'!$A$2,MATCH($A98,'Schedule Raw Data'!$A$3:$A$2477,0),1,COUNTIF('Schedule Raw Data'!$A$3:$A$2477,$A98),2),U$1),0)</f>
        <v>1</v>
      </c>
      <c r="V98">
        <f>IFERROR(COUNTIF(OFFSET('Schedule Raw Data'!$A$2,MATCH($A98,'Schedule Raw Data'!$A$3:$A$2477,0),1,COUNTIF('Schedule Raw Data'!$A$3:$A$2477,$A98),2),V$1),0)</f>
        <v>1</v>
      </c>
      <c r="W98">
        <f>IFERROR(COUNTIF(OFFSET('Schedule Raw Data'!$A$2,MATCH($A98,'Schedule Raw Data'!$A$3:$A$2477,0),1,COUNTIF('Schedule Raw Data'!$A$3:$A$2477,$A98),2),W$1),0)</f>
        <v>1</v>
      </c>
      <c r="X98">
        <f>IFERROR(COUNTIF(OFFSET('Schedule Raw Data'!$A$2,MATCH($A98,'Schedule Raw Data'!$A$3:$A$2477,0),1,COUNTIF('Schedule Raw Data'!$A$3:$A$2477,$A98),2),X$1),0)</f>
        <v>1</v>
      </c>
      <c r="Y98">
        <f>IFERROR(COUNTIF(OFFSET('Schedule Raw Data'!$A$2,MATCH($A98,'Schedule Raw Data'!$A$3:$A$2477,0),1,COUNTIF('Schedule Raw Data'!$A$3:$A$2477,$A98),2),Y$1),0)</f>
        <v>0</v>
      </c>
      <c r="Z98">
        <f>IFERROR(COUNTIF(OFFSET('Schedule Raw Data'!$A$2,MATCH($A98,'Schedule Raw Data'!$A$3:$A$2477,0),1,COUNTIF('Schedule Raw Data'!$A$3:$A$2477,$A98),2),Z$1),0)</f>
        <v>0</v>
      </c>
      <c r="AA98">
        <f>IFERROR(COUNTIF(OFFSET('Schedule Raw Data'!$A$2,MATCH($A98,'Schedule Raw Data'!$A$3:$A$2477,0),1,COUNTIF('Schedule Raw Data'!$A$3:$A$2477,$A98),2),AA$1),0)</f>
        <v>1</v>
      </c>
      <c r="AB98">
        <f>IFERROR(COUNTIF(OFFSET('Schedule Raw Data'!$A$2,MATCH($A98,'Schedule Raw Data'!$A$3:$A$2477,0),1,COUNTIF('Schedule Raw Data'!$A$3:$A$2477,$A98),2),AB$1),0)</f>
        <v>1</v>
      </c>
      <c r="AC98">
        <f>IFERROR(COUNTIF(OFFSET('Schedule Raw Data'!$A$2,MATCH($A98,'Schedule Raw Data'!$A$3:$A$2477,0),1,COUNTIF('Schedule Raw Data'!$A$3:$A$2477,$A98),2),AC$1),0)</f>
        <v>1</v>
      </c>
      <c r="AD98">
        <f>IFERROR(COUNTIF(OFFSET('Schedule Raw Data'!$A$2,MATCH($A98,'Schedule Raw Data'!$A$3:$A$2477,0),1,COUNTIF('Schedule Raw Data'!$A$3:$A$2477,$A98),2),AD$1),0)</f>
        <v>1</v>
      </c>
      <c r="AE98">
        <f>IFERROR(COUNTIF(OFFSET('Schedule Raw Data'!$A$2,MATCH($A98,'Schedule Raw Data'!$A$3:$A$2477,0),1,COUNTIF('Schedule Raw Data'!$A$3:$A$2477,$A98),2),AE$1),0)</f>
        <v>0</v>
      </c>
      <c r="AF98">
        <f>IFERROR(COUNTIF(OFFSET('Schedule Raw Data'!$A$2,MATCH($A98,'Schedule Raw Data'!$A$3:$A$2477,0),1,COUNTIF('Schedule Raw Data'!$A$3:$A$2477,$A98),2),AF$1),0)</f>
        <v>1</v>
      </c>
      <c r="AG98">
        <f t="shared" si="1"/>
        <v>10</v>
      </c>
    </row>
    <row r="99">
      <c r="A99" s="30">
        <f t="array" ref="A99">INDEX('Schedule Raw Data'!$A$3:$A$2477,MATCH(0,INDEX(COUNTIF($A$1:A98,'Schedule Raw Data'!$A$3:$A$2477),0,0),0))</f>
        <v>46423</v>
      </c>
      <c r="B99">
        <f t="shared" si="2"/>
        <v>15</v>
      </c>
      <c r="C99">
        <f>IFERROR(COUNTIF(OFFSET('Schedule Raw Data'!$A$2,MATCH($A99,'Schedule Raw Data'!$A$3:$A$2477,0),1,COUNTIF('Schedule Raw Data'!$A$3:$A$2477,$A99),2),C$1),0)</f>
        <v>1</v>
      </c>
      <c r="D99">
        <f>IFERROR(COUNTIF(OFFSET('Schedule Raw Data'!$A$2,MATCH($A99,'Schedule Raw Data'!$A$3:$A$2477,0),1,COUNTIF('Schedule Raw Data'!$A$3:$A$2477,$A99),2),D$1),0)</f>
        <v>0</v>
      </c>
      <c r="E99">
        <f>IFERROR(COUNTIF(OFFSET('Schedule Raw Data'!$A$2,MATCH($A99,'Schedule Raw Data'!$A$3:$A$2477,0),1,COUNTIF('Schedule Raw Data'!$A$3:$A$2477,$A99),2),E$1),0)</f>
        <v>1</v>
      </c>
      <c r="F99">
        <f>IFERROR(COUNTIF(OFFSET('Schedule Raw Data'!$A$2,MATCH($A99,'Schedule Raw Data'!$A$3:$A$2477,0),1,COUNTIF('Schedule Raw Data'!$A$3:$A$2477,$A99),2),F$1),0)</f>
        <v>1</v>
      </c>
      <c r="G99">
        <f>IFERROR(COUNTIF(OFFSET('Schedule Raw Data'!$A$2,MATCH($A99,'Schedule Raw Data'!$A$3:$A$2477,0),1,COUNTIF('Schedule Raw Data'!$A$3:$A$2477,$A99),2),G$1),0)</f>
        <v>0</v>
      </c>
      <c r="H99">
        <f>IFERROR(COUNTIF(OFFSET('Schedule Raw Data'!$A$2,MATCH($A99,'Schedule Raw Data'!$A$3:$A$2477,0),1,COUNTIF('Schedule Raw Data'!$A$3:$A$2477,$A99),2),H$1),0)</f>
        <v>0</v>
      </c>
      <c r="I99">
        <f>IFERROR(COUNTIF(OFFSET('Schedule Raw Data'!$A$2,MATCH($A99,'Schedule Raw Data'!$A$3:$A$2477,0),1,COUNTIF('Schedule Raw Data'!$A$3:$A$2477,$A99),2),I$1),0)</f>
        <v>0</v>
      </c>
      <c r="J99">
        <f>IFERROR(COUNTIF(OFFSET('Schedule Raw Data'!$A$2,MATCH($A99,'Schedule Raw Data'!$A$3:$A$2477,0),1,COUNTIF('Schedule Raw Data'!$A$3:$A$2477,$A99),2),J$1),0)</f>
        <v>1</v>
      </c>
      <c r="K99">
        <f>IFERROR(COUNTIF(OFFSET('Schedule Raw Data'!$A$2,MATCH($A99,'Schedule Raw Data'!$A$3:$A$2477,0),1,COUNTIF('Schedule Raw Data'!$A$3:$A$2477,$A99),2),K$1),0)</f>
        <v>1</v>
      </c>
      <c r="L99">
        <f>IFERROR(COUNTIF(OFFSET('Schedule Raw Data'!$A$2,MATCH($A99,'Schedule Raw Data'!$A$3:$A$2477,0),1,COUNTIF('Schedule Raw Data'!$A$3:$A$2477,$A99),2),L$1),0)</f>
        <v>1</v>
      </c>
      <c r="M99">
        <f>IFERROR(COUNTIF(OFFSET('Schedule Raw Data'!$A$2,MATCH($A99,'Schedule Raw Data'!$A$3:$A$2477,0),1,COUNTIF('Schedule Raw Data'!$A$3:$A$2477,$A99),2),M$1),0)</f>
        <v>1</v>
      </c>
      <c r="N99">
        <f>IFERROR(COUNTIF(OFFSET('Schedule Raw Data'!$A$2,MATCH($A99,'Schedule Raw Data'!$A$3:$A$2477,0),1,COUNTIF('Schedule Raw Data'!$A$3:$A$2477,$A99),2),N$1),0)</f>
        <v>1</v>
      </c>
      <c r="O99">
        <f>IFERROR(COUNTIF(OFFSET('Schedule Raw Data'!$A$2,MATCH($A99,'Schedule Raw Data'!$A$3:$A$2477,0),1,COUNTIF('Schedule Raw Data'!$A$3:$A$2477,$A99),2),O$1),0)</f>
        <v>1</v>
      </c>
      <c r="P99">
        <f>IFERROR(COUNTIF(OFFSET('Schedule Raw Data'!$A$2,MATCH($A99,'Schedule Raw Data'!$A$3:$A$2477,0),1,COUNTIF('Schedule Raw Data'!$A$3:$A$2477,$A99),2),P$1),0)</f>
        <v>0</v>
      </c>
      <c r="Q99">
        <f>IFERROR(COUNTIF(OFFSET('Schedule Raw Data'!$A$2,MATCH($A99,'Schedule Raw Data'!$A$3:$A$2477,0),1,COUNTIF('Schedule Raw Data'!$A$3:$A$2477,$A99),2),Q$1),0)</f>
        <v>0</v>
      </c>
      <c r="R99">
        <f>IFERROR(COUNTIF(OFFSET('Schedule Raw Data'!$A$2,MATCH($A99,'Schedule Raw Data'!$A$3:$A$2477,0),1,COUNTIF('Schedule Raw Data'!$A$3:$A$2477,$A99),2),R$1),0)</f>
        <v>0</v>
      </c>
      <c r="S99">
        <f>IFERROR(COUNTIF(OFFSET('Schedule Raw Data'!$A$2,MATCH($A99,'Schedule Raw Data'!$A$3:$A$2477,0),1,COUNTIF('Schedule Raw Data'!$A$3:$A$2477,$A99),2),S$1),0)</f>
        <v>0</v>
      </c>
      <c r="T99">
        <f>IFERROR(COUNTIF(OFFSET('Schedule Raw Data'!$A$2,MATCH($A99,'Schedule Raw Data'!$A$3:$A$2477,0),1,COUNTIF('Schedule Raw Data'!$A$3:$A$2477,$A99),2),T$1),0)</f>
        <v>0</v>
      </c>
      <c r="U99">
        <f>IFERROR(COUNTIF(OFFSET('Schedule Raw Data'!$A$2,MATCH($A99,'Schedule Raw Data'!$A$3:$A$2477,0),1,COUNTIF('Schedule Raw Data'!$A$3:$A$2477,$A99),2),U$1),0)</f>
        <v>0</v>
      </c>
      <c r="V99">
        <f>IFERROR(COUNTIF(OFFSET('Schedule Raw Data'!$A$2,MATCH($A99,'Schedule Raw Data'!$A$3:$A$2477,0),1,COUNTIF('Schedule Raw Data'!$A$3:$A$2477,$A99),2),V$1),0)</f>
        <v>0</v>
      </c>
      <c r="W99">
        <f>IFERROR(COUNTIF(OFFSET('Schedule Raw Data'!$A$2,MATCH($A99,'Schedule Raw Data'!$A$3:$A$2477,0),1,COUNTIF('Schedule Raw Data'!$A$3:$A$2477,$A99),2),W$1),0)</f>
        <v>1</v>
      </c>
      <c r="X99">
        <f>IFERROR(COUNTIF(OFFSET('Schedule Raw Data'!$A$2,MATCH($A99,'Schedule Raw Data'!$A$3:$A$2477,0),1,COUNTIF('Schedule Raw Data'!$A$3:$A$2477,$A99),2),X$1),0)</f>
        <v>0</v>
      </c>
      <c r="Y99">
        <f>IFERROR(COUNTIF(OFFSET('Schedule Raw Data'!$A$2,MATCH($A99,'Schedule Raw Data'!$A$3:$A$2477,0),1,COUNTIF('Schedule Raw Data'!$A$3:$A$2477,$A99),2),Y$1),0)</f>
        <v>1</v>
      </c>
      <c r="Z99">
        <f>IFERROR(COUNTIF(OFFSET('Schedule Raw Data'!$A$2,MATCH($A99,'Schedule Raw Data'!$A$3:$A$2477,0),1,COUNTIF('Schedule Raw Data'!$A$3:$A$2477,$A99),2),Z$1),0)</f>
        <v>1</v>
      </c>
      <c r="AA99">
        <f>IFERROR(COUNTIF(OFFSET('Schedule Raw Data'!$A$2,MATCH($A99,'Schedule Raw Data'!$A$3:$A$2477,0),1,COUNTIF('Schedule Raw Data'!$A$3:$A$2477,$A99),2),AA$1),0)</f>
        <v>0</v>
      </c>
      <c r="AB99">
        <f>IFERROR(COUNTIF(OFFSET('Schedule Raw Data'!$A$2,MATCH($A99,'Schedule Raw Data'!$A$3:$A$2477,0),1,COUNTIF('Schedule Raw Data'!$A$3:$A$2477,$A99),2),AB$1),0)</f>
        <v>0</v>
      </c>
      <c r="AC99">
        <f>IFERROR(COUNTIF(OFFSET('Schedule Raw Data'!$A$2,MATCH($A99,'Schedule Raw Data'!$A$3:$A$2477,0),1,COUNTIF('Schedule Raw Data'!$A$3:$A$2477,$A99),2),AC$1),0)</f>
        <v>0</v>
      </c>
      <c r="AD99">
        <f>IFERROR(COUNTIF(OFFSET('Schedule Raw Data'!$A$2,MATCH($A99,'Schedule Raw Data'!$A$3:$A$2477,0),1,COUNTIF('Schedule Raw Data'!$A$3:$A$2477,$A99),2),AD$1),0)</f>
        <v>0</v>
      </c>
      <c r="AE99">
        <f>IFERROR(COUNTIF(OFFSET('Schedule Raw Data'!$A$2,MATCH($A99,'Schedule Raw Data'!$A$3:$A$2477,0),1,COUNTIF('Schedule Raw Data'!$A$3:$A$2477,$A99),2),AE$1),0)</f>
        <v>0</v>
      </c>
      <c r="AF99">
        <f>IFERROR(COUNTIF(OFFSET('Schedule Raw Data'!$A$2,MATCH($A99,'Schedule Raw Data'!$A$3:$A$2477,0),1,COUNTIF('Schedule Raw Data'!$A$3:$A$2477,$A99),2),AF$1),0)</f>
        <v>0</v>
      </c>
      <c r="AG99">
        <f t="shared" si="1"/>
        <v>6</v>
      </c>
    </row>
    <row r="100">
      <c r="A100" s="30">
        <f t="array" ref="A100">INDEX('Schedule Raw Data'!$A$3:$A$2477,MATCH(0,INDEX(COUNTIF($A$1:A99,'Schedule Raw Data'!$A$3:$A$2477),0,0),0))</f>
        <v>46424</v>
      </c>
      <c r="B100">
        <f t="shared" si="2"/>
        <v>15</v>
      </c>
      <c r="C100">
        <f>IFERROR(COUNTIF(OFFSET('Schedule Raw Data'!$A$2,MATCH($A100,'Schedule Raw Data'!$A$3:$A$2477,0),1,COUNTIF('Schedule Raw Data'!$A$3:$A$2477,$A100),2),C$1),0)</f>
        <v>0</v>
      </c>
      <c r="D100">
        <f>IFERROR(COUNTIF(OFFSET('Schedule Raw Data'!$A$2,MATCH($A100,'Schedule Raw Data'!$A$3:$A$2477,0),1,COUNTIF('Schedule Raw Data'!$A$3:$A$2477,$A100),2),D$1),0)</f>
        <v>1</v>
      </c>
      <c r="E100">
        <f>IFERROR(COUNTIF(OFFSET('Schedule Raw Data'!$A$2,MATCH($A100,'Schedule Raw Data'!$A$3:$A$2477,0),1,COUNTIF('Schedule Raw Data'!$A$3:$A$2477,$A100),2),E$1),0)</f>
        <v>0</v>
      </c>
      <c r="F100">
        <f>IFERROR(COUNTIF(OFFSET('Schedule Raw Data'!$A$2,MATCH($A100,'Schedule Raw Data'!$A$3:$A$2477,0),1,COUNTIF('Schedule Raw Data'!$A$3:$A$2477,$A100),2),F$1),0)</f>
        <v>0</v>
      </c>
      <c r="G100">
        <f>IFERROR(COUNTIF(OFFSET('Schedule Raw Data'!$A$2,MATCH($A100,'Schedule Raw Data'!$A$3:$A$2477,0),1,COUNTIF('Schedule Raw Data'!$A$3:$A$2477,$A100),2),G$1),0)</f>
        <v>1</v>
      </c>
      <c r="H100">
        <f>IFERROR(COUNTIF(OFFSET('Schedule Raw Data'!$A$2,MATCH($A100,'Schedule Raw Data'!$A$3:$A$2477,0),1,COUNTIF('Schedule Raw Data'!$A$3:$A$2477,$A100),2),H$1),0)</f>
        <v>1</v>
      </c>
      <c r="I100">
        <f>IFERROR(COUNTIF(OFFSET('Schedule Raw Data'!$A$2,MATCH($A100,'Schedule Raw Data'!$A$3:$A$2477,0),1,COUNTIF('Schedule Raw Data'!$A$3:$A$2477,$A100),2),I$1),0)</f>
        <v>1</v>
      </c>
      <c r="J100">
        <f>IFERROR(COUNTIF(OFFSET('Schedule Raw Data'!$A$2,MATCH($A100,'Schedule Raw Data'!$A$3:$A$2477,0),1,COUNTIF('Schedule Raw Data'!$A$3:$A$2477,$A100),2),J$1),0)</f>
        <v>0</v>
      </c>
      <c r="K100">
        <f>IFERROR(COUNTIF(OFFSET('Schedule Raw Data'!$A$2,MATCH($A100,'Schedule Raw Data'!$A$3:$A$2477,0),1,COUNTIF('Schedule Raw Data'!$A$3:$A$2477,$A100),2),K$1),0)</f>
        <v>0</v>
      </c>
      <c r="L100">
        <f>IFERROR(COUNTIF(OFFSET('Schedule Raw Data'!$A$2,MATCH($A100,'Schedule Raw Data'!$A$3:$A$2477,0),1,COUNTIF('Schedule Raw Data'!$A$3:$A$2477,$A100),2),L$1),0)</f>
        <v>0</v>
      </c>
      <c r="M100">
        <f>IFERROR(COUNTIF(OFFSET('Schedule Raw Data'!$A$2,MATCH($A100,'Schedule Raw Data'!$A$3:$A$2477,0),1,COUNTIF('Schedule Raw Data'!$A$3:$A$2477,$A100),2),M$1),0)</f>
        <v>0</v>
      </c>
      <c r="N100">
        <f>IFERROR(COUNTIF(OFFSET('Schedule Raw Data'!$A$2,MATCH($A100,'Schedule Raw Data'!$A$3:$A$2477,0),1,COUNTIF('Schedule Raw Data'!$A$3:$A$2477,$A100),2),N$1),0)</f>
        <v>0</v>
      </c>
      <c r="O100">
        <f>IFERROR(COUNTIF(OFFSET('Schedule Raw Data'!$A$2,MATCH($A100,'Schedule Raw Data'!$A$3:$A$2477,0),1,COUNTIF('Schedule Raw Data'!$A$3:$A$2477,$A100),2),O$1),0)</f>
        <v>0</v>
      </c>
      <c r="P100">
        <f>IFERROR(COUNTIF(OFFSET('Schedule Raw Data'!$A$2,MATCH($A100,'Schedule Raw Data'!$A$3:$A$2477,0),1,COUNTIF('Schedule Raw Data'!$A$3:$A$2477,$A100),2),P$1),0)</f>
        <v>1</v>
      </c>
      <c r="Q100">
        <f>IFERROR(COUNTIF(OFFSET('Schedule Raw Data'!$A$2,MATCH($A100,'Schedule Raw Data'!$A$3:$A$2477,0),1,COUNTIF('Schedule Raw Data'!$A$3:$A$2477,$A100),2),Q$1),0)</f>
        <v>1</v>
      </c>
      <c r="R100">
        <f>IFERROR(COUNTIF(OFFSET('Schedule Raw Data'!$A$2,MATCH($A100,'Schedule Raw Data'!$A$3:$A$2477,0),1,COUNTIF('Schedule Raw Data'!$A$3:$A$2477,$A100),2),R$1),0)</f>
        <v>1</v>
      </c>
      <c r="S100">
        <f>IFERROR(COUNTIF(OFFSET('Schedule Raw Data'!$A$2,MATCH($A100,'Schedule Raw Data'!$A$3:$A$2477,0),1,COUNTIF('Schedule Raw Data'!$A$3:$A$2477,$A100),2),S$1),0)</f>
        <v>1</v>
      </c>
      <c r="T100">
        <f>IFERROR(COUNTIF(OFFSET('Schedule Raw Data'!$A$2,MATCH($A100,'Schedule Raw Data'!$A$3:$A$2477,0),1,COUNTIF('Schedule Raw Data'!$A$3:$A$2477,$A100),2),T$1),0)</f>
        <v>1</v>
      </c>
      <c r="U100">
        <f>IFERROR(COUNTIF(OFFSET('Schedule Raw Data'!$A$2,MATCH($A100,'Schedule Raw Data'!$A$3:$A$2477,0),1,COUNTIF('Schedule Raw Data'!$A$3:$A$2477,$A100),2),U$1),0)</f>
        <v>1</v>
      </c>
      <c r="V100">
        <f>IFERROR(COUNTIF(OFFSET('Schedule Raw Data'!$A$2,MATCH($A100,'Schedule Raw Data'!$A$3:$A$2477,0),1,COUNTIF('Schedule Raw Data'!$A$3:$A$2477,$A100),2),V$1),0)</f>
        <v>0</v>
      </c>
      <c r="W100">
        <f>IFERROR(COUNTIF(OFFSET('Schedule Raw Data'!$A$2,MATCH($A100,'Schedule Raw Data'!$A$3:$A$2477,0),1,COUNTIF('Schedule Raw Data'!$A$3:$A$2477,$A100),2),W$1),0)</f>
        <v>0</v>
      </c>
      <c r="X100">
        <f>IFERROR(COUNTIF(OFFSET('Schedule Raw Data'!$A$2,MATCH($A100,'Schedule Raw Data'!$A$3:$A$2477,0),1,COUNTIF('Schedule Raw Data'!$A$3:$A$2477,$A100),2),X$1),0)</f>
        <v>1</v>
      </c>
      <c r="Y100">
        <f>IFERROR(COUNTIF(OFFSET('Schedule Raw Data'!$A$2,MATCH($A100,'Schedule Raw Data'!$A$3:$A$2477,0),1,COUNTIF('Schedule Raw Data'!$A$3:$A$2477,$A100),2),Y$1),0)</f>
        <v>0</v>
      </c>
      <c r="Z100">
        <f>IFERROR(COUNTIF(OFFSET('Schedule Raw Data'!$A$2,MATCH($A100,'Schedule Raw Data'!$A$3:$A$2477,0),1,COUNTIF('Schedule Raw Data'!$A$3:$A$2477,$A100),2),Z$1),0)</f>
        <v>1</v>
      </c>
      <c r="AA100">
        <f>IFERROR(COUNTIF(OFFSET('Schedule Raw Data'!$A$2,MATCH($A100,'Schedule Raw Data'!$A$3:$A$2477,0),1,COUNTIF('Schedule Raw Data'!$A$3:$A$2477,$A100),2),AA$1),0)</f>
        <v>1</v>
      </c>
      <c r="AB100">
        <f>IFERROR(COUNTIF(OFFSET('Schedule Raw Data'!$A$2,MATCH($A100,'Schedule Raw Data'!$A$3:$A$2477,0),1,COUNTIF('Schedule Raw Data'!$A$3:$A$2477,$A100),2),AB$1),0)</f>
        <v>1</v>
      </c>
      <c r="AC100">
        <f>IFERROR(COUNTIF(OFFSET('Schedule Raw Data'!$A$2,MATCH($A100,'Schedule Raw Data'!$A$3:$A$2477,0),1,COUNTIF('Schedule Raw Data'!$A$3:$A$2477,$A100),2),AC$1),0)</f>
        <v>1</v>
      </c>
      <c r="AD100">
        <f>IFERROR(COUNTIF(OFFSET('Schedule Raw Data'!$A$2,MATCH($A100,'Schedule Raw Data'!$A$3:$A$2477,0),1,COUNTIF('Schedule Raw Data'!$A$3:$A$2477,$A100),2),AD$1),0)</f>
        <v>1</v>
      </c>
      <c r="AE100">
        <f>IFERROR(COUNTIF(OFFSET('Schedule Raw Data'!$A$2,MATCH($A100,'Schedule Raw Data'!$A$3:$A$2477,0),1,COUNTIF('Schedule Raw Data'!$A$3:$A$2477,$A100),2),AE$1),0)</f>
        <v>1</v>
      </c>
      <c r="AF100">
        <f>IFERROR(COUNTIF(OFFSET('Schedule Raw Data'!$A$2,MATCH($A100,'Schedule Raw Data'!$A$3:$A$2477,0),1,COUNTIF('Schedule Raw Data'!$A$3:$A$2477,$A100),2),AF$1),0)</f>
        <v>1</v>
      </c>
      <c r="AG100">
        <f t="shared" si="1"/>
        <v>9</v>
      </c>
    </row>
    <row r="101">
      <c r="A101" s="30">
        <f t="array" ref="A101">INDEX('Schedule Raw Data'!$A$3:$A$2477,MATCH(0,INDEX(COUNTIF($A$1:A100,'Schedule Raw Data'!$A$3:$A$2477),0,0),0))</f>
        <v>46425</v>
      </c>
      <c r="B101">
        <f t="shared" si="2"/>
        <v>15</v>
      </c>
      <c r="C101">
        <f>IFERROR(COUNTIF(OFFSET('Schedule Raw Data'!$A$2,MATCH($A101,'Schedule Raw Data'!$A$3:$A$2477,0),1,COUNTIF('Schedule Raw Data'!$A$3:$A$2477,$A101),2),C$1),0)</f>
        <v>1</v>
      </c>
      <c r="D101">
        <f>IFERROR(COUNTIF(OFFSET('Schedule Raw Data'!$A$2,MATCH($A101,'Schedule Raw Data'!$A$3:$A$2477,0),1,COUNTIF('Schedule Raw Data'!$A$3:$A$2477,$A101),2),D$1),0)</f>
        <v>0</v>
      </c>
      <c r="E101">
        <f>IFERROR(COUNTIF(OFFSET('Schedule Raw Data'!$A$2,MATCH($A101,'Schedule Raw Data'!$A$3:$A$2477,0),1,COUNTIF('Schedule Raw Data'!$A$3:$A$2477,$A101),2),E$1),0)</f>
        <v>1</v>
      </c>
      <c r="F101">
        <f>IFERROR(COUNTIF(OFFSET('Schedule Raw Data'!$A$2,MATCH($A101,'Schedule Raw Data'!$A$3:$A$2477,0),1,COUNTIF('Schedule Raw Data'!$A$3:$A$2477,$A101),2),F$1),0)</f>
        <v>1</v>
      </c>
      <c r="G101">
        <f>IFERROR(COUNTIF(OFFSET('Schedule Raw Data'!$A$2,MATCH($A101,'Schedule Raw Data'!$A$3:$A$2477,0),1,COUNTIF('Schedule Raw Data'!$A$3:$A$2477,$A101),2),G$1),0)</f>
        <v>0</v>
      </c>
      <c r="H101">
        <f>IFERROR(COUNTIF(OFFSET('Schedule Raw Data'!$A$2,MATCH($A101,'Schedule Raw Data'!$A$3:$A$2477,0),1,COUNTIF('Schedule Raw Data'!$A$3:$A$2477,$A101),2),H$1),0)</f>
        <v>0</v>
      </c>
      <c r="I101">
        <f>IFERROR(COUNTIF(OFFSET('Schedule Raw Data'!$A$2,MATCH($A101,'Schedule Raw Data'!$A$3:$A$2477,0),1,COUNTIF('Schedule Raw Data'!$A$3:$A$2477,$A101),2),I$1),0)</f>
        <v>1</v>
      </c>
      <c r="J101">
        <f>IFERROR(COUNTIF(OFFSET('Schedule Raw Data'!$A$2,MATCH($A101,'Schedule Raw Data'!$A$3:$A$2477,0),1,COUNTIF('Schedule Raw Data'!$A$3:$A$2477,$A101),2),J$1),0)</f>
        <v>1</v>
      </c>
      <c r="K101">
        <f>IFERROR(COUNTIF(OFFSET('Schedule Raw Data'!$A$2,MATCH($A101,'Schedule Raw Data'!$A$3:$A$2477,0),1,COUNTIF('Schedule Raw Data'!$A$3:$A$2477,$A101),2),K$1),0)</f>
        <v>1</v>
      </c>
      <c r="L101">
        <f>IFERROR(COUNTIF(OFFSET('Schedule Raw Data'!$A$2,MATCH($A101,'Schedule Raw Data'!$A$3:$A$2477,0),1,COUNTIF('Schedule Raw Data'!$A$3:$A$2477,$A101),2),L$1),0)</f>
        <v>1</v>
      </c>
      <c r="M101">
        <f>IFERROR(COUNTIF(OFFSET('Schedule Raw Data'!$A$2,MATCH($A101,'Schedule Raw Data'!$A$3:$A$2477,0),1,COUNTIF('Schedule Raw Data'!$A$3:$A$2477,$A101),2),M$1),0)</f>
        <v>1</v>
      </c>
      <c r="N101">
        <f>IFERROR(COUNTIF(OFFSET('Schedule Raw Data'!$A$2,MATCH($A101,'Schedule Raw Data'!$A$3:$A$2477,0),1,COUNTIF('Schedule Raw Data'!$A$3:$A$2477,$A101),2),N$1),0)</f>
        <v>0</v>
      </c>
      <c r="O101">
        <f>IFERROR(COUNTIF(OFFSET('Schedule Raw Data'!$A$2,MATCH($A101,'Schedule Raw Data'!$A$3:$A$2477,0),1,COUNTIF('Schedule Raw Data'!$A$3:$A$2477,$A101),2),O$1),0)</f>
        <v>1</v>
      </c>
      <c r="P101">
        <f>IFERROR(COUNTIF(OFFSET('Schedule Raw Data'!$A$2,MATCH($A101,'Schedule Raw Data'!$A$3:$A$2477,0),1,COUNTIF('Schedule Raw Data'!$A$3:$A$2477,$A101),2),P$1),0)</f>
        <v>0</v>
      </c>
      <c r="Q101">
        <f>IFERROR(COUNTIF(OFFSET('Schedule Raw Data'!$A$2,MATCH($A101,'Schedule Raw Data'!$A$3:$A$2477,0),1,COUNTIF('Schedule Raw Data'!$A$3:$A$2477,$A101),2),Q$1),0)</f>
        <v>0</v>
      </c>
      <c r="R101">
        <f>IFERROR(COUNTIF(OFFSET('Schedule Raw Data'!$A$2,MATCH($A101,'Schedule Raw Data'!$A$3:$A$2477,0),1,COUNTIF('Schedule Raw Data'!$A$3:$A$2477,$A101),2),R$1),0)</f>
        <v>0</v>
      </c>
      <c r="S101">
        <f>IFERROR(COUNTIF(OFFSET('Schedule Raw Data'!$A$2,MATCH($A101,'Schedule Raw Data'!$A$3:$A$2477,0),1,COUNTIF('Schedule Raw Data'!$A$3:$A$2477,$A101),2),S$1),0)</f>
        <v>0</v>
      </c>
      <c r="T101">
        <f>IFERROR(COUNTIF(OFFSET('Schedule Raw Data'!$A$2,MATCH($A101,'Schedule Raw Data'!$A$3:$A$2477,0),1,COUNTIF('Schedule Raw Data'!$A$3:$A$2477,$A101),2),T$1),0)</f>
        <v>1</v>
      </c>
      <c r="U101">
        <f>IFERROR(COUNTIF(OFFSET('Schedule Raw Data'!$A$2,MATCH($A101,'Schedule Raw Data'!$A$3:$A$2477,0),1,COUNTIF('Schedule Raw Data'!$A$3:$A$2477,$A101),2),U$1),0)</f>
        <v>0</v>
      </c>
      <c r="V101">
        <f>IFERROR(COUNTIF(OFFSET('Schedule Raw Data'!$A$2,MATCH($A101,'Schedule Raw Data'!$A$3:$A$2477,0),1,COUNTIF('Schedule Raw Data'!$A$3:$A$2477,$A101),2),V$1),0)</f>
        <v>1</v>
      </c>
      <c r="W101">
        <f>IFERROR(COUNTIF(OFFSET('Schedule Raw Data'!$A$2,MATCH($A101,'Schedule Raw Data'!$A$3:$A$2477,0),1,COUNTIF('Schedule Raw Data'!$A$3:$A$2477,$A101),2),W$1),0)</f>
        <v>1</v>
      </c>
      <c r="X101">
        <f>IFERROR(COUNTIF(OFFSET('Schedule Raw Data'!$A$2,MATCH($A101,'Schedule Raw Data'!$A$3:$A$2477,0),1,COUNTIF('Schedule Raw Data'!$A$3:$A$2477,$A101),2),X$1),0)</f>
        <v>0</v>
      </c>
      <c r="Y101">
        <f>IFERROR(COUNTIF(OFFSET('Schedule Raw Data'!$A$2,MATCH($A101,'Schedule Raw Data'!$A$3:$A$2477,0),1,COUNTIF('Schedule Raw Data'!$A$3:$A$2477,$A101),2),Y$1),0)</f>
        <v>1</v>
      </c>
      <c r="Z101">
        <f>IFERROR(COUNTIF(OFFSET('Schedule Raw Data'!$A$2,MATCH($A101,'Schedule Raw Data'!$A$3:$A$2477,0),1,COUNTIF('Schedule Raw Data'!$A$3:$A$2477,$A101),2),Z$1),0)</f>
        <v>0</v>
      </c>
      <c r="AA101">
        <f>IFERROR(COUNTIF(OFFSET('Schedule Raw Data'!$A$2,MATCH($A101,'Schedule Raw Data'!$A$3:$A$2477,0),1,COUNTIF('Schedule Raw Data'!$A$3:$A$2477,$A101),2),AA$1),0)</f>
        <v>0</v>
      </c>
      <c r="AB101">
        <f>IFERROR(COUNTIF(OFFSET('Schedule Raw Data'!$A$2,MATCH($A101,'Schedule Raw Data'!$A$3:$A$2477,0),1,COUNTIF('Schedule Raw Data'!$A$3:$A$2477,$A101),2),AB$1),0)</f>
        <v>1</v>
      </c>
      <c r="AC101">
        <f>IFERROR(COUNTIF(OFFSET('Schedule Raw Data'!$A$2,MATCH($A101,'Schedule Raw Data'!$A$3:$A$2477,0),1,COUNTIF('Schedule Raw Data'!$A$3:$A$2477,$A101),2),AC$1),0)</f>
        <v>0</v>
      </c>
      <c r="AD101">
        <f>IFERROR(COUNTIF(OFFSET('Schedule Raw Data'!$A$2,MATCH($A101,'Schedule Raw Data'!$A$3:$A$2477,0),1,COUNTIF('Schedule Raw Data'!$A$3:$A$2477,$A101),2),AD$1),0)</f>
        <v>1</v>
      </c>
      <c r="AE101">
        <f>IFERROR(COUNTIF(OFFSET('Schedule Raw Data'!$A$2,MATCH($A101,'Schedule Raw Data'!$A$3:$A$2477,0),1,COUNTIF('Schedule Raw Data'!$A$3:$A$2477,$A101),2),AE$1),0)</f>
        <v>1</v>
      </c>
      <c r="AF101">
        <f>IFERROR(COUNTIF(OFFSET('Schedule Raw Data'!$A$2,MATCH($A101,'Schedule Raw Data'!$A$3:$A$2477,0),1,COUNTIF('Schedule Raw Data'!$A$3:$A$2477,$A101),2),AF$1),0)</f>
        <v>0</v>
      </c>
      <c r="AG101">
        <f t="shared" si="1"/>
        <v>8</v>
      </c>
    </row>
    <row r="102">
      <c r="A102" s="30">
        <f t="array" ref="A102">INDEX('Schedule Raw Data'!$A$3:$A$2477,MATCH(0,INDEX(COUNTIF($A$1:A101,'Schedule Raw Data'!$A$3:$A$2477),0,0),0))</f>
        <v>46426</v>
      </c>
      <c r="B102">
        <f t="shared" si="2"/>
        <v>16</v>
      </c>
      <c r="C102">
        <f>IFERROR(COUNTIF(OFFSET('Schedule Raw Data'!$A$2,MATCH($A102,'Schedule Raw Data'!$A$3:$A$2477,0),1,COUNTIF('Schedule Raw Data'!$A$3:$A$2477,$A102),2),C$1),0)</f>
        <v>1</v>
      </c>
      <c r="D102">
        <f>IFERROR(COUNTIF(OFFSET('Schedule Raw Data'!$A$2,MATCH($A102,'Schedule Raw Data'!$A$3:$A$2477,0),1,COUNTIF('Schedule Raw Data'!$A$3:$A$2477,$A102),2),D$1),0)</f>
        <v>1</v>
      </c>
      <c r="E102">
        <f>IFERROR(COUNTIF(OFFSET('Schedule Raw Data'!$A$2,MATCH($A102,'Schedule Raw Data'!$A$3:$A$2477,0),1,COUNTIF('Schedule Raw Data'!$A$3:$A$2477,$A102),2),E$1),0)</f>
        <v>0</v>
      </c>
      <c r="F102">
        <f>IFERROR(COUNTIF(OFFSET('Schedule Raw Data'!$A$2,MATCH($A102,'Schedule Raw Data'!$A$3:$A$2477,0),1,COUNTIF('Schedule Raw Data'!$A$3:$A$2477,$A102),2),F$1),0)</f>
        <v>0</v>
      </c>
      <c r="G102">
        <f>IFERROR(COUNTIF(OFFSET('Schedule Raw Data'!$A$2,MATCH($A102,'Schedule Raw Data'!$A$3:$A$2477,0),1,COUNTIF('Schedule Raw Data'!$A$3:$A$2477,$A102),2),G$1),0)</f>
        <v>1</v>
      </c>
      <c r="H102">
        <f>IFERROR(COUNTIF(OFFSET('Schedule Raw Data'!$A$2,MATCH($A102,'Schedule Raw Data'!$A$3:$A$2477,0),1,COUNTIF('Schedule Raw Data'!$A$3:$A$2477,$A102),2),H$1),0)</f>
        <v>0</v>
      </c>
      <c r="I102">
        <f>IFERROR(COUNTIF(OFFSET('Schedule Raw Data'!$A$2,MATCH($A102,'Schedule Raw Data'!$A$3:$A$2477,0),1,COUNTIF('Schedule Raw Data'!$A$3:$A$2477,$A102),2),I$1),0)</f>
        <v>0</v>
      </c>
      <c r="J102">
        <f>IFERROR(COUNTIF(OFFSET('Schedule Raw Data'!$A$2,MATCH($A102,'Schedule Raw Data'!$A$3:$A$2477,0),1,COUNTIF('Schedule Raw Data'!$A$3:$A$2477,$A102),2),J$1),0)</f>
        <v>0</v>
      </c>
      <c r="K102">
        <f>IFERROR(COUNTIF(OFFSET('Schedule Raw Data'!$A$2,MATCH($A102,'Schedule Raw Data'!$A$3:$A$2477,0),1,COUNTIF('Schedule Raw Data'!$A$3:$A$2477,$A102),2),K$1),0)</f>
        <v>0</v>
      </c>
      <c r="L102">
        <f>IFERROR(COUNTIF(OFFSET('Schedule Raw Data'!$A$2,MATCH($A102,'Schedule Raw Data'!$A$3:$A$2477,0),1,COUNTIF('Schedule Raw Data'!$A$3:$A$2477,$A102),2),L$1),0)</f>
        <v>0</v>
      </c>
      <c r="M102">
        <f>IFERROR(COUNTIF(OFFSET('Schedule Raw Data'!$A$2,MATCH($A102,'Schedule Raw Data'!$A$3:$A$2477,0),1,COUNTIF('Schedule Raw Data'!$A$3:$A$2477,$A102),2),M$1),0)</f>
        <v>0</v>
      </c>
      <c r="N102">
        <f>IFERROR(COUNTIF(OFFSET('Schedule Raw Data'!$A$2,MATCH($A102,'Schedule Raw Data'!$A$3:$A$2477,0),1,COUNTIF('Schedule Raw Data'!$A$3:$A$2477,$A102),2),N$1),0)</f>
        <v>1</v>
      </c>
      <c r="O102">
        <f>IFERROR(COUNTIF(OFFSET('Schedule Raw Data'!$A$2,MATCH($A102,'Schedule Raw Data'!$A$3:$A$2477,0),1,COUNTIF('Schedule Raw Data'!$A$3:$A$2477,$A102),2),O$1),0)</f>
        <v>0</v>
      </c>
      <c r="P102">
        <f>IFERROR(COUNTIF(OFFSET('Schedule Raw Data'!$A$2,MATCH($A102,'Schedule Raw Data'!$A$3:$A$2477,0),1,COUNTIF('Schedule Raw Data'!$A$3:$A$2477,$A102),2),P$1),0)</f>
        <v>1</v>
      </c>
      <c r="Q102">
        <f>IFERROR(COUNTIF(OFFSET('Schedule Raw Data'!$A$2,MATCH($A102,'Schedule Raw Data'!$A$3:$A$2477,0),1,COUNTIF('Schedule Raw Data'!$A$3:$A$2477,$A102),2),Q$1),0)</f>
        <v>1</v>
      </c>
      <c r="R102">
        <f>IFERROR(COUNTIF(OFFSET('Schedule Raw Data'!$A$2,MATCH($A102,'Schedule Raw Data'!$A$3:$A$2477,0),1,COUNTIF('Schedule Raw Data'!$A$3:$A$2477,$A102),2),R$1),0)</f>
        <v>1</v>
      </c>
      <c r="S102">
        <f>IFERROR(COUNTIF(OFFSET('Schedule Raw Data'!$A$2,MATCH($A102,'Schedule Raw Data'!$A$3:$A$2477,0),1,COUNTIF('Schedule Raw Data'!$A$3:$A$2477,$A102),2),S$1),0)</f>
        <v>1</v>
      </c>
      <c r="T102">
        <f>IFERROR(COUNTIF(OFFSET('Schedule Raw Data'!$A$2,MATCH($A102,'Schedule Raw Data'!$A$3:$A$2477,0),1,COUNTIF('Schedule Raw Data'!$A$3:$A$2477,$A102),2),T$1),0)</f>
        <v>0</v>
      </c>
      <c r="U102">
        <f>IFERROR(COUNTIF(OFFSET('Schedule Raw Data'!$A$2,MATCH($A102,'Schedule Raw Data'!$A$3:$A$2477,0),1,COUNTIF('Schedule Raw Data'!$A$3:$A$2477,$A102),2),U$1),0)</f>
        <v>1</v>
      </c>
      <c r="V102">
        <f>IFERROR(COUNTIF(OFFSET('Schedule Raw Data'!$A$2,MATCH($A102,'Schedule Raw Data'!$A$3:$A$2477,0),1,COUNTIF('Schedule Raw Data'!$A$3:$A$2477,$A102),2),V$1),0)</f>
        <v>0</v>
      </c>
      <c r="W102">
        <f>IFERROR(COUNTIF(OFFSET('Schedule Raw Data'!$A$2,MATCH($A102,'Schedule Raw Data'!$A$3:$A$2477,0),1,COUNTIF('Schedule Raw Data'!$A$3:$A$2477,$A102),2),W$1),0)</f>
        <v>0</v>
      </c>
      <c r="X102">
        <f>IFERROR(COUNTIF(OFFSET('Schedule Raw Data'!$A$2,MATCH($A102,'Schedule Raw Data'!$A$3:$A$2477,0),1,COUNTIF('Schedule Raw Data'!$A$3:$A$2477,$A102),2),X$1),0)</f>
        <v>1</v>
      </c>
      <c r="Y102">
        <f>IFERROR(COUNTIF(OFFSET('Schedule Raw Data'!$A$2,MATCH($A102,'Schedule Raw Data'!$A$3:$A$2477,0),1,COUNTIF('Schedule Raw Data'!$A$3:$A$2477,$A102),2),Y$1),0)</f>
        <v>1</v>
      </c>
      <c r="Z102">
        <f>IFERROR(COUNTIF(OFFSET('Schedule Raw Data'!$A$2,MATCH($A102,'Schedule Raw Data'!$A$3:$A$2477,0),1,COUNTIF('Schedule Raw Data'!$A$3:$A$2477,$A102),2),Z$1),0)</f>
        <v>1</v>
      </c>
      <c r="AA102">
        <f>IFERROR(COUNTIF(OFFSET('Schedule Raw Data'!$A$2,MATCH($A102,'Schedule Raw Data'!$A$3:$A$2477,0),1,COUNTIF('Schedule Raw Data'!$A$3:$A$2477,$A102),2),AA$1),0)</f>
        <v>1</v>
      </c>
      <c r="AB102">
        <f>IFERROR(COUNTIF(OFFSET('Schedule Raw Data'!$A$2,MATCH($A102,'Schedule Raw Data'!$A$3:$A$2477,0),1,COUNTIF('Schedule Raw Data'!$A$3:$A$2477,$A102),2),AB$1),0)</f>
        <v>0</v>
      </c>
      <c r="AC102">
        <f>IFERROR(COUNTIF(OFFSET('Schedule Raw Data'!$A$2,MATCH($A102,'Schedule Raw Data'!$A$3:$A$2477,0),1,COUNTIF('Schedule Raw Data'!$A$3:$A$2477,$A102),2),AC$1),0)</f>
        <v>0</v>
      </c>
      <c r="AD102">
        <f>IFERROR(COUNTIF(OFFSET('Schedule Raw Data'!$A$2,MATCH($A102,'Schedule Raw Data'!$A$3:$A$2477,0),1,COUNTIF('Schedule Raw Data'!$A$3:$A$2477,$A102),2),AD$1),0)</f>
        <v>0</v>
      </c>
      <c r="AE102">
        <f>IFERROR(COUNTIF(OFFSET('Schedule Raw Data'!$A$2,MATCH($A102,'Schedule Raw Data'!$A$3:$A$2477,0),1,COUNTIF('Schedule Raw Data'!$A$3:$A$2477,$A102),2),AE$1),0)</f>
        <v>0</v>
      </c>
      <c r="AF102">
        <f>IFERROR(COUNTIF(OFFSET('Schedule Raw Data'!$A$2,MATCH($A102,'Schedule Raw Data'!$A$3:$A$2477,0),1,COUNTIF('Schedule Raw Data'!$A$3:$A$2477,$A102),2),AF$1),0)</f>
        <v>1</v>
      </c>
      <c r="AG102">
        <f t="shared" si="1"/>
        <v>7</v>
      </c>
    </row>
    <row r="103">
      <c r="A103" s="30">
        <f t="array" ref="A103">INDEX('Schedule Raw Data'!$A$3:$A$2477,MATCH(0,INDEX(COUNTIF($A$1:A102,'Schedule Raw Data'!$A$3:$A$2477),0,0),0))</f>
        <v>46427</v>
      </c>
      <c r="B103">
        <f t="shared" si="2"/>
        <v>16</v>
      </c>
      <c r="C103">
        <f>IFERROR(COUNTIF(OFFSET('Schedule Raw Data'!$A$2,MATCH($A103,'Schedule Raw Data'!$A$3:$A$2477,0),1,COUNTIF('Schedule Raw Data'!$A$3:$A$2477,$A103),2),C$1),0)</f>
        <v>0</v>
      </c>
      <c r="D103">
        <f>IFERROR(COUNTIF(OFFSET('Schedule Raw Data'!$A$2,MATCH($A103,'Schedule Raw Data'!$A$3:$A$2477,0),1,COUNTIF('Schedule Raw Data'!$A$3:$A$2477,$A103),2),D$1),0)</f>
        <v>1</v>
      </c>
      <c r="E103">
        <f>IFERROR(COUNTIF(OFFSET('Schedule Raw Data'!$A$2,MATCH($A103,'Schedule Raw Data'!$A$3:$A$2477,0),1,COUNTIF('Schedule Raw Data'!$A$3:$A$2477,$A103),2),E$1),0)</f>
        <v>1</v>
      </c>
      <c r="F103">
        <f>IFERROR(COUNTIF(OFFSET('Schedule Raw Data'!$A$2,MATCH($A103,'Schedule Raw Data'!$A$3:$A$2477,0),1,COUNTIF('Schedule Raw Data'!$A$3:$A$2477,$A103),2),F$1),0)</f>
        <v>1</v>
      </c>
      <c r="G103">
        <f>IFERROR(COUNTIF(OFFSET('Schedule Raw Data'!$A$2,MATCH($A103,'Schedule Raw Data'!$A$3:$A$2477,0),1,COUNTIF('Schedule Raw Data'!$A$3:$A$2477,$A103),2),G$1),0)</f>
        <v>1</v>
      </c>
      <c r="H103">
        <f>IFERROR(COUNTIF(OFFSET('Schedule Raw Data'!$A$2,MATCH($A103,'Schedule Raw Data'!$A$3:$A$2477,0),1,COUNTIF('Schedule Raw Data'!$A$3:$A$2477,$A103),2),H$1),0)</f>
        <v>1</v>
      </c>
      <c r="I103">
        <f>IFERROR(COUNTIF(OFFSET('Schedule Raw Data'!$A$2,MATCH($A103,'Schedule Raw Data'!$A$3:$A$2477,0),1,COUNTIF('Schedule Raw Data'!$A$3:$A$2477,$A103),2),I$1),0)</f>
        <v>1</v>
      </c>
      <c r="J103">
        <f>IFERROR(COUNTIF(OFFSET('Schedule Raw Data'!$A$2,MATCH($A103,'Schedule Raw Data'!$A$3:$A$2477,0),1,COUNTIF('Schedule Raw Data'!$A$3:$A$2477,$A103),2),J$1),0)</f>
        <v>1</v>
      </c>
      <c r="K103">
        <f>IFERROR(COUNTIF(OFFSET('Schedule Raw Data'!$A$2,MATCH($A103,'Schedule Raw Data'!$A$3:$A$2477,0),1,COUNTIF('Schedule Raw Data'!$A$3:$A$2477,$A103),2),K$1),0)</f>
        <v>1</v>
      </c>
      <c r="L103">
        <f>IFERROR(COUNTIF(OFFSET('Schedule Raw Data'!$A$2,MATCH($A103,'Schedule Raw Data'!$A$3:$A$2477,0),1,COUNTIF('Schedule Raw Data'!$A$3:$A$2477,$A103),2),L$1),0)</f>
        <v>1</v>
      </c>
      <c r="M103">
        <f>IFERROR(COUNTIF(OFFSET('Schedule Raw Data'!$A$2,MATCH($A103,'Schedule Raw Data'!$A$3:$A$2477,0),1,COUNTIF('Schedule Raw Data'!$A$3:$A$2477,$A103),2),M$1),0)</f>
        <v>1</v>
      </c>
      <c r="N103">
        <f>IFERROR(COUNTIF(OFFSET('Schedule Raw Data'!$A$2,MATCH($A103,'Schedule Raw Data'!$A$3:$A$2477,0),1,COUNTIF('Schedule Raw Data'!$A$3:$A$2477,$A103),2),N$1),0)</f>
        <v>0</v>
      </c>
      <c r="O103">
        <f>IFERROR(COUNTIF(OFFSET('Schedule Raw Data'!$A$2,MATCH($A103,'Schedule Raw Data'!$A$3:$A$2477,0),1,COUNTIF('Schedule Raw Data'!$A$3:$A$2477,$A103),2),O$1),0)</f>
        <v>1</v>
      </c>
      <c r="P103">
        <f>IFERROR(COUNTIF(OFFSET('Schedule Raw Data'!$A$2,MATCH($A103,'Schedule Raw Data'!$A$3:$A$2477,0),1,COUNTIF('Schedule Raw Data'!$A$3:$A$2477,$A103),2),P$1),0)</f>
        <v>0</v>
      </c>
      <c r="Q103">
        <f>IFERROR(COUNTIF(OFFSET('Schedule Raw Data'!$A$2,MATCH($A103,'Schedule Raw Data'!$A$3:$A$2477,0),1,COUNTIF('Schedule Raw Data'!$A$3:$A$2477,$A103),2),Q$1),0)</f>
        <v>0</v>
      </c>
      <c r="R103">
        <f>IFERROR(COUNTIF(OFFSET('Schedule Raw Data'!$A$2,MATCH($A103,'Schedule Raw Data'!$A$3:$A$2477,0),1,COUNTIF('Schedule Raw Data'!$A$3:$A$2477,$A103),2),R$1),0)</f>
        <v>0</v>
      </c>
      <c r="S103">
        <f>IFERROR(COUNTIF(OFFSET('Schedule Raw Data'!$A$2,MATCH($A103,'Schedule Raw Data'!$A$3:$A$2477,0),1,COUNTIF('Schedule Raw Data'!$A$3:$A$2477,$A103),2),S$1),0)</f>
        <v>1</v>
      </c>
      <c r="T103">
        <f>IFERROR(COUNTIF(OFFSET('Schedule Raw Data'!$A$2,MATCH($A103,'Schedule Raw Data'!$A$3:$A$2477,0),1,COUNTIF('Schedule Raw Data'!$A$3:$A$2477,$A103),2),T$1),0)</f>
        <v>1</v>
      </c>
      <c r="U103">
        <f>IFERROR(COUNTIF(OFFSET('Schedule Raw Data'!$A$2,MATCH($A103,'Schedule Raw Data'!$A$3:$A$2477,0),1,COUNTIF('Schedule Raw Data'!$A$3:$A$2477,$A103),2),U$1),0)</f>
        <v>0</v>
      </c>
      <c r="V103">
        <f>IFERROR(COUNTIF(OFFSET('Schedule Raw Data'!$A$2,MATCH($A103,'Schedule Raw Data'!$A$3:$A$2477,0),1,COUNTIF('Schedule Raw Data'!$A$3:$A$2477,$A103),2),V$1),0)</f>
        <v>1</v>
      </c>
      <c r="W103">
        <f>IFERROR(COUNTIF(OFFSET('Schedule Raw Data'!$A$2,MATCH($A103,'Schedule Raw Data'!$A$3:$A$2477,0),1,COUNTIF('Schedule Raw Data'!$A$3:$A$2477,$A103),2),W$1),0)</f>
        <v>1</v>
      </c>
      <c r="X103">
        <f>IFERROR(COUNTIF(OFFSET('Schedule Raw Data'!$A$2,MATCH($A103,'Schedule Raw Data'!$A$3:$A$2477,0),1,COUNTIF('Schedule Raw Data'!$A$3:$A$2477,$A103),2),X$1),0)</f>
        <v>0</v>
      </c>
      <c r="Y103">
        <f>IFERROR(COUNTIF(OFFSET('Schedule Raw Data'!$A$2,MATCH($A103,'Schedule Raw Data'!$A$3:$A$2477,0),1,COUNTIF('Schedule Raw Data'!$A$3:$A$2477,$A103),2),Y$1),0)</f>
        <v>0</v>
      </c>
      <c r="Z103">
        <f>IFERROR(COUNTIF(OFFSET('Schedule Raw Data'!$A$2,MATCH($A103,'Schedule Raw Data'!$A$3:$A$2477,0),1,COUNTIF('Schedule Raw Data'!$A$3:$A$2477,$A103),2),Z$1),0)</f>
        <v>0</v>
      </c>
      <c r="AA103">
        <f>IFERROR(COUNTIF(OFFSET('Schedule Raw Data'!$A$2,MATCH($A103,'Schedule Raw Data'!$A$3:$A$2477,0),1,COUNTIF('Schedule Raw Data'!$A$3:$A$2477,$A103),2),AA$1),0)</f>
        <v>1</v>
      </c>
      <c r="AB103">
        <f>IFERROR(COUNTIF(OFFSET('Schedule Raw Data'!$A$2,MATCH($A103,'Schedule Raw Data'!$A$3:$A$2477,0),1,COUNTIF('Schedule Raw Data'!$A$3:$A$2477,$A103),2),AB$1),0)</f>
        <v>1</v>
      </c>
      <c r="AC103">
        <f>IFERROR(COUNTIF(OFFSET('Schedule Raw Data'!$A$2,MATCH($A103,'Schedule Raw Data'!$A$3:$A$2477,0),1,COUNTIF('Schedule Raw Data'!$A$3:$A$2477,$A103),2),AC$1),0)</f>
        <v>1</v>
      </c>
      <c r="AD103">
        <f>IFERROR(COUNTIF(OFFSET('Schedule Raw Data'!$A$2,MATCH($A103,'Schedule Raw Data'!$A$3:$A$2477,0),1,COUNTIF('Schedule Raw Data'!$A$3:$A$2477,$A103),2),AD$1),0)</f>
        <v>1</v>
      </c>
      <c r="AE103">
        <f>IFERROR(COUNTIF(OFFSET('Schedule Raw Data'!$A$2,MATCH($A103,'Schedule Raw Data'!$A$3:$A$2477,0),1,COUNTIF('Schedule Raw Data'!$A$3:$A$2477,$A103),2),AE$1),0)</f>
        <v>1</v>
      </c>
      <c r="AF103">
        <f>IFERROR(COUNTIF(OFFSET('Schedule Raw Data'!$A$2,MATCH($A103,'Schedule Raw Data'!$A$3:$A$2477,0),1,COUNTIF('Schedule Raw Data'!$A$3:$A$2477,$A103),2),AF$1),0)</f>
        <v>0</v>
      </c>
      <c r="AG103">
        <f t="shared" si="1"/>
        <v>10</v>
      </c>
    </row>
    <row r="104">
      <c r="A104" s="30">
        <f t="array" ref="A104">INDEX('Schedule Raw Data'!$A$3:$A$2477,MATCH(0,INDEX(COUNTIF($A$1:A103,'Schedule Raw Data'!$A$3:$A$2477),0,0),0))</f>
        <v>46428</v>
      </c>
      <c r="B104">
        <f t="shared" si="2"/>
        <v>16</v>
      </c>
      <c r="C104">
        <f>IFERROR(COUNTIF(OFFSET('Schedule Raw Data'!$A$2,MATCH($A104,'Schedule Raw Data'!$A$3:$A$2477,0),1,COUNTIF('Schedule Raw Data'!$A$3:$A$2477,$A104),2),C$1),0)</f>
        <v>1</v>
      </c>
      <c r="D104">
        <f>IFERROR(COUNTIF(OFFSET('Schedule Raw Data'!$A$2,MATCH($A104,'Schedule Raw Data'!$A$3:$A$2477,0),1,COUNTIF('Schedule Raw Data'!$A$3:$A$2477,$A104),2),D$1),0)</f>
        <v>0</v>
      </c>
      <c r="E104">
        <f>IFERROR(COUNTIF(OFFSET('Schedule Raw Data'!$A$2,MATCH($A104,'Schedule Raw Data'!$A$3:$A$2477,0),1,COUNTIF('Schedule Raw Data'!$A$3:$A$2477,$A104),2),E$1),0)</f>
        <v>1</v>
      </c>
      <c r="F104">
        <f>IFERROR(COUNTIF(OFFSET('Schedule Raw Data'!$A$2,MATCH($A104,'Schedule Raw Data'!$A$3:$A$2477,0),1,COUNTIF('Schedule Raw Data'!$A$3:$A$2477,$A104),2),F$1),0)</f>
        <v>0</v>
      </c>
      <c r="G104">
        <f>IFERROR(COUNTIF(OFFSET('Schedule Raw Data'!$A$2,MATCH($A104,'Schedule Raw Data'!$A$3:$A$2477,0),1,COUNTIF('Schedule Raw Data'!$A$3:$A$2477,$A104),2),G$1),0)</f>
        <v>0</v>
      </c>
      <c r="H104">
        <f>IFERROR(COUNTIF(OFFSET('Schedule Raw Data'!$A$2,MATCH($A104,'Schedule Raw Data'!$A$3:$A$2477,0),1,COUNTIF('Schedule Raw Data'!$A$3:$A$2477,$A104),2),H$1),0)</f>
        <v>1</v>
      </c>
      <c r="I104">
        <f>IFERROR(COUNTIF(OFFSET('Schedule Raw Data'!$A$2,MATCH($A104,'Schedule Raw Data'!$A$3:$A$2477,0),1,COUNTIF('Schedule Raw Data'!$A$3:$A$2477,$A104),2),I$1),0)</f>
        <v>0</v>
      </c>
      <c r="J104">
        <f>IFERROR(COUNTIF(OFFSET('Schedule Raw Data'!$A$2,MATCH($A104,'Schedule Raw Data'!$A$3:$A$2477,0),1,COUNTIF('Schedule Raw Data'!$A$3:$A$2477,$A104),2),J$1),0)</f>
        <v>0</v>
      </c>
      <c r="K104">
        <f>IFERROR(COUNTIF(OFFSET('Schedule Raw Data'!$A$2,MATCH($A104,'Schedule Raw Data'!$A$3:$A$2477,0),1,COUNTIF('Schedule Raw Data'!$A$3:$A$2477,$A104),2),K$1),0)</f>
        <v>1</v>
      </c>
      <c r="L104">
        <f>IFERROR(COUNTIF(OFFSET('Schedule Raw Data'!$A$2,MATCH($A104,'Schedule Raw Data'!$A$3:$A$2477,0),1,COUNTIF('Schedule Raw Data'!$A$3:$A$2477,$A104),2),L$1),0)</f>
        <v>1</v>
      </c>
      <c r="M104">
        <f>IFERROR(COUNTIF(OFFSET('Schedule Raw Data'!$A$2,MATCH($A104,'Schedule Raw Data'!$A$3:$A$2477,0),1,COUNTIF('Schedule Raw Data'!$A$3:$A$2477,$A104),2),M$1),0)</f>
        <v>0</v>
      </c>
      <c r="N104">
        <f>IFERROR(COUNTIF(OFFSET('Schedule Raw Data'!$A$2,MATCH($A104,'Schedule Raw Data'!$A$3:$A$2477,0),1,COUNTIF('Schedule Raw Data'!$A$3:$A$2477,$A104),2),N$1),0)</f>
        <v>1</v>
      </c>
      <c r="O104">
        <f>IFERROR(COUNTIF(OFFSET('Schedule Raw Data'!$A$2,MATCH($A104,'Schedule Raw Data'!$A$3:$A$2477,0),1,COUNTIF('Schedule Raw Data'!$A$3:$A$2477,$A104),2),O$1),0)</f>
        <v>1</v>
      </c>
      <c r="P104">
        <f>IFERROR(COUNTIF(OFFSET('Schedule Raw Data'!$A$2,MATCH($A104,'Schedule Raw Data'!$A$3:$A$2477,0),1,COUNTIF('Schedule Raw Data'!$A$3:$A$2477,$A104),2),P$1),0)</f>
        <v>1</v>
      </c>
      <c r="Q104">
        <f>IFERROR(COUNTIF(OFFSET('Schedule Raw Data'!$A$2,MATCH($A104,'Schedule Raw Data'!$A$3:$A$2477,0),1,COUNTIF('Schedule Raw Data'!$A$3:$A$2477,$A104),2),Q$1),0)</f>
        <v>1</v>
      </c>
      <c r="R104">
        <f>IFERROR(COUNTIF(OFFSET('Schedule Raw Data'!$A$2,MATCH($A104,'Schedule Raw Data'!$A$3:$A$2477,0),1,COUNTIF('Schedule Raw Data'!$A$3:$A$2477,$A104),2),R$1),0)</f>
        <v>1</v>
      </c>
      <c r="S104">
        <f>IFERROR(COUNTIF(OFFSET('Schedule Raw Data'!$A$2,MATCH($A104,'Schedule Raw Data'!$A$3:$A$2477,0),1,COUNTIF('Schedule Raw Data'!$A$3:$A$2477,$A104),2),S$1),0)</f>
        <v>0</v>
      </c>
      <c r="T104">
        <f>IFERROR(COUNTIF(OFFSET('Schedule Raw Data'!$A$2,MATCH($A104,'Schedule Raw Data'!$A$3:$A$2477,0),1,COUNTIF('Schedule Raw Data'!$A$3:$A$2477,$A104),2),T$1),0)</f>
        <v>0</v>
      </c>
      <c r="U104">
        <f>IFERROR(COUNTIF(OFFSET('Schedule Raw Data'!$A$2,MATCH($A104,'Schedule Raw Data'!$A$3:$A$2477,0),1,COUNTIF('Schedule Raw Data'!$A$3:$A$2477,$A104),2),U$1),0)</f>
        <v>1</v>
      </c>
      <c r="V104">
        <f>IFERROR(COUNTIF(OFFSET('Schedule Raw Data'!$A$2,MATCH($A104,'Schedule Raw Data'!$A$3:$A$2477,0),1,COUNTIF('Schedule Raw Data'!$A$3:$A$2477,$A104),2),V$1),0)</f>
        <v>0</v>
      </c>
      <c r="W104">
        <f>IFERROR(COUNTIF(OFFSET('Schedule Raw Data'!$A$2,MATCH($A104,'Schedule Raw Data'!$A$3:$A$2477,0),1,COUNTIF('Schedule Raw Data'!$A$3:$A$2477,$A104),2),W$1),0)</f>
        <v>0</v>
      </c>
      <c r="X104">
        <f>IFERROR(COUNTIF(OFFSET('Schedule Raw Data'!$A$2,MATCH($A104,'Schedule Raw Data'!$A$3:$A$2477,0),1,COUNTIF('Schedule Raw Data'!$A$3:$A$2477,$A104),2),X$1),0)</f>
        <v>1</v>
      </c>
      <c r="Y104">
        <f>IFERROR(COUNTIF(OFFSET('Schedule Raw Data'!$A$2,MATCH($A104,'Schedule Raw Data'!$A$3:$A$2477,0),1,COUNTIF('Schedule Raw Data'!$A$3:$A$2477,$A104),2),Y$1),0)</f>
        <v>0</v>
      </c>
      <c r="Z104">
        <f>IFERROR(COUNTIF(OFFSET('Schedule Raw Data'!$A$2,MATCH($A104,'Schedule Raw Data'!$A$3:$A$2477,0),1,COUNTIF('Schedule Raw Data'!$A$3:$A$2477,$A104),2),Z$1),0)</f>
        <v>1</v>
      </c>
      <c r="AA104">
        <f>IFERROR(COUNTIF(OFFSET('Schedule Raw Data'!$A$2,MATCH($A104,'Schedule Raw Data'!$A$3:$A$2477,0),1,COUNTIF('Schedule Raw Data'!$A$3:$A$2477,$A104),2),AA$1),0)</f>
        <v>0</v>
      </c>
      <c r="AB104">
        <f>IFERROR(COUNTIF(OFFSET('Schedule Raw Data'!$A$2,MATCH($A104,'Schedule Raw Data'!$A$3:$A$2477,0),1,COUNTIF('Schedule Raw Data'!$A$3:$A$2477,$A104),2),AB$1),0)</f>
        <v>0</v>
      </c>
      <c r="AC104">
        <f>IFERROR(COUNTIF(OFFSET('Schedule Raw Data'!$A$2,MATCH($A104,'Schedule Raw Data'!$A$3:$A$2477,0),1,COUNTIF('Schedule Raw Data'!$A$3:$A$2477,$A104),2),AC$1),0)</f>
        <v>0</v>
      </c>
      <c r="AD104">
        <f>IFERROR(COUNTIF(OFFSET('Schedule Raw Data'!$A$2,MATCH($A104,'Schedule Raw Data'!$A$3:$A$2477,0),1,COUNTIF('Schedule Raw Data'!$A$3:$A$2477,$A104),2),AD$1),0)</f>
        <v>0</v>
      </c>
      <c r="AE104">
        <f>IFERROR(COUNTIF(OFFSET('Schedule Raw Data'!$A$2,MATCH($A104,'Schedule Raw Data'!$A$3:$A$2477,0),1,COUNTIF('Schedule Raw Data'!$A$3:$A$2477,$A104),2),AE$1),0)</f>
        <v>0</v>
      </c>
      <c r="AF104">
        <f>IFERROR(COUNTIF(OFFSET('Schedule Raw Data'!$A$2,MATCH($A104,'Schedule Raw Data'!$A$3:$A$2477,0),1,COUNTIF('Schedule Raw Data'!$A$3:$A$2477,$A104),2),AF$1),0)</f>
        <v>1</v>
      </c>
      <c r="AG104">
        <f t="shared" si="1"/>
        <v>7</v>
      </c>
    </row>
    <row r="105">
      <c r="A105" s="30">
        <f t="array" ref="A105">INDEX('Schedule Raw Data'!$A$3:$A$2477,MATCH(0,INDEX(COUNTIF($A$1:A104,'Schedule Raw Data'!$A$3:$A$2477),0,0),0))</f>
        <v>46429</v>
      </c>
      <c r="B105">
        <f t="shared" si="2"/>
        <v>16</v>
      </c>
      <c r="C105">
        <f>IFERROR(COUNTIF(OFFSET('Schedule Raw Data'!$A$2,MATCH($A105,'Schedule Raw Data'!$A$3:$A$2477,0),1,COUNTIF('Schedule Raw Data'!$A$3:$A$2477,$A105),2),C$1),0)</f>
        <v>0</v>
      </c>
      <c r="D105">
        <f>IFERROR(COUNTIF(OFFSET('Schedule Raw Data'!$A$2,MATCH($A105,'Schedule Raw Data'!$A$3:$A$2477,0),1,COUNTIF('Schedule Raw Data'!$A$3:$A$2477,$A105),2),D$1),0)</f>
        <v>0</v>
      </c>
      <c r="E105">
        <f>IFERROR(COUNTIF(OFFSET('Schedule Raw Data'!$A$2,MATCH($A105,'Schedule Raw Data'!$A$3:$A$2477,0),1,COUNTIF('Schedule Raw Data'!$A$3:$A$2477,$A105),2),E$1),0)</f>
        <v>0</v>
      </c>
      <c r="F105">
        <f>IFERROR(COUNTIF(OFFSET('Schedule Raw Data'!$A$2,MATCH($A105,'Schedule Raw Data'!$A$3:$A$2477,0),1,COUNTIF('Schedule Raw Data'!$A$3:$A$2477,$A105),2),F$1),0)</f>
        <v>1</v>
      </c>
      <c r="G105">
        <f>IFERROR(COUNTIF(OFFSET('Schedule Raw Data'!$A$2,MATCH($A105,'Schedule Raw Data'!$A$3:$A$2477,0),1,COUNTIF('Schedule Raw Data'!$A$3:$A$2477,$A105),2),G$1),0)</f>
        <v>1</v>
      </c>
      <c r="H105">
        <f>IFERROR(COUNTIF(OFFSET('Schedule Raw Data'!$A$2,MATCH($A105,'Schedule Raw Data'!$A$3:$A$2477,0),1,COUNTIF('Schedule Raw Data'!$A$3:$A$2477,$A105),2),H$1),0)</f>
        <v>0</v>
      </c>
      <c r="I105">
        <f>IFERROR(COUNTIF(OFFSET('Schedule Raw Data'!$A$2,MATCH($A105,'Schedule Raw Data'!$A$3:$A$2477,0),1,COUNTIF('Schedule Raw Data'!$A$3:$A$2477,$A105),2),I$1),0)</f>
        <v>1</v>
      </c>
      <c r="J105">
        <f>IFERROR(COUNTIF(OFFSET('Schedule Raw Data'!$A$2,MATCH($A105,'Schedule Raw Data'!$A$3:$A$2477,0),1,COUNTIF('Schedule Raw Data'!$A$3:$A$2477,$A105),2),J$1),0)</f>
        <v>1</v>
      </c>
      <c r="K105">
        <f>IFERROR(COUNTIF(OFFSET('Schedule Raw Data'!$A$2,MATCH($A105,'Schedule Raw Data'!$A$3:$A$2477,0),1,COUNTIF('Schedule Raw Data'!$A$3:$A$2477,$A105),2),K$1),0)</f>
        <v>0</v>
      </c>
      <c r="L105">
        <f>IFERROR(COUNTIF(OFFSET('Schedule Raw Data'!$A$2,MATCH($A105,'Schedule Raw Data'!$A$3:$A$2477,0),1,COUNTIF('Schedule Raw Data'!$A$3:$A$2477,$A105),2),L$1),0)</f>
        <v>0</v>
      </c>
      <c r="M105">
        <f>IFERROR(COUNTIF(OFFSET('Schedule Raw Data'!$A$2,MATCH($A105,'Schedule Raw Data'!$A$3:$A$2477,0),1,COUNTIF('Schedule Raw Data'!$A$3:$A$2477,$A105),2),M$1),0)</f>
        <v>1</v>
      </c>
      <c r="N105">
        <f>IFERROR(COUNTIF(OFFSET('Schedule Raw Data'!$A$2,MATCH($A105,'Schedule Raw Data'!$A$3:$A$2477,0),1,COUNTIF('Schedule Raw Data'!$A$3:$A$2477,$A105),2),N$1),0)</f>
        <v>1</v>
      </c>
      <c r="O105">
        <f>IFERROR(COUNTIF(OFFSET('Schedule Raw Data'!$A$2,MATCH($A105,'Schedule Raw Data'!$A$3:$A$2477,0),1,COUNTIF('Schedule Raw Data'!$A$3:$A$2477,$A105),2),O$1),0)</f>
        <v>0</v>
      </c>
      <c r="P105">
        <f>IFERROR(COUNTIF(OFFSET('Schedule Raw Data'!$A$2,MATCH($A105,'Schedule Raw Data'!$A$3:$A$2477,0),1,COUNTIF('Schedule Raw Data'!$A$3:$A$2477,$A105),2),P$1),0)</f>
        <v>0</v>
      </c>
      <c r="Q105">
        <f>IFERROR(COUNTIF(OFFSET('Schedule Raw Data'!$A$2,MATCH($A105,'Schedule Raw Data'!$A$3:$A$2477,0),1,COUNTIF('Schedule Raw Data'!$A$3:$A$2477,$A105),2),Q$1),0)</f>
        <v>0</v>
      </c>
      <c r="R105">
        <f>IFERROR(COUNTIF(OFFSET('Schedule Raw Data'!$A$2,MATCH($A105,'Schedule Raw Data'!$A$3:$A$2477,0),1,COUNTIF('Schedule Raw Data'!$A$3:$A$2477,$A105),2),R$1),0)</f>
        <v>0</v>
      </c>
      <c r="S105">
        <f>IFERROR(COUNTIF(OFFSET('Schedule Raw Data'!$A$2,MATCH($A105,'Schedule Raw Data'!$A$3:$A$2477,0),1,COUNTIF('Schedule Raw Data'!$A$3:$A$2477,$A105),2),S$1),0)</f>
        <v>1</v>
      </c>
      <c r="T105">
        <f>IFERROR(COUNTIF(OFFSET('Schedule Raw Data'!$A$2,MATCH($A105,'Schedule Raw Data'!$A$3:$A$2477,0),1,COUNTIF('Schedule Raw Data'!$A$3:$A$2477,$A105),2),T$1),0)</f>
        <v>0</v>
      </c>
      <c r="U105">
        <f>IFERROR(COUNTIF(OFFSET('Schedule Raw Data'!$A$2,MATCH($A105,'Schedule Raw Data'!$A$3:$A$2477,0),1,COUNTIF('Schedule Raw Data'!$A$3:$A$2477,$A105),2),U$1),0)</f>
        <v>0</v>
      </c>
      <c r="V105">
        <f>IFERROR(COUNTIF(OFFSET('Schedule Raw Data'!$A$2,MATCH($A105,'Schedule Raw Data'!$A$3:$A$2477,0),1,COUNTIF('Schedule Raw Data'!$A$3:$A$2477,$A105),2),V$1),0)</f>
        <v>1</v>
      </c>
      <c r="W105">
        <f>IFERROR(COUNTIF(OFFSET('Schedule Raw Data'!$A$2,MATCH($A105,'Schedule Raw Data'!$A$3:$A$2477,0),1,COUNTIF('Schedule Raw Data'!$A$3:$A$2477,$A105),2),W$1),0)</f>
        <v>1</v>
      </c>
      <c r="X105">
        <f>IFERROR(COUNTIF(OFFSET('Schedule Raw Data'!$A$2,MATCH($A105,'Schedule Raw Data'!$A$3:$A$2477,0),1,COUNTIF('Schedule Raw Data'!$A$3:$A$2477,$A105),2),X$1),0)</f>
        <v>0</v>
      </c>
      <c r="Y105">
        <f>IFERROR(COUNTIF(OFFSET('Schedule Raw Data'!$A$2,MATCH($A105,'Schedule Raw Data'!$A$3:$A$2477,0),1,COUNTIF('Schedule Raw Data'!$A$3:$A$2477,$A105),2),Y$1),0)</f>
        <v>1</v>
      </c>
      <c r="Z105">
        <f>IFERROR(COUNTIF(OFFSET('Schedule Raw Data'!$A$2,MATCH($A105,'Schedule Raw Data'!$A$3:$A$2477,0),1,COUNTIF('Schedule Raw Data'!$A$3:$A$2477,$A105),2),Z$1),0)</f>
        <v>0</v>
      </c>
      <c r="AA105">
        <f>IFERROR(COUNTIF(OFFSET('Schedule Raw Data'!$A$2,MATCH($A105,'Schedule Raw Data'!$A$3:$A$2477,0),1,COUNTIF('Schedule Raw Data'!$A$3:$A$2477,$A105),2),AA$1),0)</f>
        <v>1</v>
      </c>
      <c r="AB105">
        <f>IFERROR(COUNTIF(OFFSET('Schedule Raw Data'!$A$2,MATCH($A105,'Schedule Raw Data'!$A$3:$A$2477,0),1,COUNTIF('Schedule Raw Data'!$A$3:$A$2477,$A105),2),AB$1),0)</f>
        <v>1</v>
      </c>
      <c r="AC105">
        <f>IFERROR(COUNTIF(OFFSET('Schedule Raw Data'!$A$2,MATCH($A105,'Schedule Raw Data'!$A$3:$A$2477,0),1,COUNTIF('Schedule Raw Data'!$A$3:$A$2477,$A105),2),AC$1),0)</f>
        <v>1</v>
      </c>
      <c r="AD105">
        <f>IFERROR(COUNTIF(OFFSET('Schedule Raw Data'!$A$2,MATCH($A105,'Schedule Raw Data'!$A$3:$A$2477,0),1,COUNTIF('Schedule Raw Data'!$A$3:$A$2477,$A105),2),AD$1),0)</f>
        <v>0</v>
      </c>
      <c r="AE105">
        <f>IFERROR(COUNTIF(OFFSET('Schedule Raw Data'!$A$2,MATCH($A105,'Schedule Raw Data'!$A$3:$A$2477,0),1,COUNTIF('Schedule Raw Data'!$A$3:$A$2477,$A105),2),AE$1),0)</f>
        <v>1</v>
      </c>
      <c r="AF105">
        <f>IFERROR(COUNTIF(OFFSET('Schedule Raw Data'!$A$2,MATCH($A105,'Schedule Raw Data'!$A$3:$A$2477,0),1,COUNTIF('Schedule Raw Data'!$A$3:$A$2477,$A105),2),AF$1),0)</f>
        <v>0</v>
      </c>
      <c r="AG105">
        <f t="shared" si="1"/>
        <v>7</v>
      </c>
    </row>
    <row r="106">
      <c r="A106" s="30">
        <f t="array" ref="A106">INDEX('Schedule Raw Data'!$A$3:$A$2477,MATCH(0,INDEX(COUNTIF($A$1:A105,'Schedule Raw Data'!$A$3:$A$2477),0,0),0))</f>
        <v>46430</v>
      </c>
      <c r="B106">
        <f t="shared" si="2"/>
        <v>16</v>
      </c>
      <c r="C106">
        <f>IFERROR(COUNTIF(OFFSET('Schedule Raw Data'!$A$2,MATCH($A106,'Schedule Raw Data'!$A$3:$A$2477,0),1,COUNTIF('Schedule Raw Data'!$A$3:$A$2477,$A106),2),C$1),0)</f>
        <v>1</v>
      </c>
      <c r="D106">
        <f>IFERROR(COUNTIF(OFFSET('Schedule Raw Data'!$A$2,MATCH($A106,'Schedule Raw Data'!$A$3:$A$2477,0),1,COUNTIF('Schedule Raw Data'!$A$3:$A$2477,$A106),2),D$1),0)</f>
        <v>1</v>
      </c>
      <c r="E106">
        <f>IFERROR(COUNTIF(OFFSET('Schedule Raw Data'!$A$2,MATCH($A106,'Schedule Raw Data'!$A$3:$A$2477,0),1,COUNTIF('Schedule Raw Data'!$A$3:$A$2477,$A106),2),E$1),0)</f>
        <v>1</v>
      </c>
      <c r="F106">
        <f>IFERROR(COUNTIF(OFFSET('Schedule Raw Data'!$A$2,MATCH($A106,'Schedule Raw Data'!$A$3:$A$2477,0),1,COUNTIF('Schedule Raw Data'!$A$3:$A$2477,$A106),2),F$1),0)</f>
        <v>0</v>
      </c>
      <c r="G106">
        <f>IFERROR(COUNTIF(OFFSET('Schedule Raw Data'!$A$2,MATCH($A106,'Schedule Raw Data'!$A$3:$A$2477,0),1,COUNTIF('Schedule Raw Data'!$A$3:$A$2477,$A106),2),G$1),0)</f>
        <v>0</v>
      </c>
      <c r="H106">
        <f>IFERROR(COUNTIF(OFFSET('Schedule Raw Data'!$A$2,MATCH($A106,'Schedule Raw Data'!$A$3:$A$2477,0),1,COUNTIF('Schedule Raw Data'!$A$3:$A$2477,$A106),2),H$1),0)</f>
        <v>1</v>
      </c>
      <c r="I106">
        <f>IFERROR(COUNTIF(OFFSET('Schedule Raw Data'!$A$2,MATCH($A106,'Schedule Raw Data'!$A$3:$A$2477,0),1,COUNTIF('Schedule Raw Data'!$A$3:$A$2477,$A106),2),I$1),0)</f>
        <v>0</v>
      </c>
      <c r="J106">
        <f>IFERROR(COUNTIF(OFFSET('Schedule Raw Data'!$A$2,MATCH($A106,'Schedule Raw Data'!$A$3:$A$2477,0),1,COUNTIF('Schedule Raw Data'!$A$3:$A$2477,$A106),2),J$1),0)</f>
        <v>1</v>
      </c>
      <c r="K106">
        <f>IFERROR(COUNTIF(OFFSET('Schedule Raw Data'!$A$2,MATCH($A106,'Schedule Raw Data'!$A$3:$A$2477,0),1,COUNTIF('Schedule Raw Data'!$A$3:$A$2477,$A106),2),K$1),0)</f>
        <v>0</v>
      </c>
      <c r="L106">
        <f>IFERROR(COUNTIF(OFFSET('Schedule Raw Data'!$A$2,MATCH($A106,'Schedule Raw Data'!$A$3:$A$2477,0),1,COUNTIF('Schedule Raw Data'!$A$3:$A$2477,$A106),2),L$1),0)</f>
        <v>0</v>
      </c>
      <c r="M106">
        <f>IFERROR(COUNTIF(OFFSET('Schedule Raw Data'!$A$2,MATCH($A106,'Schedule Raw Data'!$A$3:$A$2477,0),1,COUNTIF('Schedule Raw Data'!$A$3:$A$2477,$A106),2),M$1),0)</f>
        <v>1</v>
      </c>
      <c r="N106">
        <f>IFERROR(COUNTIF(OFFSET('Schedule Raw Data'!$A$2,MATCH($A106,'Schedule Raw Data'!$A$3:$A$2477,0),1,COUNTIF('Schedule Raw Data'!$A$3:$A$2477,$A106),2),N$1),0)</f>
        <v>0</v>
      </c>
      <c r="O106">
        <f>IFERROR(COUNTIF(OFFSET('Schedule Raw Data'!$A$2,MATCH($A106,'Schedule Raw Data'!$A$3:$A$2477,0),1,COUNTIF('Schedule Raw Data'!$A$3:$A$2477,$A106),2),O$1),0)</f>
        <v>1</v>
      </c>
      <c r="P106">
        <f>IFERROR(COUNTIF(OFFSET('Schedule Raw Data'!$A$2,MATCH($A106,'Schedule Raw Data'!$A$3:$A$2477,0),1,COUNTIF('Schedule Raw Data'!$A$3:$A$2477,$A106),2),P$1),0)</f>
        <v>1</v>
      </c>
      <c r="Q106">
        <f>IFERROR(COUNTIF(OFFSET('Schedule Raw Data'!$A$2,MATCH($A106,'Schedule Raw Data'!$A$3:$A$2477,0),1,COUNTIF('Schedule Raw Data'!$A$3:$A$2477,$A106),2),Q$1),0)</f>
        <v>1</v>
      </c>
      <c r="R106">
        <f>IFERROR(COUNTIF(OFFSET('Schedule Raw Data'!$A$2,MATCH($A106,'Schedule Raw Data'!$A$3:$A$2477,0),1,COUNTIF('Schedule Raw Data'!$A$3:$A$2477,$A106),2),R$1),0)</f>
        <v>1</v>
      </c>
      <c r="S106">
        <f>IFERROR(COUNTIF(OFFSET('Schedule Raw Data'!$A$2,MATCH($A106,'Schedule Raw Data'!$A$3:$A$2477,0),1,COUNTIF('Schedule Raw Data'!$A$3:$A$2477,$A106),2),S$1),0)</f>
        <v>0</v>
      </c>
      <c r="T106">
        <f>IFERROR(COUNTIF(OFFSET('Schedule Raw Data'!$A$2,MATCH($A106,'Schedule Raw Data'!$A$3:$A$2477,0),1,COUNTIF('Schedule Raw Data'!$A$3:$A$2477,$A106),2),T$1),0)</f>
        <v>1</v>
      </c>
      <c r="U106">
        <f>IFERROR(COUNTIF(OFFSET('Schedule Raw Data'!$A$2,MATCH($A106,'Schedule Raw Data'!$A$3:$A$2477,0),1,COUNTIF('Schedule Raw Data'!$A$3:$A$2477,$A106),2),U$1),0)</f>
        <v>1</v>
      </c>
      <c r="V106">
        <f>IFERROR(COUNTIF(OFFSET('Schedule Raw Data'!$A$2,MATCH($A106,'Schedule Raw Data'!$A$3:$A$2477,0),1,COUNTIF('Schedule Raw Data'!$A$3:$A$2477,$A106),2),V$1),0)</f>
        <v>0</v>
      </c>
      <c r="W106">
        <f>IFERROR(COUNTIF(OFFSET('Schedule Raw Data'!$A$2,MATCH($A106,'Schedule Raw Data'!$A$3:$A$2477,0),1,COUNTIF('Schedule Raw Data'!$A$3:$A$2477,$A106),2),W$1),0)</f>
        <v>0</v>
      </c>
      <c r="X106">
        <f>IFERROR(COUNTIF(OFFSET('Schedule Raw Data'!$A$2,MATCH($A106,'Schedule Raw Data'!$A$3:$A$2477,0),1,COUNTIF('Schedule Raw Data'!$A$3:$A$2477,$A106),2),X$1),0)</f>
        <v>1</v>
      </c>
      <c r="Y106">
        <f>IFERROR(COUNTIF(OFFSET('Schedule Raw Data'!$A$2,MATCH($A106,'Schedule Raw Data'!$A$3:$A$2477,0),1,COUNTIF('Schedule Raw Data'!$A$3:$A$2477,$A106),2),Y$1),0)</f>
        <v>0</v>
      </c>
      <c r="Z106">
        <f>IFERROR(COUNTIF(OFFSET('Schedule Raw Data'!$A$2,MATCH($A106,'Schedule Raw Data'!$A$3:$A$2477,0),1,COUNTIF('Schedule Raw Data'!$A$3:$A$2477,$A106),2),Z$1),0)</f>
        <v>1</v>
      </c>
      <c r="AA106">
        <f>IFERROR(COUNTIF(OFFSET('Schedule Raw Data'!$A$2,MATCH($A106,'Schedule Raw Data'!$A$3:$A$2477,0),1,COUNTIF('Schedule Raw Data'!$A$3:$A$2477,$A106),2),AA$1),0)</f>
        <v>0</v>
      </c>
      <c r="AB106">
        <f>IFERROR(COUNTIF(OFFSET('Schedule Raw Data'!$A$2,MATCH($A106,'Schedule Raw Data'!$A$3:$A$2477,0),1,COUNTIF('Schedule Raw Data'!$A$3:$A$2477,$A106),2),AB$1),0)</f>
        <v>0</v>
      </c>
      <c r="AC106">
        <f>IFERROR(COUNTIF(OFFSET('Schedule Raw Data'!$A$2,MATCH($A106,'Schedule Raw Data'!$A$3:$A$2477,0),1,COUNTIF('Schedule Raw Data'!$A$3:$A$2477,$A106),2),AC$1),0)</f>
        <v>0</v>
      </c>
      <c r="AD106">
        <f>IFERROR(COUNTIF(OFFSET('Schedule Raw Data'!$A$2,MATCH($A106,'Schedule Raw Data'!$A$3:$A$2477,0),1,COUNTIF('Schedule Raw Data'!$A$3:$A$2477,$A106),2),AD$1),0)</f>
        <v>1</v>
      </c>
      <c r="AE106">
        <f>IFERROR(COUNTIF(OFFSET('Schedule Raw Data'!$A$2,MATCH($A106,'Schedule Raw Data'!$A$3:$A$2477,0),1,COUNTIF('Schedule Raw Data'!$A$3:$A$2477,$A106),2),AE$1),0)</f>
        <v>0</v>
      </c>
      <c r="AF106">
        <f>IFERROR(COUNTIF(OFFSET('Schedule Raw Data'!$A$2,MATCH($A106,'Schedule Raw Data'!$A$3:$A$2477,0),1,COUNTIF('Schedule Raw Data'!$A$3:$A$2477,$A106),2),AF$1),0)</f>
        <v>1</v>
      </c>
      <c r="AG106">
        <f t="shared" si="1"/>
        <v>8</v>
      </c>
    </row>
    <row r="107">
      <c r="A107" s="30">
        <f t="array" ref="A107">INDEX('Schedule Raw Data'!$A$3:$A$2477,MATCH(0,INDEX(COUNTIF($A$1:A106,'Schedule Raw Data'!$A$3:$A$2477),0,0),0))</f>
        <v>46431</v>
      </c>
      <c r="B107">
        <f t="shared" si="2"/>
        <v>16</v>
      </c>
      <c r="C107">
        <f>IFERROR(COUNTIF(OFFSET('Schedule Raw Data'!$A$2,MATCH($A107,'Schedule Raw Data'!$A$3:$A$2477,0),1,COUNTIF('Schedule Raw Data'!$A$3:$A$2477,$A107),2),C$1),0)</f>
        <v>0</v>
      </c>
      <c r="D107">
        <f>IFERROR(COUNTIF(OFFSET('Schedule Raw Data'!$A$2,MATCH($A107,'Schedule Raw Data'!$A$3:$A$2477,0),1,COUNTIF('Schedule Raw Data'!$A$3:$A$2477,$A107),2),D$1),0)</f>
        <v>0</v>
      </c>
      <c r="E107">
        <f>IFERROR(COUNTIF(OFFSET('Schedule Raw Data'!$A$2,MATCH($A107,'Schedule Raw Data'!$A$3:$A$2477,0),1,COUNTIF('Schedule Raw Data'!$A$3:$A$2477,$A107),2),E$1),0)</f>
        <v>0</v>
      </c>
      <c r="F107">
        <f>IFERROR(COUNTIF(OFFSET('Schedule Raw Data'!$A$2,MATCH($A107,'Schedule Raw Data'!$A$3:$A$2477,0),1,COUNTIF('Schedule Raw Data'!$A$3:$A$2477,$A107),2),F$1),0)</f>
        <v>1</v>
      </c>
      <c r="G107">
        <f>IFERROR(COUNTIF(OFFSET('Schedule Raw Data'!$A$2,MATCH($A107,'Schedule Raw Data'!$A$3:$A$2477,0),1,COUNTIF('Schedule Raw Data'!$A$3:$A$2477,$A107),2),G$1),0)</f>
        <v>0</v>
      </c>
      <c r="H107">
        <f>IFERROR(COUNTIF(OFFSET('Schedule Raw Data'!$A$2,MATCH($A107,'Schedule Raw Data'!$A$3:$A$2477,0),1,COUNTIF('Schedule Raw Data'!$A$3:$A$2477,$A107),2),H$1),0)</f>
        <v>0</v>
      </c>
      <c r="I107">
        <f>IFERROR(COUNTIF(OFFSET('Schedule Raw Data'!$A$2,MATCH($A107,'Schedule Raw Data'!$A$3:$A$2477,0),1,COUNTIF('Schedule Raw Data'!$A$3:$A$2477,$A107),2),I$1),0)</f>
        <v>1</v>
      </c>
      <c r="J107">
        <f>IFERROR(COUNTIF(OFFSET('Schedule Raw Data'!$A$2,MATCH($A107,'Schedule Raw Data'!$A$3:$A$2477,0),1,COUNTIF('Schedule Raw Data'!$A$3:$A$2477,$A107),2),J$1),0)</f>
        <v>0</v>
      </c>
      <c r="K107">
        <f>IFERROR(COUNTIF(OFFSET('Schedule Raw Data'!$A$2,MATCH($A107,'Schedule Raw Data'!$A$3:$A$2477,0),1,COUNTIF('Schedule Raw Data'!$A$3:$A$2477,$A107),2),K$1),0)</f>
        <v>1</v>
      </c>
      <c r="L107">
        <f>IFERROR(COUNTIF(OFFSET('Schedule Raw Data'!$A$2,MATCH($A107,'Schedule Raw Data'!$A$3:$A$2477,0),1,COUNTIF('Schedule Raw Data'!$A$3:$A$2477,$A107),2),L$1),0)</f>
        <v>1</v>
      </c>
      <c r="M107">
        <f>IFERROR(COUNTIF(OFFSET('Schedule Raw Data'!$A$2,MATCH($A107,'Schedule Raw Data'!$A$3:$A$2477,0),1,COUNTIF('Schedule Raw Data'!$A$3:$A$2477,$A107),2),M$1),0)</f>
        <v>0</v>
      </c>
      <c r="N107">
        <f>IFERROR(COUNTIF(OFFSET('Schedule Raw Data'!$A$2,MATCH($A107,'Schedule Raw Data'!$A$3:$A$2477,0),1,COUNTIF('Schedule Raw Data'!$A$3:$A$2477,$A107),2),N$1),0)</f>
        <v>1</v>
      </c>
      <c r="O107">
        <f>IFERROR(COUNTIF(OFFSET('Schedule Raw Data'!$A$2,MATCH($A107,'Schedule Raw Data'!$A$3:$A$2477,0),1,COUNTIF('Schedule Raw Data'!$A$3:$A$2477,$A107),2),O$1),0)</f>
        <v>0</v>
      </c>
      <c r="P107">
        <f>IFERROR(COUNTIF(OFFSET('Schedule Raw Data'!$A$2,MATCH($A107,'Schedule Raw Data'!$A$3:$A$2477,0),1,COUNTIF('Schedule Raw Data'!$A$3:$A$2477,$A107),2),P$1),0)</f>
        <v>0</v>
      </c>
      <c r="Q107">
        <f>IFERROR(COUNTIF(OFFSET('Schedule Raw Data'!$A$2,MATCH($A107,'Schedule Raw Data'!$A$3:$A$2477,0),1,COUNTIF('Schedule Raw Data'!$A$3:$A$2477,$A107),2),Q$1),0)</f>
        <v>0</v>
      </c>
      <c r="R107">
        <f>IFERROR(COUNTIF(OFFSET('Schedule Raw Data'!$A$2,MATCH($A107,'Schedule Raw Data'!$A$3:$A$2477,0),1,COUNTIF('Schedule Raw Data'!$A$3:$A$2477,$A107),2),R$1),0)</f>
        <v>0</v>
      </c>
      <c r="S107">
        <f>IFERROR(COUNTIF(OFFSET('Schedule Raw Data'!$A$2,MATCH($A107,'Schedule Raw Data'!$A$3:$A$2477,0),1,COUNTIF('Schedule Raw Data'!$A$3:$A$2477,$A107),2),S$1),0)</f>
        <v>1</v>
      </c>
      <c r="T107">
        <f>IFERROR(COUNTIF(OFFSET('Schedule Raw Data'!$A$2,MATCH($A107,'Schedule Raw Data'!$A$3:$A$2477,0),1,COUNTIF('Schedule Raw Data'!$A$3:$A$2477,$A107),2),T$1),0)</f>
        <v>0</v>
      </c>
      <c r="U107">
        <f>IFERROR(COUNTIF(OFFSET('Schedule Raw Data'!$A$2,MATCH($A107,'Schedule Raw Data'!$A$3:$A$2477,0),1,COUNTIF('Schedule Raw Data'!$A$3:$A$2477,$A107),2),U$1),0)</f>
        <v>0</v>
      </c>
      <c r="V107">
        <f>IFERROR(COUNTIF(OFFSET('Schedule Raw Data'!$A$2,MATCH($A107,'Schedule Raw Data'!$A$3:$A$2477,0),1,COUNTIF('Schedule Raw Data'!$A$3:$A$2477,$A107),2),V$1),0)</f>
        <v>1</v>
      </c>
      <c r="W107">
        <f>IFERROR(COUNTIF(OFFSET('Schedule Raw Data'!$A$2,MATCH($A107,'Schedule Raw Data'!$A$3:$A$2477,0),1,COUNTIF('Schedule Raw Data'!$A$3:$A$2477,$A107),2),W$1),0)</f>
        <v>1</v>
      </c>
      <c r="X107">
        <f>IFERROR(COUNTIF(OFFSET('Schedule Raw Data'!$A$2,MATCH($A107,'Schedule Raw Data'!$A$3:$A$2477,0),1,COUNTIF('Schedule Raw Data'!$A$3:$A$2477,$A107),2),X$1),0)</f>
        <v>1</v>
      </c>
      <c r="Y107">
        <f>IFERROR(COUNTIF(OFFSET('Schedule Raw Data'!$A$2,MATCH($A107,'Schedule Raw Data'!$A$3:$A$2477,0),1,COUNTIF('Schedule Raw Data'!$A$3:$A$2477,$A107),2),Y$1),0)</f>
        <v>1</v>
      </c>
      <c r="Z107">
        <f>IFERROR(COUNTIF(OFFSET('Schedule Raw Data'!$A$2,MATCH($A107,'Schedule Raw Data'!$A$3:$A$2477,0),1,COUNTIF('Schedule Raw Data'!$A$3:$A$2477,$A107),2),Z$1),0)</f>
        <v>0</v>
      </c>
      <c r="AA107">
        <f>IFERROR(COUNTIF(OFFSET('Schedule Raw Data'!$A$2,MATCH($A107,'Schedule Raw Data'!$A$3:$A$2477,0),1,COUNTIF('Schedule Raw Data'!$A$3:$A$2477,$A107),2),AA$1),0)</f>
        <v>1</v>
      </c>
      <c r="AB107">
        <f>IFERROR(COUNTIF(OFFSET('Schedule Raw Data'!$A$2,MATCH($A107,'Schedule Raw Data'!$A$3:$A$2477,0),1,COUNTIF('Schedule Raw Data'!$A$3:$A$2477,$A107),2),AB$1),0)</f>
        <v>1</v>
      </c>
      <c r="AC107">
        <f>IFERROR(COUNTIF(OFFSET('Schedule Raw Data'!$A$2,MATCH($A107,'Schedule Raw Data'!$A$3:$A$2477,0),1,COUNTIF('Schedule Raw Data'!$A$3:$A$2477,$A107),2),AC$1),0)</f>
        <v>1</v>
      </c>
      <c r="AD107">
        <f>IFERROR(COUNTIF(OFFSET('Schedule Raw Data'!$A$2,MATCH($A107,'Schedule Raw Data'!$A$3:$A$2477,0),1,COUNTIF('Schedule Raw Data'!$A$3:$A$2477,$A107),2),AD$1),0)</f>
        <v>0</v>
      </c>
      <c r="AE107">
        <f>IFERROR(COUNTIF(OFFSET('Schedule Raw Data'!$A$2,MATCH($A107,'Schedule Raw Data'!$A$3:$A$2477,0),1,COUNTIF('Schedule Raw Data'!$A$3:$A$2477,$A107),2),AE$1),0)</f>
        <v>0</v>
      </c>
      <c r="AF107">
        <f>IFERROR(COUNTIF(OFFSET('Schedule Raw Data'!$A$2,MATCH($A107,'Schedule Raw Data'!$A$3:$A$2477,0),1,COUNTIF('Schedule Raw Data'!$A$3:$A$2477,$A107),2),AF$1),0)</f>
        <v>1</v>
      </c>
      <c r="AG107">
        <f t="shared" si="1"/>
        <v>7</v>
      </c>
    </row>
    <row r="108">
      <c r="A108" s="30">
        <f t="array" ref="A108">INDEX('Schedule Raw Data'!$A$3:$A$2477,MATCH(0,INDEX(COUNTIF($A$1:A107,'Schedule Raw Data'!$A$3:$A$2477),0,0),0))</f>
        <v>46432</v>
      </c>
      <c r="B108">
        <f t="shared" si="2"/>
        <v>16</v>
      </c>
      <c r="C108">
        <f>IFERROR(COUNTIF(OFFSET('Schedule Raw Data'!$A$2,MATCH($A108,'Schedule Raw Data'!$A$3:$A$2477,0),1,COUNTIF('Schedule Raw Data'!$A$3:$A$2477,$A108),2),C$1),0)</f>
        <v>1</v>
      </c>
      <c r="D108">
        <f>IFERROR(COUNTIF(OFFSET('Schedule Raw Data'!$A$2,MATCH($A108,'Schedule Raw Data'!$A$3:$A$2477,0),1,COUNTIF('Schedule Raw Data'!$A$3:$A$2477,$A108),2),D$1),0)</f>
        <v>1</v>
      </c>
      <c r="E108">
        <f>IFERROR(COUNTIF(OFFSET('Schedule Raw Data'!$A$2,MATCH($A108,'Schedule Raw Data'!$A$3:$A$2477,0),1,COUNTIF('Schedule Raw Data'!$A$3:$A$2477,$A108),2),E$1),0)</f>
        <v>1</v>
      </c>
      <c r="F108">
        <f>IFERROR(COUNTIF(OFFSET('Schedule Raw Data'!$A$2,MATCH($A108,'Schedule Raw Data'!$A$3:$A$2477,0),1,COUNTIF('Schedule Raw Data'!$A$3:$A$2477,$A108),2),F$1),0)</f>
        <v>0</v>
      </c>
      <c r="G108">
        <f>IFERROR(COUNTIF(OFFSET('Schedule Raw Data'!$A$2,MATCH($A108,'Schedule Raw Data'!$A$3:$A$2477,0),1,COUNTIF('Schedule Raw Data'!$A$3:$A$2477,$A108),2),G$1),0)</f>
        <v>1</v>
      </c>
      <c r="H108">
        <f>IFERROR(COUNTIF(OFFSET('Schedule Raw Data'!$A$2,MATCH($A108,'Schedule Raw Data'!$A$3:$A$2477,0),1,COUNTIF('Schedule Raw Data'!$A$3:$A$2477,$A108),2),H$1),0)</f>
        <v>1</v>
      </c>
      <c r="I108">
        <f>IFERROR(COUNTIF(OFFSET('Schedule Raw Data'!$A$2,MATCH($A108,'Schedule Raw Data'!$A$3:$A$2477,0),1,COUNTIF('Schedule Raw Data'!$A$3:$A$2477,$A108),2),I$1),0)</f>
        <v>0</v>
      </c>
      <c r="J108">
        <f>IFERROR(COUNTIF(OFFSET('Schedule Raw Data'!$A$2,MATCH($A108,'Schedule Raw Data'!$A$3:$A$2477,0),1,COUNTIF('Schedule Raw Data'!$A$3:$A$2477,$A108),2),J$1),0)</f>
        <v>1</v>
      </c>
      <c r="K108">
        <f>IFERROR(COUNTIF(OFFSET('Schedule Raw Data'!$A$2,MATCH($A108,'Schedule Raw Data'!$A$3:$A$2477,0),1,COUNTIF('Schedule Raw Data'!$A$3:$A$2477,$A108),2),K$1),0)</f>
        <v>0</v>
      </c>
      <c r="L108">
        <f>IFERROR(COUNTIF(OFFSET('Schedule Raw Data'!$A$2,MATCH($A108,'Schedule Raw Data'!$A$3:$A$2477,0),1,COUNTIF('Schedule Raw Data'!$A$3:$A$2477,$A108),2),L$1),0)</f>
        <v>0</v>
      </c>
      <c r="M108">
        <f>IFERROR(COUNTIF(OFFSET('Schedule Raw Data'!$A$2,MATCH($A108,'Schedule Raw Data'!$A$3:$A$2477,0),1,COUNTIF('Schedule Raw Data'!$A$3:$A$2477,$A108),2),M$1),0)</f>
        <v>1</v>
      </c>
      <c r="N108">
        <f>IFERROR(COUNTIF(OFFSET('Schedule Raw Data'!$A$2,MATCH($A108,'Schedule Raw Data'!$A$3:$A$2477,0),1,COUNTIF('Schedule Raw Data'!$A$3:$A$2477,$A108),2),N$1),0)</f>
        <v>0</v>
      </c>
      <c r="O108">
        <f>IFERROR(COUNTIF(OFFSET('Schedule Raw Data'!$A$2,MATCH($A108,'Schedule Raw Data'!$A$3:$A$2477,0),1,COUNTIF('Schedule Raw Data'!$A$3:$A$2477,$A108),2),O$1),0)</f>
        <v>1</v>
      </c>
      <c r="P108">
        <f>IFERROR(COUNTIF(OFFSET('Schedule Raw Data'!$A$2,MATCH($A108,'Schedule Raw Data'!$A$3:$A$2477,0),1,COUNTIF('Schedule Raw Data'!$A$3:$A$2477,$A108),2),P$1),0)</f>
        <v>0</v>
      </c>
      <c r="Q108">
        <f>IFERROR(COUNTIF(OFFSET('Schedule Raw Data'!$A$2,MATCH($A108,'Schedule Raw Data'!$A$3:$A$2477,0),1,COUNTIF('Schedule Raw Data'!$A$3:$A$2477,$A108),2),Q$1),0)</f>
        <v>0</v>
      </c>
      <c r="R108">
        <f>IFERROR(COUNTIF(OFFSET('Schedule Raw Data'!$A$2,MATCH($A108,'Schedule Raw Data'!$A$3:$A$2477,0),1,COUNTIF('Schedule Raw Data'!$A$3:$A$2477,$A108),2),R$1),0)</f>
        <v>1</v>
      </c>
      <c r="S108">
        <f>IFERROR(COUNTIF(OFFSET('Schedule Raw Data'!$A$2,MATCH($A108,'Schedule Raw Data'!$A$3:$A$2477,0),1,COUNTIF('Schedule Raw Data'!$A$3:$A$2477,$A108),2),S$1),0)</f>
        <v>0</v>
      </c>
      <c r="T108">
        <f>IFERROR(COUNTIF(OFFSET('Schedule Raw Data'!$A$2,MATCH($A108,'Schedule Raw Data'!$A$3:$A$2477,0),1,COUNTIF('Schedule Raw Data'!$A$3:$A$2477,$A108),2),T$1),0)</f>
        <v>0</v>
      </c>
      <c r="U108">
        <f>IFERROR(COUNTIF(OFFSET('Schedule Raw Data'!$A$2,MATCH($A108,'Schedule Raw Data'!$A$3:$A$2477,0),1,COUNTIF('Schedule Raw Data'!$A$3:$A$2477,$A108),2),U$1),0)</f>
        <v>1</v>
      </c>
      <c r="V108">
        <f>IFERROR(COUNTIF(OFFSET('Schedule Raw Data'!$A$2,MATCH($A108,'Schedule Raw Data'!$A$3:$A$2477,0),1,COUNTIF('Schedule Raw Data'!$A$3:$A$2477,$A108),2),V$1),0)</f>
        <v>0</v>
      </c>
      <c r="W108">
        <f>IFERROR(COUNTIF(OFFSET('Schedule Raw Data'!$A$2,MATCH($A108,'Schedule Raw Data'!$A$3:$A$2477,0),1,COUNTIF('Schedule Raw Data'!$A$3:$A$2477,$A108),2),W$1),0)</f>
        <v>0</v>
      </c>
      <c r="X108">
        <f>IFERROR(COUNTIF(OFFSET('Schedule Raw Data'!$A$2,MATCH($A108,'Schedule Raw Data'!$A$3:$A$2477,0),1,COUNTIF('Schedule Raw Data'!$A$3:$A$2477,$A108),2),X$1),0)</f>
        <v>0</v>
      </c>
      <c r="Y108">
        <f>IFERROR(COUNTIF(OFFSET('Schedule Raw Data'!$A$2,MATCH($A108,'Schedule Raw Data'!$A$3:$A$2477,0),1,COUNTIF('Schedule Raw Data'!$A$3:$A$2477,$A108),2),Y$1),0)</f>
        <v>0</v>
      </c>
      <c r="Z108">
        <f>IFERROR(COUNTIF(OFFSET('Schedule Raw Data'!$A$2,MATCH($A108,'Schedule Raw Data'!$A$3:$A$2477,0),1,COUNTIF('Schedule Raw Data'!$A$3:$A$2477,$A108),2),Z$1),0)</f>
        <v>1</v>
      </c>
      <c r="AA108">
        <f>IFERROR(COUNTIF(OFFSET('Schedule Raw Data'!$A$2,MATCH($A108,'Schedule Raw Data'!$A$3:$A$2477,0),1,COUNTIF('Schedule Raw Data'!$A$3:$A$2477,$A108),2),AA$1),0)</f>
        <v>1</v>
      </c>
      <c r="AB108">
        <f>IFERROR(COUNTIF(OFFSET('Schedule Raw Data'!$A$2,MATCH($A108,'Schedule Raw Data'!$A$3:$A$2477,0),1,COUNTIF('Schedule Raw Data'!$A$3:$A$2477,$A108),2),AB$1),0)</f>
        <v>1</v>
      </c>
      <c r="AC108">
        <f>IFERROR(COUNTIF(OFFSET('Schedule Raw Data'!$A$2,MATCH($A108,'Schedule Raw Data'!$A$3:$A$2477,0),1,COUNTIF('Schedule Raw Data'!$A$3:$A$2477,$A108),2),AC$1),0)</f>
        <v>0</v>
      </c>
      <c r="AD108">
        <f>IFERROR(COUNTIF(OFFSET('Schedule Raw Data'!$A$2,MATCH($A108,'Schedule Raw Data'!$A$3:$A$2477,0),1,COUNTIF('Schedule Raw Data'!$A$3:$A$2477,$A108),2),AD$1),0)</f>
        <v>1</v>
      </c>
      <c r="AE108">
        <f>IFERROR(COUNTIF(OFFSET('Schedule Raw Data'!$A$2,MATCH($A108,'Schedule Raw Data'!$A$3:$A$2477,0),1,COUNTIF('Schedule Raw Data'!$A$3:$A$2477,$A108),2),AE$1),0)</f>
        <v>0</v>
      </c>
      <c r="AF108">
        <f>IFERROR(COUNTIF(OFFSET('Schedule Raw Data'!$A$2,MATCH($A108,'Schedule Raw Data'!$A$3:$A$2477,0),1,COUNTIF('Schedule Raw Data'!$A$3:$A$2477,$A108),2),AF$1),0)</f>
        <v>0</v>
      </c>
      <c r="AG108">
        <f t="shared" si="1"/>
        <v>7</v>
      </c>
    </row>
    <row r="109">
      <c r="A109" s="30">
        <f t="array" ref="A109">INDEX('Schedule Raw Data'!$A$3:$A$2477,MATCH(0,INDEX(COUNTIF($A$1:A108,'Schedule Raw Data'!$A$3:$A$2477),0,0),0))</f>
        <v>46433</v>
      </c>
      <c r="B109">
        <f t="shared" si="2"/>
        <v>17</v>
      </c>
      <c r="C109">
        <f>IFERROR(COUNTIF(OFFSET('Schedule Raw Data'!$A$2,MATCH($A109,'Schedule Raw Data'!$A$3:$A$2477,0),1,COUNTIF('Schedule Raw Data'!$A$3:$A$2477,$A109),2),C$1),0)</f>
        <v>0</v>
      </c>
      <c r="D109">
        <f>IFERROR(COUNTIF(OFFSET('Schedule Raw Data'!$A$2,MATCH($A109,'Schedule Raw Data'!$A$3:$A$2477,0),1,COUNTIF('Schedule Raw Data'!$A$3:$A$2477,$A109),2),D$1),0)</f>
        <v>0</v>
      </c>
      <c r="E109">
        <f>IFERROR(COUNTIF(OFFSET('Schedule Raw Data'!$A$2,MATCH($A109,'Schedule Raw Data'!$A$3:$A$2477,0),1,COUNTIF('Schedule Raw Data'!$A$3:$A$2477,$A109),2),E$1),0)</f>
        <v>0</v>
      </c>
      <c r="F109">
        <f>IFERROR(COUNTIF(OFFSET('Schedule Raw Data'!$A$2,MATCH($A109,'Schedule Raw Data'!$A$3:$A$2477,0),1,COUNTIF('Schedule Raw Data'!$A$3:$A$2477,$A109),2),F$1),0)</f>
        <v>1</v>
      </c>
      <c r="G109">
        <f>IFERROR(COUNTIF(OFFSET('Schedule Raw Data'!$A$2,MATCH($A109,'Schedule Raw Data'!$A$3:$A$2477,0),1,COUNTIF('Schedule Raw Data'!$A$3:$A$2477,$A109),2),G$1),0)</f>
        <v>0</v>
      </c>
      <c r="H109">
        <f>IFERROR(COUNTIF(OFFSET('Schedule Raw Data'!$A$2,MATCH($A109,'Schedule Raw Data'!$A$3:$A$2477,0),1,COUNTIF('Schedule Raw Data'!$A$3:$A$2477,$A109),2),H$1),0)</f>
        <v>0</v>
      </c>
      <c r="I109">
        <f>IFERROR(COUNTIF(OFFSET('Schedule Raw Data'!$A$2,MATCH($A109,'Schedule Raw Data'!$A$3:$A$2477,0),1,COUNTIF('Schedule Raw Data'!$A$3:$A$2477,$A109),2),I$1),0)</f>
        <v>1</v>
      </c>
      <c r="J109">
        <f>IFERROR(COUNTIF(OFFSET('Schedule Raw Data'!$A$2,MATCH($A109,'Schedule Raw Data'!$A$3:$A$2477,0),1,COUNTIF('Schedule Raw Data'!$A$3:$A$2477,$A109),2),J$1),0)</f>
        <v>0</v>
      </c>
      <c r="K109">
        <f>IFERROR(COUNTIF(OFFSET('Schedule Raw Data'!$A$2,MATCH($A109,'Schedule Raw Data'!$A$3:$A$2477,0),1,COUNTIF('Schedule Raw Data'!$A$3:$A$2477,$A109),2),K$1),0)</f>
        <v>1</v>
      </c>
      <c r="L109">
        <f>IFERROR(COUNTIF(OFFSET('Schedule Raw Data'!$A$2,MATCH($A109,'Schedule Raw Data'!$A$3:$A$2477,0),1,COUNTIF('Schedule Raw Data'!$A$3:$A$2477,$A109),2),L$1),0)</f>
        <v>1</v>
      </c>
      <c r="M109">
        <f>IFERROR(COUNTIF(OFFSET('Schedule Raw Data'!$A$2,MATCH($A109,'Schedule Raw Data'!$A$3:$A$2477,0),1,COUNTIF('Schedule Raw Data'!$A$3:$A$2477,$A109),2),M$1),0)</f>
        <v>0</v>
      </c>
      <c r="N109">
        <f>IFERROR(COUNTIF(OFFSET('Schedule Raw Data'!$A$2,MATCH($A109,'Schedule Raw Data'!$A$3:$A$2477,0),1,COUNTIF('Schedule Raw Data'!$A$3:$A$2477,$A109),2),N$1),0)</f>
        <v>1</v>
      </c>
      <c r="O109">
        <f>IFERROR(COUNTIF(OFFSET('Schedule Raw Data'!$A$2,MATCH($A109,'Schedule Raw Data'!$A$3:$A$2477,0),1,COUNTIF('Schedule Raw Data'!$A$3:$A$2477,$A109),2),O$1),0)</f>
        <v>0</v>
      </c>
      <c r="P109">
        <f>IFERROR(COUNTIF(OFFSET('Schedule Raw Data'!$A$2,MATCH($A109,'Schedule Raw Data'!$A$3:$A$2477,0),1,COUNTIF('Schedule Raw Data'!$A$3:$A$2477,$A109),2),P$1),0)</f>
        <v>0</v>
      </c>
      <c r="Q109">
        <f>IFERROR(COUNTIF(OFFSET('Schedule Raw Data'!$A$2,MATCH($A109,'Schedule Raw Data'!$A$3:$A$2477,0),1,COUNTIF('Schedule Raw Data'!$A$3:$A$2477,$A109),2),Q$1),0)</f>
        <v>1</v>
      </c>
      <c r="R109">
        <f>IFERROR(COUNTIF(OFFSET('Schedule Raw Data'!$A$2,MATCH($A109,'Schedule Raw Data'!$A$3:$A$2477,0),1,COUNTIF('Schedule Raw Data'!$A$3:$A$2477,$A109),2),R$1),0)</f>
        <v>1</v>
      </c>
      <c r="S109">
        <f>IFERROR(COUNTIF(OFFSET('Schedule Raw Data'!$A$2,MATCH($A109,'Schedule Raw Data'!$A$3:$A$2477,0),1,COUNTIF('Schedule Raw Data'!$A$3:$A$2477,$A109),2),S$1),0)</f>
        <v>0</v>
      </c>
      <c r="T109">
        <f>IFERROR(COUNTIF(OFFSET('Schedule Raw Data'!$A$2,MATCH($A109,'Schedule Raw Data'!$A$3:$A$2477,0),1,COUNTIF('Schedule Raw Data'!$A$3:$A$2477,$A109),2),T$1),0)</f>
        <v>1</v>
      </c>
      <c r="U109">
        <f>IFERROR(COUNTIF(OFFSET('Schedule Raw Data'!$A$2,MATCH($A109,'Schedule Raw Data'!$A$3:$A$2477,0),1,COUNTIF('Schedule Raw Data'!$A$3:$A$2477,$A109),2),U$1),0)</f>
        <v>0</v>
      </c>
      <c r="V109">
        <f>IFERROR(COUNTIF(OFFSET('Schedule Raw Data'!$A$2,MATCH($A109,'Schedule Raw Data'!$A$3:$A$2477,0),1,COUNTIF('Schedule Raw Data'!$A$3:$A$2477,$A109),2),V$1),0)</f>
        <v>1</v>
      </c>
      <c r="W109">
        <f>IFERROR(COUNTIF(OFFSET('Schedule Raw Data'!$A$2,MATCH($A109,'Schedule Raw Data'!$A$3:$A$2477,0),1,COUNTIF('Schedule Raw Data'!$A$3:$A$2477,$A109),2),W$1),0)</f>
        <v>1</v>
      </c>
      <c r="X109">
        <f>IFERROR(COUNTIF(OFFSET('Schedule Raw Data'!$A$2,MATCH($A109,'Schedule Raw Data'!$A$3:$A$2477,0),1,COUNTIF('Schedule Raw Data'!$A$3:$A$2477,$A109),2),X$1),0)</f>
        <v>1</v>
      </c>
      <c r="Y109">
        <f>IFERROR(COUNTIF(OFFSET('Schedule Raw Data'!$A$2,MATCH($A109,'Schedule Raw Data'!$A$3:$A$2477,0),1,COUNTIF('Schedule Raw Data'!$A$3:$A$2477,$A109),2),Y$1),0)</f>
        <v>1</v>
      </c>
      <c r="Z109">
        <f>IFERROR(COUNTIF(OFFSET('Schedule Raw Data'!$A$2,MATCH($A109,'Schedule Raw Data'!$A$3:$A$2477,0),1,COUNTIF('Schedule Raw Data'!$A$3:$A$2477,$A109),2),Z$1),0)</f>
        <v>1</v>
      </c>
      <c r="AA109">
        <f>IFERROR(COUNTIF(OFFSET('Schedule Raw Data'!$A$2,MATCH($A109,'Schedule Raw Data'!$A$3:$A$2477,0),1,COUNTIF('Schedule Raw Data'!$A$3:$A$2477,$A109),2),AA$1),0)</f>
        <v>0</v>
      </c>
      <c r="AB109">
        <f>IFERROR(COUNTIF(OFFSET('Schedule Raw Data'!$A$2,MATCH($A109,'Schedule Raw Data'!$A$3:$A$2477,0),1,COUNTIF('Schedule Raw Data'!$A$3:$A$2477,$A109),2),AB$1),0)</f>
        <v>0</v>
      </c>
      <c r="AC109">
        <f>IFERROR(COUNTIF(OFFSET('Schedule Raw Data'!$A$2,MATCH($A109,'Schedule Raw Data'!$A$3:$A$2477,0),1,COUNTIF('Schedule Raw Data'!$A$3:$A$2477,$A109),2),AC$1),0)</f>
        <v>1</v>
      </c>
      <c r="AD109">
        <f>IFERROR(COUNTIF(OFFSET('Schedule Raw Data'!$A$2,MATCH($A109,'Schedule Raw Data'!$A$3:$A$2477,0),1,COUNTIF('Schedule Raw Data'!$A$3:$A$2477,$A109),2),AD$1),0)</f>
        <v>0</v>
      </c>
      <c r="AE109">
        <f>IFERROR(COUNTIF(OFFSET('Schedule Raw Data'!$A$2,MATCH($A109,'Schedule Raw Data'!$A$3:$A$2477,0),1,COUNTIF('Schedule Raw Data'!$A$3:$A$2477,$A109),2),AE$1),0)</f>
        <v>1</v>
      </c>
      <c r="AF109">
        <f>IFERROR(COUNTIF(OFFSET('Schedule Raw Data'!$A$2,MATCH($A109,'Schedule Raw Data'!$A$3:$A$2477,0),1,COUNTIF('Schedule Raw Data'!$A$3:$A$2477,$A109),2),AF$1),0)</f>
        <v>1</v>
      </c>
      <c r="AG109">
        <f t="shared" si="1"/>
        <v>8</v>
      </c>
    </row>
    <row r="110">
      <c r="A110" s="30">
        <f t="array" ref="A110">INDEX('Schedule Raw Data'!$A$3:$A$2477,MATCH(0,INDEX(COUNTIF($A$1:A109,'Schedule Raw Data'!$A$3:$A$2477),0,0),0))</f>
        <v>46434</v>
      </c>
      <c r="B110">
        <f t="shared" si="2"/>
        <v>17</v>
      </c>
      <c r="C110">
        <f>IFERROR(COUNTIF(OFFSET('Schedule Raw Data'!$A$2,MATCH($A110,'Schedule Raw Data'!$A$3:$A$2477,0),1,COUNTIF('Schedule Raw Data'!$A$3:$A$2477,$A110),2),C$1),0)</f>
        <v>1</v>
      </c>
      <c r="D110">
        <f>IFERROR(COUNTIF(OFFSET('Schedule Raw Data'!$A$2,MATCH($A110,'Schedule Raw Data'!$A$3:$A$2477,0),1,COUNTIF('Schedule Raw Data'!$A$3:$A$2477,$A110),2),D$1),0)</f>
        <v>0</v>
      </c>
      <c r="E110">
        <f>IFERROR(COUNTIF(OFFSET('Schedule Raw Data'!$A$2,MATCH($A110,'Schedule Raw Data'!$A$3:$A$2477,0),1,COUNTIF('Schedule Raw Data'!$A$3:$A$2477,$A110),2),E$1),0)</f>
        <v>0</v>
      </c>
      <c r="F110">
        <f>IFERROR(COUNTIF(OFFSET('Schedule Raw Data'!$A$2,MATCH($A110,'Schedule Raw Data'!$A$3:$A$2477,0),1,COUNTIF('Schedule Raw Data'!$A$3:$A$2477,$A110),2),F$1),0)</f>
        <v>0</v>
      </c>
      <c r="G110">
        <f>IFERROR(COUNTIF(OFFSET('Schedule Raw Data'!$A$2,MATCH($A110,'Schedule Raw Data'!$A$3:$A$2477,0),1,COUNTIF('Schedule Raw Data'!$A$3:$A$2477,$A110),2),G$1),0)</f>
        <v>1</v>
      </c>
      <c r="H110">
        <f>IFERROR(COUNTIF(OFFSET('Schedule Raw Data'!$A$2,MATCH($A110,'Schedule Raw Data'!$A$3:$A$2477,0),1,COUNTIF('Schedule Raw Data'!$A$3:$A$2477,$A110),2),H$1),0)</f>
        <v>1</v>
      </c>
      <c r="I110">
        <f>IFERROR(COUNTIF(OFFSET('Schedule Raw Data'!$A$2,MATCH($A110,'Schedule Raw Data'!$A$3:$A$2477,0),1,COUNTIF('Schedule Raw Data'!$A$3:$A$2477,$A110),2),I$1),0)</f>
        <v>0</v>
      </c>
      <c r="J110">
        <f>IFERROR(COUNTIF(OFFSET('Schedule Raw Data'!$A$2,MATCH($A110,'Schedule Raw Data'!$A$3:$A$2477,0),1,COUNTIF('Schedule Raw Data'!$A$3:$A$2477,$A110),2),J$1),0)</f>
        <v>0</v>
      </c>
      <c r="K110">
        <f>IFERROR(COUNTIF(OFFSET('Schedule Raw Data'!$A$2,MATCH($A110,'Schedule Raw Data'!$A$3:$A$2477,0),1,COUNTIF('Schedule Raw Data'!$A$3:$A$2477,$A110),2),K$1),0)</f>
        <v>0</v>
      </c>
      <c r="L110">
        <f>IFERROR(COUNTIF(OFFSET('Schedule Raw Data'!$A$2,MATCH($A110,'Schedule Raw Data'!$A$3:$A$2477,0),1,COUNTIF('Schedule Raw Data'!$A$3:$A$2477,$A110),2),L$1),0)</f>
        <v>0</v>
      </c>
      <c r="M110">
        <f>IFERROR(COUNTIF(OFFSET('Schedule Raw Data'!$A$2,MATCH($A110,'Schedule Raw Data'!$A$3:$A$2477,0),1,COUNTIF('Schedule Raw Data'!$A$3:$A$2477,$A110),2),M$1),0)</f>
        <v>1</v>
      </c>
      <c r="N110">
        <f>IFERROR(COUNTIF(OFFSET('Schedule Raw Data'!$A$2,MATCH($A110,'Schedule Raw Data'!$A$3:$A$2477,0),1,COUNTIF('Schedule Raw Data'!$A$3:$A$2477,$A110),2),N$1),0)</f>
        <v>0</v>
      </c>
      <c r="O110">
        <f>IFERROR(COUNTIF(OFFSET('Schedule Raw Data'!$A$2,MATCH($A110,'Schedule Raw Data'!$A$3:$A$2477,0),1,COUNTIF('Schedule Raw Data'!$A$3:$A$2477,$A110),2),O$1),0)</f>
        <v>1</v>
      </c>
      <c r="P110">
        <f>IFERROR(COUNTIF(OFFSET('Schedule Raw Data'!$A$2,MATCH($A110,'Schedule Raw Data'!$A$3:$A$2477,0),1,COUNTIF('Schedule Raw Data'!$A$3:$A$2477,$A110),2),P$1),0)</f>
        <v>1</v>
      </c>
      <c r="Q110">
        <f>IFERROR(COUNTIF(OFFSET('Schedule Raw Data'!$A$2,MATCH($A110,'Schedule Raw Data'!$A$3:$A$2477,0),1,COUNTIF('Schedule Raw Data'!$A$3:$A$2477,$A110),2),Q$1),0)</f>
        <v>0</v>
      </c>
      <c r="R110">
        <f>IFERROR(COUNTIF(OFFSET('Schedule Raw Data'!$A$2,MATCH($A110,'Schedule Raw Data'!$A$3:$A$2477,0),1,COUNTIF('Schedule Raw Data'!$A$3:$A$2477,$A110),2),R$1),0)</f>
        <v>0</v>
      </c>
      <c r="S110">
        <f>IFERROR(COUNTIF(OFFSET('Schedule Raw Data'!$A$2,MATCH($A110,'Schedule Raw Data'!$A$3:$A$2477,0),1,COUNTIF('Schedule Raw Data'!$A$3:$A$2477,$A110),2),S$1),0)</f>
        <v>1</v>
      </c>
      <c r="T110">
        <f>IFERROR(COUNTIF(OFFSET('Schedule Raw Data'!$A$2,MATCH($A110,'Schedule Raw Data'!$A$3:$A$2477,0),1,COUNTIF('Schedule Raw Data'!$A$3:$A$2477,$A110),2),T$1),0)</f>
        <v>0</v>
      </c>
      <c r="U110">
        <f>IFERROR(COUNTIF(OFFSET('Schedule Raw Data'!$A$2,MATCH($A110,'Schedule Raw Data'!$A$3:$A$2477,0),1,COUNTIF('Schedule Raw Data'!$A$3:$A$2477,$A110),2),U$1),0)</f>
        <v>1</v>
      </c>
      <c r="V110">
        <f>IFERROR(COUNTIF(OFFSET('Schedule Raw Data'!$A$2,MATCH($A110,'Schedule Raw Data'!$A$3:$A$2477,0),1,COUNTIF('Schedule Raw Data'!$A$3:$A$2477,$A110),2),V$1),0)</f>
        <v>0</v>
      </c>
      <c r="W110">
        <f>IFERROR(COUNTIF(OFFSET('Schedule Raw Data'!$A$2,MATCH($A110,'Schedule Raw Data'!$A$3:$A$2477,0),1,COUNTIF('Schedule Raw Data'!$A$3:$A$2477,$A110),2),W$1),0)</f>
        <v>0</v>
      </c>
      <c r="X110">
        <f>IFERROR(COUNTIF(OFFSET('Schedule Raw Data'!$A$2,MATCH($A110,'Schedule Raw Data'!$A$3:$A$2477,0),1,COUNTIF('Schedule Raw Data'!$A$3:$A$2477,$A110),2),X$1),0)</f>
        <v>0</v>
      </c>
      <c r="Y110">
        <f>IFERROR(COUNTIF(OFFSET('Schedule Raw Data'!$A$2,MATCH($A110,'Schedule Raw Data'!$A$3:$A$2477,0),1,COUNTIF('Schedule Raw Data'!$A$3:$A$2477,$A110),2),Y$1),0)</f>
        <v>0</v>
      </c>
      <c r="Z110">
        <f>IFERROR(COUNTIF(OFFSET('Schedule Raw Data'!$A$2,MATCH($A110,'Schedule Raw Data'!$A$3:$A$2477,0),1,COUNTIF('Schedule Raw Data'!$A$3:$A$2477,$A110),2),Z$1),0)</f>
        <v>0</v>
      </c>
      <c r="AA110">
        <f>IFERROR(COUNTIF(OFFSET('Schedule Raw Data'!$A$2,MATCH($A110,'Schedule Raw Data'!$A$3:$A$2477,0),1,COUNTIF('Schedule Raw Data'!$A$3:$A$2477,$A110),2),AA$1),0)</f>
        <v>1</v>
      </c>
      <c r="AB110">
        <f>IFERROR(COUNTIF(OFFSET('Schedule Raw Data'!$A$2,MATCH($A110,'Schedule Raw Data'!$A$3:$A$2477,0),1,COUNTIF('Schedule Raw Data'!$A$3:$A$2477,$A110),2),AB$1),0)</f>
        <v>0</v>
      </c>
      <c r="AC110">
        <f>IFERROR(COUNTIF(OFFSET('Schedule Raw Data'!$A$2,MATCH($A110,'Schedule Raw Data'!$A$3:$A$2477,0),1,COUNTIF('Schedule Raw Data'!$A$3:$A$2477,$A110),2),AC$1),0)</f>
        <v>0</v>
      </c>
      <c r="AD110">
        <f>IFERROR(COUNTIF(OFFSET('Schedule Raw Data'!$A$2,MATCH($A110,'Schedule Raw Data'!$A$3:$A$2477,0),1,COUNTIF('Schedule Raw Data'!$A$3:$A$2477,$A110),2),AD$1),0)</f>
        <v>1</v>
      </c>
      <c r="AE110">
        <f>IFERROR(COUNTIF(OFFSET('Schedule Raw Data'!$A$2,MATCH($A110,'Schedule Raw Data'!$A$3:$A$2477,0),1,COUNTIF('Schedule Raw Data'!$A$3:$A$2477,$A110),2),AE$1),0)</f>
        <v>0</v>
      </c>
      <c r="AF110">
        <f>IFERROR(COUNTIF(OFFSET('Schedule Raw Data'!$A$2,MATCH($A110,'Schedule Raw Data'!$A$3:$A$2477,0),1,COUNTIF('Schedule Raw Data'!$A$3:$A$2477,$A110),2),AF$1),0)</f>
        <v>0</v>
      </c>
      <c r="AG110">
        <f t="shared" si="1"/>
        <v>5</v>
      </c>
    </row>
    <row r="111">
      <c r="A111" s="30">
        <f t="array" ref="A111">INDEX('Schedule Raw Data'!$A$3:$A$2477,MATCH(0,INDEX(COUNTIF($A$1:A110,'Schedule Raw Data'!$A$3:$A$2477),0,0),0))</f>
        <v>46435</v>
      </c>
      <c r="B111">
        <f t="shared" si="2"/>
        <v>17</v>
      </c>
      <c r="C111">
        <f>IFERROR(COUNTIF(OFFSET('Schedule Raw Data'!$A$2,MATCH($A111,'Schedule Raw Data'!$A$3:$A$2477,0),1,COUNTIF('Schedule Raw Data'!$A$3:$A$2477,$A111),2),C$1),0)</f>
        <v>1</v>
      </c>
      <c r="D111">
        <f>IFERROR(COUNTIF(OFFSET('Schedule Raw Data'!$A$2,MATCH($A111,'Schedule Raw Data'!$A$3:$A$2477,0),1,COUNTIF('Schedule Raw Data'!$A$3:$A$2477,$A111),2),D$1),0)</f>
        <v>1</v>
      </c>
      <c r="E111">
        <f>IFERROR(COUNTIF(OFFSET('Schedule Raw Data'!$A$2,MATCH($A111,'Schedule Raw Data'!$A$3:$A$2477,0),1,COUNTIF('Schedule Raw Data'!$A$3:$A$2477,$A111),2),E$1),0)</f>
        <v>1</v>
      </c>
      <c r="F111">
        <f>IFERROR(COUNTIF(OFFSET('Schedule Raw Data'!$A$2,MATCH($A111,'Schedule Raw Data'!$A$3:$A$2477,0),1,COUNTIF('Schedule Raw Data'!$A$3:$A$2477,$A111),2),F$1),0)</f>
        <v>1</v>
      </c>
      <c r="G111">
        <f>IFERROR(COUNTIF(OFFSET('Schedule Raw Data'!$A$2,MATCH($A111,'Schedule Raw Data'!$A$3:$A$2477,0),1,COUNTIF('Schedule Raw Data'!$A$3:$A$2477,$A111),2),G$1),0)</f>
        <v>1</v>
      </c>
      <c r="H111">
        <f>IFERROR(COUNTIF(OFFSET('Schedule Raw Data'!$A$2,MATCH($A111,'Schedule Raw Data'!$A$3:$A$2477,0),1,COUNTIF('Schedule Raw Data'!$A$3:$A$2477,$A111),2),H$1),0)</f>
        <v>1</v>
      </c>
      <c r="I111">
        <f>IFERROR(COUNTIF(OFFSET('Schedule Raw Data'!$A$2,MATCH($A111,'Schedule Raw Data'!$A$3:$A$2477,0),1,COUNTIF('Schedule Raw Data'!$A$3:$A$2477,$A111),2),I$1),0)</f>
        <v>1</v>
      </c>
      <c r="J111">
        <f>IFERROR(COUNTIF(OFFSET('Schedule Raw Data'!$A$2,MATCH($A111,'Schedule Raw Data'!$A$3:$A$2477,0),1,COUNTIF('Schedule Raw Data'!$A$3:$A$2477,$A111),2),J$1),0)</f>
        <v>1</v>
      </c>
      <c r="K111">
        <f>IFERROR(COUNTIF(OFFSET('Schedule Raw Data'!$A$2,MATCH($A111,'Schedule Raw Data'!$A$3:$A$2477,0),1,COUNTIF('Schedule Raw Data'!$A$3:$A$2477,$A111),2),K$1),0)</f>
        <v>1</v>
      </c>
      <c r="L111">
        <f>IFERROR(COUNTIF(OFFSET('Schedule Raw Data'!$A$2,MATCH($A111,'Schedule Raw Data'!$A$3:$A$2477,0),1,COUNTIF('Schedule Raw Data'!$A$3:$A$2477,$A111),2),L$1),0)</f>
        <v>1</v>
      </c>
      <c r="M111">
        <f>IFERROR(COUNTIF(OFFSET('Schedule Raw Data'!$A$2,MATCH($A111,'Schedule Raw Data'!$A$3:$A$2477,0),1,COUNTIF('Schedule Raw Data'!$A$3:$A$2477,$A111),2),M$1),0)</f>
        <v>0</v>
      </c>
      <c r="N111">
        <f>IFERROR(COUNTIF(OFFSET('Schedule Raw Data'!$A$2,MATCH($A111,'Schedule Raw Data'!$A$3:$A$2477,0),1,COUNTIF('Schedule Raw Data'!$A$3:$A$2477,$A111),2),N$1),0)</f>
        <v>1</v>
      </c>
      <c r="O111">
        <f>IFERROR(COUNTIF(OFFSET('Schedule Raw Data'!$A$2,MATCH($A111,'Schedule Raw Data'!$A$3:$A$2477,0),1,COUNTIF('Schedule Raw Data'!$A$3:$A$2477,$A111),2),O$1),0)</f>
        <v>1</v>
      </c>
      <c r="P111">
        <f>IFERROR(COUNTIF(OFFSET('Schedule Raw Data'!$A$2,MATCH($A111,'Schedule Raw Data'!$A$3:$A$2477,0),1,COUNTIF('Schedule Raw Data'!$A$3:$A$2477,$A111),2),P$1),0)</f>
        <v>0</v>
      </c>
      <c r="Q111">
        <f>IFERROR(COUNTIF(OFFSET('Schedule Raw Data'!$A$2,MATCH($A111,'Schedule Raw Data'!$A$3:$A$2477,0),1,COUNTIF('Schedule Raw Data'!$A$3:$A$2477,$A111),2),Q$1),0)</f>
        <v>1</v>
      </c>
      <c r="R111">
        <f>IFERROR(COUNTIF(OFFSET('Schedule Raw Data'!$A$2,MATCH($A111,'Schedule Raw Data'!$A$3:$A$2477,0),1,COUNTIF('Schedule Raw Data'!$A$3:$A$2477,$A111),2),R$1),0)</f>
        <v>1</v>
      </c>
      <c r="S111">
        <f>IFERROR(COUNTIF(OFFSET('Schedule Raw Data'!$A$2,MATCH($A111,'Schedule Raw Data'!$A$3:$A$2477,0),1,COUNTIF('Schedule Raw Data'!$A$3:$A$2477,$A111),2),S$1),0)</f>
        <v>1</v>
      </c>
      <c r="T111">
        <f>IFERROR(COUNTIF(OFFSET('Schedule Raw Data'!$A$2,MATCH($A111,'Schedule Raw Data'!$A$3:$A$2477,0),1,COUNTIF('Schedule Raw Data'!$A$3:$A$2477,$A111),2),T$1),0)</f>
        <v>0</v>
      </c>
      <c r="U111">
        <f>IFERROR(COUNTIF(OFFSET('Schedule Raw Data'!$A$2,MATCH($A111,'Schedule Raw Data'!$A$3:$A$2477,0),1,COUNTIF('Schedule Raw Data'!$A$3:$A$2477,$A111),2),U$1),0)</f>
        <v>1</v>
      </c>
      <c r="V111">
        <f>IFERROR(COUNTIF(OFFSET('Schedule Raw Data'!$A$2,MATCH($A111,'Schedule Raw Data'!$A$3:$A$2477,0),1,COUNTIF('Schedule Raw Data'!$A$3:$A$2477,$A111),2),V$1),0)</f>
        <v>1</v>
      </c>
      <c r="W111">
        <f>IFERROR(COUNTIF(OFFSET('Schedule Raw Data'!$A$2,MATCH($A111,'Schedule Raw Data'!$A$3:$A$2477,0),1,COUNTIF('Schedule Raw Data'!$A$3:$A$2477,$A111),2),W$1),0)</f>
        <v>1</v>
      </c>
      <c r="X111">
        <f>IFERROR(COUNTIF(OFFSET('Schedule Raw Data'!$A$2,MATCH($A111,'Schedule Raw Data'!$A$3:$A$2477,0),1,COUNTIF('Schedule Raw Data'!$A$3:$A$2477,$A111),2),X$1),0)</f>
        <v>1</v>
      </c>
      <c r="Y111">
        <f>IFERROR(COUNTIF(OFFSET('Schedule Raw Data'!$A$2,MATCH($A111,'Schedule Raw Data'!$A$3:$A$2477,0),1,COUNTIF('Schedule Raw Data'!$A$3:$A$2477,$A111),2),Y$1),0)</f>
        <v>1</v>
      </c>
      <c r="Z111">
        <f>IFERROR(COUNTIF(OFFSET('Schedule Raw Data'!$A$2,MATCH($A111,'Schedule Raw Data'!$A$3:$A$2477,0),1,COUNTIF('Schedule Raw Data'!$A$3:$A$2477,$A111),2),Z$1),0)</f>
        <v>1</v>
      </c>
      <c r="AA111">
        <f>IFERROR(COUNTIF(OFFSET('Schedule Raw Data'!$A$2,MATCH($A111,'Schedule Raw Data'!$A$3:$A$2477,0),1,COUNTIF('Schedule Raw Data'!$A$3:$A$2477,$A111),2),AA$1),0)</f>
        <v>0</v>
      </c>
      <c r="AB111">
        <f>IFERROR(COUNTIF(OFFSET('Schedule Raw Data'!$A$2,MATCH($A111,'Schedule Raw Data'!$A$3:$A$2477,0),1,COUNTIF('Schedule Raw Data'!$A$3:$A$2477,$A111),2),AB$1),0)</f>
        <v>1</v>
      </c>
      <c r="AC111">
        <f>IFERROR(COUNTIF(OFFSET('Schedule Raw Data'!$A$2,MATCH($A111,'Schedule Raw Data'!$A$3:$A$2477,0),1,COUNTIF('Schedule Raw Data'!$A$3:$A$2477,$A111),2),AC$1),0)</f>
        <v>1</v>
      </c>
      <c r="AD111">
        <f>IFERROR(COUNTIF(OFFSET('Schedule Raw Data'!$A$2,MATCH($A111,'Schedule Raw Data'!$A$3:$A$2477,0),1,COUNTIF('Schedule Raw Data'!$A$3:$A$2477,$A111),2),AD$1),0)</f>
        <v>1</v>
      </c>
      <c r="AE111">
        <f>IFERROR(COUNTIF(OFFSET('Schedule Raw Data'!$A$2,MATCH($A111,'Schedule Raw Data'!$A$3:$A$2477,0),1,COUNTIF('Schedule Raw Data'!$A$3:$A$2477,$A111),2),AE$1),0)</f>
        <v>1</v>
      </c>
      <c r="AF111">
        <f>IFERROR(COUNTIF(OFFSET('Schedule Raw Data'!$A$2,MATCH($A111,'Schedule Raw Data'!$A$3:$A$2477,0),1,COUNTIF('Schedule Raw Data'!$A$3:$A$2477,$A111),2),AF$1),0)</f>
        <v>1</v>
      </c>
      <c r="AG111">
        <f t="shared" si="1"/>
        <v>13</v>
      </c>
    </row>
    <row r="112">
      <c r="A112" s="30">
        <f t="array" ref="A112">INDEX('Schedule Raw Data'!$A$3:$A$2477,MATCH(0,INDEX(COUNTIF($A$1:A111,'Schedule Raw Data'!$A$3:$A$2477),0,0),0))</f>
        <v>46436</v>
      </c>
      <c r="B112">
        <f t="shared" si="2"/>
        <v>17</v>
      </c>
      <c r="C112">
        <f>IFERROR(COUNTIF(OFFSET('Schedule Raw Data'!$A$2,MATCH($A112,'Schedule Raw Data'!$A$3:$A$2477,0),1,COUNTIF('Schedule Raw Data'!$A$3:$A$2477,$A112),2),C$1),0)</f>
        <v>0</v>
      </c>
      <c r="D112">
        <f>IFERROR(COUNTIF(OFFSET('Schedule Raw Data'!$A$2,MATCH($A112,'Schedule Raw Data'!$A$3:$A$2477,0),1,COUNTIF('Schedule Raw Data'!$A$3:$A$2477,$A112),2),D$1),0)</f>
        <v>0</v>
      </c>
      <c r="E112">
        <f>IFERROR(COUNTIF(OFFSET('Schedule Raw Data'!$A$2,MATCH($A112,'Schedule Raw Data'!$A$3:$A$2477,0),1,COUNTIF('Schedule Raw Data'!$A$3:$A$2477,$A112),2),E$1),0)</f>
        <v>1</v>
      </c>
      <c r="F112">
        <f>IFERROR(COUNTIF(OFFSET('Schedule Raw Data'!$A$2,MATCH($A112,'Schedule Raw Data'!$A$3:$A$2477,0),1,COUNTIF('Schedule Raw Data'!$A$3:$A$2477,$A112),2),F$1),0)</f>
        <v>0</v>
      </c>
      <c r="G112">
        <f>IFERROR(COUNTIF(OFFSET('Schedule Raw Data'!$A$2,MATCH($A112,'Schedule Raw Data'!$A$3:$A$2477,0),1,COUNTIF('Schedule Raw Data'!$A$3:$A$2477,$A112),2),G$1),0)</f>
        <v>0</v>
      </c>
      <c r="H112">
        <f>IFERROR(COUNTIF(OFFSET('Schedule Raw Data'!$A$2,MATCH($A112,'Schedule Raw Data'!$A$3:$A$2477,0),1,COUNTIF('Schedule Raw Data'!$A$3:$A$2477,$A112),2),H$1),0)</f>
        <v>0</v>
      </c>
      <c r="I112">
        <f>IFERROR(COUNTIF(OFFSET('Schedule Raw Data'!$A$2,MATCH($A112,'Schedule Raw Data'!$A$3:$A$2477,0),1,COUNTIF('Schedule Raw Data'!$A$3:$A$2477,$A112),2),I$1),0)</f>
        <v>0</v>
      </c>
      <c r="J112">
        <f>IFERROR(COUNTIF(OFFSET('Schedule Raw Data'!$A$2,MATCH($A112,'Schedule Raw Data'!$A$3:$A$2477,0),1,COUNTIF('Schedule Raw Data'!$A$3:$A$2477,$A112),2),J$1),0)</f>
        <v>0</v>
      </c>
      <c r="K112">
        <f>IFERROR(COUNTIF(OFFSET('Schedule Raw Data'!$A$2,MATCH($A112,'Schedule Raw Data'!$A$3:$A$2477,0),1,COUNTIF('Schedule Raw Data'!$A$3:$A$2477,$A112),2),K$1),0)</f>
        <v>0</v>
      </c>
      <c r="L112">
        <f>IFERROR(COUNTIF(OFFSET('Schedule Raw Data'!$A$2,MATCH($A112,'Schedule Raw Data'!$A$3:$A$2477,0),1,COUNTIF('Schedule Raw Data'!$A$3:$A$2477,$A112),2),L$1),0)</f>
        <v>0</v>
      </c>
      <c r="M112">
        <f>IFERROR(COUNTIF(OFFSET('Schedule Raw Data'!$A$2,MATCH($A112,'Schedule Raw Data'!$A$3:$A$2477,0),1,COUNTIF('Schedule Raw Data'!$A$3:$A$2477,$A112),2),M$1),0)</f>
        <v>1</v>
      </c>
      <c r="N112">
        <f>IFERROR(COUNTIF(OFFSET('Schedule Raw Data'!$A$2,MATCH($A112,'Schedule Raw Data'!$A$3:$A$2477,0),1,COUNTIF('Schedule Raw Data'!$A$3:$A$2477,$A112),2),N$1),0)</f>
        <v>1</v>
      </c>
      <c r="O112">
        <f>IFERROR(COUNTIF(OFFSET('Schedule Raw Data'!$A$2,MATCH($A112,'Schedule Raw Data'!$A$3:$A$2477,0),1,COUNTIF('Schedule Raw Data'!$A$3:$A$2477,$A112),2),O$1),0)</f>
        <v>0</v>
      </c>
      <c r="P112">
        <f>IFERROR(COUNTIF(OFFSET('Schedule Raw Data'!$A$2,MATCH($A112,'Schedule Raw Data'!$A$3:$A$2477,0),1,COUNTIF('Schedule Raw Data'!$A$3:$A$2477,$A112),2),P$1),0)</f>
        <v>1</v>
      </c>
      <c r="Q112">
        <f>IFERROR(COUNTIF(OFFSET('Schedule Raw Data'!$A$2,MATCH($A112,'Schedule Raw Data'!$A$3:$A$2477,0),1,COUNTIF('Schedule Raw Data'!$A$3:$A$2477,$A112),2),Q$1),0)</f>
        <v>1</v>
      </c>
      <c r="R112">
        <f>IFERROR(COUNTIF(OFFSET('Schedule Raw Data'!$A$2,MATCH($A112,'Schedule Raw Data'!$A$3:$A$2477,0),1,COUNTIF('Schedule Raw Data'!$A$3:$A$2477,$A112),2),R$1),0)</f>
        <v>0</v>
      </c>
      <c r="S112">
        <f>IFERROR(COUNTIF(OFFSET('Schedule Raw Data'!$A$2,MATCH($A112,'Schedule Raw Data'!$A$3:$A$2477,0),1,COUNTIF('Schedule Raw Data'!$A$3:$A$2477,$A112),2),S$1),0)</f>
        <v>0</v>
      </c>
      <c r="T112">
        <f>IFERROR(COUNTIF(OFFSET('Schedule Raw Data'!$A$2,MATCH($A112,'Schedule Raw Data'!$A$3:$A$2477,0),1,COUNTIF('Schedule Raw Data'!$A$3:$A$2477,$A112),2),T$1),0)</f>
        <v>1</v>
      </c>
      <c r="U112">
        <f>IFERROR(COUNTIF(OFFSET('Schedule Raw Data'!$A$2,MATCH($A112,'Schedule Raw Data'!$A$3:$A$2477,0),1,COUNTIF('Schedule Raw Data'!$A$3:$A$2477,$A112),2),U$1),0)</f>
        <v>0</v>
      </c>
      <c r="V112">
        <f>IFERROR(COUNTIF(OFFSET('Schedule Raw Data'!$A$2,MATCH($A112,'Schedule Raw Data'!$A$3:$A$2477,0),1,COUNTIF('Schedule Raw Data'!$A$3:$A$2477,$A112),2),V$1),0)</f>
        <v>0</v>
      </c>
      <c r="W112">
        <f>IFERROR(COUNTIF(OFFSET('Schedule Raw Data'!$A$2,MATCH($A112,'Schedule Raw Data'!$A$3:$A$2477,0),1,COUNTIF('Schedule Raw Data'!$A$3:$A$2477,$A112),2),W$1),0)</f>
        <v>0</v>
      </c>
      <c r="X112">
        <f>IFERROR(COUNTIF(OFFSET('Schedule Raw Data'!$A$2,MATCH($A112,'Schedule Raw Data'!$A$3:$A$2477,0),1,COUNTIF('Schedule Raw Data'!$A$3:$A$2477,$A112),2),X$1),0)</f>
        <v>0</v>
      </c>
      <c r="Y112">
        <f>IFERROR(COUNTIF(OFFSET('Schedule Raw Data'!$A$2,MATCH($A112,'Schedule Raw Data'!$A$3:$A$2477,0),1,COUNTIF('Schedule Raw Data'!$A$3:$A$2477,$A112),2),Y$1),0)</f>
        <v>0</v>
      </c>
      <c r="Z112">
        <f>IFERROR(COUNTIF(OFFSET('Schedule Raw Data'!$A$2,MATCH($A112,'Schedule Raw Data'!$A$3:$A$2477,0),1,COUNTIF('Schedule Raw Data'!$A$3:$A$2477,$A112),2),Z$1),0)</f>
        <v>0</v>
      </c>
      <c r="AA112">
        <f>IFERROR(COUNTIF(OFFSET('Schedule Raw Data'!$A$2,MATCH($A112,'Schedule Raw Data'!$A$3:$A$2477,0),1,COUNTIF('Schedule Raw Data'!$A$3:$A$2477,$A112),2),AA$1),0)</f>
        <v>1</v>
      </c>
      <c r="AB112">
        <f>IFERROR(COUNTIF(OFFSET('Schedule Raw Data'!$A$2,MATCH($A112,'Schedule Raw Data'!$A$3:$A$2477,0),1,COUNTIF('Schedule Raw Data'!$A$3:$A$2477,$A112),2),AB$1),0)</f>
        <v>0</v>
      </c>
      <c r="AC112">
        <f>IFERROR(COUNTIF(OFFSET('Schedule Raw Data'!$A$2,MATCH($A112,'Schedule Raw Data'!$A$3:$A$2477,0),1,COUNTIF('Schedule Raw Data'!$A$3:$A$2477,$A112),2),AC$1),0)</f>
        <v>1</v>
      </c>
      <c r="AD112">
        <f>IFERROR(COUNTIF(OFFSET('Schedule Raw Data'!$A$2,MATCH($A112,'Schedule Raw Data'!$A$3:$A$2477,0),1,COUNTIF('Schedule Raw Data'!$A$3:$A$2477,$A112),2),AD$1),0)</f>
        <v>0</v>
      </c>
      <c r="AE112">
        <f>IFERROR(COUNTIF(OFFSET('Schedule Raw Data'!$A$2,MATCH($A112,'Schedule Raw Data'!$A$3:$A$2477,0),1,COUNTIF('Schedule Raw Data'!$A$3:$A$2477,$A112),2),AE$1),0)</f>
        <v>0</v>
      </c>
      <c r="AF112">
        <f>IFERROR(COUNTIF(OFFSET('Schedule Raw Data'!$A$2,MATCH($A112,'Schedule Raw Data'!$A$3:$A$2477,0),1,COUNTIF('Schedule Raw Data'!$A$3:$A$2477,$A112),2),AF$1),0)</f>
        <v>0</v>
      </c>
      <c r="AG112">
        <f t="shared" si="1"/>
        <v>4</v>
      </c>
    </row>
    <row r="113">
      <c r="A113" s="30">
        <f t="array" ref="A113">INDEX('Schedule Raw Data'!$A$3:$A$2477,MATCH(0,INDEX(COUNTIF($A$1:A112,'Schedule Raw Data'!$A$3:$A$2477),0,0),0))</f>
        <v>46443</v>
      </c>
      <c r="B113">
        <f t="shared" si="2"/>
        <v>17</v>
      </c>
      <c r="C113">
        <f>IFERROR(COUNTIF(OFFSET('Schedule Raw Data'!$A$2,MATCH($A113,'Schedule Raw Data'!$A$3:$A$2477,0),1,COUNTIF('Schedule Raw Data'!$A$3:$A$2477,$A113),2),C$1),0)</f>
        <v>1</v>
      </c>
      <c r="D113">
        <f>IFERROR(COUNTIF(OFFSET('Schedule Raw Data'!$A$2,MATCH($A113,'Schedule Raw Data'!$A$3:$A$2477,0),1,COUNTIF('Schedule Raw Data'!$A$3:$A$2477,$A113),2),D$1),0)</f>
        <v>1</v>
      </c>
      <c r="E113">
        <f>IFERROR(COUNTIF(OFFSET('Schedule Raw Data'!$A$2,MATCH($A113,'Schedule Raw Data'!$A$3:$A$2477,0),1,COUNTIF('Schedule Raw Data'!$A$3:$A$2477,$A113),2),E$1),0)</f>
        <v>0</v>
      </c>
      <c r="F113">
        <f>IFERROR(COUNTIF(OFFSET('Schedule Raw Data'!$A$2,MATCH($A113,'Schedule Raw Data'!$A$3:$A$2477,0),1,COUNTIF('Schedule Raw Data'!$A$3:$A$2477,$A113),2),F$1),0)</f>
        <v>1</v>
      </c>
      <c r="G113">
        <f>IFERROR(COUNTIF(OFFSET('Schedule Raw Data'!$A$2,MATCH($A113,'Schedule Raw Data'!$A$3:$A$2477,0),1,COUNTIF('Schedule Raw Data'!$A$3:$A$2477,$A113),2),G$1),0)</f>
        <v>1</v>
      </c>
      <c r="H113">
        <f>IFERROR(COUNTIF(OFFSET('Schedule Raw Data'!$A$2,MATCH($A113,'Schedule Raw Data'!$A$3:$A$2477,0),1,COUNTIF('Schedule Raw Data'!$A$3:$A$2477,$A113),2),H$1),0)</f>
        <v>1</v>
      </c>
      <c r="I113">
        <f>IFERROR(COUNTIF(OFFSET('Schedule Raw Data'!$A$2,MATCH($A113,'Schedule Raw Data'!$A$3:$A$2477,0),1,COUNTIF('Schedule Raw Data'!$A$3:$A$2477,$A113),2),I$1),0)</f>
        <v>1</v>
      </c>
      <c r="J113">
        <f>IFERROR(COUNTIF(OFFSET('Schedule Raw Data'!$A$2,MATCH($A113,'Schedule Raw Data'!$A$3:$A$2477,0),1,COUNTIF('Schedule Raw Data'!$A$3:$A$2477,$A113),2),J$1),0)</f>
        <v>0</v>
      </c>
      <c r="K113">
        <f>IFERROR(COUNTIF(OFFSET('Schedule Raw Data'!$A$2,MATCH($A113,'Schedule Raw Data'!$A$3:$A$2477,0),1,COUNTIF('Schedule Raw Data'!$A$3:$A$2477,$A113),2),K$1),0)</f>
        <v>1</v>
      </c>
      <c r="L113">
        <f>IFERROR(COUNTIF(OFFSET('Schedule Raw Data'!$A$2,MATCH($A113,'Schedule Raw Data'!$A$3:$A$2477,0),1,COUNTIF('Schedule Raw Data'!$A$3:$A$2477,$A113),2),L$1),0)</f>
        <v>1</v>
      </c>
      <c r="M113">
        <f>IFERROR(COUNTIF(OFFSET('Schedule Raw Data'!$A$2,MATCH($A113,'Schedule Raw Data'!$A$3:$A$2477,0),1,COUNTIF('Schedule Raw Data'!$A$3:$A$2477,$A113),2),M$1),0)</f>
        <v>0</v>
      </c>
      <c r="N113">
        <f>IFERROR(COUNTIF(OFFSET('Schedule Raw Data'!$A$2,MATCH($A113,'Schedule Raw Data'!$A$3:$A$2477,0),1,COUNTIF('Schedule Raw Data'!$A$3:$A$2477,$A113),2),N$1),0)</f>
        <v>0</v>
      </c>
      <c r="O113">
        <f>IFERROR(COUNTIF(OFFSET('Schedule Raw Data'!$A$2,MATCH($A113,'Schedule Raw Data'!$A$3:$A$2477,0),1,COUNTIF('Schedule Raw Data'!$A$3:$A$2477,$A113),2),O$1),0)</f>
        <v>1</v>
      </c>
      <c r="P113">
        <f>IFERROR(COUNTIF(OFFSET('Schedule Raw Data'!$A$2,MATCH($A113,'Schedule Raw Data'!$A$3:$A$2477,0),1,COUNTIF('Schedule Raw Data'!$A$3:$A$2477,$A113),2),P$1),0)</f>
        <v>0</v>
      </c>
      <c r="Q113">
        <f>IFERROR(COUNTIF(OFFSET('Schedule Raw Data'!$A$2,MATCH($A113,'Schedule Raw Data'!$A$3:$A$2477,0),1,COUNTIF('Schedule Raw Data'!$A$3:$A$2477,$A113),2),Q$1),0)</f>
        <v>0</v>
      </c>
      <c r="R113">
        <f>IFERROR(COUNTIF(OFFSET('Schedule Raw Data'!$A$2,MATCH($A113,'Schedule Raw Data'!$A$3:$A$2477,0),1,COUNTIF('Schedule Raw Data'!$A$3:$A$2477,$A113),2),R$1),0)</f>
        <v>1</v>
      </c>
      <c r="S113">
        <f>IFERROR(COUNTIF(OFFSET('Schedule Raw Data'!$A$2,MATCH($A113,'Schedule Raw Data'!$A$3:$A$2477,0),1,COUNTIF('Schedule Raw Data'!$A$3:$A$2477,$A113),2),S$1),0)</f>
        <v>1</v>
      </c>
      <c r="T113">
        <f>IFERROR(COUNTIF(OFFSET('Schedule Raw Data'!$A$2,MATCH($A113,'Schedule Raw Data'!$A$3:$A$2477,0),1,COUNTIF('Schedule Raw Data'!$A$3:$A$2477,$A113),2),T$1),0)</f>
        <v>0</v>
      </c>
      <c r="U113">
        <f>IFERROR(COUNTIF(OFFSET('Schedule Raw Data'!$A$2,MATCH($A113,'Schedule Raw Data'!$A$3:$A$2477,0),1,COUNTIF('Schedule Raw Data'!$A$3:$A$2477,$A113),2),U$1),0)</f>
        <v>1</v>
      </c>
      <c r="V113">
        <f>IFERROR(COUNTIF(OFFSET('Schedule Raw Data'!$A$2,MATCH($A113,'Schedule Raw Data'!$A$3:$A$2477,0),1,COUNTIF('Schedule Raw Data'!$A$3:$A$2477,$A113),2),V$1),0)</f>
        <v>1</v>
      </c>
      <c r="W113">
        <f>IFERROR(COUNTIF(OFFSET('Schedule Raw Data'!$A$2,MATCH($A113,'Schedule Raw Data'!$A$3:$A$2477,0),1,COUNTIF('Schedule Raw Data'!$A$3:$A$2477,$A113),2),W$1),0)</f>
        <v>1</v>
      </c>
      <c r="X113">
        <f>IFERROR(COUNTIF(OFFSET('Schedule Raw Data'!$A$2,MATCH($A113,'Schedule Raw Data'!$A$3:$A$2477,0),1,COUNTIF('Schedule Raw Data'!$A$3:$A$2477,$A113),2),X$1),0)</f>
        <v>1</v>
      </c>
      <c r="Y113">
        <f>IFERROR(COUNTIF(OFFSET('Schedule Raw Data'!$A$2,MATCH($A113,'Schedule Raw Data'!$A$3:$A$2477,0),1,COUNTIF('Schedule Raw Data'!$A$3:$A$2477,$A113),2),Y$1),0)</f>
        <v>1</v>
      </c>
      <c r="Z113">
        <f>IFERROR(COUNTIF(OFFSET('Schedule Raw Data'!$A$2,MATCH($A113,'Schedule Raw Data'!$A$3:$A$2477,0),1,COUNTIF('Schedule Raw Data'!$A$3:$A$2477,$A113),2),Z$1),0)</f>
        <v>1</v>
      </c>
      <c r="AA113">
        <f>IFERROR(COUNTIF(OFFSET('Schedule Raw Data'!$A$2,MATCH($A113,'Schedule Raw Data'!$A$3:$A$2477,0),1,COUNTIF('Schedule Raw Data'!$A$3:$A$2477,$A113),2),AA$1),0)</f>
        <v>0</v>
      </c>
      <c r="AB113">
        <f>IFERROR(COUNTIF(OFFSET('Schedule Raw Data'!$A$2,MATCH($A113,'Schedule Raw Data'!$A$3:$A$2477,0),1,COUNTIF('Schedule Raw Data'!$A$3:$A$2477,$A113),2),AB$1),0)</f>
        <v>1</v>
      </c>
      <c r="AC113">
        <f>IFERROR(COUNTIF(OFFSET('Schedule Raw Data'!$A$2,MATCH($A113,'Schedule Raw Data'!$A$3:$A$2477,0),1,COUNTIF('Schedule Raw Data'!$A$3:$A$2477,$A113),2),AC$1),0)</f>
        <v>0</v>
      </c>
      <c r="AD113">
        <f>IFERROR(COUNTIF(OFFSET('Schedule Raw Data'!$A$2,MATCH($A113,'Schedule Raw Data'!$A$3:$A$2477,0),1,COUNTIF('Schedule Raw Data'!$A$3:$A$2477,$A113),2),AD$1),0)</f>
        <v>0</v>
      </c>
      <c r="AE113">
        <f>IFERROR(COUNTIF(OFFSET('Schedule Raw Data'!$A$2,MATCH($A113,'Schedule Raw Data'!$A$3:$A$2477,0),1,COUNTIF('Schedule Raw Data'!$A$3:$A$2477,$A113),2),AE$1),0)</f>
        <v>1</v>
      </c>
      <c r="AF113">
        <f>IFERROR(COUNTIF(OFFSET('Schedule Raw Data'!$A$2,MATCH($A113,'Schedule Raw Data'!$A$3:$A$2477,0),1,COUNTIF('Schedule Raw Data'!$A$3:$A$2477,$A113),2),AF$1),0)</f>
        <v>1</v>
      </c>
      <c r="AG113">
        <f t="shared" si="1"/>
        <v>10</v>
      </c>
    </row>
    <row r="114">
      <c r="A114" s="30">
        <f t="array" ref="A114">INDEX('Schedule Raw Data'!$A$3:$A$2477,MATCH(0,INDEX(COUNTIF($A$1:A113,'Schedule Raw Data'!$A$3:$A$2477),0,0),0))</f>
        <v>46444</v>
      </c>
      <c r="B114">
        <f t="shared" si="2"/>
        <v>17</v>
      </c>
      <c r="C114">
        <f>IFERROR(COUNTIF(OFFSET('Schedule Raw Data'!$A$2,MATCH($A114,'Schedule Raw Data'!$A$3:$A$2477,0),1,COUNTIF('Schedule Raw Data'!$A$3:$A$2477,$A114),2),C$1),0)</f>
        <v>1</v>
      </c>
      <c r="D114">
        <f>IFERROR(COUNTIF(OFFSET('Schedule Raw Data'!$A$2,MATCH($A114,'Schedule Raw Data'!$A$3:$A$2477,0),1,COUNTIF('Schedule Raw Data'!$A$3:$A$2477,$A114),2),D$1),0)</f>
        <v>0</v>
      </c>
      <c r="E114">
        <f>IFERROR(COUNTIF(OFFSET('Schedule Raw Data'!$A$2,MATCH($A114,'Schedule Raw Data'!$A$3:$A$2477,0),1,COUNTIF('Schedule Raw Data'!$A$3:$A$2477,$A114),2),E$1),0)</f>
        <v>1</v>
      </c>
      <c r="F114">
        <f>IFERROR(COUNTIF(OFFSET('Schedule Raw Data'!$A$2,MATCH($A114,'Schedule Raw Data'!$A$3:$A$2477,0),1,COUNTIF('Schedule Raw Data'!$A$3:$A$2477,$A114),2),F$1),0)</f>
        <v>1</v>
      </c>
      <c r="G114">
        <f>IFERROR(COUNTIF(OFFSET('Schedule Raw Data'!$A$2,MATCH($A114,'Schedule Raw Data'!$A$3:$A$2477,0),1,COUNTIF('Schedule Raw Data'!$A$3:$A$2477,$A114),2),G$1),0)</f>
        <v>0</v>
      </c>
      <c r="H114">
        <f>IFERROR(COUNTIF(OFFSET('Schedule Raw Data'!$A$2,MATCH($A114,'Schedule Raw Data'!$A$3:$A$2477,0),1,COUNTIF('Schedule Raw Data'!$A$3:$A$2477,$A114),2),H$1),0)</f>
        <v>1</v>
      </c>
      <c r="I114">
        <f>IFERROR(COUNTIF(OFFSET('Schedule Raw Data'!$A$2,MATCH($A114,'Schedule Raw Data'!$A$3:$A$2477,0),1,COUNTIF('Schedule Raw Data'!$A$3:$A$2477,$A114),2),I$1),0)</f>
        <v>1</v>
      </c>
      <c r="J114">
        <f>IFERROR(COUNTIF(OFFSET('Schedule Raw Data'!$A$2,MATCH($A114,'Schedule Raw Data'!$A$3:$A$2477,0),1,COUNTIF('Schedule Raw Data'!$A$3:$A$2477,$A114),2),J$1),0)</f>
        <v>1</v>
      </c>
      <c r="K114">
        <f>IFERROR(COUNTIF(OFFSET('Schedule Raw Data'!$A$2,MATCH($A114,'Schedule Raw Data'!$A$3:$A$2477,0),1,COUNTIF('Schedule Raw Data'!$A$3:$A$2477,$A114),2),K$1),0)</f>
        <v>0</v>
      </c>
      <c r="L114">
        <f>IFERROR(COUNTIF(OFFSET('Schedule Raw Data'!$A$2,MATCH($A114,'Schedule Raw Data'!$A$3:$A$2477,0),1,COUNTIF('Schedule Raw Data'!$A$3:$A$2477,$A114),2),L$1),0)</f>
        <v>0</v>
      </c>
      <c r="M114">
        <f>IFERROR(COUNTIF(OFFSET('Schedule Raw Data'!$A$2,MATCH($A114,'Schedule Raw Data'!$A$3:$A$2477,0),1,COUNTIF('Schedule Raw Data'!$A$3:$A$2477,$A114),2),M$1),0)</f>
        <v>1</v>
      </c>
      <c r="N114">
        <f>IFERROR(COUNTIF(OFFSET('Schedule Raw Data'!$A$2,MATCH($A114,'Schedule Raw Data'!$A$3:$A$2477,0),1,COUNTIF('Schedule Raw Data'!$A$3:$A$2477,$A114),2),N$1),0)</f>
        <v>1</v>
      </c>
      <c r="O114">
        <f>IFERROR(COUNTIF(OFFSET('Schedule Raw Data'!$A$2,MATCH($A114,'Schedule Raw Data'!$A$3:$A$2477,0),1,COUNTIF('Schedule Raw Data'!$A$3:$A$2477,$A114),2),O$1),0)</f>
        <v>0</v>
      </c>
      <c r="P114">
        <f>IFERROR(COUNTIF(OFFSET('Schedule Raw Data'!$A$2,MATCH($A114,'Schedule Raw Data'!$A$3:$A$2477,0),1,COUNTIF('Schedule Raw Data'!$A$3:$A$2477,$A114),2),P$1),0)</f>
        <v>1</v>
      </c>
      <c r="Q114">
        <f>IFERROR(COUNTIF(OFFSET('Schedule Raw Data'!$A$2,MATCH($A114,'Schedule Raw Data'!$A$3:$A$2477,0),1,COUNTIF('Schedule Raw Data'!$A$3:$A$2477,$A114),2),Q$1),0)</f>
        <v>1</v>
      </c>
      <c r="R114">
        <f>IFERROR(COUNTIF(OFFSET('Schedule Raw Data'!$A$2,MATCH($A114,'Schedule Raw Data'!$A$3:$A$2477,0),1,COUNTIF('Schedule Raw Data'!$A$3:$A$2477,$A114),2),R$1),0)</f>
        <v>0</v>
      </c>
      <c r="S114">
        <f>IFERROR(COUNTIF(OFFSET('Schedule Raw Data'!$A$2,MATCH($A114,'Schedule Raw Data'!$A$3:$A$2477,0),1,COUNTIF('Schedule Raw Data'!$A$3:$A$2477,$A114),2),S$1),0)</f>
        <v>0</v>
      </c>
      <c r="T114">
        <f>IFERROR(COUNTIF(OFFSET('Schedule Raw Data'!$A$2,MATCH($A114,'Schedule Raw Data'!$A$3:$A$2477,0),1,COUNTIF('Schedule Raw Data'!$A$3:$A$2477,$A114),2),T$1),0)</f>
        <v>1</v>
      </c>
      <c r="U114">
        <f>IFERROR(COUNTIF(OFFSET('Schedule Raw Data'!$A$2,MATCH($A114,'Schedule Raw Data'!$A$3:$A$2477,0),1,COUNTIF('Schedule Raw Data'!$A$3:$A$2477,$A114),2),U$1),0)</f>
        <v>0</v>
      </c>
      <c r="V114">
        <f>IFERROR(COUNTIF(OFFSET('Schedule Raw Data'!$A$2,MATCH($A114,'Schedule Raw Data'!$A$3:$A$2477,0),1,COUNTIF('Schedule Raw Data'!$A$3:$A$2477,$A114),2),V$1),0)</f>
        <v>0</v>
      </c>
      <c r="W114">
        <f>IFERROR(COUNTIF(OFFSET('Schedule Raw Data'!$A$2,MATCH($A114,'Schedule Raw Data'!$A$3:$A$2477,0),1,COUNTIF('Schedule Raw Data'!$A$3:$A$2477,$A114),2),W$1),0)</f>
        <v>0</v>
      </c>
      <c r="X114">
        <f>IFERROR(COUNTIF(OFFSET('Schedule Raw Data'!$A$2,MATCH($A114,'Schedule Raw Data'!$A$3:$A$2477,0),1,COUNTIF('Schedule Raw Data'!$A$3:$A$2477,$A114),2),X$1),0)</f>
        <v>0</v>
      </c>
      <c r="Y114">
        <f>IFERROR(COUNTIF(OFFSET('Schedule Raw Data'!$A$2,MATCH($A114,'Schedule Raw Data'!$A$3:$A$2477,0),1,COUNTIF('Schedule Raw Data'!$A$3:$A$2477,$A114),2),Y$1),0)</f>
        <v>0</v>
      </c>
      <c r="Z114">
        <f>IFERROR(COUNTIF(OFFSET('Schedule Raw Data'!$A$2,MATCH($A114,'Schedule Raw Data'!$A$3:$A$2477,0),1,COUNTIF('Schedule Raw Data'!$A$3:$A$2477,$A114),2),Z$1),0)</f>
        <v>0</v>
      </c>
      <c r="AA114">
        <f>IFERROR(COUNTIF(OFFSET('Schedule Raw Data'!$A$2,MATCH($A114,'Schedule Raw Data'!$A$3:$A$2477,0),1,COUNTIF('Schedule Raw Data'!$A$3:$A$2477,$A114),2),AA$1),0)</f>
        <v>1</v>
      </c>
      <c r="AB114">
        <f>IFERROR(COUNTIF(OFFSET('Schedule Raw Data'!$A$2,MATCH($A114,'Schedule Raw Data'!$A$3:$A$2477,0),1,COUNTIF('Schedule Raw Data'!$A$3:$A$2477,$A114),2),AB$1),0)</f>
        <v>0</v>
      </c>
      <c r="AC114">
        <f>IFERROR(COUNTIF(OFFSET('Schedule Raw Data'!$A$2,MATCH($A114,'Schedule Raw Data'!$A$3:$A$2477,0),1,COUNTIF('Schedule Raw Data'!$A$3:$A$2477,$A114),2),AC$1),0)</f>
        <v>1</v>
      </c>
      <c r="AD114">
        <f>IFERROR(COUNTIF(OFFSET('Schedule Raw Data'!$A$2,MATCH($A114,'Schedule Raw Data'!$A$3:$A$2477,0),1,COUNTIF('Schedule Raw Data'!$A$3:$A$2477,$A114),2),AD$1),0)</f>
        <v>1</v>
      </c>
      <c r="AE114">
        <f>IFERROR(COUNTIF(OFFSET('Schedule Raw Data'!$A$2,MATCH($A114,'Schedule Raw Data'!$A$3:$A$2477,0),1,COUNTIF('Schedule Raw Data'!$A$3:$A$2477,$A114),2),AE$1),0)</f>
        <v>0</v>
      </c>
      <c r="AF114">
        <f>IFERROR(COUNTIF(OFFSET('Schedule Raw Data'!$A$2,MATCH($A114,'Schedule Raw Data'!$A$3:$A$2477,0),1,COUNTIF('Schedule Raw Data'!$A$3:$A$2477,$A114),2),AF$1),0)</f>
        <v>0</v>
      </c>
      <c r="AG114">
        <f t="shared" si="1"/>
        <v>7</v>
      </c>
    </row>
    <row r="115">
      <c r="A115" s="30">
        <f t="array" ref="A115">INDEX('Schedule Raw Data'!$A$3:$A$2477,MATCH(0,INDEX(COUNTIF($A$1:A114,'Schedule Raw Data'!$A$3:$A$2477),0,0),0))</f>
        <v>46445</v>
      </c>
      <c r="B115">
        <f t="shared" si="2"/>
        <v>17</v>
      </c>
      <c r="C115">
        <f>IFERROR(COUNTIF(OFFSET('Schedule Raw Data'!$A$2,MATCH($A115,'Schedule Raw Data'!$A$3:$A$2477,0),1,COUNTIF('Schedule Raw Data'!$A$3:$A$2477,$A115),2),C$1),0)</f>
        <v>0</v>
      </c>
      <c r="D115">
        <f>IFERROR(COUNTIF(OFFSET('Schedule Raw Data'!$A$2,MATCH($A115,'Schedule Raw Data'!$A$3:$A$2477,0),1,COUNTIF('Schedule Raw Data'!$A$3:$A$2477,$A115),2),D$1),0)</f>
        <v>1</v>
      </c>
      <c r="E115">
        <f>IFERROR(COUNTIF(OFFSET('Schedule Raw Data'!$A$2,MATCH($A115,'Schedule Raw Data'!$A$3:$A$2477,0),1,COUNTIF('Schedule Raw Data'!$A$3:$A$2477,$A115),2),E$1),0)</f>
        <v>0</v>
      </c>
      <c r="F115">
        <f>IFERROR(COUNTIF(OFFSET('Schedule Raw Data'!$A$2,MATCH($A115,'Schedule Raw Data'!$A$3:$A$2477,0),1,COUNTIF('Schedule Raw Data'!$A$3:$A$2477,$A115),2),F$1),0)</f>
        <v>0</v>
      </c>
      <c r="G115">
        <f>IFERROR(COUNTIF(OFFSET('Schedule Raw Data'!$A$2,MATCH($A115,'Schedule Raw Data'!$A$3:$A$2477,0),1,COUNTIF('Schedule Raw Data'!$A$3:$A$2477,$A115),2),G$1),0)</f>
        <v>1</v>
      </c>
      <c r="H115">
        <f>IFERROR(COUNTIF(OFFSET('Schedule Raw Data'!$A$2,MATCH($A115,'Schedule Raw Data'!$A$3:$A$2477,0),1,COUNTIF('Schedule Raw Data'!$A$3:$A$2477,$A115),2),H$1),0)</f>
        <v>0</v>
      </c>
      <c r="I115">
        <f>IFERROR(COUNTIF(OFFSET('Schedule Raw Data'!$A$2,MATCH($A115,'Schedule Raw Data'!$A$3:$A$2477,0),1,COUNTIF('Schedule Raw Data'!$A$3:$A$2477,$A115),2),I$1),0)</f>
        <v>0</v>
      </c>
      <c r="J115">
        <f>IFERROR(COUNTIF(OFFSET('Schedule Raw Data'!$A$2,MATCH($A115,'Schedule Raw Data'!$A$3:$A$2477,0),1,COUNTIF('Schedule Raw Data'!$A$3:$A$2477,$A115),2),J$1),0)</f>
        <v>0</v>
      </c>
      <c r="K115">
        <f>IFERROR(COUNTIF(OFFSET('Schedule Raw Data'!$A$2,MATCH($A115,'Schedule Raw Data'!$A$3:$A$2477,0),1,COUNTIF('Schedule Raw Data'!$A$3:$A$2477,$A115),2),K$1),0)</f>
        <v>1</v>
      </c>
      <c r="L115">
        <f>IFERROR(COUNTIF(OFFSET('Schedule Raw Data'!$A$2,MATCH($A115,'Schedule Raw Data'!$A$3:$A$2477,0),1,COUNTIF('Schedule Raw Data'!$A$3:$A$2477,$A115),2),L$1),0)</f>
        <v>0</v>
      </c>
      <c r="M115">
        <f>IFERROR(COUNTIF(OFFSET('Schedule Raw Data'!$A$2,MATCH($A115,'Schedule Raw Data'!$A$3:$A$2477,0),1,COUNTIF('Schedule Raw Data'!$A$3:$A$2477,$A115),2),M$1),0)</f>
        <v>0</v>
      </c>
      <c r="N115">
        <f>IFERROR(COUNTIF(OFFSET('Schedule Raw Data'!$A$2,MATCH($A115,'Schedule Raw Data'!$A$3:$A$2477,0),1,COUNTIF('Schedule Raw Data'!$A$3:$A$2477,$A115),2),N$1),0)</f>
        <v>0</v>
      </c>
      <c r="O115">
        <f>IFERROR(COUNTIF(OFFSET('Schedule Raw Data'!$A$2,MATCH($A115,'Schedule Raw Data'!$A$3:$A$2477,0),1,COUNTIF('Schedule Raw Data'!$A$3:$A$2477,$A115),2),O$1),0)</f>
        <v>0</v>
      </c>
      <c r="P115">
        <f>IFERROR(COUNTIF(OFFSET('Schedule Raw Data'!$A$2,MATCH($A115,'Schedule Raw Data'!$A$3:$A$2477,0),1,COUNTIF('Schedule Raw Data'!$A$3:$A$2477,$A115),2),P$1),0)</f>
        <v>0</v>
      </c>
      <c r="Q115">
        <f>IFERROR(COUNTIF(OFFSET('Schedule Raw Data'!$A$2,MATCH($A115,'Schedule Raw Data'!$A$3:$A$2477,0),1,COUNTIF('Schedule Raw Data'!$A$3:$A$2477,$A115),2),Q$1),0)</f>
        <v>1</v>
      </c>
      <c r="R115">
        <f>IFERROR(COUNTIF(OFFSET('Schedule Raw Data'!$A$2,MATCH($A115,'Schedule Raw Data'!$A$3:$A$2477,0),1,COUNTIF('Schedule Raw Data'!$A$3:$A$2477,$A115),2),R$1),0)</f>
        <v>0</v>
      </c>
      <c r="S115">
        <f>IFERROR(COUNTIF(OFFSET('Schedule Raw Data'!$A$2,MATCH($A115,'Schedule Raw Data'!$A$3:$A$2477,0),1,COUNTIF('Schedule Raw Data'!$A$3:$A$2477,$A115),2),S$1),0)</f>
        <v>0</v>
      </c>
      <c r="T115">
        <f>IFERROR(COUNTIF(OFFSET('Schedule Raw Data'!$A$2,MATCH($A115,'Schedule Raw Data'!$A$3:$A$2477,0),1,COUNTIF('Schedule Raw Data'!$A$3:$A$2477,$A115),2),T$1),0)</f>
        <v>0</v>
      </c>
      <c r="U115">
        <f>IFERROR(COUNTIF(OFFSET('Schedule Raw Data'!$A$2,MATCH($A115,'Schedule Raw Data'!$A$3:$A$2477,0),1,COUNTIF('Schedule Raw Data'!$A$3:$A$2477,$A115),2),U$1),0)</f>
        <v>1</v>
      </c>
      <c r="V115">
        <f>IFERROR(COUNTIF(OFFSET('Schedule Raw Data'!$A$2,MATCH($A115,'Schedule Raw Data'!$A$3:$A$2477,0),1,COUNTIF('Schedule Raw Data'!$A$3:$A$2477,$A115),2),V$1),0)</f>
        <v>1</v>
      </c>
      <c r="W115">
        <f>IFERROR(COUNTIF(OFFSET('Schedule Raw Data'!$A$2,MATCH($A115,'Schedule Raw Data'!$A$3:$A$2477,0),1,COUNTIF('Schedule Raw Data'!$A$3:$A$2477,$A115),2),W$1),0)</f>
        <v>1</v>
      </c>
      <c r="X115">
        <f>IFERROR(COUNTIF(OFFSET('Schedule Raw Data'!$A$2,MATCH($A115,'Schedule Raw Data'!$A$3:$A$2477,0),1,COUNTIF('Schedule Raw Data'!$A$3:$A$2477,$A115),2),X$1),0)</f>
        <v>0</v>
      </c>
      <c r="Y115">
        <f>IFERROR(COUNTIF(OFFSET('Schedule Raw Data'!$A$2,MATCH($A115,'Schedule Raw Data'!$A$3:$A$2477,0),1,COUNTIF('Schedule Raw Data'!$A$3:$A$2477,$A115),2),Y$1),0)</f>
        <v>1</v>
      </c>
      <c r="Z115">
        <f>IFERROR(COUNTIF(OFFSET('Schedule Raw Data'!$A$2,MATCH($A115,'Schedule Raw Data'!$A$3:$A$2477,0),1,COUNTIF('Schedule Raw Data'!$A$3:$A$2477,$A115),2),Z$1),0)</f>
        <v>1</v>
      </c>
      <c r="AA115">
        <f>IFERROR(COUNTIF(OFFSET('Schedule Raw Data'!$A$2,MATCH($A115,'Schedule Raw Data'!$A$3:$A$2477,0),1,COUNTIF('Schedule Raw Data'!$A$3:$A$2477,$A115),2),AA$1),0)</f>
        <v>0</v>
      </c>
      <c r="AB115">
        <f>IFERROR(COUNTIF(OFFSET('Schedule Raw Data'!$A$2,MATCH($A115,'Schedule Raw Data'!$A$3:$A$2477,0),1,COUNTIF('Schedule Raw Data'!$A$3:$A$2477,$A115),2),AB$1),0)</f>
        <v>1</v>
      </c>
      <c r="AC115">
        <f>IFERROR(COUNTIF(OFFSET('Schedule Raw Data'!$A$2,MATCH($A115,'Schedule Raw Data'!$A$3:$A$2477,0),1,COUNTIF('Schedule Raw Data'!$A$3:$A$2477,$A115),2),AC$1),0)</f>
        <v>0</v>
      </c>
      <c r="AD115">
        <f>IFERROR(COUNTIF(OFFSET('Schedule Raw Data'!$A$2,MATCH($A115,'Schedule Raw Data'!$A$3:$A$2477,0),1,COUNTIF('Schedule Raw Data'!$A$3:$A$2477,$A115),2),AD$1),0)</f>
        <v>0</v>
      </c>
      <c r="AE115">
        <f>IFERROR(COUNTIF(OFFSET('Schedule Raw Data'!$A$2,MATCH($A115,'Schedule Raw Data'!$A$3:$A$2477,0),1,COUNTIF('Schedule Raw Data'!$A$3:$A$2477,$A115),2),AE$1),0)</f>
        <v>1</v>
      </c>
      <c r="AF115">
        <f>IFERROR(COUNTIF(OFFSET('Schedule Raw Data'!$A$2,MATCH($A115,'Schedule Raw Data'!$A$3:$A$2477,0),1,COUNTIF('Schedule Raw Data'!$A$3:$A$2477,$A115),2),AF$1),0)</f>
        <v>1</v>
      </c>
      <c r="AG115">
        <f t="shared" si="1"/>
        <v>6</v>
      </c>
    </row>
    <row r="116">
      <c r="A116" s="30">
        <f t="array" ref="A116">INDEX('Schedule Raw Data'!$A$3:$A$2477,MATCH(0,INDEX(COUNTIF($A$1:A115,'Schedule Raw Data'!$A$3:$A$2477),0,0),0))</f>
        <v>46446</v>
      </c>
      <c r="B116">
        <f t="shared" si="2"/>
        <v>17</v>
      </c>
      <c r="C116">
        <f>IFERROR(COUNTIF(OFFSET('Schedule Raw Data'!$A$2,MATCH($A116,'Schedule Raw Data'!$A$3:$A$2477,0),1,COUNTIF('Schedule Raw Data'!$A$3:$A$2477,$A116),2),C$1),0)</f>
        <v>1</v>
      </c>
      <c r="D116">
        <f>IFERROR(COUNTIF(OFFSET('Schedule Raw Data'!$A$2,MATCH($A116,'Schedule Raw Data'!$A$3:$A$2477,0),1,COUNTIF('Schedule Raw Data'!$A$3:$A$2477,$A116),2),D$1),0)</f>
        <v>0</v>
      </c>
      <c r="E116">
        <f>IFERROR(COUNTIF(OFFSET('Schedule Raw Data'!$A$2,MATCH($A116,'Schedule Raw Data'!$A$3:$A$2477,0),1,COUNTIF('Schedule Raw Data'!$A$3:$A$2477,$A116),2),E$1),0)</f>
        <v>1</v>
      </c>
      <c r="F116">
        <f>IFERROR(COUNTIF(OFFSET('Schedule Raw Data'!$A$2,MATCH($A116,'Schedule Raw Data'!$A$3:$A$2477,0),1,COUNTIF('Schedule Raw Data'!$A$3:$A$2477,$A116),2),F$1),0)</f>
        <v>1</v>
      </c>
      <c r="G116">
        <f>IFERROR(COUNTIF(OFFSET('Schedule Raw Data'!$A$2,MATCH($A116,'Schedule Raw Data'!$A$3:$A$2477,0),1,COUNTIF('Schedule Raw Data'!$A$3:$A$2477,$A116),2),G$1),0)</f>
        <v>0</v>
      </c>
      <c r="H116">
        <f>IFERROR(COUNTIF(OFFSET('Schedule Raw Data'!$A$2,MATCH($A116,'Schedule Raw Data'!$A$3:$A$2477,0),1,COUNTIF('Schedule Raw Data'!$A$3:$A$2477,$A116),2),H$1),0)</f>
        <v>0</v>
      </c>
      <c r="I116">
        <f>IFERROR(COUNTIF(OFFSET('Schedule Raw Data'!$A$2,MATCH($A116,'Schedule Raw Data'!$A$3:$A$2477,0),1,COUNTIF('Schedule Raw Data'!$A$3:$A$2477,$A116),2),I$1),0)</f>
        <v>1</v>
      </c>
      <c r="J116">
        <f>IFERROR(COUNTIF(OFFSET('Schedule Raw Data'!$A$2,MATCH($A116,'Schedule Raw Data'!$A$3:$A$2477,0),1,COUNTIF('Schedule Raw Data'!$A$3:$A$2477,$A116),2),J$1),0)</f>
        <v>1</v>
      </c>
      <c r="K116">
        <f>IFERROR(COUNTIF(OFFSET('Schedule Raw Data'!$A$2,MATCH($A116,'Schedule Raw Data'!$A$3:$A$2477,0),1,COUNTIF('Schedule Raw Data'!$A$3:$A$2477,$A116),2),K$1),0)</f>
        <v>0</v>
      </c>
      <c r="L116">
        <f>IFERROR(COUNTIF(OFFSET('Schedule Raw Data'!$A$2,MATCH($A116,'Schedule Raw Data'!$A$3:$A$2477,0),1,COUNTIF('Schedule Raw Data'!$A$3:$A$2477,$A116),2),L$1),0)</f>
        <v>0</v>
      </c>
      <c r="M116">
        <f>IFERROR(COUNTIF(OFFSET('Schedule Raw Data'!$A$2,MATCH($A116,'Schedule Raw Data'!$A$3:$A$2477,0),1,COUNTIF('Schedule Raw Data'!$A$3:$A$2477,$A116),2),M$1),0)</f>
        <v>1</v>
      </c>
      <c r="N116">
        <f>IFERROR(COUNTIF(OFFSET('Schedule Raw Data'!$A$2,MATCH($A116,'Schedule Raw Data'!$A$3:$A$2477,0),1,COUNTIF('Schedule Raw Data'!$A$3:$A$2477,$A116),2),N$1),0)</f>
        <v>1</v>
      </c>
      <c r="O116">
        <f>IFERROR(COUNTIF(OFFSET('Schedule Raw Data'!$A$2,MATCH($A116,'Schedule Raw Data'!$A$3:$A$2477,0),1,COUNTIF('Schedule Raw Data'!$A$3:$A$2477,$A116),2),O$1),0)</f>
        <v>1</v>
      </c>
      <c r="P116">
        <f>IFERROR(COUNTIF(OFFSET('Schedule Raw Data'!$A$2,MATCH($A116,'Schedule Raw Data'!$A$3:$A$2477,0),1,COUNTIF('Schedule Raw Data'!$A$3:$A$2477,$A116),2),P$1),0)</f>
        <v>1</v>
      </c>
      <c r="Q116">
        <f>IFERROR(COUNTIF(OFFSET('Schedule Raw Data'!$A$2,MATCH($A116,'Schedule Raw Data'!$A$3:$A$2477,0),1,COUNTIF('Schedule Raw Data'!$A$3:$A$2477,$A116),2),Q$1),0)</f>
        <v>0</v>
      </c>
      <c r="R116">
        <f>IFERROR(COUNTIF(OFFSET('Schedule Raw Data'!$A$2,MATCH($A116,'Schedule Raw Data'!$A$3:$A$2477,0),1,COUNTIF('Schedule Raw Data'!$A$3:$A$2477,$A116),2),R$1),0)</f>
        <v>1</v>
      </c>
      <c r="S116">
        <f>IFERROR(COUNTIF(OFFSET('Schedule Raw Data'!$A$2,MATCH($A116,'Schedule Raw Data'!$A$3:$A$2477,0),1,COUNTIF('Schedule Raw Data'!$A$3:$A$2477,$A116),2),S$1),0)</f>
        <v>1</v>
      </c>
      <c r="T116">
        <f>IFERROR(COUNTIF(OFFSET('Schedule Raw Data'!$A$2,MATCH($A116,'Schedule Raw Data'!$A$3:$A$2477,0),1,COUNTIF('Schedule Raw Data'!$A$3:$A$2477,$A116),2),T$1),0)</f>
        <v>1</v>
      </c>
      <c r="U116">
        <f>IFERROR(COUNTIF(OFFSET('Schedule Raw Data'!$A$2,MATCH($A116,'Schedule Raw Data'!$A$3:$A$2477,0),1,COUNTIF('Schedule Raw Data'!$A$3:$A$2477,$A116),2),U$1),0)</f>
        <v>0</v>
      </c>
      <c r="V116">
        <f>IFERROR(COUNTIF(OFFSET('Schedule Raw Data'!$A$2,MATCH($A116,'Schedule Raw Data'!$A$3:$A$2477,0),1,COUNTIF('Schedule Raw Data'!$A$3:$A$2477,$A116),2),V$1),0)</f>
        <v>1</v>
      </c>
      <c r="W116">
        <f>IFERROR(COUNTIF(OFFSET('Schedule Raw Data'!$A$2,MATCH($A116,'Schedule Raw Data'!$A$3:$A$2477,0),1,COUNTIF('Schedule Raw Data'!$A$3:$A$2477,$A116),2),W$1),0)</f>
        <v>0</v>
      </c>
      <c r="X116">
        <f>IFERROR(COUNTIF(OFFSET('Schedule Raw Data'!$A$2,MATCH($A116,'Schedule Raw Data'!$A$3:$A$2477,0),1,COUNTIF('Schedule Raw Data'!$A$3:$A$2477,$A116),2),X$1),0)</f>
        <v>1</v>
      </c>
      <c r="Y116">
        <f>IFERROR(COUNTIF(OFFSET('Schedule Raw Data'!$A$2,MATCH($A116,'Schedule Raw Data'!$A$3:$A$2477,0),1,COUNTIF('Schedule Raw Data'!$A$3:$A$2477,$A116),2),Y$1),0)</f>
        <v>0</v>
      </c>
      <c r="Z116">
        <f>IFERROR(COUNTIF(OFFSET('Schedule Raw Data'!$A$2,MATCH($A116,'Schedule Raw Data'!$A$3:$A$2477,0),1,COUNTIF('Schedule Raw Data'!$A$3:$A$2477,$A116),2),Z$1),0)</f>
        <v>0</v>
      </c>
      <c r="AA116">
        <f>IFERROR(COUNTIF(OFFSET('Schedule Raw Data'!$A$2,MATCH($A116,'Schedule Raw Data'!$A$3:$A$2477,0),1,COUNTIF('Schedule Raw Data'!$A$3:$A$2477,$A116),2),AA$1),0)</f>
        <v>1</v>
      </c>
      <c r="AB116">
        <f>IFERROR(COUNTIF(OFFSET('Schedule Raw Data'!$A$2,MATCH($A116,'Schedule Raw Data'!$A$3:$A$2477,0),1,COUNTIF('Schedule Raw Data'!$A$3:$A$2477,$A116),2),AB$1),0)</f>
        <v>1</v>
      </c>
      <c r="AC116">
        <f>IFERROR(COUNTIF(OFFSET('Schedule Raw Data'!$A$2,MATCH($A116,'Schedule Raw Data'!$A$3:$A$2477,0),1,COUNTIF('Schedule Raw Data'!$A$3:$A$2477,$A116),2),AC$1),0)</f>
        <v>1</v>
      </c>
      <c r="AD116">
        <f>IFERROR(COUNTIF(OFFSET('Schedule Raw Data'!$A$2,MATCH($A116,'Schedule Raw Data'!$A$3:$A$2477,0),1,COUNTIF('Schedule Raw Data'!$A$3:$A$2477,$A116),2),AD$1),0)</f>
        <v>1</v>
      </c>
      <c r="AE116">
        <f>IFERROR(COUNTIF(OFFSET('Schedule Raw Data'!$A$2,MATCH($A116,'Schedule Raw Data'!$A$3:$A$2477,0),1,COUNTIF('Schedule Raw Data'!$A$3:$A$2477,$A116),2),AE$1),0)</f>
        <v>0</v>
      </c>
      <c r="AF116">
        <f>IFERROR(COUNTIF(OFFSET('Schedule Raw Data'!$A$2,MATCH($A116,'Schedule Raw Data'!$A$3:$A$2477,0),1,COUNTIF('Schedule Raw Data'!$A$3:$A$2477,$A116),2),AF$1),0)</f>
        <v>0</v>
      </c>
      <c r="AG116">
        <f t="shared" si="1"/>
        <v>9</v>
      </c>
    </row>
    <row r="117">
      <c r="A117" s="30">
        <f t="array" ref="A117">INDEX('Schedule Raw Data'!$A$3:$A$2477,MATCH(0,INDEX(COUNTIF($A$1:A116,'Schedule Raw Data'!$A$3:$A$2477),0,0),0))</f>
        <v>46447</v>
      </c>
      <c r="B117">
        <f t="shared" si="2"/>
        <v>18</v>
      </c>
      <c r="C117">
        <f>IFERROR(COUNTIF(OFFSET('Schedule Raw Data'!$A$2,MATCH($A117,'Schedule Raw Data'!$A$3:$A$2477,0),1,COUNTIF('Schedule Raw Data'!$A$3:$A$2477,$A117),2),C$1),0)</f>
        <v>0</v>
      </c>
      <c r="D117">
        <f>IFERROR(COUNTIF(OFFSET('Schedule Raw Data'!$A$2,MATCH($A117,'Schedule Raw Data'!$A$3:$A$2477,0),1,COUNTIF('Schedule Raw Data'!$A$3:$A$2477,$A117),2),D$1),0)</f>
        <v>1</v>
      </c>
      <c r="E117">
        <f>IFERROR(COUNTIF(OFFSET('Schedule Raw Data'!$A$2,MATCH($A117,'Schedule Raw Data'!$A$3:$A$2477,0),1,COUNTIF('Schedule Raw Data'!$A$3:$A$2477,$A117),2),E$1),0)</f>
        <v>0</v>
      </c>
      <c r="F117">
        <f>IFERROR(COUNTIF(OFFSET('Schedule Raw Data'!$A$2,MATCH($A117,'Schedule Raw Data'!$A$3:$A$2477,0),1,COUNTIF('Schedule Raw Data'!$A$3:$A$2477,$A117),2),F$1),0)</f>
        <v>0</v>
      </c>
      <c r="G117">
        <f>IFERROR(COUNTIF(OFFSET('Schedule Raw Data'!$A$2,MATCH($A117,'Schedule Raw Data'!$A$3:$A$2477,0),1,COUNTIF('Schedule Raw Data'!$A$3:$A$2477,$A117),2),G$1),0)</f>
        <v>1</v>
      </c>
      <c r="H117">
        <f>IFERROR(COUNTIF(OFFSET('Schedule Raw Data'!$A$2,MATCH($A117,'Schedule Raw Data'!$A$3:$A$2477,0),1,COUNTIF('Schedule Raw Data'!$A$3:$A$2477,$A117),2),H$1),0)</f>
        <v>1</v>
      </c>
      <c r="I117">
        <f>IFERROR(COUNTIF(OFFSET('Schedule Raw Data'!$A$2,MATCH($A117,'Schedule Raw Data'!$A$3:$A$2477,0),1,COUNTIF('Schedule Raw Data'!$A$3:$A$2477,$A117),2),I$1),0)</f>
        <v>0</v>
      </c>
      <c r="J117">
        <f>IFERROR(COUNTIF(OFFSET('Schedule Raw Data'!$A$2,MATCH($A117,'Schedule Raw Data'!$A$3:$A$2477,0),1,COUNTIF('Schedule Raw Data'!$A$3:$A$2477,$A117),2),J$1),0)</f>
        <v>1</v>
      </c>
      <c r="K117">
        <f>IFERROR(COUNTIF(OFFSET('Schedule Raw Data'!$A$2,MATCH($A117,'Schedule Raw Data'!$A$3:$A$2477,0),1,COUNTIF('Schedule Raw Data'!$A$3:$A$2477,$A117),2),K$1),0)</f>
        <v>1</v>
      </c>
      <c r="L117">
        <f>IFERROR(COUNTIF(OFFSET('Schedule Raw Data'!$A$2,MATCH($A117,'Schedule Raw Data'!$A$3:$A$2477,0),1,COUNTIF('Schedule Raw Data'!$A$3:$A$2477,$A117),2),L$1),0)</f>
        <v>1</v>
      </c>
      <c r="M117">
        <f>IFERROR(COUNTIF(OFFSET('Schedule Raw Data'!$A$2,MATCH($A117,'Schedule Raw Data'!$A$3:$A$2477,0),1,COUNTIF('Schedule Raw Data'!$A$3:$A$2477,$A117),2),M$1),0)</f>
        <v>1</v>
      </c>
      <c r="N117">
        <f>IFERROR(COUNTIF(OFFSET('Schedule Raw Data'!$A$2,MATCH($A117,'Schedule Raw Data'!$A$3:$A$2477,0),1,COUNTIF('Schedule Raw Data'!$A$3:$A$2477,$A117),2),N$1),0)</f>
        <v>0</v>
      </c>
      <c r="O117">
        <f>IFERROR(COUNTIF(OFFSET('Schedule Raw Data'!$A$2,MATCH($A117,'Schedule Raw Data'!$A$3:$A$2477,0),1,COUNTIF('Schedule Raw Data'!$A$3:$A$2477,$A117),2),O$1),0)</f>
        <v>0</v>
      </c>
      <c r="P117">
        <f>IFERROR(COUNTIF(OFFSET('Schedule Raw Data'!$A$2,MATCH($A117,'Schedule Raw Data'!$A$3:$A$2477,0),1,COUNTIF('Schedule Raw Data'!$A$3:$A$2477,$A117),2),P$1),0)</f>
        <v>0</v>
      </c>
      <c r="Q117">
        <f>IFERROR(COUNTIF(OFFSET('Schedule Raw Data'!$A$2,MATCH($A117,'Schedule Raw Data'!$A$3:$A$2477,0),1,COUNTIF('Schedule Raw Data'!$A$3:$A$2477,$A117),2),Q$1),0)</f>
        <v>0</v>
      </c>
      <c r="R117">
        <f>IFERROR(COUNTIF(OFFSET('Schedule Raw Data'!$A$2,MATCH($A117,'Schedule Raw Data'!$A$3:$A$2477,0),1,COUNTIF('Schedule Raw Data'!$A$3:$A$2477,$A117),2),R$1),0)</f>
        <v>0</v>
      </c>
      <c r="S117">
        <f>IFERROR(COUNTIF(OFFSET('Schedule Raw Data'!$A$2,MATCH($A117,'Schedule Raw Data'!$A$3:$A$2477,0),1,COUNTIF('Schedule Raw Data'!$A$3:$A$2477,$A117),2),S$1),0)</f>
        <v>0</v>
      </c>
      <c r="T117">
        <f>IFERROR(COUNTIF(OFFSET('Schedule Raw Data'!$A$2,MATCH($A117,'Schedule Raw Data'!$A$3:$A$2477,0),1,COUNTIF('Schedule Raw Data'!$A$3:$A$2477,$A117),2),T$1),0)</f>
        <v>0</v>
      </c>
      <c r="U117">
        <f>IFERROR(COUNTIF(OFFSET('Schedule Raw Data'!$A$2,MATCH($A117,'Schedule Raw Data'!$A$3:$A$2477,0),1,COUNTIF('Schedule Raw Data'!$A$3:$A$2477,$A117),2),U$1),0)</f>
        <v>1</v>
      </c>
      <c r="V117">
        <f>IFERROR(COUNTIF(OFFSET('Schedule Raw Data'!$A$2,MATCH($A117,'Schedule Raw Data'!$A$3:$A$2477,0),1,COUNTIF('Schedule Raw Data'!$A$3:$A$2477,$A117),2),V$1),0)</f>
        <v>0</v>
      </c>
      <c r="W117">
        <f>IFERROR(COUNTIF(OFFSET('Schedule Raw Data'!$A$2,MATCH($A117,'Schedule Raw Data'!$A$3:$A$2477,0),1,COUNTIF('Schedule Raw Data'!$A$3:$A$2477,$A117),2),W$1),0)</f>
        <v>0</v>
      </c>
      <c r="X117">
        <f>IFERROR(COUNTIF(OFFSET('Schedule Raw Data'!$A$2,MATCH($A117,'Schedule Raw Data'!$A$3:$A$2477,0),1,COUNTIF('Schedule Raw Data'!$A$3:$A$2477,$A117),2),X$1),0)</f>
        <v>0</v>
      </c>
      <c r="Y117">
        <f>IFERROR(COUNTIF(OFFSET('Schedule Raw Data'!$A$2,MATCH($A117,'Schedule Raw Data'!$A$3:$A$2477,0),1,COUNTIF('Schedule Raw Data'!$A$3:$A$2477,$A117),2),Y$1),0)</f>
        <v>1</v>
      </c>
      <c r="Z117">
        <f>IFERROR(COUNTIF(OFFSET('Schedule Raw Data'!$A$2,MATCH($A117,'Schedule Raw Data'!$A$3:$A$2477,0),1,COUNTIF('Schedule Raw Data'!$A$3:$A$2477,$A117),2),Z$1),0)</f>
        <v>1</v>
      </c>
      <c r="AA117">
        <f>IFERROR(COUNTIF(OFFSET('Schedule Raw Data'!$A$2,MATCH($A117,'Schedule Raw Data'!$A$3:$A$2477,0),1,COUNTIF('Schedule Raw Data'!$A$3:$A$2477,$A117),2),AA$1),0)</f>
        <v>0</v>
      </c>
      <c r="AB117">
        <f>IFERROR(COUNTIF(OFFSET('Schedule Raw Data'!$A$2,MATCH($A117,'Schedule Raw Data'!$A$3:$A$2477,0),1,COUNTIF('Schedule Raw Data'!$A$3:$A$2477,$A117),2),AB$1),0)</f>
        <v>0</v>
      </c>
      <c r="AC117">
        <f>IFERROR(COUNTIF(OFFSET('Schedule Raw Data'!$A$2,MATCH($A117,'Schedule Raw Data'!$A$3:$A$2477,0),1,COUNTIF('Schedule Raw Data'!$A$3:$A$2477,$A117),2),AC$1),0)</f>
        <v>0</v>
      </c>
      <c r="AD117">
        <f>IFERROR(COUNTIF(OFFSET('Schedule Raw Data'!$A$2,MATCH($A117,'Schedule Raw Data'!$A$3:$A$2477,0),1,COUNTIF('Schedule Raw Data'!$A$3:$A$2477,$A117),2),AD$1),0)</f>
        <v>0</v>
      </c>
      <c r="AE117">
        <f>IFERROR(COUNTIF(OFFSET('Schedule Raw Data'!$A$2,MATCH($A117,'Schedule Raw Data'!$A$3:$A$2477,0),1,COUNTIF('Schedule Raw Data'!$A$3:$A$2477,$A117),2),AE$1),0)</f>
        <v>1</v>
      </c>
      <c r="AF117">
        <f>IFERROR(COUNTIF(OFFSET('Schedule Raw Data'!$A$2,MATCH($A117,'Schedule Raw Data'!$A$3:$A$2477,0),1,COUNTIF('Schedule Raw Data'!$A$3:$A$2477,$A117),2),AF$1),0)</f>
        <v>1</v>
      </c>
      <c r="AG117">
        <f t="shared" si="1"/>
        <v>6</v>
      </c>
    </row>
    <row r="118">
      <c r="A118" s="30">
        <f t="array" ref="A118">INDEX('Schedule Raw Data'!$A$3:$A$2477,MATCH(0,INDEX(COUNTIF($A$1:A117,'Schedule Raw Data'!$A$3:$A$2477),0,0),0))</f>
        <v>46448</v>
      </c>
      <c r="B118">
        <f t="shared" si="2"/>
        <v>18</v>
      </c>
      <c r="C118">
        <f>IFERROR(COUNTIF(OFFSET('Schedule Raw Data'!$A$2,MATCH($A118,'Schedule Raw Data'!$A$3:$A$2477,0),1,COUNTIF('Schedule Raw Data'!$A$3:$A$2477,$A118),2),C$1),0)</f>
        <v>0</v>
      </c>
      <c r="D118">
        <f>IFERROR(COUNTIF(OFFSET('Schedule Raw Data'!$A$2,MATCH($A118,'Schedule Raw Data'!$A$3:$A$2477,0),1,COUNTIF('Schedule Raw Data'!$A$3:$A$2477,$A118),2),D$1),0)</f>
        <v>0</v>
      </c>
      <c r="E118">
        <f>IFERROR(COUNTIF(OFFSET('Schedule Raw Data'!$A$2,MATCH($A118,'Schedule Raw Data'!$A$3:$A$2477,0),1,COUNTIF('Schedule Raw Data'!$A$3:$A$2477,$A118),2),E$1),0)</f>
        <v>1</v>
      </c>
      <c r="F118">
        <f>IFERROR(COUNTIF(OFFSET('Schedule Raw Data'!$A$2,MATCH($A118,'Schedule Raw Data'!$A$3:$A$2477,0),1,COUNTIF('Schedule Raw Data'!$A$3:$A$2477,$A118),2),F$1),0)</f>
        <v>0</v>
      </c>
      <c r="G118">
        <f>IFERROR(COUNTIF(OFFSET('Schedule Raw Data'!$A$2,MATCH($A118,'Schedule Raw Data'!$A$3:$A$2477,0),1,COUNTIF('Schedule Raw Data'!$A$3:$A$2477,$A118),2),G$1),0)</f>
        <v>0</v>
      </c>
      <c r="H118">
        <f>IFERROR(COUNTIF(OFFSET('Schedule Raw Data'!$A$2,MATCH($A118,'Schedule Raw Data'!$A$3:$A$2477,0),1,COUNTIF('Schedule Raw Data'!$A$3:$A$2477,$A118),2),H$1),0)</f>
        <v>0</v>
      </c>
      <c r="I118">
        <f>IFERROR(COUNTIF(OFFSET('Schedule Raw Data'!$A$2,MATCH($A118,'Schedule Raw Data'!$A$3:$A$2477,0),1,COUNTIF('Schedule Raw Data'!$A$3:$A$2477,$A118),2),I$1),0)</f>
        <v>1</v>
      </c>
      <c r="J118">
        <f>IFERROR(COUNTIF(OFFSET('Schedule Raw Data'!$A$2,MATCH($A118,'Schedule Raw Data'!$A$3:$A$2477,0),1,COUNTIF('Schedule Raw Data'!$A$3:$A$2477,$A118),2),J$1),0)</f>
        <v>0</v>
      </c>
      <c r="K118">
        <f>IFERROR(COUNTIF(OFFSET('Schedule Raw Data'!$A$2,MATCH($A118,'Schedule Raw Data'!$A$3:$A$2477,0),1,COUNTIF('Schedule Raw Data'!$A$3:$A$2477,$A118),2),K$1),0)</f>
        <v>1</v>
      </c>
      <c r="L118">
        <f>IFERROR(COUNTIF(OFFSET('Schedule Raw Data'!$A$2,MATCH($A118,'Schedule Raw Data'!$A$3:$A$2477,0),1,COUNTIF('Schedule Raw Data'!$A$3:$A$2477,$A118),2),L$1),0)</f>
        <v>1</v>
      </c>
      <c r="M118">
        <f>IFERROR(COUNTIF(OFFSET('Schedule Raw Data'!$A$2,MATCH($A118,'Schedule Raw Data'!$A$3:$A$2477,0),1,COUNTIF('Schedule Raw Data'!$A$3:$A$2477,$A118),2),M$1),0)</f>
        <v>0</v>
      </c>
      <c r="N118">
        <f>IFERROR(COUNTIF(OFFSET('Schedule Raw Data'!$A$2,MATCH($A118,'Schedule Raw Data'!$A$3:$A$2477,0),1,COUNTIF('Schedule Raw Data'!$A$3:$A$2477,$A118),2),N$1),0)</f>
        <v>1</v>
      </c>
      <c r="O118">
        <f>IFERROR(COUNTIF(OFFSET('Schedule Raw Data'!$A$2,MATCH($A118,'Schedule Raw Data'!$A$3:$A$2477,0),1,COUNTIF('Schedule Raw Data'!$A$3:$A$2477,$A118),2),O$1),0)</f>
        <v>1</v>
      </c>
      <c r="P118">
        <f>IFERROR(COUNTIF(OFFSET('Schedule Raw Data'!$A$2,MATCH($A118,'Schedule Raw Data'!$A$3:$A$2477,0),1,COUNTIF('Schedule Raw Data'!$A$3:$A$2477,$A118),2),P$1),0)</f>
        <v>1</v>
      </c>
      <c r="Q118">
        <f>IFERROR(COUNTIF(OFFSET('Schedule Raw Data'!$A$2,MATCH($A118,'Schedule Raw Data'!$A$3:$A$2477,0),1,COUNTIF('Schedule Raw Data'!$A$3:$A$2477,$A118),2),Q$1),0)</f>
        <v>1</v>
      </c>
      <c r="R118">
        <f>IFERROR(COUNTIF(OFFSET('Schedule Raw Data'!$A$2,MATCH($A118,'Schedule Raw Data'!$A$3:$A$2477,0),1,COUNTIF('Schedule Raw Data'!$A$3:$A$2477,$A118),2),R$1),0)</f>
        <v>1</v>
      </c>
      <c r="S118">
        <f>IFERROR(COUNTIF(OFFSET('Schedule Raw Data'!$A$2,MATCH($A118,'Schedule Raw Data'!$A$3:$A$2477,0),1,COUNTIF('Schedule Raw Data'!$A$3:$A$2477,$A118),2),S$1),0)</f>
        <v>1</v>
      </c>
      <c r="T118">
        <f>IFERROR(COUNTIF(OFFSET('Schedule Raw Data'!$A$2,MATCH($A118,'Schedule Raw Data'!$A$3:$A$2477,0),1,COUNTIF('Schedule Raw Data'!$A$3:$A$2477,$A118),2),T$1),0)</f>
        <v>1</v>
      </c>
      <c r="U118">
        <f>IFERROR(COUNTIF(OFFSET('Schedule Raw Data'!$A$2,MATCH($A118,'Schedule Raw Data'!$A$3:$A$2477,0),1,COUNTIF('Schedule Raw Data'!$A$3:$A$2477,$A118),2),U$1),0)</f>
        <v>0</v>
      </c>
      <c r="V118">
        <f>IFERROR(COUNTIF(OFFSET('Schedule Raw Data'!$A$2,MATCH($A118,'Schedule Raw Data'!$A$3:$A$2477,0),1,COUNTIF('Schedule Raw Data'!$A$3:$A$2477,$A118),2),V$1),0)</f>
        <v>1</v>
      </c>
      <c r="W118">
        <f>IFERROR(COUNTIF(OFFSET('Schedule Raw Data'!$A$2,MATCH($A118,'Schedule Raw Data'!$A$3:$A$2477,0),1,COUNTIF('Schedule Raw Data'!$A$3:$A$2477,$A118),2),W$1),0)</f>
        <v>1</v>
      </c>
      <c r="X118">
        <f>IFERROR(COUNTIF(OFFSET('Schedule Raw Data'!$A$2,MATCH($A118,'Schedule Raw Data'!$A$3:$A$2477,0),1,COUNTIF('Schedule Raw Data'!$A$3:$A$2477,$A118),2),X$1),0)</f>
        <v>1</v>
      </c>
      <c r="Y118">
        <f>IFERROR(COUNTIF(OFFSET('Schedule Raw Data'!$A$2,MATCH($A118,'Schedule Raw Data'!$A$3:$A$2477,0),1,COUNTIF('Schedule Raw Data'!$A$3:$A$2477,$A118),2),Y$1),0)</f>
        <v>0</v>
      </c>
      <c r="Z118">
        <f>IFERROR(COUNTIF(OFFSET('Schedule Raw Data'!$A$2,MATCH($A118,'Schedule Raw Data'!$A$3:$A$2477,0),1,COUNTIF('Schedule Raw Data'!$A$3:$A$2477,$A118),2),Z$1),0)</f>
        <v>0</v>
      </c>
      <c r="AA118">
        <f>IFERROR(COUNTIF(OFFSET('Schedule Raw Data'!$A$2,MATCH($A118,'Schedule Raw Data'!$A$3:$A$2477,0),1,COUNTIF('Schedule Raw Data'!$A$3:$A$2477,$A118),2),AA$1),0)</f>
        <v>1</v>
      </c>
      <c r="AB118">
        <f>IFERROR(COUNTIF(OFFSET('Schedule Raw Data'!$A$2,MATCH($A118,'Schedule Raw Data'!$A$3:$A$2477,0),1,COUNTIF('Schedule Raw Data'!$A$3:$A$2477,$A118),2),AB$1),0)</f>
        <v>1</v>
      </c>
      <c r="AC118">
        <f>IFERROR(COUNTIF(OFFSET('Schedule Raw Data'!$A$2,MATCH($A118,'Schedule Raw Data'!$A$3:$A$2477,0),1,COUNTIF('Schedule Raw Data'!$A$3:$A$2477,$A118),2),AC$1),0)</f>
        <v>0</v>
      </c>
      <c r="AD118">
        <f>IFERROR(COUNTIF(OFFSET('Schedule Raw Data'!$A$2,MATCH($A118,'Schedule Raw Data'!$A$3:$A$2477,0),1,COUNTIF('Schedule Raw Data'!$A$3:$A$2477,$A118),2),AD$1),0)</f>
        <v>1</v>
      </c>
      <c r="AE118">
        <f>IFERROR(COUNTIF(OFFSET('Schedule Raw Data'!$A$2,MATCH($A118,'Schedule Raw Data'!$A$3:$A$2477,0),1,COUNTIF('Schedule Raw Data'!$A$3:$A$2477,$A118),2),AE$1),0)</f>
        <v>0</v>
      </c>
      <c r="AF118">
        <f>IFERROR(COUNTIF(OFFSET('Schedule Raw Data'!$A$2,MATCH($A118,'Schedule Raw Data'!$A$3:$A$2477,0),1,COUNTIF('Schedule Raw Data'!$A$3:$A$2477,$A118),2),AF$1),0)</f>
        <v>1</v>
      </c>
      <c r="AG118">
        <f t="shared" si="1"/>
        <v>9</v>
      </c>
    </row>
    <row r="119">
      <c r="A119" s="30">
        <f t="array" ref="A119">INDEX('Schedule Raw Data'!$A$3:$A$2477,MATCH(0,INDEX(COUNTIF($A$1:A118,'Schedule Raw Data'!$A$3:$A$2477),0,0),0))</f>
        <v>46449</v>
      </c>
      <c r="B119">
        <f t="shared" si="2"/>
        <v>18</v>
      </c>
      <c r="C119">
        <f>IFERROR(COUNTIF(OFFSET('Schedule Raw Data'!$A$2,MATCH($A119,'Schedule Raw Data'!$A$3:$A$2477,0),1,COUNTIF('Schedule Raw Data'!$A$3:$A$2477,$A119),2),C$1),0)</f>
        <v>1</v>
      </c>
      <c r="D119">
        <f>IFERROR(COUNTIF(OFFSET('Schedule Raw Data'!$A$2,MATCH($A119,'Schedule Raw Data'!$A$3:$A$2477,0),1,COUNTIF('Schedule Raw Data'!$A$3:$A$2477,$A119),2),D$1),0)</f>
        <v>1</v>
      </c>
      <c r="E119">
        <f>IFERROR(COUNTIF(OFFSET('Schedule Raw Data'!$A$2,MATCH($A119,'Schedule Raw Data'!$A$3:$A$2477,0),1,COUNTIF('Schedule Raw Data'!$A$3:$A$2477,$A119),2),E$1),0)</f>
        <v>0</v>
      </c>
      <c r="F119">
        <f>IFERROR(COUNTIF(OFFSET('Schedule Raw Data'!$A$2,MATCH($A119,'Schedule Raw Data'!$A$3:$A$2477,0),1,COUNTIF('Schedule Raw Data'!$A$3:$A$2477,$A119),2),F$1),0)</f>
        <v>1</v>
      </c>
      <c r="G119">
        <f>IFERROR(COUNTIF(OFFSET('Schedule Raw Data'!$A$2,MATCH($A119,'Schedule Raw Data'!$A$3:$A$2477,0),1,COUNTIF('Schedule Raw Data'!$A$3:$A$2477,$A119),2),G$1),0)</f>
        <v>1</v>
      </c>
      <c r="H119">
        <f>IFERROR(COUNTIF(OFFSET('Schedule Raw Data'!$A$2,MATCH($A119,'Schedule Raw Data'!$A$3:$A$2477,0),1,COUNTIF('Schedule Raw Data'!$A$3:$A$2477,$A119),2),H$1),0)</f>
        <v>0</v>
      </c>
      <c r="I119">
        <f>IFERROR(COUNTIF(OFFSET('Schedule Raw Data'!$A$2,MATCH($A119,'Schedule Raw Data'!$A$3:$A$2477,0),1,COUNTIF('Schedule Raw Data'!$A$3:$A$2477,$A119),2),I$1),0)</f>
        <v>0</v>
      </c>
      <c r="J119">
        <f>IFERROR(COUNTIF(OFFSET('Schedule Raw Data'!$A$2,MATCH($A119,'Schedule Raw Data'!$A$3:$A$2477,0),1,COUNTIF('Schedule Raw Data'!$A$3:$A$2477,$A119),2),J$1),0)</f>
        <v>1</v>
      </c>
      <c r="K119">
        <f>IFERROR(COUNTIF(OFFSET('Schedule Raw Data'!$A$2,MATCH($A119,'Schedule Raw Data'!$A$3:$A$2477,0),1,COUNTIF('Schedule Raw Data'!$A$3:$A$2477,$A119),2),K$1),0)</f>
        <v>0</v>
      </c>
      <c r="L119">
        <f>IFERROR(COUNTIF(OFFSET('Schedule Raw Data'!$A$2,MATCH($A119,'Schedule Raw Data'!$A$3:$A$2477,0),1,COUNTIF('Schedule Raw Data'!$A$3:$A$2477,$A119),2),L$1),0)</f>
        <v>0</v>
      </c>
      <c r="M119">
        <f>IFERROR(COUNTIF(OFFSET('Schedule Raw Data'!$A$2,MATCH($A119,'Schedule Raw Data'!$A$3:$A$2477,0),1,COUNTIF('Schedule Raw Data'!$A$3:$A$2477,$A119),2),M$1),0)</f>
        <v>1</v>
      </c>
      <c r="N119">
        <f>IFERROR(COUNTIF(OFFSET('Schedule Raw Data'!$A$2,MATCH($A119,'Schedule Raw Data'!$A$3:$A$2477,0),1,COUNTIF('Schedule Raw Data'!$A$3:$A$2477,$A119),2),N$1),0)</f>
        <v>0</v>
      </c>
      <c r="O119">
        <f>IFERROR(COUNTIF(OFFSET('Schedule Raw Data'!$A$2,MATCH($A119,'Schedule Raw Data'!$A$3:$A$2477,0),1,COUNTIF('Schedule Raw Data'!$A$3:$A$2477,$A119),2),O$1),0)</f>
        <v>0</v>
      </c>
      <c r="P119">
        <f>IFERROR(COUNTIF(OFFSET('Schedule Raw Data'!$A$2,MATCH($A119,'Schedule Raw Data'!$A$3:$A$2477,0),1,COUNTIF('Schedule Raw Data'!$A$3:$A$2477,$A119),2),P$1),0)</f>
        <v>0</v>
      </c>
      <c r="Q119">
        <f>IFERROR(COUNTIF(OFFSET('Schedule Raw Data'!$A$2,MATCH($A119,'Schedule Raw Data'!$A$3:$A$2477,0),1,COUNTIF('Schedule Raw Data'!$A$3:$A$2477,$A119),2),Q$1),0)</f>
        <v>0</v>
      </c>
      <c r="R119">
        <f>IFERROR(COUNTIF(OFFSET('Schedule Raw Data'!$A$2,MATCH($A119,'Schedule Raw Data'!$A$3:$A$2477,0),1,COUNTIF('Schedule Raw Data'!$A$3:$A$2477,$A119),2),R$1),0)</f>
        <v>1</v>
      </c>
      <c r="S119">
        <f>IFERROR(COUNTIF(OFFSET('Schedule Raw Data'!$A$2,MATCH($A119,'Schedule Raw Data'!$A$3:$A$2477,0),1,COUNTIF('Schedule Raw Data'!$A$3:$A$2477,$A119),2),S$1),0)</f>
        <v>1</v>
      </c>
      <c r="T119">
        <f>IFERROR(COUNTIF(OFFSET('Schedule Raw Data'!$A$2,MATCH($A119,'Schedule Raw Data'!$A$3:$A$2477,0),1,COUNTIF('Schedule Raw Data'!$A$3:$A$2477,$A119),2),T$1),0)</f>
        <v>0</v>
      </c>
      <c r="U119">
        <f>IFERROR(COUNTIF(OFFSET('Schedule Raw Data'!$A$2,MATCH($A119,'Schedule Raw Data'!$A$3:$A$2477,0),1,COUNTIF('Schedule Raw Data'!$A$3:$A$2477,$A119),2),U$1),0)</f>
        <v>1</v>
      </c>
      <c r="V119">
        <f>IFERROR(COUNTIF(OFFSET('Schedule Raw Data'!$A$2,MATCH($A119,'Schedule Raw Data'!$A$3:$A$2477,0),1,COUNTIF('Schedule Raw Data'!$A$3:$A$2477,$A119),2),V$1),0)</f>
        <v>0</v>
      </c>
      <c r="W119">
        <f>IFERROR(COUNTIF(OFFSET('Schedule Raw Data'!$A$2,MATCH($A119,'Schedule Raw Data'!$A$3:$A$2477,0),1,COUNTIF('Schedule Raw Data'!$A$3:$A$2477,$A119),2),W$1),0)</f>
        <v>0</v>
      </c>
      <c r="X119">
        <f>IFERROR(COUNTIF(OFFSET('Schedule Raw Data'!$A$2,MATCH($A119,'Schedule Raw Data'!$A$3:$A$2477,0),1,COUNTIF('Schedule Raw Data'!$A$3:$A$2477,$A119),2),X$1),0)</f>
        <v>0</v>
      </c>
      <c r="Y119">
        <f>IFERROR(COUNTIF(OFFSET('Schedule Raw Data'!$A$2,MATCH($A119,'Schedule Raw Data'!$A$3:$A$2477,0),1,COUNTIF('Schedule Raw Data'!$A$3:$A$2477,$A119),2),Y$1),0)</f>
        <v>1</v>
      </c>
      <c r="Z119">
        <f>IFERROR(COUNTIF(OFFSET('Schedule Raw Data'!$A$2,MATCH($A119,'Schedule Raw Data'!$A$3:$A$2477,0),1,COUNTIF('Schedule Raw Data'!$A$3:$A$2477,$A119),2),Z$1),0)</f>
        <v>1</v>
      </c>
      <c r="AA119">
        <f>IFERROR(COUNTIF(OFFSET('Schedule Raw Data'!$A$2,MATCH($A119,'Schedule Raw Data'!$A$3:$A$2477,0),1,COUNTIF('Schedule Raw Data'!$A$3:$A$2477,$A119),2),AA$1),0)</f>
        <v>0</v>
      </c>
      <c r="AB119">
        <f>IFERROR(COUNTIF(OFFSET('Schedule Raw Data'!$A$2,MATCH($A119,'Schedule Raw Data'!$A$3:$A$2477,0),1,COUNTIF('Schedule Raw Data'!$A$3:$A$2477,$A119),2),AB$1),0)</f>
        <v>0</v>
      </c>
      <c r="AC119">
        <f>IFERROR(COUNTIF(OFFSET('Schedule Raw Data'!$A$2,MATCH($A119,'Schedule Raw Data'!$A$3:$A$2477,0),1,COUNTIF('Schedule Raw Data'!$A$3:$A$2477,$A119),2),AC$1),0)</f>
        <v>1</v>
      </c>
      <c r="AD119">
        <f>IFERROR(COUNTIF(OFFSET('Schedule Raw Data'!$A$2,MATCH($A119,'Schedule Raw Data'!$A$3:$A$2477,0),1,COUNTIF('Schedule Raw Data'!$A$3:$A$2477,$A119),2),AD$1),0)</f>
        <v>1</v>
      </c>
      <c r="AE119">
        <f>IFERROR(COUNTIF(OFFSET('Schedule Raw Data'!$A$2,MATCH($A119,'Schedule Raw Data'!$A$3:$A$2477,0),1,COUNTIF('Schedule Raw Data'!$A$3:$A$2477,$A119),2),AE$1),0)</f>
        <v>1</v>
      </c>
      <c r="AF119">
        <f>IFERROR(COUNTIF(OFFSET('Schedule Raw Data'!$A$2,MATCH($A119,'Schedule Raw Data'!$A$3:$A$2477,0),1,COUNTIF('Schedule Raw Data'!$A$3:$A$2477,$A119),2),AF$1),0)</f>
        <v>0</v>
      </c>
      <c r="AG119">
        <f t="shared" si="1"/>
        <v>7</v>
      </c>
    </row>
    <row r="120">
      <c r="A120" s="30">
        <f t="array" ref="A120">INDEX('Schedule Raw Data'!$A$3:$A$2477,MATCH(0,INDEX(COUNTIF($A$1:A119,'Schedule Raw Data'!$A$3:$A$2477),0,0),0))</f>
        <v>46450</v>
      </c>
      <c r="B120">
        <f t="shared" si="2"/>
        <v>18</v>
      </c>
      <c r="C120">
        <f>IFERROR(COUNTIF(OFFSET('Schedule Raw Data'!$A$2,MATCH($A120,'Schedule Raw Data'!$A$3:$A$2477,0),1,COUNTIF('Schedule Raw Data'!$A$3:$A$2477,$A120),2),C$1),0)</f>
        <v>1</v>
      </c>
      <c r="D120">
        <f>IFERROR(COUNTIF(OFFSET('Schedule Raw Data'!$A$2,MATCH($A120,'Schedule Raw Data'!$A$3:$A$2477,0),1,COUNTIF('Schedule Raw Data'!$A$3:$A$2477,$A120),2),D$1),0)</f>
        <v>1</v>
      </c>
      <c r="E120">
        <f>IFERROR(COUNTIF(OFFSET('Schedule Raw Data'!$A$2,MATCH($A120,'Schedule Raw Data'!$A$3:$A$2477,0),1,COUNTIF('Schedule Raw Data'!$A$3:$A$2477,$A120),2),E$1),0)</f>
        <v>0</v>
      </c>
      <c r="F120">
        <f>IFERROR(COUNTIF(OFFSET('Schedule Raw Data'!$A$2,MATCH($A120,'Schedule Raw Data'!$A$3:$A$2477,0),1,COUNTIF('Schedule Raw Data'!$A$3:$A$2477,$A120),2),F$1),0)</f>
        <v>0</v>
      </c>
      <c r="G120">
        <f>IFERROR(COUNTIF(OFFSET('Schedule Raw Data'!$A$2,MATCH($A120,'Schedule Raw Data'!$A$3:$A$2477,0),1,COUNTIF('Schedule Raw Data'!$A$3:$A$2477,$A120),2),G$1),0)</f>
        <v>0</v>
      </c>
      <c r="H120">
        <f>IFERROR(COUNTIF(OFFSET('Schedule Raw Data'!$A$2,MATCH($A120,'Schedule Raw Data'!$A$3:$A$2477,0),1,COUNTIF('Schedule Raw Data'!$A$3:$A$2477,$A120),2),H$1),0)</f>
        <v>1</v>
      </c>
      <c r="I120">
        <f>IFERROR(COUNTIF(OFFSET('Schedule Raw Data'!$A$2,MATCH($A120,'Schedule Raw Data'!$A$3:$A$2477,0),1,COUNTIF('Schedule Raw Data'!$A$3:$A$2477,$A120),2),I$1),0)</f>
        <v>1</v>
      </c>
      <c r="J120">
        <f>IFERROR(COUNTIF(OFFSET('Schedule Raw Data'!$A$2,MATCH($A120,'Schedule Raw Data'!$A$3:$A$2477,0),1,COUNTIF('Schedule Raw Data'!$A$3:$A$2477,$A120),2),J$1),0)</f>
        <v>0</v>
      </c>
      <c r="K120">
        <f>IFERROR(COUNTIF(OFFSET('Schedule Raw Data'!$A$2,MATCH($A120,'Schedule Raw Data'!$A$3:$A$2477,0),1,COUNTIF('Schedule Raw Data'!$A$3:$A$2477,$A120),2),K$1),0)</f>
        <v>0</v>
      </c>
      <c r="L120">
        <f>IFERROR(COUNTIF(OFFSET('Schedule Raw Data'!$A$2,MATCH($A120,'Schedule Raw Data'!$A$3:$A$2477,0),1,COUNTIF('Schedule Raw Data'!$A$3:$A$2477,$A120),2),L$1),0)</f>
        <v>1</v>
      </c>
      <c r="M120">
        <f>IFERROR(COUNTIF(OFFSET('Schedule Raw Data'!$A$2,MATCH($A120,'Schedule Raw Data'!$A$3:$A$2477,0),1,COUNTIF('Schedule Raw Data'!$A$3:$A$2477,$A120),2),M$1),0)</f>
        <v>0</v>
      </c>
      <c r="N120">
        <f>IFERROR(COUNTIF(OFFSET('Schedule Raw Data'!$A$2,MATCH($A120,'Schedule Raw Data'!$A$3:$A$2477,0),1,COUNTIF('Schedule Raw Data'!$A$3:$A$2477,$A120),2),N$1),0)</f>
        <v>1</v>
      </c>
      <c r="O120">
        <f>IFERROR(COUNTIF(OFFSET('Schedule Raw Data'!$A$2,MATCH($A120,'Schedule Raw Data'!$A$3:$A$2477,0),1,COUNTIF('Schedule Raw Data'!$A$3:$A$2477,$A120),2),O$1),0)</f>
        <v>1</v>
      </c>
      <c r="P120">
        <f>IFERROR(COUNTIF(OFFSET('Schedule Raw Data'!$A$2,MATCH($A120,'Schedule Raw Data'!$A$3:$A$2477,0),1,COUNTIF('Schedule Raw Data'!$A$3:$A$2477,$A120),2),P$1),0)</f>
        <v>1</v>
      </c>
      <c r="Q120">
        <f>IFERROR(COUNTIF(OFFSET('Schedule Raw Data'!$A$2,MATCH($A120,'Schedule Raw Data'!$A$3:$A$2477,0),1,COUNTIF('Schedule Raw Data'!$A$3:$A$2477,$A120),2),Q$1),0)</f>
        <v>1</v>
      </c>
      <c r="R120">
        <f>IFERROR(COUNTIF(OFFSET('Schedule Raw Data'!$A$2,MATCH($A120,'Schedule Raw Data'!$A$3:$A$2477,0),1,COUNTIF('Schedule Raw Data'!$A$3:$A$2477,$A120),2),R$1),0)</f>
        <v>0</v>
      </c>
      <c r="S120">
        <f>IFERROR(COUNTIF(OFFSET('Schedule Raw Data'!$A$2,MATCH($A120,'Schedule Raw Data'!$A$3:$A$2477,0),1,COUNTIF('Schedule Raw Data'!$A$3:$A$2477,$A120),2),S$1),0)</f>
        <v>0</v>
      </c>
      <c r="T120">
        <f>IFERROR(COUNTIF(OFFSET('Schedule Raw Data'!$A$2,MATCH($A120,'Schedule Raw Data'!$A$3:$A$2477,0),1,COUNTIF('Schedule Raw Data'!$A$3:$A$2477,$A120),2),T$1),0)</f>
        <v>0</v>
      </c>
      <c r="U120">
        <f>IFERROR(COUNTIF(OFFSET('Schedule Raw Data'!$A$2,MATCH($A120,'Schedule Raw Data'!$A$3:$A$2477,0),1,COUNTIF('Schedule Raw Data'!$A$3:$A$2477,$A120),2),U$1),0)</f>
        <v>0</v>
      </c>
      <c r="V120">
        <f>IFERROR(COUNTIF(OFFSET('Schedule Raw Data'!$A$2,MATCH($A120,'Schedule Raw Data'!$A$3:$A$2477,0),1,COUNTIF('Schedule Raw Data'!$A$3:$A$2477,$A120),2),V$1),0)</f>
        <v>1</v>
      </c>
      <c r="W120">
        <f>IFERROR(COUNTIF(OFFSET('Schedule Raw Data'!$A$2,MATCH($A120,'Schedule Raw Data'!$A$3:$A$2477,0),1,COUNTIF('Schedule Raw Data'!$A$3:$A$2477,$A120),2),W$1),0)</f>
        <v>1</v>
      </c>
      <c r="X120">
        <f>IFERROR(COUNTIF(OFFSET('Schedule Raw Data'!$A$2,MATCH($A120,'Schedule Raw Data'!$A$3:$A$2477,0),1,COUNTIF('Schedule Raw Data'!$A$3:$A$2477,$A120),2),X$1),0)</f>
        <v>1</v>
      </c>
      <c r="Y120">
        <f>IFERROR(COUNTIF(OFFSET('Schedule Raw Data'!$A$2,MATCH($A120,'Schedule Raw Data'!$A$3:$A$2477,0),1,COUNTIF('Schedule Raw Data'!$A$3:$A$2477,$A120),2),Y$1),0)</f>
        <v>1</v>
      </c>
      <c r="Z120">
        <f>IFERROR(COUNTIF(OFFSET('Schedule Raw Data'!$A$2,MATCH($A120,'Schedule Raw Data'!$A$3:$A$2477,0),1,COUNTIF('Schedule Raw Data'!$A$3:$A$2477,$A120),2),Z$1),0)</f>
        <v>0</v>
      </c>
      <c r="AA120">
        <f>IFERROR(COUNTIF(OFFSET('Schedule Raw Data'!$A$2,MATCH($A120,'Schedule Raw Data'!$A$3:$A$2477,0),1,COUNTIF('Schedule Raw Data'!$A$3:$A$2477,$A120),2),AA$1),0)</f>
        <v>1</v>
      </c>
      <c r="AB120">
        <f>IFERROR(COUNTIF(OFFSET('Schedule Raw Data'!$A$2,MATCH($A120,'Schedule Raw Data'!$A$3:$A$2477,0),1,COUNTIF('Schedule Raw Data'!$A$3:$A$2477,$A120),2),AB$1),0)</f>
        <v>1</v>
      </c>
      <c r="AC120">
        <f>IFERROR(COUNTIF(OFFSET('Schedule Raw Data'!$A$2,MATCH($A120,'Schedule Raw Data'!$A$3:$A$2477,0),1,COUNTIF('Schedule Raw Data'!$A$3:$A$2477,$A120),2),AC$1),0)</f>
        <v>0</v>
      </c>
      <c r="AD120">
        <f>IFERROR(COUNTIF(OFFSET('Schedule Raw Data'!$A$2,MATCH($A120,'Schedule Raw Data'!$A$3:$A$2477,0),1,COUNTIF('Schedule Raw Data'!$A$3:$A$2477,$A120),2),AD$1),0)</f>
        <v>0</v>
      </c>
      <c r="AE120">
        <f>IFERROR(COUNTIF(OFFSET('Schedule Raw Data'!$A$2,MATCH($A120,'Schedule Raw Data'!$A$3:$A$2477,0),1,COUNTIF('Schedule Raw Data'!$A$3:$A$2477,$A120),2),AE$1),0)</f>
        <v>0</v>
      </c>
      <c r="AF120">
        <f>IFERROR(COUNTIF(OFFSET('Schedule Raw Data'!$A$2,MATCH($A120,'Schedule Raw Data'!$A$3:$A$2477,0),1,COUNTIF('Schedule Raw Data'!$A$3:$A$2477,$A120),2),AF$1),0)</f>
        <v>1</v>
      </c>
      <c r="AG120">
        <f t="shared" si="1"/>
        <v>8</v>
      </c>
    </row>
    <row r="121">
      <c r="A121" s="30">
        <f t="array" ref="A121">INDEX('Schedule Raw Data'!$A$3:$A$2477,MATCH(0,INDEX(COUNTIF($A$1:A120,'Schedule Raw Data'!$A$3:$A$2477),0,0),0))</f>
        <v>46451</v>
      </c>
      <c r="B121">
        <f t="shared" si="2"/>
        <v>18</v>
      </c>
      <c r="C121">
        <f>IFERROR(COUNTIF(OFFSET('Schedule Raw Data'!$A$2,MATCH($A121,'Schedule Raw Data'!$A$3:$A$2477,0),1,COUNTIF('Schedule Raw Data'!$A$3:$A$2477,$A121),2),C$1),0)</f>
        <v>0</v>
      </c>
      <c r="D121">
        <f>IFERROR(COUNTIF(OFFSET('Schedule Raw Data'!$A$2,MATCH($A121,'Schedule Raw Data'!$A$3:$A$2477,0),1,COUNTIF('Schedule Raw Data'!$A$3:$A$2477,$A121),2),D$1),0)</f>
        <v>0</v>
      </c>
      <c r="E121">
        <f>IFERROR(COUNTIF(OFFSET('Schedule Raw Data'!$A$2,MATCH($A121,'Schedule Raw Data'!$A$3:$A$2477,0),1,COUNTIF('Schedule Raw Data'!$A$3:$A$2477,$A121),2),E$1),0)</f>
        <v>1</v>
      </c>
      <c r="F121">
        <f>IFERROR(COUNTIF(OFFSET('Schedule Raw Data'!$A$2,MATCH($A121,'Schedule Raw Data'!$A$3:$A$2477,0),1,COUNTIF('Schedule Raw Data'!$A$3:$A$2477,$A121),2),F$1),0)</f>
        <v>0</v>
      </c>
      <c r="G121">
        <f>IFERROR(COUNTIF(OFFSET('Schedule Raw Data'!$A$2,MATCH($A121,'Schedule Raw Data'!$A$3:$A$2477,0),1,COUNTIF('Schedule Raw Data'!$A$3:$A$2477,$A121),2),G$1),0)</f>
        <v>0</v>
      </c>
      <c r="H121">
        <f>IFERROR(COUNTIF(OFFSET('Schedule Raw Data'!$A$2,MATCH($A121,'Schedule Raw Data'!$A$3:$A$2477,0),1,COUNTIF('Schedule Raw Data'!$A$3:$A$2477,$A121),2),H$1),0)</f>
        <v>0</v>
      </c>
      <c r="I121">
        <f>IFERROR(COUNTIF(OFFSET('Schedule Raw Data'!$A$2,MATCH($A121,'Schedule Raw Data'!$A$3:$A$2477,0),1,COUNTIF('Schedule Raw Data'!$A$3:$A$2477,$A121),2),I$1),0)</f>
        <v>0</v>
      </c>
      <c r="J121">
        <f>IFERROR(COUNTIF(OFFSET('Schedule Raw Data'!$A$2,MATCH($A121,'Schedule Raw Data'!$A$3:$A$2477,0),1,COUNTIF('Schedule Raw Data'!$A$3:$A$2477,$A121),2),J$1),0)</f>
        <v>0</v>
      </c>
      <c r="K121">
        <f>IFERROR(COUNTIF(OFFSET('Schedule Raw Data'!$A$2,MATCH($A121,'Schedule Raw Data'!$A$3:$A$2477,0),1,COUNTIF('Schedule Raw Data'!$A$3:$A$2477,$A121),2),K$1),0)</f>
        <v>1</v>
      </c>
      <c r="L121">
        <f>IFERROR(COUNTIF(OFFSET('Schedule Raw Data'!$A$2,MATCH($A121,'Schedule Raw Data'!$A$3:$A$2477,0),1,COUNTIF('Schedule Raw Data'!$A$3:$A$2477,$A121),2),L$1),0)</f>
        <v>0</v>
      </c>
      <c r="M121">
        <f>IFERROR(COUNTIF(OFFSET('Schedule Raw Data'!$A$2,MATCH($A121,'Schedule Raw Data'!$A$3:$A$2477,0),1,COUNTIF('Schedule Raw Data'!$A$3:$A$2477,$A121),2),M$1),0)</f>
        <v>1</v>
      </c>
      <c r="N121">
        <f>IFERROR(COUNTIF(OFFSET('Schedule Raw Data'!$A$2,MATCH($A121,'Schedule Raw Data'!$A$3:$A$2477,0),1,COUNTIF('Schedule Raw Data'!$A$3:$A$2477,$A121),2),N$1),0)</f>
        <v>0</v>
      </c>
      <c r="O121">
        <f>IFERROR(COUNTIF(OFFSET('Schedule Raw Data'!$A$2,MATCH($A121,'Schedule Raw Data'!$A$3:$A$2477,0),1,COUNTIF('Schedule Raw Data'!$A$3:$A$2477,$A121),2),O$1),0)</f>
        <v>0</v>
      </c>
      <c r="P121">
        <f>IFERROR(COUNTIF(OFFSET('Schedule Raw Data'!$A$2,MATCH($A121,'Schedule Raw Data'!$A$3:$A$2477,0),1,COUNTIF('Schedule Raw Data'!$A$3:$A$2477,$A121),2),P$1),0)</f>
        <v>0</v>
      </c>
      <c r="Q121">
        <f>IFERROR(COUNTIF(OFFSET('Schedule Raw Data'!$A$2,MATCH($A121,'Schedule Raw Data'!$A$3:$A$2477,0),1,COUNTIF('Schedule Raw Data'!$A$3:$A$2477,$A121),2),Q$1),0)</f>
        <v>0</v>
      </c>
      <c r="R121">
        <f>IFERROR(COUNTIF(OFFSET('Schedule Raw Data'!$A$2,MATCH($A121,'Schedule Raw Data'!$A$3:$A$2477,0),1,COUNTIF('Schedule Raw Data'!$A$3:$A$2477,$A121),2),R$1),0)</f>
        <v>0</v>
      </c>
      <c r="S121">
        <f>IFERROR(COUNTIF(OFFSET('Schedule Raw Data'!$A$2,MATCH($A121,'Schedule Raw Data'!$A$3:$A$2477,0),1,COUNTIF('Schedule Raw Data'!$A$3:$A$2477,$A121),2),S$1),0)</f>
        <v>1</v>
      </c>
      <c r="T121">
        <f>IFERROR(COUNTIF(OFFSET('Schedule Raw Data'!$A$2,MATCH($A121,'Schedule Raw Data'!$A$3:$A$2477,0),1,COUNTIF('Schedule Raw Data'!$A$3:$A$2477,$A121),2),T$1),0)</f>
        <v>1</v>
      </c>
      <c r="U121">
        <f>IFERROR(COUNTIF(OFFSET('Schedule Raw Data'!$A$2,MATCH($A121,'Schedule Raw Data'!$A$3:$A$2477,0),1,COUNTIF('Schedule Raw Data'!$A$3:$A$2477,$A121),2),U$1),0)</f>
        <v>1</v>
      </c>
      <c r="V121">
        <f>IFERROR(COUNTIF(OFFSET('Schedule Raw Data'!$A$2,MATCH($A121,'Schedule Raw Data'!$A$3:$A$2477,0),1,COUNTIF('Schedule Raw Data'!$A$3:$A$2477,$A121),2),V$1),0)</f>
        <v>0</v>
      </c>
      <c r="W121">
        <f>IFERROR(COUNTIF(OFFSET('Schedule Raw Data'!$A$2,MATCH($A121,'Schedule Raw Data'!$A$3:$A$2477,0),1,COUNTIF('Schedule Raw Data'!$A$3:$A$2477,$A121),2),W$1),0)</f>
        <v>0</v>
      </c>
      <c r="X121">
        <f>IFERROR(COUNTIF(OFFSET('Schedule Raw Data'!$A$2,MATCH($A121,'Schedule Raw Data'!$A$3:$A$2477,0),1,COUNTIF('Schedule Raw Data'!$A$3:$A$2477,$A121),2),X$1),0)</f>
        <v>1</v>
      </c>
      <c r="Y121">
        <f>IFERROR(COUNTIF(OFFSET('Schedule Raw Data'!$A$2,MATCH($A121,'Schedule Raw Data'!$A$3:$A$2477,0),1,COUNTIF('Schedule Raw Data'!$A$3:$A$2477,$A121),2),Y$1),0)</f>
        <v>0</v>
      </c>
      <c r="Z121">
        <f>IFERROR(COUNTIF(OFFSET('Schedule Raw Data'!$A$2,MATCH($A121,'Schedule Raw Data'!$A$3:$A$2477,0),1,COUNTIF('Schedule Raw Data'!$A$3:$A$2477,$A121),2),Z$1),0)</f>
        <v>1</v>
      </c>
      <c r="AA121">
        <f>IFERROR(COUNTIF(OFFSET('Schedule Raw Data'!$A$2,MATCH($A121,'Schedule Raw Data'!$A$3:$A$2477,0),1,COUNTIF('Schedule Raw Data'!$A$3:$A$2477,$A121),2),AA$1),0)</f>
        <v>1</v>
      </c>
      <c r="AB121">
        <f>IFERROR(COUNTIF(OFFSET('Schedule Raw Data'!$A$2,MATCH($A121,'Schedule Raw Data'!$A$3:$A$2477,0),1,COUNTIF('Schedule Raw Data'!$A$3:$A$2477,$A121),2),AB$1),0)</f>
        <v>0</v>
      </c>
      <c r="AC121">
        <f>IFERROR(COUNTIF(OFFSET('Schedule Raw Data'!$A$2,MATCH($A121,'Schedule Raw Data'!$A$3:$A$2477,0),1,COUNTIF('Schedule Raw Data'!$A$3:$A$2477,$A121),2),AC$1),0)</f>
        <v>1</v>
      </c>
      <c r="AD121">
        <f>IFERROR(COUNTIF(OFFSET('Schedule Raw Data'!$A$2,MATCH($A121,'Schedule Raw Data'!$A$3:$A$2477,0),1,COUNTIF('Schedule Raw Data'!$A$3:$A$2477,$A121),2),AD$1),0)</f>
        <v>1</v>
      </c>
      <c r="AE121">
        <f>IFERROR(COUNTIF(OFFSET('Schedule Raw Data'!$A$2,MATCH($A121,'Schedule Raw Data'!$A$3:$A$2477,0),1,COUNTIF('Schedule Raw Data'!$A$3:$A$2477,$A121),2),AE$1),0)</f>
        <v>1</v>
      </c>
      <c r="AF121">
        <f>IFERROR(COUNTIF(OFFSET('Schedule Raw Data'!$A$2,MATCH($A121,'Schedule Raw Data'!$A$3:$A$2477,0),1,COUNTIF('Schedule Raw Data'!$A$3:$A$2477,$A121),2),AF$1),0)</f>
        <v>0</v>
      </c>
      <c r="AG121">
        <f t="shared" si="1"/>
        <v>6</v>
      </c>
    </row>
    <row r="122">
      <c r="A122" s="30">
        <f t="array" ref="A122">INDEX('Schedule Raw Data'!$A$3:$A$2477,MATCH(0,INDEX(COUNTIF($A$1:A121,'Schedule Raw Data'!$A$3:$A$2477),0,0),0))</f>
        <v>46452</v>
      </c>
      <c r="B122">
        <f t="shared" si="2"/>
        <v>18</v>
      </c>
      <c r="C122">
        <f>IFERROR(COUNTIF(OFFSET('Schedule Raw Data'!$A$2,MATCH($A122,'Schedule Raw Data'!$A$3:$A$2477,0),1,COUNTIF('Schedule Raw Data'!$A$3:$A$2477,$A122),2),C$1),0)</f>
        <v>1</v>
      </c>
      <c r="D122">
        <f>IFERROR(COUNTIF(OFFSET('Schedule Raw Data'!$A$2,MATCH($A122,'Schedule Raw Data'!$A$3:$A$2477,0),1,COUNTIF('Schedule Raw Data'!$A$3:$A$2477,$A122),2),D$1),0)</f>
        <v>0</v>
      </c>
      <c r="E122">
        <f>IFERROR(COUNTIF(OFFSET('Schedule Raw Data'!$A$2,MATCH($A122,'Schedule Raw Data'!$A$3:$A$2477,0),1,COUNTIF('Schedule Raw Data'!$A$3:$A$2477,$A122),2),E$1),0)</f>
        <v>0</v>
      </c>
      <c r="F122">
        <f>IFERROR(COUNTIF(OFFSET('Schedule Raw Data'!$A$2,MATCH($A122,'Schedule Raw Data'!$A$3:$A$2477,0),1,COUNTIF('Schedule Raw Data'!$A$3:$A$2477,$A122),2),F$1),0)</f>
        <v>1</v>
      </c>
      <c r="G122">
        <f>IFERROR(COUNTIF(OFFSET('Schedule Raw Data'!$A$2,MATCH($A122,'Schedule Raw Data'!$A$3:$A$2477,0),1,COUNTIF('Schedule Raw Data'!$A$3:$A$2477,$A122),2),G$1),0)</f>
        <v>1</v>
      </c>
      <c r="H122">
        <f>IFERROR(COUNTIF(OFFSET('Schedule Raw Data'!$A$2,MATCH($A122,'Schedule Raw Data'!$A$3:$A$2477,0),1,COUNTIF('Schedule Raw Data'!$A$3:$A$2477,$A122),2),H$1),0)</f>
        <v>1</v>
      </c>
      <c r="I122">
        <f>IFERROR(COUNTIF(OFFSET('Schedule Raw Data'!$A$2,MATCH($A122,'Schedule Raw Data'!$A$3:$A$2477,0),1,COUNTIF('Schedule Raw Data'!$A$3:$A$2477,$A122),2),I$1),0)</f>
        <v>0</v>
      </c>
      <c r="J122">
        <f>IFERROR(COUNTIF(OFFSET('Schedule Raw Data'!$A$2,MATCH($A122,'Schedule Raw Data'!$A$3:$A$2477,0),1,COUNTIF('Schedule Raw Data'!$A$3:$A$2477,$A122),2),J$1),0)</f>
        <v>0</v>
      </c>
      <c r="K122">
        <f>IFERROR(COUNTIF(OFFSET('Schedule Raw Data'!$A$2,MATCH($A122,'Schedule Raw Data'!$A$3:$A$2477,0),1,COUNTIF('Schedule Raw Data'!$A$3:$A$2477,$A122),2),K$1),0)</f>
        <v>0</v>
      </c>
      <c r="L122">
        <f>IFERROR(COUNTIF(OFFSET('Schedule Raw Data'!$A$2,MATCH($A122,'Schedule Raw Data'!$A$3:$A$2477,0),1,COUNTIF('Schedule Raw Data'!$A$3:$A$2477,$A122),2),L$1),0)</f>
        <v>0</v>
      </c>
      <c r="M122">
        <f>IFERROR(COUNTIF(OFFSET('Schedule Raw Data'!$A$2,MATCH($A122,'Schedule Raw Data'!$A$3:$A$2477,0),1,COUNTIF('Schedule Raw Data'!$A$3:$A$2477,$A122),2),M$1),0)</f>
        <v>0</v>
      </c>
      <c r="N122">
        <f>IFERROR(COUNTIF(OFFSET('Schedule Raw Data'!$A$2,MATCH($A122,'Schedule Raw Data'!$A$3:$A$2477,0),1,COUNTIF('Schedule Raw Data'!$A$3:$A$2477,$A122),2),N$1),0)</f>
        <v>1</v>
      </c>
      <c r="O122">
        <f>IFERROR(COUNTIF(OFFSET('Schedule Raw Data'!$A$2,MATCH($A122,'Schedule Raw Data'!$A$3:$A$2477,0),1,COUNTIF('Schedule Raw Data'!$A$3:$A$2477,$A122),2),O$1),0)</f>
        <v>1</v>
      </c>
      <c r="P122">
        <f>IFERROR(COUNTIF(OFFSET('Schedule Raw Data'!$A$2,MATCH($A122,'Schedule Raw Data'!$A$3:$A$2477,0),1,COUNTIF('Schedule Raw Data'!$A$3:$A$2477,$A122),2),P$1),0)</f>
        <v>1</v>
      </c>
      <c r="Q122">
        <f>IFERROR(COUNTIF(OFFSET('Schedule Raw Data'!$A$2,MATCH($A122,'Schedule Raw Data'!$A$3:$A$2477,0),1,COUNTIF('Schedule Raw Data'!$A$3:$A$2477,$A122),2),Q$1),0)</f>
        <v>1</v>
      </c>
      <c r="R122">
        <f>IFERROR(COUNTIF(OFFSET('Schedule Raw Data'!$A$2,MATCH($A122,'Schedule Raw Data'!$A$3:$A$2477,0),1,COUNTIF('Schedule Raw Data'!$A$3:$A$2477,$A122),2),R$1),0)</f>
        <v>1</v>
      </c>
      <c r="S122">
        <f>IFERROR(COUNTIF(OFFSET('Schedule Raw Data'!$A$2,MATCH($A122,'Schedule Raw Data'!$A$3:$A$2477,0),1,COUNTIF('Schedule Raw Data'!$A$3:$A$2477,$A122),2),S$1),0)</f>
        <v>0</v>
      </c>
      <c r="T122">
        <f>IFERROR(COUNTIF(OFFSET('Schedule Raw Data'!$A$2,MATCH($A122,'Schedule Raw Data'!$A$3:$A$2477,0),1,COUNTIF('Schedule Raw Data'!$A$3:$A$2477,$A122),2),T$1),0)</f>
        <v>0</v>
      </c>
      <c r="U122">
        <f>IFERROR(COUNTIF(OFFSET('Schedule Raw Data'!$A$2,MATCH($A122,'Schedule Raw Data'!$A$3:$A$2477,0),1,COUNTIF('Schedule Raw Data'!$A$3:$A$2477,$A122),2),U$1),0)</f>
        <v>1</v>
      </c>
      <c r="V122">
        <f>IFERROR(COUNTIF(OFFSET('Schedule Raw Data'!$A$2,MATCH($A122,'Schedule Raw Data'!$A$3:$A$2477,0),1,COUNTIF('Schedule Raw Data'!$A$3:$A$2477,$A122),2),V$1),0)</f>
        <v>0</v>
      </c>
      <c r="W122">
        <f>IFERROR(COUNTIF(OFFSET('Schedule Raw Data'!$A$2,MATCH($A122,'Schedule Raw Data'!$A$3:$A$2477,0),1,COUNTIF('Schedule Raw Data'!$A$3:$A$2477,$A122),2),W$1),0)</f>
        <v>1</v>
      </c>
      <c r="X122">
        <f>IFERROR(COUNTIF(OFFSET('Schedule Raw Data'!$A$2,MATCH($A122,'Schedule Raw Data'!$A$3:$A$2477,0),1,COUNTIF('Schedule Raw Data'!$A$3:$A$2477,$A122),2),X$1),0)</f>
        <v>0</v>
      </c>
      <c r="Y122">
        <f>IFERROR(COUNTIF(OFFSET('Schedule Raw Data'!$A$2,MATCH($A122,'Schedule Raw Data'!$A$3:$A$2477,0),1,COUNTIF('Schedule Raw Data'!$A$3:$A$2477,$A122),2),Y$1),0)</f>
        <v>0</v>
      </c>
      <c r="Z122">
        <f>IFERROR(COUNTIF(OFFSET('Schedule Raw Data'!$A$2,MATCH($A122,'Schedule Raw Data'!$A$3:$A$2477,0),1,COUNTIF('Schedule Raw Data'!$A$3:$A$2477,$A122),2),Z$1),0)</f>
        <v>0</v>
      </c>
      <c r="AA122">
        <f>IFERROR(COUNTIF(OFFSET('Schedule Raw Data'!$A$2,MATCH($A122,'Schedule Raw Data'!$A$3:$A$2477,0),1,COUNTIF('Schedule Raw Data'!$A$3:$A$2477,$A122),2),AA$1),0)</f>
        <v>0</v>
      </c>
      <c r="AB122">
        <f>IFERROR(COUNTIF(OFFSET('Schedule Raw Data'!$A$2,MATCH($A122,'Schedule Raw Data'!$A$3:$A$2477,0),1,COUNTIF('Schedule Raw Data'!$A$3:$A$2477,$A122),2),AB$1),0)</f>
        <v>1</v>
      </c>
      <c r="AC122">
        <f>IFERROR(COUNTIF(OFFSET('Schedule Raw Data'!$A$2,MATCH($A122,'Schedule Raw Data'!$A$3:$A$2477,0),1,COUNTIF('Schedule Raw Data'!$A$3:$A$2477,$A122),2),AC$1),0)</f>
        <v>0</v>
      </c>
      <c r="AD122">
        <f>IFERROR(COUNTIF(OFFSET('Schedule Raw Data'!$A$2,MATCH($A122,'Schedule Raw Data'!$A$3:$A$2477,0),1,COUNTIF('Schedule Raw Data'!$A$3:$A$2477,$A122),2),AD$1),0)</f>
        <v>0</v>
      </c>
      <c r="AE122">
        <f>IFERROR(COUNTIF(OFFSET('Schedule Raw Data'!$A$2,MATCH($A122,'Schedule Raw Data'!$A$3:$A$2477,0),1,COUNTIF('Schedule Raw Data'!$A$3:$A$2477,$A122),2),AE$1),0)</f>
        <v>1</v>
      </c>
      <c r="AF122">
        <f>IFERROR(COUNTIF(OFFSET('Schedule Raw Data'!$A$2,MATCH($A122,'Schedule Raw Data'!$A$3:$A$2477,0),1,COUNTIF('Schedule Raw Data'!$A$3:$A$2477,$A122),2),AF$1),0)</f>
        <v>1</v>
      </c>
      <c r="AG122">
        <f t="shared" si="1"/>
        <v>7</v>
      </c>
    </row>
    <row r="123">
      <c r="A123" s="30">
        <f t="array" ref="A123">INDEX('Schedule Raw Data'!$A$3:$A$2477,MATCH(0,INDEX(COUNTIF($A$1:A122,'Schedule Raw Data'!$A$3:$A$2477),0,0),0))</f>
        <v>46453</v>
      </c>
      <c r="B123">
        <f t="shared" si="2"/>
        <v>18</v>
      </c>
      <c r="C123">
        <f>IFERROR(COUNTIF(OFFSET('Schedule Raw Data'!$A$2,MATCH($A123,'Schedule Raw Data'!$A$3:$A$2477,0),1,COUNTIF('Schedule Raw Data'!$A$3:$A$2477,$A123),2),C$1),0)</f>
        <v>0</v>
      </c>
      <c r="D123">
        <f>IFERROR(COUNTIF(OFFSET('Schedule Raw Data'!$A$2,MATCH($A123,'Schedule Raw Data'!$A$3:$A$2477,0),1,COUNTIF('Schedule Raw Data'!$A$3:$A$2477,$A123),2),D$1),0)</f>
        <v>1</v>
      </c>
      <c r="E123">
        <f>IFERROR(COUNTIF(OFFSET('Schedule Raw Data'!$A$2,MATCH($A123,'Schedule Raw Data'!$A$3:$A$2477,0),1,COUNTIF('Schedule Raw Data'!$A$3:$A$2477,$A123),2),E$1),0)</f>
        <v>1</v>
      </c>
      <c r="F123">
        <f>IFERROR(COUNTIF(OFFSET('Schedule Raw Data'!$A$2,MATCH($A123,'Schedule Raw Data'!$A$3:$A$2477,0),1,COUNTIF('Schedule Raw Data'!$A$3:$A$2477,$A123),2),F$1),0)</f>
        <v>0</v>
      </c>
      <c r="G123">
        <f>IFERROR(COUNTIF(OFFSET('Schedule Raw Data'!$A$2,MATCH($A123,'Schedule Raw Data'!$A$3:$A$2477,0),1,COUNTIF('Schedule Raw Data'!$A$3:$A$2477,$A123),2),G$1),0)</f>
        <v>1</v>
      </c>
      <c r="H123">
        <f>IFERROR(COUNTIF(OFFSET('Schedule Raw Data'!$A$2,MATCH($A123,'Schedule Raw Data'!$A$3:$A$2477,0),1,COUNTIF('Schedule Raw Data'!$A$3:$A$2477,$A123),2),H$1),0)</f>
        <v>0</v>
      </c>
      <c r="I123">
        <f>IFERROR(COUNTIF(OFFSET('Schedule Raw Data'!$A$2,MATCH($A123,'Schedule Raw Data'!$A$3:$A$2477,0),1,COUNTIF('Schedule Raw Data'!$A$3:$A$2477,$A123),2),I$1),0)</f>
        <v>0</v>
      </c>
      <c r="J123">
        <f>IFERROR(COUNTIF(OFFSET('Schedule Raw Data'!$A$2,MATCH($A123,'Schedule Raw Data'!$A$3:$A$2477,0),1,COUNTIF('Schedule Raw Data'!$A$3:$A$2477,$A123),2),J$1),0)</f>
        <v>1</v>
      </c>
      <c r="K123">
        <f>IFERROR(COUNTIF(OFFSET('Schedule Raw Data'!$A$2,MATCH($A123,'Schedule Raw Data'!$A$3:$A$2477,0),1,COUNTIF('Schedule Raw Data'!$A$3:$A$2477,$A123),2),K$1),0)</f>
        <v>0</v>
      </c>
      <c r="L123">
        <f>IFERROR(COUNTIF(OFFSET('Schedule Raw Data'!$A$2,MATCH($A123,'Schedule Raw Data'!$A$3:$A$2477,0),1,COUNTIF('Schedule Raw Data'!$A$3:$A$2477,$A123),2),L$1),0)</f>
        <v>1</v>
      </c>
      <c r="M123">
        <f>IFERROR(COUNTIF(OFFSET('Schedule Raw Data'!$A$2,MATCH($A123,'Schedule Raw Data'!$A$3:$A$2477,0),1,COUNTIF('Schedule Raw Data'!$A$3:$A$2477,$A123),2),M$1),0)</f>
        <v>1</v>
      </c>
      <c r="N123">
        <f>IFERROR(COUNTIF(OFFSET('Schedule Raw Data'!$A$2,MATCH($A123,'Schedule Raw Data'!$A$3:$A$2477,0),1,COUNTIF('Schedule Raw Data'!$A$3:$A$2477,$A123),2),N$1),0)</f>
        <v>0</v>
      </c>
      <c r="O123">
        <f>IFERROR(COUNTIF(OFFSET('Schedule Raw Data'!$A$2,MATCH($A123,'Schedule Raw Data'!$A$3:$A$2477,0),1,COUNTIF('Schedule Raw Data'!$A$3:$A$2477,$A123),2),O$1),0)</f>
        <v>0</v>
      </c>
      <c r="P123">
        <f>IFERROR(COUNTIF(OFFSET('Schedule Raw Data'!$A$2,MATCH($A123,'Schedule Raw Data'!$A$3:$A$2477,0),1,COUNTIF('Schedule Raw Data'!$A$3:$A$2477,$A123),2),P$1),0)</f>
        <v>1</v>
      </c>
      <c r="Q123">
        <f>IFERROR(COUNTIF(OFFSET('Schedule Raw Data'!$A$2,MATCH($A123,'Schedule Raw Data'!$A$3:$A$2477,0),1,COUNTIF('Schedule Raw Data'!$A$3:$A$2477,$A123),2),Q$1),0)</f>
        <v>0</v>
      </c>
      <c r="R123">
        <f>IFERROR(COUNTIF(OFFSET('Schedule Raw Data'!$A$2,MATCH($A123,'Schedule Raw Data'!$A$3:$A$2477,0),1,COUNTIF('Schedule Raw Data'!$A$3:$A$2477,$A123),2),R$1),0)</f>
        <v>0</v>
      </c>
      <c r="S123">
        <f>IFERROR(COUNTIF(OFFSET('Schedule Raw Data'!$A$2,MATCH($A123,'Schedule Raw Data'!$A$3:$A$2477,0),1,COUNTIF('Schedule Raw Data'!$A$3:$A$2477,$A123),2),S$1),0)</f>
        <v>0</v>
      </c>
      <c r="T123">
        <f>IFERROR(COUNTIF(OFFSET('Schedule Raw Data'!$A$2,MATCH($A123,'Schedule Raw Data'!$A$3:$A$2477,0),1,COUNTIF('Schedule Raw Data'!$A$3:$A$2477,$A123),2),T$1),0)</f>
        <v>1</v>
      </c>
      <c r="U123">
        <f>IFERROR(COUNTIF(OFFSET('Schedule Raw Data'!$A$2,MATCH($A123,'Schedule Raw Data'!$A$3:$A$2477,0),1,COUNTIF('Schedule Raw Data'!$A$3:$A$2477,$A123),2),U$1),0)</f>
        <v>0</v>
      </c>
      <c r="V123">
        <f>IFERROR(COUNTIF(OFFSET('Schedule Raw Data'!$A$2,MATCH($A123,'Schedule Raw Data'!$A$3:$A$2477,0),1,COUNTIF('Schedule Raw Data'!$A$3:$A$2477,$A123),2),V$1),0)</f>
        <v>1</v>
      </c>
      <c r="W123">
        <f>IFERROR(COUNTIF(OFFSET('Schedule Raw Data'!$A$2,MATCH($A123,'Schedule Raw Data'!$A$3:$A$2477,0),1,COUNTIF('Schedule Raw Data'!$A$3:$A$2477,$A123),2),W$1),0)</f>
        <v>0</v>
      </c>
      <c r="X123">
        <f>IFERROR(COUNTIF(OFFSET('Schedule Raw Data'!$A$2,MATCH($A123,'Schedule Raw Data'!$A$3:$A$2477,0),1,COUNTIF('Schedule Raw Data'!$A$3:$A$2477,$A123),2),X$1),0)</f>
        <v>0</v>
      </c>
      <c r="Y123">
        <f>IFERROR(COUNTIF(OFFSET('Schedule Raw Data'!$A$2,MATCH($A123,'Schedule Raw Data'!$A$3:$A$2477,0),1,COUNTIF('Schedule Raw Data'!$A$3:$A$2477,$A123),2),Y$1),0)</f>
        <v>1</v>
      </c>
      <c r="Z123">
        <f>IFERROR(COUNTIF(OFFSET('Schedule Raw Data'!$A$2,MATCH($A123,'Schedule Raw Data'!$A$3:$A$2477,0),1,COUNTIF('Schedule Raw Data'!$A$3:$A$2477,$A123),2),Z$1),0)</f>
        <v>0</v>
      </c>
      <c r="AA123">
        <f>IFERROR(COUNTIF(OFFSET('Schedule Raw Data'!$A$2,MATCH($A123,'Schedule Raw Data'!$A$3:$A$2477,0),1,COUNTIF('Schedule Raw Data'!$A$3:$A$2477,$A123),2),AA$1),0)</f>
        <v>1</v>
      </c>
      <c r="AB123">
        <f>IFERROR(COUNTIF(OFFSET('Schedule Raw Data'!$A$2,MATCH($A123,'Schedule Raw Data'!$A$3:$A$2477,0),1,COUNTIF('Schedule Raw Data'!$A$3:$A$2477,$A123),2),AB$1),0)</f>
        <v>0</v>
      </c>
      <c r="AC123">
        <f>IFERROR(COUNTIF(OFFSET('Schedule Raw Data'!$A$2,MATCH($A123,'Schedule Raw Data'!$A$3:$A$2477,0),1,COUNTIF('Schedule Raw Data'!$A$3:$A$2477,$A123),2),AC$1),0)</f>
        <v>1</v>
      </c>
      <c r="AD123">
        <f>IFERROR(COUNTIF(OFFSET('Schedule Raw Data'!$A$2,MATCH($A123,'Schedule Raw Data'!$A$3:$A$2477,0),1,COUNTIF('Schedule Raw Data'!$A$3:$A$2477,$A123),2),AD$1),0)</f>
        <v>0</v>
      </c>
      <c r="AE123">
        <f>IFERROR(COUNTIF(OFFSET('Schedule Raw Data'!$A$2,MATCH($A123,'Schedule Raw Data'!$A$3:$A$2477,0),1,COUNTIF('Schedule Raw Data'!$A$3:$A$2477,$A123),2),AE$1),0)</f>
        <v>0</v>
      </c>
      <c r="AF123">
        <f>IFERROR(COUNTIF(OFFSET('Schedule Raw Data'!$A$2,MATCH($A123,'Schedule Raw Data'!$A$3:$A$2477,0),1,COUNTIF('Schedule Raw Data'!$A$3:$A$2477,$A123),2),AF$1),0)</f>
        <v>0</v>
      </c>
      <c r="AG123">
        <f t="shared" si="1"/>
        <v>6</v>
      </c>
    </row>
    <row r="124">
      <c r="A124" s="30">
        <f t="array" ref="A124">INDEX('Schedule Raw Data'!$A$3:$A$2477,MATCH(0,INDEX(COUNTIF($A$1:A123,'Schedule Raw Data'!$A$3:$A$2477),0,0),0))</f>
        <v>46454</v>
      </c>
      <c r="B124">
        <f t="shared" si="2"/>
        <v>19</v>
      </c>
      <c r="C124">
        <f>IFERROR(COUNTIF(OFFSET('Schedule Raw Data'!$A$2,MATCH($A124,'Schedule Raw Data'!$A$3:$A$2477,0),1,COUNTIF('Schedule Raw Data'!$A$3:$A$2477,$A124),2),C$1),0)</f>
        <v>1</v>
      </c>
      <c r="D124">
        <f>IFERROR(COUNTIF(OFFSET('Schedule Raw Data'!$A$2,MATCH($A124,'Schedule Raw Data'!$A$3:$A$2477,0),1,COUNTIF('Schedule Raw Data'!$A$3:$A$2477,$A124),2),D$1),0)</f>
        <v>0</v>
      </c>
      <c r="E124">
        <f>IFERROR(COUNTIF(OFFSET('Schedule Raw Data'!$A$2,MATCH($A124,'Schedule Raw Data'!$A$3:$A$2477,0),1,COUNTIF('Schedule Raw Data'!$A$3:$A$2477,$A124),2),E$1),0)</f>
        <v>0</v>
      </c>
      <c r="F124">
        <f>IFERROR(COUNTIF(OFFSET('Schedule Raw Data'!$A$2,MATCH($A124,'Schedule Raw Data'!$A$3:$A$2477,0),1,COUNTIF('Schedule Raw Data'!$A$3:$A$2477,$A124),2),F$1),0)</f>
        <v>1</v>
      </c>
      <c r="G124">
        <f>IFERROR(COUNTIF(OFFSET('Schedule Raw Data'!$A$2,MATCH($A124,'Schedule Raw Data'!$A$3:$A$2477,0),1,COUNTIF('Schedule Raw Data'!$A$3:$A$2477,$A124),2),G$1),0)</f>
        <v>0</v>
      </c>
      <c r="H124">
        <f>IFERROR(COUNTIF(OFFSET('Schedule Raw Data'!$A$2,MATCH($A124,'Schedule Raw Data'!$A$3:$A$2477,0),1,COUNTIF('Schedule Raw Data'!$A$3:$A$2477,$A124),2),H$1),0)</f>
        <v>0</v>
      </c>
      <c r="I124">
        <f>IFERROR(COUNTIF(OFFSET('Schedule Raw Data'!$A$2,MATCH($A124,'Schedule Raw Data'!$A$3:$A$2477,0),1,COUNTIF('Schedule Raw Data'!$A$3:$A$2477,$A124),2),I$1),0)</f>
        <v>1</v>
      </c>
      <c r="J124">
        <f>IFERROR(COUNTIF(OFFSET('Schedule Raw Data'!$A$2,MATCH($A124,'Schedule Raw Data'!$A$3:$A$2477,0),1,COUNTIF('Schedule Raw Data'!$A$3:$A$2477,$A124),2),J$1),0)</f>
        <v>1</v>
      </c>
      <c r="K124">
        <f>IFERROR(COUNTIF(OFFSET('Schedule Raw Data'!$A$2,MATCH($A124,'Schedule Raw Data'!$A$3:$A$2477,0),1,COUNTIF('Schedule Raw Data'!$A$3:$A$2477,$A124),2),K$1),0)</f>
        <v>0</v>
      </c>
      <c r="L124">
        <f>IFERROR(COUNTIF(OFFSET('Schedule Raw Data'!$A$2,MATCH($A124,'Schedule Raw Data'!$A$3:$A$2477,0),1,COUNTIF('Schedule Raw Data'!$A$3:$A$2477,$A124),2),L$1),0)</f>
        <v>0</v>
      </c>
      <c r="M124">
        <f>IFERROR(COUNTIF(OFFSET('Schedule Raw Data'!$A$2,MATCH($A124,'Schedule Raw Data'!$A$3:$A$2477,0),1,COUNTIF('Schedule Raw Data'!$A$3:$A$2477,$A124),2),M$1),0)</f>
        <v>1</v>
      </c>
      <c r="N124">
        <f>IFERROR(COUNTIF(OFFSET('Schedule Raw Data'!$A$2,MATCH($A124,'Schedule Raw Data'!$A$3:$A$2477,0),1,COUNTIF('Schedule Raw Data'!$A$3:$A$2477,$A124),2),N$1),0)</f>
        <v>1</v>
      </c>
      <c r="O124">
        <f>IFERROR(COUNTIF(OFFSET('Schedule Raw Data'!$A$2,MATCH($A124,'Schedule Raw Data'!$A$3:$A$2477,0),1,COUNTIF('Schedule Raw Data'!$A$3:$A$2477,$A124),2),O$1),0)</f>
        <v>1</v>
      </c>
      <c r="P124">
        <f>IFERROR(COUNTIF(OFFSET('Schedule Raw Data'!$A$2,MATCH($A124,'Schedule Raw Data'!$A$3:$A$2477,0),1,COUNTIF('Schedule Raw Data'!$A$3:$A$2477,$A124),2),P$1),0)</f>
        <v>0</v>
      </c>
      <c r="Q124">
        <f>IFERROR(COUNTIF(OFFSET('Schedule Raw Data'!$A$2,MATCH($A124,'Schedule Raw Data'!$A$3:$A$2477,0),1,COUNTIF('Schedule Raw Data'!$A$3:$A$2477,$A124),2),Q$1),0)</f>
        <v>1</v>
      </c>
      <c r="R124">
        <f>IFERROR(COUNTIF(OFFSET('Schedule Raw Data'!$A$2,MATCH($A124,'Schedule Raw Data'!$A$3:$A$2477,0),1,COUNTIF('Schedule Raw Data'!$A$3:$A$2477,$A124),2),R$1),0)</f>
        <v>1</v>
      </c>
      <c r="S124">
        <f>IFERROR(COUNTIF(OFFSET('Schedule Raw Data'!$A$2,MATCH($A124,'Schedule Raw Data'!$A$3:$A$2477,0),1,COUNTIF('Schedule Raw Data'!$A$3:$A$2477,$A124),2),S$1),0)</f>
        <v>0</v>
      </c>
      <c r="T124">
        <f>IFERROR(COUNTIF(OFFSET('Schedule Raw Data'!$A$2,MATCH($A124,'Schedule Raw Data'!$A$3:$A$2477,0),1,COUNTIF('Schedule Raw Data'!$A$3:$A$2477,$A124),2),T$1),0)</f>
        <v>1</v>
      </c>
      <c r="U124">
        <f>IFERROR(COUNTIF(OFFSET('Schedule Raw Data'!$A$2,MATCH($A124,'Schedule Raw Data'!$A$3:$A$2477,0),1,COUNTIF('Schedule Raw Data'!$A$3:$A$2477,$A124),2),U$1),0)</f>
        <v>1</v>
      </c>
      <c r="V124">
        <f>IFERROR(COUNTIF(OFFSET('Schedule Raw Data'!$A$2,MATCH($A124,'Schedule Raw Data'!$A$3:$A$2477,0),1,COUNTIF('Schedule Raw Data'!$A$3:$A$2477,$A124),2),V$1),0)</f>
        <v>0</v>
      </c>
      <c r="W124">
        <f>IFERROR(COUNTIF(OFFSET('Schedule Raw Data'!$A$2,MATCH($A124,'Schedule Raw Data'!$A$3:$A$2477,0),1,COUNTIF('Schedule Raw Data'!$A$3:$A$2477,$A124),2),W$1),0)</f>
        <v>1</v>
      </c>
      <c r="X124">
        <f>IFERROR(COUNTIF(OFFSET('Schedule Raw Data'!$A$2,MATCH($A124,'Schedule Raw Data'!$A$3:$A$2477,0),1,COUNTIF('Schedule Raw Data'!$A$3:$A$2477,$A124),2),X$1),0)</f>
        <v>0</v>
      </c>
      <c r="Y124">
        <f>IFERROR(COUNTIF(OFFSET('Schedule Raw Data'!$A$2,MATCH($A124,'Schedule Raw Data'!$A$3:$A$2477,0),1,COUNTIF('Schedule Raw Data'!$A$3:$A$2477,$A124),2),Y$1),0)</f>
        <v>1</v>
      </c>
      <c r="Z124">
        <f>IFERROR(COUNTIF(OFFSET('Schedule Raw Data'!$A$2,MATCH($A124,'Schedule Raw Data'!$A$3:$A$2477,0),1,COUNTIF('Schedule Raw Data'!$A$3:$A$2477,$A124),2),Z$1),0)</f>
        <v>1</v>
      </c>
      <c r="AA124">
        <f>IFERROR(COUNTIF(OFFSET('Schedule Raw Data'!$A$2,MATCH($A124,'Schedule Raw Data'!$A$3:$A$2477,0),1,COUNTIF('Schedule Raw Data'!$A$3:$A$2477,$A124),2),AA$1),0)</f>
        <v>0</v>
      </c>
      <c r="AB124">
        <f>IFERROR(COUNTIF(OFFSET('Schedule Raw Data'!$A$2,MATCH($A124,'Schedule Raw Data'!$A$3:$A$2477,0),1,COUNTIF('Schedule Raw Data'!$A$3:$A$2477,$A124),2),AB$1),0)</f>
        <v>1</v>
      </c>
      <c r="AC124">
        <f>IFERROR(COUNTIF(OFFSET('Schedule Raw Data'!$A$2,MATCH($A124,'Schedule Raw Data'!$A$3:$A$2477,0),1,COUNTIF('Schedule Raw Data'!$A$3:$A$2477,$A124),2),AC$1),0)</f>
        <v>0</v>
      </c>
      <c r="AD124">
        <f>IFERROR(COUNTIF(OFFSET('Schedule Raw Data'!$A$2,MATCH($A124,'Schedule Raw Data'!$A$3:$A$2477,0),1,COUNTIF('Schedule Raw Data'!$A$3:$A$2477,$A124),2),AD$1),0)</f>
        <v>0</v>
      </c>
      <c r="AE124">
        <f>IFERROR(COUNTIF(OFFSET('Schedule Raw Data'!$A$2,MATCH($A124,'Schedule Raw Data'!$A$3:$A$2477,0),1,COUNTIF('Schedule Raw Data'!$A$3:$A$2477,$A124),2),AE$1),0)</f>
        <v>1</v>
      </c>
      <c r="AF124">
        <f>IFERROR(COUNTIF(OFFSET('Schedule Raw Data'!$A$2,MATCH($A124,'Schedule Raw Data'!$A$3:$A$2477,0),1,COUNTIF('Schedule Raw Data'!$A$3:$A$2477,$A124),2),AF$1),0)</f>
        <v>0</v>
      </c>
      <c r="AG124">
        <f t="shared" si="1"/>
        <v>8</v>
      </c>
    </row>
    <row r="125">
      <c r="A125" s="30">
        <f t="array" ref="A125">INDEX('Schedule Raw Data'!$A$3:$A$2477,MATCH(0,INDEX(COUNTIF($A$1:A124,'Schedule Raw Data'!$A$3:$A$2477),0,0),0))</f>
        <v>46455</v>
      </c>
      <c r="B125">
        <f t="shared" si="2"/>
        <v>19</v>
      </c>
      <c r="C125">
        <f>IFERROR(COUNTIF(OFFSET('Schedule Raw Data'!$A$2,MATCH($A125,'Schedule Raw Data'!$A$3:$A$2477,0),1,COUNTIF('Schedule Raw Data'!$A$3:$A$2477,$A125),2),C$1),0)</f>
        <v>0</v>
      </c>
      <c r="D125">
        <f>IFERROR(COUNTIF(OFFSET('Schedule Raw Data'!$A$2,MATCH($A125,'Schedule Raw Data'!$A$3:$A$2477,0),1,COUNTIF('Schedule Raw Data'!$A$3:$A$2477,$A125),2),D$1),0)</f>
        <v>1</v>
      </c>
      <c r="E125">
        <f>IFERROR(COUNTIF(OFFSET('Schedule Raw Data'!$A$2,MATCH($A125,'Schedule Raw Data'!$A$3:$A$2477,0),1,COUNTIF('Schedule Raw Data'!$A$3:$A$2477,$A125),2),E$1),0)</f>
        <v>1</v>
      </c>
      <c r="F125">
        <f>IFERROR(COUNTIF(OFFSET('Schedule Raw Data'!$A$2,MATCH($A125,'Schedule Raw Data'!$A$3:$A$2477,0),1,COUNTIF('Schedule Raw Data'!$A$3:$A$2477,$A125),2),F$1),0)</f>
        <v>0</v>
      </c>
      <c r="G125">
        <f>IFERROR(COUNTIF(OFFSET('Schedule Raw Data'!$A$2,MATCH($A125,'Schedule Raw Data'!$A$3:$A$2477,0),1,COUNTIF('Schedule Raw Data'!$A$3:$A$2477,$A125),2),G$1),0)</f>
        <v>1</v>
      </c>
      <c r="H125">
        <f>IFERROR(COUNTIF(OFFSET('Schedule Raw Data'!$A$2,MATCH($A125,'Schedule Raw Data'!$A$3:$A$2477,0),1,COUNTIF('Schedule Raw Data'!$A$3:$A$2477,$A125),2),H$1),0)</f>
        <v>1</v>
      </c>
      <c r="I125">
        <f>IFERROR(COUNTIF(OFFSET('Schedule Raw Data'!$A$2,MATCH($A125,'Schedule Raw Data'!$A$3:$A$2477,0),1,COUNTIF('Schedule Raw Data'!$A$3:$A$2477,$A125),2),I$1),0)</f>
        <v>1</v>
      </c>
      <c r="J125">
        <f>IFERROR(COUNTIF(OFFSET('Schedule Raw Data'!$A$2,MATCH($A125,'Schedule Raw Data'!$A$3:$A$2477,0),1,COUNTIF('Schedule Raw Data'!$A$3:$A$2477,$A125),2),J$1),0)</f>
        <v>0</v>
      </c>
      <c r="K125">
        <f>IFERROR(COUNTIF(OFFSET('Schedule Raw Data'!$A$2,MATCH($A125,'Schedule Raw Data'!$A$3:$A$2477,0),1,COUNTIF('Schedule Raw Data'!$A$3:$A$2477,$A125),2),K$1),0)</f>
        <v>1</v>
      </c>
      <c r="L125">
        <f>IFERROR(COUNTIF(OFFSET('Schedule Raw Data'!$A$2,MATCH($A125,'Schedule Raw Data'!$A$3:$A$2477,0),1,COUNTIF('Schedule Raw Data'!$A$3:$A$2477,$A125),2),L$1),0)</f>
        <v>1</v>
      </c>
      <c r="M125">
        <f>IFERROR(COUNTIF(OFFSET('Schedule Raw Data'!$A$2,MATCH($A125,'Schedule Raw Data'!$A$3:$A$2477,0),1,COUNTIF('Schedule Raw Data'!$A$3:$A$2477,$A125),2),M$1),0)</f>
        <v>0</v>
      </c>
      <c r="N125">
        <f>IFERROR(COUNTIF(OFFSET('Schedule Raw Data'!$A$2,MATCH($A125,'Schedule Raw Data'!$A$3:$A$2477,0),1,COUNTIF('Schedule Raw Data'!$A$3:$A$2477,$A125),2),N$1),0)</f>
        <v>0</v>
      </c>
      <c r="O125">
        <f>IFERROR(COUNTIF(OFFSET('Schedule Raw Data'!$A$2,MATCH($A125,'Schedule Raw Data'!$A$3:$A$2477,0),1,COUNTIF('Schedule Raw Data'!$A$3:$A$2477,$A125),2),O$1),0)</f>
        <v>0</v>
      </c>
      <c r="P125">
        <f>IFERROR(COUNTIF(OFFSET('Schedule Raw Data'!$A$2,MATCH($A125,'Schedule Raw Data'!$A$3:$A$2477,0),1,COUNTIF('Schedule Raw Data'!$A$3:$A$2477,$A125),2),P$1),0)</f>
        <v>0</v>
      </c>
      <c r="Q125">
        <f>IFERROR(COUNTIF(OFFSET('Schedule Raw Data'!$A$2,MATCH($A125,'Schedule Raw Data'!$A$3:$A$2477,0),1,COUNTIF('Schedule Raw Data'!$A$3:$A$2477,$A125),2),Q$1),0)</f>
        <v>1</v>
      </c>
      <c r="R125">
        <f>IFERROR(COUNTIF(OFFSET('Schedule Raw Data'!$A$2,MATCH($A125,'Schedule Raw Data'!$A$3:$A$2477,0),1,COUNTIF('Schedule Raw Data'!$A$3:$A$2477,$A125),2),R$1),0)</f>
        <v>0</v>
      </c>
      <c r="S125">
        <f>IFERROR(COUNTIF(OFFSET('Schedule Raw Data'!$A$2,MATCH($A125,'Schedule Raw Data'!$A$3:$A$2477,0),1,COUNTIF('Schedule Raw Data'!$A$3:$A$2477,$A125),2),S$1),0)</f>
        <v>1</v>
      </c>
      <c r="T125">
        <f>IFERROR(COUNTIF(OFFSET('Schedule Raw Data'!$A$2,MATCH($A125,'Schedule Raw Data'!$A$3:$A$2477,0),1,COUNTIF('Schedule Raw Data'!$A$3:$A$2477,$A125),2),T$1),0)</f>
        <v>0</v>
      </c>
      <c r="U125">
        <f>IFERROR(COUNTIF(OFFSET('Schedule Raw Data'!$A$2,MATCH($A125,'Schedule Raw Data'!$A$3:$A$2477,0),1,COUNTIF('Schedule Raw Data'!$A$3:$A$2477,$A125),2),U$1),0)</f>
        <v>0</v>
      </c>
      <c r="V125">
        <f>IFERROR(COUNTIF(OFFSET('Schedule Raw Data'!$A$2,MATCH($A125,'Schedule Raw Data'!$A$3:$A$2477,0),1,COUNTIF('Schedule Raw Data'!$A$3:$A$2477,$A125),2),V$1),0)</f>
        <v>0</v>
      </c>
      <c r="W125">
        <f>IFERROR(COUNTIF(OFFSET('Schedule Raw Data'!$A$2,MATCH($A125,'Schedule Raw Data'!$A$3:$A$2477,0),1,COUNTIF('Schedule Raw Data'!$A$3:$A$2477,$A125),2),W$1),0)</f>
        <v>0</v>
      </c>
      <c r="X125">
        <f>IFERROR(COUNTIF(OFFSET('Schedule Raw Data'!$A$2,MATCH($A125,'Schedule Raw Data'!$A$3:$A$2477,0),1,COUNTIF('Schedule Raw Data'!$A$3:$A$2477,$A125),2),X$1),0)</f>
        <v>1</v>
      </c>
      <c r="Y125">
        <f>IFERROR(COUNTIF(OFFSET('Schedule Raw Data'!$A$2,MATCH($A125,'Schedule Raw Data'!$A$3:$A$2477,0),1,COUNTIF('Schedule Raw Data'!$A$3:$A$2477,$A125),2),Y$1),0)</f>
        <v>0</v>
      </c>
      <c r="Z125">
        <f>IFERROR(COUNTIF(OFFSET('Schedule Raw Data'!$A$2,MATCH($A125,'Schedule Raw Data'!$A$3:$A$2477,0),1,COUNTIF('Schedule Raw Data'!$A$3:$A$2477,$A125),2),Z$1),0)</f>
        <v>1</v>
      </c>
      <c r="AA125">
        <f>IFERROR(COUNTIF(OFFSET('Schedule Raw Data'!$A$2,MATCH($A125,'Schedule Raw Data'!$A$3:$A$2477,0),1,COUNTIF('Schedule Raw Data'!$A$3:$A$2477,$A125),2),AA$1),0)</f>
        <v>1</v>
      </c>
      <c r="AB125">
        <f>IFERROR(COUNTIF(OFFSET('Schedule Raw Data'!$A$2,MATCH($A125,'Schedule Raw Data'!$A$3:$A$2477,0),1,COUNTIF('Schedule Raw Data'!$A$3:$A$2477,$A125),2),AB$1),0)</f>
        <v>0</v>
      </c>
      <c r="AC125">
        <f>IFERROR(COUNTIF(OFFSET('Schedule Raw Data'!$A$2,MATCH($A125,'Schedule Raw Data'!$A$3:$A$2477,0),1,COUNTIF('Schedule Raw Data'!$A$3:$A$2477,$A125),2),AC$1),0)</f>
        <v>1</v>
      </c>
      <c r="AD125">
        <f>IFERROR(COUNTIF(OFFSET('Schedule Raw Data'!$A$2,MATCH($A125,'Schedule Raw Data'!$A$3:$A$2477,0),1,COUNTIF('Schedule Raw Data'!$A$3:$A$2477,$A125),2),AD$1),0)</f>
        <v>0</v>
      </c>
      <c r="AE125">
        <f>IFERROR(COUNTIF(OFFSET('Schedule Raw Data'!$A$2,MATCH($A125,'Schedule Raw Data'!$A$3:$A$2477,0),1,COUNTIF('Schedule Raw Data'!$A$3:$A$2477,$A125),2),AE$1),0)</f>
        <v>0</v>
      </c>
      <c r="AF125">
        <f>IFERROR(COUNTIF(OFFSET('Schedule Raw Data'!$A$2,MATCH($A125,'Schedule Raw Data'!$A$3:$A$2477,0),1,COUNTIF('Schedule Raw Data'!$A$3:$A$2477,$A125),2),AF$1),0)</f>
        <v>1</v>
      </c>
      <c r="AG125">
        <f t="shared" si="1"/>
        <v>7</v>
      </c>
    </row>
    <row r="126">
      <c r="A126" s="30">
        <f t="array" ref="A126">INDEX('Schedule Raw Data'!$A$3:$A$2477,MATCH(0,INDEX(COUNTIF($A$1:A125,'Schedule Raw Data'!$A$3:$A$2477),0,0),0))</f>
        <v>46456</v>
      </c>
      <c r="B126">
        <f t="shared" si="2"/>
        <v>19</v>
      </c>
      <c r="C126">
        <f>IFERROR(COUNTIF(OFFSET('Schedule Raw Data'!$A$2,MATCH($A126,'Schedule Raw Data'!$A$3:$A$2477,0),1,COUNTIF('Schedule Raw Data'!$A$3:$A$2477,$A126),2),C$1),0)</f>
        <v>1</v>
      </c>
      <c r="D126">
        <f>IFERROR(COUNTIF(OFFSET('Schedule Raw Data'!$A$2,MATCH($A126,'Schedule Raw Data'!$A$3:$A$2477,0),1,COUNTIF('Schedule Raw Data'!$A$3:$A$2477,$A126),2),D$1),0)</f>
        <v>0</v>
      </c>
      <c r="E126">
        <f>IFERROR(COUNTIF(OFFSET('Schedule Raw Data'!$A$2,MATCH($A126,'Schedule Raw Data'!$A$3:$A$2477,0),1,COUNTIF('Schedule Raw Data'!$A$3:$A$2477,$A126),2),E$1),0)</f>
        <v>0</v>
      </c>
      <c r="F126">
        <f>IFERROR(COUNTIF(OFFSET('Schedule Raw Data'!$A$2,MATCH($A126,'Schedule Raw Data'!$A$3:$A$2477,0),1,COUNTIF('Schedule Raw Data'!$A$3:$A$2477,$A126),2),F$1),0)</f>
        <v>1</v>
      </c>
      <c r="G126">
        <f>IFERROR(COUNTIF(OFFSET('Schedule Raw Data'!$A$2,MATCH($A126,'Schedule Raw Data'!$A$3:$A$2477,0),1,COUNTIF('Schedule Raw Data'!$A$3:$A$2477,$A126),2),G$1),0)</f>
        <v>0</v>
      </c>
      <c r="H126">
        <f>IFERROR(COUNTIF(OFFSET('Schedule Raw Data'!$A$2,MATCH($A126,'Schedule Raw Data'!$A$3:$A$2477,0),1,COUNTIF('Schedule Raw Data'!$A$3:$A$2477,$A126),2),H$1),0)</f>
        <v>0</v>
      </c>
      <c r="I126">
        <f>IFERROR(COUNTIF(OFFSET('Schedule Raw Data'!$A$2,MATCH($A126,'Schedule Raw Data'!$A$3:$A$2477,0),1,COUNTIF('Schedule Raw Data'!$A$3:$A$2477,$A126),2),I$1),0)</f>
        <v>0</v>
      </c>
      <c r="J126">
        <f>IFERROR(COUNTIF(OFFSET('Schedule Raw Data'!$A$2,MATCH($A126,'Schedule Raw Data'!$A$3:$A$2477,0),1,COUNTIF('Schedule Raw Data'!$A$3:$A$2477,$A126),2),J$1),0)</f>
        <v>1</v>
      </c>
      <c r="K126">
        <f>IFERROR(COUNTIF(OFFSET('Schedule Raw Data'!$A$2,MATCH($A126,'Schedule Raw Data'!$A$3:$A$2477,0),1,COUNTIF('Schedule Raw Data'!$A$3:$A$2477,$A126),2),K$1),0)</f>
        <v>0</v>
      </c>
      <c r="L126">
        <f>IFERROR(COUNTIF(OFFSET('Schedule Raw Data'!$A$2,MATCH($A126,'Schedule Raw Data'!$A$3:$A$2477,0),1,COUNTIF('Schedule Raw Data'!$A$3:$A$2477,$A126),2),L$1),0)</f>
        <v>1</v>
      </c>
      <c r="M126">
        <f>IFERROR(COUNTIF(OFFSET('Schedule Raw Data'!$A$2,MATCH($A126,'Schedule Raw Data'!$A$3:$A$2477,0),1,COUNTIF('Schedule Raw Data'!$A$3:$A$2477,$A126),2),M$1),0)</f>
        <v>1</v>
      </c>
      <c r="N126">
        <f>IFERROR(COUNTIF(OFFSET('Schedule Raw Data'!$A$2,MATCH($A126,'Schedule Raw Data'!$A$3:$A$2477,0),1,COUNTIF('Schedule Raw Data'!$A$3:$A$2477,$A126),2),N$1),0)</f>
        <v>0</v>
      </c>
      <c r="O126">
        <f>IFERROR(COUNTIF(OFFSET('Schedule Raw Data'!$A$2,MATCH($A126,'Schedule Raw Data'!$A$3:$A$2477,0),1,COUNTIF('Schedule Raw Data'!$A$3:$A$2477,$A126),2),O$1),0)</f>
        <v>1</v>
      </c>
      <c r="P126">
        <f>IFERROR(COUNTIF(OFFSET('Schedule Raw Data'!$A$2,MATCH($A126,'Schedule Raw Data'!$A$3:$A$2477,0),1,COUNTIF('Schedule Raw Data'!$A$3:$A$2477,$A126),2),P$1),0)</f>
        <v>0</v>
      </c>
      <c r="Q126">
        <f>IFERROR(COUNTIF(OFFSET('Schedule Raw Data'!$A$2,MATCH($A126,'Schedule Raw Data'!$A$3:$A$2477,0),1,COUNTIF('Schedule Raw Data'!$A$3:$A$2477,$A126),2),Q$1),0)</f>
        <v>0</v>
      </c>
      <c r="R126">
        <f>IFERROR(COUNTIF(OFFSET('Schedule Raw Data'!$A$2,MATCH($A126,'Schedule Raw Data'!$A$3:$A$2477,0),1,COUNTIF('Schedule Raw Data'!$A$3:$A$2477,$A126),2),R$1),0)</f>
        <v>1</v>
      </c>
      <c r="S126">
        <f>IFERROR(COUNTIF(OFFSET('Schedule Raw Data'!$A$2,MATCH($A126,'Schedule Raw Data'!$A$3:$A$2477,0),1,COUNTIF('Schedule Raw Data'!$A$3:$A$2477,$A126),2),S$1),0)</f>
        <v>0</v>
      </c>
      <c r="T126">
        <f>IFERROR(COUNTIF(OFFSET('Schedule Raw Data'!$A$2,MATCH($A126,'Schedule Raw Data'!$A$3:$A$2477,0),1,COUNTIF('Schedule Raw Data'!$A$3:$A$2477,$A126),2),T$1),0)</f>
        <v>1</v>
      </c>
      <c r="U126">
        <f>IFERROR(COUNTIF(OFFSET('Schedule Raw Data'!$A$2,MATCH($A126,'Schedule Raw Data'!$A$3:$A$2477,0),1,COUNTIF('Schedule Raw Data'!$A$3:$A$2477,$A126),2),U$1),0)</f>
        <v>1</v>
      </c>
      <c r="V126">
        <f>IFERROR(COUNTIF(OFFSET('Schedule Raw Data'!$A$2,MATCH($A126,'Schedule Raw Data'!$A$3:$A$2477,0),1,COUNTIF('Schedule Raw Data'!$A$3:$A$2477,$A126),2),V$1),0)</f>
        <v>1</v>
      </c>
      <c r="W126">
        <f>IFERROR(COUNTIF(OFFSET('Schedule Raw Data'!$A$2,MATCH($A126,'Schedule Raw Data'!$A$3:$A$2477,0),1,COUNTIF('Schedule Raw Data'!$A$3:$A$2477,$A126),2),W$1),0)</f>
        <v>1</v>
      </c>
      <c r="X126">
        <f>IFERROR(COUNTIF(OFFSET('Schedule Raw Data'!$A$2,MATCH($A126,'Schedule Raw Data'!$A$3:$A$2477,0),1,COUNTIF('Schedule Raw Data'!$A$3:$A$2477,$A126),2),X$1),0)</f>
        <v>1</v>
      </c>
      <c r="Y126">
        <f>IFERROR(COUNTIF(OFFSET('Schedule Raw Data'!$A$2,MATCH($A126,'Schedule Raw Data'!$A$3:$A$2477,0),1,COUNTIF('Schedule Raw Data'!$A$3:$A$2477,$A126),2),Y$1),0)</f>
        <v>0</v>
      </c>
      <c r="Z126">
        <f>IFERROR(COUNTIF(OFFSET('Schedule Raw Data'!$A$2,MATCH($A126,'Schedule Raw Data'!$A$3:$A$2477,0),1,COUNTIF('Schedule Raw Data'!$A$3:$A$2477,$A126),2),Z$1),0)</f>
        <v>0</v>
      </c>
      <c r="AA126">
        <f>IFERROR(COUNTIF(OFFSET('Schedule Raw Data'!$A$2,MATCH($A126,'Schedule Raw Data'!$A$3:$A$2477,0),1,COUNTIF('Schedule Raw Data'!$A$3:$A$2477,$A126),2),AA$1),0)</f>
        <v>1</v>
      </c>
      <c r="AB126">
        <f>IFERROR(COUNTIF(OFFSET('Schedule Raw Data'!$A$2,MATCH($A126,'Schedule Raw Data'!$A$3:$A$2477,0),1,COUNTIF('Schedule Raw Data'!$A$3:$A$2477,$A126),2),AB$1),0)</f>
        <v>1</v>
      </c>
      <c r="AC126">
        <f>IFERROR(COUNTIF(OFFSET('Schedule Raw Data'!$A$2,MATCH($A126,'Schedule Raw Data'!$A$3:$A$2477,0),1,COUNTIF('Schedule Raw Data'!$A$3:$A$2477,$A126),2),AC$1),0)</f>
        <v>0</v>
      </c>
      <c r="AD126">
        <f>IFERROR(COUNTIF(OFFSET('Schedule Raw Data'!$A$2,MATCH($A126,'Schedule Raw Data'!$A$3:$A$2477,0),1,COUNTIF('Schedule Raw Data'!$A$3:$A$2477,$A126),2),AD$1),0)</f>
        <v>1</v>
      </c>
      <c r="AE126">
        <f>IFERROR(COUNTIF(OFFSET('Schedule Raw Data'!$A$2,MATCH($A126,'Schedule Raw Data'!$A$3:$A$2477,0),1,COUNTIF('Schedule Raw Data'!$A$3:$A$2477,$A126),2),AE$1),0)</f>
        <v>1</v>
      </c>
      <c r="AF126">
        <f>IFERROR(COUNTIF(OFFSET('Schedule Raw Data'!$A$2,MATCH($A126,'Schedule Raw Data'!$A$3:$A$2477,0),1,COUNTIF('Schedule Raw Data'!$A$3:$A$2477,$A126),2),AF$1),0)</f>
        <v>0</v>
      </c>
      <c r="AG126">
        <f t="shared" si="1"/>
        <v>8</v>
      </c>
    </row>
    <row r="127">
      <c r="A127" s="30">
        <f t="array" ref="A127">INDEX('Schedule Raw Data'!$A$3:$A$2477,MATCH(0,INDEX(COUNTIF($A$1:A126,'Schedule Raw Data'!$A$3:$A$2477),0,0),0))</f>
        <v>46457</v>
      </c>
      <c r="B127">
        <f t="shared" si="2"/>
        <v>19</v>
      </c>
      <c r="C127">
        <f>IFERROR(COUNTIF(OFFSET('Schedule Raw Data'!$A$2,MATCH($A127,'Schedule Raw Data'!$A$3:$A$2477,0),1,COUNTIF('Schedule Raw Data'!$A$3:$A$2477,$A127),2),C$1),0)</f>
        <v>1</v>
      </c>
      <c r="D127">
        <f>IFERROR(COUNTIF(OFFSET('Schedule Raw Data'!$A$2,MATCH($A127,'Schedule Raw Data'!$A$3:$A$2477,0),1,COUNTIF('Schedule Raw Data'!$A$3:$A$2477,$A127),2),D$1),0)</f>
        <v>1</v>
      </c>
      <c r="E127">
        <f>IFERROR(COUNTIF(OFFSET('Schedule Raw Data'!$A$2,MATCH($A127,'Schedule Raw Data'!$A$3:$A$2477,0),1,COUNTIF('Schedule Raw Data'!$A$3:$A$2477,$A127),2),E$1),0)</f>
        <v>1</v>
      </c>
      <c r="F127">
        <f>IFERROR(COUNTIF(OFFSET('Schedule Raw Data'!$A$2,MATCH($A127,'Schedule Raw Data'!$A$3:$A$2477,0),1,COUNTIF('Schedule Raw Data'!$A$3:$A$2477,$A127),2),F$1),0)</f>
        <v>1</v>
      </c>
      <c r="G127">
        <f>IFERROR(COUNTIF(OFFSET('Schedule Raw Data'!$A$2,MATCH($A127,'Schedule Raw Data'!$A$3:$A$2477,0),1,COUNTIF('Schedule Raw Data'!$A$3:$A$2477,$A127),2),G$1),0)</f>
        <v>1</v>
      </c>
      <c r="H127">
        <f>IFERROR(COUNTIF(OFFSET('Schedule Raw Data'!$A$2,MATCH($A127,'Schedule Raw Data'!$A$3:$A$2477,0),1,COUNTIF('Schedule Raw Data'!$A$3:$A$2477,$A127),2),H$1),0)</f>
        <v>1</v>
      </c>
      <c r="I127">
        <f>IFERROR(COUNTIF(OFFSET('Schedule Raw Data'!$A$2,MATCH($A127,'Schedule Raw Data'!$A$3:$A$2477,0),1,COUNTIF('Schedule Raw Data'!$A$3:$A$2477,$A127),2),I$1),0)</f>
        <v>1</v>
      </c>
      <c r="J127">
        <f>IFERROR(COUNTIF(OFFSET('Schedule Raw Data'!$A$2,MATCH($A127,'Schedule Raw Data'!$A$3:$A$2477,0),1,COUNTIF('Schedule Raw Data'!$A$3:$A$2477,$A127),2),J$1),0)</f>
        <v>0</v>
      </c>
      <c r="K127">
        <f>IFERROR(COUNTIF(OFFSET('Schedule Raw Data'!$A$2,MATCH($A127,'Schedule Raw Data'!$A$3:$A$2477,0),1,COUNTIF('Schedule Raw Data'!$A$3:$A$2477,$A127),2),K$1),0)</f>
        <v>1</v>
      </c>
      <c r="L127">
        <f>IFERROR(COUNTIF(OFFSET('Schedule Raw Data'!$A$2,MATCH($A127,'Schedule Raw Data'!$A$3:$A$2477,0),1,COUNTIF('Schedule Raw Data'!$A$3:$A$2477,$A127),2),L$1),0)</f>
        <v>0</v>
      </c>
      <c r="M127">
        <f>IFERROR(COUNTIF(OFFSET('Schedule Raw Data'!$A$2,MATCH($A127,'Schedule Raw Data'!$A$3:$A$2477,0),1,COUNTIF('Schedule Raw Data'!$A$3:$A$2477,$A127),2),M$1),0)</f>
        <v>0</v>
      </c>
      <c r="N127">
        <f>IFERROR(COUNTIF(OFFSET('Schedule Raw Data'!$A$2,MATCH($A127,'Schedule Raw Data'!$A$3:$A$2477,0),1,COUNTIF('Schedule Raw Data'!$A$3:$A$2477,$A127),2),N$1),0)</f>
        <v>1</v>
      </c>
      <c r="O127">
        <f>IFERROR(COUNTIF(OFFSET('Schedule Raw Data'!$A$2,MATCH($A127,'Schedule Raw Data'!$A$3:$A$2477,0),1,COUNTIF('Schedule Raw Data'!$A$3:$A$2477,$A127),2),O$1),0)</f>
        <v>1</v>
      </c>
      <c r="P127">
        <f>IFERROR(COUNTIF(OFFSET('Schedule Raw Data'!$A$2,MATCH($A127,'Schedule Raw Data'!$A$3:$A$2477,0),1,COUNTIF('Schedule Raw Data'!$A$3:$A$2477,$A127),2),P$1),0)</f>
        <v>1</v>
      </c>
      <c r="Q127">
        <f>IFERROR(COUNTIF(OFFSET('Schedule Raw Data'!$A$2,MATCH($A127,'Schedule Raw Data'!$A$3:$A$2477,0),1,COUNTIF('Schedule Raw Data'!$A$3:$A$2477,$A127),2),Q$1),0)</f>
        <v>1</v>
      </c>
      <c r="R127">
        <f>IFERROR(COUNTIF(OFFSET('Schedule Raw Data'!$A$2,MATCH($A127,'Schedule Raw Data'!$A$3:$A$2477,0),1,COUNTIF('Schedule Raw Data'!$A$3:$A$2477,$A127),2),R$1),0)</f>
        <v>0</v>
      </c>
      <c r="S127">
        <f>IFERROR(COUNTIF(OFFSET('Schedule Raw Data'!$A$2,MATCH($A127,'Schedule Raw Data'!$A$3:$A$2477,0),1,COUNTIF('Schedule Raw Data'!$A$3:$A$2477,$A127),2),S$1),0)</f>
        <v>1</v>
      </c>
      <c r="T127">
        <f>IFERROR(COUNTIF(OFFSET('Schedule Raw Data'!$A$2,MATCH($A127,'Schedule Raw Data'!$A$3:$A$2477,0),1,COUNTIF('Schedule Raw Data'!$A$3:$A$2477,$A127),2),T$1),0)</f>
        <v>0</v>
      </c>
      <c r="U127">
        <f>IFERROR(COUNTIF(OFFSET('Schedule Raw Data'!$A$2,MATCH($A127,'Schedule Raw Data'!$A$3:$A$2477,0),1,COUNTIF('Schedule Raw Data'!$A$3:$A$2477,$A127),2),U$1),0)</f>
        <v>0</v>
      </c>
      <c r="V127">
        <f>IFERROR(COUNTIF(OFFSET('Schedule Raw Data'!$A$2,MATCH($A127,'Schedule Raw Data'!$A$3:$A$2477,0),1,COUNTIF('Schedule Raw Data'!$A$3:$A$2477,$A127),2),V$1),0)</f>
        <v>1</v>
      </c>
      <c r="W127">
        <f>IFERROR(COUNTIF(OFFSET('Schedule Raw Data'!$A$2,MATCH($A127,'Schedule Raw Data'!$A$3:$A$2477,0),1,COUNTIF('Schedule Raw Data'!$A$3:$A$2477,$A127),2),W$1),0)</f>
        <v>0</v>
      </c>
      <c r="X127">
        <f>IFERROR(COUNTIF(OFFSET('Schedule Raw Data'!$A$2,MATCH($A127,'Schedule Raw Data'!$A$3:$A$2477,0),1,COUNTIF('Schedule Raw Data'!$A$3:$A$2477,$A127),2),X$1),0)</f>
        <v>0</v>
      </c>
      <c r="Y127">
        <f>IFERROR(COUNTIF(OFFSET('Schedule Raw Data'!$A$2,MATCH($A127,'Schedule Raw Data'!$A$3:$A$2477,0),1,COUNTIF('Schedule Raw Data'!$A$3:$A$2477,$A127),2),Y$1),0)</f>
        <v>1</v>
      </c>
      <c r="Z127">
        <f>IFERROR(COUNTIF(OFFSET('Schedule Raw Data'!$A$2,MATCH($A127,'Schedule Raw Data'!$A$3:$A$2477,0),1,COUNTIF('Schedule Raw Data'!$A$3:$A$2477,$A127),2),Z$1),0)</f>
        <v>1</v>
      </c>
      <c r="AA127">
        <f>IFERROR(COUNTIF(OFFSET('Schedule Raw Data'!$A$2,MATCH($A127,'Schedule Raw Data'!$A$3:$A$2477,0),1,COUNTIF('Schedule Raw Data'!$A$3:$A$2477,$A127),2),AA$1),0)</f>
        <v>0</v>
      </c>
      <c r="AB127">
        <f>IFERROR(COUNTIF(OFFSET('Schedule Raw Data'!$A$2,MATCH($A127,'Schedule Raw Data'!$A$3:$A$2477,0),1,COUNTIF('Schedule Raw Data'!$A$3:$A$2477,$A127),2),AB$1),0)</f>
        <v>0</v>
      </c>
      <c r="AC127">
        <f>IFERROR(COUNTIF(OFFSET('Schedule Raw Data'!$A$2,MATCH($A127,'Schedule Raw Data'!$A$3:$A$2477,0),1,COUNTIF('Schedule Raw Data'!$A$3:$A$2477,$A127),2),AC$1),0)</f>
        <v>1</v>
      </c>
      <c r="AD127">
        <f>IFERROR(COUNTIF(OFFSET('Schedule Raw Data'!$A$2,MATCH($A127,'Schedule Raw Data'!$A$3:$A$2477,0),1,COUNTIF('Schedule Raw Data'!$A$3:$A$2477,$A127),2),AD$1),0)</f>
        <v>0</v>
      </c>
      <c r="AE127">
        <f>IFERROR(COUNTIF(OFFSET('Schedule Raw Data'!$A$2,MATCH($A127,'Schedule Raw Data'!$A$3:$A$2477,0),1,COUNTIF('Schedule Raw Data'!$A$3:$A$2477,$A127),2),AE$1),0)</f>
        <v>0</v>
      </c>
      <c r="AF127">
        <f>IFERROR(COUNTIF(OFFSET('Schedule Raw Data'!$A$2,MATCH($A127,'Schedule Raw Data'!$A$3:$A$2477,0),1,COUNTIF('Schedule Raw Data'!$A$3:$A$2477,$A127),2),AF$1),0)</f>
        <v>1</v>
      </c>
      <c r="AG127">
        <f t="shared" si="1"/>
        <v>9</v>
      </c>
    </row>
    <row r="128">
      <c r="A128" s="30">
        <f t="array" ref="A128">INDEX('Schedule Raw Data'!$A$3:$A$2477,MATCH(0,INDEX(COUNTIF($A$1:A127,'Schedule Raw Data'!$A$3:$A$2477),0,0),0))</f>
        <v>46458</v>
      </c>
      <c r="B128">
        <f t="shared" si="2"/>
        <v>19</v>
      </c>
      <c r="C128">
        <f>IFERROR(COUNTIF(OFFSET('Schedule Raw Data'!$A$2,MATCH($A128,'Schedule Raw Data'!$A$3:$A$2477,0),1,COUNTIF('Schedule Raw Data'!$A$3:$A$2477,$A128),2),C$1),0)</f>
        <v>0</v>
      </c>
      <c r="D128">
        <f>IFERROR(COUNTIF(OFFSET('Schedule Raw Data'!$A$2,MATCH($A128,'Schedule Raw Data'!$A$3:$A$2477,0),1,COUNTIF('Schedule Raw Data'!$A$3:$A$2477,$A128),2),D$1),0)</f>
        <v>0</v>
      </c>
      <c r="E128">
        <f>IFERROR(COUNTIF(OFFSET('Schedule Raw Data'!$A$2,MATCH($A128,'Schedule Raw Data'!$A$3:$A$2477,0),1,COUNTIF('Schedule Raw Data'!$A$3:$A$2477,$A128),2),E$1),0)</f>
        <v>1</v>
      </c>
      <c r="F128">
        <f>IFERROR(COUNTIF(OFFSET('Schedule Raw Data'!$A$2,MATCH($A128,'Schedule Raw Data'!$A$3:$A$2477,0),1,COUNTIF('Schedule Raw Data'!$A$3:$A$2477,$A128),2),F$1),0)</f>
        <v>0</v>
      </c>
      <c r="G128">
        <f>IFERROR(COUNTIF(OFFSET('Schedule Raw Data'!$A$2,MATCH($A128,'Schedule Raw Data'!$A$3:$A$2477,0),1,COUNTIF('Schedule Raw Data'!$A$3:$A$2477,$A128),2),G$1),0)</f>
        <v>0</v>
      </c>
      <c r="H128">
        <f>IFERROR(COUNTIF(OFFSET('Schedule Raw Data'!$A$2,MATCH($A128,'Schedule Raw Data'!$A$3:$A$2477,0),1,COUNTIF('Schedule Raw Data'!$A$3:$A$2477,$A128),2),H$1),0)</f>
        <v>1</v>
      </c>
      <c r="I128">
        <f>IFERROR(COUNTIF(OFFSET('Schedule Raw Data'!$A$2,MATCH($A128,'Schedule Raw Data'!$A$3:$A$2477,0),1,COUNTIF('Schedule Raw Data'!$A$3:$A$2477,$A128),2),I$1),0)</f>
        <v>0</v>
      </c>
      <c r="J128">
        <f>IFERROR(COUNTIF(OFFSET('Schedule Raw Data'!$A$2,MATCH($A128,'Schedule Raw Data'!$A$3:$A$2477,0),1,COUNTIF('Schedule Raw Data'!$A$3:$A$2477,$A128),2),J$1),0)</f>
        <v>1</v>
      </c>
      <c r="K128">
        <f>IFERROR(COUNTIF(OFFSET('Schedule Raw Data'!$A$2,MATCH($A128,'Schedule Raw Data'!$A$3:$A$2477,0),1,COUNTIF('Schedule Raw Data'!$A$3:$A$2477,$A128),2),K$1),0)</f>
        <v>0</v>
      </c>
      <c r="L128">
        <f>IFERROR(COUNTIF(OFFSET('Schedule Raw Data'!$A$2,MATCH($A128,'Schedule Raw Data'!$A$3:$A$2477,0),1,COUNTIF('Schedule Raw Data'!$A$3:$A$2477,$A128),2),L$1),0)</f>
        <v>1</v>
      </c>
      <c r="M128">
        <f>IFERROR(COUNTIF(OFFSET('Schedule Raw Data'!$A$2,MATCH($A128,'Schedule Raw Data'!$A$3:$A$2477,0),1,COUNTIF('Schedule Raw Data'!$A$3:$A$2477,$A128),2),M$1),0)</f>
        <v>0</v>
      </c>
      <c r="N128">
        <f>IFERROR(COUNTIF(OFFSET('Schedule Raw Data'!$A$2,MATCH($A128,'Schedule Raw Data'!$A$3:$A$2477,0),1,COUNTIF('Schedule Raw Data'!$A$3:$A$2477,$A128),2),N$1),0)</f>
        <v>0</v>
      </c>
      <c r="O128">
        <f>IFERROR(COUNTIF(OFFSET('Schedule Raw Data'!$A$2,MATCH($A128,'Schedule Raw Data'!$A$3:$A$2477,0),1,COUNTIF('Schedule Raw Data'!$A$3:$A$2477,$A128),2),O$1),0)</f>
        <v>0</v>
      </c>
      <c r="P128">
        <f>IFERROR(COUNTIF(OFFSET('Schedule Raw Data'!$A$2,MATCH($A128,'Schedule Raw Data'!$A$3:$A$2477,0),1,COUNTIF('Schedule Raw Data'!$A$3:$A$2477,$A128),2),P$1),0)</f>
        <v>1</v>
      </c>
      <c r="Q128">
        <f>IFERROR(COUNTIF(OFFSET('Schedule Raw Data'!$A$2,MATCH($A128,'Schedule Raw Data'!$A$3:$A$2477,0),1,COUNTIF('Schedule Raw Data'!$A$3:$A$2477,$A128),2),Q$1),0)</f>
        <v>0</v>
      </c>
      <c r="R128">
        <f>IFERROR(COUNTIF(OFFSET('Schedule Raw Data'!$A$2,MATCH($A128,'Schedule Raw Data'!$A$3:$A$2477,0),1,COUNTIF('Schedule Raw Data'!$A$3:$A$2477,$A128),2),R$1),0)</f>
        <v>1</v>
      </c>
      <c r="S128">
        <f>IFERROR(COUNTIF(OFFSET('Schedule Raw Data'!$A$2,MATCH($A128,'Schedule Raw Data'!$A$3:$A$2477,0),1,COUNTIF('Schedule Raw Data'!$A$3:$A$2477,$A128),2),S$1),0)</f>
        <v>1</v>
      </c>
      <c r="T128">
        <f>IFERROR(COUNTIF(OFFSET('Schedule Raw Data'!$A$2,MATCH($A128,'Schedule Raw Data'!$A$3:$A$2477,0),1,COUNTIF('Schedule Raw Data'!$A$3:$A$2477,$A128),2),T$1),0)</f>
        <v>0</v>
      </c>
      <c r="U128">
        <f>IFERROR(COUNTIF(OFFSET('Schedule Raw Data'!$A$2,MATCH($A128,'Schedule Raw Data'!$A$3:$A$2477,0),1,COUNTIF('Schedule Raw Data'!$A$3:$A$2477,$A128),2),U$1),0)</f>
        <v>1</v>
      </c>
      <c r="V128">
        <f>IFERROR(COUNTIF(OFFSET('Schedule Raw Data'!$A$2,MATCH($A128,'Schedule Raw Data'!$A$3:$A$2477,0),1,COUNTIF('Schedule Raw Data'!$A$3:$A$2477,$A128),2),V$1),0)</f>
        <v>0</v>
      </c>
      <c r="W128">
        <f>IFERROR(COUNTIF(OFFSET('Schedule Raw Data'!$A$2,MATCH($A128,'Schedule Raw Data'!$A$3:$A$2477,0),1,COUNTIF('Schedule Raw Data'!$A$3:$A$2477,$A128),2),W$1),0)</f>
        <v>1</v>
      </c>
      <c r="X128">
        <f>IFERROR(COUNTIF(OFFSET('Schedule Raw Data'!$A$2,MATCH($A128,'Schedule Raw Data'!$A$3:$A$2477,0),1,COUNTIF('Schedule Raw Data'!$A$3:$A$2477,$A128),2),X$1),0)</f>
        <v>0</v>
      </c>
      <c r="Y128">
        <f>IFERROR(COUNTIF(OFFSET('Schedule Raw Data'!$A$2,MATCH($A128,'Schedule Raw Data'!$A$3:$A$2477,0),1,COUNTIF('Schedule Raw Data'!$A$3:$A$2477,$A128),2),Y$1),0)</f>
        <v>0</v>
      </c>
      <c r="Z128">
        <f>IFERROR(COUNTIF(OFFSET('Schedule Raw Data'!$A$2,MATCH($A128,'Schedule Raw Data'!$A$3:$A$2477,0),1,COUNTIF('Schedule Raw Data'!$A$3:$A$2477,$A128),2),Z$1),0)</f>
        <v>0</v>
      </c>
      <c r="AA128">
        <f>IFERROR(COUNTIF(OFFSET('Schedule Raw Data'!$A$2,MATCH($A128,'Schedule Raw Data'!$A$3:$A$2477,0),1,COUNTIF('Schedule Raw Data'!$A$3:$A$2477,$A128),2),AA$1),0)</f>
        <v>0</v>
      </c>
      <c r="AB128">
        <f>IFERROR(COUNTIF(OFFSET('Schedule Raw Data'!$A$2,MATCH($A128,'Schedule Raw Data'!$A$3:$A$2477,0),1,COUNTIF('Schedule Raw Data'!$A$3:$A$2477,$A128),2),AB$1),0)</f>
        <v>1</v>
      </c>
      <c r="AC128">
        <f>IFERROR(COUNTIF(OFFSET('Schedule Raw Data'!$A$2,MATCH($A128,'Schedule Raw Data'!$A$3:$A$2477,0),1,COUNTIF('Schedule Raw Data'!$A$3:$A$2477,$A128),2),AC$1),0)</f>
        <v>0</v>
      </c>
      <c r="AD128">
        <f>IFERROR(COUNTIF(OFFSET('Schedule Raw Data'!$A$2,MATCH($A128,'Schedule Raw Data'!$A$3:$A$2477,0),1,COUNTIF('Schedule Raw Data'!$A$3:$A$2477,$A128),2),AD$1),0)</f>
        <v>1</v>
      </c>
      <c r="AE128">
        <f>IFERROR(COUNTIF(OFFSET('Schedule Raw Data'!$A$2,MATCH($A128,'Schedule Raw Data'!$A$3:$A$2477,0),1,COUNTIF('Schedule Raw Data'!$A$3:$A$2477,$A128),2),AE$1),0)</f>
        <v>1</v>
      </c>
      <c r="AF128">
        <f>IFERROR(COUNTIF(OFFSET('Schedule Raw Data'!$A$2,MATCH($A128,'Schedule Raw Data'!$A$3:$A$2477,0),1,COUNTIF('Schedule Raw Data'!$A$3:$A$2477,$A128),2),AF$1),0)</f>
        <v>0</v>
      </c>
      <c r="AG128">
        <f t="shared" si="1"/>
        <v>6</v>
      </c>
    </row>
    <row r="129">
      <c r="A129" s="30">
        <f t="array" ref="A129">INDEX('Schedule Raw Data'!$A$3:$A$2477,MATCH(0,INDEX(COUNTIF($A$1:A128,'Schedule Raw Data'!$A$3:$A$2477),0,0),0))</f>
        <v>46459</v>
      </c>
      <c r="B129">
        <f t="shared" si="2"/>
        <v>19</v>
      </c>
      <c r="C129">
        <f>IFERROR(COUNTIF(OFFSET('Schedule Raw Data'!$A$2,MATCH($A129,'Schedule Raw Data'!$A$3:$A$2477,0),1,COUNTIF('Schedule Raw Data'!$A$3:$A$2477,$A129),2),C$1),0)</f>
        <v>1</v>
      </c>
      <c r="D129">
        <f>IFERROR(COUNTIF(OFFSET('Schedule Raw Data'!$A$2,MATCH($A129,'Schedule Raw Data'!$A$3:$A$2477,0),1,COUNTIF('Schedule Raw Data'!$A$3:$A$2477,$A129),2),D$1),0)</f>
        <v>1</v>
      </c>
      <c r="E129">
        <f>IFERROR(COUNTIF(OFFSET('Schedule Raw Data'!$A$2,MATCH($A129,'Schedule Raw Data'!$A$3:$A$2477,0),1,COUNTIF('Schedule Raw Data'!$A$3:$A$2477,$A129),2),E$1),0)</f>
        <v>0</v>
      </c>
      <c r="F129">
        <f>IFERROR(COUNTIF(OFFSET('Schedule Raw Data'!$A$2,MATCH($A129,'Schedule Raw Data'!$A$3:$A$2477,0),1,COUNTIF('Schedule Raw Data'!$A$3:$A$2477,$A129),2),F$1),0)</f>
        <v>1</v>
      </c>
      <c r="G129">
        <f>IFERROR(COUNTIF(OFFSET('Schedule Raw Data'!$A$2,MATCH($A129,'Schedule Raw Data'!$A$3:$A$2477,0),1,COUNTIF('Schedule Raw Data'!$A$3:$A$2477,$A129),2),G$1),0)</f>
        <v>1</v>
      </c>
      <c r="H129">
        <f>IFERROR(COUNTIF(OFFSET('Schedule Raw Data'!$A$2,MATCH($A129,'Schedule Raw Data'!$A$3:$A$2477,0),1,COUNTIF('Schedule Raw Data'!$A$3:$A$2477,$A129),2),H$1),0)</f>
        <v>0</v>
      </c>
      <c r="I129">
        <f>IFERROR(COUNTIF(OFFSET('Schedule Raw Data'!$A$2,MATCH($A129,'Schedule Raw Data'!$A$3:$A$2477,0),1,COUNTIF('Schedule Raw Data'!$A$3:$A$2477,$A129),2),I$1),0)</f>
        <v>1</v>
      </c>
      <c r="J129">
        <f>IFERROR(COUNTIF(OFFSET('Schedule Raw Data'!$A$2,MATCH($A129,'Schedule Raw Data'!$A$3:$A$2477,0),1,COUNTIF('Schedule Raw Data'!$A$3:$A$2477,$A129),2),J$1),0)</f>
        <v>0</v>
      </c>
      <c r="K129">
        <f>IFERROR(COUNTIF(OFFSET('Schedule Raw Data'!$A$2,MATCH($A129,'Schedule Raw Data'!$A$3:$A$2477,0),1,COUNTIF('Schedule Raw Data'!$A$3:$A$2477,$A129),2),K$1),0)</f>
        <v>1</v>
      </c>
      <c r="L129">
        <f>IFERROR(COUNTIF(OFFSET('Schedule Raw Data'!$A$2,MATCH($A129,'Schedule Raw Data'!$A$3:$A$2477,0),1,COUNTIF('Schedule Raw Data'!$A$3:$A$2477,$A129),2),L$1),0)</f>
        <v>0</v>
      </c>
      <c r="M129">
        <f>IFERROR(COUNTIF(OFFSET('Schedule Raw Data'!$A$2,MATCH($A129,'Schedule Raw Data'!$A$3:$A$2477,0),1,COUNTIF('Schedule Raw Data'!$A$3:$A$2477,$A129),2),M$1),0)</f>
        <v>1</v>
      </c>
      <c r="N129">
        <f>IFERROR(COUNTIF(OFFSET('Schedule Raw Data'!$A$2,MATCH($A129,'Schedule Raw Data'!$A$3:$A$2477,0),1,COUNTIF('Schedule Raw Data'!$A$3:$A$2477,$A129),2),N$1),0)</f>
        <v>1</v>
      </c>
      <c r="O129">
        <f>IFERROR(COUNTIF(OFFSET('Schedule Raw Data'!$A$2,MATCH($A129,'Schedule Raw Data'!$A$3:$A$2477,0),1,COUNTIF('Schedule Raw Data'!$A$3:$A$2477,$A129),2),O$1),0)</f>
        <v>1</v>
      </c>
      <c r="P129">
        <f>IFERROR(COUNTIF(OFFSET('Schedule Raw Data'!$A$2,MATCH($A129,'Schedule Raw Data'!$A$3:$A$2477,0),1,COUNTIF('Schedule Raw Data'!$A$3:$A$2477,$A129),2),P$1),0)</f>
        <v>0</v>
      </c>
      <c r="Q129">
        <f>IFERROR(COUNTIF(OFFSET('Schedule Raw Data'!$A$2,MATCH($A129,'Schedule Raw Data'!$A$3:$A$2477,0),1,COUNTIF('Schedule Raw Data'!$A$3:$A$2477,$A129),2),Q$1),0)</f>
        <v>1</v>
      </c>
      <c r="R129">
        <f>IFERROR(COUNTIF(OFFSET('Schedule Raw Data'!$A$2,MATCH($A129,'Schedule Raw Data'!$A$3:$A$2477,0),1,COUNTIF('Schedule Raw Data'!$A$3:$A$2477,$A129),2),R$1),0)</f>
        <v>0</v>
      </c>
      <c r="S129">
        <f>IFERROR(COUNTIF(OFFSET('Schedule Raw Data'!$A$2,MATCH($A129,'Schedule Raw Data'!$A$3:$A$2477,0),1,COUNTIF('Schedule Raw Data'!$A$3:$A$2477,$A129),2),S$1),0)</f>
        <v>0</v>
      </c>
      <c r="T129">
        <f>IFERROR(COUNTIF(OFFSET('Schedule Raw Data'!$A$2,MATCH($A129,'Schedule Raw Data'!$A$3:$A$2477,0),1,COUNTIF('Schedule Raw Data'!$A$3:$A$2477,$A129),2),T$1),0)</f>
        <v>1</v>
      </c>
      <c r="U129">
        <f>IFERROR(COUNTIF(OFFSET('Schedule Raw Data'!$A$2,MATCH($A129,'Schedule Raw Data'!$A$3:$A$2477,0),1,COUNTIF('Schedule Raw Data'!$A$3:$A$2477,$A129),2),U$1),0)</f>
        <v>1</v>
      </c>
      <c r="V129">
        <f>IFERROR(COUNTIF(OFFSET('Schedule Raw Data'!$A$2,MATCH($A129,'Schedule Raw Data'!$A$3:$A$2477,0),1,COUNTIF('Schedule Raw Data'!$A$3:$A$2477,$A129),2),V$1),0)</f>
        <v>0</v>
      </c>
      <c r="W129">
        <f>IFERROR(COUNTIF(OFFSET('Schedule Raw Data'!$A$2,MATCH($A129,'Schedule Raw Data'!$A$3:$A$2477,0),1,COUNTIF('Schedule Raw Data'!$A$3:$A$2477,$A129),2),W$1),0)</f>
        <v>0</v>
      </c>
      <c r="X129">
        <f>IFERROR(COUNTIF(OFFSET('Schedule Raw Data'!$A$2,MATCH($A129,'Schedule Raw Data'!$A$3:$A$2477,0),1,COUNTIF('Schedule Raw Data'!$A$3:$A$2477,$A129),2),X$1),0)</f>
        <v>1</v>
      </c>
      <c r="Y129">
        <f>IFERROR(COUNTIF(OFFSET('Schedule Raw Data'!$A$2,MATCH($A129,'Schedule Raw Data'!$A$3:$A$2477,0),1,COUNTIF('Schedule Raw Data'!$A$3:$A$2477,$A129),2),Y$1),0)</f>
        <v>1</v>
      </c>
      <c r="Z129">
        <f>IFERROR(COUNTIF(OFFSET('Schedule Raw Data'!$A$2,MATCH($A129,'Schedule Raw Data'!$A$3:$A$2477,0),1,COUNTIF('Schedule Raw Data'!$A$3:$A$2477,$A129),2),Z$1),0)</f>
        <v>1</v>
      </c>
      <c r="AA129">
        <f>IFERROR(COUNTIF(OFFSET('Schedule Raw Data'!$A$2,MATCH($A129,'Schedule Raw Data'!$A$3:$A$2477,0),1,COUNTIF('Schedule Raw Data'!$A$3:$A$2477,$A129),2),AA$1),0)</f>
        <v>1</v>
      </c>
      <c r="AB129">
        <f>IFERROR(COUNTIF(OFFSET('Schedule Raw Data'!$A$2,MATCH($A129,'Schedule Raw Data'!$A$3:$A$2477,0),1,COUNTIF('Schedule Raw Data'!$A$3:$A$2477,$A129),2),AB$1),0)</f>
        <v>0</v>
      </c>
      <c r="AC129">
        <f>IFERROR(COUNTIF(OFFSET('Schedule Raw Data'!$A$2,MATCH($A129,'Schedule Raw Data'!$A$3:$A$2477,0),1,COUNTIF('Schedule Raw Data'!$A$3:$A$2477,$A129),2),AC$1),0)</f>
        <v>0</v>
      </c>
      <c r="AD129">
        <f>IFERROR(COUNTIF(OFFSET('Schedule Raw Data'!$A$2,MATCH($A129,'Schedule Raw Data'!$A$3:$A$2477,0),1,COUNTIF('Schedule Raw Data'!$A$3:$A$2477,$A129),2),AD$1),0)</f>
        <v>0</v>
      </c>
      <c r="AE129">
        <f>IFERROR(COUNTIF(OFFSET('Schedule Raw Data'!$A$2,MATCH($A129,'Schedule Raw Data'!$A$3:$A$2477,0),1,COUNTIF('Schedule Raw Data'!$A$3:$A$2477,$A129),2),AE$1),0)</f>
        <v>0</v>
      </c>
      <c r="AF129">
        <f>IFERROR(COUNTIF(OFFSET('Schedule Raw Data'!$A$2,MATCH($A129,'Schedule Raw Data'!$A$3:$A$2477,0),1,COUNTIF('Schedule Raw Data'!$A$3:$A$2477,$A129),2),AF$1),0)</f>
        <v>0</v>
      </c>
      <c r="AG129">
        <f t="shared" si="1"/>
        <v>8</v>
      </c>
    </row>
    <row r="130">
      <c r="A130" s="30">
        <f t="array" ref="A130">INDEX('Schedule Raw Data'!$A$3:$A$2477,MATCH(0,INDEX(COUNTIF($A$1:A129,'Schedule Raw Data'!$A$3:$A$2477),0,0),0))</f>
        <v>46460</v>
      </c>
      <c r="B130">
        <f t="shared" si="2"/>
        <v>19</v>
      </c>
      <c r="C130">
        <f>IFERROR(COUNTIF(OFFSET('Schedule Raw Data'!$A$2,MATCH($A130,'Schedule Raw Data'!$A$3:$A$2477,0),1,COUNTIF('Schedule Raw Data'!$A$3:$A$2477,$A130),2),C$1),0)</f>
        <v>0</v>
      </c>
      <c r="D130">
        <f>IFERROR(COUNTIF(OFFSET('Schedule Raw Data'!$A$2,MATCH($A130,'Schedule Raw Data'!$A$3:$A$2477,0),1,COUNTIF('Schedule Raw Data'!$A$3:$A$2477,$A130),2),D$1),0)</f>
        <v>0</v>
      </c>
      <c r="E130">
        <f>IFERROR(COUNTIF(OFFSET('Schedule Raw Data'!$A$2,MATCH($A130,'Schedule Raw Data'!$A$3:$A$2477,0),1,COUNTIF('Schedule Raw Data'!$A$3:$A$2477,$A130),2),E$1),0)</f>
        <v>1</v>
      </c>
      <c r="F130">
        <f>IFERROR(COUNTIF(OFFSET('Schedule Raw Data'!$A$2,MATCH($A130,'Schedule Raw Data'!$A$3:$A$2477,0),1,COUNTIF('Schedule Raw Data'!$A$3:$A$2477,$A130),2),F$1),0)</f>
        <v>0</v>
      </c>
      <c r="G130">
        <f>IFERROR(COUNTIF(OFFSET('Schedule Raw Data'!$A$2,MATCH($A130,'Schedule Raw Data'!$A$3:$A$2477,0),1,COUNTIF('Schedule Raw Data'!$A$3:$A$2477,$A130),2),G$1),0)</f>
        <v>0</v>
      </c>
      <c r="H130">
        <f>IFERROR(COUNTIF(OFFSET('Schedule Raw Data'!$A$2,MATCH($A130,'Schedule Raw Data'!$A$3:$A$2477,0),1,COUNTIF('Schedule Raw Data'!$A$3:$A$2477,$A130),2),H$1),0)</f>
        <v>1</v>
      </c>
      <c r="I130">
        <f>IFERROR(COUNTIF(OFFSET('Schedule Raw Data'!$A$2,MATCH($A130,'Schedule Raw Data'!$A$3:$A$2477,0),1,COUNTIF('Schedule Raw Data'!$A$3:$A$2477,$A130),2),I$1),0)</f>
        <v>0</v>
      </c>
      <c r="J130">
        <f>IFERROR(COUNTIF(OFFSET('Schedule Raw Data'!$A$2,MATCH($A130,'Schedule Raw Data'!$A$3:$A$2477,0),1,COUNTIF('Schedule Raw Data'!$A$3:$A$2477,$A130),2),J$1),0)</f>
        <v>1</v>
      </c>
      <c r="K130">
        <f>IFERROR(COUNTIF(OFFSET('Schedule Raw Data'!$A$2,MATCH($A130,'Schedule Raw Data'!$A$3:$A$2477,0),1,COUNTIF('Schedule Raw Data'!$A$3:$A$2477,$A130),2),K$1),0)</f>
        <v>1</v>
      </c>
      <c r="L130">
        <f>IFERROR(COUNTIF(OFFSET('Schedule Raw Data'!$A$2,MATCH($A130,'Schedule Raw Data'!$A$3:$A$2477,0),1,COUNTIF('Schedule Raw Data'!$A$3:$A$2477,$A130),2),L$1),0)</f>
        <v>1</v>
      </c>
      <c r="M130">
        <f>IFERROR(COUNTIF(OFFSET('Schedule Raw Data'!$A$2,MATCH($A130,'Schedule Raw Data'!$A$3:$A$2477,0),1,COUNTIF('Schedule Raw Data'!$A$3:$A$2477,$A130),2),M$1),0)</f>
        <v>0</v>
      </c>
      <c r="N130">
        <f>IFERROR(COUNTIF(OFFSET('Schedule Raw Data'!$A$2,MATCH($A130,'Schedule Raw Data'!$A$3:$A$2477,0),1,COUNTIF('Schedule Raw Data'!$A$3:$A$2477,$A130),2),N$1),0)</f>
        <v>0</v>
      </c>
      <c r="O130">
        <f>IFERROR(COUNTIF(OFFSET('Schedule Raw Data'!$A$2,MATCH($A130,'Schedule Raw Data'!$A$3:$A$2477,0),1,COUNTIF('Schedule Raw Data'!$A$3:$A$2477,$A130),2),O$1),0)</f>
        <v>0</v>
      </c>
      <c r="P130">
        <f>IFERROR(COUNTIF(OFFSET('Schedule Raw Data'!$A$2,MATCH($A130,'Schedule Raw Data'!$A$3:$A$2477,0),1,COUNTIF('Schedule Raw Data'!$A$3:$A$2477,$A130),2),P$1),0)</f>
        <v>1</v>
      </c>
      <c r="Q130">
        <f>IFERROR(COUNTIF(OFFSET('Schedule Raw Data'!$A$2,MATCH($A130,'Schedule Raw Data'!$A$3:$A$2477,0),1,COUNTIF('Schedule Raw Data'!$A$3:$A$2477,$A130),2),Q$1),0)</f>
        <v>0</v>
      </c>
      <c r="R130">
        <f>IFERROR(COUNTIF(OFFSET('Schedule Raw Data'!$A$2,MATCH($A130,'Schedule Raw Data'!$A$3:$A$2477,0),1,COUNTIF('Schedule Raw Data'!$A$3:$A$2477,$A130),2),R$1),0)</f>
        <v>1</v>
      </c>
      <c r="S130">
        <f>IFERROR(COUNTIF(OFFSET('Schedule Raw Data'!$A$2,MATCH($A130,'Schedule Raw Data'!$A$3:$A$2477,0),1,COUNTIF('Schedule Raw Data'!$A$3:$A$2477,$A130),2),S$1),0)</f>
        <v>0</v>
      </c>
      <c r="T130">
        <f>IFERROR(COUNTIF(OFFSET('Schedule Raw Data'!$A$2,MATCH($A130,'Schedule Raw Data'!$A$3:$A$2477,0),1,COUNTIF('Schedule Raw Data'!$A$3:$A$2477,$A130),2),T$1),0)</f>
        <v>1</v>
      </c>
      <c r="U130">
        <f>IFERROR(COUNTIF(OFFSET('Schedule Raw Data'!$A$2,MATCH($A130,'Schedule Raw Data'!$A$3:$A$2477,0),1,COUNTIF('Schedule Raw Data'!$A$3:$A$2477,$A130),2),U$1),0)</f>
        <v>0</v>
      </c>
      <c r="V130">
        <f>IFERROR(COUNTIF(OFFSET('Schedule Raw Data'!$A$2,MATCH($A130,'Schedule Raw Data'!$A$3:$A$2477,0),1,COUNTIF('Schedule Raw Data'!$A$3:$A$2477,$A130),2),V$1),0)</f>
        <v>1</v>
      </c>
      <c r="W130">
        <f>IFERROR(COUNTIF(OFFSET('Schedule Raw Data'!$A$2,MATCH($A130,'Schedule Raw Data'!$A$3:$A$2477,0),1,COUNTIF('Schedule Raw Data'!$A$3:$A$2477,$A130),2),W$1),0)</f>
        <v>1</v>
      </c>
      <c r="X130">
        <f>IFERROR(COUNTIF(OFFSET('Schedule Raw Data'!$A$2,MATCH($A130,'Schedule Raw Data'!$A$3:$A$2477,0),1,COUNTIF('Schedule Raw Data'!$A$3:$A$2477,$A130),2),X$1),0)</f>
        <v>0</v>
      </c>
      <c r="Y130">
        <f>IFERROR(COUNTIF(OFFSET('Schedule Raw Data'!$A$2,MATCH($A130,'Schedule Raw Data'!$A$3:$A$2477,0),1,COUNTIF('Schedule Raw Data'!$A$3:$A$2477,$A130),2),Y$1),0)</f>
        <v>0</v>
      </c>
      <c r="Z130">
        <f>IFERROR(COUNTIF(OFFSET('Schedule Raw Data'!$A$2,MATCH($A130,'Schedule Raw Data'!$A$3:$A$2477,0),1,COUNTIF('Schedule Raw Data'!$A$3:$A$2477,$A130),2),Z$1),0)</f>
        <v>0</v>
      </c>
      <c r="AA130">
        <f>IFERROR(COUNTIF(OFFSET('Schedule Raw Data'!$A$2,MATCH($A130,'Schedule Raw Data'!$A$3:$A$2477,0),1,COUNTIF('Schedule Raw Data'!$A$3:$A$2477,$A130),2),AA$1),0)</f>
        <v>0</v>
      </c>
      <c r="AB130">
        <f>IFERROR(COUNTIF(OFFSET('Schedule Raw Data'!$A$2,MATCH($A130,'Schedule Raw Data'!$A$3:$A$2477,0),1,COUNTIF('Schedule Raw Data'!$A$3:$A$2477,$A130),2),AB$1),0)</f>
        <v>1</v>
      </c>
      <c r="AC130">
        <f>IFERROR(COUNTIF(OFFSET('Schedule Raw Data'!$A$2,MATCH($A130,'Schedule Raw Data'!$A$3:$A$2477,0),1,COUNTIF('Schedule Raw Data'!$A$3:$A$2477,$A130),2),AC$1),0)</f>
        <v>1</v>
      </c>
      <c r="AD130">
        <f>IFERROR(COUNTIF(OFFSET('Schedule Raw Data'!$A$2,MATCH($A130,'Schedule Raw Data'!$A$3:$A$2477,0),1,COUNTIF('Schedule Raw Data'!$A$3:$A$2477,$A130),2),AD$1),0)</f>
        <v>1</v>
      </c>
      <c r="AE130">
        <f>IFERROR(COUNTIF(OFFSET('Schedule Raw Data'!$A$2,MATCH($A130,'Schedule Raw Data'!$A$3:$A$2477,0),1,COUNTIF('Schedule Raw Data'!$A$3:$A$2477,$A130),2),AE$1),0)</f>
        <v>0</v>
      </c>
      <c r="AF130">
        <f>IFERROR(COUNTIF(OFFSET('Schedule Raw Data'!$A$2,MATCH($A130,'Schedule Raw Data'!$A$3:$A$2477,0),1,COUNTIF('Schedule Raw Data'!$A$3:$A$2477,$A130),2),AF$1),0)</f>
        <v>1</v>
      </c>
      <c r="AG130">
        <f t="shared" si="1"/>
        <v>7</v>
      </c>
    </row>
    <row r="131">
      <c r="A131" s="30">
        <f t="array" ref="A131">INDEX('Schedule Raw Data'!$A$3:$A$2477,MATCH(0,INDEX(COUNTIF($A$1:A130,'Schedule Raw Data'!$A$3:$A$2477),0,0),0))</f>
        <v>46461</v>
      </c>
      <c r="B131">
        <f t="shared" si="2"/>
        <v>20</v>
      </c>
      <c r="C131">
        <f>IFERROR(COUNTIF(OFFSET('Schedule Raw Data'!$A$2,MATCH($A131,'Schedule Raw Data'!$A$3:$A$2477,0),1,COUNTIF('Schedule Raw Data'!$A$3:$A$2477,$A131),2),C$1),0)</f>
        <v>1</v>
      </c>
      <c r="D131">
        <f>IFERROR(COUNTIF(OFFSET('Schedule Raw Data'!$A$2,MATCH($A131,'Schedule Raw Data'!$A$3:$A$2477,0),1,COUNTIF('Schedule Raw Data'!$A$3:$A$2477,$A131),2),D$1),0)</f>
        <v>1</v>
      </c>
      <c r="E131">
        <f>IFERROR(COUNTIF(OFFSET('Schedule Raw Data'!$A$2,MATCH($A131,'Schedule Raw Data'!$A$3:$A$2477,0),1,COUNTIF('Schedule Raw Data'!$A$3:$A$2477,$A131),2),E$1),0)</f>
        <v>0</v>
      </c>
      <c r="F131">
        <f>IFERROR(COUNTIF(OFFSET('Schedule Raw Data'!$A$2,MATCH($A131,'Schedule Raw Data'!$A$3:$A$2477,0),1,COUNTIF('Schedule Raw Data'!$A$3:$A$2477,$A131),2),F$1),0)</f>
        <v>0</v>
      </c>
      <c r="G131">
        <f>IFERROR(COUNTIF(OFFSET('Schedule Raw Data'!$A$2,MATCH($A131,'Schedule Raw Data'!$A$3:$A$2477,0),1,COUNTIF('Schedule Raw Data'!$A$3:$A$2477,$A131),2),G$1),0)</f>
        <v>1</v>
      </c>
      <c r="H131">
        <f>IFERROR(COUNTIF(OFFSET('Schedule Raw Data'!$A$2,MATCH($A131,'Schedule Raw Data'!$A$3:$A$2477,0),1,COUNTIF('Schedule Raw Data'!$A$3:$A$2477,$A131),2),H$1),0)</f>
        <v>0</v>
      </c>
      <c r="I131">
        <f>IFERROR(COUNTIF(OFFSET('Schedule Raw Data'!$A$2,MATCH($A131,'Schedule Raw Data'!$A$3:$A$2477,0),1,COUNTIF('Schedule Raw Data'!$A$3:$A$2477,$A131),2),I$1),0)</f>
        <v>1</v>
      </c>
      <c r="J131">
        <f>IFERROR(COUNTIF(OFFSET('Schedule Raw Data'!$A$2,MATCH($A131,'Schedule Raw Data'!$A$3:$A$2477,0),1,COUNTIF('Schedule Raw Data'!$A$3:$A$2477,$A131),2),J$1),0)</f>
        <v>0</v>
      </c>
      <c r="K131">
        <f>IFERROR(COUNTIF(OFFSET('Schedule Raw Data'!$A$2,MATCH($A131,'Schedule Raw Data'!$A$3:$A$2477,0),1,COUNTIF('Schedule Raw Data'!$A$3:$A$2477,$A131),2),K$1),0)</f>
        <v>0</v>
      </c>
      <c r="L131">
        <f>IFERROR(COUNTIF(OFFSET('Schedule Raw Data'!$A$2,MATCH($A131,'Schedule Raw Data'!$A$3:$A$2477,0),1,COUNTIF('Schedule Raw Data'!$A$3:$A$2477,$A131),2),L$1),0)</f>
        <v>0</v>
      </c>
      <c r="M131">
        <f>IFERROR(COUNTIF(OFFSET('Schedule Raw Data'!$A$2,MATCH($A131,'Schedule Raw Data'!$A$3:$A$2477,0),1,COUNTIF('Schedule Raw Data'!$A$3:$A$2477,$A131),2),M$1),0)</f>
        <v>0</v>
      </c>
      <c r="N131">
        <f>IFERROR(COUNTIF(OFFSET('Schedule Raw Data'!$A$2,MATCH($A131,'Schedule Raw Data'!$A$3:$A$2477,0),1,COUNTIF('Schedule Raw Data'!$A$3:$A$2477,$A131),2),N$1),0)</f>
        <v>1</v>
      </c>
      <c r="O131">
        <f>IFERROR(COUNTIF(OFFSET('Schedule Raw Data'!$A$2,MATCH($A131,'Schedule Raw Data'!$A$3:$A$2477,0),1,COUNTIF('Schedule Raw Data'!$A$3:$A$2477,$A131),2),O$1),0)</f>
        <v>0</v>
      </c>
      <c r="P131">
        <f>IFERROR(COUNTIF(OFFSET('Schedule Raw Data'!$A$2,MATCH($A131,'Schedule Raw Data'!$A$3:$A$2477,0),1,COUNTIF('Schedule Raw Data'!$A$3:$A$2477,$A131),2),P$1),0)</f>
        <v>0</v>
      </c>
      <c r="Q131">
        <f>IFERROR(COUNTIF(OFFSET('Schedule Raw Data'!$A$2,MATCH($A131,'Schedule Raw Data'!$A$3:$A$2477,0),1,COUNTIF('Schedule Raw Data'!$A$3:$A$2477,$A131),2),Q$1),0)</f>
        <v>1</v>
      </c>
      <c r="R131">
        <f>IFERROR(COUNTIF(OFFSET('Schedule Raw Data'!$A$2,MATCH($A131,'Schedule Raw Data'!$A$3:$A$2477,0),1,COUNTIF('Schedule Raw Data'!$A$3:$A$2477,$A131),2),R$1),0)</f>
        <v>0</v>
      </c>
      <c r="S131">
        <f>IFERROR(COUNTIF(OFFSET('Schedule Raw Data'!$A$2,MATCH($A131,'Schedule Raw Data'!$A$3:$A$2477,0),1,COUNTIF('Schedule Raw Data'!$A$3:$A$2477,$A131),2),S$1),0)</f>
        <v>0</v>
      </c>
      <c r="T131">
        <f>IFERROR(COUNTIF(OFFSET('Schedule Raw Data'!$A$2,MATCH($A131,'Schedule Raw Data'!$A$3:$A$2477,0),1,COUNTIF('Schedule Raw Data'!$A$3:$A$2477,$A131),2),T$1),0)</f>
        <v>0</v>
      </c>
      <c r="U131">
        <f>IFERROR(COUNTIF(OFFSET('Schedule Raw Data'!$A$2,MATCH($A131,'Schedule Raw Data'!$A$3:$A$2477,0),1,COUNTIF('Schedule Raw Data'!$A$3:$A$2477,$A131),2),U$1),0)</f>
        <v>0</v>
      </c>
      <c r="V131">
        <f>IFERROR(COUNTIF(OFFSET('Schedule Raw Data'!$A$2,MATCH($A131,'Schedule Raw Data'!$A$3:$A$2477,0),1,COUNTIF('Schedule Raw Data'!$A$3:$A$2477,$A131),2),V$1),0)</f>
        <v>0</v>
      </c>
      <c r="W131">
        <f>IFERROR(COUNTIF(OFFSET('Schedule Raw Data'!$A$2,MATCH($A131,'Schedule Raw Data'!$A$3:$A$2477,0),1,COUNTIF('Schedule Raw Data'!$A$3:$A$2477,$A131),2),W$1),0)</f>
        <v>0</v>
      </c>
      <c r="X131">
        <f>IFERROR(COUNTIF(OFFSET('Schedule Raw Data'!$A$2,MATCH($A131,'Schedule Raw Data'!$A$3:$A$2477,0),1,COUNTIF('Schedule Raw Data'!$A$3:$A$2477,$A131),2),X$1),0)</f>
        <v>1</v>
      </c>
      <c r="Y131">
        <f>IFERROR(COUNTIF(OFFSET('Schedule Raw Data'!$A$2,MATCH($A131,'Schedule Raw Data'!$A$3:$A$2477,0),1,COUNTIF('Schedule Raw Data'!$A$3:$A$2477,$A131),2),Y$1),0)</f>
        <v>1</v>
      </c>
      <c r="Z131">
        <f>IFERROR(COUNTIF(OFFSET('Schedule Raw Data'!$A$2,MATCH($A131,'Schedule Raw Data'!$A$3:$A$2477,0),1,COUNTIF('Schedule Raw Data'!$A$3:$A$2477,$A131),2),Z$1),0)</f>
        <v>1</v>
      </c>
      <c r="AA131">
        <f>IFERROR(COUNTIF(OFFSET('Schedule Raw Data'!$A$2,MATCH($A131,'Schedule Raw Data'!$A$3:$A$2477,0),1,COUNTIF('Schedule Raw Data'!$A$3:$A$2477,$A131),2),AA$1),0)</f>
        <v>0</v>
      </c>
      <c r="AB131">
        <f>IFERROR(COUNTIF(OFFSET('Schedule Raw Data'!$A$2,MATCH($A131,'Schedule Raw Data'!$A$3:$A$2477,0),1,COUNTIF('Schedule Raw Data'!$A$3:$A$2477,$A131),2),AB$1),0)</f>
        <v>0</v>
      </c>
      <c r="AC131">
        <f>IFERROR(COUNTIF(OFFSET('Schedule Raw Data'!$A$2,MATCH($A131,'Schedule Raw Data'!$A$3:$A$2477,0),1,COUNTIF('Schedule Raw Data'!$A$3:$A$2477,$A131),2),AC$1),0)</f>
        <v>0</v>
      </c>
      <c r="AD131">
        <f>IFERROR(COUNTIF(OFFSET('Schedule Raw Data'!$A$2,MATCH($A131,'Schedule Raw Data'!$A$3:$A$2477,0),1,COUNTIF('Schedule Raw Data'!$A$3:$A$2477,$A131),2),AD$1),0)</f>
        <v>1</v>
      </c>
      <c r="AE131">
        <f>IFERROR(COUNTIF(OFFSET('Schedule Raw Data'!$A$2,MATCH($A131,'Schedule Raw Data'!$A$3:$A$2477,0),1,COUNTIF('Schedule Raw Data'!$A$3:$A$2477,$A131),2),AE$1),0)</f>
        <v>0</v>
      </c>
      <c r="AF131">
        <f>IFERROR(COUNTIF(OFFSET('Schedule Raw Data'!$A$2,MATCH($A131,'Schedule Raw Data'!$A$3:$A$2477,0),1,COUNTIF('Schedule Raw Data'!$A$3:$A$2477,$A131),2),AF$1),0)</f>
        <v>0</v>
      </c>
      <c r="AG131">
        <f t="shared" si="1"/>
        <v>5</v>
      </c>
    </row>
    <row r="132">
      <c r="A132" s="30">
        <f t="array" ref="A132">INDEX('Schedule Raw Data'!$A$3:$A$2477,MATCH(0,INDEX(COUNTIF($A$1:A131,'Schedule Raw Data'!$A$3:$A$2477),0,0),0))</f>
        <v>46462</v>
      </c>
      <c r="B132">
        <f t="shared" si="2"/>
        <v>20</v>
      </c>
      <c r="C132">
        <f>IFERROR(COUNTIF(OFFSET('Schedule Raw Data'!$A$2,MATCH($A132,'Schedule Raw Data'!$A$3:$A$2477,0),1,COUNTIF('Schedule Raw Data'!$A$3:$A$2477,$A132),2),C$1),0)</f>
        <v>0</v>
      </c>
      <c r="D132">
        <f>IFERROR(COUNTIF(OFFSET('Schedule Raw Data'!$A$2,MATCH($A132,'Schedule Raw Data'!$A$3:$A$2477,0),1,COUNTIF('Schedule Raw Data'!$A$3:$A$2477,$A132),2),D$1),0)</f>
        <v>0</v>
      </c>
      <c r="E132">
        <f>IFERROR(COUNTIF(OFFSET('Schedule Raw Data'!$A$2,MATCH($A132,'Schedule Raw Data'!$A$3:$A$2477,0),1,COUNTIF('Schedule Raw Data'!$A$3:$A$2477,$A132),2),E$1),0)</f>
        <v>1</v>
      </c>
      <c r="F132">
        <f>IFERROR(COUNTIF(OFFSET('Schedule Raw Data'!$A$2,MATCH($A132,'Schedule Raw Data'!$A$3:$A$2477,0),1,COUNTIF('Schedule Raw Data'!$A$3:$A$2477,$A132),2),F$1),0)</f>
        <v>1</v>
      </c>
      <c r="G132">
        <f>IFERROR(COUNTIF(OFFSET('Schedule Raw Data'!$A$2,MATCH($A132,'Schedule Raw Data'!$A$3:$A$2477,0),1,COUNTIF('Schedule Raw Data'!$A$3:$A$2477,$A132),2),G$1),0)</f>
        <v>0</v>
      </c>
      <c r="H132">
        <f>IFERROR(COUNTIF(OFFSET('Schedule Raw Data'!$A$2,MATCH($A132,'Schedule Raw Data'!$A$3:$A$2477,0),1,COUNTIF('Schedule Raw Data'!$A$3:$A$2477,$A132),2),H$1),0)</f>
        <v>1</v>
      </c>
      <c r="I132">
        <f>IFERROR(COUNTIF(OFFSET('Schedule Raw Data'!$A$2,MATCH($A132,'Schedule Raw Data'!$A$3:$A$2477,0),1,COUNTIF('Schedule Raw Data'!$A$3:$A$2477,$A132),2),I$1),0)</f>
        <v>0</v>
      </c>
      <c r="J132">
        <f>IFERROR(COUNTIF(OFFSET('Schedule Raw Data'!$A$2,MATCH($A132,'Schedule Raw Data'!$A$3:$A$2477,0),1,COUNTIF('Schedule Raw Data'!$A$3:$A$2477,$A132),2),J$1),0)</f>
        <v>1</v>
      </c>
      <c r="K132">
        <f>IFERROR(COUNTIF(OFFSET('Schedule Raw Data'!$A$2,MATCH($A132,'Schedule Raw Data'!$A$3:$A$2477,0),1,COUNTIF('Schedule Raw Data'!$A$3:$A$2477,$A132),2),K$1),0)</f>
        <v>1</v>
      </c>
      <c r="L132">
        <f>IFERROR(COUNTIF(OFFSET('Schedule Raw Data'!$A$2,MATCH($A132,'Schedule Raw Data'!$A$3:$A$2477,0),1,COUNTIF('Schedule Raw Data'!$A$3:$A$2477,$A132),2),L$1),0)</f>
        <v>1</v>
      </c>
      <c r="M132">
        <f>IFERROR(COUNTIF(OFFSET('Schedule Raw Data'!$A$2,MATCH($A132,'Schedule Raw Data'!$A$3:$A$2477,0),1,COUNTIF('Schedule Raw Data'!$A$3:$A$2477,$A132),2),M$1),0)</f>
        <v>1</v>
      </c>
      <c r="N132">
        <f>IFERROR(COUNTIF(OFFSET('Schedule Raw Data'!$A$2,MATCH($A132,'Schedule Raw Data'!$A$3:$A$2477,0),1,COUNTIF('Schedule Raw Data'!$A$3:$A$2477,$A132),2),N$1),0)</f>
        <v>1</v>
      </c>
      <c r="O132">
        <f>IFERROR(COUNTIF(OFFSET('Schedule Raw Data'!$A$2,MATCH($A132,'Schedule Raw Data'!$A$3:$A$2477,0),1,COUNTIF('Schedule Raw Data'!$A$3:$A$2477,$A132),2),O$1),0)</f>
        <v>1</v>
      </c>
      <c r="P132">
        <f>IFERROR(COUNTIF(OFFSET('Schedule Raw Data'!$A$2,MATCH($A132,'Schedule Raw Data'!$A$3:$A$2477,0),1,COUNTIF('Schedule Raw Data'!$A$3:$A$2477,$A132),2),P$1),0)</f>
        <v>1</v>
      </c>
      <c r="Q132">
        <f>IFERROR(COUNTIF(OFFSET('Schedule Raw Data'!$A$2,MATCH($A132,'Schedule Raw Data'!$A$3:$A$2477,0),1,COUNTIF('Schedule Raw Data'!$A$3:$A$2477,$A132),2),Q$1),0)</f>
        <v>0</v>
      </c>
      <c r="R132">
        <f>IFERROR(COUNTIF(OFFSET('Schedule Raw Data'!$A$2,MATCH($A132,'Schedule Raw Data'!$A$3:$A$2477,0),1,COUNTIF('Schedule Raw Data'!$A$3:$A$2477,$A132),2),R$1),0)</f>
        <v>0</v>
      </c>
      <c r="S132">
        <f>IFERROR(COUNTIF(OFFSET('Schedule Raw Data'!$A$2,MATCH($A132,'Schedule Raw Data'!$A$3:$A$2477,0),1,COUNTIF('Schedule Raw Data'!$A$3:$A$2477,$A132),2),S$1),0)</f>
        <v>1</v>
      </c>
      <c r="T132">
        <f>IFERROR(COUNTIF(OFFSET('Schedule Raw Data'!$A$2,MATCH($A132,'Schedule Raw Data'!$A$3:$A$2477,0),1,COUNTIF('Schedule Raw Data'!$A$3:$A$2477,$A132),2),T$1),0)</f>
        <v>1</v>
      </c>
      <c r="U132">
        <f>IFERROR(COUNTIF(OFFSET('Schedule Raw Data'!$A$2,MATCH($A132,'Schedule Raw Data'!$A$3:$A$2477,0),1,COUNTIF('Schedule Raw Data'!$A$3:$A$2477,$A132),2),U$1),0)</f>
        <v>1</v>
      </c>
      <c r="V132">
        <f>IFERROR(COUNTIF(OFFSET('Schedule Raw Data'!$A$2,MATCH($A132,'Schedule Raw Data'!$A$3:$A$2477,0),1,COUNTIF('Schedule Raw Data'!$A$3:$A$2477,$A132),2),V$1),0)</f>
        <v>1</v>
      </c>
      <c r="W132">
        <f>IFERROR(COUNTIF(OFFSET('Schedule Raw Data'!$A$2,MATCH($A132,'Schedule Raw Data'!$A$3:$A$2477,0),1,COUNTIF('Schedule Raw Data'!$A$3:$A$2477,$A132),2),W$1),0)</f>
        <v>1</v>
      </c>
      <c r="X132">
        <f>IFERROR(COUNTIF(OFFSET('Schedule Raw Data'!$A$2,MATCH($A132,'Schedule Raw Data'!$A$3:$A$2477,0),1,COUNTIF('Schedule Raw Data'!$A$3:$A$2477,$A132),2),X$1),0)</f>
        <v>1</v>
      </c>
      <c r="Y132">
        <f>IFERROR(COUNTIF(OFFSET('Schedule Raw Data'!$A$2,MATCH($A132,'Schedule Raw Data'!$A$3:$A$2477,0),1,COUNTIF('Schedule Raw Data'!$A$3:$A$2477,$A132),2),Y$1),0)</f>
        <v>0</v>
      </c>
      <c r="Z132">
        <f>IFERROR(COUNTIF(OFFSET('Schedule Raw Data'!$A$2,MATCH($A132,'Schedule Raw Data'!$A$3:$A$2477,0),1,COUNTIF('Schedule Raw Data'!$A$3:$A$2477,$A132),2),Z$1),0)</f>
        <v>0</v>
      </c>
      <c r="AA132">
        <f>IFERROR(COUNTIF(OFFSET('Schedule Raw Data'!$A$2,MATCH($A132,'Schedule Raw Data'!$A$3:$A$2477,0),1,COUNTIF('Schedule Raw Data'!$A$3:$A$2477,$A132),2),AA$1),0)</f>
        <v>1</v>
      </c>
      <c r="AB132">
        <f>IFERROR(COUNTIF(OFFSET('Schedule Raw Data'!$A$2,MATCH($A132,'Schedule Raw Data'!$A$3:$A$2477,0),1,COUNTIF('Schedule Raw Data'!$A$3:$A$2477,$A132),2),AB$1),0)</f>
        <v>1</v>
      </c>
      <c r="AC132">
        <f>IFERROR(COUNTIF(OFFSET('Schedule Raw Data'!$A$2,MATCH($A132,'Schedule Raw Data'!$A$3:$A$2477,0),1,COUNTIF('Schedule Raw Data'!$A$3:$A$2477,$A132),2),AC$1),0)</f>
        <v>1</v>
      </c>
      <c r="AD132">
        <f>IFERROR(COUNTIF(OFFSET('Schedule Raw Data'!$A$2,MATCH($A132,'Schedule Raw Data'!$A$3:$A$2477,0),1,COUNTIF('Schedule Raw Data'!$A$3:$A$2477,$A132),2),AD$1),0)</f>
        <v>0</v>
      </c>
      <c r="AE132">
        <f>IFERROR(COUNTIF(OFFSET('Schedule Raw Data'!$A$2,MATCH($A132,'Schedule Raw Data'!$A$3:$A$2477,0),1,COUNTIF('Schedule Raw Data'!$A$3:$A$2477,$A132),2),AE$1),0)</f>
        <v>0</v>
      </c>
      <c r="AF132">
        <f>IFERROR(COUNTIF(OFFSET('Schedule Raw Data'!$A$2,MATCH($A132,'Schedule Raw Data'!$A$3:$A$2477,0),1,COUNTIF('Schedule Raw Data'!$A$3:$A$2477,$A132),2),AF$1),0)</f>
        <v>1</v>
      </c>
      <c r="AG132">
        <f t="shared" si="1"/>
        <v>10</v>
      </c>
    </row>
    <row r="133">
      <c r="A133" s="30">
        <f t="array" ref="A133">INDEX('Schedule Raw Data'!$A$3:$A$2477,MATCH(0,INDEX(COUNTIF($A$1:A132,'Schedule Raw Data'!$A$3:$A$2477),0,0),0))</f>
        <v>46463</v>
      </c>
      <c r="B133">
        <f t="shared" si="2"/>
        <v>20</v>
      </c>
      <c r="C133">
        <f>IFERROR(COUNTIF(OFFSET('Schedule Raw Data'!$A$2,MATCH($A133,'Schedule Raw Data'!$A$3:$A$2477,0),1,COUNTIF('Schedule Raw Data'!$A$3:$A$2477,$A133),2),C$1),0)</f>
        <v>1</v>
      </c>
      <c r="D133">
        <f>IFERROR(COUNTIF(OFFSET('Schedule Raw Data'!$A$2,MATCH($A133,'Schedule Raw Data'!$A$3:$A$2477,0),1,COUNTIF('Schedule Raw Data'!$A$3:$A$2477,$A133),2),D$1),0)</f>
        <v>1</v>
      </c>
      <c r="E133">
        <f>IFERROR(COUNTIF(OFFSET('Schedule Raw Data'!$A$2,MATCH($A133,'Schedule Raw Data'!$A$3:$A$2477,0),1,COUNTIF('Schedule Raw Data'!$A$3:$A$2477,$A133),2),E$1),0)</f>
        <v>0</v>
      </c>
      <c r="F133">
        <f>IFERROR(COUNTIF(OFFSET('Schedule Raw Data'!$A$2,MATCH($A133,'Schedule Raw Data'!$A$3:$A$2477,0),1,COUNTIF('Schedule Raw Data'!$A$3:$A$2477,$A133),2),F$1),0)</f>
        <v>0</v>
      </c>
      <c r="G133">
        <f>IFERROR(COUNTIF(OFFSET('Schedule Raw Data'!$A$2,MATCH($A133,'Schedule Raw Data'!$A$3:$A$2477,0),1,COUNTIF('Schedule Raw Data'!$A$3:$A$2477,$A133),2),G$1),0)</f>
        <v>1</v>
      </c>
      <c r="H133">
        <f>IFERROR(COUNTIF(OFFSET('Schedule Raw Data'!$A$2,MATCH($A133,'Schedule Raw Data'!$A$3:$A$2477,0),1,COUNTIF('Schedule Raw Data'!$A$3:$A$2477,$A133),2),H$1),0)</f>
        <v>0</v>
      </c>
      <c r="I133">
        <f>IFERROR(COUNTIF(OFFSET('Schedule Raw Data'!$A$2,MATCH($A133,'Schedule Raw Data'!$A$3:$A$2477,0),1,COUNTIF('Schedule Raw Data'!$A$3:$A$2477,$A133),2),I$1),0)</f>
        <v>1</v>
      </c>
      <c r="J133">
        <f>IFERROR(COUNTIF(OFFSET('Schedule Raw Data'!$A$2,MATCH($A133,'Schedule Raw Data'!$A$3:$A$2477,0),1,COUNTIF('Schedule Raw Data'!$A$3:$A$2477,$A133),2),J$1),0)</f>
        <v>0</v>
      </c>
      <c r="K133">
        <f>IFERROR(COUNTIF(OFFSET('Schedule Raw Data'!$A$2,MATCH($A133,'Schedule Raw Data'!$A$3:$A$2477,0),1,COUNTIF('Schedule Raw Data'!$A$3:$A$2477,$A133),2),K$1),0)</f>
        <v>0</v>
      </c>
      <c r="L133">
        <f>IFERROR(COUNTIF(OFFSET('Schedule Raw Data'!$A$2,MATCH($A133,'Schedule Raw Data'!$A$3:$A$2477,0),1,COUNTIF('Schedule Raw Data'!$A$3:$A$2477,$A133),2),L$1),0)</f>
        <v>1</v>
      </c>
      <c r="M133">
        <f>IFERROR(COUNTIF(OFFSET('Schedule Raw Data'!$A$2,MATCH($A133,'Schedule Raw Data'!$A$3:$A$2477,0),1,COUNTIF('Schedule Raw Data'!$A$3:$A$2477,$A133),2),M$1),0)</f>
        <v>1</v>
      </c>
      <c r="N133">
        <f>IFERROR(COUNTIF(OFFSET('Schedule Raw Data'!$A$2,MATCH($A133,'Schedule Raw Data'!$A$3:$A$2477,0),1,COUNTIF('Schedule Raw Data'!$A$3:$A$2477,$A133),2),N$1),0)</f>
        <v>0</v>
      </c>
      <c r="O133">
        <f>IFERROR(COUNTIF(OFFSET('Schedule Raw Data'!$A$2,MATCH($A133,'Schedule Raw Data'!$A$3:$A$2477,0),1,COUNTIF('Schedule Raw Data'!$A$3:$A$2477,$A133),2),O$1),0)</f>
        <v>0</v>
      </c>
      <c r="P133">
        <f>IFERROR(COUNTIF(OFFSET('Schedule Raw Data'!$A$2,MATCH($A133,'Schedule Raw Data'!$A$3:$A$2477,0),1,COUNTIF('Schedule Raw Data'!$A$3:$A$2477,$A133),2),P$1),0)</f>
        <v>1</v>
      </c>
      <c r="Q133">
        <f>IFERROR(COUNTIF(OFFSET('Schedule Raw Data'!$A$2,MATCH($A133,'Schedule Raw Data'!$A$3:$A$2477,0),1,COUNTIF('Schedule Raw Data'!$A$3:$A$2477,$A133),2),Q$1),0)</f>
        <v>1</v>
      </c>
      <c r="R133">
        <f>IFERROR(COUNTIF(OFFSET('Schedule Raw Data'!$A$2,MATCH($A133,'Schedule Raw Data'!$A$3:$A$2477,0),1,COUNTIF('Schedule Raw Data'!$A$3:$A$2477,$A133),2),R$1),0)</f>
        <v>1</v>
      </c>
      <c r="S133">
        <f>IFERROR(COUNTIF(OFFSET('Schedule Raw Data'!$A$2,MATCH($A133,'Schedule Raw Data'!$A$3:$A$2477,0),1,COUNTIF('Schedule Raw Data'!$A$3:$A$2477,$A133),2),S$1),0)</f>
        <v>0</v>
      </c>
      <c r="T133">
        <f>IFERROR(COUNTIF(OFFSET('Schedule Raw Data'!$A$2,MATCH($A133,'Schedule Raw Data'!$A$3:$A$2477,0),1,COUNTIF('Schedule Raw Data'!$A$3:$A$2477,$A133),2),T$1),0)</f>
        <v>0</v>
      </c>
      <c r="U133">
        <f>IFERROR(COUNTIF(OFFSET('Schedule Raw Data'!$A$2,MATCH($A133,'Schedule Raw Data'!$A$3:$A$2477,0),1,COUNTIF('Schedule Raw Data'!$A$3:$A$2477,$A133),2),U$1),0)</f>
        <v>0</v>
      </c>
      <c r="V133">
        <f>IFERROR(COUNTIF(OFFSET('Schedule Raw Data'!$A$2,MATCH($A133,'Schedule Raw Data'!$A$3:$A$2477,0),1,COUNTIF('Schedule Raw Data'!$A$3:$A$2477,$A133),2),V$1),0)</f>
        <v>1</v>
      </c>
      <c r="W133">
        <f>IFERROR(COUNTIF(OFFSET('Schedule Raw Data'!$A$2,MATCH($A133,'Schedule Raw Data'!$A$3:$A$2477,0),1,COUNTIF('Schedule Raw Data'!$A$3:$A$2477,$A133),2),W$1),0)</f>
        <v>1</v>
      </c>
      <c r="X133">
        <f>IFERROR(COUNTIF(OFFSET('Schedule Raw Data'!$A$2,MATCH($A133,'Schedule Raw Data'!$A$3:$A$2477,0),1,COUNTIF('Schedule Raw Data'!$A$3:$A$2477,$A133),2),X$1),0)</f>
        <v>0</v>
      </c>
      <c r="Y133">
        <f>IFERROR(COUNTIF(OFFSET('Schedule Raw Data'!$A$2,MATCH($A133,'Schedule Raw Data'!$A$3:$A$2477,0),1,COUNTIF('Schedule Raw Data'!$A$3:$A$2477,$A133),2),Y$1),0)</f>
        <v>1</v>
      </c>
      <c r="Z133">
        <f>IFERROR(COUNTIF(OFFSET('Schedule Raw Data'!$A$2,MATCH($A133,'Schedule Raw Data'!$A$3:$A$2477,0),1,COUNTIF('Schedule Raw Data'!$A$3:$A$2477,$A133),2),Z$1),0)</f>
        <v>1</v>
      </c>
      <c r="AA133">
        <f>IFERROR(COUNTIF(OFFSET('Schedule Raw Data'!$A$2,MATCH($A133,'Schedule Raw Data'!$A$3:$A$2477,0),1,COUNTIF('Schedule Raw Data'!$A$3:$A$2477,$A133),2),AA$1),0)</f>
        <v>1</v>
      </c>
      <c r="AB133">
        <f>IFERROR(COUNTIF(OFFSET('Schedule Raw Data'!$A$2,MATCH($A133,'Schedule Raw Data'!$A$3:$A$2477,0),1,COUNTIF('Schedule Raw Data'!$A$3:$A$2477,$A133),2),AB$1),0)</f>
        <v>1</v>
      </c>
      <c r="AC133">
        <f>IFERROR(COUNTIF(OFFSET('Schedule Raw Data'!$A$2,MATCH($A133,'Schedule Raw Data'!$A$3:$A$2477,0),1,COUNTIF('Schedule Raw Data'!$A$3:$A$2477,$A133),2),AC$1),0)</f>
        <v>0</v>
      </c>
      <c r="AD133">
        <f>IFERROR(COUNTIF(OFFSET('Schedule Raw Data'!$A$2,MATCH($A133,'Schedule Raw Data'!$A$3:$A$2477,0),1,COUNTIF('Schedule Raw Data'!$A$3:$A$2477,$A133),2),AD$1),0)</f>
        <v>0</v>
      </c>
      <c r="AE133">
        <f>IFERROR(COUNTIF(OFFSET('Schedule Raw Data'!$A$2,MATCH($A133,'Schedule Raw Data'!$A$3:$A$2477,0),1,COUNTIF('Schedule Raw Data'!$A$3:$A$2477,$A133),2),AE$1),0)</f>
        <v>1</v>
      </c>
      <c r="AF133">
        <f>IFERROR(COUNTIF(OFFSET('Schedule Raw Data'!$A$2,MATCH($A133,'Schedule Raw Data'!$A$3:$A$2477,0),1,COUNTIF('Schedule Raw Data'!$A$3:$A$2477,$A133),2),AF$1),0)</f>
        <v>0</v>
      </c>
      <c r="AG133">
        <f t="shared" si="1"/>
        <v>8</v>
      </c>
    </row>
    <row r="134">
      <c r="A134" s="30">
        <f t="array" ref="A134">INDEX('Schedule Raw Data'!$A$3:$A$2477,MATCH(0,INDEX(COUNTIF($A$1:A133,'Schedule Raw Data'!$A$3:$A$2477),0,0),0))</f>
        <v>46464</v>
      </c>
      <c r="B134">
        <f t="shared" si="2"/>
        <v>20</v>
      </c>
      <c r="C134">
        <f>IFERROR(COUNTIF(OFFSET('Schedule Raw Data'!$A$2,MATCH($A134,'Schedule Raw Data'!$A$3:$A$2477,0),1,COUNTIF('Schedule Raw Data'!$A$3:$A$2477,$A134),2),C$1),0)</f>
        <v>0</v>
      </c>
      <c r="D134">
        <f>IFERROR(COUNTIF(OFFSET('Schedule Raw Data'!$A$2,MATCH($A134,'Schedule Raw Data'!$A$3:$A$2477,0),1,COUNTIF('Schedule Raw Data'!$A$3:$A$2477,$A134),2),D$1),0)</f>
        <v>1</v>
      </c>
      <c r="E134">
        <f>IFERROR(COUNTIF(OFFSET('Schedule Raw Data'!$A$2,MATCH($A134,'Schedule Raw Data'!$A$3:$A$2477,0),1,COUNTIF('Schedule Raw Data'!$A$3:$A$2477,$A134),2),E$1),0)</f>
        <v>1</v>
      </c>
      <c r="F134">
        <f>IFERROR(COUNTIF(OFFSET('Schedule Raw Data'!$A$2,MATCH($A134,'Schedule Raw Data'!$A$3:$A$2477,0),1,COUNTIF('Schedule Raw Data'!$A$3:$A$2477,$A134),2),F$1),0)</f>
        <v>1</v>
      </c>
      <c r="G134">
        <f>IFERROR(COUNTIF(OFFSET('Schedule Raw Data'!$A$2,MATCH($A134,'Schedule Raw Data'!$A$3:$A$2477,0),1,COUNTIF('Schedule Raw Data'!$A$3:$A$2477,$A134),2),G$1),0)</f>
        <v>0</v>
      </c>
      <c r="H134">
        <f>IFERROR(COUNTIF(OFFSET('Schedule Raw Data'!$A$2,MATCH($A134,'Schedule Raw Data'!$A$3:$A$2477,0),1,COUNTIF('Schedule Raw Data'!$A$3:$A$2477,$A134),2),H$1),0)</f>
        <v>1</v>
      </c>
      <c r="I134">
        <f>IFERROR(COUNTIF(OFFSET('Schedule Raw Data'!$A$2,MATCH($A134,'Schedule Raw Data'!$A$3:$A$2477,0),1,COUNTIF('Schedule Raw Data'!$A$3:$A$2477,$A134),2),I$1),0)</f>
        <v>0</v>
      </c>
      <c r="J134">
        <f>IFERROR(COUNTIF(OFFSET('Schedule Raw Data'!$A$2,MATCH($A134,'Schedule Raw Data'!$A$3:$A$2477,0),1,COUNTIF('Schedule Raw Data'!$A$3:$A$2477,$A134),2),J$1),0)</f>
        <v>1</v>
      </c>
      <c r="K134">
        <f>IFERROR(COUNTIF(OFFSET('Schedule Raw Data'!$A$2,MATCH($A134,'Schedule Raw Data'!$A$3:$A$2477,0),1,COUNTIF('Schedule Raw Data'!$A$3:$A$2477,$A134),2),K$1),0)</f>
        <v>1</v>
      </c>
      <c r="L134">
        <f>IFERROR(COUNTIF(OFFSET('Schedule Raw Data'!$A$2,MATCH($A134,'Schedule Raw Data'!$A$3:$A$2477,0),1,COUNTIF('Schedule Raw Data'!$A$3:$A$2477,$A134),2),L$1),0)</f>
        <v>0</v>
      </c>
      <c r="M134">
        <f>IFERROR(COUNTIF(OFFSET('Schedule Raw Data'!$A$2,MATCH($A134,'Schedule Raw Data'!$A$3:$A$2477,0),1,COUNTIF('Schedule Raw Data'!$A$3:$A$2477,$A134),2),M$1),0)</f>
        <v>0</v>
      </c>
      <c r="N134">
        <f>IFERROR(COUNTIF(OFFSET('Schedule Raw Data'!$A$2,MATCH($A134,'Schedule Raw Data'!$A$3:$A$2477,0),1,COUNTIF('Schedule Raw Data'!$A$3:$A$2477,$A134),2),N$1),0)</f>
        <v>1</v>
      </c>
      <c r="O134">
        <f>IFERROR(COUNTIF(OFFSET('Schedule Raw Data'!$A$2,MATCH($A134,'Schedule Raw Data'!$A$3:$A$2477,0),1,COUNTIF('Schedule Raw Data'!$A$3:$A$2477,$A134),2),O$1),0)</f>
        <v>1</v>
      </c>
      <c r="P134">
        <f>IFERROR(COUNTIF(OFFSET('Schedule Raw Data'!$A$2,MATCH($A134,'Schedule Raw Data'!$A$3:$A$2477,0),1,COUNTIF('Schedule Raw Data'!$A$3:$A$2477,$A134),2),P$1),0)</f>
        <v>0</v>
      </c>
      <c r="Q134">
        <f>IFERROR(COUNTIF(OFFSET('Schedule Raw Data'!$A$2,MATCH($A134,'Schedule Raw Data'!$A$3:$A$2477,0),1,COUNTIF('Schedule Raw Data'!$A$3:$A$2477,$A134),2),Q$1),0)</f>
        <v>1</v>
      </c>
      <c r="R134">
        <f>IFERROR(COUNTIF(OFFSET('Schedule Raw Data'!$A$2,MATCH($A134,'Schedule Raw Data'!$A$3:$A$2477,0),1,COUNTIF('Schedule Raw Data'!$A$3:$A$2477,$A134),2),R$1),0)</f>
        <v>0</v>
      </c>
      <c r="S134">
        <f>IFERROR(COUNTIF(OFFSET('Schedule Raw Data'!$A$2,MATCH($A134,'Schedule Raw Data'!$A$3:$A$2477,0),1,COUNTIF('Schedule Raw Data'!$A$3:$A$2477,$A134),2),S$1),0)</f>
        <v>1</v>
      </c>
      <c r="T134">
        <f>IFERROR(COUNTIF(OFFSET('Schedule Raw Data'!$A$2,MATCH($A134,'Schedule Raw Data'!$A$3:$A$2477,0),1,COUNTIF('Schedule Raw Data'!$A$3:$A$2477,$A134),2),T$1),0)</f>
        <v>1</v>
      </c>
      <c r="U134">
        <f>IFERROR(COUNTIF(OFFSET('Schedule Raw Data'!$A$2,MATCH($A134,'Schedule Raw Data'!$A$3:$A$2477,0),1,COUNTIF('Schedule Raw Data'!$A$3:$A$2477,$A134),2),U$1),0)</f>
        <v>1</v>
      </c>
      <c r="V134">
        <f>IFERROR(COUNTIF(OFFSET('Schedule Raw Data'!$A$2,MATCH($A134,'Schedule Raw Data'!$A$3:$A$2477,0),1,COUNTIF('Schedule Raw Data'!$A$3:$A$2477,$A134),2),V$1),0)</f>
        <v>0</v>
      </c>
      <c r="W134">
        <f>IFERROR(COUNTIF(OFFSET('Schedule Raw Data'!$A$2,MATCH($A134,'Schedule Raw Data'!$A$3:$A$2477,0),1,COUNTIF('Schedule Raw Data'!$A$3:$A$2477,$A134),2),W$1),0)</f>
        <v>0</v>
      </c>
      <c r="X134">
        <f>IFERROR(COUNTIF(OFFSET('Schedule Raw Data'!$A$2,MATCH($A134,'Schedule Raw Data'!$A$3:$A$2477,0),1,COUNTIF('Schedule Raw Data'!$A$3:$A$2477,$A134),2),X$1),0)</f>
        <v>1</v>
      </c>
      <c r="Y134">
        <f>IFERROR(COUNTIF(OFFSET('Schedule Raw Data'!$A$2,MATCH($A134,'Schedule Raw Data'!$A$3:$A$2477,0),1,COUNTIF('Schedule Raw Data'!$A$3:$A$2477,$A134),2),Y$1),0)</f>
        <v>1</v>
      </c>
      <c r="Z134">
        <f>IFERROR(COUNTIF(OFFSET('Schedule Raw Data'!$A$2,MATCH($A134,'Schedule Raw Data'!$A$3:$A$2477,0),1,COUNTIF('Schedule Raw Data'!$A$3:$A$2477,$A134),2),Z$1),0)</f>
        <v>0</v>
      </c>
      <c r="AA134">
        <f>IFERROR(COUNTIF(OFFSET('Schedule Raw Data'!$A$2,MATCH($A134,'Schedule Raw Data'!$A$3:$A$2477,0),1,COUNTIF('Schedule Raw Data'!$A$3:$A$2477,$A134),2),AA$1),0)</f>
        <v>0</v>
      </c>
      <c r="AB134">
        <f>IFERROR(COUNTIF(OFFSET('Schedule Raw Data'!$A$2,MATCH($A134,'Schedule Raw Data'!$A$3:$A$2477,0),1,COUNTIF('Schedule Raw Data'!$A$3:$A$2477,$A134),2),AB$1),0)</f>
        <v>0</v>
      </c>
      <c r="AC134">
        <f>IFERROR(COUNTIF(OFFSET('Schedule Raw Data'!$A$2,MATCH($A134,'Schedule Raw Data'!$A$3:$A$2477,0),1,COUNTIF('Schedule Raw Data'!$A$3:$A$2477,$A134),2),AC$1),0)</f>
        <v>1</v>
      </c>
      <c r="AD134">
        <f>IFERROR(COUNTIF(OFFSET('Schedule Raw Data'!$A$2,MATCH($A134,'Schedule Raw Data'!$A$3:$A$2477,0),1,COUNTIF('Schedule Raw Data'!$A$3:$A$2477,$A134),2),AD$1),0)</f>
        <v>1</v>
      </c>
      <c r="AE134">
        <f>IFERROR(COUNTIF(OFFSET('Schedule Raw Data'!$A$2,MATCH($A134,'Schedule Raw Data'!$A$3:$A$2477,0),1,COUNTIF('Schedule Raw Data'!$A$3:$A$2477,$A134),2),AE$1),0)</f>
        <v>1</v>
      </c>
      <c r="AF134">
        <f>IFERROR(COUNTIF(OFFSET('Schedule Raw Data'!$A$2,MATCH($A134,'Schedule Raw Data'!$A$3:$A$2477,0),1,COUNTIF('Schedule Raw Data'!$A$3:$A$2477,$A134),2),AF$1),0)</f>
        <v>1</v>
      </c>
      <c r="AG134">
        <f t="shared" si="1"/>
        <v>9</v>
      </c>
    </row>
    <row r="135">
      <c r="A135" s="30">
        <f t="array" ref="A135">INDEX('Schedule Raw Data'!$A$3:$A$2477,MATCH(0,INDEX(COUNTIF($A$1:A134,'Schedule Raw Data'!$A$3:$A$2477),0,0),0))</f>
        <v>46465</v>
      </c>
      <c r="B135">
        <f t="shared" si="2"/>
        <v>20</v>
      </c>
      <c r="C135">
        <f>IFERROR(COUNTIF(OFFSET('Schedule Raw Data'!$A$2,MATCH($A135,'Schedule Raw Data'!$A$3:$A$2477,0),1,COUNTIF('Schedule Raw Data'!$A$3:$A$2477,$A135),2),C$1),0)</f>
        <v>1</v>
      </c>
      <c r="D135">
        <f>IFERROR(COUNTIF(OFFSET('Schedule Raw Data'!$A$2,MATCH($A135,'Schedule Raw Data'!$A$3:$A$2477,0),1,COUNTIF('Schedule Raw Data'!$A$3:$A$2477,$A135),2),D$1),0)</f>
        <v>0</v>
      </c>
      <c r="E135">
        <f>IFERROR(COUNTIF(OFFSET('Schedule Raw Data'!$A$2,MATCH($A135,'Schedule Raw Data'!$A$3:$A$2477,0),1,COUNTIF('Schedule Raw Data'!$A$3:$A$2477,$A135),2),E$1),0)</f>
        <v>0</v>
      </c>
      <c r="F135">
        <f>IFERROR(COUNTIF(OFFSET('Schedule Raw Data'!$A$2,MATCH($A135,'Schedule Raw Data'!$A$3:$A$2477,0),1,COUNTIF('Schedule Raw Data'!$A$3:$A$2477,$A135),2),F$1),0)</f>
        <v>0</v>
      </c>
      <c r="G135">
        <f>IFERROR(COUNTIF(OFFSET('Schedule Raw Data'!$A$2,MATCH($A135,'Schedule Raw Data'!$A$3:$A$2477,0),1,COUNTIF('Schedule Raw Data'!$A$3:$A$2477,$A135),2),G$1),0)</f>
        <v>0</v>
      </c>
      <c r="H135">
        <f>IFERROR(COUNTIF(OFFSET('Schedule Raw Data'!$A$2,MATCH($A135,'Schedule Raw Data'!$A$3:$A$2477,0),1,COUNTIF('Schedule Raw Data'!$A$3:$A$2477,$A135),2),H$1),0)</f>
        <v>0</v>
      </c>
      <c r="I135">
        <f>IFERROR(COUNTIF(OFFSET('Schedule Raw Data'!$A$2,MATCH($A135,'Schedule Raw Data'!$A$3:$A$2477,0),1,COUNTIF('Schedule Raw Data'!$A$3:$A$2477,$A135),2),I$1),0)</f>
        <v>1</v>
      </c>
      <c r="J135">
        <f>IFERROR(COUNTIF(OFFSET('Schedule Raw Data'!$A$2,MATCH($A135,'Schedule Raw Data'!$A$3:$A$2477,0),1,COUNTIF('Schedule Raw Data'!$A$3:$A$2477,$A135),2),J$1),0)</f>
        <v>0</v>
      </c>
      <c r="K135">
        <f>IFERROR(COUNTIF(OFFSET('Schedule Raw Data'!$A$2,MATCH($A135,'Schedule Raw Data'!$A$3:$A$2477,0),1,COUNTIF('Schedule Raw Data'!$A$3:$A$2477,$A135),2),K$1),0)</f>
        <v>0</v>
      </c>
      <c r="L135">
        <f>IFERROR(COUNTIF(OFFSET('Schedule Raw Data'!$A$2,MATCH($A135,'Schedule Raw Data'!$A$3:$A$2477,0),1,COUNTIF('Schedule Raw Data'!$A$3:$A$2477,$A135),2),L$1),0)</f>
        <v>1</v>
      </c>
      <c r="M135">
        <f>IFERROR(COUNTIF(OFFSET('Schedule Raw Data'!$A$2,MATCH($A135,'Schedule Raw Data'!$A$3:$A$2477,0),1,COUNTIF('Schedule Raw Data'!$A$3:$A$2477,$A135),2),M$1),0)</f>
        <v>1</v>
      </c>
      <c r="N135">
        <f>IFERROR(COUNTIF(OFFSET('Schedule Raw Data'!$A$2,MATCH($A135,'Schedule Raw Data'!$A$3:$A$2477,0),1,COUNTIF('Schedule Raw Data'!$A$3:$A$2477,$A135),2),N$1),0)</f>
        <v>0</v>
      </c>
      <c r="O135">
        <f>IFERROR(COUNTIF(OFFSET('Schedule Raw Data'!$A$2,MATCH($A135,'Schedule Raw Data'!$A$3:$A$2477,0),1,COUNTIF('Schedule Raw Data'!$A$3:$A$2477,$A135),2),O$1),0)</f>
        <v>0</v>
      </c>
      <c r="P135">
        <f>IFERROR(COUNTIF(OFFSET('Schedule Raw Data'!$A$2,MATCH($A135,'Schedule Raw Data'!$A$3:$A$2477,0),1,COUNTIF('Schedule Raw Data'!$A$3:$A$2477,$A135),2),P$1),0)</f>
        <v>1</v>
      </c>
      <c r="Q135">
        <f>IFERROR(COUNTIF(OFFSET('Schedule Raw Data'!$A$2,MATCH($A135,'Schedule Raw Data'!$A$3:$A$2477,0),1,COUNTIF('Schedule Raw Data'!$A$3:$A$2477,$A135),2),Q$1),0)</f>
        <v>0</v>
      </c>
      <c r="R135">
        <f>IFERROR(COUNTIF(OFFSET('Schedule Raw Data'!$A$2,MATCH($A135,'Schedule Raw Data'!$A$3:$A$2477,0),1,COUNTIF('Schedule Raw Data'!$A$3:$A$2477,$A135),2),R$1),0)</f>
        <v>1</v>
      </c>
      <c r="S135">
        <f>IFERROR(COUNTIF(OFFSET('Schedule Raw Data'!$A$2,MATCH($A135,'Schedule Raw Data'!$A$3:$A$2477,0),1,COUNTIF('Schedule Raw Data'!$A$3:$A$2477,$A135),2),S$1),0)</f>
        <v>0</v>
      </c>
      <c r="T135">
        <f>IFERROR(COUNTIF(OFFSET('Schedule Raw Data'!$A$2,MATCH($A135,'Schedule Raw Data'!$A$3:$A$2477,0),1,COUNTIF('Schedule Raw Data'!$A$3:$A$2477,$A135),2),T$1),0)</f>
        <v>0</v>
      </c>
      <c r="U135">
        <f>IFERROR(COUNTIF(OFFSET('Schedule Raw Data'!$A$2,MATCH($A135,'Schedule Raw Data'!$A$3:$A$2477,0),1,COUNTIF('Schedule Raw Data'!$A$3:$A$2477,$A135),2),U$1),0)</f>
        <v>1</v>
      </c>
      <c r="V135">
        <f>IFERROR(COUNTIF(OFFSET('Schedule Raw Data'!$A$2,MATCH($A135,'Schedule Raw Data'!$A$3:$A$2477,0),1,COUNTIF('Schedule Raw Data'!$A$3:$A$2477,$A135),2),V$1),0)</f>
        <v>0</v>
      </c>
      <c r="W135">
        <f>IFERROR(COUNTIF(OFFSET('Schedule Raw Data'!$A$2,MATCH($A135,'Schedule Raw Data'!$A$3:$A$2477,0),1,COUNTIF('Schedule Raw Data'!$A$3:$A$2477,$A135),2),W$1),0)</f>
        <v>0</v>
      </c>
      <c r="X135">
        <f>IFERROR(COUNTIF(OFFSET('Schedule Raw Data'!$A$2,MATCH($A135,'Schedule Raw Data'!$A$3:$A$2477,0),1,COUNTIF('Schedule Raw Data'!$A$3:$A$2477,$A135),2),X$1),0)</f>
        <v>0</v>
      </c>
      <c r="Y135">
        <f>IFERROR(COUNTIF(OFFSET('Schedule Raw Data'!$A$2,MATCH($A135,'Schedule Raw Data'!$A$3:$A$2477,0),1,COUNTIF('Schedule Raw Data'!$A$3:$A$2477,$A135),2),Y$1),0)</f>
        <v>0</v>
      </c>
      <c r="Z135">
        <f>IFERROR(COUNTIF(OFFSET('Schedule Raw Data'!$A$2,MATCH($A135,'Schedule Raw Data'!$A$3:$A$2477,0),1,COUNTIF('Schedule Raw Data'!$A$3:$A$2477,$A135),2),Z$1),0)</f>
        <v>1</v>
      </c>
      <c r="AA135">
        <f>IFERROR(COUNTIF(OFFSET('Schedule Raw Data'!$A$2,MATCH($A135,'Schedule Raw Data'!$A$3:$A$2477,0),1,COUNTIF('Schedule Raw Data'!$A$3:$A$2477,$A135),2),AA$1),0)</f>
        <v>1</v>
      </c>
      <c r="AB135">
        <f>IFERROR(COUNTIF(OFFSET('Schedule Raw Data'!$A$2,MATCH($A135,'Schedule Raw Data'!$A$3:$A$2477,0),1,COUNTIF('Schedule Raw Data'!$A$3:$A$2477,$A135),2),AB$1),0)</f>
        <v>1</v>
      </c>
      <c r="AC135">
        <f>IFERROR(COUNTIF(OFFSET('Schedule Raw Data'!$A$2,MATCH($A135,'Schedule Raw Data'!$A$3:$A$2477,0),1,COUNTIF('Schedule Raw Data'!$A$3:$A$2477,$A135),2),AC$1),0)</f>
        <v>1</v>
      </c>
      <c r="AD135">
        <f>IFERROR(COUNTIF(OFFSET('Schedule Raw Data'!$A$2,MATCH($A135,'Schedule Raw Data'!$A$3:$A$2477,0),1,COUNTIF('Schedule Raw Data'!$A$3:$A$2477,$A135),2),AD$1),0)</f>
        <v>1</v>
      </c>
      <c r="AE135">
        <f>IFERROR(COUNTIF(OFFSET('Schedule Raw Data'!$A$2,MATCH($A135,'Schedule Raw Data'!$A$3:$A$2477,0),1,COUNTIF('Schedule Raw Data'!$A$3:$A$2477,$A135),2),AE$1),0)</f>
        <v>0</v>
      </c>
      <c r="AF135">
        <f>IFERROR(COUNTIF(OFFSET('Schedule Raw Data'!$A$2,MATCH($A135,'Schedule Raw Data'!$A$3:$A$2477,0),1,COUNTIF('Schedule Raw Data'!$A$3:$A$2477,$A135),2),AF$1),0)</f>
        <v>0</v>
      </c>
      <c r="AG135">
        <f t="shared" si="1"/>
        <v>6</v>
      </c>
    </row>
    <row r="136">
      <c r="A136" s="30">
        <f t="array" ref="A136">INDEX('Schedule Raw Data'!$A$3:$A$2477,MATCH(0,INDEX(COUNTIF($A$1:A135,'Schedule Raw Data'!$A$3:$A$2477),0,0),0))</f>
        <v>46466</v>
      </c>
      <c r="B136">
        <f t="shared" si="2"/>
        <v>20</v>
      </c>
      <c r="C136">
        <f>IFERROR(COUNTIF(OFFSET('Schedule Raw Data'!$A$2,MATCH($A136,'Schedule Raw Data'!$A$3:$A$2477,0),1,COUNTIF('Schedule Raw Data'!$A$3:$A$2477,$A136),2),C$1),0)</f>
        <v>1</v>
      </c>
      <c r="D136">
        <f>IFERROR(COUNTIF(OFFSET('Schedule Raw Data'!$A$2,MATCH($A136,'Schedule Raw Data'!$A$3:$A$2477,0),1,COUNTIF('Schedule Raw Data'!$A$3:$A$2477,$A136),2),D$1),0)</f>
        <v>0</v>
      </c>
      <c r="E136">
        <f>IFERROR(COUNTIF(OFFSET('Schedule Raw Data'!$A$2,MATCH($A136,'Schedule Raw Data'!$A$3:$A$2477,0),1,COUNTIF('Schedule Raw Data'!$A$3:$A$2477,$A136),2),E$1),0)</f>
        <v>0</v>
      </c>
      <c r="F136">
        <f>IFERROR(COUNTIF(OFFSET('Schedule Raw Data'!$A$2,MATCH($A136,'Schedule Raw Data'!$A$3:$A$2477,0),1,COUNTIF('Schedule Raw Data'!$A$3:$A$2477,$A136),2),F$1),0)</f>
        <v>1</v>
      </c>
      <c r="G136">
        <f>IFERROR(COUNTIF(OFFSET('Schedule Raw Data'!$A$2,MATCH($A136,'Schedule Raw Data'!$A$3:$A$2477,0),1,COUNTIF('Schedule Raw Data'!$A$3:$A$2477,$A136),2),G$1),0)</f>
        <v>1</v>
      </c>
      <c r="H136">
        <f>IFERROR(COUNTIF(OFFSET('Schedule Raw Data'!$A$2,MATCH($A136,'Schedule Raw Data'!$A$3:$A$2477,0),1,COUNTIF('Schedule Raw Data'!$A$3:$A$2477,$A136),2),H$1),0)</f>
        <v>1</v>
      </c>
      <c r="I136">
        <f>IFERROR(COUNTIF(OFFSET('Schedule Raw Data'!$A$2,MATCH($A136,'Schedule Raw Data'!$A$3:$A$2477,0),1,COUNTIF('Schedule Raw Data'!$A$3:$A$2477,$A136),2),I$1),0)</f>
        <v>0</v>
      </c>
      <c r="J136">
        <f>IFERROR(COUNTIF(OFFSET('Schedule Raw Data'!$A$2,MATCH($A136,'Schedule Raw Data'!$A$3:$A$2477,0),1,COUNTIF('Schedule Raw Data'!$A$3:$A$2477,$A136),2),J$1),0)</f>
        <v>1</v>
      </c>
      <c r="K136">
        <f>IFERROR(COUNTIF(OFFSET('Schedule Raw Data'!$A$2,MATCH($A136,'Schedule Raw Data'!$A$3:$A$2477,0),1,COUNTIF('Schedule Raw Data'!$A$3:$A$2477,$A136),2),K$1),0)</f>
        <v>1</v>
      </c>
      <c r="L136">
        <f>IFERROR(COUNTIF(OFFSET('Schedule Raw Data'!$A$2,MATCH($A136,'Schedule Raw Data'!$A$3:$A$2477,0),1,COUNTIF('Schedule Raw Data'!$A$3:$A$2477,$A136),2),L$1),0)</f>
        <v>0</v>
      </c>
      <c r="M136">
        <f>IFERROR(COUNTIF(OFFSET('Schedule Raw Data'!$A$2,MATCH($A136,'Schedule Raw Data'!$A$3:$A$2477,0),1,COUNTIF('Schedule Raw Data'!$A$3:$A$2477,$A136),2),M$1),0)</f>
        <v>0</v>
      </c>
      <c r="N136">
        <f>IFERROR(COUNTIF(OFFSET('Schedule Raw Data'!$A$2,MATCH($A136,'Schedule Raw Data'!$A$3:$A$2477,0),1,COUNTIF('Schedule Raw Data'!$A$3:$A$2477,$A136),2),N$1),0)</f>
        <v>1</v>
      </c>
      <c r="O136">
        <f>IFERROR(COUNTIF(OFFSET('Schedule Raw Data'!$A$2,MATCH($A136,'Schedule Raw Data'!$A$3:$A$2477,0),1,COUNTIF('Schedule Raw Data'!$A$3:$A$2477,$A136),2),O$1),0)</f>
        <v>1</v>
      </c>
      <c r="P136">
        <f>IFERROR(COUNTIF(OFFSET('Schedule Raw Data'!$A$2,MATCH($A136,'Schedule Raw Data'!$A$3:$A$2477,0),1,COUNTIF('Schedule Raw Data'!$A$3:$A$2477,$A136),2),P$1),0)</f>
        <v>0</v>
      </c>
      <c r="Q136">
        <f>IFERROR(COUNTIF(OFFSET('Schedule Raw Data'!$A$2,MATCH($A136,'Schedule Raw Data'!$A$3:$A$2477,0),1,COUNTIF('Schedule Raw Data'!$A$3:$A$2477,$A136),2),Q$1),0)</f>
        <v>1</v>
      </c>
      <c r="R136">
        <f>IFERROR(COUNTIF(OFFSET('Schedule Raw Data'!$A$2,MATCH($A136,'Schedule Raw Data'!$A$3:$A$2477,0),1,COUNTIF('Schedule Raw Data'!$A$3:$A$2477,$A136),2),R$1),0)</f>
        <v>0</v>
      </c>
      <c r="S136">
        <f>IFERROR(COUNTIF(OFFSET('Schedule Raw Data'!$A$2,MATCH($A136,'Schedule Raw Data'!$A$3:$A$2477,0),1,COUNTIF('Schedule Raw Data'!$A$3:$A$2477,$A136),2),S$1),0)</f>
        <v>1</v>
      </c>
      <c r="T136">
        <f>IFERROR(COUNTIF(OFFSET('Schedule Raw Data'!$A$2,MATCH($A136,'Schedule Raw Data'!$A$3:$A$2477,0),1,COUNTIF('Schedule Raw Data'!$A$3:$A$2477,$A136),2),T$1),0)</f>
        <v>0</v>
      </c>
      <c r="U136">
        <f>IFERROR(COUNTIF(OFFSET('Schedule Raw Data'!$A$2,MATCH($A136,'Schedule Raw Data'!$A$3:$A$2477,0),1,COUNTIF('Schedule Raw Data'!$A$3:$A$2477,$A136),2),U$1),0)</f>
        <v>0</v>
      </c>
      <c r="V136">
        <f>IFERROR(COUNTIF(OFFSET('Schedule Raw Data'!$A$2,MATCH($A136,'Schedule Raw Data'!$A$3:$A$2477,0),1,COUNTIF('Schedule Raw Data'!$A$3:$A$2477,$A136),2),V$1),0)</f>
        <v>1</v>
      </c>
      <c r="W136">
        <f>IFERROR(COUNTIF(OFFSET('Schedule Raw Data'!$A$2,MATCH($A136,'Schedule Raw Data'!$A$3:$A$2477,0),1,COUNTIF('Schedule Raw Data'!$A$3:$A$2477,$A136),2),W$1),0)</f>
        <v>1</v>
      </c>
      <c r="X136">
        <f>IFERROR(COUNTIF(OFFSET('Schedule Raw Data'!$A$2,MATCH($A136,'Schedule Raw Data'!$A$3:$A$2477,0),1,COUNTIF('Schedule Raw Data'!$A$3:$A$2477,$A136),2),X$1),0)</f>
        <v>1</v>
      </c>
      <c r="Y136">
        <f>IFERROR(COUNTIF(OFFSET('Schedule Raw Data'!$A$2,MATCH($A136,'Schedule Raw Data'!$A$3:$A$2477,0),1,COUNTIF('Schedule Raw Data'!$A$3:$A$2477,$A136),2),Y$1),0)</f>
        <v>0</v>
      </c>
      <c r="Z136">
        <f>IFERROR(COUNTIF(OFFSET('Schedule Raw Data'!$A$2,MATCH($A136,'Schedule Raw Data'!$A$3:$A$2477,0),1,COUNTIF('Schedule Raw Data'!$A$3:$A$2477,$A136),2),Z$1),0)</f>
        <v>0</v>
      </c>
      <c r="AA136">
        <f>IFERROR(COUNTIF(OFFSET('Schedule Raw Data'!$A$2,MATCH($A136,'Schedule Raw Data'!$A$3:$A$2477,0),1,COUNTIF('Schedule Raw Data'!$A$3:$A$2477,$A136),2),AA$1),0)</f>
        <v>0</v>
      </c>
      <c r="AB136">
        <f>IFERROR(COUNTIF(OFFSET('Schedule Raw Data'!$A$2,MATCH($A136,'Schedule Raw Data'!$A$3:$A$2477,0),1,COUNTIF('Schedule Raw Data'!$A$3:$A$2477,$A136),2),AB$1),0)</f>
        <v>0</v>
      </c>
      <c r="AC136">
        <f>IFERROR(COUNTIF(OFFSET('Schedule Raw Data'!$A$2,MATCH($A136,'Schedule Raw Data'!$A$3:$A$2477,0),1,COUNTIF('Schedule Raw Data'!$A$3:$A$2477,$A136),2),AC$1),0)</f>
        <v>0</v>
      </c>
      <c r="AD136">
        <f>IFERROR(COUNTIF(OFFSET('Schedule Raw Data'!$A$2,MATCH($A136,'Schedule Raw Data'!$A$3:$A$2477,0),1,COUNTIF('Schedule Raw Data'!$A$3:$A$2477,$A136),2),AD$1),0)</f>
        <v>0</v>
      </c>
      <c r="AE136">
        <f>IFERROR(COUNTIF(OFFSET('Schedule Raw Data'!$A$2,MATCH($A136,'Schedule Raw Data'!$A$3:$A$2477,0),1,COUNTIF('Schedule Raw Data'!$A$3:$A$2477,$A136),2),AE$1),0)</f>
        <v>0</v>
      </c>
      <c r="AF136">
        <f>IFERROR(COUNTIF(OFFSET('Schedule Raw Data'!$A$2,MATCH($A136,'Schedule Raw Data'!$A$3:$A$2477,0),1,COUNTIF('Schedule Raw Data'!$A$3:$A$2477,$A136),2),AF$1),0)</f>
        <v>1</v>
      </c>
      <c r="AG136">
        <f t="shared" si="1"/>
        <v>7</v>
      </c>
    </row>
    <row r="137">
      <c r="A137" s="30">
        <f t="array" ref="A137">INDEX('Schedule Raw Data'!$A$3:$A$2477,MATCH(0,INDEX(COUNTIF($A$1:A136,'Schedule Raw Data'!$A$3:$A$2477),0,0),0))</f>
        <v>46467</v>
      </c>
      <c r="B137">
        <f t="shared" si="2"/>
        <v>20</v>
      </c>
      <c r="C137">
        <f>IFERROR(COUNTIF(OFFSET('Schedule Raw Data'!$A$2,MATCH($A137,'Schedule Raw Data'!$A$3:$A$2477,0),1,COUNTIF('Schedule Raw Data'!$A$3:$A$2477,$A137),2),C$1),0)</f>
        <v>0</v>
      </c>
      <c r="D137">
        <f>IFERROR(COUNTIF(OFFSET('Schedule Raw Data'!$A$2,MATCH($A137,'Schedule Raw Data'!$A$3:$A$2477,0),1,COUNTIF('Schedule Raw Data'!$A$3:$A$2477,$A137),2),D$1),0)</f>
        <v>1</v>
      </c>
      <c r="E137">
        <f>IFERROR(COUNTIF(OFFSET('Schedule Raw Data'!$A$2,MATCH($A137,'Schedule Raw Data'!$A$3:$A$2477,0),1,COUNTIF('Schedule Raw Data'!$A$3:$A$2477,$A137),2),E$1),0)</f>
        <v>1</v>
      </c>
      <c r="F137">
        <f>IFERROR(COUNTIF(OFFSET('Schedule Raw Data'!$A$2,MATCH($A137,'Schedule Raw Data'!$A$3:$A$2477,0),1,COUNTIF('Schedule Raw Data'!$A$3:$A$2477,$A137),2),F$1),0)</f>
        <v>0</v>
      </c>
      <c r="G137">
        <f>IFERROR(COUNTIF(OFFSET('Schedule Raw Data'!$A$2,MATCH($A137,'Schedule Raw Data'!$A$3:$A$2477,0),1,COUNTIF('Schedule Raw Data'!$A$3:$A$2477,$A137),2),G$1),0)</f>
        <v>0</v>
      </c>
      <c r="H137">
        <f>IFERROR(COUNTIF(OFFSET('Schedule Raw Data'!$A$2,MATCH($A137,'Schedule Raw Data'!$A$3:$A$2477,0),1,COUNTIF('Schedule Raw Data'!$A$3:$A$2477,$A137),2),H$1),0)</f>
        <v>0</v>
      </c>
      <c r="I137">
        <f>IFERROR(COUNTIF(OFFSET('Schedule Raw Data'!$A$2,MATCH($A137,'Schedule Raw Data'!$A$3:$A$2477,0),1,COUNTIF('Schedule Raw Data'!$A$3:$A$2477,$A137),2),I$1),0)</f>
        <v>1</v>
      </c>
      <c r="J137">
        <f>IFERROR(COUNTIF(OFFSET('Schedule Raw Data'!$A$2,MATCH($A137,'Schedule Raw Data'!$A$3:$A$2477,0),1,COUNTIF('Schedule Raw Data'!$A$3:$A$2477,$A137),2),J$1),0)</f>
        <v>1</v>
      </c>
      <c r="K137">
        <f>IFERROR(COUNTIF(OFFSET('Schedule Raw Data'!$A$2,MATCH($A137,'Schedule Raw Data'!$A$3:$A$2477,0),1,COUNTIF('Schedule Raw Data'!$A$3:$A$2477,$A137),2),K$1),0)</f>
        <v>0</v>
      </c>
      <c r="L137">
        <f>IFERROR(COUNTIF(OFFSET('Schedule Raw Data'!$A$2,MATCH($A137,'Schedule Raw Data'!$A$3:$A$2477,0),1,COUNTIF('Schedule Raw Data'!$A$3:$A$2477,$A137),2),L$1),0)</f>
        <v>0</v>
      </c>
      <c r="M137">
        <f>IFERROR(COUNTIF(OFFSET('Schedule Raw Data'!$A$2,MATCH($A137,'Schedule Raw Data'!$A$3:$A$2477,0),1,COUNTIF('Schedule Raw Data'!$A$3:$A$2477,$A137),2),M$1),0)</f>
        <v>0</v>
      </c>
      <c r="N137">
        <f>IFERROR(COUNTIF(OFFSET('Schedule Raw Data'!$A$2,MATCH($A137,'Schedule Raw Data'!$A$3:$A$2477,0),1,COUNTIF('Schedule Raw Data'!$A$3:$A$2477,$A137),2),N$1),0)</f>
        <v>0</v>
      </c>
      <c r="O137">
        <f>IFERROR(COUNTIF(OFFSET('Schedule Raw Data'!$A$2,MATCH($A137,'Schedule Raw Data'!$A$3:$A$2477,0),1,COUNTIF('Schedule Raw Data'!$A$3:$A$2477,$A137),2),O$1),0)</f>
        <v>0</v>
      </c>
      <c r="P137">
        <f>IFERROR(COUNTIF(OFFSET('Schedule Raw Data'!$A$2,MATCH($A137,'Schedule Raw Data'!$A$3:$A$2477,0),1,COUNTIF('Schedule Raw Data'!$A$3:$A$2477,$A137),2),P$1),0)</f>
        <v>1</v>
      </c>
      <c r="Q137">
        <f>IFERROR(COUNTIF(OFFSET('Schedule Raw Data'!$A$2,MATCH($A137,'Schedule Raw Data'!$A$3:$A$2477,0),1,COUNTIF('Schedule Raw Data'!$A$3:$A$2477,$A137),2),Q$1),0)</f>
        <v>0</v>
      </c>
      <c r="R137">
        <f>IFERROR(COUNTIF(OFFSET('Schedule Raw Data'!$A$2,MATCH($A137,'Schedule Raw Data'!$A$3:$A$2477,0),1,COUNTIF('Schedule Raw Data'!$A$3:$A$2477,$A137),2),R$1),0)</f>
        <v>1</v>
      </c>
      <c r="S137">
        <f>IFERROR(COUNTIF(OFFSET('Schedule Raw Data'!$A$2,MATCH($A137,'Schedule Raw Data'!$A$3:$A$2477,0),1,COUNTIF('Schedule Raw Data'!$A$3:$A$2477,$A137),2),S$1),0)</f>
        <v>0</v>
      </c>
      <c r="T137">
        <f>IFERROR(COUNTIF(OFFSET('Schedule Raw Data'!$A$2,MATCH($A137,'Schedule Raw Data'!$A$3:$A$2477,0),1,COUNTIF('Schedule Raw Data'!$A$3:$A$2477,$A137),2),T$1),0)</f>
        <v>0</v>
      </c>
      <c r="U137">
        <f>IFERROR(COUNTIF(OFFSET('Schedule Raw Data'!$A$2,MATCH($A137,'Schedule Raw Data'!$A$3:$A$2477,0),1,COUNTIF('Schedule Raw Data'!$A$3:$A$2477,$A137),2),U$1),0)</f>
        <v>1</v>
      </c>
      <c r="V137">
        <f>IFERROR(COUNTIF(OFFSET('Schedule Raw Data'!$A$2,MATCH($A137,'Schedule Raw Data'!$A$3:$A$2477,0),1,COUNTIF('Schedule Raw Data'!$A$3:$A$2477,$A137),2),V$1),0)</f>
        <v>0</v>
      </c>
      <c r="W137">
        <f>IFERROR(COUNTIF(OFFSET('Schedule Raw Data'!$A$2,MATCH($A137,'Schedule Raw Data'!$A$3:$A$2477,0),1,COUNTIF('Schedule Raw Data'!$A$3:$A$2477,$A137),2),W$1),0)</f>
        <v>0</v>
      </c>
      <c r="X137">
        <f>IFERROR(COUNTIF(OFFSET('Schedule Raw Data'!$A$2,MATCH($A137,'Schedule Raw Data'!$A$3:$A$2477,0),1,COUNTIF('Schedule Raw Data'!$A$3:$A$2477,$A137),2),X$1),0)</f>
        <v>0</v>
      </c>
      <c r="Y137">
        <f>IFERROR(COUNTIF(OFFSET('Schedule Raw Data'!$A$2,MATCH($A137,'Schedule Raw Data'!$A$3:$A$2477,0),1,COUNTIF('Schedule Raw Data'!$A$3:$A$2477,$A137),2),Y$1),0)</f>
        <v>1</v>
      </c>
      <c r="Z137">
        <f>IFERROR(COUNTIF(OFFSET('Schedule Raw Data'!$A$2,MATCH($A137,'Schedule Raw Data'!$A$3:$A$2477,0),1,COUNTIF('Schedule Raw Data'!$A$3:$A$2477,$A137),2),Z$1),0)</f>
        <v>1</v>
      </c>
      <c r="AA137">
        <f>IFERROR(COUNTIF(OFFSET('Schedule Raw Data'!$A$2,MATCH($A137,'Schedule Raw Data'!$A$3:$A$2477,0),1,COUNTIF('Schedule Raw Data'!$A$3:$A$2477,$A137),2),AA$1),0)</f>
        <v>1</v>
      </c>
      <c r="AB137">
        <f>IFERROR(COUNTIF(OFFSET('Schedule Raw Data'!$A$2,MATCH($A137,'Schedule Raw Data'!$A$3:$A$2477,0),1,COUNTIF('Schedule Raw Data'!$A$3:$A$2477,$A137),2),AB$1),0)</f>
        <v>1</v>
      </c>
      <c r="AC137">
        <f>IFERROR(COUNTIF(OFFSET('Schedule Raw Data'!$A$2,MATCH($A137,'Schedule Raw Data'!$A$3:$A$2477,0),1,COUNTIF('Schedule Raw Data'!$A$3:$A$2477,$A137),2),AC$1),0)</f>
        <v>1</v>
      </c>
      <c r="AD137">
        <f>IFERROR(COUNTIF(OFFSET('Schedule Raw Data'!$A$2,MATCH($A137,'Schedule Raw Data'!$A$3:$A$2477,0),1,COUNTIF('Schedule Raw Data'!$A$3:$A$2477,$A137),2),AD$1),0)</f>
        <v>1</v>
      </c>
      <c r="AE137">
        <f>IFERROR(COUNTIF(OFFSET('Schedule Raw Data'!$A$2,MATCH($A137,'Schedule Raw Data'!$A$3:$A$2477,0),1,COUNTIF('Schedule Raw Data'!$A$3:$A$2477,$A137),2),AE$1),0)</f>
        <v>1</v>
      </c>
      <c r="AF137">
        <f>IFERROR(COUNTIF(OFFSET('Schedule Raw Data'!$A$2,MATCH($A137,'Schedule Raw Data'!$A$3:$A$2477,0),1,COUNTIF('Schedule Raw Data'!$A$3:$A$2477,$A137),2),AF$1),0)</f>
        <v>0</v>
      </c>
      <c r="AG137">
        <f t="shared" si="1"/>
        <v>7</v>
      </c>
    </row>
    <row r="138">
      <c r="A138" s="30">
        <f t="array" ref="A138">INDEX('Schedule Raw Data'!$A$3:$A$2477,MATCH(0,INDEX(COUNTIF($A$1:A137,'Schedule Raw Data'!$A$3:$A$2477),0,0),0))</f>
        <v>46468</v>
      </c>
      <c r="B138">
        <f t="shared" si="2"/>
        <v>21</v>
      </c>
      <c r="C138">
        <f>IFERROR(COUNTIF(OFFSET('Schedule Raw Data'!$A$2,MATCH($A138,'Schedule Raw Data'!$A$3:$A$2477,0),1,COUNTIF('Schedule Raw Data'!$A$3:$A$2477,$A138),2),C$1),0)</f>
        <v>1</v>
      </c>
      <c r="D138">
        <f>IFERROR(COUNTIF(OFFSET('Schedule Raw Data'!$A$2,MATCH($A138,'Schedule Raw Data'!$A$3:$A$2477,0),1,COUNTIF('Schedule Raw Data'!$A$3:$A$2477,$A138),2),D$1),0)</f>
        <v>0</v>
      </c>
      <c r="E138">
        <f>IFERROR(COUNTIF(OFFSET('Schedule Raw Data'!$A$2,MATCH($A138,'Schedule Raw Data'!$A$3:$A$2477,0),1,COUNTIF('Schedule Raw Data'!$A$3:$A$2477,$A138),2),E$1),0)</f>
        <v>0</v>
      </c>
      <c r="F138">
        <f>IFERROR(COUNTIF(OFFSET('Schedule Raw Data'!$A$2,MATCH($A138,'Schedule Raw Data'!$A$3:$A$2477,0),1,COUNTIF('Schedule Raw Data'!$A$3:$A$2477,$A138),2),F$1),0)</f>
        <v>1</v>
      </c>
      <c r="G138">
        <f>IFERROR(COUNTIF(OFFSET('Schedule Raw Data'!$A$2,MATCH($A138,'Schedule Raw Data'!$A$3:$A$2477,0),1,COUNTIF('Schedule Raw Data'!$A$3:$A$2477,$A138),2),G$1),0)</f>
        <v>1</v>
      </c>
      <c r="H138">
        <f>IFERROR(COUNTIF(OFFSET('Schedule Raw Data'!$A$2,MATCH($A138,'Schedule Raw Data'!$A$3:$A$2477,0),1,COUNTIF('Schedule Raw Data'!$A$3:$A$2477,$A138),2),H$1),0)</f>
        <v>1</v>
      </c>
      <c r="I138">
        <f>IFERROR(COUNTIF(OFFSET('Schedule Raw Data'!$A$2,MATCH($A138,'Schedule Raw Data'!$A$3:$A$2477,0),1,COUNTIF('Schedule Raw Data'!$A$3:$A$2477,$A138),2),I$1),0)</f>
        <v>1</v>
      </c>
      <c r="J138">
        <f>IFERROR(COUNTIF(OFFSET('Schedule Raw Data'!$A$2,MATCH($A138,'Schedule Raw Data'!$A$3:$A$2477,0),1,COUNTIF('Schedule Raw Data'!$A$3:$A$2477,$A138),2),J$1),0)</f>
        <v>0</v>
      </c>
      <c r="K138">
        <f>IFERROR(COUNTIF(OFFSET('Schedule Raw Data'!$A$2,MATCH($A138,'Schedule Raw Data'!$A$3:$A$2477,0),1,COUNTIF('Schedule Raw Data'!$A$3:$A$2477,$A138),2),K$1),0)</f>
        <v>1</v>
      </c>
      <c r="L138">
        <f>IFERROR(COUNTIF(OFFSET('Schedule Raw Data'!$A$2,MATCH($A138,'Schedule Raw Data'!$A$3:$A$2477,0),1,COUNTIF('Schedule Raw Data'!$A$3:$A$2477,$A138),2),L$1),0)</f>
        <v>1</v>
      </c>
      <c r="M138">
        <f>IFERROR(COUNTIF(OFFSET('Schedule Raw Data'!$A$2,MATCH($A138,'Schedule Raw Data'!$A$3:$A$2477,0),1,COUNTIF('Schedule Raw Data'!$A$3:$A$2477,$A138),2),M$1),0)</f>
        <v>1</v>
      </c>
      <c r="N138">
        <f>IFERROR(COUNTIF(OFFSET('Schedule Raw Data'!$A$2,MATCH($A138,'Schedule Raw Data'!$A$3:$A$2477,0),1,COUNTIF('Schedule Raw Data'!$A$3:$A$2477,$A138),2),N$1),0)</f>
        <v>1</v>
      </c>
      <c r="O138">
        <f>IFERROR(COUNTIF(OFFSET('Schedule Raw Data'!$A$2,MATCH($A138,'Schedule Raw Data'!$A$3:$A$2477,0),1,COUNTIF('Schedule Raw Data'!$A$3:$A$2477,$A138),2),O$1),0)</f>
        <v>1</v>
      </c>
      <c r="P138">
        <f>IFERROR(COUNTIF(OFFSET('Schedule Raw Data'!$A$2,MATCH($A138,'Schedule Raw Data'!$A$3:$A$2477,0),1,COUNTIF('Schedule Raw Data'!$A$3:$A$2477,$A138),2),P$1),0)</f>
        <v>0</v>
      </c>
      <c r="Q138">
        <f>IFERROR(COUNTIF(OFFSET('Schedule Raw Data'!$A$2,MATCH($A138,'Schedule Raw Data'!$A$3:$A$2477,0),1,COUNTIF('Schedule Raw Data'!$A$3:$A$2477,$A138),2),Q$1),0)</f>
        <v>1</v>
      </c>
      <c r="R138">
        <f>IFERROR(COUNTIF(OFFSET('Schedule Raw Data'!$A$2,MATCH($A138,'Schedule Raw Data'!$A$3:$A$2477,0),1,COUNTIF('Schedule Raw Data'!$A$3:$A$2477,$A138),2),R$1),0)</f>
        <v>0</v>
      </c>
      <c r="S138">
        <f>IFERROR(COUNTIF(OFFSET('Schedule Raw Data'!$A$2,MATCH($A138,'Schedule Raw Data'!$A$3:$A$2477,0),1,COUNTIF('Schedule Raw Data'!$A$3:$A$2477,$A138),2),S$1),0)</f>
        <v>1</v>
      </c>
      <c r="T138">
        <f>IFERROR(COUNTIF(OFFSET('Schedule Raw Data'!$A$2,MATCH($A138,'Schedule Raw Data'!$A$3:$A$2477,0),1,COUNTIF('Schedule Raw Data'!$A$3:$A$2477,$A138),2),T$1),0)</f>
        <v>1</v>
      </c>
      <c r="U138">
        <f>IFERROR(COUNTIF(OFFSET('Schedule Raw Data'!$A$2,MATCH($A138,'Schedule Raw Data'!$A$3:$A$2477,0),1,COUNTIF('Schedule Raw Data'!$A$3:$A$2477,$A138),2),U$1),0)</f>
        <v>0</v>
      </c>
      <c r="V138">
        <f>IFERROR(COUNTIF(OFFSET('Schedule Raw Data'!$A$2,MATCH($A138,'Schedule Raw Data'!$A$3:$A$2477,0),1,COUNTIF('Schedule Raw Data'!$A$3:$A$2477,$A138),2),V$1),0)</f>
        <v>0</v>
      </c>
      <c r="W138">
        <f>IFERROR(COUNTIF(OFFSET('Schedule Raw Data'!$A$2,MATCH($A138,'Schedule Raw Data'!$A$3:$A$2477,0),1,COUNTIF('Schedule Raw Data'!$A$3:$A$2477,$A138),2),W$1),0)</f>
        <v>0</v>
      </c>
      <c r="X138">
        <f>IFERROR(COUNTIF(OFFSET('Schedule Raw Data'!$A$2,MATCH($A138,'Schedule Raw Data'!$A$3:$A$2477,0),1,COUNTIF('Schedule Raw Data'!$A$3:$A$2477,$A138),2),X$1),0)</f>
        <v>1</v>
      </c>
      <c r="Y138">
        <f>IFERROR(COUNTIF(OFFSET('Schedule Raw Data'!$A$2,MATCH($A138,'Schedule Raw Data'!$A$3:$A$2477,0),1,COUNTIF('Schedule Raw Data'!$A$3:$A$2477,$A138),2),Y$1),0)</f>
        <v>0</v>
      </c>
      <c r="Z138">
        <f>IFERROR(COUNTIF(OFFSET('Schedule Raw Data'!$A$2,MATCH($A138,'Schedule Raw Data'!$A$3:$A$2477,0),1,COUNTIF('Schedule Raw Data'!$A$3:$A$2477,$A138),2),Z$1),0)</f>
        <v>0</v>
      </c>
      <c r="AA138">
        <f>IFERROR(COUNTIF(OFFSET('Schedule Raw Data'!$A$2,MATCH($A138,'Schedule Raw Data'!$A$3:$A$2477,0),1,COUNTIF('Schedule Raw Data'!$A$3:$A$2477,$A138),2),AA$1),0)</f>
        <v>0</v>
      </c>
      <c r="AB138">
        <f>IFERROR(COUNTIF(OFFSET('Schedule Raw Data'!$A$2,MATCH($A138,'Schedule Raw Data'!$A$3:$A$2477,0),1,COUNTIF('Schedule Raw Data'!$A$3:$A$2477,$A138),2),AB$1),0)</f>
        <v>1</v>
      </c>
      <c r="AC138">
        <f>IFERROR(COUNTIF(OFFSET('Schedule Raw Data'!$A$2,MATCH($A138,'Schedule Raw Data'!$A$3:$A$2477,0),1,COUNTIF('Schedule Raw Data'!$A$3:$A$2477,$A138),2),AC$1),0)</f>
        <v>0</v>
      </c>
      <c r="AD138">
        <f>IFERROR(COUNTIF(OFFSET('Schedule Raw Data'!$A$2,MATCH($A138,'Schedule Raw Data'!$A$3:$A$2477,0),1,COUNTIF('Schedule Raw Data'!$A$3:$A$2477,$A138),2),AD$1),0)</f>
        <v>0</v>
      </c>
      <c r="AE138">
        <f>IFERROR(COUNTIF(OFFSET('Schedule Raw Data'!$A$2,MATCH($A138,'Schedule Raw Data'!$A$3:$A$2477,0),1,COUNTIF('Schedule Raw Data'!$A$3:$A$2477,$A138),2),AE$1),0)</f>
        <v>0</v>
      </c>
      <c r="AF138">
        <f>IFERROR(COUNTIF(OFFSET('Schedule Raw Data'!$A$2,MATCH($A138,'Schedule Raw Data'!$A$3:$A$2477,0),1,COUNTIF('Schedule Raw Data'!$A$3:$A$2477,$A138),2),AF$1),0)</f>
        <v>1</v>
      </c>
      <c r="AG138">
        <f t="shared" si="1"/>
        <v>8</v>
      </c>
    </row>
    <row r="139">
      <c r="A139" s="30">
        <f t="array" ref="A139">INDEX('Schedule Raw Data'!$A$3:$A$2477,MATCH(0,INDEX(COUNTIF($A$1:A138,'Schedule Raw Data'!$A$3:$A$2477),0,0),0))</f>
        <v>46469</v>
      </c>
      <c r="B139">
        <f t="shared" si="2"/>
        <v>21</v>
      </c>
      <c r="C139">
        <f>IFERROR(COUNTIF(OFFSET('Schedule Raw Data'!$A$2,MATCH($A139,'Schedule Raw Data'!$A$3:$A$2477,0),1,COUNTIF('Schedule Raw Data'!$A$3:$A$2477,$A139),2),C$1),0)</f>
        <v>0</v>
      </c>
      <c r="D139">
        <f>IFERROR(COUNTIF(OFFSET('Schedule Raw Data'!$A$2,MATCH($A139,'Schedule Raw Data'!$A$3:$A$2477,0),1,COUNTIF('Schedule Raw Data'!$A$3:$A$2477,$A139),2),D$1),0)</f>
        <v>1</v>
      </c>
      <c r="E139">
        <f>IFERROR(COUNTIF(OFFSET('Schedule Raw Data'!$A$2,MATCH($A139,'Schedule Raw Data'!$A$3:$A$2477,0),1,COUNTIF('Schedule Raw Data'!$A$3:$A$2477,$A139),2),E$1),0)</f>
        <v>1</v>
      </c>
      <c r="F139">
        <f>IFERROR(COUNTIF(OFFSET('Schedule Raw Data'!$A$2,MATCH($A139,'Schedule Raw Data'!$A$3:$A$2477,0),1,COUNTIF('Schedule Raw Data'!$A$3:$A$2477,$A139),2),F$1),0)</f>
        <v>0</v>
      </c>
      <c r="G139">
        <f>IFERROR(COUNTIF(OFFSET('Schedule Raw Data'!$A$2,MATCH($A139,'Schedule Raw Data'!$A$3:$A$2477,0),1,COUNTIF('Schedule Raw Data'!$A$3:$A$2477,$A139),2),G$1),0)</f>
        <v>0</v>
      </c>
      <c r="H139">
        <f>IFERROR(COUNTIF(OFFSET('Schedule Raw Data'!$A$2,MATCH($A139,'Schedule Raw Data'!$A$3:$A$2477,0),1,COUNTIF('Schedule Raw Data'!$A$3:$A$2477,$A139),2),H$1),0)</f>
        <v>0</v>
      </c>
      <c r="I139">
        <f>IFERROR(COUNTIF(OFFSET('Schedule Raw Data'!$A$2,MATCH($A139,'Schedule Raw Data'!$A$3:$A$2477,0),1,COUNTIF('Schedule Raw Data'!$A$3:$A$2477,$A139),2),I$1),0)</f>
        <v>0</v>
      </c>
      <c r="J139">
        <f>IFERROR(COUNTIF(OFFSET('Schedule Raw Data'!$A$2,MATCH($A139,'Schedule Raw Data'!$A$3:$A$2477,0),1,COUNTIF('Schedule Raw Data'!$A$3:$A$2477,$A139),2),J$1),0)</f>
        <v>0</v>
      </c>
      <c r="K139">
        <f>IFERROR(COUNTIF(OFFSET('Schedule Raw Data'!$A$2,MATCH($A139,'Schedule Raw Data'!$A$3:$A$2477,0),1,COUNTIF('Schedule Raw Data'!$A$3:$A$2477,$A139),2),K$1),0)</f>
        <v>0</v>
      </c>
      <c r="L139">
        <f>IFERROR(COUNTIF(OFFSET('Schedule Raw Data'!$A$2,MATCH($A139,'Schedule Raw Data'!$A$3:$A$2477,0),1,COUNTIF('Schedule Raw Data'!$A$3:$A$2477,$A139),2),L$1),0)</f>
        <v>0</v>
      </c>
      <c r="M139">
        <f>IFERROR(COUNTIF(OFFSET('Schedule Raw Data'!$A$2,MATCH($A139,'Schedule Raw Data'!$A$3:$A$2477,0),1,COUNTIF('Schedule Raw Data'!$A$3:$A$2477,$A139),2),M$1),0)</f>
        <v>0</v>
      </c>
      <c r="N139">
        <f>IFERROR(COUNTIF(OFFSET('Schedule Raw Data'!$A$2,MATCH($A139,'Schedule Raw Data'!$A$3:$A$2477,0),1,COUNTIF('Schedule Raw Data'!$A$3:$A$2477,$A139),2),N$1),0)</f>
        <v>0</v>
      </c>
      <c r="O139">
        <f>IFERROR(COUNTIF(OFFSET('Schedule Raw Data'!$A$2,MATCH($A139,'Schedule Raw Data'!$A$3:$A$2477,0),1,COUNTIF('Schedule Raw Data'!$A$3:$A$2477,$A139),2),O$1),0)</f>
        <v>0</v>
      </c>
      <c r="P139">
        <f>IFERROR(COUNTIF(OFFSET('Schedule Raw Data'!$A$2,MATCH($A139,'Schedule Raw Data'!$A$3:$A$2477,0),1,COUNTIF('Schedule Raw Data'!$A$3:$A$2477,$A139),2),P$1),0)</f>
        <v>1</v>
      </c>
      <c r="Q139">
        <f>IFERROR(COUNTIF(OFFSET('Schedule Raw Data'!$A$2,MATCH($A139,'Schedule Raw Data'!$A$3:$A$2477,0),1,COUNTIF('Schedule Raw Data'!$A$3:$A$2477,$A139),2),Q$1),0)</f>
        <v>0</v>
      </c>
      <c r="R139">
        <f>IFERROR(COUNTIF(OFFSET('Schedule Raw Data'!$A$2,MATCH($A139,'Schedule Raw Data'!$A$3:$A$2477,0),1,COUNTIF('Schedule Raw Data'!$A$3:$A$2477,$A139),2),R$1),0)</f>
        <v>1</v>
      </c>
      <c r="S139">
        <f>IFERROR(COUNTIF(OFFSET('Schedule Raw Data'!$A$2,MATCH($A139,'Schedule Raw Data'!$A$3:$A$2477,0),1,COUNTIF('Schedule Raw Data'!$A$3:$A$2477,$A139),2),S$1),0)</f>
        <v>0</v>
      </c>
      <c r="T139">
        <f>IFERROR(COUNTIF(OFFSET('Schedule Raw Data'!$A$2,MATCH($A139,'Schedule Raw Data'!$A$3:$A$2477,0),1,COUNTIF('Schedule Raw Data'!$A$3:$A$2477,$A139),2),T$1),0)</f>
        <v>0</v>
      </c>
      <c r="U139">
        <f>IFERROR(COUNTIF(OFFSET('Schedule Raw Data'!$A$2,MATCH($A139,'Schedule Raw Data'!$A$3:$A$2477,0),1,COUNTIF('Schedule Raw Data'!$A$3:$A$2477,$A139),2),U$1),0)</f>
        <v>1</v>
      </c>
      <c r="V139">
        <f>IFERROR(COUNTIF(OFFSET('Schedule Raw Data'!$A$2,MATCH($A139,'Schedule Raw Data'!$A$3:$A$2477,0),1,COUNTIF('Schedule Raw Data'!$A$3:$A$2477,$A139),2),V$1),0)</f>
        <v>1</v>
      </c>
      <c r="W139">
        <f>IFERROR(COUNTIF(OFFSET('Schedule Raw Data'!$A$2,MATCH($A139,'Schedule Raw Data'!$A$3:$A$2477,0),1,COUNTIF('Schedule Raw Data'!$A$3:$A$2477,$A139),2),W$1),0)</f>
        <v>1</v>
      </c>
      <c r="X139">
        <f>IFERROR(COUNTIF(OFFSET('Schedule Raw Data'!$A$2,MATCH($A139,'Schedule Raw Data'!$A$3:$A$2477,0),1,COUNTIF('Schedule Raw Data'!$A$3:$A$2477,$A139),2),X$1),0)</f>
        <v>0</v>
      </c>
      <c r="Y139">
        <f>IFERROR(COUNTIF(OFFSET('Schedule Raw Data'!$A$2,MATCH($A139,'Schedule Raw Data'!$A$3:$A$2477,0),1,COUNTIF('Schedule Raw Data'!$A$3:$A$2477,$A139),2),Y$1),0)</f>
        <v>1</v>
      </c>
      <c r="Z139">
        <f>IFERROR(COUNTIF(OFFSET('Schedule Raw Data'!$A$2,MATCH($A139,'Schedule Raw Data'!$A$3:$A$2477,0),1,COUNTIF('Schedule Raw Data'!$A$3:$A$2477,$A139),2),Z$1),0)</f>
        <v>1</v>
      </c>
      <c r="AA139">
        <f>IFERROR(COUNTIF(OFFSET('Schedule Raw Data'!$A$2,MATCH($A139,'Schedule Raw Data'!$A$3:$A$2477,0),1,COUNTIF('Schedule Raw Data'!$A$3:$A$2477,$A139),2),AA$1),0)</f>
        <v>1</v>
      </c>
      <c r="AB139">
        <f>IFERROR(COUNTIF(OFFSET('Schedule Raw Data'!$A$2,MATCH($A139,'Schedule Raw Data'!$A$3:$A$2477,0),1,COUNTIF('Schedule Raw Data'!$A$3:$A$2477,$A139),2),AB$1),0)</f>
        <v>0</v>
      </c>
      <c r="AC139">
        <f>IFERROR(COUNTIF(OFFSET('Schedule Raw Data'!$A$2,MATCH($A139,'Schedule Raw Data'!$A$3:$A$2477,0),1,COUNTIF('Schedule Raw Data'!$A$3:$A$2477,$A139),2),AC$1),0)</f>
        <v>0</v>
      </c>
      <c r="AD139">
        <f>IFERROR(COUNTIF(OFFSET('Schedule Raw Data'!$A$2,MATCH($A139,'Schedule Raw Data'!$A$3:$A$2477,0),1,COUNTIF('Schedule Raw Data'!$A$3:$A$2477,$A139),2),AD$1),0)</f>
        <v>1</v>
      </c>
      <c r="AE139">
        <f>IFERROR(COUNTIF(OFFSET('Schedule Raw Data'!$A$2,MATCH($A139,'Schedule Raw Data'!$A$3:$A$2477,0),1,COUNTIF('Schedule Raw Data'!$A$3:$A$2477,$A139),2),AE$1),0)</f>
        <v>1</v>
      </c>
      <c r="AF139">
        <f>IFERROR(COUNTIF(OFFSET('Schedule Raw Data'!$A$2,MATCH($A139,'Schedule Raw Data'!$A$3:$A$2477,0),1,COUNTIF('Schedule Raw Data'!$A$3:$A$2477,$A139),2),AF$1),0)</f>
        <v>0</v>
      </c>
      <c r="AG139">
        <f t="shared" si="1"/>
        <v>6</v>
      </c>
    </row>
    <row r="140">
      <c r="A140" s="30">
        <f t="array" ref="A140">INDEX('Schedule Raw Data'!$A$3:$A$2477,MATCH(0,INDEX(COUNTIF($A$1:A139,'Schedule Raw Data'!$A$3:$A$2477),0,0),0))</f>
        <v>46470</v>
      </c>
      <c r="B140">
        <f t="shared" si="2"/>
        <v>21</v>
      </c>
      <c r="C140">
        <f>IFERROR(COUNTIF(OFFSET('Schedule Raw Data'!$A$2,MATCH($A140,'Schedule Raw Data'!$A$3:$A$2477,0),1,COUNTIF('Schedule Raw Data'!$A$3:$A$2477,$A140),2),C$1),0)</f>
        <v>1</v>
      </c>
      <c r="D140">
        <f>IFERROR(COUNTIF(OFFSET('Schedule Raw Data'!$A$2,MATCH($A140,'Schedule Raw Data'!$A$3:$A$2477,0),1,COUNTIF('Schedule Raw Data'!$A$3:$A$2477,$A140),2),D$1),0)</f>
        <v>0</v>
      </c>
      <c r="E140">
        <f>IFERROR(COUNTIF(OFFSET('Schedule Raw Data'!$A$2,MATCH($A140,'Schedule Raw Data'!$A$3:$A$2477,0),1,COUNTIF('Schedule Raw Data'!$A$3:$A$2477,$A140),2),E$1),0)</f>
        <v>1</v>
      </c>
      <c r="F140">
        <f>IFERROR(COUNTIF(OFFSET('Schedule Raw Data'!$A$2,MATCH($A140,'Schedule Raw Data'!$A$3:$A$2477,0),1,COUNTIF('Schedule Raw Data'!$A$3:$A$2477,$A140),2),F$1),0)</f>
        <v>1</v>
      </c>
      <c r="G140">
        <f>IFERROR(COUNTIF(OFFSET('Schedule Raw Data'!$A$2,MATCH($A140,'Schedule Raw Data'!$A$3:$A$2477,0),1,COUNTIF('Schedule Raw Data'!$A$3:$A$2477,$A140),2),G$1),0)</f>
        <v>1</v>
      </c>
      <c r="H140">
        <f>IFERROR(COUNTIF(OFFSET('Schedule Raw Data'!$A$2,MATCH($A140,'Schedule Raw Data'!$A$3:$A$2477,0),1,COUNTIF('Schedule Raw Data'!$A$3:$A$2477,$A140),2),H$1),0)</f>
        <v>0</v>
      </c>
      <c r="I140">
        <f>IFERROR(COUNTIF(OFFSET('Schedule Raw Data'!$A$2,MATCH($A140,'Schedule Raw Data'!$A$3:$A$2477,0),1,COUNTIF('Schedule Raw Data'!$A$3:$A$2477,$A140),2),I$1),0)</f>
        <v>1</v>
      </c>
      <c r="J140">
        <f>IFERROR(COUNTIF(OFFSET('Schedule Raw Data'!$A$2,MATCH($A140,'Schedule Raw Data'!$A$3:$A$2477,0),1,COUNTIF('Schedule Raw Data'!$A$3:$A$2477,$A140),2),J$1),0)</f>
        <v>1</v>
      </c>
      <c r="K140">
        <f>IFERROR(COUNTIF(OFFSET('Schedule Raw Data'!$A$2,MATCH($A140,'Schedule Raw Data'!$A$3:$A$2477,0),1,COUNTIF('Schedule Raw Data'!$A$3:$A$2477,$A140),2),K$1),0)</f>
        <v>1</v>
      </c>
      <c r="L140">
        <f>IFERROR(COUNTIF(OFFSET('Schedule Raw Data'!$A$2,MATCH($A140,'Schedule Raw Data'!$A$3:$A$2477,0),1,COUNTIF('Schedule Raw Data'!$A$3:$A$2477,$A140),2),L$1),0)</f>
        <v>1</v>
      </c>
      <c r="M140">
        <f>IFERROR(COUNTIF(OFFSET('Schedule Raw Data'!$A$2,MATCH($A140,'Schedule Raw Data'!$A$3:$A$2477,0),1,COUNTIF('Schedule Raw Data'!$A$3:$A$2477,$A140),2),M$1),0)</f>
        <v>1</v>
      </c>
      <c r="N140">
        <f>IFERROR(COUNTIF(OFFSET('Schedule Raw Data'!$A$2,MATCH($A140,'Schedule Raw Data'!$A$3:$A$2477,0),1,COUNTIF('Schedule Raw Data'!$A$3:$A$2477,$A140),2),N$1),0)</f>
        <v>1</v>
      </c>
      <c r="O140">
        <f>IFERROR(COUNTIF(OFFSET('Schedule Raw Data'!$A$2,MATCH($A140,'Schedule Raw Data'!$A$3:$A$2477,0),1,COUNTIF('Schedule Raw Data'!$A$3:$A$2477,$A140),2),O$1),0)</f>
        <v>1</v>
      </c>
      <c r="P140">
        <f>IFERROR(COUNTIF(OFFSET('Schedule Raw Data'!$A$2,MATCH($A140,'Schedule Raw Data'!$A$3:$A$2477,0),1,COUNTIF('Schedule Raw Data'!$A$3:$A$2477,$A140),2),P$1),0)</f>
        <v>0</v>
      </c>
      <c r="Q140">
        <f>IFERROR(COUNTIF(OFFSET('Schedule Raw Data'!$A$2,MATCH($A140,'Schedule Raw Data'!$A$3:$A$2477,0),1,COUNTIF('Schedule Raw Data'!$A$3:$A$2477,$A140),2),Q$1),0)</f>
        <v>1</v>
      </c>
      <c r="R140">
        <f>IFERROR(COUNTIF(OFFSET('Schedule Raw Data'!$A$2,MATCH($A140,'Schedule Raw Data'!$A$3:$A$2477,0),1,COUNTIF('Schedule Raw Data'!$A$3:$A$2477,$A140),2),R$1),0)</f>
        <v>0</v>
      </c>
      <c r="S140">
        <f>IFERROR(COUNTIF(OFFSET('Schedule Raw Data'!$A$2,MATCH($A140,'Schedule Raw Data'!$A$3:$A$2477,0),1,COUNTIF('Schedule Raw Data'!$A$3:$A$2477,$A140),2),S$1),0)</f>
        <v>1</v>
      </c>
      <c r="T140">
        <f>IFERROR(COUNTIF(OFFSET('Schedule Raw Data'!$A$2,MATCH($A140,'Schedule Raw Data'!$A$3:$A$2477,0),1,COUNTIF('Schedule Raw Data'!$A$3:$A$2477,$A140),2),T$1),0)</f>
        <v>1</v>
      </c>
      <c r="U140">
        <f>IFERROR(COUNTIF(OFFSET('Schedule Raw Data'!$A$2,MATCH($A140,'Schedule Raw Data'!$A$3:$A$2477,0),1,COUNTIF('Schedule Raw Data'!$A$3:$A$2477,$A140),2),U$1),0)</f>
        <v>0</v>
      </c>
      <c r="V140">
        <f>IFERROR(COUNTIF(OFFSET('Schedule Raw Data'!$A$2,MATCH($A140,'Schedule Raw Data'!$A$3:$A$2477,0),1,COUNTIF('Schedule Raw Data'!$A$3:$A$2477,$A140),2),V$1),0)</f>
        <v>1</v>
      </c>
      <c r="W140">
        <f>IFERROR(COUNTIF(OFFSET('Schedule Raw Data'!$A$2,MATCH($A140,'Schedule Raw Data'!$A$3:$A$2477,0),1,COUNTIF('Schedule Raw Data'!$A$3:$A$2477,$A140),2),W$1),0)</f>
        <v>1</v>
      </c>
      <c r="X140">
        <f>IFERROR(COUNTIF(OFFSET('Schedule Raw Data'!$A$2,MATCH($A140,'Schedule Raw Data'!$A$3:$A$2477,0),1,COUNTIF('Schedule Raw Data'!$A$3:$A$2477,$A140),2),X$1),0)</f>
        <v>1</v>
      </c>
      <c r="Y140">
        <f>IFERROR(COUNTIF(OFFSET('Schedule Raw Data'!$A$2,MATCH($A140,'Schedule Raw Data'!$A$3:$A$2477,0),1,COUNTIF('Schedule Raw Data'!$A$3:$A$2477,$A140),2),Y$1),0)</f>
        <v>1</v>
      </c>
      <c r="Z140">
        <f>IFERROR(COUNTIF(OFFSET('Schedule Raw Data'!$A$2,MATCH($A140,'Schedule Raw Data'!$A$3:$A$2477,0),1,COUNTIF('Schedule Raw Data'!$A$3:$A$2477,$A140),2),Z$1),0)</f>
        <v>1</v>
      </c>
      <c r="AA140">
        <f>IFERROR(COUNTIF(OFFSET('Schedule Raw Data'!$A$2,MATCH($A140,'Schedule Raw Data'!$A$3:$A$2477,0),1,COUNTIF('Schedule Raw Data'!$A$3:$A$2477,$A140),2),AA$1),0)</f>
        <v>0</v>
      </c>
      <c r="AB140">
        <f>IFERROR(COUNTIF(OFFSET('Schedule Raw Data'!$A$2,MATCH($A140,'Schedule Raw Data'!$A$3:$A$2477,0),1,COUNTIF('Schedule Raw Data'!$A$3:$A$2477,$A140),2),AB$1),0)</f>
        <v>1</v>
      </c>
      <c r="AC140">
        <f>IFERROR(COUNTIF(OFFSET('Schedule Raw Data'!$A$2,MATCH($A140,'Schedule Raw Data'!$A$3:$A$2477,0),1,COUNTIF('Schedule Raw Data'!$A$3:$A$2477,$A140),2),AC$1),0)</f>
        <v>1</v>
      </c>
      <c r="AD140">
        <f>IFERROR(COUNTIF(OFFSET('Schedule Raw Data'!$A$2,MATCH($A140,'Schedule Raw Data'!$A$3:$A$2477,0),1,COUNTIF('Schedule Raw Data'!$A$3:$A$2477,$A140),2),AD$1),0)</f>
        <v>0</v>
      </c>
      <c r="AE140">
        <f>IFERROR(COUNTIF(OFFSET('Schedule Raw Data'!$A$2,MATCH($A140,'Schedule Raw Data'!$A$3:$A$2477,0),1,COUNTIF('Schedule Raw Data'!$A$3:$A$2477,$A140),2),AE$1),0)</f>
        <v>0</v>
      </c>
      <c r="AF140">
        <f>IFERROR(COUNTIF(OFFSET('Schedule Raw Data'!$A$2,MATCH($A140,'Schedule Raw Data'!$A$3:$A$2477,0),1,COUNTIF('Schedule Raw Data'!$A$3:$A$2477,$A140),2),AF$1),0)</f>
        <v>1</v>
      </c>
      <c r="AG140">
        <f t="shared" si="1"/>
        <v>11</v>
      </c>
    </row>
    <row r="141">
      <c r="A141" s="30">
        <f t="array" ref="A141">INDEX('Schedule Raw Data'!$A$3:$A$2477,MATCH(0,INDEX(COUNTIF($A$1:A140,'Schedule Raw Data'!$A$3:$A$2477),0,0),0))</f>
        <v>46471</v>
      </c>
      <c r="B141">
        <f t="shared" si="2"/>
        <v>21</v>
      </c>
      <c r="C141">
        <f>IFERROR(COUNTIF(OFFSET('Schedule Raw Data'!$A$2,MATCH($A141,'Schedule Raw Data'!$A$3:$A$2477,0),1,COUNTIF('Schedule Raw Data'!$A$3:$A$2477,$A141),2),C$1),0)</f>
        <v>0</v>
      </c>
      <c r="D141">
        <f>IFERROR(COUNTIF(OFFSET('Schedule Raw Data'!$A$2,MATCH($A141,'Schedule Raw Data'!$A$3:$A$2477,0),1,COUNTIF('Schedule Raw Data'!$A$3:$A$2477,$A141),2),D$1),0)</f>
        <v>1</v>
      </c>
      <c r="E141">
        <f>IFERROR(COUNTIF(OFFSET('Schedule Raw Data'!$A$2,MATCH($A141,'Schedule Raw Data'!$A$3:$A$2477,0),1,COUNTIF('Schedule Raw Data'!$A$3:$A$2477,$A141),2),E$1),0)</f>
        <v>0</v>
      </c>
      <c r="F141">
        <f>IFERROR(COUNTIF(OFFSET('Schedule Raw Data'!$A$2,MATCH($A141,'Schedule Raw Data'!$A$3:$A$2477,0),1,COUNTIF('Schedule Raw Data'!$A$3:$A$2477,$A141),2),F$1),0)</f>
        <v>0</v>
      </c>
      <c r="G141">
        <f>IFERROR(COUNTIF(OFFSET('Schedule Raw Data'!$A$2,MATCH($A141,'Schedule Raw Data'!$A$3:$A$2477,0),1,COUNTIF('Schedule Raw Data'!$A$3:$A$2477,$A141),2),G$1),0)</f>
        <v>1</v>
      </c>
      <c r="H141">
        <f>IFERROR(COUNTIF(OFFSET('Schedule Raw Data'!$A$2,MATCH($A141,'Schedule Raw Data'!$A$3:$A$2477,0),1,COUNTIF('Schedule Raw Data'!$A$3:$A$2477,$A141),2),H$1),0)</f>
        <v>1</v>
      </c>
      <c r="I141">
        <f>IFERROR(COUNTIF(OFFSET('Schedule Raw Data'!$A$2,MATCH($A141,'Schedule Raw Data'!$A$3:$A$2477,0),1,COUNTIF('Schedule Raw Data'!$A$3:$A$2477,$A141),2),I$1),0)</f>
        <v>0</v>
      </c>
      <c r="J141">
        <f>IFERROR(COUNTIF(OFFSET('Schedule Raw Data'!$A$2,MATCH($A141,'Schedule Raw Data'!$A$3:$A$2477,0),1,COUNTIF('Schedule Raw Data'!$A$3:$A$2477,$A141),2),J$1),0)</f>
        <v>1</v>
      </c>
      <c r="K141">
        <f>IFERROR(COUNTIF(OFFSET('Schedule Raw Data'!$A$2,MATCH($A141,'Schedule Raw Data'!$A$3:$A$2477,0),1,COUNTIF('Schedule Raw Data'!$A$3:$A$2477,$A141),2),K$1),0)</f>
        <v>1</v>
      </c>
      <c r="L141">
        <f>IFERROR(COUNTIF(OFFSET('Schedule Raw Data'!$A$2,MATCH($A141,'Schedule Raw Data'!$A$3:$A$2477,0),1,COUNTIF('Schedule Raw Data'!$A$3:$A$2477,$A141),2),L$1),0)</f>
        <v>1</v>
      </c>
      <c r="M141">
        <f>IFERROR(COUNTIF(OFFSET('Schedule Raw Data'!$A$2,MATCH($A141,'Schedule Raw Data'!$A$3:$A$2477,0),1,COUNTIF('Schedule Raw Data'!$A$3:$A$2477,$A141),2),M$1),0)</f>
        <v>1</v>
      </c>
      <c r="N141">
        <f>IFERROR(COUNTIF(OFFSET('Schedule Raw Data'!$A$2,MATCH($A141,'Schedule Raw Data'!$A$3:$A$2477,0),1,COUNTIF('Schedule Raw Data'!$A$3:$A$2477,$A141),2),N$1),0)</f>
        <v>1</v>
      </c>
      <c r="O141">
        <f>IFERROR(COUNTIF(OFFSET('Schedule Raw Data'!$A$2,MATCH($A141,'Schedule Raw Data'!$A$3:$A$2477,0),1,COUNTIF('Schedule Raw Data'!$A$3:$A$2477,$A141),2),O$1),0)</f>
        <v>0</v>
      </c>
      <c r="P141">
        <f>IFERROR(COUNTIF(OFFSET('Schedule Raw Data'!$A$2,MATCH($A141,'Schedule Raw Data'!$A$3:$A$2477,0),1,COUNTIF('Schedule Raw Data'!$A$3:$A$2477,$A141),2),P$1),0)</f>
        <v>1</v>
      </c>
      <c r="Q141">
        <f>IFERROR(COUNTIF(OFFSET('Schedule Raw Data'!$A$2,MATCH($A141,'Schedule Raw Data'!$A$3:$A$2477,0),1,COUNTIF('Schedule Raw Data'!$A$3:$A$2477,$A141),2),Q$1),0)</f>
        <v>1</v>
      </c>
      <c r="R141">
        <f>IFERROR(COUNTIF(OFFSET('Schedule Raw Data'!$A$2,MATCH($A141,'Schedule Raw Data'!$A$3:$A$2477,0),1,COUNTIF('Schedule Raw Data'!$A$3:$A$2477,$A141),2),R$1),0)</f>
        <v>1</v>
      </c>
      <c r="S141">
        <f>IFERROR(COUNTIF(OFFSET('Schedule Raw Data'!$A$2,MATCH($A141,'Schedule Raw Data'!$A$3:$A$2477,0),1,COUNTIF('Schedule Raw Data'!$A$3:$A$2477,$A141),2),S$1),0)</f>
        <v>0</v>
      </c>
      <c r="T141">
        <f>IFERROR(COUNTIF(OFFSET('Schedule Raw Data'!$A$2,MATCH($A141,'Schedule Raw Data'!$A$3:$A$2477,0),1,COUNTIF('Schedule Raw Data'!$A$3:$A$2477,$A141),2),T$1),0)</f>
        <v>0</v>
      </c>
      <c r="U141">
        <f>IFERROR(COUNTIF(OFFSET('Schedule Raw Data'!$A$2,MATCH($A141,'Schedule Raw Data'!$A$3:$A$2477,0),1,COUNTIF('Schedule Raw Data'!$A$3:$A$2477,$A141),2),U$1),0)</f>
        <v>0</v>
      </c>
      <c r="V141">
        <f>IFERROR(COUNTIF(OFFSET('Schedule Raw Data'!$A$2,MATCH($A141,'Schedule Raw Data'!$A$3:$A$2477,0),1,COUNTIF('Schedule Raw Data'!$A$3:$A$2477,$A141),2),V$1),0)</f>
        <v>0</v>
      </c>
      <c r="W141">
        <f>IFERROR(COUNTIF(OFFSET('Schedule Raw Data'!$A$2,MATCH($A141,'Schedule Raw Data'!$A$3:$A$2477,0),1,COUNTIF('Schedule Raw Data'!$A$3:$A$2477,$A141),2),W$1),0)</f>
        <v>0</v>
      </c>
      <c r="X141">
        <f>IFERROR(COUNTIF(OFFSET('Schedule Raw Data'!$A$2,MATCH($A141,'Schedule Raw Data'!$A$3:$A$2477,0),1,COUNTIF('Schedule Raw Data'!$A$3:$A$2477,$A141),2),X$1),0)</f>
        <v>0</v>
      </c>
      <c r="Y141">
        <f>IFERROR(COUNTIF(OFFSET('Schedule Raw Data'!$A$2,MATCH($A141,'Schedule Raw Data'!$A$3:$A$2477,0),1,COUNTIF('Schedule Raw Data'!$A$3:$A$2477,$A141),2),Y$1),0)</f>
        <v>0</v>
      </c>
      <c r="Z141">
        <f>IFERROR(COUNTIF(OFFSET('Schedule Raw Data'!$A$2,MATCH($A141,'Schedule Raw Data'!$A$3:$A$2477,0),1,COUNTIF('Schedule Raw Data'!$A$3:$A$2477,$A141),2),Z$1),0)</f>
        <v>0</v>
      </c>
      <c r="AA141">
        <f>IFERROR(COUNTIF(OFFSET('Schedule Raw Data'!$A$2,MATCH($A141,'Schedule Raw Data'!$A$3:$A$2477,0),1,COUNTIF('Schedule Raw Data'!$A$3:$A$2477,$A141),2),AA$1),0)</f>
        <v>0</v>
      </c>
      <c r="AB141">
        <f>IFERROR(COUNTIF(OFFSET('Schedule Raw Data'!$A$2,MATCH($A141,'Schedule Raw Data'!$A$3:$A$2477,0),1,COUNTIF('Schedule Raw Data'!$A$3:$A$2477,$A141),2),AB$1),0)</f>
        <v>0</v>
      </c>
      <c r="AC141">
        <f>IFERROR(COUNTIF(OFFSET('Schedule Raw Data'!$A$2,MATCH($A141,'Schedule Raw Data'!$A$3:$A$2477,0),1,COUNTIF('Schedule Raw Data'!$A$3:$A$2477,$A141),2),AC$1),0)</f>
        <v>1</v>
      </c>
      <c r="AD141">
        <f>IFERROR(COUNTIF(OFFSET('Schedule Raw Data'!$A$2,MATCH($A141,'Schedule Raw Data'!$A$3:$A$2477,0),1,COUNTIF('Schedule Raw Data'!$A$3:$A$2477,$A141),2),AD$1),0)</f>
        <v>1</v>
      </c>
      <c r="AE141">
        <f>IFERROR(COUNTIF(OFFSET('Schedule Raw Data'!$A$2,MATCH($A141,'Schedule Raw Data'!$A$3:$A$2477,0),1,COUNTIF('Schedule Raw Data'!$A$3:$A$2477,$A141),2),AE$1),0)</f>
        <v>1</v>
      </c>
      <c r="AF141">
        <f>IFERROR(COUNTIF(OFFSET('Schedule Raw Data'!$A$2,MATCH($A141,'Schedule Raw Data'!$A$3:$A$2477,0),1,COUNTIF('Schedule Raw Data'!$A$3:$A$2477,$A141),2),AF$1),0)</f>
        <v>0</v>
      </c>
      <c r="AG141">
        <f t="shared" si="1"/>
        <v>7</v>
      </c>
    </row>
    <row r="142">
      <c r="A142" s="30">
        <f t="array" ref="A142">INDEX('Schedule Raw Data'!$A$3:$A$2477,MATCH(0,INDEX(COUNTIF($A$1:A141,'Schedule Raw Data'!$A$3:$A$2477),0,0),0))</f>
        <v>46472</v>
      </c>
      <c r="B142">
        <f t="shared" si="2"/>
        <v>21</v>
      </c>
      <c r="C142">
        <f>IFERROR(COUNTIF(OFFSET('Schedule Raw Data'!$A$2,MATCH($A142,'Schedule Raw Data'!$A$3:$A$2477,0),1,COUNTIF('Schedule Raw Data'!$A$3:$A$2477,$A142),2),C$1),0)</f>
        <v>0</v>
      </c>
      <c r="D142">
        <f>IFERROR(COUNTIF(OFFSET('Schedule Raw Data'!$A$2,MATCH($A142,'Schedule Raw Data'!$A$3:$A$2477,0),1,COUNTIF('Schedule Raw Data'!$A$3:$A$2477,$A142),2),D$1),0)</f>
        <v>0</v>
      </c>
      <c r="E142">
        <f>IFERROR(COUNTIF(OFFSET('Schedule Raw Data'!$A$2,MATCH($A142,'Schedule Raw Data'!$A$3:$A$2477,0),1,COUNTIF('Schedule Raw Data'!$A$3:$A$2477,$A142),2),E$1),0)</f>
        <v>0</v>
      </c>
      <c r="F142">
        <f>IFERROR(COUNTIF(OFFSET('Schedule Raw Data'!$A$2,MATCH($A142,'Schedule Raw Data'!$A$3:$A$2477,0),1,COUNTIF('Schedule Raw Data'!$A$3:$A$2477,$A142),2),F$1),0)</f>
        <v>1</v>
      </c>
      <c r="G142">
        <f>IFERROR(COUNTIF(OFFSET('Schedule Raw Data'!$A$2,MATCH($A142,'Schedule Raw Data'!$A$3:$A$2477,0),1,COUNTIF('Schedule Raw Data'!$A$3:$A$2477,$A142),2),G$1),0)</f>
        <v>0</v>
      </c>
      <c r="H142">
        <f>IFERROR(COUNTIF(OFFSET('Schedule Raw Data'!$A$2,MATCH($A142,'Schedule Raw Data'!$A$3:$A$2477,0),1,COUNTIF('Schedule Raw Data'!$A$3:$A$2477,$A142),2),H$1),0)</f>
        <v>0</v>
      </c>
      <c r="I142">
        <f>IFERROR(COUNTIF(OFFSET('Schedule Raw Data'!$A$2,MATCH($A142,'Schedule Raw Data'!$A$3:$A$2477,0),1,COUNTIF('Schedule Raw Data'!$A$3:$A$2477,$A142),2),I$1),0)</f>
        <v>1</v>
      </c>
      <c r="J142">
        <f>IFERROR(COUNTIF(OFFSET('Schedule Raw Data'!$A$2,MATCH($A142,'Schedule Raw Data'!$A$3:$A$2477,0),1,COUNTIF('Schedule Raw Data'!$A$3:$A$2477,$A142),2),J$1),0)</f>
        <v>0</v>
      </c>
      <c r="K142">
        <f>IFERROR(COUNTIF(OFFSET('Schedule Raw Data'!$A$2,MATCH($A142,'Schedule Raw Data'!$A$3:$A$2477,0),1,COUNTIF('Schedule Raw Data'!$A$3:$A$2477,$A142),2),K$1),0)</f>
        <v>0</v>
      </c>
      <c r="L142">
        <f>IFERROR(COUNTIF(OFFSET('Schedule Raw Data'!$A$2,MATCH($A142,'Schedule Raw Data'!$A$3:$A$2477,0),1,COUNTIF('Schedule Raw Data'!$A$3:$A$2477,$A142),2),L$1),0)</f>
        <v>0</v>
      </c>
      <c r="M142">
        <f>IFERROR(COUNTIF(OFFSET('Schedule Raw Data'!$A$2,MATCH($A142,'Schedule Raw Data'!$A$3:$A$2477,0),1,COUNTIF('Schedule Raw Data'!$A$3:$A$2477,$A142),2),M$1),0)</f>
        <v>0</v>
      </c>
      <c r="N142">
        <f>IFERROR(COUNTIF(OFFSET('Schedule Raw Data'!$A$2,MATCH($A142,'Schedule Raw Data'!$A$3:$A$2477,0),1,COUNTIF('Schedule Raw Data'!$A$3:$A$2477,$A142),2),N$1),0)</f>
        <v>0</v>
      </c>
      <c r="O142">
        <f>IFERROR(COUNTIF(OFFSET('Schedule Raw Data'!$A$2,MATCH($A142,'Schedule Raw Data'!$A$3:$A$2477,0),1,COUNTIF('Schedule Raw Data'!$A$3:$A$2477,$A142),2),O$1),0)</f>
        <v>1</v>
      </c>
      <c r="P142">
        <f>IFERROR(COUNTIF(OFFSET('Schedule Raw Data'!$A$2,MATCH($A142,'Schedule Raw Data'!$A$3:$A$2477,0),1,COUNTIF('Schedule Raw Data'!$A$3:$A$2477,$A142),2),P$1),0)</f>
        <v>0</v>
      </c>
      <c r="Q142">
        <f>IFERROR(COUNTIF(OFFSET('Schedule Raw Data'!$A$2,MATCH($A142,'Schedule Raw Data'!$A$3:$A$2477,0),1,COUNTIF('Schedule Raw Data'!$A$3:$A$2477,$A142),2),Q$1),0)</f>
        <v>0</v>
      </c>
      <c r="R142">
        <f>IFERROR(COUNTIF(OFFSET('Schedule Raw Data'!$A$2,MATCH($A142,'Schedule Raw Data'!$A$3:$A$2477,0),1,COUNTIF('Schedule Raw Data'!$A$3:$A$2477,$A142),2),R$1),0)</f>
        <v>0</v>
      </c>
      <c r="S142">
        <f>IFERROR(COUNTIF(OFFSET('Schedule Raw Data'!$A$2,MATCH($A142,'Schedule Raw Data'!$A$3:$A$2477,0),1,COUNTIF('Schedule Raw Data'!$A$3:$A$2477,$A142),2),S$1),0)</f>
        <v>1</v>
      </c>
      <c r="T142">
        <f>IFERROR(COUNTIF(OFFSET('Schedule Raw Data'!$A$2,MATCH($A142,'Schedule Raw Data'!$A$3:$A$2477,0),1,COUNTIF('Schedule Raw Data'!$A$3:$A$2477,$A142),2),T$1),0)</f>
        <v>1</v>
      </c>
      <c r="U142">
        <f>IFERROR(COUNTIF(OFFSET('Schedule Raw Data'!$A$2,MATCH($A142,'Schedule Raw Data'!$A$3:$A$2477,0),1,COUNTIF('Schedule Raw Data'!$A$3:$A$2477,$A142),2),U$1),0)</f>
        <v>1</v>
      </c>
      <c r="V142">
        <f>IFERROR(COUNTIF(OFFSET('Schedule Raw Data'!$A$2,MATCH($A142,'Schedule Raw Data'!$A$3:$A$2477,0),1,COUNTIF('Schedule Raw Data'!$A$3:$A$2477,$A142),2),V$1),0)</f>
        <v>1</v>
      </c>
      <c r="W142">
        <f>IFERROR(COUNTIF(OFFSET('Schedule Raw Data'!$A$2,MATCH($A142,'Schedule Raw Data'!$A$3:$A$2477,0),1,COUNTIF('Schedule Raw Data'!$A$3:$A$2477,$A142),2),W$1),0)</f>
        <v>1</v>
      </c>
      <c r="X142">
        <f>IFERROR(COUNTIF(OFFSET('Schedule Raw Data'!$A$2,MATCH($A142,'Schedule Raw Data'!$A$3:$A$2477,0),1,COUNTIF('Schedule Raw Data'!$A$3:$A$2477,$A142),2),X$1),0)</f>
        <v>1</v>
      </c>
      <c r="Y142">
        <f>IFERROR(COUNTIF(OFFSET('Schedule Raw Data'!$A$2,MATCH($A142,'Schedule Raw Data'!$A$3:$A$2477,0),1,COUNTIF('Schedule Raw Data'!$A$3:$A$2477,$A142),2),Y$1),0)</f>
        <v>1</v>
      </c>
      <c r="Z142">
        <f>IFERROR(COUNTIF(OFFSET('Schedule Raw Data'!$A$2,MATCH($A142,'Schedule Raw Data'!$A$3:$A$2477,0),1,COUNTIF('Schedule Raw Data'!$A$3:$A$2477,$A142),2),Z$1),0)</f>
        <v>1</v>
      </c>
      <c r="AA142">
        <f>IFERROR(COUNTIF(OFFSET('Schedule Raw Data'!$A$2,MATCH($A142,'Schedule Raw Data'!$A$3:$A$2477,0),1,COUNTIF('Schedule Raw Data'!$A$3:$A$2477,$A142),2),AA$1),0)</f>
        <v>1</v>
      </c>
      <c r="AB142">
        <f>IFERROR(COUNTIF(OFFSET('Schedule Raw Data'!$A$2,MATCH($A142,'Schedule Raw Data'!$A$3:$A$2477,0),1,COUNTIF('Schedule Raw Data'!$A$3:$A$2477,$A142),2),AB$1),0)</f>
        <v>0</v>
      </c>
      <c r="AC142">
        <f>IFERROR(COUNTIF(OFFSET('Schedule Raw Data'!$A$2,MATCH($A142,'Schedule Raw Data'!$A$3:$A$2477,0),1,COUNTIF('Schedule Raw Data'!$A$3:$A$2477,$A142),2),AC$1),0)</f>
        <v>0</v>
      </c>
      <c r="AD142">
        <f>IFERROR(COUNTIF(OFFSET('Schedule Raw Data'!$A$2,MATCH($A142,'Schedule Raw Data'!$A$3:$A$2477,0),1,COUNTIF('Schedule Raw Data'!$A$3:$A$2477,$A142),2),AD$1),0)</f>
        <v>0</v>
      </c>
      <c r="AE142">
        <f>IFERROR(COUNTIF(OFFSET('Schedule Raw Data'!$A$2,MATCH($A142,'Schedule Raw Data'!$A$3:$A$2477,0),1,COUNTIF('Schedule Raw Data'!$A$3:$A$2477,$A142),2),AE$1),0)</f>
        <v>0</v>
      </c>
      <c r="AF142">
        <f>IFERROR(COUNTIF(OFFSET('Schedule Raw Data'!$A$2,MATCH($A142,'Schedule Raw Data'!$A$3:$A$2477,0),1,COUNTIF('Schedule Raw Data'!$A$3:$A$2477,$A142),2),AF$1),0)</f>
        <v>0</v>
      </c>
      <c r="AG142">
        <f t="shared" si="1"/>
        <v>6</v>
      </c>
    </row>
    <row r="143">
      <c r="A143" s="30">
        <f t="array" ref="A143">INDEX('Schedule Raw Data'!$A$3:$A$2477,MATCH(0,INDEX(COUNTIF($A$1:A142,'Schedule Raw Data'!$A$3:$A$2477),0,0),0))</f>
        <v>46473</v>
      </c>
      <c r="B143">
        <f t="shared" si="2"/>
        <v>21</v>
      </c>
      <c r="C143">
        <f>IFERROR(COUNTIF(OFFSET('Schedule Raw Data'!$A$2,MATCH($A143,'Schedule Raw Data'!$A$3:$A$2477,0),1,COUNTIF('Schedule Raw Data'!$A$3:$A$2477,$A143),2),C$1),0)</f>
        <v>1</v>
      </c>
      <c r="D143">
        <f>IFERROR(COUNTIF(OFFSET('Schedule Raw Data'!$A$2,MATCH($A143,'Schedule Raw Data'!$A$3:$A$2477,0),1,COUNTIF('Schedule Raw Data'!$A$3:$A$2477,$A143),2),D$1),0)</f>
        <v>0</v>
      </c>
      <c r="E143">
        <f>IFERROR(COUNTIF(OFFSET('Schedule Raw Data'!$A$2,MATCH($A143,'Schedule Raw Data'!$A$3:$A$2477,0),1,COUNTIF('Schedule Raw Data'!$A$3:$A$2477,$A143),2),E$1),0)</f>
        <v>1</v>
      </c>
      <c r="F143">
        <f>IFERROR(COUNTIF(OFFSET('Schedule Raw Data'!$A$2,MATCH($A143,'Schedule Raw Data'!$A$3:$A$2477,0),1,COUNTIF('Schedule Raw Data'!$A$3:$A$2477,$A143),2),F$1),0)</f>
        <v>0</v>
      </c>
      <c r="G143">
        <f>IFERROR(COUNTIF(OFFSET('Schedule Raw Data'!$A$2,MATCH($A143,'Schedule Raw Data'!$A$3:$A$2477,0),1,COUNTIF('Schedule Raw Data'!$A$3:$A$2477,$A143),2),G$1),0)</f>
        <v>1</v>
      </c>
      <c r="H143">
        <f>IFERROR(COUNTIF(OFFSET('Schedule Raw Data'!$A$2,MATCH($A143,'Schedule Raw Data'!$A$3:$A$2477,0),1,COUNTIF('Schedule Raw Data'!$A$3:$A$2477,$A143),2),H$1),0)</f>
        <v>0</v>
      </c>
      <c r="I143">
        <f>IFERROR(COUNTIF(OFFSET('Schedule Raw Data'!$A$2,MATCH($A143,'Schedule Raw Data'!$A$3:$A$2477,0),1,COUNTIF('Schedule Raw Data'!$A$3:$A$2477,$A143),2),I$1),0)</f>
        <v>0</v>
      </c>
      <c r="J143">
        <f>IFERROR(COUNTIF(OFFSET('Schedule Raw Data'!$A$2,MATCH($A143,'Schedule Raw Data'!$A$3:$A$2477,0),1,COUNTIF('Schedule Raw Data'!$A$3:$A$2477,$A143),2),J$1),0)</f>
        <v>0</v>
      </c>
      <c r="K143">
        <f>IFERROR(COUNTIF(OFFSET('Schedule Raw Data'!$A$2,MATCH($A143,'Schedule Raw Data'!$A$3:$A$2477,0),1,COUNTIF('Schedule Raw Data'!$A$3:$A$2477,$A143),2),K$1),0)</f>
        <v>1</v>
      </c>
      <c r="L143">
        <f>IFERROR(COUNTIF(OFFSET('Schedule Raw Data'!$A$2,MATCH($A143,'Schedule Raw Data'!$A$3:$A$2477,0),1,COUNTIF('Schedule Raw Data'!$A$3:$A$2477,$A143),2),L$1),0)</f>
        <v>1</v>
      </c>
      <c r="M143">
        <f>IFERROR(COUNTIF(OFFSET('Schedule Raw Data'!$A$2,MATCH($A143,'Schedule Raw Data'!$A$3:$A$2477,0),1,COUNTIF('Schedule Raw Data'!$A$3:$A$2477,$A143),2),M$1),0)</f>
        <v>0</v>
      </c>
      <c r="N143">
        <f>IFERROR(COUNTIF(OFFSET('Schedule Raw Data'!$A$2,MATCH($A143,'Schedule Raw Data'!$A$3:$A$2477,0),1,COUNTIF('Schedule Raw Data'!$A$3:$A$2477,$A143),2),N$1),0)</f>
        <v>0</v>
      </c>
      <c r="O143">
        <f>IFERROR(COUNTIF(OFFSET('Schedule Raw Data'!$A$2,MATCH($A143,'Schedule Raw Data'!$A$3:$A$2477,0),1,COUNTIF('Schedule Raw Data'!$A$3:$A$2477,$A143),2),O$1),0)</f>
        <v>1</v>
      </c>
      <c r="P143">
        <f>IFERROR(COUNTIF(OFFSET('Schedule Raw Data'!$A$2,MATCH($A143,'Schedule Raw Data'!$A$3:$A$2477,0),1,COUNTIF('Schedule Raw Data'!$A$3:$A$2477,$A143),2),P$1),0)</f>
        <v>0</v>
      </c>
      <c r="Q143">
        <f>IFERROR(COUNTIF(OFFSET('Schedule Raw Data'!$A$2,MATCH($A143,'Schedule Raw Data'!$A$3:$A$2477,0),1,COUNTIF('Schedule Raw Data'!$A$3:$A$2477,$A143),2),Q$1),0)</f>
        <v>0</v>
      </c>
      <c r="R143">
        <f>IFERROR(COUNTIF(OFFSET('Schedule Raw Data'!$A$2,MATCH($A143,'Schedule Raw Data'!$A$3:$A$2477,0),1,COUNTIF('Schedule Raw Data'!$A$3:$A$2477,$A143),2),R$1),0)</f>
        <v>1</v>
      </c>
      <c r="S143">
        <f>IFERROR(COUNTIF(OFFSET('Schedule Raw Data'!$A$2,MATCH($A143,'Schedule Raw Data'!$A$3:$A$2477,0),1,COUNTIF('Schedule Raw Data'!$A$3:$A$2477,$A143),2),S$1),0)</f>
        <v>1</v>
      </c>
      <c r="T143">
        <f>IFERROR(COUNTIF(OFFSET('Schedule Raw Data'!$A$2,MATCH($A143,'Schedule Raw Data'!$A$3:$A$2477,0),1,COUNTIF('Schedule Raw Data'!$A$3:$A$2477,$A143),2),T$1),0)</f>
        <v>0</v>
      </c>
      <c r="U143">
        <f>IFERROR(COUNTIF(OFFSET('Schedule Raw Data'!$A$2,MATCH($A143,'Schedule Raw Data'!$A$3:$A$2477,0),1,COUNTIF('Schedule Raw Data'!$A$3:$A$2477,$A143),2),U$1),0)</f>
        <v>0</v>
      </c>
      <c r="V143">
        <f>IFERROR(COUNTIF(OFFSET('Schedule Raw Data'!$A$2,MATCH($A143,'Schedule Raw Data'!$A$3:$A$2477,0),1,COUNTIF('Schedule Raw Data'!$A$3:$A$2477,$A143),2),V$1),0)</f>
        <v>0</v>
      </c>
      <c r="W143">
        <f>IFERROR(COUNTIF(OFFSET('Schedule Raw Data'!$A$2,MATCH($A143,'Schedule Raw Data'!$A$3:$A$2477,0),1,COUNTIF('Schedule Raw Data'!$A$3:$A$2477,$A143),2),W$1),0)</f>
        <v>0</v>
      </c>
      <c r="X143">
        <f>IFERROR(COUNTIF(OFFSET('Schedule Raw Data'!$A$2,MATCH($A143,'Schedule Raw Data'!$A$3:$A$2477,0),1,COUNTIF('Schedule Raw Data'!$A$3:$A$2477,$A143),2),X$1),0)</f>
        <v>0</v>
      </c>
      <c r="Y143">
        <f>IFERROR(COUNTIF(OFFSET('Schedule Raw Data'!$A$2,MATCH($A143,'Schedule Raw Data'!$A$3:$A$2477,0),1,COUNTIF('Schedule Raw Data'!$A$3:$A$2477,$A143),2),Y$1),0)</f>
        <v>0</v>
      </c>
      <c r="Z143">
        <f>IFERROR(COUNTIF(OFFSET('Schedule Raw Data'!$A$2,MATCH($A143,'Schedule Raw Data'!$A$3:$A$2477,0),1,COUNTIF('Schedule Raw Data'!$A$3:$A$2477,$A143),2),Z$1),0)</f>
        <v>0</v>
      </c>
      <c r="AA143">
        <f>IFERROR(COUNTIF(OFFSET('Schedule Raw Data'!$A$2,MATCH($A143,'Schedule Raw Data'!$A$3:$A$2477,0),1,COUNTIF('Schedule Raw Data'!$A$3:$A$2477,$A143),2),AA$1),0)</f>
        <v>1</v>
      </c>
      <c r="AB143">
        <f>IFERROR(COUNTIF(OFFSET('Schedule Raw Data'!$A$2,MATCH($A143,'Schedule Raw Data'!$A$3:$A$2477,0),1,COUNTIF('Schedule Raw Data'!$A$3:$A$2477,$A143),2),AB$1),0)</f>
        <v>1</v>
      </c>
      <c r="AC143">
        <f>IFERROR(COUNTIF(OFFSET('Schedule Raw Data'!$A$2,MATCH($A143,'Schedule Raw Data'!$A$3:$A$2477,0),1,COUNTIF('Schedule Raw Data'!$A$3:$A$2477,$A143),2),AC$1),0)</f>
        <v>1</v>
      </c>
      <c r="AD143">
        <f>IFERROR(COUNTIF(OFFSET('Schedule Raw Data'!$A$2,MATCH($A143,'Schedule Raw Data'!$A$3:$A$2477,0),1,COUNTIF('Schedule Raw Data'!$A$3:$A$2477,$A143),2),AD$1),0)</f>
        <v>1</v>
      </c>
      <c r="AE143">
        <f>IFERROR(COUNTIF(OFFSET('Schedule Raw Data'!$A$2,MATCH($A143,'Schedule Raw Data'!$A$3:$A$2477,0),1,COUNTIF('Schedule Raw Data'!$A$3:$A$2477,$A143),2),AE$1),0)</f>
        <v>1</v>
      </c>
      <c r="AF143">
        <f>IFERROR(COUNTIF(OFFSET('Schedule Raw Data'!$A$2,MATCH($A143,'Schedule Raw Data'!$A$3:$A$2477,0),1,COUNTIF('Schedule Raw Data'!$A$3:$A$2477,$A143),2),AF$1),0)</f>
        <v>1</v>
      </c>
      <c r="AG143">
        <f t="shared" si="1"/>
        <v>7</v>
      </c>
    </row>
    <row r="144">
      <c r="A144" s="30">
        <f t="array" ref="A144">INDEX('Schedule Raw Data'!$A$3:$A$2477,MATCH(0,INDEX(COUNTIF($A$1:A143,'Schedule Raw Data'!$A$3:$A$2477),0,0),0))</f>
        <v>46474</v>
      </c>
      <c r="B144">
        <f t="shared" si="2"/>
        <v>21</v>
      </c>
      <c r="C144">
        <f>IFERROR(COUNTIF(OFFSET('Schedule Raw Data'!$A$2,MATCH($A144,'Schedule Raw Data'!$A$3:$A$2477,0),1,COUNTIF('Schedule Raw Data'!$A$3:$A$2477,$A144),2),C$1),0)</f>
        <v>0</v>
      </c>
      <c r="D144">
        <f>IFERROR(COUNTIF(OFFSET('Schedule Raw Data'!$A$2,MATCH($A144,'Schedule Raw Data'!$A$3:$A$2477,0),1,COUNTIF('Schedule Raw Data'!$A$3:$A$2477,$A144),2),D$1),0)</f>
        <v>1</v>
      </c>
      <c r="E144">
        <f>IFERROR(COUNTIF(OFFSET('Schedule Raw Data'!$A$2,MATCH($A144,'Schedule Raw Data'!$A$3:$A$2477,0),1,COUNTIF('Schedule Raw Data'!$A$3:$A$2477,$A144),2),E$1),0)</f>
        <v>1</v>
      </c>
      <c r="F144">
        <f>IFERROR(COUNTIF(OFFSET('Schedule Raw Data'!$A$2,MATCH($A144,'Schedule Raw Data'!$A$3:$A$2477,0),1,COUNTIF('Schedule Raw Data'!$A$3:$A$2477,$A144),2),F$1),0)</f>
        <v>1</v>
      </c>
      <c r="G144">
        <f>IFERROR(COUNTIF(OFFSET('Schedule Raw Data'!$A$2,MATCH($A144,'Schedule Raw Data'!$A$3:$A$2477,0),1,COUNTIF('Schedule Raw Data'!$A$3:$A$2477,$A144),2),G$1),0)</f>
        <v>0</v>
      </c>
      <c r="H144">
        <f>IFERROR(COUNTIF(OFFSET('Schedule Raw Data'!$A$2,MATCH($A144,'Schedule Raw Data'!$A$3:$A$2477,0),1,COUNTIF('Schedule Raw Data'!$A$3:$A$2477,$A144),2),H$1),0)</f>
        <v>0</v>
      </c>
      <c r="I144">
        <f>IFERROR(COUNTIF(OFFSET('Schedule Raw Data'!$A$2,MATCH($A144,'Schedule Raw Data'!$A$3:$A$2477,0),1,COUNTIF('Schedule Raw Data'!$A$3:$A$2477,$A144),2),I$1),0)</f>
        <v>1</v>
      </c>
      <c r="J144">
        <f>IFERROR(COUNTIF(OFFSET('Schedule Raw Data'!$A$2,MATCH($A144,'Schedule Raw Data'!$A$3:$A$2477,0),1,COUNTIF('Schedule Raw Data'!$A$3:$A$2477,$A144),2),J$1),0)</f>
        <v>1</v>
      </c>
      <c r="K144">
        <f>IFERROR(COUNTIF(OFFSET('Schedule Raw Data'!$A$2,MATCH($A144,'Schedule Raw Data'!$A$3:$A$2477,0),1,COUNTIF('Schedule Raw Data'!$A$3:$A$2477,$A144),2),K$1),0)</f>
        <v>0</v>
      </c>
      <c r="L144">
        <f>IFERROR(COUNTIF(OFFSET('Schedule Raw Data'!$A$2,MATCH($A144,'Schedule Raw Data'!$A$3:$A$2477,0),1,COUNTIF('Schedule Raw Data'!$A$3:$A$2477,$A144),2),L$1),0)</f>
        <v>0</v>
      </c>
      <c r="M144">
        <f>IFERROR(COUNTIF(OFFSET('Schedule Raw Data'!$A$2,MATCH($A144,'Schedule Raw Data'!$A$3:$A$2477,0),1,COUNTIF('Schedule Raw Data'!$A$3:$A$2477,$A144),2),M$1),0)</f>
        <v>1</v>
      </c>
      <c r="N144">
        <f>IFERROR(COUNTIF(OFFSET('Schedule Raw Data'!$A$2,MATCH($A144,'Schedule Raw Data'!$A$3:$A$2477,0),1,COUNTIF('Schedule Raw Data'!$A$3:$A$2477,$A144),2),N$1),0)</f>
        <v>0</v>
      </c>
      <c r="O144">
        <f>IFERROR(COUNTIF(OFFSET('Schedule Raw Data'!$A$2,MATCH($A144,'Schedule Raw Data'!$A$3:$A$2477,0),1,COUNTIF('Schedule Raw Data'!$A$3:$A$2477,$A144),2),O$1),0)</f>
        <v>0</v>
      </c>
      <c r="P144">
        <f>IFERROR(COUNTIF(OFFSET('Schedule Raw Data'!$A$2,MATCH($A144,'Schedule Raw Data'!$A$3:$A$2477,0),1,COUNTIF('Schedule Raw Data'!$A$3:$A$2477,$A144),2),P$1),0)</f>
        <v>1</v>
      </c>
      <c r="Q144">
        <f>IFERROR(COUNTIF(OFFSET('Schedule Raw Data'!$A$2,MATCH($A144,'Schedule Raw Data'!$A$3:$A$2477,0),1,COUNTIF('Schedule Raw Data'!$A$3:$A$2477,$A144),2),Q$1),0)</f>
        <v>1</v>
      </c>
      <c r="R144">
        <f>IFERROR(COUNTIF(OFFSET('Schedule Raw Data'!$A$2,MATCH($A144,'Schedule Raw Data'!$A$3:$A$2477,0),1,COUNTIF('Schedule Raw Data'!$A$3:$A$2477,$A144),2),R$1),0)</f>
        <v>0</v>
      </c>
      <c r="S144">
        <f>IFERROR(COUNTIF(OFFSET('Schedule Raw Data'!$A$2,MATCH($A144,'Schedule Raw Data'!$A$3:$A$2477,0),1,COUNTIF('Schedule Raw Data'!$A$3:$A$2477,$A144),2),S$1),0)</f>
        <v>0</v>
      </c>
      <c r="T144">
        <f>IFERROR(COUNTIF(OFFSET('Schedule Raw Data'!$A$2,MATCH($A144,'Schedule Raw Data'!$A$3:$A$2477,0),1,COUNTIF('Schedule Raw Data'!$A$3:$A$2477,$A144),2),T$1),0)</f>
        <v>1</v>
      </c>
      <c r="U144">
        <f>IFERROR(COUNTIF(OFFSET('Schedule Raw Data'!$A$2,MATCH($A144,'Schedule Raw Data'!$A$3:$A$2477,0),1,COUNTIF('Schedule Raw Data'!$A$3:$A$2477,$A144),2),U$1),0)</f>
        <v>1</v>
      </c>
      <c r="V144">
        <f>IFERROR(COUNTIF(OFFSET('Schedule Raw Data'!$A$2,MATCH($A144,'Schedule Raw Data'!$A$3:$A$2477,0),1,COUNTIF('Schedule Raw Data'!$A$3:$A$2477,$A144),2),V$1),0)</f>
        <v>1</v>
      </c>
      <c r="W144">
        <f>IFERROR(COUNTIF(OFFSET('Schedule Raw Data'!$A$2,MATCH($A144,'Schedule Raw Data'!$A$3:$A$2477,0),1,COUNTIF('Schedule Raw Data'!$A$3:$A$2477,$A144),2),W$1),0)</f>
        <v>1</v>
      </c>
      <c r="X144">
        <f>IFERROR(COUNTIF(OFFSET('Schedule Raw Data'!$A$2,MATCH($A144,'Schedule Raw Data'!$A$3:$A$2477,0),1,COUNTIF('Schedule Raw Data'!$A$3:$A$2477,$A144),2),X$1),0)</f>
        <v>1</v>
      </c>
      <c r="Y144">
        <f>IFERROR(COUNTIF(OFFSET('Schedule Raw Data'!$A$2,MATCH($A144,'Schedule Raw Data'!$A$3:$A$2477,0),1,COUNTIF('Schedule Raw Data'!$A$3:$A$2477,$A144),2),Y$1),0)</f>
        <v>1</v>
      </c>
      <c r="Z144">
        <f>IFERROR(COUNTIF(OFFSET('Schedule Raw Data'!$A$2,MATCH($A144,'Schedule Raw Data'!$A$3:$A$2477,0),1,COUNTIF('Schedule Raw Data'!$A$3:$A$2477,$A144),2),Z$1),0)</f>
        <v>1</v>
      </c>
      <c r="AA144">
        <f>IFERROR(COUNTIF(OFFSET('Schedule Raw Data'!$A$2,MATCH($A144,'Schedule Raw Data'!$A$3:$A$2477,0),1,COUNTIF('Schedule Raw Data'!$A$3:$A$2477,$A144),2),AA$1),0)</f>
        <v>0</v>
      </c>
      <c r="AB144">
        <f>IFERROR(COUNTIF(OFFSET('Schedule Raw Data'!$A$2,MATCH($A144,'Schedule Raw Data'!$A$3:$A$2477,0),1,COUNTIF('Schedule Raw Data'!$A$3:$A$2477,$A144),2),AB$1),0)</f>
        <v>0</v>
      </c>
      <c r="AC144">
        <f>IFERROR(COUNTIF(OFFSET('Schedule Raw Data'!$A$2,MATCH($A144,'Schedule Raw Data'!$A$3:$A$2477,0),1,COUNTIF('Schedule Raw Data'!$A$3:$A$2477,$A144),2),AC$1),0)</f>
        <v>0</v>
      </c>
      <c r="AD144">
        <f>IFERROR(COUNTIF(OFFSET('Schedule Raw Data'!$A$2,MATCH($A144,'Schedule Raw Data'!$A$3:$A$2477,0),1,COUNTIF('Schedule Raw Data'!$A$3:$A$2477,$A144),2),AD$1),0)</f>
        <v>1</v>
      </c>
      <c r="AE144">
        <f>IFERROR(COUNTIF(OFFSET('Schedule Raw Data'!$A$2,MATCH($A144,'Schedule Raw Data'!$A$3:$A$2477,0),1,COUNTIF('Schedule Raw Data'!$A$3:$A$2477,$A144),2),AE$1),0)</f>
        <v>1</v>
      </c>
      <c r="AF144">
        <f>IFERROR(COUNTIF(OFFSET('Schedule Raw Data'!$A$2,MATCH($A144,'Schedule Raw Data'!$A$3:$A$2477,0),1,COUNTIF('Schedule Raw Data'!$A$3:$A$2477,$A144),2),AF$1),0)</f>
        <v>1</v>
      </c>
      <c r="AG144">
        <f t="shared" si="1"/>
        <v>9</v>
      </c>
    </row>
    <row r="145">
      <c r="A145" s="30">
        <f t="array" ref="A145">INDEX('Schedule Raw Data'!$A$3:$A$2477,MATCH(0,INDEX(COUNTIF($A$1:A144,'Schedule Raw Data'!$A$3:$A$2477),0,0),0))</f>
        <v>46475</v>
      </c>
      <c r="B145">
        <f t="shared" si="2"/>
        <v>22</v>
      </c>
      <c r="C145">
        <f>IFERROR(COUNTIF(OFFSET('Schedule Raw Data'!$A$2,MATCH($A145,'Schedule Raw Data'!$A$3:$A$2477,0),1,COUNTIF('Schedule Raw Data'!$A$3:$A$2477,$A145),2),C$1),0)</f>
        <v>1</v>
      </c>
      <c r="D145">
        <f>IFERROR(COUNTIF(OFFSET('Schedule Raw Data'!$A$2,MATCH($A145,'Schedule Raw Data'!$A$3:$A$2477,0),1,COUNTIF('Schedule Raw Data'!$A$3:$A$2477,$A145),2),D$1),0)</f>
        <v>1</v>
      </c>
      <c r="E145">
        <f>IFERROR(COUNTIF(OFFSET('Schedule Raw Data'!$A$2,MATCH($A145,'Schedule Raw Data'!$A$3:$A$2477,0),1,COUNTIF('Schedule Raw Data'!$A$3:$A$2477,$A145),2),E$1),0)</f>
        <v>0</v>
      </c>
      <c r="F145">
        <f>IFERROR(COUNTIF(OFFSET('Schedule Raw Data'!$A$2,MATCH($A145,'Schedule Raw Data'!$A$3:$A$2477,0),1,COUNTIF('Schedule Raw Data'!$A$3:$A$2477,$A145),2),F$1),0)</f>
        <v>0</v>
      </c>
      <c r="G145">
        <f>IFERROR(COUNTIF(OFFSET('Schedule Raw Data'!$A$2,MATCH($A145,'Schedule Raw Data'!$A$3:$A$2477,0),1,COUNTIF('Schedule Raw Data'!$A$3:$A$2477,$A145),2),G$1),0)</f>
        <v>1</v>
      </c>
      <c r="H145">
        <f>IFERROR(COUNTIF(OFFSET('Schedule Raw Data'!$A$2,MATCH($A145,'Schedule Raw Data'!$A$3:$A$2477,0),1,COUNTIF('Schedule Raw Data'!$A$3:$A$2477,$A145),2),H$1),0)</f>
        <v>1</v>
      </c>
      <c r="I145">
        <f>IFERROR(COUNTIF(OFFSET('Schedule Raw Data'!$A$2,MATCH($A145,'Schedule Raw Data'!$A$3:$A$2477,0),1,COUNTIF('Schedule Raw Data'!$A$3:$A$2477,$A145),2),I$1),0)</f>
        <v>1</v>
      </c>
      <c r="J145">
        <f>IFERROR(COUNTIF(OFFSET('Schedule Raw Data'!$A$2,MATCH($A145,'Schedule Raw Data'!$A$3:$A$2477,0),1,COUNTIF('Schedule Raw Data'!$A$3:$A$2477,$A145),2),J$1),0)</f>
        <v>1</v>
      </c>
      <c r="K145">
        <f>IFERROR(COUNTIF(OFFSET('Schedule Raw Data'!$A$2,MATCH($A145,'Schedule Raw Data'!$A$3:$A$2477,0),1,COUNTIF('Schedule Raw Data'!$A$3:$A$2477,$A145),2),K$1),0)</f>
        <v>1</v>
      </c>
      <c r="L145">
        <f>IFERROR(COUNTIF(OFFSET('Schedule Raw Data'!$A$2,MATCH($A145,'Schedule Raw Data'!$A$3:$A$2477,0),1,COUNTIF('Schedule Raw Data'!$A$3:$A$2477,$A145),2),L$1),0)</f>
        <v>1</v>
      </c>
      <c r="M145">
        <f>IFERROR(COUNTIF(OFFSET('Schedule Raw Data'!$A$2,MATCH($A145,'Schedule Raw Data'!$A$3:$A$2477,0),1,COUNTIF('Schedule Raw Data'!$A$3:$A$2477,$A145),2),M$1),0)</f>
        <v>0</v>
      </c>
      <c r="N145">
        <f>IFERROR(COUNTIF(OFFSET('Schedule Raw Data'!$A$2,MATCH($A145,'Schedule Raw Data'!$A$3:$A$2477,0),1,COUNTIF('Schedule Raw Data'!$A$3:$A$2477,$A145),2),N$1),0)</f>
        <v>1</v>
      </c>
      <c r="O145">
        <f>IFERROR(COUNTIF(OFFSET('Schedule Raw Data'!$A$2,MATCH($A145,'Schedule Raw Data'!$A$3:$A$2477,0),1,COUNTIF('Schedule Raw Data'!$A$3:$A$2477,$A145),2),O$1),0)</f>
        <v>1</v>
      </c>
      <c r="P145">
        <f>IFERROR(COUNTIF(OFFSET('Schedule Raw Data'!$A$2,MATCH($A145,'Schedule Raw Data'!$A$3:$A$2477,0),1,COUNTIF('Schedule Raw Data'!$A$3:$A$2477,$A145),2),P$1),0)</f>
        <v>0</v>
      </c>
      <c r="Q145">
        <f>IFERROR(COUNTIF(OFFSET('Schedule Raw Data'!$A$2,MATCH($A145,'Schedule Raw Data'!$A$3:$A$2477,0),1,COUNTIF('Schedule Raw Data'!$A$3:$A$2477,$A145),2),Q$1),0)</f>
        <v>0</v>
      </c>
      <c r="R145">
        <f>IFERROR(COUNTIF(OFFSET('Schedule Raw Data'!$A$2,MATCH($A145,'Schedule Raw Data'!$A$3:$A$2477,0),1,COUNTIF('Schedule Raw Data'!$A$3:$A$2477,$A145),2),R$1),0)</f>
        <v>1</v>
      </c>
      <c r="S145">
        <f>IFERROR(COUNTIF(OFFSET('Schedule Raw Data'!$A$2,MATCH($A145,'Schedule Raw Data'!$A$3:$A$2477,0),1,COUNTIF('Schedule Raw Data'!$A$3:$A$2477,$A145),2),S$1),0)</f>
        <v>1</v>
      </c>
      <c r="T145">
        <f>IFERROR(COUNTIF(OFFSET('Schedule Raw Data'!$A$2,MATCH($A145,'Schedule Raw Data'!$A$3:$A$2477,0),1,COUNTIF('Schedule Raw Data'!$A$3:$A$2477,$A145),2),T$1),0)</f>
        <v>1</v>
      </c>
      <c r="U145">
        <f>IFERROR(COUNTIF(OFFSET('Schedule Raw Data'!$A$2,MATCH($A145,'Schedule Raw Data'!$A$3:$A$2477,0),1,COUNTIF('Schedule Raw Data'!$A$3:$A$2477,$A145),2),U$1),0)</f>
        <v>0</v>
      </c>
      <c r="V145">
        <f>IFERROR(COUNTIF(OFFSET('Schedule Raw Data'!$A$2,MATCH($A145,'Schedule Raw Data'!$A$3:$A$2477,0),1,COUNTIF('Schedule Raw Data'!$A$3:$A$2477,$A145),2),V$1),0)</f>
        <v>0</v>
      </c>
      <c r="W145">
        <f>IFERROR(COUNTIF(OFFSET('Schedule Raw Data'!$A$2,MATCH($A145,'Schedule Raw Data'!$A$3:$A$2477,0),1,COUNTIF('Schedule Raw Data'!$A$3:$A$2477,$A145),2),W$1),0)</f>
        <v>0</v>
      </c>
      <c r="X145">
        <f>IFERROR(COUNTIF(OFFSET('Schedule Raw Data'!$A$2,MATCH($A145,'Schedule Raw Data'!$A$3:$A$2477,0),1,COUNTIF('Schedule Raw Data'!$A$3:$A$2477,$A145),2),X$1),0)</f>
        <v>0</v>
      </c>
      <c r="Y145">
        <f>IFERROR(COUNTIF(OFFSET('Schedule Raw Data'!$A$2,MATCH($A145,'Schedule Raw Data'!$A$3:$A$2477,0),1,COUNTIF('Schedule Raw Data'!$A$3:$A$2477,$A145),2),Y$1),0)</f>
        <v>0</v>
      </c>
      <c r="Z145">
        <f>IFERROR(COUNTIF(OFFSET('Schedule Raw Data'!$A$2,MATCH($A145,'Schedule Raw Data'!$A$3:$A$2477,0),1,COUNTIF('Schedule Raw Data'!$A$3:$A$2477,$A145),2),Z$1),0)</f>
        <v>1</v>
      </c>
      <c r="AA145">
        <f>IFERROR(COUNTIF(OFFSET('Schedule Raw Data'!$A$2,MATCH($A145,'Schedule Raw Data'!$A$3:$A$2477,0),1,COUNTIF('Schedule Raw Data'!$A$3:$A$2477,$A145),2),AA$1),0)</f>
        <v>0</v>
      </c>
      <c r="AB145">
        <f>IFERROR(COUNTIF(OFFSET('Schedule Raw Data'!$A$2,MATCH($A145,'Schedule Raw Data'!$A$3:$A$2477,0),1,COUNTIF('Schedule Raw Data'!$A$3:$A$2477,$A145),2),AB$1),0)</f>
        <v>1</v>
      </c>
      <c r="AC145">
        <f>IFERROR(COUNTIF(OFFSET('Schedule Raw Data'!$A$2,MATCH($A145,'Schedule Raw Data'!$A$3:$A$2477,0),1,COUNTIF('Schedule Raw Data'!$A$3:$A$2477,$A145),2),AC$1),0)</f>
        <v>1</v>
      </c>
      <c r="AD145">
        <f>IFERROR(COUNTIF(OFFSET('Schedule Raw Data'!$A$2,MATCH($A145,'Schedule Raw Data'!$A$3:$A$2477,0),1,COUNTIF('Schedule Raw Data'!$A$3:$A$2477,$A145),2),AD$1),0)</f>
        <v>0</v>
      </c>
      <c r="AE145">
        <f>IFERROR(COUNTIF(OFFSET('Schedule Raw Data'!$A$2,MATCH($A145,'Schedule Raw Data'!$A$3:$A$2477,0),1,COUNTIF('Schedule Raw Data'!$A$3:$A$2477,$A145),2),AE$1),0)</f>
        <v>0</v>
      </c>
      <c r="AF145">
        <f>IFERROR(COUNTIF(OFFSET('Schedule Raw Data'!$A$2,MATCH($A145,'Schedule Raw Data'!$A$3:$A$2477,0),1,COUNTIF('Schedule Raw Data'!$A$3:$A$2477,$A145),2),AF$1),0)</f>
        <v>0</v>
      </c>
      <c r="AG145">
        <f t="shared" si="1"/>
        <v>8</v>
      </c>
    </row>
    <row r="146">
      <c r="A146" s="30">
        <f t="array" ref="A146">INDEX('Schedule Raw Data'!$A$3:$A$2477,MATCH(0,INDEX(COUNTIF($A$1:A145,'Schedule Raw Data'!$A$3:$A$2477),0,0),0))</f>
        <v>46476</v>
      </c>
      <c r="B146">
        <f t="shared" si="2"/>
        <v>22</v>
      </c>
      <c r="C146">
        <f>IFERROR(COUNTIF(OFFSET('Schedule Raw Data'!$A$2,MATCH($A146,'Schedule Raw Data'!$A$3:$A$2477,0),1,COUNTIF('Schedule Raw Data'!$A$3:$A$2477,$A146),2),C$1),0)</f>
        <v>0</v>
      </c>
      <c r="D146">
        <f>IFERROR(COUNTIF(OFFSET('Schedule Raw Data'!$A$2,MATCH($A146,'Schedule Raw Data'!$A$3:$A$2477,0),1,COUNTIF('Schedule Raw Data'!$A$3:$A$2477,$A146),2),D$1),0)</f>
        <v>0</v>
      </c>
      <c r="E146">
        <f>IFERROR(COUNTIF(OFFSET('Schedule Raw Data'!$A$2,MATCH($A146,'Schedule Raw Data'!$A$3:$A$2477,0),1,COUNTIF('Schedule Raw Data'!$A$3:$A$2477,$A146),2),E$1),0)</f>
        <v>1</v>
      </c>
      <c r="F146">
        <f>IFERROR(COUNTIF(OFFSET('Schedule Raw Data'!$A$2,MATCH($A146,'Schedule Raw Data'!$A$3:$A$2477,0),1,COUNTIF('Schedule Raw Data'!$A$3:$A$2477,$A146),2),F$1),0)</f>
        <v>1</v>
      </c>
      <c r="G146">
        <f>IFERROR(COUNTIF(OFFSET('Schedule Raw Data'!$A$2,MATCH($A146,'Schedule Raw Data'!$A$3:$A$2477,0),1,COUNTIF('Schedule Raw Data'!$A$3:$A$2477,$A146),2),G$1),0)</f>
        <v>0</v>
      </c>
      <c r="H146">
        <f>IFERROR(COUNTIF(OFFSET('Schedule Raw Data'!$A$2,MATCH($A146,'Schedule Raw Data'!$A$3:$A$2477,0),1,COUNTIF('Schedule Raw Data'!$A$3:$A$2477,$A146),2),H$1),0)</f>
        <v>0</v>
      </c>
      <c r="I146">
        <f>IFERROR(COUNTIF(OFFSET('Schedule Raw Data'!$A$2,MATCH($A146,'Schedule Raw Data'!$A$3:$A$2477,0),1,COUNTIF('Schedule Raw Data'!$A$3:$A$2477,$A146),2),I$1),0)</f>
        <v>0</v>
      </c>
      <c r="J146">
        <f>IFERROR(COUNTIF(OFFSET('Schedule Raw Data'!$A$2,MATCH($A146,'Schedule Raw Data'!$A$3:$A$2477,0),1,COUNTIF('Schedule Raw Data'!$A$3:$A$2477,$A146),2),J$1),0)</f>
        <v>0</v>
      </c>
      <c r="K146">
        <f>IFERROR(COUNTIF(OFFSET('Schedule Raw Data'!$A$2,MATCH($A146,'Schedule Raw Data'!$A$3:$A$2477,0),1,COUNTIF('Schedule Raw Data'!$A$3:$A$2477,$A146),2),K$1),0)</f>
        <v>0</v>
      </c>
      <c r="L146">
        <f>IFERROR(COUNTIF(OFFSET('Schedule Raw Data'!$A$2,MATCH($A146,'Schedule Raw Data'!$A$3:$A$2477,0),1,COUNTIF('Schedule Raw Data'!$A$3:$A$2477,$A146),2),L$1),0)</f>
        <v>0</v>
      </c>
      <c r="M146">
        <f>IFERROR(COUNTIF(OFFSET('Schedule Raw Data'!$A$2,MATCH($A146,'Schedule Raw Data'!$A$3:$A$2477,0),1,COUNTIF('Schedule Raw Data'!$A$3:$A$2477,$A146),2),M$1),0)</f>
        <v>1</v>
      </c>
      <c r="N146">
        <f>IFERROR(COUNTIF(OFFSET('Schedule Raw Data'!$A$2,MATCH($A146,'Schedule Raw Data'!$A$3:$A$2477,0),1,COUNTIF('Schedule Raw Data'!$A$3:$A$2477,$A146),2),N$1),0)</f>
        <v>1</v>
      </c>
      <c r="O146">
        <f>IFERROR(COUNTIF(OFFSET('Schedule Raw Data'!$A$2,MATCH($A146,'Schedule Raw Data'!$A$3:$A$2477,0),1,COUNTIF('Schedule Raw Data'!$A$3:$A$2477,$A146),2),O$1),0)</f>
        <v>0</v>
      </c>
      <c r="P146">
        <f>IFERROR(COUNTIF(OFFSET('Schedule Raw Data'!$A$2,MATCH($A146,'Schedule Raw Data'!$A$3:$A$2477,0),1,COUNTIF('Schedule Raw Data'!$A$3:$A$2477,$A146),2),P$1),0)</f>
        <v>1</v>
      </c>
      <c r="Q146">
        <f>IFERROR(COUNTIF(OFFSET('Schedule Raw Data'!$A$2,MATCH($A146,'Schedule Raw Data'!$A$3:$A$2477,0),1,COUNTIF('Schedule Raw Data'!$A$3:$A$2477,$A146),2),Q$1),0)</f>
        <v>1</v>
      </c>
      <c r="R146">
        <f>IFERROR(COUNTIF(OFFSET('Schedule Raw Data'!$A$2,MATCH($A146,'Schedule Raw Data'!$A$3:$A$2477,0),1,COUNTIF('Schedule Raw Data'!$A$3:$A$2477,$A146),2),R$1),0)</f>
        <v>1</v>
      </c>
      <c r="S146">
        <f>IFERROR(COUNTIF(OFFSET('Schedule Raw Data'!$A$2,MATCH($A146,'Schedule Raw Data'!$A$3:$A$2477,0),1,COUNTIF('Schedule Raw Data'!$A$3:$A$2477,$A146),2),S$1),0)</f>
        <v>0</v>
      </c>
      <c r="T146">
        <f>IFERROR(COUNTIF(OFFSET('Schedule Raw Data'!$A$2,MATCH($A146,'Schedule Raw Data'!$A$3:$A$2477,0),1,COUNTIF('Schedule Raw Data'!$A$3:$A$2477,$A146),2),T$1),0)</f>
        <v>0</v>
      </c>
      <c r="U146">
        <f>IFERROR(COUNTIF(OFFSET('Schedule Raw Data'!$A$2,MATCH($A146,'Schedule Raw Data'!$A$3:$A$2477,0),1,COUNTIF('Schedule Raw Data'!$A$3:$A$2477,$A146),2),U$1),0)</f>
        <v>0</v>
      </c>
      <c r="V146">
        <f>IFERROR(COUNTIF(OFFSET('Schedule Raw Data'!$A$2,MATCH($A146,'Schedule Raw Data'!$A$3:$A$2477,0),1,COUNTIF('Schedule Raw Data'!$A$3:$A$2477,$A146),2),V$1),0)</f>
        <v>1</v>
      </c>
      <c r="W146">
        <f>IFERROR(COUNTIF(OFFSET('Schedule Raw Data'!$A$2,MATCH($A146,'Schedule Raw Data'!$A$3:$A$2477,0),1,COUNTIF('Schedule Raw Data'!$A$3:$A$2477,$A146),2),W$1),0)</f>
        <v>1</v>
      </c>
      <c r="X146">
        <f>IFERROR(COUNTIF(OFFSET('Schedule Raw Data'!$A$2,MATCH($A146,'Schedule Raw Data'!$A$3:$A$2477,0),1,COUNTIF('Schedule Raw Data'!$A$3:$A$2477,$A146),2),X$1),0)</f>
        <v>1</v>
      </c>
      <c r="Y146">
        <f>IFERROR(COUNTIF(OFFSET('Schedule Raw Data'!$A$2,MATCH($A146,'Schedule Raw Data'!$A$3:$A$2477,0),1,COUNTIF('Schedule Raw Data'!$A$3:$A$2477,$A146),2),Y$1),0)</f>
        <v>0</v>
      </c>
      <c r="Z146">
        <f>IFERROR(COUNTIF(OFFSET('Schedule Raw Data'!$A$2,MATCH($A146,'Schedule Raw Data'!$A$3:$A$2477,0),1,COUNTIF('Schedule Raw Data'!$A$3:$A$2477,$A146),2),Z$1),0)</f>
        <v>0</v>
      </c>
      <c r="AA146">
        <f>IFERROR(COUNTIF(OFFSET('Schedule Raw Data'!$A$2,MATCH($A146,'Schedule Raw Data'!$A$3:$A$2477,0),1,COUNTIF('Schedule Raw Data'!$A$3:$A$2477,$A146),2),AA$1),0)</f>
        <v>1</v>
      </c>
      <c r="AB146">
        <f>IFERROR(COUNTIF(OFFSET('Schedule Raw Data'!$A$2,MATCH($A146,'Schedule Raw Data'!$A$3:$A$2477,0),1,COUNTIF('Schedule Raw Data'!$A$3:$A$2477,$A146),2),AB$1),0)</f>
        <v>0</v>
      </c>
      <c r="AC146">
        <f>IFERROR(COUNTIF(OFFSET('Schedule Raw Data'!$A$2,MATCH($A146,'Schedule Raw Data'!$A$3:$A$2477,0),1,COUNTIF('Schedule Raw Data'!$A$3:$A$2477,$A146),2),AC$1),0)</f>
        <v>0</v>
      </c>
      <c r="AD146">
        <f>IFERROR(COUNTIF(OFFSET('Schedule Raw Data'!$A$2,MATCH($A146,'Schedule Raw Data'!$A$3:$A$2477,0),1,COUNTIF('Schedule Raw Data'!$A$3:$A$2477,$A146),2),AD$1),0)</f>
        <v>0</v>
      </c>
      <c r="AE146">
        <f>IFERROR(COUNTIF(OFFSET('Schedule Raw Data'!$A$2,MATCH($A146,'Schedule Raw Data'!$A$3:$A$2477,0),1,COUNTIF('Schedule Raw Data'!$A$3:$A$2477,$A146),2),AE$1),0)</f>
        <v>1</v>
      </c>
      <c r="AF146">
        <f>IFERROR(COUNTIF(OFFSET('Schedule Raw Data'!$A$2,MATCH($A146,'Schedule Raw Data'!$A$3:$A$2477,0),1,COUNTIF('Schedule Raw Data'!$A$3:$A$2477,$A146),2),AF$1),0)</f>
        <v>0</v>
      </c>
      <c r="AG146">
        <f t="shared" si="1"/>
        <v>6</v>
      </c>
    </row>
    <row r="147">
      <c r="A147" s="30">
        <f t="array" ref="A147">INDEX('Schedule Raw Data'!$A$3:$A$2477,MATCH(0,INDEX(COUNTIF($A$1:A146,'Schedule Raw Data'!$A$3:$A$2477),0,0),0))</f>
        <v>46477</v>
      </c>
      <c r="B147">
        <f t="shared" si="2"/>
        <v>22</v>
      </c>
      <c r="C147">
        <f>IFERROR(COUNTIF(OFFSET('Schedule Raw Data'!$A$2,MATCH($A147,'Schedule Raw Data'!$A$3:$A$2477,0),1,COUNTIF('Schedule Raw Data'!$A$3:$A$2477,$A147),2),C$1),0)</f>
        <v>1</v>
      </c>
      <c r="D147">
        <f>IFERROR(COUNTIF(OFFSET('Schedule Raw Data'!$A$2,MATCH($A147,'Schedule Raw Data'!$A$3:$A$2477,0),1,COUNTIF('Schedule Raw Data'!$A$3:$A$2477,$A147),2),D$1),0)</f>
        <v>1</v>
      </c>
      <c r="E147">
        <f>IFERROR(COUNTIF(OFFSET('Schedule Raw Data'!$A$2,MATCH($A147,'Schedule Raw Data'!$A$3:$A$2477,0),1,COUNTIF('Schedule Raw Data'!$A$3:$A$2477,$A147),2),E$1),0)</f>
        <v>0</v>
      </c>
      <c r="F147">
        <f>IFERROR(COUNTIF(OFFSET('Schedule Raw Data'!$A$2,MATCH($A147,'Schedule Raw Data'!$A$3:$A$2477,0),1,COUNTIF('Schedule Raw Data'!$A$3:$A$2477,$A147),2),F$1),0)</f>
        <v>0</v>
      </c>
      <c r="G147">
        <f>IFERROR(COUNTIF(OFFSET('Schedule Raw Data'!$A$2,MATCH($A147,'Schedule Raw Data'!$A$3:$A$2477,0),1,COUNTIF('Schedule Raw Data'!$A$3:$A$2477,$A147),2),G$1),0)</f>
        <v>1</v>
      </c>
      <c r="H147">
        <f>IFERROR(COUNTIF(OFFSET('Schedule Raw Data'!$A$2,MATCH($A147,'Schedule Raw Data'!$A$3:$A$2477,0),1,COUNTIF('Schedule Raw Data'!$A$3:$A$2477,$A147),2),H$1),0)</f>
        <v>1</v>
      </c>
      <c r="I147">
        <f>IFERROR(COUNTIF(OFFSET('Schedule Raw Data'!$A$2,MATCH($A147,'Schedule Raw Data'!$A$3:$A$2477,0),1,COUNTIF('Schedule Raw Data'!$A$3:$A$2477,$A147),2),I$1),0)</f>
        <v>1</v>
      </c>
      <c r="J147">
        <f>IFERROR(COUNTIF(OFFSET('Schedule Raw Data'!$A$2,MATCH($A147,'Schedule Raw Data'!$A$3:$A$2477,0),1,COUNTIF('Schedule Raw Data'!$A$3:$A$2477,$A147),2),J$1),0)</f>
        <v>1</v>
      </c>
      <c r="K147">
        <f>IFERROR(COUNTIF(OFFSET('Schedule Raw Data'!$A$2,MATCH($A147,'Schedule Raw Data'!$A$3:$A$2477,0),1,COUNTIF('Schedule Raw Data'!$A$3:$A$2477,$A147),2),K$1),0)</f>
        <v>1</v>
      </c>
      <c r="L147">
        <f>IFERROR(COUNTIF(OFFSET('Schedule Raw Data'!$A$2,MATCH($A147,'Schedule Raw Data'!$A$3:$A$2477,0),1,COUNTIF('Schedule Raw Data'!$A$3:$A$2477,$A147),2),L$1),0)</f>
        <v>1</v>
      </c>
      <c r="M147">
        <f>IFERROR(COUNTIF(OFFSET('Schedule Raw Data'!$A$2,MATCH($A147,'Schedule Raw Data'!$A$3:$A$2477,0),1,COUNTIF('Schedule Raw Data'!$A$3:$A$2477,$A147),2),M$1),0)</f>
        <v>1</v>
      </c>
      <c r="N147">
        <f>IFERROR(COUNTIF(OFFSET('Schedule Raw Data'!$A$2,MATCH($A147,'Schedule Raw Data'!$A$3:$A$2477,0),1,COUNTIF('Schedule Raw Data'!$A$3:$A$2477,$A147),2),N$1),0)</f>
        <v>0</v>
      </c>
      <c r="O147">
        <f>IFERROR(COUNTIF(OFFSET('Schedule Raw Data'!$A$2,MATCH($A147,'Schedule Raw Data'!$A$3:$A$2477,0),1,COUNTIF('Schedule Raw Data'!$A$3:$A$2477,$A147),2),O$1),0)</f>
        <v>1</v>
      </c>
      <c r="P147">
        <f>IFERROR(COUNTIF(OFFSET('Schedule Raw Data'!$A$2,MATCH($A147,'Schedule Raw Data'!$A$3:$A$2477,0),1,COUNTIF('Schedule Raw Data'!$A$3:$A$2477,$A147),2),P$1),0)</f>
        <v>0</v>
      </c>
      <c r="Q147">
        <f>IFERROR(COUNTIF(OFFSET('Schedule Raw Data'!$A$2,MATCH($A147,'Schedule Raw Data'!$A$3:$A$2477,0),1,COUNTIF('Schedule Raw Data'!$A$3:$A$2477,$A147),2),Q$1),0)</f>
        <v>0</v>
      </c>
      <c r="R147">
        <f>IFERROR(COUNTIF(OFFSET('Schedule Raw Data'!$A$2,MATCH($A147,'Schedule Raw Data'!$A$3:$A$2477,0),1,COUNTIF('Schedule Raw Data'!$A$3:$A$2477,$A147),2),R$1),0)</f>
        <v>0</v>
      </c>
      <c r="S147">
        <f>IFERROR(COUNTIF(OFFSET('Schedule Raw Data'!$A$2,MATCH($A147,'Schedule Raw Data'!$A$3:$A$2477,0),1,COUNTIF('Schedule Raw Data'!$A$3:$A$2477,$A147),2),S$1),0)</f>
        <v>1</v>
      </c>
      <c r="T147">
        <f>IFERROR(COUNTIF(OFFSET('Schedule Raw Data'!$A$2,MATCH($A147,'Schedule Raw Data'!$A$3:$A$2477,0),1,COUNTIF('Schedule Raw Data'!$A$3:$A$2477,$A147),2),T$1),0)</f>
        <v>1</v>
      </c>
      <c r="U147">
        <f>IFERROR(COUNTIF(OFFSET('Schedule Raw Data'!$A$2,MATCH($A147,'Schedule Raw Data'!$A$3:$A$2477,0),1,COUNTIF('Schedule Raw Data'!$A$3:$A$2477,$A147),2),U$1),0)</f>
        <v>1</v>
      </c>
      <c r="V147">
        <f>IFERROR(COUNTIF(OFFSET('Schedule Raw Data'!$A$2,MATCH($A147,'Schedule Raw Data'!$A$3:$A$2477,0),1,COUNTIF('Schedule Raw Data'!$A$3:$A$2477,$A147),2),V$1),0)</f>
        <v>0</v>
      </c>
      <c r="W147">
        <f>IFERROR(COUNTIF(OFFSET('Schedule Raw Data'!$A$2,MATCH($A147,'Schedule Raw Data'!$A$3:$A$2477,0),1,COUNTIF('Schedule Raw Data'!$A$3:$A$2477,$A147),2),W$1),0)</f>
        <v>0</v>
      </c>
      <c r="X147">
        <f>IFERROR(COUNTIF(OFFSET('Schedule Raw Data'!$A$2,MATCH($A147,'Schedule Raw Data'!$A$3:$A$2477,0),1,COUNTIF('Schedule Raw Data'!$A$3:$A$2477,$A147),2),X$1),0)</f>
        <v>0</v>
      </c>
      <c r="Y147">
        <f>IFERROR(COUNTIF(OFFSET('Schedule Raw Data'!$A$2,MATCH($A147,'Schedule Raw Data'!$A$3:$A$2477,0),1,COUNTIF('Schedule Raw Data'!$A$3:$A$2477,$A147),2),Y$1),0)</f>
        <v>1</v>
      </c>
      <c r="Z147">
        <f>IFERROR(COUNTIF(OFFSET('Schedule Raw Data'!$A$2,MATCH($A147,'Schedule Raw Data'!$A$3:$A$2477,0),1,COUNTIF('Schedule Raw Data'!$A$3:$A$2477,$A147),2),Z$1),0)</f>
        <v>1</v>
      </c>
      <c r="AA147">
        <f>IFERROR(COUNTIF(OFFSET('Schedule Raw Data'!$A$2,MATCH($A147,'Schedule Raw Data'!$A$3:$A$2477,0),1,COUNTIF('Schedule Raw Data'!$A$3:$A$2477,$A147),2),AA$1),0)</f>
        <v>1</v>
      </c>
      <c r="AB147">
        <f>IFERROR(COUNTIF(OFFSET('Schedule Raw Data'!$A$2,MATCH($A147,'Schedule Raw Data'!$A$3:$A$2477,0),1,COUNTIF('Schedule Raw Data'!$A$3:$A$2477,$A147),2),AB$1),0)</f>
        <v>1</v>
      </c>
      <c r="AC147">
        <f>IFERROR(COUNTIF(OFFSET('Schedule Raw Data'!$A$2,MATCH($A147,'Schedule Raw Data'!$A$3:$A$2477,0),1,COUNTIF('Schedule Raw Data'!$A$3:$A$2477,$A147),2),AC$1),0)</f>
        <v>1</v>
      </c>
      <c r="AD147">
        <f>IFERROR(COUNTIF(OFFSET('Schedule Raw Data'!$A$2,MATCH($A147,'Schedule Raw Data'!$A$3:$A$2477,0),1,COUNTIF('Schedule Raw Data'!$A$3:$A$2477,$A147),2),AD$1),0)</f>
        <v>1</v>
      </c>
      <c r="AE147">
        <f>IFERROR(COUNTIF(OFFSET('Schedule Raw Data'!$A$2,MATCH($A147,'Schedule Raw Data'!$A$3:$A$2477,0),1,COUNTIF('Schedule Raw Data'!$A$3:$A$2477,$A147),2),AE$1),0)</f>
        <v>0</v>
      </c>
      <c r="AF147">
        <f>IFERROR(COUNTIF(OFFSET('Schedule Raw Data'!$A$2,MATCH($A147,'Schedule Raw Data'!$A$3:$A$2477,0),1,COUNTIF('Schedule Raw Data'!$A$3:$A$2477,$A147),2),AF$1),0)</f>
        <v>1</v>
      </c>
      <c r="AG147">
        <f t="shared" si="1"/>
        <v>10</v>
      </c>
    </row>
    <row r="148">
      <c r="A148" s="30">
        <f t="array" ref="A148">INDEX('Schedule Raw Data'!$A$3:$A$2477,MATCH(0,INDEX(COUNTIF($A$1:A147,'Schedule Raw Data'!$A$3:$A$2477),0,0),0))</f>
        <v>46478</v>
      </c>
      <c r="B148">
        <f t="shared" si="2"/>
        <v>22</v>
      </c>
      <c r="C148">
        <f>IFERROR(COUNTIF(OFFSET('Schedule Raw Data'!$A$2,MATCH($A148,'Schedule Raw Data'!$A$3:$A$2477,0),1,COUNTIF('Schedule Raw Data'!$A$3:$A$2477,$A148),2),C$1),0)</f>
        <v>0</v>
      </c>
      <c r="D148">
        <f>IFERROR(COUNTIF(OFFSET('Schedule Raw Data'!$A$2,MATCH($A148,'Schedule Raw Data'!$A$3:$A$2477,0),1,COUNTIF('Schedule Raw Data'!$A$3:$A$2477,$A148),2),D$1),0)</f>
        <v>0</v>
      </c>
      <c r="E148">
        <f>IFERROR(COUNTIF(OFFSET('Schedule Raw Data'!$A$2,MATCH($A148,'Schedule Raw Data'!$A$3:$A$2477,0),1,COUNTIF('Schedule Raw Data'!$A$3:$A$2477,$A148),2),E$1),0)</f>
        <v>1</v>
      </c>
      <c r="F148">
        <f>IFERROR(COUNTIF(OFFSET('Schedule Raw Data'!$A$2,MATCH($A148,'Schedule Raw Data'!$A$3:$A$2477,0),1,COUNTIF('Schedule Raw Data'!$A$3:$A$2477,$A148),2),F$1),0)</f>
        <v>1</v>
      </c>
      <c r="G148">
        <f>IFERROR(COUNTIF(OFFSET('Schedule Raw Data'!$A$2,MATCH($A148,'Schedule Raw Data'!$A$3:$A$2477,0),1,COUNTIF('Schedule Raw Data'!$A$3:$A$2477,$A148),2),G$1),0)</f>
        <v>0</v>
      </c>
      <c r="H148">
        <f>IFERROR(COUNTIF(OFFSET('Schedule Raw Data'!$A$2,MATCH($A148,'Schedule Raw Data'!$A$3:$A$2477,0),1,COUNTIF('Schedule Raw Data'!$A$3:$A$2477,$A148),2),H$1),0)</f>
        <v>1</v>
      </c>
      <c r="I148">
        <f>IFERROR(COUNTIF(OFFSET('Schedule Raw Data'!$A$2,MATCH($A148,'Schedule Raw Data'!$A$3:$A$2477,0),1,COUNTIF('Schedule Raw Data'!$A$3:$A$2477,$A148),2),I$1),0)</f>
        <v>0</v>
      </c>
      <c r="J148">
        <f>IFERROR(COUNTIF(OFFSET('Schedule Raw Data'!$A$2,MATCH($A148,'Schedule Raw Data'!$A$3:$A$2477,0),1,COUNTIF('Schedule Raw Data'!$A$3:$A$2477,$A148),2),J$1),0)</f>
        <v>0</v>
      </c>
      <c r="K148">
        <f>IFERROR(COUNTIF(OFFSET('Schedule Raw Data'!$A$2,MATCH($A148,'Schedule Raw Data'!$A$3:$A$2477,0),1,COUNTIF('Schedule Raw Data'!$A$3:$A$2477,$A148),2),K$1),0)</f>
        <v>0</v>
      </c>
      <c r="L148">
        <f>IFERROR(COUNTIF(OFFSET('Schedule Raw Data'!$A$2,MATCH($A148,'Schedule Raw Data'!$A$3:$A$2477,0),1,COUNTIF('Schedule Raw Data'!$A$3:$A$2477,$A148),2),L$1),0)</f>
        <v>0</v>
      </c>
      <c r="M148">
        <f>IFERROR(COUNTIF(OFFSET('Schedule Raw Data'!$A$2,MATCH($A148,'Schedule Raw Data'!$A$3:$A$2477,0),1,COUNTIF('Schedule Raw Data'!$A$3:$A$2477,$A148),2),M$1),0)</f>
        <v>0</v>
      </c>
      <c r="N148">
        <f>IFERROR(COUNTIF(OFFSET('Schedule Raw Data'!$A$2,MATCH($A148,'Schedule Raw Data'!$A$3:$A$2477,0),1,COUNTIF('Schedule Raw Data'!$A$3:$A$2477,$A148),2),N$1),0)</f>
        <v>1</v>
      </c>
      <c r="O148">
        <f>IFERROR(COUNTIF(OFFSET('Schedule Raw Data'!$A$2,MATCH($A148,'Schedule Raw Data'!$A$3:$A$2477,0),1,COUNTIF('Schedule Raw Data'!$A$3:$A$2477,$A148),2),O$1),0)</f>
        <v>0</v>
      </c>
      <c r="P148">
        <f>IFERROR(COUNTIF(OFFSET('Schedule Raw Data'!$A$2,MATCH($A148,'Schedule Raw Data'!$A$3:$A$2477,0),1,COUNTIF('Schedule Raw Data'!$A$3:$A$2477,$A148),2),P$1),0)</f>
        <v>1</v>
      </c>
      <c r="Q148">
        <f>IFERROR(COUNTIF(OFFSET('Schedule Raw Data'!$A$2,MATCH($A148,'Schedule Raw Data'!$A$3:$A$2477,0),1,COUNTIF('Schedule Raw Data'!$A$3:$A$2477,$A148),2),Q$1),0)</f>
        <v>0</v>
      </c>
      <c r="R148">
        <f>IFERROR(COUNTIF(OFFSET('Schedule Raw Data'!$A$2,MATCH($A148,'Schedule Raw Data'!$A$3:$A$2477,0),1,COUNTIF('Schedule Raw Data'!$A$3:$A$2477,$A148),2),R$1),0)</f>
        <v>0</v>
      </c>
      <c r="S148">
        <f>IFERROR(COUNTIF(OFFSET('Schedule Raw Data'!$A$2,MATCH($A148,'Schedule Raw Data'!$A$3:$A$2477,0),1,COUNTIF('Schedule Raw Data'!$A$3:$A$2477,$A148),2),S$1),0)</f>
        <v>0</v>
      </c>
      <c r="T148">
        <f>IFERROR(COUNTIF(OFFSET('Schedule Raw Data'!$A$2,MATCH($A148,'Schedule Raw Data'!$A$3:$A$2477,0),1,COUNTIF('Schedule Raw Data'!$A$3:$A$2477,$A148),2),T$1),0)</f>
        <v>0</v>
      </c>
      <c r="U148">
        <f>IFERROR(COUNTIF(OFFSET('Schedule Raw Data'!$A$2,MATCH($A148,'Schedule Raw Data'!$A$3:$A$2477,0),1,COUNTIF('Schedule Raw Data'!$A$3:$A$2477,$A148),2),U$1),0)</f>
        <v>0</v>
      </c>
      <c r="V148">
        <f>IFERROR(COUNTIF(OFFSET('Schedule Raw Data'!$A$2,MATCH($A148,'Schedule Raw Data'!$A$3:$A$2477,0),1,COUNTIF('Schedule Raw Data'!$A$3:$A$2477,$A148),2),V$1),0)</f>
        <v>1</v>
      </c>
      <c r="W148">
        <f>IFERROR(COUNTIF(OFFSET('Schedule Raw Data'!$A$2,MATCH($A148,'Schedule Raw Data'!$A$3:$A$2477,0),1,COUNTIF('Schedule Raw Data'!$A$3:$A$2477,$A148),2),W$1),0)</f>
        <v>1</v>
      </c>
      <c r="X148">
        <f>IFERROR(COUNTIF(OFFSET('Schedule Raw Data'!$A$2,MATCH($A148,'Schedule Raw Data'!$A$3:$A$2477,0),1,COUNTIF('Schedule Raw Data'!$A$3:$A$2477,$A148),2),X$1),0)</f>
        <v>1</v>
      </c>
      <c r="Y148">
        <f>IFERROR(COUNTIF(OFFSET('Schedule Raw Data'!$A$2,MATCH($A148,'Schedule Raw Data'!$A$3:$A$2477,0),1,COUNTIF('Schedule Raw Data'!$A$3:$A$2477,$A148),2),Y$1),0)</f>
        <v>0</v>
      </c>
      <c r="Z148">
        <f>IFERROR(COUNTIF(OFFSET('Schedule Raw Data'!$A$2,MATCH($A148,'Schedule Raw Data'!$A$3:$A$2477,0),1,COUNTIF('Schedule Raw Data'!$A$3:$A$2477,$A148),2),Z$1),0)</f>
        <v>0</v>
      </c>
      <c r="AA148">
        <f>IFERROR(COUNTIF(OFFSET('Schedule Raw Data'!$A$2,MATCH($A148,'Schedule Raw Data'!$A$3:$A$2477,0),1,COUNTIF('Schedule Raw Data'!$A$3:$A$2477,$A148),2),AA$1),0)</f>
        <v>0</v>
      </c>
      <c r="AB148">
        <f>IFERROR(COUNTIF(OFFSET('Schedule Raw Data'!$A$2,MATCH($A148,'Schedule Raw Data'!$A$3:$A$2477,0),1,COUNTIF('Schedule Raw Data'!$A$3:$A$2477,$A148),2),AB$1),0)</f>
        <v>0</v>
      </c>
      <c r="AC148">
        <f>IFERROR(COUNTIF(OFFSET('Schedule Raw Data'!$A$2,MATCH($A148,'Schedule Raw Data'!$A$3:$A$2477,0),1,COUNTIF('Schedule Raw Data'!$A$3:$A$2477,$A148),2),AC$1),0)</f>
        <v>0</v>
      </c>
      <c r="AD148">
        <f>IFERROR(COUNTIF(OFFSET('Schedule Raw Data'!$A$2,MATCH($A148,'Schedule Raw Data'!$A$3:$A$2477,0),1,COUNTIF('Schedule Raw Data'!$A$3:$A$2477,$A148),2),AD$1),0)</f>
        <v>0</v>
      </c>
      <c r="AE148">
        <f>IFERROR(COUNTIF(OFFSET('Schedule Raw Data'!$A$2,MATCH($A148,'Schedule Raw Data'!$A$3:$A$2477,0),1,COUNTIF('Schedule Raw Data'!$A$3:$A$2477,$A148),2),AE$1),0)</f>
        <v>0</v>
      </c>
      <c r="AF148">
        <f>IFERROR(COUNTIF(OFFSET('Schedule Raw Data'!$A$2,MATCH($A148,'Schedule Raw Data'!$A$3:$A$2477,0),1,COUNTIF('Schedule Raw Data'!$A$3:$A$2477,$A148),2),AF$1),0)</f>
        <v>0</v>
      </c>
      <c r="AG148">
        <f t="shared" si="1"/>
        <v>4</v>
      </c>
    </row>
    <row r="149">
      <c r="A149" s="30">
        <f t="array" ref="A149">INDEX('Schedule Raw Data'!$A$3:$A$2477,MATCH(0,INDEX(COUNTIF($A$1:A148,'Schedule Raw Data'!$A$3:$A$2477),0,0),0))</f>
        <v>46479</v>
      </c>
      <c r="B149">
        <f t="shared" si="2"/>
        <v>22</v>
      </c>
      <c r="C149">
        <f>IFERROR(COUNTIF(OFFSET('Schedule Raw Data'!$A$2,MATCH($A149,'Schedule Raw Data'!$A$3:$A$2477,0),1,COUNTIF('Schedule Raw Data'!$A$3:$A$2477,$A149),2),C$1),0)</f>
        <v>1</v>
      </c>
      <c r="D149">
        <f>IFERROR(COUNTIF(OFFSET('Schedule Raw Data'!$A$2,MATCH($A149,'Schedule Raw Data'!$A$3:$A$2477,0),1,COUNTIF('Schedule Raw Data'!$A$3:$A$2477,$A149),2),D$1),0)</f>
        <v>1</v>
      </c>
      <c r="E149">
        <f>IFERROR(COUNTIF(OFFSET('Schedule Raw Data'!$A$2,MATCH($A149,'Schedule Raw Data'!$A$3:$A$2477,0),1,COUNTIF('Schedule Raw Data'!$A$3:$A$2477,$A149),2),E$1),0)</f>
        <v>1</v>
      </c>
      <c r="F149">
        <f>IFERROR(COUNTIF(OFFSET('Schedule Raw Data'!$A$2,MATCH($A149,'Schedule Raw Data'!$A$3:$A$2477,0),1,COUNTIF('Schedule Raw Data'!$A$3:$A$2477,$A149),2),F$1),0)</f>
        <v>1</v>
      </c>
      <c r="G149">
        <f>IFERROR(COUNTIF(OFFSET('Schedule Raw Data'!$A$2,MATCH($A149,'Schedule Raw Data'!$A$3:$A$2477,0),1,COUNTIF('Schedule Raw Data'!$A$3:$A$2477,$A149),2),G$1),0)</f>
        <v>1</v>
      </c>
      <c r="H149">
        <f>IFERROR(COUNTIF(OFFSET('Schedule Raw Data'!$A$2,MATCH($A149,'Schedule Raw Data'!$A$3:$A$2477,0),1,COUNTIF('Schedule Raw Data'!$A$3:$A$2477,$A149),2),H$1),0)</f>
        <v>0</v>
      </c>
      <c r="I149">
        <f>IFERROR(COUNTIF(OFFSET('Schedule Raw Data'!$A$2,MATCH($A149,'Schedule Raw Data'!$A$3:$A$2477,0),1,COUNTIF('Schedule Raw Data'!$A$3:$A$2477,$A149),2),I$1),0)</f>
        <v>1</v>
      </c>
      <c r="J149">
        <f>IFERROR(COUNTIF(OFFSET('Schedule Raw Data'!$A$2,MATCH($A149,'Schedule Raw Data'!$A$3:$A$2477,0),1,COUNTIF('Schedule Raw Data'!$A$3:$A$2477,$A149),2),J$1),0)</f>
        <v>1</v>
      </c>
      <c r="K149">
        <f>IFERROR(COUNTIF(OFFSET('Schedule Raw Data'!$A$2,MATCH($A149,'Schedule Raw Data'!$A$3:$A$2477,0),1,COUNTIF('Schedule Raw Data'!$A$3:$A$2477,$A149),2),K$1),0)</f>
        <v>1</v>
      </c>
      <c r="L149">
        <f>IFERROR(COUNTIF(OFFSET('Schedule Raw Data'!$A$2,MATCH($A149,'Schedule Raw Data'!$A$3:$A$2477,0),1,COUNTIF('Schedule Raw Data'!$A$3:$A$2477,$A149),2),L$1),0)</f>
        <v>1</v>
      </c>
      <c r="M149">
        <f>IFERROR(COUNTIF(OFFSET('Schedule Raw Data'!$A$2,MATCH($A149,'Schedule Raw Data'!$A$3:$A$2477,0),1,COUNTIF('Schedule Raw Data'!$A$3:$A$2477,$A149),2),M$1),0)</f>
        <v>1</v>
      </c>
      <c r="N149">
        <f>IFERROR(COUNTIF(OFFSET('Schedule Raw Data'!$A$2,MATCH($A149,'Schedule Raw Data'!$A$3:$A$2477,0),1,COUNTIF('Schedule Raw Data'!$A$3:$A$2477,$A149),2),N$1),0)</f>
        <v>0</v>
      </c>
      <c r="O149">
        <f>IFERROR(COUNTIF(OFFSET('Schedule Raw Data'!$A$2,MATCH($A149,'Schedule Raw Data'!$A$3:$A$2477,0),1,COUNTIF('Schedule Raw Data'!$A$3:$A$2477,$A149),2),O$1),0)</f>
        <v>1</v>
      </c>
      <c r="P149">
        <f>IFERROR(COUNTIF(OFFSET('Schedule Raw Data'!$A$2,MATCH($A149,'Schedule Raw Data'!$A$3:$A$2477,0),1,COUNTIF('Schedule Raw Data'!$A$3:$A$2477,$A149),2),P$1),0)</f>
        <v>0</v>
      </c>
      <c r="Q149">
        <f>IFERROR(COUNTIF(OFFSET('Schedule Raw Data'!$A$2,MATCH($A149,'Schedule Raw Data'!$A$3:$A$2477,0),1,COUNTIF('Schedule Raw Data'!$A$3:$A$2477,$A149),2),Q$1),0)</f>
        <v>1</v>
      </c>
      <c r="R149">
        <f>IFERROR(COUNTIF(OFFSET('Schedule Raw Data'!$A$2,MATCH($A149,'Schedule Raw Data'!$A$3:$A$2477,0),1,COUNTIF('Schedule Raw Data'!$A$3:$A$2477,$A149),2),R$1),0)</f>
        <v>1</v>
      </c>
      <c r="S149">
        <f>IFERROR(COUNTIF(OFFSET('Schedule Raw Data'!$A$2,MATCH($A149,'Schedule Raw Data'!$A$3:$A$2477,0),1,COUNTIF('Schedule Raw Data'!$A$3:$A$2477,$A149),2),S$1),0)</f>
        <v>1</v>
      </c>
      <c r="T149">
        <f>IFERROR(COUNTIF(OFFSET('Schedule Raw Data'!$A$2,MATCH($A149,'Schedule Raw Data'!$A$3:$A$2477,0),1,COUNTIF('Schedule Raw Data'!$A$3:$A$2477,$A149),2),T$1),0)</f>
        <v>1</v>
      </c>
      <c r="U149">
        <f>IFERROR(COUNTIF(OFFSET('Schedule Raw Data'!$A$2,MATCH($A149,'Schedule Raw Data'!$A$3:$A$2477,0),1,COUNTIF('Schedule Raw Data'!$A$3:$A$2477,$A149),2),U$1),0)</f>
        <v>0</v>
      </c>
      <c r="V149">
        <f>IFERROR(COUNTIF(OFFSET('Schedule Raw Data'!$A$2,MATCH($A149,'Schedule Raw Data'!$A$3:$A$2477,0),1,COUNTIF('Schedule Raw Data'!$A$3:$A$2477,$A149),2),V$1),0)</f>
        <v>1</v>
      </c>
      <c r="W149">
        <f>IFERROR(COUNTIF(OFFSET('Schedule Raw Data'!$A$2,MATCH($A149,'Schedule Raw Data'!$A$3:$A$2477,0),1,COUNTIF('Schedule Raw Data'!$A$3:$A$2477,$A149),2),W$1),0)</f>
        <v>0</v>
      </c>
      <c r="X149">
        <f>IFERROR(COUNTIF(OFFSET('Schedule Raw Data'!$A$2,MATCH($A149,'Schedule Raw Data'!$A$3:$A$2477,0),1,COUNTIF('Schedule Raw Data'!$A$3:$A$2477,$A149),2),X$1),0)</f>
        <v>0</v>
      </c>
      <c r="Y149">
        <f>IFERROR(COUNTIF(OFFSET('Schedule Raw Data'!$A$2,MATCH($A149,'Schedule Raw Data'!$A$3:$A$2477,0),1,COUNTIF('Schedule Raw Data'!$A$3:$A$2477,$A149),2),Y$1),0)</f>
        <v>1</v>
      </c>
      <c r="Z149">
        <f>IFERROR(COUNTIF(OFFSET('Schedule Raw Data'!$A$2,MATCH($A149,'Schedule Raw Data'!$A$3:$A$2477,0),1,COUNTIF('Schedule Raw Data'!$A$3:$A$2477,$A149),2),Z$1),0)</f>
        <v>1</v>
      </c>
      <c r="AA149">
        <f>IFERROR(COUNTIF(OFFSET('Schedule Raw Data'!$A$2,MATCH($A149,'Schedule Raw Data'!$A$3:$A$2477,0),1,COUNTIF('Schedule Raw Data'!$A$3:$A$2477,$A149),2),AA$1),0)</f>
        <v>1</v>
      </c>
      <c r="AB149">
        <f>IFERROR(COUNTIF(OFFSET('Schedule Raw Data'!$A$2,MATCH($A149,'Schedule Raw Data'!$A$3:$A$2477,0),1,COUNTIF('Schedule Raw Data'!$A$3:$A$2477,$A149),2),AB$1),0)</f>
        <v>1</v>
      </c>
      <c r="AC149">
        <f>IFERROR(COUNTIF(OFFSET('Schedule Raw Data'!$A$2,MATCH($A149,'Schedule Raw Data'!$A$3:$A$2477,0),1,COUNTIF('Schedule Raw Data'!$A$3:$A$2477,$A149),2),AC$1),0)</f>
        <v>1</v>
      </c>
      <c r="AD149">
        <f>IFERROR(COUNTIF(OFFSET('Schedule Raw Data'!$A$2,MATCH($A149,'Schedule Raw Data'!$A$3:$A$2477,0),1,COUNTIF('Schedule Raw Data'!$A$3:$A$2477,$A149),2),AD$1),0)</f>
        <v>1</v>
      </c>
      <c r="AE149">
        <f>IFERROR(COUNTIF(OFFSET('Schedule Raw Data'!$A$2,MATCH($A149,'Schedule Raw Data'!$A$3:$A$2477,0),1,COUNTIF('Schedule Raw Data'!$A$3:$A$2477,$A149),2),AE$1),0)</f>
        <v>1</v>
      </c>
      <c r="AF149">
        <f>IFERROR(COUNTIF(OFFSET('Schedule Raw Data'!$A$2,MATCH($A149,'Schedule Raw Data'!$A$3:$A$2477,0),1,COUNTIF('Schedule Raw Data'!$A$3:$A$2477,$A149),2),AF$1),0)</f>
        <v>1</v>
      </c>
      <c r="AG149">
        <f t="shared" si="1"/>
        <v>12</v>
      </c>
    </row>
    <row r="150">
      <c r="A150" s="30">
        <f t="array" ref="A150">INDEX('Schedule Raw Data'!$A$3:$A$2477,MATCH(0,INDEX(COUNTIF($A$1:A149,'Schedule Raw Data'!$A$3:$A$2477),0,0),0))</f>
        <v>46480</v>
      </c>
      <c r="B150">
        <f t="shared" si="2"/>
        <v>22</v>
      </c>
      <c r="C150">
        <f>IFERROR(COUNTIF(OFFSET('Schedule Raw Data'!$A$2,MATCH($A150,'Schedule Raw Data'!$A$3:$A$2477,0),1,COUNTIF('Schedule Raw Data'!$A$3:$A$2477,$A150),2),C$1),0)</f>
        <v>0</v>
      </c>
      <c r="D150">
        <f>IFERROR(COUNTIF(OFFSET('Schedule Raw Data'!$A$2,MATCH($A150,'Schedule Raw Data'!$A$3:$A$2477,0),1,COUNTIF('Schedule Raw Data'!$A$3:$A$2477,$A150),2),D$1),0)</f>
        <v>0</v>
      </c>
      <c r="E150">
        <f>IFERROR(COUNTIF(OFFSET('Schedule Raw Data'!$A$2,MATCH($A150,'Schedule Raw Data'!$A$3:$A$2477,0),1,COUNTIF('Schedule Raw Data'!$A$3:$A$2477,$A150),2),E$1),0)</f>
        <v>0</v>
      </c>
      <c r="F150">
        <f>IFERROR(COUNTIF(OFFSET('Schedule Raw Data'!$A$2,MATCH($A150,'Schedule Raw Data'!$A$3:$A$2477,0),1,COUNTIF('Schedule Raw Data'!$A$3:$A$2477,$A150),2),F$1),0)</f>
        <v>0</v>
      </c>
      <c r="G150">
        <f>IFERROR(COUNTIF(OFFSET('Schedule Raw Data'!$A$2,MATCH($A150,'Schedule Raw Data'!$A$3:$A$2477,0),1,COUNTIF('Schedule Raw Data'!$A$3:$A$2477,$A150),2),G$1),0)</f>
        <v>0</v>
      </c>
      <c r="H150">
        <f>IFERROR(COUNTIF(OFFSET('Schedule Raw Data'!$A$2,MATCH($A150,'Schedule Raw Data'!$A$3:$A$2477,0),1,COUNTIF('Schedule Raw Data'!$A$3:$A$2477,$A150),2),H$1),0)</f>
        <v>0</v>
      </c>
      <c r="I150">
        <f>IFERROR(COUNTIF(OFFSET('Schedule Raw Data'!$A$2,MATCH($A150,'Schedule Raw Data'!$A$3:$A$2477,0),1,COUNTIF('Schedule Raw Data'!$A$3:$A$2477,$A150),2),I$1),0)</f>
        <v>0</v>
      </c>
      <c r="J150">
        <f>IFERROR(COUNTIF(OFFSET('Schedule Raw Data'!$A$2,MATCH($A150,'Schedule Raw Data'!$A$3:$A$2477,0),1,COUNTIF('Schedule Raw Data'!$A$3:$A$2477,$A150),2),J$1),0)</f>
        <v>0</v>
      </c>
      <c r="K150">
        <f>IFERROR(COUNTIF(OFFSET('Schedule Raw Data'!$A$2,MATCH($A150,'Schedule Raw Data'!$A$3:$A$2477,0),1,COUNTIF('Schedule Raw Data'!$A$3:$A$2477,$A150),2),K$1),0)</f>
        <v>0</v>
      </c>
      <c r="L150">
        <f>IFERROR(COUNTIF(OFFSET('Schedule Raw Data'!$A$2,MATCH($A150,'Schedule Raw Data'!$A$3:$A$2477,0),1,COUNTIF('Schedule Raw Data'!$A$3:$A$2477,$A150),2),L$1),0)</f>
        <v>0</v>
      </c>
      <c r="M150">
        <f>IFERROR(COUNTIF(OFFSET('Schedule Raw Data'!$A$2,MATCH($A150,'Schedule Raw Data'!$A$3:$A$2477,0),1,COUNTIF('Schedule Raw Data'!$A$3:$A$2477,$A150),2),M$1),0)</f>
        <v>0</v>
      </c>
      <c r="N150">
        <f>IFERROR(COUNTIF(OFFSET('Schedule Raw Data'!$A$2,MATCH($A150,'Schedule Raw Data'!$A$3:$A$2477,0),1,COUNTIF('Schedule Raw Data'!$A$3:$A$2477,$A150),2),N$1),0)</f>
        <v>0</v>
      </c>
      <c r="O150">
        <f>IFERROR(COUNTIF(OFFSET('Schedule Raw Data'!$A$2,MATCH($A150,'Schedule Raw Data'!$A$3:$A$2477,0),1,COUNTIF('Schedule Raw Data'!$A$3:$A$2477,$A150),2),O$1),0)</f>
        <v>0</v>
      </c>
      <c r="P150">
        <f>IFERROR(COUNTIF(OFFSET('Schedule Raw Data'!$A$2,MATCH($A150,'Schedule Raw Data'!$A$3:$A$2477,0),1,COUNTIF('Schedule Raw Data'!$A$3:$A$2477,$A150),2),P$1),0)</f>
        <v>0</v>
      </c>
      <c r="Q150">
        <f>IFERROR(COUNTIF(OFFSET('Schedule Raw Data'!$A$2,MATCH($A150,'Schedule Raw Data'!$A$3:$A$2477,0),1,COUNTIF('Schedule Raw Data'!$A$3:$A$2477,$A150),2),Q$1),0)</f>
        <v>0</v>
      </c>
      <c r="R150">
        <f>IFERROR(COUNTIF(OFFSET('Schedule Raw Data'!$A$2,MATCH($A150,'Schedule Raw Data'!$A$3:$A$2477,0),1,COUNTIF('Schedule Raw Data'!$A$3:$A$2477,$A150),2),R$1),0)</f>
        <v>0</v>
      </c>
      <c r="S150">
        <f>IFERROR(COUNTIF(OFFSET('Schedule Raw Data'!$A$2,MATCH($A150,'Schedule Raw Data'!$A$3:$A$2477,0),1,COUNTIF('Schedule Raw Data'!$A$3:$A$2477,$A150),2),S$1),0)</f>
        <v>0</v>
      </c>
      <c r="T150">
        <f>IFERROR(COUNTIF(OFFSET('Schedule Raw Data'!$A$2,MATCH($A150,'Schedule Raw Data'!$A$3:$A$2477,0),1,COUNTIF('Schedule Raw Data'!$A$3:$A$2477,$A150),2),T$1),0)</f>
        <v>0</v>
      </c>
      <c r="U150">
        <f>IFERROR(COUNTIF(OFFSET('Schedule Raw Data'!$A$2,MATCH($A150,'Schedule Raw Data'!$A$3:$A$2477,0),1,COUNTIF('Schedule Raw Data'!$A$3:$A$2477,$A150),2),U$1),0)</f>
        <v>1</v>
      </c>
      <c r="V150">
        <f>IFERROR(COUNTIF(OFFSET('Schedule Raw Data'!$A$2,MATCH($A150,'Schedule Raw Data'!$A$3:$A$2477,0),1,COUNTIF('Schedule Raw Data'!$A$3:$A$2477,$A150),2),V$1),0)</f>
        <v>0</v>
      </c>
      <c r="W150">
        <f>IFERROR(COUNTIF(OFFSET('Schedule Raw Data'!$A$2,MATCH($A150,'Schedule Raw Data'!$A$3:$A$2477,0),1,COUNTIF('Schedule Raw Data'!$A$3:$A$2477,$A150),2),W$1),0)</f>
        <v>1</v>
      </c>
      <c r="X150">
        <f>IFERROR(COUNTIF(OFFSET('Schedule Raw Data'!$A$2,MATCH($A150,'Schedule Raw Data'!$A$3:$A$2477,0),1,COUNTIF('Schedule Raw Data'!$A$3:$A$2477,$A150),2),X$1),0)</f>
        <v>1</v>
      </c>
      <c r="Y150">
        <f>IFERROR(COUNTIF(OFFSET('Schedule Raw Data'!$A$2,MATCH($A150,'Schedule Raw Data'!$A$3:$A$2477,0),1,COUNTIF('Schedule Raw Data'!$A$3:$A$2477,$A150),2),Y$1),0)</f>
        <v>0</v>
      </c>
      <c r="Z150">
        <f>IFERROR(COUNTIF(OFFSET('Schedule Raw Data'!$A$2,MATCH($A150,'Schedule Raw Data'!$A$3:$A$2477,0),1,COUNTIF('Schedule Raw Data'!$A$3:$A$2477,$A150),2),Z$1),0)</f>
        <v>0</v>
      </c>
      <c r="AA150">
        <f>IFERROR(COUNTIF(OFFSET('Schedule Raw Data'!$A$2,MATCH($A150,'Schedule Raw Data'!$A$3:$A$2477,0),1,COUNTIF('Schedule Raw Data'!$A$3:$A$2477,$A150),2),AA$1),0)</f>
        <v>0</v>
      </c>
      <c r="AB150">
        <f>IFERROR(COUNTIF(OFFSET('Schedule Raw Data'!$A$2,MATCH($A150,'Schedule Raw Data'!$A$3:$A$2477,0),1,COUNTIF('Schedule Raw Data'!$A$3:$A$2477,$A150),2),AB$1),0)</f>
        <v>0</v>
      </c>
      <c r="AC150">
        <f>IFERROR(COUNTIF(OFFSET('Schedule Raw Data'!$A$2,MATCH($A150,'Schedule Raw Data'!$A$3:$A$2477,0),1,COUNTIF('Schedule Raw Data'!$A$3:$A$2477,$A150),2),AC$1),0)</f>
        <v>0</v>
      </c>
      <c r="AD150">
        <f>IFERROR(COUNTIF(OFFSET('Schedule Raw Data'!$A$2,MATCH($A150,'Schedule Raw Data'!$A$3:$A$2477,0),1,COUNTIF('Schedule Raw Data'!$A$3:$A$2477,$A150),2),AD$1),0)</f>
        <v>0</v>
      </c>
      <c r="AE150">
        <f>IFERROR(COUNTIF(OFFSET('Schedule Raw Data'!$A$2,MATCH($A150,'Schedule Raw Data'!$A$3:$A$2477,0),1,COUNTIF('Schedule Raw Data'!$A$3:$A$2477,$A150),2),AE$1),0)</f>
        <v>0</v>
      </c>
      <c r="AF150">
        <f>IFERROR(COUNTIF(OFFSET('Schedule Raw Data'!$A$2,MATCH($A150,'Schedule Raw Data'!$A$3:$A$2477,0),1,COUNTIF('Schedule Raw Data'!$A$3:$A$2477,$A150),2),AF$1),0)</f>
        <v>1</v>
      </c>
      <c r="AG150">
        <f t="shared" si="1"/>
        <v>2</v>
      </c>
    </row>
    <row r="151">
      <c r="A151" s="30">
        <f t="array" ref="A151">INDEX('Schedule Raw Data'!$A$3:$A$2477,MATCH(0,INDEX(COUNTIF($A$1:A150,'Schedule Raw Data'!$A$3:$A$2477),0,0),0))</f>
        <v>46481</v>
      </c>
      <c r="B151">
        <f t="shared" si="2"/>
        <v>22</v>
      </c>
      <c r="C151">
        <f>IFERROR(COUNTIF(OFFSET('Schedule Raw Data'!$A$2,MATCH($A151,'Schedule Raw Data'!$A$3:$A$2477,0),1,COUNTIF('Schedule Raw Data'!$A$3:$A$2477,$A151),2),C$1),0)</f>
        <v>1</v>
      </c>
      <c r="D151">
        <f>IFERROR(COUNTIF(OFFSET('Schedule Raw Data'!$A$2,MATCH($A151,'Schedule Raw Data'!$A$3:$A$2477,0),1,COUNTIF('Schedule Raw Data'!$A$3:$A$2477,$A151),2),D$1),0)</f>
        <v>1</v>
      </c>
      <c r="E151">
        <f>IFERROR(COUNTIF(OFFSET('Schedule Raw Data'!$A$2,MATCH($A151,'Schedule Raw Data'!$A$3:$A$2477,0),1,COUNTIF('Schedule Raw Data'!$A$3:$A$2477,$A151),2),E$1),0)</f>
        <v>1</v>
      </c>
      <c r="F151">
        <f>IFERROR(COUNTIF(OFFSET('Schedule Raw Data'!$A$2,MATCH($A151,'Schedule Raw Data'!$A$3:$A$2477,0),1,COUNTIF('Schedule Raw Data'!$A$3:$A$2477,$A151),2),F$1),0)</f>
        <v>1</v>
      </c>
      <c r="G151">
        <f>IFERROR(COUNTIF(OFFSET('Schedule Raw Data'!$A$2,MATCH($A151,'Schedule Raw Data'!$A$3:$A$2477,0),1,COUNTIF('Schedule Raw Data'!$A$3:$A$2477,$A151),2),G$1),0)</f>
        <v>1</v>
      </c>
      <c r="H151">
        <f>IFERROR(COUNTIF(OFFSET('Schedule Raw Data'!$A$2,MATCH($A151,'Schedule Raw Data'!$A$3:$A$2477,0),1,COUNTIF('Schedule Raw Data'!$A$3:$A$2477,$A151),2),H$1),0)</f>
        <v>1</v>
      </c>
      <c r="I151">
        <f>IFERROR(COUNTIF(OFFSET('Schedule Raw Data'!$A$2,MATCH($A151,'Schedule Raw Data'!$A$3:$A$2477,0),1,COUNTIF('Schedule Raw Data'!$A$3:$A$2477,$A151),2),I$1),0)</f>
        <v>1</v>
      </c>
      <c r="J151">
        <f>IFERROR(COUNTIF(OFFSET('Schedule Raw Data'!$A$2,MATCH($A151,'Schedule Raw Data'!$A$3:$A$2477,0),1,COUNTIF('Schedule Raw Data'!$A$3:$A$2477,$A151),2),J$1),0)</f>
        <v>1</v>
      </c>
      <c r="K151">
        <f>IFERROR(COUNTIF(OFFSET('Schedule Raw Data'!$A$2,MATCH($A151,'Schedule Raw Data'!$A$3:$A$2477,0),1,COUNTIF('Schedule Raw Data'!$A$3:$A$2477,$A151),2),K$1),0)</f>
        <v>1</v>
      </c>
      <c r="L151">
        <f>IFERROR(COUNTIF(OFFSET('Schedule Raw Data'!$A$2,MATCH($A151,'Schedule Raw Data'!$A$3:$A$2477,0),1,COUNTIF('Schedule Raw Data'!$A$3:$A$2477,$A151),2),L$1),0)</f>
        <v>1</v>
      </c>
      <c r="M151">
        <f>IFERROR(COUNTIF(OFFSET('Schedule Raw Data'!$A$2,MATCH($A151,'Schedule Raw Data'!$A$3:$A$2477,0),1,COUNTIF('Schedule Raw Data'!$A$3:$A$2477,$A151),2),M$1),0)</f>
        <v>1</v>
      </c>
      <c r="N151">
        <f>IFERROR(COUNTIF(OFFSET('Schedule Raw Data'!$A$2,MATCH($A151,'Schedule Raw Data'!$A$3:$A$2477,0),1,COUNTIF('Schedule Raw Data'!$A$3:$A$2477,$A151),2),N$1),0)</f>
        <v>1</v>
      </c>
      <c r="O151">
        <f>IFERROR(COUNTIF(OFFSET('Schedule Raw Data'!$A$2,MATCH($A151,'Schedule Raw Data'!$A$3:$A$2477,0),1,COUNTIF('Schedule Raw Data'!$A$3:$A$2477,$A151),2),O$1),0)</f>
        <v>1</v>
      </c>
      <c r="P151">
        <f>IFERROR(COUNTIF(OFFSET('Schedule Raw Data'!$A$2,MATCH($A151,'Schedule Raw Data'!$A$3:$A$2477,0),1,COUNTIF('Schedule Raw Data'!$A$3:$A$2477,$A151),2),P$1),0)</f>
        <v>1</v>
      </c>
      <c r="Q151">
        <f>IFERROR(COUNTIF(OFFSET('Schedule Raw Data'!$A$2,MATCH($A151,'Schedule Raw Data'!$A$3:$A$2477,0),1,COUNTIF('Schedule Raw Data'!$A$3:$A$2477,$A151),2),Q$1),0)</f>
        <v>1</v>
      </c>
      <c r="R151">
        <f>IFERROR(COUNTIF(OFFSET('Schedule Raw Data'!$A$2,MATCH($A151,'Schedule Raw Data'!$A$3:$A$2477,0),1,COUNTIF('Schedule Raw Data'!$A$3:$A$2477,$A151),2),R$1),0)</f>
        <v>1</v>
      </c>
      <c r="S151">
        <f>IFERROR(COUNTIF(OFFSET('Schedule Raw Data'!$A$2,MATCH($A151,'Schedule Raw Data'!$A$3:$A$2477,0),1,COUNTIF('Schedule Raw Data'!$A$3:$A$2477,$A151),2),S$1),0)</f>
        <v>1</v>
      </c>
      <c r="T151">
        <f>IFERROR(COUNTIF(OFFSET('Schedule Raw Data'!$A$2,MATCH($A151,'Schedule Raw Data'!$A$3:$A$2477,0),1,COUNTIF('Schedule Raw Data'!$A$3:$A$2477,$A151),2),T$1),0)</f>
        <v>1</v>
      </c>
      <c r="U151">
        <f>IFERROR(COUNTIF(OFFSET('Schedule Raw Data'!$A$2,MATCH($A151,'Schedule Raw Data'!$A$3:$A$2477,0),1,COUNTIF('Schedule Raw Data'!$A$3:$A$2477,$A151),2),U$1),0)</f>
        <v>0</v>
      </c>
      <c r="V151">
        <f>IFERROR(COUNTIF(OFFSET('Schedule Raw Data'!$A$2,MATCH($A151,'Schedule Raw Data'!$A$3:$A$2477,0),1,COUNTIF('Schedule Raw Data'!$A$3:$A$2477,$A151),2),V$1),0)</f>
        <v>1</v>
      </c>
      <c r="W151">
        <f>IFERROR(COUNTIF(OFFSET('Schedule Raw Data'!$A$2,MATCH($A151,'Schedule Raw Data'!$A$3:$A$2477,0),1,COUNTIF('Schedule Raw Data'!$A$3:$A$2477,$A151),2),W$1),0)</f>
        <v>0</v>
      </c>
      <c r="X151">
        <f>IFERROR(COUNTIF(OFFSET('Schedule Raw Data'!$A$2,MATCH($A151,'Schedule Raw Data'!$A$3:$A$2477,0),1,COUNTIF('Schedule Raw Data'!$A$3:$A$2477,$A151),2),X$1),0)</f>
        <v>0</v>
      </c>
      <c r="Y151">
        <f>IFERROR(COUNTIF(OFFSET('Schedule Raw Data'!$A$2,MATCH($A151,'Schedule Raw Data'!$A$3:$A$2477,0),1,COUNTIF('Schedule Raw Data'!$A$3:$A$2477,$A151),2),Y$1),0)</f>
        <v>1</v>
      </c>
      <c r="Z151">
        <f>IFERROR(COUNTIF(OFFSET('Schedule Raw Data'!$A$2,MATCH($A151,'Schedule Raw Data'!$A$3:$A$2477,0),1,COUNTIF('Schedule Raw Data'!$A$3:$A$2477,$A151),2),Z$1),0)</f>
        <v>1</v>
      </c>
      <c r="AA151">
        <f>IFERROR(COUNTIF(OFFSET('Schedule Raw Data'!$A$2,MATCH($A151,'Schedule Raw Data'!$A$3:$A$2477,0),1,COUNTIF('Schedule Raw Data'!$A$3:$A$2477,$A151),2),AA$1),0)</f>
        <v>1</v>
      </c>
      <c r="AB151">
        <f>IFERROR(COUNTIF(OFFSET('Schedule Raw Data'!$A$2,MATCH($A151,'Schedule Raw Data'!$A$3:$A$2477,0),1,COUNTIF('Schedule Raw Data'!$A$3:$A$2477,$A151),2),AB$1),0)</f>
        <v>1</v>
      </c>
      <c r="AC151">
        <f>IFERROR(COUNTIF(OFFSET('Schedule Raw Data'!$A$2,MATCH($A151,'Schedule Raw Data'!$A$3:$A$2477,0),1,COUNTIF('Schedule Raw Data'!$A$3:$A$2477,$A151),2),AC$1),0)</f>
        <v>1</v>
      </c>
      <c r="AD151">
        <f>IFERROR(COUNTIF(OFFSET('Schedule Raw Data'!$A$2,MATCH($A151,'Schedule Raw Data'!$A$3:$A$2477,0),1,COUNTIF('Schedule Raw Data'!$A$3:$A$2477,$A151),2),AD$1),0)</f>
        <v>1</v>
      </c>
      <c r="AE151">
        <f>IFERROR(COUNTIF(OFFSET('Schedule Raw Data'!$A$2,MATCH($A151,'Schedule Raw Data'!$A$3:$A$2477,0),1,COUNTIF('Schedule Raw Data'!$A$3:$A$2477,$A151),2),AE$1),0)</f>
        <v>1</v>
      </c>
      <c r="AF151">
        <f>IFERROR(COUNTIF(OFFSET('Schedule Raw Data'!$A$2,MATCH($A151,'Schedule Raw Data'!$A$3:$A$2477,0),1,COUNTIF('Schedule Raw Data'!$A$3:$A$2477,$A151),2),AF$1),0)</f>
        <v>0</v>
      </c>
      <c r="AG151">
        <f t="shared" si="1"/>
        <v>13</v>
      </c>
    </row>
    <row r="152">
      <c r="A152" s="30">
        <f t="array" ref="A152">INDEX('Schedule Raw Data'!$A$3:$A$2477,MATCH(0,INDEX(COUNTIF($A$1:A151,'Schedule Raw Data'!$A$3:$A$2477),0,0),0))</f>
        <v>46482</v>
      </c>
      <c r="B152">
        <f t="shared" si="2"/>
        <v>23</v>
      </c>
      <c r="C152">
        <f>IFERROR(COUNTIF(OFFSET('Schedule Raw Data'!$A$2,MATCH($A152,'Schedule Raw Data'!$A$3:$A$2477,0),1,COUNTIF('Schedule Raw Data'!$A$3:$A$2477,$A152),2),C$1),0)</f>
        <v>0</v>
      </c>
      <c r="D152">
        <f>IFERROR(COUNTIF(OFFSET('Schedule Raw Data'!$A$2,MATCH($A152,'Schedule Raw Data'!$A$3:$A$2477,0),1,COUNTIF('Schedule Raw Data'!$A$3:$A$2477,$A152),2),D$1),0)</f>
        <v>1</v>
      </c>
      <c r="E152">
        <f>IFERROR(COUNTIF(OFFSET('Schedule Raw Data'!$A$2,MATCH($A152,'Schedule Raw Data'!$A$3:$A$2477,0),1,COUNTIF('Schedule Raw Data'!$A$3:$A$2477,$A152),2),E$1),0)</f>
        <v>0</v>
      </c>
      <c r="F152">
        <f>IFERROR(COUNTIF(OFFSET('Schedule Raw Data'!$A$2,MATCH($A152,'Schedule Raw Data'!$A$3:$A$2477,0),1,COUNTIF('Schedule Raw Data'!$A$3:$A$2477,$A152),2),F$1),0)</f>
        <v>0</v>
      </c>
      <c r="G152">
        <f>IFERROR(COUNTIF(OFFSET('Schedule Raw Data'!$A$2,MATCH($A152,'Schedule Raw Data'!$A$3:$A$2477,0),1,COUNTIF('Schedule Raw Data'!$A$3:$A$2477,$A152),2),G$1),0)</f>
        <v>0</v>
      </c>
      <c r="H152">
        <f>IFERROR(COUNTIF(OFFSET('Schedule Raw Data'!$A$2,MATCH($A152,'Schedule Raw Data'!$A$3:$A$2477,0),1,COUNTIF('Schedule Raw Data'!$A$3:$A$2477,$A152),2),H$1),0)</f>
        <v>1</v>
      </c>
      <c r="I152">
        <f>IFERROR(COUNTIF(OFFSET('Schedule Raw Data'!$A$2,MATCH($A152,'Schedule Raw Data'!$A$3:$A$2477,0),1,COUNTIF('Schedule Raw Data'!$A$3:$A$2477,$A152),2),I$1),0)</f>
        <v>0</v>
      </c>
      <c r="J152">
        <f>IFERROR(COUNTIF(OFFSET('Schedule Raw Data'!$A$2,MATCH($A152,'Schedule Raw Data'!$A$3:$A$2477,0),1,COUNTIF('Schedule Raw Data'!$A$3:$A$2477,$A152),2),J$1),0)</f>
        <v>0</v>
      </c>
      <c r="K152">
        <f>IFERROR(COUNTIF(OFFSET('Schedule Raw Data'!$A$2,MATCH($A152,'Schedule Raw Data'!$A$3:$A$2477,0),1,COUNTIF('Schedule Raw Data'!$A$3:$A$2477,$A152),2),K$1),0)</f>
        <v>0</v>
      </c>
      <c r="L152">
        <f>IFERROR(COUNTIF(OFFSET('Schedule Raw Data'!$A$2,MATCH($A152,'Schedule Raw Data'!$A$3:$A$2477,0),1,COUNTIF('Schedule Raw Data'!$A$3:$A$2477,$A152),2),L$1),0)</f>
        <v>0</v>
      </c>
      <c r="M152">
        <f>IFERROR(COUNTIF(OFFSET('Schedule Raw Data'!$A$2,MATCH($A152,'Schedule Raw Data'!$A$3:$A$2477,0),1,COUNTIF('Schedule Raw Data'!$A$3:$A$2477,$A152),2),M$1),0)</f>
        <v>0</v>
      </c>
      <c r="N152">
        <f>IFERROR(COUNTIF(OFFSET('Schedule Raw Data'!$A$2,MATCH($A152,'Schedule Raw Data'!$A$3:$A$2477,0),1,COUNTIF('Schedule Raw Data'!$A$3:$A$2477,$A152),2),N$1),0)</f>
        <v>0</v>
      </c>
      <c r="O152">
        <f>IFERROR(COUNTIF(OFFSET('Schedule Raw Data'!$A$2,MATCH($A152,'Schedule Raw Data'!$A$3:$A$2477,0),1,COUNTIF('Schedule Raw Data'!$A$3:$A$2477,$A152),2),O$1),0)</f>
        <v>0</v>
      </c>
      <c r="P152">
        <f>IFERROR(COUNTIF(OFFSET('Schedule Raw Data'!$A$2,MATCH($A152,'Schedule Raw Data'!$A$3:$A$2477,0),1,COUNTIF('Schedule Raw Data'!$A$3:$A$2477,$A152),2),P$1),0)</f>
        <v>0</v>
      </c>
      <c r="Q152">
        <f>IFERROR(COUNTIF(OFFSET('Schedule Raw Data'!$A$2,MATCH($A152,'Schedule Raw Data'!$A$3:$A$2477,0),1,COUNTIF('Schedule Raw Data'!$A$3:$A$2477,$A152),2),Q$1),0)</f>
        <v>0</v>
      </c>
      <c r="R152">
        <f>IFERROR(COUNTIF(OFFSET('Schedule Raw Data'!$A$2,MATCH($A152,'Schedule Raw Data'!$A$3:$A$2477,0),1,COUNTIF('Schedule Raw Data'!$A$3:$A$2477,$A152),2),R$1),0)</f>
        <v>1</v>
      </c>
      <c r="S152">
        <f>IFERROR(COUNTIF(OFFSET('Schedule Raw Data'!$A$2,MATCH($A152,'Schedule Raw Data'!$A$3:$A$2477,0),1,COUNTIF('Schedule Raw Data'!$A$3:$A$2477,$A152),2),S$1),0)</f>
        <v>0</v>
      </c>
      <c r="T152">
        <f>IFERROR(COUNTIF(OFFSET('Schedule Raw Data'!$A$2,MATCH($A152,'Schedule Raw Data'!$A$3:$A$2477,0),1,COUNTIF('Schedule Raw Data'!$A$3:$A$2477,$A152),2),T$1),0)</f>
        <v>0</v>
      </c>
      <c r="U152">
        <f>IFERROR(COUNTIF(OFFSET('Schedule Raw Data'!$A$2,MATCH($A152,'Schedule Raw Data'!$A$3:$A$2477,0),1,COUNTIF('Schedule Raw Data'!$A$3:$A$2477,$A152),2),U$1),0)</f>
        <v>1</v>
      </c>
      <c r="V152">
        <f>IFERROR(COUNTIF(OFFSET('Schedule Raw Data'!$A$2,MATCH($A152,'Schedule Raw Data'!$A$3:$A$2477,0),1,COUNTIF('Schedule Raw Data'!$A$3:$A$2477,$A152),2),V$1),0)</f>
        <v>0</v>
      </c>
      <c r="W152">
        <f>IFERROR(COUNTIF(OFFSET('Schedule Raw Data'!$A$2,MATCH($A152,'Schedule Raw Data'!$A$3:$A$2477,0),1,COUNTIF('Schedule Raw Data'!$A$3:$A$2477,$A152),2),W$1),0)</f>
        <v>0</v>
      </c>
      <c r="X152">
        <f>IFERROR(COUNTIF(OFFSET('Schedule Raw Data'!$A$2,MATCH($A152,'Schedule Raw Data'!$A$3:$A$2477,0),1,COUNTIF('Schedule Raw Data'!$A$3:$A$2477,$A152),2),X$1),0)</f>
        <v>1</v>
      </c>
      <c r="Y152">
        <f>IFERROR(COUNTIF(OFFSET('Schedule Raw Data'!$A$2,MATCH($A152,'Schedule Raw Data'!$A$3:$A$2477,0),1,COUNTIF('Schedule Raw Data'!$A$3:$A$2477,$A152),2),Y$1),0)</f>
        <v>0</v>
      </c>
      <c r="Z152">
        <f>IFERROR(COUNTIF(OFFSET('Schedule Raw Data'!$A$2,MATCH($A152,'Schedule Raw Data'!$A$3:$A$2477,0),1,COUNTIF('Schedule Raw Data'!$A$3:$A$2477,$A152),2),Z$1),0)</f>
        <v>0</v>
      </c>
      <c r="AA152">
        <f>IFERROR(COUNTIF(OFFSET('Schedule Raw Data'!$A$2,MATCH($A152,'Schedule Raw Data'!$A$3:$A$2477,0),1,COUNTIF('Schedule Raw Data'!$A$3:$A$2477,$A152),2),AA$1),0)</f>
        <v>0</v>
      </c>
      <c r="AB152">
        <f>IFERROR(COUNTIF(OFFSET('Schedule Raw Data'!$A$2,MATCH($A152,'Schedule Raw Data'!$A$3:$A$2477,0),1,COUNTIF('Schedule Raw Data'!$A$3:$A$2477,$A152),2),AB$1),0)</f>
        <v>0</v>
      </c>
      <c r="AC152">
        <f>IFERROR(COUNTIF(OFFSET('Schedule Raw Data'!$A$2,MATCH($A152,'Schedule Raw Data'!$A$3:$A$2477,0),1,COUNTIF('Schedule Raw Data'!$A$3:$A$2477,$A152),2),AC$1),0)</f>
        <v>0</v>
      </c>
      <c r="AD152">
        <f>IFERROR(COUNTIF(OFFSET('Schedule Raw Data'!$A$2,MATCH($A152,'Schedule Raw Data'!$A$3:$A$2477,0),1,COUNTIF('Schedule Raw Data'!$A$3:$A$2477,$A152),2),AD$1),0)</f>
        <v>0</v>
      </c>
      <c r="AE152">
        <f>IFERROR(COUNTIF(OFFSET('Schedule Raw Data'!$A$2,MATCH($A152,'Schedule Raw Data'!$A$3:$A$2477,0),1,COUNTIF('Schedule Raw Data'!$A$3:$A$2477,$A152),2),AE$1),0)</f>
        <v>0</v>
      </c>
      <c r="AF152">
        <f>IFERROR(COUNTIF(OFFSET('Schedule Raw Data'!$A$2,MATCH($A152,'Schedule Raw Data'!$A$3:$A$2477,0),1,COUNTIF('Schedule Raw Data'!$A$3:$A$2477,$A152),2),AF$1),0)</f>
        <v>1</v>
      </c>
      <c r="AG152">
        <f t="shared" si="1"/>
        <v>3</v>
      </c>
    </row>
    <row r="153">
      <c r="A153" s="30">
        <f t="array" ref="A153">INDEX('Schedule Raw Data'!$A$3:$A$2477,MATCH(0,INDEX(COUNTIF($A$1:A152,'Schedule Raw Data'!$A$3:$A$2477),0,0),0))</f>
        <v>46483</v>
      </c>
      <c r="B153">
        <f t="shared" si="2"/>
        <v>23</v>
      </c>
      <c r="C153">
        <f>IFERROR(COUNTIF(OFFSET('Schedule Raw Data'!$A$2,MATCH($A153,'Schedule Raw Data'!$A$3:$A$2477,0),1,COUNTIF('Schedule Raw Data'!$A$3:$A$2477,$A153),2),C$1),0)</f>
        <v>1</v>
      </c>
      <c r="D153">
        <f>IFERROR(COUNTIF(OFFSET('Schedule Raw Data'!$A$2,MATCH($A153,'Schedule Raw Data'!$A$3:$A$2477,0),1,COUNTIF('Schedule Raw Data'!$A$3:$A$2477,$A153),2),D$1),0)</f>
        <v>0</v>
      </c>
      <c r="E153">
        <f>IFERROR(COUNTIF(OFFSET('Schedule Raw Data'!$A$2,MATCH($A153,'Schedule Raw Data'!$A$3:$A$2477,0),1,COUNTIF('Schedule Raw Data'!$A$3:$A$2477,$A153),2),E$1),0)</f>
        <v>0</v>
      </c>
      <c r="F153">
        <f>IFERROR(COUNTIF(OFFSET('Schedule Raw Data'!$A$2,MATCH($A153,'Schedule Raw Data'!$A$3:$A$2477,0),1,COUNTIF('Schedule Raw Data'!$A$3:$A$2477,$A153),2),F$1),0)</f>
        <v>1</v>
      </c>
      <c r="G153">
        <f>IFERROR(COUNTIF(OFFSET('Schedule Raw Data'!$A$2,MATCH($A153,'Schedule Raw Data'!$A$3:$A$2477,0),1,COUNTIF('Schedule Raw Data'!$A$3:$A$2477,$A153),2),G$1),0)</f>
        <v>1</v>
      </c>
      <c r="H153">
        <f>IFERROR(COUNTIF(OFFSET('Schedule Raw Data'!$A$2,MATCH($A153,'Schedule Raw Data'!$A$3:$A$2477,0),1,COUNTIF('Schedule Raw Data'!$A$3:$A$2477,$A153),2),H$1),0)</f>
        <v>0</v>
      </c>
      <c r="I153">
        <f>IFERROR(COUNTIF(OFFSET('Schedule Raw Data'!$A$2,MATCH($A153,'Schedule Raw Data'!$A$3:$A$2477,0),1,COUNTIF('Schedule Raw Data'!$A$3:$A$2477,$A153),2),I$1),0)</f>
        <v>1</v>
      </c>
      <c r="J153">
        <f>IFERROR(COUNTIF(OFFSET('Schedule Raw Data'!$A$2,MATCH($A153,'Schedule Raw Data'!$A$3:$A$2477,0),1,COUNTIF('Schedule Raw Data'!$A$3:$A$2477,$A153),2),J$1),0)</f>
        <v>1</v>
      </c>
      <c r="K153">
        <f>IFERROR(COUNTIF(OFFSET('Schedule Raw Data'!$A$2,MATCH($A153,'Schedule Raw Data'!$A$3:$A$2477,0),1,COUNTIF('Schedule Raw Data'!$A$3:$A$2477,$A153),2),K$1),0)</f>
        <v>1</v>
      </c>
      <c r="L153">
        <f>IFERROR(COUNTIF(OFFSET('Schedule Raw Data'!$A$2,MATCH($A153,'Schedule Raw Data'!$A$3:$A$2477,0),1,COUNTIF('Schedule Raw Data'!$A$3:$A$2477,$A153),2),L$1),0)</f>
        <v>1</v>
      </c>
      <c r="M153">
        <f>IFERROR(COUNTIF(OFFSET('Schedule Raw Data'!$A$2,MATCH($A153,'Schedule Raw Data'!$A$3:$A$2477,0),1,COUNTIF('Schedule Raw Data'!$A$3:$A$2477,$A153),2),M$1),0)</f>
        <v>0</v>
      </c>
      <c r="N153">
        <f>IFERROR(COUNTIF(OFFSET('Schedule Raw Data'!$A$2,MATCH($A153,'Schedule Raw Data'!$A$3:$A$2477,0),1,COUNTIF('Schedule Raw Data'!$A$3:$A$2477,$A153),2),N$1),0)</f>
        <v>1</v>
      </c>
      <c r="O153">
        <f>IFERROR(COUNTIF(OFFSET('Schedule Raw Data'!$A$2,MATCH($A153,'Schedule Raw Data'!$A$3:$A$2477,0),1,COUNTIF('Schedule Raw Data'!$A$3:$A$2477,$A153),2),O$1),0)</f>
        <v>1</v>
      </c>
      <c r="P153">
        <f>IFERROR(COUNTIF(OFFSET('Schedule Raw Data'!$A$2,MATCH($A153,'Schedule Raw Data'!$A$3:$A$2477,0),1,COUNTIF('Schedule Raw Data'!$A$3:$A$2477,$A153),2),P$1),0)</f>
        <v>1</v>
      </c>
      <c r="Q153">
        <f>IFERROR(COUNTIF(OFFSET('Schedule Raw Data'!$A$2,MATCH($A153,'Schedule Raw Data'!$A$3:$A$2477,0),1,COUNTIF('Schedule Raw Data'!$A$3:$A$2477,$A153),2),Q$1),0)</f>
        <v>1</v>
      </c>
      <c r="R153">
        <f>IFERROR(COUNTIF(OFFSET('Schedule Raw Data'!$A$2,MATCH($A153,'Schedule Raw Data'!$A$3:$A$2477,0),1,COUNTIF('Schedule Raw Data'!$A$3:$A$2477,$A153),2),R$1),0)</f>
        <v>0</v>
      </c>
      <c r="S153">
        <f>IFERROR(COUNTIF(OFFSET('Schedule Raw Data'!$A$2,MATCH($A153,'Schedule Raw Data'!$A$3:$A$2477,0),1,COUNTIF('Schedule Raw Data'!$A$3:$A$2477,$A153),2),S$1),0)</f>
        <v>1</v>
      </c>
      <c r="T153">
        <f>IFERROR(COUNTIF(OFFSET('Schedule Raw Data'!$A$2,MATCH($A153,'Schedule Raw Data'!$A$3:$A$2477,0),1,COUNTIF('Schedule Raw Data'!$A$3:$A$2477,$A153),2),T$1),0)</f>
        <v>1</v>
      </c>
      <c r="U153">
        <f>IFERROR(COUNTIF(OFFSET('Schedule Raw Data'!$A$2,MATCH($A153,'Schedule Raw Data'!$A$3:$A$2477,0),1,COUNTIF('Schedule Raw Data'!$A$3:$A$2477,$A153),2),U$1),0)</f>
        <v>1</v>
      </c>
      <c r="V153">
        <f>IFERROR(COUNTIF(OFFSET('Schedule Raw Data'!$A$2,MATCH($A153,'Schedule Raw Data'!$A$3:$A$2477,0),1,COUNTIF('Schedule Raw Data'!$A$3:$A$2477,$A153),2),V$1),0)</f>
        <v>1</v>
      </c>
      <c r="W153">
        <f>IFERROR(COUNTIF(OFFSET('Schedule Raw Data'!$A$2,MATCH($A153,'Schedule Raw Data'!$A$3:$A$2477,0),1,COUNTIF('Schedule Raw Data'!$A$3:$A$2477,$A153),2),W$1),0)</f>
        <v>1</v>
      </c>
      <c r="X153">
        <f>IFERROR(COUNTIF(OFFSET('Schedule Raw Data'!$A$2,MATCH($A153,'Schedule Raw Data'!$A$3:$A$2477,0),1,COUNTIF('Schedule Raw Data'!$A$3:$A$2477,$A153),2),X$1),0)</f>
        <v>0</v>
      </c>
      <c r="Y153">
        <f>IFERROR(COUNTIF(OFFSET('Schedule Raw Data'!$A$2,MATCH($A153,'Schedule Raw Data'!$A$3:$A$2477,0),1,COUNTIF('Schedule Raw Data'!$A$3:$A$2477,$A153),2),Y$1),0)</f>
        <v>1</v>
      </c>
      <c r="Z153">
        <f>IFERROR(COUNTIF(OFFSET('Schedule Raw Data'!$A$2,MATCH($A153,'Schedule Raw Data'!$A$3:$A$2477,0),1,COUNTIF('Schedule Raw Data'!$A$3:$A$2477,$A153),2),Z$1),0)</f>
        <v>1</v>
      </c>
      <c r="AA153">
        <f>IFERROR(COUNTIF(OFFSET('Schedule Raw Data'!$A$2,MATCH($A153,'Schedule Raw Data'!$A$3:$A$2477,0),1,COUNTIF('Schedule Raw Data'!$A$3:$A$2477,$A153),2),AA$1),0)</f>
        <v>0</v>
      </c>
      <c r="AB153">
        <f>IFERROR(COUNTIF(OFFSET('Schedule Raw Data'!$A$2,MATCH($A153,'Schedule Raw Data'!$A$3:$A$2477,0),1,COUNTIF('Schedule Raw Data'!$A$3:$A$2477,$A153),2),AB$1),0)</f>
        <v>1</v>
      </c>
      <c r="AC153">
        <f>IFERROR(COUNTIF(OFFSET('Schedule Raw Data'!$A$2,MATCH($A153,'Schedule Raw Data'!$A$3:$A$2477,0),1,COUNTIF('Schedule Raw Data'!$A$3:$A$2477,$A153),2),AC$1),0)</f>
        <v>1</v>
      </c>
      <c r="AD153">
        <f>IFERROR(COUNTIF(OFFSET('Schedule Raw Data'!$A$2,MATCH($A153,'Schedule Raw Data'!$A$3:$A$2477,0),1,COUNTIF('Schedule Raw Data'!$A$3:$A$2477,$A153),2),AD$1),0)</f>
        <v>1</v>
      </c>
      <c r="AE153">
        <f>IFERROR(COUNTIF(OFFSET('Schedule Raw Data'!$A$2,MATCH($A153,'Schedule Raw Data'!$A$3:$A$2477,0),1,COUNTIF('Schedule Raw Data'!$A$3:$A$2477,$A153),2),AE$1),0)</f>
        <v>1</v>
      </c>
      <c r="AF153">
        <f>IFERROR(COUNTIF(OFFSET('Schedule Raw Data'!$A$2,MATCH($A153,'Schedule Raw Data'!$A$3:$A$2477,0),1,COUNTIF('Schedule Raw Data'!$A$3:$A$2477,$A153),2),AF$1),0)</f>
        <v>0</v>
      </c>
      <c r="AG153">
        <f t="shared" si="1"/>
        <v>11</v>
      </c>
    </row>
    <row r="154">
      <c r="A154" s="30">
        <f t="array" ref="A154">INDEX('Schedule Raw Data'!$A$3:$A$2477,MATCH(0,INDEX(COUNTIF($A$1:A153,'Schedule Raw Data'!$A$3:$A$2477),0,0),0))</f>
        <v>46484</v>
      </c>
      <c r="B154">
        <f t="shared" si="2"/>
        <v>23</v>
      </c>
      <c r="C154">
        <f>IFERROR(COUNTIF(OFFSET('Schedule Raw Data'!$A$2,MATCH($A154,'Schedule Raw Data'!$A$3:$A$2477,0),1,COUNTIF('Schedule Raw Data'!$A$3:$A$2477,$A154),2),C$1),0)</f>
        <v>0</v>
      </c>
      <c r="D154">
        <f>IFERROR(COUNTIF(OFFSET('Schedule Raw Data'!$A$2,MATCH($A154,'Schedule Raw Data'!$A$3:$A$2477,0),1,COUNTIF('Schedule Raw Data'!$A$3:$A$2477,$A154),2),D$1),0)</f>
        <v>1</v>
      </c>
      <c r="E154">
        <f>IFERROR(COUNTIF(OFFSET('Schedule Raw Data'!$A$2,MATCH($A154,'Schedule Raw Data'!$A$3:$A$2477,0),1,COUNTIF('Schedule Raw Data'!$A$3:$A$2477,$A154),2),E$1),0)</f>
        <v>1</v>
      </c>
      <c r="F154">
        <f>IFERROR(COUNTIF(OFFSET('Schedule Raw Data'!$A$2,MATCH($A154,'Schedule Raw Data'!$A$3:$A$2477,0),1,COUNTIF('Schedule Raw Data'!$A$3:$A$2477,$A154),2),F$1),0)</f>
        <v>1</v>
      </c>
      <c r="G154">
        <f>IFERROR(COUNTIF(OFFSET('Schedule Raw Data'!$A$2,MATCH($A154,'Schedule Raw Data'!$A$3:$A$2477,0),1,COUNTIF('Schedule Raw Data'!$A$3:$A$2477,$A154),2),G$1),0)</f>
        <v>1</v>
      </c>
      <c r="H154">
        <f>IFERROR(COUNTIF(OFFSET('Schedule Raw Data'!$A$2,MATCH($A154,'Schedule Raw Data'!$A$3:$A$2477,0),1,COUNTIF('Schedule Raw Data'!$A$3:$A$2477,$A154),2),H$1),0)</f>
        <v>1</v>
      </c>
      <c r="I154">
        <f>IFERROR(COUNTIF(OFFSET('Schedule Raw Data'!$A$2,MATCH($A154,'Schedule Raw Data'!$A$3:$A$2477,0),1,COUNTIF('Schedule Raw Data'!$A$3:$A$2477,$A154),2),I$1),0)</f>
        <v>1</v>
      </c>
      <c r="J154">
        <f>IFERROR(COUNTIF(OFFSET('Schedule Raw Data'!$A$2,MATCH($A154,'Schedule Raw Data'!$A$3:$A$2477,0),1,COUNTIF('Schedule Raw Data'!$A$3:$A$2477,$A154),2),J$1),0)</f>
        <v>0</v>
      </c>
      <c r="K154">
        <f>IFERROR(COUNTIF(OFFSET('Schedule Raw Data'!$A$2,MATCH($A154,'Schedule Raw Data'!$A$3:$A$2477,0),1,COUNTIF('Schedule Raw Data'!$A$3:$A$2477,$A154),2),K$1),0)</f>
        <v>1</v>
      </c>
      <c r="L154">
        <f>IFERROR(COUNTIF(OFFSET('Schedule Raw Data'!$A$2,MATCH($A154,'Schedule Raw Data'!$A$3:$A$2477,0),1,COUNTIF('Schedule Raw Data'!$A$3:$A$2477,$A154),2),L$1),0)</f>
        <v>0</v>
      </c>
      <c r="M154">
        <f>IFERROR(COUNTIF(OFFSET('Schedule Raw Data'!$A$2,MATCH($A154,'Schedule Raw Data'!$A$3:$A$2477,0),1,COUNTIF('Schedule Raw Data'!$A$3:$A$2477,$A154),2),M$1),0)</f>
        <v>1</v>
      </c>
      <c r="N154">
        <f>IFERROR(COUNTIF(OFFSET('Schedule Raw Data'!$A$2,MATCH($A154,'Schedule Raw Data'!$A$3:$A$2477,0),1,COUNTIF('Schedule Raw Data'!$A$3:$A$2477,$A154),2),N$1),0)</f>
        <v>1</v>
      </c>
      <c r="O154">
        <f>IFERROR(COUNTIF(OFFSET('Schedule Raw Data'!$A$2,MATCH($A154,'Schedule Raw Data'!$A$3:$A$2477,0),1,COUNTIF('Schedule Raw Data'!$A$3:$A$2477,$A154),2),O$1),0)</f>
        <v>0</v>
      </c>
      <c r="P154">
        <f>IFERROR(COUNTIF(OFFSET('Schedule Raw Data'!$A$2,MATCH($A154,'Schedule Raw Data'!$A$3:$A$2477,0),1,COUNTIF('Schedule Raw Data'!$A$3:$A$2477,$A154),2),P$1),0)</f>
        <v>1</v>
      </c>
      <c r="Q154">
        <f>IFERROR(COUNTIF(OFFSET('Schedule Raw Data'!$A$2,MATCH($A154,'Schedule Raw Data'!$A$3:$A$2477,0),1,COUNTIF('Schedule Raw Data'!$A$3:$A$2477,$A154),2),Q$1),0)</f>
        <v>1</v>
      </c>
      <c r="R154">
        <f>IFERROR(COUNTIF(OFFSET('Schedule Raw Data'!$A$2,MATCH($A154,'Schedule Raw Data'!$A$3:$A$2477,0),1,COUNTIF('Schedule Raw Data'!$A$3:$A$2477,$A154),2),R$1),0)</f>
        <v>0</v>
      </c>
      <c r="S154">
        <f>IFERROR(COUNTIF(OFFSET('Schedule Raw Data'!$A$2,MATCH($A154,'Schedule Raw Data'!$A$3:$A$2477,0),1,COUNTIF('Schedule Raw Data'!$A$3:$A$2477,$A154),2),S$1),0)</f>
        <v>0</v>
      </c>
      <c r="T154">
        <f>IFERROR(COUNTIF(OFFSET('Schedule Raw Data'!$A$2,MATCH($A154,'Schedule Raw Data'!$A$3:$A$2477,0),1,COUNTIF('Schedule Raw Data'!$A$3:$A$2477,$A154),2),T$1),0)</f>
        <v>1</v>
      </c>
      <c r="U154">
        <f>IFERROR(COUNTIF(OFFSET('Schedule Raw Data'!$A$2,MATCH($A154,'Schedule Raw Data'!$A$3:$A$2477,0),1,COUNTIF('Schedule Raw Data'!$A$3:$A$2477,$A154),2),U$1),0)</f>
        <v>0</v>
      </c>
      <c r="V154">
        <f>IFERROR(COUNTIF(OFFSET('Schedule Raw Data'!$A$2,MATCH($A154,'Schedule Raw Data'!$A$3:$A$2477,0),1,COUNTIF('Schedule Raw Data'!$A$3:$A$2477,$A154),2),V$1),0)</f>
        <v>0</v>
      </c>
      <c r="W154">
        <f>IFERROR(COUNTIF(OFFSET('Schedule Raw Data'!$A$2,MATCH($A154,'Schedule Raw Data'!$A$3:$A$2477,0),1,COUNTIF('Schedule Raw Data'!$A$3:$A$2477,$A154),2),W$1),0)</f>
        <v>0</v>
      </c>
      <c r="X154">
        <f>IFERROR(COUNTIF(OFFSET('Schedule Raw Data'!$A$2,MATCH($A154,'Schedule Raw Data'!$A$3:$A$2477,0),1,COUNTIF('Schedule Raw Data'!$A$3:$A$2477,$A154),2),X$1),0)</f>
        <v>1</v>
      </c>
      <c r="Y154">
        <f>IFERROR(COUNTIF(OFFSET('Schedule Raw Data'!$A$2,MATCH($A154,'Schedule Raw Data'!$A$3:$A$2477,0),1,COUNTIF('Schedule Raw Data'!$A$3:$A$2477,$A154),2),Y$1),0)</f>
        <v>0</v>
      </c>
      <c r="Z154">
        <f>IFERROR(COUNTIF(OFFSET('Schedule Raw Data'!$A$2,MATCH($A154,'Schedule Raw Data'!$A$3:$A$2477,0),1,COUNTIF('Schedule Raw Data'!$A$3:$A$2477,$A154),2),Z$1),0)</f>
        <v>0</v>
      </c>
      <c r="AA154">
        <f>IFERROR(COUNTIF(OFFSET('Schedule Raw Data'!$A$2,MATCH($A154,'Schedule Raw Data'!$A$3:$A$2477,0),1,COUNTIF('Schedule Raw Data'!$A$3:$A$2477,$A154),2),AA$1),0)</f>
        <v>1</v>
      </c>
      <c r="AB154">
        <f>IFERROR(COUNTIF(OFFSET('Schedule Raw Data'!$A$2,MATCH($A154,'Schedule Raw Data'!$A$3:$A$2477,0),1,COUNTIF('Schedule Raw Data'!$A$3:$A$2477,$A154),2),AB$1),0)</f>
        <v>1</v>
      </c>
      <c r="AC154">
        <f>IFERROR(COUNTIF(OFFSET('Schedule Raw Data'!$A$2,MATCH($A154,'Schedule Raw Data'!$A$3:$A$2477,0),1,COUNTIF('Schedule Raw Data'!$A$3:$A$2477,$A154),2),AC$1),0)</f>
        <v>1</v>
      </c>
      <c r="AD154">
        <f>IFERROR(COUNTIF(OFFSET('Schedule Raw Data'!$A$2,MATCH($A154,'Schedule Raw Data'!$A$3:$A$2477,0),1,COUNTIF('Schedule Raw Data'!$A$3:$A$2477,$A154),2),AD$1),0)</f>
        <v>1</v>
      </c>
      <c r="AE154">
        <f>IFERROR(COUNTIF(OFFSET('Schedule Raw Data'!$A$2,MATCH($A154,'Schedule Raw Data'!$A$3:$A$2477,0),1,COUNTIF('Schedule Raw Data'!$A$3:$A$2477,$A154),2),AE$1),0)</f>
        <v>0</v>
      </c>
      <c r="AF154">
        <f>IFERROR(COUNTIF(OFFSET('Schedule Raw Data'!$A$2,MATCH($A154,'Schedule Raw Data'!$A$3:$A$2477,0),1,COUNTIF('Schedule Raw Data'!$A$3:$A$2477,$A154),2),AF$1),0)</f>
        <v>1</v>
      </c>
      <c r="AG154">
        <f t="shared" si="1"/>
        <v>9</v>
      </c>
    </row>
    <row r="155">
      <c r="A155" s="30">
        <f t="array" ref="A155">INDEX('Schedule Raw Data'!$A$3:$A$2477,MATCH(0,INDEX(COUNTIF($A$1:A154,'Schedule Raw Data'!$A$3:$A$2477),0,0),0))</f>
        <v>46485</v>
      </c>
      <c r="B155">
        <f t="shared" si="2"/>
        <v>23</v>
      </c>
      <c r="C155">
        <f>IFERROR(COUNTIF(OFFSET('Schedule Raw Data'!$A$2,MATCH($A155,'Schedule Raw Data'!$A$3:$A$2477,0),1,COUNTIF('Schedule Raw Data'!$A$3:$A$2477,$A155),2),C$1),0)</f>
        <v>0</v>
      </c>
      <c r="D155">
        <f>IFERROR(COUNTIF(OFFSET('Schedule Raw Data'!$A$2,MATCH($A155,'Schedule Raw Data'!$A$3:$A$2477,0),1,COUNTIF('Schedule Raw Data'!$A$3:$A$2477,$A155),2),D$1),0)</f>
        <v>0</v>
      </c>
      <c r="E155">
        <f>IFERROR(COUNTIF(OFFSET('Schedule Raw Data'!$A$2,MATCH($A155,'Schedule Raw Data'!$A$3:$A$2477,0),1,COUNTIF('Schedule Raw Data'!$A$3:$A$2477,$A155),2),E$1),0)</f>
        <v>0</v>
      </c>
      <c r="F155">
        <f>IFERROR(COUNTIF(OFFSET('Schedule Raw Data'!$A$2,MATCH($A155,'Schedule Raw Data'!$A$3:$A$2477,0),1,COUNTIF('Schedule Raw Data'!$A$3:$A$2477,$A155),2),F$1),0)</f>
        <v>0</v>
      </c>
      <c r="G155">
        <f>IFERROR(COUNTIF(OFFSET('Schedule Raw Data'!$A$2,MATCH($A155,'Schedule Raw Data'!$A$3:$A$2477,0),1,COUNTIF('Schedule Raw Data'!$A$3:$A$2477,$A155),2),G$1),0)</f>
        <v>0</v>
      </c>
      <c r="H155">
        <f>IFERROR(COUNTIF(OFFSET('Schedule Raw Data'!$A$2,MATCH($A155,'Schedule Raw Data'!$A$3:$A$2477,0),1,COUNTIF('Schedule Raw Data'!$A$3:$A$2477,$A155),2),H$1),0)</f>
        <v>0</v>
      </c>
      <c r="I155">
        <f>IFERROR(COUNTIF(OFFSET('Schedule Raw Data'!$A$2,MATCH($A155,'Schedule Raw Data'!$A$3:$A$2477,0),1,COUNTIF('Schedule Raw Data'!$A$3:$A$2477,$A155),2),I$1),0)</f>
        <v>0</v>
      </c>
      <c r="J155">
        <f>IFERROR(COUNTIF(OFFSET('Schedule Raw Data'!$A$2,MATCH($A155,'Schedule Raw Data'!$A$3:$A$2477,0),1,COUNTIF('Schedule Raw Data'!$A$3:$A$2477,$A155),2),J$1),0)</f>
        <v>1</v>
      </c>
      <c r="K155">
        <f>IFERROR(COUNTIF(OFFSET('Schedule Raw Data'!$A$2,MATCH($A155,'Schedule Raw Data'!$A$3:$A$2477,0),1,COUNTIF('Schedule Raw Data'!$A$3:$A$2477,$A155),2),K$1),0)</f>
        <v>0</v>
      </c>
      <c r="L155">
        <f>IFERROR(COUNTIF(OFFSET('Schedule Raw Data'!$A$2,MATCH($A155,'Schedule Raw Data'!$A$3:$A$2477,0),1,COUNTIF('Schedule Raw Data'!$A$3:$A$2477,$A155),2),L$1),0)</f>
        <v>1</v>
      </c>
      <c r="M155">
        <f>IFERROR(COUNTIF(OFFSET('Schedule Raw Data'!$A$2,MATCH($A155,'Schedule Raw Data'!$A$3:$A$2477,0),1,COUNTIF('Schedule Raw Data'!$A$3:$A$2477,$A155),2),M$1),0)</f>
        <v>0</v>
      </c>
      <c r="N155">
        <f>IFERROR(COUNTIF(OFFSET('Schedule Raw Data'!$A$2,MATCH($A155,'Schedule Raw Data'!$A$3:$A$2477,0),1,COUNTIF('Schedule Raw Data'!$A$3:$A$2477,$A155),2),N$1),0)</f>
        <v>0</v>
      </c>
      <c r="O155">
        <f>IFERROR(COUNTIF(OFFSET('Schedule Raw Data'!$A$2,MATCH($A155,'Schedule Raw Data'!$A$3:$A$2477,0),1,COUNTIF('Schedule Raw Data'!$A$3:$A$2477,$A155),2),O$1),0)</f>
        <v>1</v>
      </c>
      <c r="P155">
        <f>IFERROR(COUNTIF(OFFSET('Schedule Raw Data'!$A$2,MATCH($A155,'Schedule Raw Data'!$A$3:$A$2477,0),1,COUNTIF('Schedule Raw Data'!$A$3:$A$2477,$A155),2),P$1),0)</f>
        <v>0</v>
      </c>
      <c r="Q155">
        <f>IFERROR(COUNTIF(OFFSET('Schedule Raw Data'!$A$2,MATCH($A155,'Schedule Raw Data'!$A$3:$A$2477,0),1,COUNTIF('Schedule Raw Data'!$A$3:$A$2477,$A155),2),Q$1),0)</f>
        <v>0</v>
      </c>
      <c r="R155">
        <f>IFERROR(COUNTIF(OFFSET('Schedule Raw Data'!$A$2,MATCH($A155,'Schedule Raw Data'!$A$3:$A$2477,0),1,COUNTIF('Schedule Raw Data'!$A$3:$A$2477,$A155),2),R$1),0)</f>
        <v>1</v>
      </c>
      <c r="S155">
        <f>IFERROR(COUNTIF(OFFSET('Schedule Raw Data'!$A$2,MATCH($A155,'Schedule Raw Data'!$A$3:$A$2477,0),1,COUNTIF('Schedule Raw Data'!$A$3:$A$2477,$A155),2),S$1),0)</f>
        <v>1</v>
      </c>
      <c r="T155">
        <f>IFERROR(COUNTIF(OFFSET('Schedule Raw Data'!$A$2,MATCH($A155,'Schedule Raw Data'!$A$3:$A$2477,0),1,COUNTIF('Schedule Raw Data'!$A$3:$A$2477,$A155),2),T$1),0)</f>
        <v>0</v>
      </c>
      <c r="U155">
        <f>IFERROR(COUNTIF(OFFSET('Schedule Raw Data'!$A$2,MATCH($A155,'Schedule Raw Data'!$A$3:$A$2477,0),1,COUNTIF('Schedule Raw Data'!$A$3:$A$2477,$A155),2),U$1),0)</f>
        <v>1</v>
      </c>
      <c r="V155">
        <f>IFERROR(COUNTIF(OFFSET('Schedule Raw Data'!$A$2,MATCH($A155,'Schedule Raw Data'!$A$3:$A$2477,0),1,COUNTIF('Schedule Raw Data'!$A$3:$A$2477,$A155),2),V$1),0)</f>
        <v>1</v>
      </c>
      <c r="W155">
        <f>IFERROR(COUNTIF(OFFSET('Schedule Raw Data'!$A$2,MATCH($A155,'Schedule Raw Data'!$A$3:$A$2477,0),1,COUNTIF('Schedule Raw Data'!$A$3:$A$2477,$A155),2),W$1),0)</f>
        <v>1</v>
      </c>
      <c r="X155">
        <f>IFERROR(COUNTIF(OFFSET('Schedule Raw Data'!$A$2,MATCH($A155,'Schedule Raw Data'!$A$3:$A$2477,0),1,COUNTIF('Schedule Raw Data'!$A$3:$A$2477,$A155),2),X$1),0)</f>
        <v>0</v>
      </c>
      <c r="Y155">
        <f>IFERROR(COUNTIF(OFFSET('Schedule Raw Data'!$A$2,MATCH($A155,'Schedule Raw Data'!$A$3:$A$2477,0),1,COUNTIF('Schedule Raw Data'!$A$3:$A$2477,$A155),2),Y$1),0)</f>
        <v>1</v>
      </c>
      <c r="Z155">
        <f>IFERROR(COUNTIF(OFFSET('Schedule Raw Data'!$A$2,MATCH($A155,'Schedule Raw Data'!$A$3:$A$2477,0),1,COUNTIF('Schedule Raw Data'!$A$3:$A$2477,$A155),2),Z$1),0)</f>
        <v>0</v>
      </c>
      <c r="AA155">
        <f>IFERROR(COUNTIF(OFFSET('Schedule Raw Data'!$A$2,MATCH($A155,'Schedule Raw Data'!$A$3:$A$2477,0),1,COUNTIF('Schedule Raw Data'!$A$3:$A$2477,$A155),2),AA$1),0)</f>
        <v>0</v>
      </c>
      <c r="AB155">
        <f>IFERROR(COUNTIF(OFFSET('Schedule Raw Data'!$A$2,MATCH($A155,'Schedule Raw Data'!$A$3:$A$2477,0),1,COUNTIF('Schedule Raw Data'!$A$3:$A$2477,$A155),2),AB$1),0)</f>
        <v>0</v>
      </c>
      <c r="AC155">
        <f>IFERROR(COUNTIF(OFFSET('Schedule Raw Data'!$A$2,MATCH($A155,'Schedule Raw Data'!$A$3:$A$2477,0),1,COUNTIF('Schedule Raw Data'!$A$3:$A$2477,$A155),2),AC$1),0)</f>
        <v>0</v>
      </c>
      <c r="AD155">
        <f>IFERROR(COUNTIF(OFFSET('Schedule Raw Data'!$A$2,MATCH($A155,'Schedule Raw Data'!$A$3:$A$2477,0),1,COUNTIF('Schedule Raw Data'!$A$3:$A$2477,$A155),2),AD$1),0)</f>
        <v>0</v>
      </c>
      <c r="AE155">
        <f>IFERROR(COUNTIF(OFFSET('Schedule Raw Data'!$A$2,MATCH($A155,'Schedule Raw Data'!$A$3:$A$2477,0),1,COUNTIF('Schedule Raw Data'!$A$3:$A$2477,$A155),2),AE$1),0)</f>
        <v>1</v>
      </c>
      <c r="AF155">
        <f>IFERROR(COUNTIF(OFFSET('Schedule Raw Data'!$A$2,MATCH($A155,'Schedule Raw Data'!$A$3:$A$2477,0),1,COUNTIF('Schedule Raw Data'!$A$3:$A$2477,$A155),2),AF$1),0)</f>
        <v>0</v>
      </c>
      <c r="AG155">
        <f t="shared" si="1"/>
        <v>5</v>
      </c>
    </row>
    <row r="156">
      <c r="A156" s="30">
        <f t="array" ref="A156">INDEX('Schedule Raw Data'!$A$3:$A$2477,MATCH(0,INDEX(COUNTIF($A$1:A155,'Schedule Raw Data'!$A$3:$A$2477),0,0),0))</f>
        <v>46486</v>
      </c>
      <c r="B156">
        <f t="shared" si="2"/>
        <v>23</v>
      </c>
      <c r="C156">
        <f>IFERROR(COUNTIF(OFFSET('Schedule Raw Data'!$A$2,MATCH($A156,'Schedule Raw Data'!$A$3:$A$2477,0),1,COUNTIF('Schedule Raw Data'!$A$3:$A$2477,$A156),2),C$1),0)</f>
        <v>1</v>
      </c>
      <c r="D156">
        <f>IFERROR(COUNTIF(OFFSET('Schedule Raw Data'!$A$2,MATCH($A156,'Schedule Raw Data'!$A$3:$A$2477,0),1,COUNTIF('Schedule Raw Data'!$A$3:$A$2477,$A156),2),D$1),0)</f>
        <v>1</v>
      </c>
      <c r="E156">
        <f>IFERROR(COUNTIF(OFFSET('Schedule Raw Data'!$A$2,MATCH($A156,'Schedule Raw Data'!$A$3:$A$2477,0),1,COUNTIF('Schedule Raw Data'!$A$3:$A$2477,$A156),2),E$1),0)</f>
        <v>1</v>
      </c>
      <c r="F156">
        <f>IFERROR(COUNTIF(OFFSET('Schedule Raw Data'!$A$2,MATCH($A156,'Schedule Raw Data'!$A$3:$A$2477,0),1,COUNTIF('Schedule Raw Data'!$A$3:$A$2477,$A156),2),F$1),0)</f>
        <v>1</v>
      </c>
      <c r="G156">
        <f>IFERROR(COUNTIF(OFFSET('Schedule Raw Data'!$A$2,MATCH($A156,'Schedule Raw Data'!$A$3:$A$2477,0),1,COUNTIF('Schedule Raw Data'!$A$3:$A$2477,$A156),2),G$1),0)</f>
        <v>1</v>
      </c>
      <c r="H156">
        <f>IFERROR(COUNTIF(OFFSET('Schedule Raw Data'!$A$2,MATCH($A156,'Schedule Raw Data'!$A$3:$A$2477,0),1,COUNTIF('Schedule Raw Data'!$A$3:$A$2477,$A156),2),H$1),0)</f>
        <v>1</v>
      </c>
      <c r="I156">
        <f>IFERROR(COUNTIF(OFFSET('Schedule Raw Data'!$A$2,MATCH($A156,'Schedule Raw Data'!$A$3:$A$2477,0),1,COUNTIF('Schedule Raw Data'!$A$3:$A$2477,$A156),2),I$1),0)</f>
        <v>1</v>
      </c>
      <c r="J156">
        <f>IFERROR(COUNTIF(OFFSET('Schedule Raw Data'!$A$2,MATCH($A156,'Schedule Raw Data'!$A$3:$A$2477,0),1,COUNTIF('Schedule Raw Data'!$A$3:$A$2477,$A156),2),J$1),0)</f>
        <v>1</v>
      </c>
      <c r="K156">
        <f>IFERROR(COUNTIF(OFFSET('Schedule Raw Data'!$A$2,MATCH($A156,'Schedule Raw Data'!$A$3:$A$2477,0),1,COUNTIF('Schedule Raw Data'!$A$3:$A$2477,$A156),2),K$1),0)</f>
        <v>1</v>
      </c>
      <c r="L156">
        <f>IFERROR(COUNTIF(OFFSET('Schedule Raw Data'!$A$2,MATCH($A156,'Schedule Raw Data'!$A$3:$A$2477,0),1,COUNTIF('Schedule Raw Data'!$A$3:$A$2477,$A156),2),L$1),0)</f>
        <v>1</v>
      </c>
      <c r="M156">
        <f>IFERROR(COUNTIF(OFFSET('Schedule Raw Data'!$A$2,MATCH($A156,'Schedule Raw Data'!$A$3:$A$2477,0),1,COUNTIF('Schedule Raw Data'!$A$3:$A$2477,$A156),2),M$1),0)</f>
        <v>1</v>
      </c>
      <c r="N156">
        <f>IFERROR(COUNTIF(OFFSET('Schedule Raw Data'!$A$2,MATCH($A156,'Schedule Raw Data'!$A$3:$A$2477,0),1,COUNTIF('Schedule Raw Data'!$A$3:$A$2477,$A156),2),N$1),0)</f>
        <v>1</v>
      </c>
      <c r="O156">
        <f>IFERROR(COUNTIF(OFFSET('Schedule Raw Data'!$A$2,MATCH($A156,'Schedule Raw Data'!$A$3:$A$2477,0),1,COUNTIF('Schedule Raw Data'!$A$3:$A$2477,$A156),2),O$1),0)</f>
        <v>1</v>
      </c>
      <c r="P156">
        <f>IFERROR(COUNTIF(OFFSET('Schedule Raw Data'!$A$2,MATCH($A156,'Schedule Raw Data'!$A$3:$A$2477,0),1,COUNTIF('Schedule Raw Data'!$A$3:$A$2477,$A156),2),P$1),0)</f>
        <v>1</v>
      </c>
      <c r="Q156">
        <f>IFERROR(COUNTIF(OFFSET('Schedule Raw Data'!$A$2,MATCH($A156,'Schedule Raw Data'!$A$3:$A$2477,0),1,COUNTIF('Schedule Raw Data'!$A$3:$A$2477,$A156),2),Q$1),0)</f>
        <v>1</v>
      </c>
      <c r="R156">
        <f>IFERROR(COUNTIF(OFFSET('Schedule Raw Data'!$A$2,MATCH($A156,'Schedule Raw Data'!$A$3:$A$2477,0),1,COUNTIF('Schedule Raw Data'!$A$3:$A$2477,$A156),2),R$1),0)</f>
        <v>1</v>
      </c>
      <c r="S156">
        <f>IFERROR(COUNTIF(OFFSET('Schedule Raw Data'!$A$2,MATCH($A156,'Schedule Raw Data'!$A$3:$A$2477,0),1,COUNTIF('Schedule Raw Data'!$A$3:$A$2477,$A156),2),S$1),0)</f>
        <v>1</v>
      </c>
      <c r="T156">
        <f>IFERROR(COUNTIF(OFFSET('Schedule Raw Data'!$A$2,MATCH($A156,'Schedule Raw Data'!$A$3:$A$2477,0),1,COUNTIF('Schedule Raw Data'!$A$3:$A$2477,$A156),2),T$1),0)</f>
        <v>1</v>
      </c>
      <c r="U156">
        <f>IFERROR(COUNTIF(OFFSET('Schedule Raw Data'!$A$2,MATCH($A156,'Schedule Raw Data'!$A$3:$A$2477,0),1,COUNTIF('Schedule Raw Data'!$A$3:$A$2477,$A156),2),U$1),0)</f>
        <v>0</v>
      </c>
      <c r="V156">
        <f>IFERROR(COUNTIF(OFFSET('Schedule Raw Data'!$A$2,MATCH($A156,'Schedule Raw Data'!$A$3:$A$2477,0),1,COUNTIF('Schedule Raw Data'!$A$3:$A$2477,$A156),2),V$1),0)</f>
        <v>1</v>
      </c>
      <c r="W156">
        <f>IFERROR(COUNTIF(OFFSET('Schedule Raw Data'!$A$2,MATCH($A156,'Schedule Raw Data'!$A$3:$A$2477,0),1,COUNTIF('Schedule Raw Data'!$A$3:$A$2477,$A156),2),W$1),0)</f>
        <v>1</v>
      </c>
      <c r="X156">
        <f>IFERROR(COUNTIF(OFFSET('Schedule Raw Data'!$A$2,MATCH($A156,'Schedule Raw Data'!$A$3:$A$2477,0),1,COUNTIF('Schedule Raw Data'!$A$3:$A$2477,$A156),2),X$1),0)</f>
        <v>1</v>
      </c>
      <c r="Y156">
        <f>IFERROR(COUNTIF(OFFSET('Schedule Raw Data'!$A$2,MATCH($A156,'Schedule Raw Data'!$A$3:$A$2477,0),1,COUNTIF('Schedule Raw Data'!$A$3:$A$2477,$A156),2),Y$1),0)</f>
        <v>0</v>
      </c>
      <c r="Z156">
        <f>IFERROR(COUNTIF(OFFSET('Schedule Raw Data'!$A$2,MATCH($A156,'Schedule Raw Data'!$A$3:$A$2477,0),1,COUNTIF('Schedule Raw Data'!$A$3:$A$2477,$A156),2),Z$1),0)</f>
        <v>1</v>
      </c>
      <c r="AA156">
        <f>IFERROR(COUNTIF(OFFSET('Schedule Raw Data'!$A$2,MATCH($A156,'Schedule Raw Data'!$A$3:$A$2477,0),1,COUNTIF('Schedule Raw Data'!$A$3:$A$2477,$A156),2),AA$1),0)</f>
        <v>1</v>
      </c>
      <c r="AB156">
        <f>IFERROR(COUNTIF(OFFSET('Schedule Raw Data'!$A$2,MATCH($A156,'Schedule Raw Data'!$A$3:$A$2477,0),1,COUNTIF('Schedule Raw Data'!$A$3:$A$2477,$A156),2),AB$1),0)</f>
        <v>1</v>
      </c>
      <c r="AC156">
        <f>IFERROR(COUNTIF(OFFSET('Schedule Raw Data'!$A$2,MATCH($A156,'Schedule Raw Data'!$A$3:$A$2477,0),1,COUNTIF('Schedule Raw Data'!$A$3:$A$2477,$A156),2),AC$1),0)</f>
        <v>1</v>
      </c>
      <c r="AD156">
        <f>IFERROR(COUNTIF(OFFSET('Schedule Raw Data'!$A$2,MATCH($A156,'Schedule Raw Data'!$A$3:$A$2477,0),1,COUNTIF('Schedule Raw Data'!$A$3:$A$2477,$A156),2),AD$1),0)</f>
        <v>1</v>
      </c>
      <c r="AE156">
        <f>IFERROR(COUNTIF(OFFSET('Schedule Raw Data'!$A$2,MATCH($A156,'Schedule Raw Data'!$A$3:$A$2477,0),1,COUNTIF('Schedule Raw Data'!$A$3:$A$2477,$A156),2),AE$1),0)</f>
        <v>1</v>
      </c>
      <c r="AF156">
        <f>IFERROR(COUNTIF(OFFSET('Schedule Raw Data'!$A$2,MATCH($A156,'Schedule Raw Data'!$A$3:$A$2477,0),1,COUNTIF('Schedule Raw Data'!$A$3:$A$2477,$A156),2),AF$1),0)</f>
        <v>1</v>
      </c>
      <c r="AG156">
        <f t="shared" si="1"/>
        <v>14</v>
      </c>
    </row>
    <row r="157">
      <c r="A157" s="30">
        <f t="array" ref="A157">INDEX('Schedule Raw Data'!$A$3:$A$2477,MATCH(0,INDEX(COUNTIF($A$1:A156,'Schedule Raw Data'!$A$3:$A$2477),0,0),0))</f>
        <v>46488</v>
      </c>
      <c r="B157">
        <f t="shared" si="2"/>
        <v>23</v>
      </c>
      <c r="C157">
        <f>IFERROR(COUNTIF(OFFSET('Schedule Raw Data'!$A$2,MATCH($A157,'Schedule Raw Data'!$A$3:$A$2477,0),1,COUNTIF('Schedule Raw Data'!$A$3:$A$2477,$A157),2),C$1),0)</f>
        <v>1</v>
      </c>
      <c r="D157">
        <f>IFERROR(COUNTIF(OFFSET('Schedule Raw Data'!$A$2,MATCH($A157,'Schedule Raw Data'!$A$3:$A$2477,0),1,COUNTIF('Schedule Raw Data'!$A$3:$A$2477,$A157),2),D$1),0)</f>
        <v>1</v>
      </c>
      <c r="E157">
        <f>IFERROR(COUNTIF(OFFSET('Schedule Raw Data'!$A$2,MATCH($A157,'Schedule Raw Data'!$A$3:$A$2477,0),1,COUNTIF('Schedule Raw Data'!$A$3:$A$2477,$A157),2),E$1),0)</f>
        <v>1</v>
      </c>
      <c r="F157">
        <f>IFERROR(COUNTIF(OFFSET('Schedule Raw Data'!$A$2,MATCH($A157,'Schedule Raw Data'!$A$3:$A$2477,0),1,COUNTIF('Schedule Raw Data'!$A$3:$A$2477,$A157),2),F$1),0)</f>
        <v>1</v>
      </c>
      <c r="G157">
        <f>IFERROR(COUNTIF(OFFSET('Schedule Raw Data'!$A$2,MATCH($A157,'Schedule Raw Data'!$A$3:$A$2477,0),1,COUNTIF('Schedule Raw Data'!$A$3:$A$2477,$A157),2),G$1),0)</f>
        <v>1</v>
      </c>
      <c r="H157">
        <f>IFERROR(COUNTIF(OFFSET('Schedule Raw Data'!$A$2,MATCH($A157,'Schedule Raw Data'!$A$3:$A$2477,0),1,COUNTIF('Schedule Raw Data'!$A$3:$A$2477,$A157),2),H$1),0)</f>
        <v>1</v>
      </c>
      <c r="I157">
        <f>IFERROR(COUNTIF(OFFSET('Schedule Raw Data'!$A$2,MATCH($A157,'Schedule Raw Data'!$A$3:$A$2477,0),1,COUNTIF('Schedule Raw Data'!$A$3:$A$2477,$A157),2),I$1),0)</f>
        <v>1</v>
      </c>
      <c r="J157">
        <f>IFERROR(COUNTIF(OFFSET('Schedule Raw Data'!$A$2,MATCH($A157,'Schedule Raw Data'!$A$3:$A$2477,0),1,COUNTIF('Schedule Raw Data'!$A$3:$A$2477,$A157),2),J$1),0)</f>
        <v>1</v>
      </c>
      <c r="K157">
        <f>IFERROR(COUNTIF(OFFSET('Schedule Raw Data'!$A$2,MATCH($A157,'Schedule Raw Data'!$A$3:$A$2477,0),1,COUNTIF('Schedule Raw Data'!$A$3:$A$2477,$A157),2),K$1),0)</f>
        <v>1</v>
      </c>
      <c r="L157">
        <f>IFERROR(COUNTIF(OFFSET('Schedule Raw Data'!$A$2,MATCH($A157,'Schedule Raw Data'!$A$3:$A$2477,0),1,COUNTIF('Schedule Raw Data'!$A$3:$A$2477,$A157),2),L$1),0)</f>
        <v>1</v>
      </c>
      <c r="M157">
        <f>IFERROR(COUNTIF(OFFSET('Schedule Raw Data'!$A$2,MATCH($A157,'Schedule Raw Data'!$A$3:$A$2477,0),1,COUNTIF('Schedule Raw Data'!$A$3:$A$2477,$A157),2),M$1),0)</f>
        <v>1</v>
      </c>
      <c r="N157">
        <f>IFERROR(COUNTIF(OFFSET('Schedule Raw Data'!$A$2,MATCH($A157,'Schedule Raw Data'!$A$3:$A$2477,0),1,COUNTIF('Schedule Raw Data'!$A$3:$A$2477,$A157),2),N$1),0)</f>
        <v>1</v>
      </c>
      <c r="O157">
        <f>IFERROR(COUNTIF(OFFSET('Schedule Raw Data'!$A$2,MATCH($A157,'Schedule Raw Data'!$A$3:$A$2477,0),1,COUNTIF('Schedule Raw Data'!$A$3:$A$2477,$A157),2),O$1),0)</f>
        <v>1</v>
      </c>
      <c r="P157">
        <f>IFERROR(COUNTIF(OFFSET('Schedule Raw Data'!$A$2,MATCH($A157,'Schedule Raw Data'!$A$3:$A$2477,0),1,COUNTIF('Schedule Raw Data'!$A$3:$A$2477,$A157),2),P$1),0)</f>
        <v>1</v>
      </c>
      <c r="Q157">
        <f>IFERROR(COUNTIF(OFFSET('Schedule Raw Data'!$A$2,MATCH($A157,'Schedule Raw Data'!$A$3:$A$2477,0),1,COUNTIF('Schedule Raw Data'!$A$3:$A$2477,$A157),2),Q$1),0)</f>
        <v>1</v>
      </c>
      <c r="R157">
        <f>IFERROR(COUNTIF(OFFSET('Schedule Raw Data'!$A$2,MATCH($A157,'Schedule Raw Data'!$A$3:$A$2477,0),1,COUNTIF('Schedule Raw Data'!$A$3:$A$2477,$A157),2),R$1),0)</f>
        <v>1</v>
      </c>
      <c r="S157">
        <f>IFERROR(COUNTIF(OFFSET('Schedule Raw Data'!$A$2,MATCH($A157,'Schedule Raw Data'!$A$3:$A$2477,0),1,COUNTIF('Schedule Raw Data'!$A$3:$A$2477,$A157),2),S$1),0)</f>
        <v>1</v>
      </c>
      <c r="T157">
        <f>IFERROR(COUNTIF(OFFSET('Schedule Raw Data'!$A$2,MATCH($A157,'Schedule Raw Data'!$A$3:$A$2477,0),1,COUNTIF('Schedule Raw Data'!$A$3:$A$2477,$A157),2),T$1),0)</f>
        <v>1</v>
      </c>
      <c r="U157">
        <f>IFERROR(COUNTIF(OFFSET('Schedule Raw Data'!$A$2,MATCH($A157,'Schedule Raw Data'!$A$3:$A$2477,0),1,COUNTIF('Schedule Raw Data'!$A$3:$A$2477,$A157),2),U$1),0)</f>
        <v>1</v>
      </c>
      <c r="V157">
        <f>IFERROR(COUNTIF(OFFSET('Schedule Raw Data'!$A$2,MATCH($A157,'Schedule Raw Data'!$A$3:$A$2477,0),1,COUNTIF('Schedule Raw Data'!$A$3:$A$2477,$A157),2),V$1),0)</f>
        <v>1</v>
      </c>
      <c r="W157">
        <f>IFERROR(COUNTIF(OFFSET('Schedule Raw Data'!$A$2,MATCH($A157,'Schedule Raw Data'!$A$3:$A$2477,0),1,COUNTIF('Schedule Raw Data'!$A$3:$A$2477,$A157),2),W$1),0)</f>
        <v>1</v>
      </c>
      <c r="X157">
        <f>IFERROR(COUNTIF(OFFSET('Schedule Raw Data'!$A$2,MATCH($A157,'Schedule Raw Data'!$A$3:$A$2477,0),1,COUNTIF('Schedule Raw Data'!$A$3:$A$2477,$A157),2),X$1),0)</f>
        <v>1</v>
      </c>
      <c r="Y157">
        <f>IFERROR(COUNTIF(OFFSET('Schedule Raw Data'!$A$2,MATCH($A157,'Schedule Raw Data'!$A$3:$A$2477,0),1,COUNTIF('Schedule Raw Data'!$A$3:$A$2477,$A157),2),Y$1),0)</f>
        <v>1</v>
      </c>
      <c r="Z157">
        <f>IFERROR(COUNTIF(OFFSET('Schedule Raw Data'!$A$2,MATCH($A157,'Schedule Raw Data'!$A$3:$A$2477,0),1,COUNTIF('Schedule Raw Data'!$A$3:$A$2477,$A157),2),Z$1),0)</f>
        <v>1</v>
      </c>
      <c r="AA157">
        <f>IFERROR(COUNTIF(OFFSET('Schedule Raw Data'!$A$2,MATCH($A157,'Schedule Raw Data'!$A$3:$A$2477,0),1,COUNTIF('Schedule Raw Data'!$A$3:$A$2477,$A157),2),AA$1),0)</f>
        <v>1</v>
      </c>
      <c r="AB157">
        <f>IFERROR(COUNTIF(OFFSET('Schedule Raw Data'!$A$2,MATCH($A157,'Schedule Raw Data'!$A$3:$A$2477,0),1,COUNTIF('Schedule Raw Data'!$A$3:$A$2477,$A157),2),AB$1),0)</f>
        <v>1</v>
      </c>
      <c r="AC157">
        <f>IFERROR(COUNTIF(OFFSET('Schedule Raw Data'!$A$2,MATCH($A157,'Schedule Raw Data'!$A$3:$A$2477,0),1,COUNTIF('Schedule Raw Data'!$A$3:$A$2477,$A157),2),AC$1),0)</f>
        <v>1</v>
      </c>
      <c r="AD157">
        <f>IFERROR(COUNTIF(OFFSET('Schedule Raw Data'!$A$2,MATCH($A157,'Schedule Raw Data'!$A$3:$A$2477,0),1,COUNTIF('Schedule Raw Data'!$A$3:$A$2477,$A157),2),AD$1),0)</f>
        <v>1</v>
      </c>
      <c r="AE157">
        <f>IFERROR(COUNTIF(OFFSET('Schedule Raw Data'!$A$2,MATCH($A157,'Schedule Raw Data'!$A$3:$A$2477,0),1,COUNTIF('Schedule Raw Data'!$A$3:$A$2477,$A157),2),AE$1),0)</f>
        <v>1</v>
      </c>
      <c r="AF157">
        <f>IFERROR(COUNTIF(OFFSET('Schedule Raw Data'!$A$2,MATCH($A157,'Schedule Raw Data'!$A$3:$A$2477,0),1,COUNTIF('Schedule Raw Data'!$A$3:$A$2477,$A157),2),AF$1),0)</f>
        <v>1</v>
      </c>
      <c r="AG157">
        <f t="shared" si="1"/>
        <v>15</v>
      </c>
    </row>
    <row r="158">
      <c r="A158" s="30" t="str">
        <f t="array" ref="A158">INDEX('Schedule Raw Data'!$A$3:$A$2477,MATCH(0,INDEX(COUNTIF($A$1:A157,'Schedule Raw Data'!$A$3:$A$2477),0,0),0))</f>
        <v/>
      </c>
      <c r="B158">
        <f t="shared" si="2"/>
        <v>24</v>
      </c>
      <c r="C158">
        <f>IFERROR(COUNTIF(OFFSET('Schedule Raw Data'!$A$2,MATCH($A158,'Schedule Raw Data'!$A$3:$A$2477,0),1,COUNTIF('Schedule Raw Data'!$A$3:$A$2477,$A158),2),C$1),0)</f>
        <v>0</v>
      </c>
      <c r="D158">
        <f>IFERROR(COUNTIF(OFFSET('Schedule Raw Data'!$A$2,MATCH($A158,'Schedule Raw Data'!$A$3:$A$2477,0),1,COUNTIF('Schedule Raw Data'!$A$3:$A$2477,$A158),2),D$1),0)</f>
        <v>0</v>
      </c>
      <c r="E158">
        <f>IFERROR(COUNTIF(OFFSET('Schedule Raw Data'!$A$2,MATCH($A158,'Schedule Raw Data'!$A$3:$A$2477,0),1,COUNTIF('Schedule Raw Data'!$A$3:$A$2477,$A158),2),E$1),0)</f>
        <v>0</v>
      </c>
      <c r="F158">
        <f>IFERROR(COUNTIF(OFFSET('Schedule Raw Data'!$A$2,MATCH($A158,'Schedule Raw Data'!$A$3:$A$2477,0),1,COUNTIF('Schedule Raw Data'!$A$3:$A$2477,$A158),2),F$1),0)</f>
        <v>0</v>
      </c>
      <c r="G158">
        <f>IFERROR(COUNTIF(OFFSET('Schedule Raw Data'!$A$2,MATCH($A158,'Schedule Raw Data'!$A$3:$A$2477,0),1,COUNTIF('Schedule Raw Data'!$A$3:$A$2477,$A158),2),G$1),0)</f>
        <v>0</v>
      </c>
      <c r="H158">
        <f>IFERROR(COUNTIF(OFFSET('Schedule Raw Data'!$A$2,MATCH($A158,'Schedule Raw Data'!$A$3:$A$2477,0),1,COUNTIF('Schedule Raw Data'!$A$3:$A$2477,$A158),2),H$1),0)</f>
        <v>0</v>
      </c>
      <c r="I158">
        <f>IFERROR(COUNTIF(OFFSET('Schedule Raw Data'!$A$2,MATCH($A158,'Schedule Raw Data'!$A$3:$A$2477,0),1,COUNTIF('Schedule Raw Data'!$A$3:$A$2477,$A158),2),I$1),0)</f>
        <v>0</v>
      </c>
      <c r="J158">
        <f>IFERROR(COUNTIF(OFFSET('Schedule Raw Data'!$A$2,MATCH($A158,'Schedule Raw Data'!$A$3:$A$2477,0),1,COUNTIF('Schedule Raw Data'!$A$3:$A$2477,$A158),2),J$1),0)</f>
        <v>0</v>
      </c>
      <c r="K158">
        <f>IFERROR(COUNTIF(OFFSET('Schedule Raw Data'!$A$2,MATCH($A158,'Schedule Raw Data'!$A$3:$A$2477,0),1,COUNTIF('Schedule Raw Data'!$A$3:$A$2477,$A158),2),K$1),0)</f>
        <v>0</v>
      </c>
      <c r="L158">
        <f>IFERROR(COUNTIF(OFFSET('Schedule Raw Data'!$A$2,MATCH($A158,'Schedule Raw Data'!$A$3:$A$2477,0),1,COUNTIF('Schedule Raw Data'!$A$3:$A$2477,$A158),2),L$1),0)</f>
        <v>0</v>
      </c>
      <c r="M158">
        <f>IFERROR(COUNTIF(OFFSET('Schedule Raw Data'!$A$2,MATCH($A158,'Schedule Raw Data'!$A$3:$A$2477,0),1,COUNTIF('Schedule Raw Data'!$A$3:$A$2477,$A158),2),M$1),0)</f>
        <v>0</v>
      </c>
      <c r="N158">
        <f>IFERROR(COUNTIF(OFFSET('Schedule Raw Data'!$A$2,MATCH($A158,'Schedule Raw Data'!$A$3:$A$2477,0),1,COUNTIF('Schedule Raw Data'!$A$3:$A$2477,$A158),2),N$1),0)</f>
        <v>0</v>
      </c>
      <c r="O158">
        <f>IFERROR(COUNTIF(OFFSET('Schedule Raw Data'!$A$2,MATCH($A158,'Schedule Raw Data'!$A$3:$A$2477,0),1,COUNTIF('Schedule Raw Data'!$A$3:$A$2477,$A158),2),O$1),0)</f>
        <v>0</v>
      </c>
      <c r="P158">
        <f>IFERROR(COUNTIF(OFFSET('Schedule Raw Data'!$A$2,MATCH($A158,'Schedule Raw Data'!$A$3:$A$2477,0),1,COUNTIF('Schedule Raw Data'!$A$3:$A$2477,$A158),2),P$1),0)</f>
        <v>0</v>
      </c>
      <c r="Q158">
        <f>IFERROR(COUNTIF(OFFSET('Schedule Raw Data'!$A$2,MATCH($A158,'Schedule Raw Data'!$A$3:$A$2477,0),1,COUNTIF('Schedule Raw Data'!$A$3:$A$2477,$A158),2),Q$1),0)</f>
        <v>0</v>
      </c>
      <c r="R158">
        <f>IFERROR(COUNTIF(OFFSET('Schedule Raw Data'!$A$2,MATCH($A158,'Schedule Raw Data'!$A$3:$A$2477,0),1,COUNTIF('Schedule Raw Data'!$A$3:$A$2477,$A158),2),R$1),0)</f>
        <v>0</v>
      </c>
      <c r="S158">
        <f>IFERROR(COUNTIF(OFFSET('Schedule Raw Data'!$A$2,MATCH($A158,'Schedule Raw Data'!$A$3:$A$2477,0),1,COUNTIF('Schedule Raw Data'!$A$3:$A$2477,$A158),2),S$1),0)</f>
        <v>0</v>
      </c>
      <c r="T158">
        <f>IFERROR(COUNTIF(OFFSET('Schedule Raw Data'!$A$2,MATCH($A158,'Schedule Raw Data'!$A$3:$A$2477,0),1,COUNTIF('Schedule Raw Data'!$A$3:$A$2477,$A158),2),T$1),0)</f>
        <v>0</v>
      </c>
      <c r="U158">
        <f>IFERROR(COUNTIF(OFFSET('Schedule Raw Data'!$A$2,MATCH($A158,'Schedule Raw Data'!$A$3:$A$2477,0),1,COUNTIF('Schedule Raw Data'!$A$3:$A$2477,$A158),2),U$1),0)</f>
        <v>0</v>
      </c>
      <c r="V158">
        <f>IFERROR(COUNTIF(OFFSET('Schedule Raw Data'!$A$2,MATCH($A158,'Schedule Raw Data'!$A$3:$A$2477,0),1,COUNTIF('Schedule Raw Data'!$A$3:$A$2477,$A158),2),V$1),0)</f>
        <v>0</v>
      </c>
      <c r="W158">
        <f>IFERROR(COUNTIF(OFFSET('Schedule Raw Data'!$A$2,MATCH($A158,'Schedule Raw Data'!$A$3:$A$2477,0),1,COUNTIF('Schedule Raw Data'!$A$3:$A$2477,$A158),2),W$1),0)</f>
        <v>0</v>
      </c>
      <c r="X158">
        <f>IFERROR(COUNTIF(OFFSET('Schedule Raw Data'!$A$2,MATCH($A158,'Schedule Raw Data'!$A$3:$A$2477,0),1,COUNTIF('Schedule Raw Data'!$A$3:$A$2477,$A158),2),X$1),0)</f>
        <v>0</v>
      </c>
      <c r="Y158">
        <f>IFERROR(COUNTIF(OFFSET('Schedule Raw Data'!$A$2,MATCH($A158,'Schedule Raw Data'!$A$3:$A$2477,0),1,COUNTIF('Schedule Raw Data'!$A$3:$A$2477,$A158),2),Y$1),0)</f>
        <v>0</v>
      </c>
      <c r="Z158">
        <f>IFERROR(COUNTIF(OFFSET('Schedule Raw Data'!$A$2,MATCH($A158,'Schedule Raw Data'!$A$3:$A$2477,0),1,COUNTIF('Schedule Raw Data'!$A$3:$A$2477,$A158),2),Z$1),0)</f>
        <v>0</v>
      </c>
      <c r="AA158">
        <f>IFERROR(COUNTIF(OFFSET('Schedule Raw Data'!$A$2,MATCH($A158,'Schedule Raw Data'!$A$3:$A$2477,0),1,COUNTIF('Schedule Raw Data'!$A$3:$A$2477,$A158),2),AA$1),0)</f>
        <v>0</v>
      </c>
      <c r="AB158">
        <f>IFERROR(COUNTIF(OFFSET('Schedule Raw Data'!$A$2,MATCH($A158,'Schedule Raw Data'!$A$3:$A$2477,0),1,COUNTIF('Schedule Raw Data'!$A$3:$A$2477,$A158),2),AB$1),0)</f>
        <v>0</v>
      </c>
      <c r="AC158">
        <f>IFERROR(COUNTIF(OFFSET('Schedule Raw Data'!$A$2,MATCH($A158,'Schedule Raw Data'!$A$3:$A$2477,0),1,COUNTIF('Schedule Raw Data'!$A$3:$A$2477,$A158),2),AC$1),0)</f>
        <v>0</v>
      </c>
      <c r="AD158">
        <f>IFERROR(COUNTIF(OFFSET('Schedule Raw Data'!$A$2,MATCH($A158,'Schedule Raw Data'!$A$3:$A$2477,0),1,COUNTIF('Schedule Raw Data'!$A$3:$A$2477,$A158),2),AD$1),0)</f>
        <v>0</v>
      </c>
      <c r="AE158">
        <f>IFERROR(COUNTIF(OFFSET('Schedule Raw Data'!$A$2,MATCH($A158,'Schedule Raw Data'!$A$3:$A$2477,0),1,COUNTIF('Schedule Raw Data'!$A$3:$A$2477,$A158),2),AE$1),0)</f>
        <v>0</v>
      </c>
      <c r="AF158">
        <f>IFERROR(COUNTIF(OFFSET('Schedule Raw Data'!$A$2,MATCH($A158,'Schedule Raw Data'!$A$3:$A$2477,0),1,COUNTIF('Schedule Raw Data'!$A$3:$A$2477,$A158),2),AF$1),0)</f>
        <v>0</v>
      </c>
      <c r="AG158">
        <f t="shared" si="1"/>
        <v>0</v>
      </c>
    </row>
    <row r="159">
      <c r="A159" s="30" t="str">
        <f t="array" ref="A159">INDEX('Schedule Raw Data'!$A$3:$A$2477,MATCH(0,INDEX(COUNTIF($A$1:A158,'Schedule Raw Data'!$A$3:$A$2477),0,0),0))</f>
        <v/>
      </c>
      <c r="B159">
        <f t="shared" si="2"/>
        <v>24</v>
      </c>
      <c r="C159">
        <f>IFERROR(COUNTIF(OFFSET('Schedule Raw Data'!$A$2,MATCH($A159,'Schedule Raw Data'!$A$3:$A$2477,0),1,COUNTIF('Schedule Raw Data'!$A$3:$A$2477,$A159),2),C$1),0)</f>
        <v>0</v>
      </c>
      <c r="D159">
        <f>IFERROR(COUNTIF(OFFSET('Schedule Raw Data'!$A$2,MATCH($A159,'Schedule Raw Data'!$A$3:$A$2477,0),1,COUNTIF('Schedule Raw Data'!$A$3:$A$2477,$A159),2),D$1),0)</f>
        <v>0</v>
      </c>
      <c r="E159">
        <f>IFERROR(COUNTIF(OFFSET('Schedule Raw Data'!$A$2,MATCH($A159,'Schedule Raw Data'!$A$3:$A$2477,0),1,COUNTIF('Schedule Raw Data'!$A$3:$A$2477,$A159),2),E$1),0)</f>
        <v>0</v>
      </c>
      <c r="F159">
        <f>IFERROR(COUNTIF(OFFSET('Schedule Raw Data'!$A$2,MATCH($A159,'Schedule Raw Data'!$A$3:$A$2477,0),1,COUNTIF('Schedule Raw Data'!$A$3:$A$2477,$A159),2),F$1),0)</f>
        <v>0</v>
      </c>
      <c r="G159">
        <f>IFERROR(COUNTIF(OFFSET('Schedule Raw Data'!$A$2,MATCH($A159,'Schedule Raw Data'!$A$3:$A$2477,0),1,COUNTIF('Schedule Raw Data'!$A$3:$A$2477,$A159),2),G$1),0)</f>
        <v>0</v>
      </c>
      <c r="H159">
        <f>IFERROR(COUNTIF(OFFSET('Schedule Raw Data'!$A$2,MATCH($A159,'Schedule Raw Data'!$A$3:$A$2477,0),1,COUNTIF('Schedule Raw Data'!$A$3:$A$2477,$A159),2),H$1),0)</f>
        <v>0</v>
      </c>
      <c r="I159">
        <f>IFERROR(COUNTIF(OFFSET('Schedule Raw Data'!$A$2,MATCH($A159,'Schedule Raw Data'!$A$3:$A$2477,0),1,COUNTIF('Schedule Raw Data'!$A$3:$A$2477,$A159),2),I$1),0)</f>
        <v>0</v>
      </c>
      <c r="J159">
        <f>IFERROR(COUNTIF(OFFSET('Schedule Raw Data'!$A$2,MATCH($A159,'Schedule Raw Data'!$A$3:$A$2477,0),1,COUNTIF('Schedule Raw Data'!$A$3:$A$2477,$A159),2),J$1),0)</f>
        <v>0</v>
      </c>
      <c r="K159">
        <f>IFERROR(COUNTIF(OFFSET('Schedule Raw Data'!$A$2,MATCH($A159,'Schedule Raw Data'!$A$3:$A$2477,0),1,COUNTIF('Schedule Raw Data'!$A$3:$A$2477,$A159),2),K$1),0)</f>
        <v>0</v>
      </c>
      <c r="L159">
        <f>IFERROR(COUNTIF(OFFSET('Schedule Raw Data'!$A$2,MATCH($A159,'Schedule Raw Data'!$A$3:$A$2477,0),1,COUNTIF('Schedule Raw Data'!$A$3:$A$2477,$A159),2),L$1),0)</f>
        <v>0</v>
      </c>
      <c r="M159">
        <f>IFERROR(COUNTIF(OFFSET('Schedule Raw Data'!$A$2,MATCH($A159,'Schedule Raw Data'!$A$3:$A$2477,0),1,COUNTIF('Schedule Raw Data'!$A$3:$A$2477,$A159),2),M$1),0)</f>
        <v>0</v>
      </c>
      <c r="N159">
        <f>IFERROR(COUNTIF(OFFSET('Schedule Raw Data'!$A$2,MATCH($A159,'Schedule Raw Data'!$A$3:$A$2477,0),1,COUNTIF('Schedule Raw Data'!$A$3:$A$2477,$A159),2),N$1),0)</f>
        <v>0</v>
      </c>
      <c r="O159">
        <f>IFERROR(COUNTIF(OFFSET('Schedule Raw Data'!$A$2,MATCH($A159,'Schedule Raw Data'!$A$3:$A$2477,0),1,COUNTIF('Schedule Raw Data'!$A$3:$A$2477,$A159),2),O$1),0)</f>
        <v>0</v>
      </c>
      <c r="P159">
        <f>IFERROR(COUNTIF(OFFSET('Schedule Raw Data'!$A$2,MATCH($A159,'Schedule Raw Data'!$A$3:$A$2477,0),1,COUNTIF('Schedule Raw Data'!$A$3:$A$2477,$A159),2),P$1),0)</f>
        <v>0</v>
      </c>
      <c r="Q159">
        <f>IFERROR(COUNTIF(OFFSET('Schedule Raw Data'!$A$2,MATCH($A159,'Schedule Raw Data'!$A$3:$A$2477,0),1,COUNTIF('Schedule Raw Data'!$A$3:$A$2477,$A159),2),Q$1),0)</f>
        <v>0</v>
      </c>
      <c r="R159">
        <f>IFERROR(COUNTIF(OFFSET('Schedule Raw Data'!$A$2,MATCH($A159,'Schedule Raw Data'!$A$3:$A$2477,0),1,COUNTIF('Schedule Raw Data'!$A$3:$A$2477,$A159),2),R$1),0)</f>
        <v>0</v>
      </c>
      <c r="S159">
        <f>IFERROR(COUNTIF(OFFSET('Schedule Raw Data'!$A$2,MATCH($A159,'Schedule Raw Data'!$A$3:$A$2477,0),1,COUNTIF('Schedule Raw Data'!$A$3:$A$2477,$A159),2),S$1),0)</f>
        <v>0</v>
      </c>
      <c r="T159">
        <f>IFERROR(COUNTIF(OFFSET('Schedule Raw Data'!$A$2,MATCH($A159,'Schedule Raw Data'!$A$3:$A$2477,0),1,COUNTIF('Schedule Raw Data'!$A$3:$A$2477,$A159),2),T$1),0)</f>
        <v>0</v>
      </c>
      <c r="U159">
        <f>IFERROR(COUNTIF(OFFSET('Schedule Raw Data'!$A$2,MATCH($A159,'Schedule Raw Data'!$A$3:$A$2477,0),1,COUNTIF('Schedule Raw Data'!$A$3:$A$2477,$A159),2),U$1),0)</f>
        <v>0</v>
      </c>
      <c r="V159">
        <f>IFERROR(COUNTIF(OFFSET('Schedule Raw Data'!$A$2,MATCH($A159,'Schedule Raw Data'!$A$3:$A$2477,0),1,COUNTIF('Schedule Raw Data'!$A$3:$A$2477,$A159),2),V$1),0)</f>
        <v>0</v>
      </c>
      <c r="W159">
        <f>IFERROR(COUNTIF(OFFSET('Schedule Raw Data'!$A$2,MATCH($A159,'Schedule Raw Data'!$A$3:$A$2477,0),1,COUNTIF('Schedule Raw Data'!$A$3:$A$2477,$A159),2),W$1),0)</f>
        <v>0</v>
      </c>
      <c r="X159">
        <f>IFERROR(COUNTIF(OFFSET('Schedule Raw Data'!$A$2,MATCH($A159,'Schedule Raw Data'!$A$3:$A$2477,0),1,COUNTIF('Schedule Raw Data'!$A$3:$A$2477,$A159),2),X$1),0)</f>
        <v>0</v>
      </c>
      <c r="Y159">
        <f>IFERROR(COUNTIF(OFFSET('Schedule Raw Data'!$A$2,MATCH($A159,'Schedule Raw Data'!$A$3:$A$2477,0),1,COUNTIF('Schedule Raw Data'!$A$3:$A$2477,$A159),2),Y$1),0)</f>
        <v>0</v>
      </c>
      <c r="Z159">
        <f>IFERROR(COUNTIF(OFFSET('Schedule Raw Data'!$A$2,MATCH($A159,'Schedule Raw Data'!$A$3:$A$2477,0),1,COUNTIF('Schedule Raw Data'!$A$3:$A$2477,$A159),2),Z$1),0)</f>
        <v>0</v>
      </c>
      <c r="AA159">
        <f>IFERROR(COUNTIF(OFFSET('Schedule Raw Data'!$A$2,MATCH($A159,'Schedule Raw Data'!$A$3:$A$2477,0),1,COUNTIF('Schedule Raw Data'!$A$3:$A$2477,$A159),2),AA$1),0)</f>
        <v>0</v>
      </c>
      <c r="AB159">
        <f>IFERROR(COUNTIF(OFFSET('Schedule Raw Data'!$A$2,MATCH($A159,'Schedule Raw Data'!$A$3:$A$2477,0),1,COUNTIF('Schedule Raw Data'!$A$3:$A$2477,$A159),2),AB$1),0)</f>
        <v>0</v>
      </c>
      <c r="AC159">
        <f>IFERROR(COUNTIF(OFFSET('Schedule Raw Data'!$A$2,MATCH($A159,'Schedule Raw Data'!$A$3:$A$2477,0),1,COUNTIF('Schedule Raw Data'!$A$3:$A$2477,$A159),2),AC$1),0)</f>
        <v>0</v>
      </c>
      <c r="AD159">
        <f>IFERROR(COUNTIF(OFFSET('Schedule Raw Data'!$A$2,MATCH($A159,'Schedule Raw Data'!$A$3:$A$2477,0),1,COUNTIF('Schedule Raw Data'!$A$3:$A$2477,$A159),2),AD$1),0)</f>
        <v>0</v>
      </c>
      <c r="AE159">
        <f>IFERROR(COUNTIF(OFFSET('Schedule Raw Data'!$A$2,MATCH($A159,'Schedule Raw Data'!$A$3:$A$2477,0),1,COUNTIF('Schedule Raw Data'!$A$3:$A$2477,$A159),2),AE$1),0)</f>
        <v>0</v>
      </c>
      <c r="AF159">
        <f>IFERROR(COUNTIF(OFFSET('Schedule Raw Data'!$A$2,MATCH($A159,'Schedule Raw Data'!$A$3:$A$2477,0),1,COUNTIF('Schedule Raw Data'!$A$3:$A$2477,$A159),2),AF$1),0)</f>
        <v>0</v>
      </c>
      <c r="AG159">
        <f t="shared" si="1"/>
        <v>0</v>
      </c>
    </row>
    <row r="160">
      <c r="A160" s="30" t="str">
        <f t="array" ref="A160">INDEX('Schedule Raw Data'!$A$3:$A$2477,MATCH(0,INDEX(COUNTIF($A$1:A159,'Schedule Raw Data'!$A$3:$A$2477),0,0),0))</f>
        <v/>
      </c>
      <c r="B160">
        <f t="shared" si="2"/>
        <v>24</v>
      </c>
      <c r="C160">
        <f>IFERROR(COUNTIF(OFFSET('Schedule Raw Data'!$A$2,MATCH($A160,'Schedule Raw Data'!$A$3:$A$2477,0),1,COUNTIF('Schedule Raw Data'!$A$3:$A$2477,$A160),2),C$1),0)</f>
        <v>0</v>
      </c>
      <c r="D160">
        <f>IFERROR(COUNTIF(OFFSET('Schedule Raw Data'!$A$2,MATCH($A160,'Schedule Raw Data'!$A$3:$A$2477,0),1,COUNTIF('Schedule Raw Data'!$A$3:$A$2477,$A160),2),D$1),0)</f>
        <v>0</v>
      </c>
      <c r="E160">
        <f>IFERROR(COUNTIF(OFFSET('Schedule Raw Data'!$A$2,MATCH($A160,'Schedule Raw Data'!$A$3:$A$2477,0),1,COUNTIF('Schedule Raw Data'!$A$3:$A$2477,$A160),2),E$1),0)</f>
        <v>0</v>
      </c>
      <c r="F160">
        <f>IFERROR(COUNTIF(OFFSET('Schedule Raw Data'!$A$2,MATCH($A160,'Schedule Raw Data'!$A$3:$A$2477,0),1,COUNTIF('Schedule Raw Data'!$A$3:$A$2477,$A160),2),F$1),0)</f>
        <v>0</v>
      </c>
      <c r="G160">
        <f>IFERROR(COUNTIF(OFFSET('Schedule Raw Data'!$A$2,MATCH($A160,'Schedule Raw Data'!$A$3:$A$2477,0),1,COUNTIF('Schedule Raw Data'!$A$3:$A$2477,$A160),2),G$1),0)</f>
        <v>0</v>
      </c>
      <c r="H160">
        <f>IFERROR(COUNTIF(OFFSET('Schedule Raw Data'!$A$2,MATCH($A160,'Schedule Raw Data'!$A$3:$A$2477,0),1,COUNTIF('Schedule Raw Data'!$A$3:$A$2477,$A160),2),H$1),0)</f>
        <v>0</v>
      </c>
      <c r="I160">
        <f>IFERROR(COUNTIF(OFFSET('Schedule Raw Data'!$A$2,MATCH($A160,'Schedule Raw Data'!$A$3:$A$2477,0),1,COUNTIF('Schedule Raw Data'!$A$3:$A$2477,$A160),2),I$1),0)</f>
        <v>0</v>
      </c>
      <c r="J160">
        <f>IFERROR(COUNTIF(OFFSET('Schedule Raw Data'!$A$2,MATCH($A160,'Schedule Raw Data'!$A$3:$A$2477,0),1,COUNTIF('Schedule Raw Data'!$A$3:$A$2477,$A160),2),J$1),0)</f>
        <v>0</v>
      </c>
      <c r="K160">
        <f>IFERROR(COUNTIF(OFFSET('Schedule Raw Data'!$A$2,MATCH($A160,'Schedule Raw Data'!$A$3:$A$2477,0),1,COUNTIF('Schedule Raw Data'!$A$3:$A$2477,$A160),2),K$1),0)</f>
        <v>0</v>
      </c>
      <c r="L160">
        <f>IFERROR(COUNTIF(OFFSET('Schedule Raw Data'!$A$2,MATCH($A160,'Schedule Raw Data'!$A$3:$A$2477,0),1,COUNTIF('Schedule Raw Data'!$A$3:$A$2477,$A160),2),L$1),0)</f>
        <v>0</v>
      </c>
      <c r="M160">
        <f>IFERROR(COUNTIF(OFFSET('Schedule Raw Data'!$A$2,MATCH($A160,'Schedule Raw Data'!$A$3:$A$2477,0),1,COUNTIF('Schedule Raw Data'!$A$3:$A$2477,$A160),2),M$1),0)</f>
        <v>0</v>
      </c>
      <c r="N160">
        <f>IFERROR(COUNTIF(OFFSET('Schedule Raw Data'!$A$2,MATCH($A160,'Schedule Raw Data'!$A$3:$A$2477,0),1,COUNTIF('Schedule Raw Data'!$A$3:$A$2477,$A160),2),N$1),0)</f>
        <v>0</v>
      </c>
      <c r="O160">
        <f>IFERROR(COUNTIF(OFFSET('Schedule Raw Data'!$A$2,MATCH($A160,'Schedule Raw Data'!$A$3:$A$2477,0),1,COUNTIF('Schedule Raw Data'!$A$3:$A$2477,$A160),2),O$1),0)</f>
        <v>0</v>
      </c>
      <c r="P160">
        <f>IFERROR(COUNTIF(OFFSET('Schedule Raw Data'!$A$2,MATCH($A160,'Schedule Raw Data'!$A$3:$A$2477,0),1,COUNTIF('Schedule Raw Data'!$A$3:$A$2477,$A160),2),P$1),0)</f>
        <v>0</v>
      </c>
      <c r="Q160">
        <f>IFERROR(COUNTIF(OFFSET('Schedule Raw Data'!$A$2,MATCH($A160,'Schedule Raw Data'!$A$3:$A$2477,0),1,COUNTIF('Schedule Raw Data'!$A$3:$A$2477,$A160),2),Q$1),0)</f>
        <v>0</v>
      </c>
      <c r="R160">
        <f>IFERROR(COUNTIF(OFFSET('Schedule Raw Data'!$A$2,MATCH($A160,'Schedule Raw Data'!$A$3:$A$2477,0),1,COUNTIF('Schedule Raw Data'!$A$3:$A$2477,$A160),2),R$1),0)</f>
        <v>0</v>
      </c>
      <c r="S160">
        <f>IFERROR(COUNTIF(OFFSET('Schedule Raw Data'!$A$2,MATCH($A160,'Schedule Raw Data'!$A$3:$A$2477,0),1,COUNTIF('Schedule Raw Data'!$A$3:$A$2477,$A160),2),S$1),0)</f>
        <v>0</v>
      </c>
      <c r="T160">
        <f>IFERROR(COUNTIF(OFFSET('Schedule Raw Data'!$A$2,MATCH($A160,'Schedule Raw Data'!$A$3:$A$2477,0),1,COUNTIF('Schedule Raw Data'!$A$3:$A$2477,$A160),2),T$1),0)</f>
        <v>0</v>
      </c>
      <c r="U160">
        <f>IFERROR(COUNTIF(OFFSET('Schedule Raw Data'!$A$2,MATCH($A160,'Schedule Raw Data'!$A$3:$A$2477,0),1,COUNTIF('Schedule Raw Data'!$A$3:$A$2477,$A160),2),U$1),0)</f>
        <v>0</v>
      </c>
      <c r="V160">
        <f>IFERROR(COUNTIF(OFFSET('Schedule Raw Data'!$A$2,MATCH($A160,'Schedule Raw Data'!$A$3:$A$2477,0),1,COUNTIF('Schedule Raw Data'!$A$3:$A$2477,$A160),2),V$1),0)</f>
        <v>0</v>
      </c>
      <c r="W160">
        <f>IFERROR(COUNTIF(OFFSET('Schedule Raw Data'!$A$2,MATCH($A160,'Schedule Raw Data'!$A$3:$A$2477,0),1,COUNTIF('Schedule Raw Data'!$A$3:$A$2477,$A160),2),W$1),0)</f>
        <v>0</v>
      </c>
      <c r="X160">
        <f>IFERROR(COUNTIF(OFFSET('Schedule Raw Data'!$A$2,MATCH($A160,'Schedule Raw Data'!$A$3:$A$2477,0),1,COUNTIF('Schedule Raw Data'!$A$3:$A$2477,$A160),2),X$1),0)</f>
        <v>0</v>
      </c>
      <c r="Y160">
        <f>IFERROR(COUNTIF(OFFSET('Schedule Raw Data'!$A$2,MATCH($A160,'Schedule Raw Data'!$A$3:$A$2477,0),1,COUNTIF('Schedule Raw Data'!$A$3:$A$2477,$A160),2),Y$1),0)</f>
        <v>0</v>
      </c>
      <c r="Z160">
        <f>IFERROR(COUNTIF(OFFSET('Schedule Raw Data'!$A$2,MATCH($A160,'Schedule Raw Data'!$A$3:$A$2477,0),1,COUNTIF('Schedule Raw Data'!$A$3:$A$2477,$A160),2),Z$1),0)</f>
        <v>0</v>
      </c>
      <c r="AA160">
        <f>IFERROR(COUNTIF(OFFSET('Schedule Raw Data'!$A$2,MATCH($A160,'Schedule Raw Data'!$A$3:$A$2477,0),1,COUNTIF('Schedule Raw Data'!$A$3:$A$2477,$A160),2),AA$1),0)</f>
        <v>0</v>
      </c>
      <c r="AB160">
        <f>IFERROR(COUNTIF(OFFSET('Schedule Raw Data'!$A$2,MATCH($A160,'Schedule Raw Data'!$A$3:$A$2477,0),1,COUNTIF('Schedule Raw Data'!$A$3:$A$2477,$A160),2),AB$1),0)</f>
        <v>0</v>
      </c>
      <c r="AC160">
        <f>IFERROR(COUNTIF(OFFSET('Schedule Raw Data'!$A$2,MATCH($A160,'Schedule Raw Data'!$A$3:$A$2477,0),1,COUNTIF('Schedule Raw Data'!$A$3:$A$2477,$A160),2),AC$1),0)</f>
        <v>0</v>
      </c>
      <c r="AD160">
        <f>IFERROR(COUNTIF(OFFSET('Schedule Raw Data'!$A$2,MATCH($A160,'Schedule Raw Data'!$A$3:$A$2477,0),1,COUNTIF('Schedule Raw Data'!$A$3:$A$2477,$A160),2),AD$1),0)</f>
        <v>0</v>
      </c>
      <c r="AE160">
        <f>IFERROR(COUNTIF(OFFSET('Schedule Raw Data'!$A$2,MATCH($A160,'Schedule Raw Data'!$A$3:$A$2477,0),1,COUNTIF('Schedule Raw Data'!$A$3:$A$2477,$A160),2),AE$1),0)</f>
        <v>0</v>
      </c>
      <c r="AF160">
        <f>IFERROR(COUNTIF(OFFSET('Schedule Raw Data'!$A$2,MATCH($A160,'Schedule Raw Data'!$A$3:$A$2477,0),1,COUNTIF('Schedule Raw Data'!$A$3:$A$2477,$A160),2),AF$1),0)</f>
        <v>0</v>
      </c>
      <c r="AG160">
        <f t="shared" si="1"/>
        <v>0</v>
      </c>
    </row>
    <row r="161">
      <c r="A161" s="30" t="str">
        <f t="array" ref="A161">INDEX('Schedule Raw Data'!$A$3:$A$2477,MATCH(0,INDEX(COUNTIF($A$1:A160,'Schedule Raw Data'!$A$3:$A$2477),0,0),0))</f>
        <v/>
      </c>
      <c r="B161">
        <f t="shared" si="2"/>
        <v>24</v>
      </c>
      <c r="C161">
        <f>IFERROR(COUNTIF(OFFSET('Schedule Raw Data'!$A$2,MATCH($A161,'Schedule Raw Data'!$A$3:$A$2477,0),1,COUNTIF('Schedule Raw Data'!$A$3:$A$2477,$A161),2),C$1),0)</f>
        <v>0</v>
      </c>
      <c r="D161">
        <f>IFERROR(COUNTIF(OFFSET('Schedule Raw Data'!$A$2,MATCH($A161,'Schedule Raw Data'!$A$3:$A$2477,0),1,COUNTIF('Schedule Raw Data'!$A$3:$A$2477,$A161),2),D$1),0)</f>
        <v>0</v>
      </c>
      <c r="E161">
        <f>IFERROR(COUNTIF(OFFSET('Schedule Raw Data'!$A$2,MATCH($A161,'Schedule Raw Data'!$A$3:$A$2477,0),1,COUNTIF('Schedule Raw Data'!$A$3:$A$2477,$A161),2),E$1),0)</f>
        <v>0</v>
      </c>
      <c r="F161">
        <f>IFERROR(COUNTIF(OFFSET('Schedule Raw Data'!$A$2,MATCH($A161,'Schedule Raw Data'!$A$3:$A$2477,0),1,COUNTIF('Schedule Raw Data'!$A$3:$A$2477,$A161),2),F$1),0)</f>
        <v>0</v>
      </c>
      <c r="G161">
        <f>IFERROR(COUNTIF(OFFSET('Schedule Raw Data'!$A$2,MATCH($A161,'Schedule Raw Data'!$A$3:$A$2477,0),1,COUNTIF('Schedule Raw Data'!$A$3:$A$2477,$A161),2),G$1),0)</f>
        <v>0</v>
      </c>
      <c r="H161">
        <f>IFERROR(COUNTIF(OFFSET('Schedule Raw Data'!$A$2,MATCH($A161,'Schedule Raw Data'!$A$3:$A$2477,0),1,COUNTIF('Schedule Raw Data'!$A$3:$A$2477,$A161),2),H$1),0)</f>
        <v>0</v>
      </c>
      <c r="I161">
        <f>IFERROR(COUNTIF(OFFSET('Schedule Raw Data'!$A$2,MATCH($A161,'Schedule Raw Data'!$A$3:$A$2477,0),1,COUNTIF('Schedule Raw Data'!$A$3:$A$2477,$A161),2),I$1),0)</f>
        <v>0</v>
      </c>
      <c r="J161">
        <f>IFERROR(COUNTIF(OFFSET('Schedule Raw Data'!$A$2,MATCH($A161,'Schedule Raw Data'!$A$3:$A$2477,0),1,COUNTIF('Schedule Raw Data'!$A$3:$A$2477,$A161),2),J$1),0)</f>
        <v>0</v>
      </c>
      <c r="K161">
        <f>IFERROR(COUNTIF(OFFSET('Schedule Raw Data'!$A$2,MATCH($A161,'Schedule Raw Data'!$A$3:$A$2477,0),1,COUNTIF('Schedule Raw Data'!$A$3:$A$2477,$A161),2),K$1),0)</f>
        <v>0</v>
      </c>
      <c r="L161">
        <f>IFERROR(COUNTIF(OFFSET('Schedule Raw Data'!$A$2,MATCH($A161,'Schedule Raw Data'!$A$3:$A$2477,0),1,COUNTIF('Schedule Raw Data'!$A$3:$A$2477,$A161),2),L$1),0)</f>
        <v>0</v>
      </c>
      <c r="M161">
        <f>IFERROR(COUNTIF(OFFSET('Schedule Raw Data'!$A$2,MATCH($A161,'Schedule Raw Data'!$A$3:$A$2477,0),1,COUNTIF('Schedule Raw Data'!$A$3:$A$2477,$A161),2),M$1),0)</f>
        <v>0</v>
      </c>
      <c r="N161">
        <f>IFERROR(COUNTIF(OFFSET('Schedule Raw Data'!$A$2,MATCH($A161,'Schedule Raw Data'!$A$3:$A$2477,0),1,COUNTIF('Schedule Raw Data'!$A$3:$A$2477,$A161),2),N$1),0)</f>
        <v>0</v>
      </c>
      <c r="O161">
        <f>IFERROR(COUNTIF(OFFSET('Schedule Raw Data'!$A$2,MATCH($A161,'Schedule Raw Data'!$A$3:$A$2477,0),1,COUNTIF('Schedule Raw Data'!$A$3:$A$2477,$A161),2),O$1),0)</f>
        <v>0</v>
      </c>
      <c r="P161">
        <f>IFERROR(COUNTIF(OFFSET('Schedule Raw Data'!$A$2,MATCH($A161,'Schedule Raw Data'!$A$3:$A$2477,0),1,COUNTIF('Schedule Raw Data'!$A$3:$A$2477,$A161),2),P$1),0)</f>
        <v>0</v>
      </c>
      <c r="Q161">
        <f>IFERROR(COUNTIF(OFFSET('Schedule Raw Data'!$A$2,MATCH($A161,'Schedule Raw Data'!$A$3:$A$2477,0),1,COUNTIF('Schedule Raw Data'!$A$3:$A$2477,$A161),2),Q$1),0)</f>
        <v>0</v>
      </c>
      <c r="R161">
        <f>IFERROR(COUNTIF(OFFSET('Schedule Raw Data'!$A$2,MATCH($A161,'Schedule Raw Data'!$A$3:$A$2477,0),1,COUNTIF('Schedule Raw Data'!$A$3:$A$2477,$A161),2),R$1),0)</f>
        <v>0</v>
      </c>
      <c r="S161">
        <f>IFERROR(COUNTIF(OFFSET('Schedule Raw Data'!$A$2,MATCH($A161,'Schedule Raw Data'!$A$3:$A$2477,0),1,COUNTIF('Schedule Raw Data'!$A$3:$A$2477,$A161),2),S$1),0)</f>
        <v>0</v>
      </c>
      <c r="T161">
        <f>IFERROR(COUNTIF(OFFSET('Schedule Raw Data'!$A$2,MATCH($A161,'Schedule Raw Data'!$A$3:$A$2477,0),1,COUNTIF('Schedule Raw Data'!$A$3:$A$2477,$A161),2),T$1),0)</f>
        <v>0</v>
      </c>
      <c r="U161">
        <f>IFERROR(COUNTIF(OFFSET('Schedule Raw Data'!$A$2,MATCH($A161,'Schedule Raw Data'!$A$3:$A$2477,0),1,COUNTIF('Schedule Raw Data'!$A$3:$A$2477,$A161),2),U$1),0)</f>
        <v>0</v>
      </c>
      <c r="V161">
        <f>IFERROR(COUNTIF(OFFSET('Schedule Raw Data'!$A$2,MATCH($A161,'Schedule Raw Data'!$A$3:$A$2477,0),1,COUNTIF('Schedule Raw Data'!$A$3:$A$2477,$A161),2),V$1),0)</f>
        <v>0</v>
      </c>
      <c r="W161">
        <f>IFERROR(COUNTIF(OFFSET('Schedule Raw Data'!$A$2,MATCH($A161,'Schedule Raw Data'!$A$3:$A$2477,0),1,COUNTIF('Schedule Raw Data'!$A$3:$A$2477,$A161),2),W$1),0)</f>
        <v>0</v>
      </c>
      <c r="X161">
        <f>IFERROR(COUNTIF(OFFSET('Schedule Raw Data'!$A$2,MATCH($A161,'Schedule Raw Data'!$A$3:$A$2477,0),1,COUNTIF('Schedule Raw Data'!$A$3:$A$2477,$A161),2),X$1),0)</f>
        <v>0</v>
      </c>
      <c r="Y161">
        <f>IFERROR(COUNTIF(OFFSET('Schedule Raw Data'!$A$2,MATCH($A161,'Schedule Raw Data'!$A$3:$A$2477,0),1,COUNTIF('Schedule Raw Data'!$A$3:$A$2477,$A161),2),Y$1),0)</f>
        <v>0</v>
      </c>
      <c r="Z161">
        <f>IFERROR(COUNTIF(OFFSET('Schedule Raw Data'!$A$2,MATCH($A161,'Schedule Raw Data'!$A$3:$A$2477,0),1,COUNTIF('Schedule Raw Data'!$A$3:$A$2477,$A161),2),Z$1),0)</f>
        <v>0</v>
      </c>
      <c r="AA161">
        <f>IFERROR(COUNTIF(OFFSET('Schedule Raw Data'!$A$2,MATCH($A161,'Schedule Raw Data'!$A$3:$A$2477,0),1,COUNTIF('Schedule Raw Data'!$A$3:$A$2477,$A161),2),AA$1),0)</f>
        <v>0</v>
      </c>
      <c r="AB161">
        <f>IFERROR(COUNTIF(OFFSET('Schedule Raw Data'!$A$2,MATCH($A161,'Schedule Raw Data'!$A$3:$A$2477,0),1,COUNTIF('Schedule Raw Data'!$A$3:$A$2477,$A161),2),AB$1),0)</f>
        <v>0</v>
      </c>
      <c r="AC161">
        <f>IFERROR(COUNTIF(OFFSET('Schedule Raw Data'!$A$2,MATCH($A161,'Schedule Raw Data'!$A$3:$A$2477,0),1,COUNTIF('Schedule Raw Data'!$A$3:$A$2477,$A161),2),AC$1),0)</f>
        <v>0</v>
      </c>
      <c r="AD161">
        <f>IFERROR(COUNTIF(OFFSET('Schedule Raw Data'!$A$2,MATCH($A161,'Schedule Raw Data'!$A$3:$A$2477,0),1,COUNTIF('Schedule Raw Data'!$A$3:$A$2477,$A161),2),AD$1),0)</f>
        <v>0</v>
      </c>
      <c r="AE161">
        <f>IFERROR(COUNTIF(OFFSET('Schedule Raw Data'!$A$2,MATCH($A161,'Schedule Raw Data'!$A$3:$A$2477,0),1,COUNTIF('Schedule Raw Data'!$A$3:$A$2477,$A161),2),AE$1),0)</f>
        <v>0</v>
      </c>
      <c r="AF161">
        <f>IFERROR(COUNTIF(OFFSET('Schedule Raw Data'!$A$2,MATCH($A161,'Schedule Raw Data'!$A$3:$A$2477,0),1,COUNTIF('Schedule Raw Data'!$A$3:$A$2477,$A161),2),AF$1),0)</f>
        <v>0</v>
      </c>
      <c r="AG161">
        <f t="shared" si="1"/>
        <v>0</v>
      </c>
    </row>
    <row r="162">
      <c r="A162" s="30" t="str">
        <f t="array" ref="A162">INDEX('Schedule Raw Data'!$A$3:$A$2477,MATCH(0,INDEX(COUNTIF($A$1:A161,'Schedule Raw Data'!$A$3:$A$2477),0,0),0))</f>
        <v/>
      </c>
      <c r="B162">
        <f t="shared" si="2"/>
        <v>24</v>
      </c>
      <c r="C162">
        <f>IFERROR(COUNTIF(OFFSET('Schedule Raw Data'!$A$2,MATCH($A162,'Schedule Raw Data'!$A$3:$A$2477,0),1,COUNTIF('Schedule Raw Data'!$A$3:$A$2477,$A162),2),C$1),0)</f>
        <v>0</v>
      </c>
      <c r="D162">
        <f>IFERROR(COUNTIF(OFFSET('Schedule Raw Data'!$A$2,MATCH($A162,'Schedule Raw Data'!$A$3:$A$2477,0),1,COUNTIF('Schedule Raw Data'!$A$3:$A$2477,$A162),2),D$1),0)</f>
        <v>0</v>
      </c>
      <c r="E162">
        <f>IFERROR(COUNTIF(OFFSET('Schedule Raw Data'!$A$2,MATCH($A162,'Schedule Raw Data'!$A$3:$A$2477,0),1,COUNTIF('Schedule Raw Data'!$A$3:$A$2477,$A162),2),E$1),0)</f>
        <v>0</v>
      </c>
      <c r="F162">
        <f>IFERROR(COUNTIF(OFFSET('Schedule Raw Data'!$A$2,MATCH($A162,'Schedule Raw Data'!$A$3:$A$2477,0),1,COUNTIF('Schedule Raw Data'!$A$3:$A$2477,$A162),2),F$1),0)</f>
        <v>0</v>
      </c>
      <c r="G162">
        <f>IFERROR(COUNTIF(OFFSET('Schedule Raw Data'!$A$2,MATCH($A162,'Schedule Raw Data'!$A$3:$A$2477,0),1,COUNTIF('Schedule Raw Data'!$A$3:$A$2477,$A162),2),G$1),0)</f>
        <v>0</v>
      </c>
      <c r="H162">
        <f>IFERROR(COUNTIF(OFFSET('Schedule Raw Data'!$A$2,MATCH($A162,'Schedule Raw Data'!$A$3:$A$2477,0),1,COUNTIF('Schedule Raw Data'!$A$3:$A$2477,$A162),2),H$1),0)</f>
        <v>0</v>
      </c>
      <c r="I162">
        <f>IFERROR(COUNTIF(OFFSET('Schedule Raw Data'!$A$2,MATCH($A162,'Schedule Raw Data'!$A$3:$A$2477,0),1,COUNTIF('Schedule Raw Data'!$A$3:$A$2477,$A162),2),I$1),0)</f>
        <v>0</v>
      </c>
      <c r="J162">
        <f>IFERROR(COUNTIF(OFFSET('Schedule Raw Data'!$A$2,MATCH($A162,'Schedule Raw Data'!$A$3:$A$2477,0),1,COUNTIF('Schedule Raw Data'!$A$3:$A$2477,$A162),2),J$1),0)</f>
        <v>0</v>
      </c>
      <c r="K162">
        <f>IFERROR(COUNTIF(OFFSET('Schedule Raw Data'!$A$2,MATCH($A162,'Schedule Raw Data'!$A$3:$A$2477,0),1,COUNTIF('Schedule Raw Data'!$A$3:$A$2477,$A162),2),K$1),0)</f>
        <v>0</v>
      </c>
      <c r="L162">
        <f>IFERROR(COUNTIF(OFFSET('Schedule Raw Data'!$A$2,MATCH($A162,'Schedule Raw Data'!$A$3:$A$2477,0),1,COUNTIF('Schedule Raw Data'!$A$3:$A$2477,$A162),2),L$1),0)</f>
        <v>0</v>
      </c>
      <c r="M162">
        <f>IFERROR(COUNTIF(OFFSET('Schedule Raw Data'!$A$2,MATCH($A162,'Schedule Raw Data'!$A$3:$A$2477,0),1,COUNTIF('Schedule Raw Data'!$A$3:$A$2477,$A162),2),M$1),0)</f>
        <v>0</v>
      </c>
      <c r="N162">
        <f>IFERROR(COUNTIF(OFFSET('Schedule Raw Data'!$A$2,MATCH($A162,'Schedule Raw Data'!$A$3:$A$2477,0),1,COUNTIF('Schedule Raw Data'!$A$3:$A$2477,$A162),2),N$1),0)</f>
        <v>0</v>
      </c>
      <c r="O162">
        <f>IFERROR(COUNTIF(OFFSET('Schedule Raw Data'!$A$2,MATCH($A162,'Schedule Raw Data'!$A$3:$A$2477,0),1,COUNTIF('Schedule Raw Data'!$A$3:$A$2477,$A162),2),O$1),0)</f>
        <v>0</v>
      </c>
      <c r="P162">
        <f>IFERROR(COUNTIF(OFFSET('Schedule Raw Data'!$A$2,MATCH($A162,'Schedule Raw Data'!$A$3:$A$2477,0),1,COUNTIF('Schedule Raw Data'!$A$3:$A$2477,$A162),2),P$1),0)</f>
        <v>0</v>
      </c>
      <c r="Q162">
        <f>IFERROR(COUNTIF(OFFSET('Schedule Raw Data'!$A$2,MATCH($A162,'Schedule Raw Data'!$A$3:$A$2477,0),1,COUNTIF('Schedule Raw Data'!$A$3:$A$2477,$A162),2),Q$1),0)</f>
        <v>0</v>
      </c>
      <c r="R162">
        <f>IFERROR(COUNTIF(OFFSET('Schedule Raw Data'!$A$2,MATCH($A162,'Schedule Raw Data'!$A$3:$A$2477,0),1,COUNTIF('Schedule Raw Data'!$A$3:$A$2477,$A162),2),R$1),0)</f>
        <v>0</v>
      </c>
      <c r="S162">
        <f>IFERROR(COUNTIF(OFFSET('Schedule Raw Data'!$A$2,MATCH($A162,'Schedule Raw Data'!$A$3:$A$2477,0),1,COUNTIF('Schedule Raw Data'!$A$3:$A$2477,$A162),2),S$1),0)</f>
        <v>0</v>
      </c>
      <c r="T162">
        <f>IFERROR(COUNTIF(OFFSET('Schedule Raw Data'!$A$2,MATCH($A162,'Schedule Raw Data'!$A$3:$A$2477,0),1,COUNTIF('Schedule Raw Data'!$A$3:$A$2477,$A162),2),T$1),0)</f>
        <v>0</v>
      </c>
      <c r="U162">
        <f>IFERROR(COUNTIF(OFFSET('Schedule Raw Data'!$A$2,MATCH($A162,'Schedule Raw Data'!$A$3:$A$2477,0),1,COUNTIF('Schedule Raw Data'!$A$3:$A$2477,$A162),2),U$1),0)</f>
        <v>0</v>
      </c>
      <c r="V162">
        <f>IFERROR(COUNTIF(OFFSET('Schedule Raw Data'!$A$2,MATCH($A162,'Schedule Raw Data'!$A$3:$A$2477,0),1,COUNTIF('Schedule Raw Data'!$A$3:$A$2477,$A162),2),V$1),0)</f>
        <v>0</v>
      </c>
      <c r="W162">
        <f>IFERROR(COUNTIF(OFFSET('Schedule Raw Data'!$A$2,MATCH($A162,'Schedule Raw Data'!$A$3:$A$2477,0),1,COUNTIF('Schedule Raw Data'!$A$3:$A$2477,$A162),2),W$1),0)</f>
        <v>0</v>
      </c>
      <c r="X162">
        <f>IFERROR(COUNTIF(OFFSET('Schedule Raw Data'!$A$2,MATCH($A162,'Schedule Raw Data'!$A$3:$A$2477,0),1,COUNTIF('Schedule Raw Data'!$A$3:$A$2477,$A162),2),X$1),0)</f>
        <v>0</v>
      </c>
      <c r="Y162">
        <f>IFERROR(COUNTIF(OFFSET('Schedule Raw Data'!$A$2,MATCH($A162,'Schedule Raw Data'!$A$3:$A$2477,0),1,COUNTIF('Schedule Raw Data'!$A$3:$A$2477,$A162),2),Y$1),0)</f>
        <v>0</v>
      </c>
      <c r="Z162">
        <f>IFERROR(COUNTIF(OFFSET('Schedule Raw Data'!$A$2,MATCH($A162,'Schedule Raw Data'!$A$3:$A$2477,0),1,COUNTIF('Schedule Raw Data'!$A$3:$A$2477,$A162),2),Z$1),0)</f>
        <v>0</v>
      </c>
      <c r="AA162">
        <f>IFERROR(COUNTIF(OFFSET('Schedule Raw Data'!$A$2,MATCH($A162,'Schedule Raw Data'!$A$3:$A$2477,0),1,COUNTIF('Schedule Raw Data'!$A$3:$A$2477,$A162),2),AA$1),0)</f>
        <v>0</v>
      </c>
      <c r="AB162">
        <f>IFERROR(COUNTIF(OFFSET('Schedule Raw Data'!$A$2,MATCH($A162,'Schedule Raw Data'!$A$3:$A$2477,0),1,COUNTIF('Schedule Raw Data'!$A$3:$A$2477,$A162),2),AB$1),0)</f>
        <v>0</v>
      </c>
      <c r="AC162">
        <f>IFERROR(COUNTIF(OFFSET('Schedule Raw Data'!$A$2,MATCH($A162,'Schedule Raw Data'!$A$3:$A$2477,0),1,COUNTIF('Schedule Raw Data'!$A$3:$A$2477,$A162),2),AC$1),0)</f>
        <v>0</v>
      </c>
      <c r="AD162">
        <f>IFERROR(COUNTIF(OFFSET('Schedule Raw Data'!$A$2,MATCH($A162,'Schedule Raw Data'!$A$3:$A$2477,0),1,COUNTIF('Schedule Raw Data'!$A$3:$A$2477,$A162),2),AD$1),0)</f>
        <v>0</v>
      </c>
      <c r="AE162">
        <f>IFERROR(COUNTIF(OFFSET('Schedule Raw Data'!$A$2,MATCH($A162,'Schedule Raw Data'!$A$3:$A$2477,0),1,COUNTIF('Schedule Raw Data'!$A$3:$A$2477,$A162),2),AE$1),0)</f>
        <v>0</v>
      </c>
      <c r="AF162">
        <f>IFERROR(COUNTIF(OFFSET('Schedule Raw Data'!$A$2,MATCH($A162,'Schedule Raw Data'!$A$3:$A$2477,0),1,COUNTIF('Schedule Raw Data'!$A$3:$A$2477,$A162),2),AF$1),0)</f>
        <v>0</v>
      </c>
      <c r="AG162">
        <f t="shared" si="1"/>
        <v>0</v>
      </c>
    </row>
    <row r="163">
      <c r="A163" s="30" t="str">
        <f t="array" ref="A163">INDEX('Schedule Raw Data'!$A$3:$A$2477,MATCH(0,INDEX(COUNTIF($A$1:A162,'Schedule Raw Data'!$A$3:$A$2477),0,0),0))</f>
        <v/>
      </c>
      <c r="B163">
        <f t="shared" si="2"/>
        <v>24</v>
      </c>
      <c r="C163">
        <f>IFERROR(COUNTIF(OFFSET('Schedule Raw Data'!$A$2,MATCH($A163,'Schedule Raw Data'!$A$3:$A$2477,0),1,COUNTIF('Schedule Raw Data'!$A$3:$A$2477,$A163),2),C$1),0)</f>
        <v>0</v>
      </c>
      <c r="D163">
        <f>IFERROR(COUNTIF(OFFSET('Schedule Raw Data'!$A$2,MATCH($A163,'Schedule Raw Data'!$A$3:$A$2477,0),1,COUNTIF('Schedule Raw Data'!$A$3:$A$2477,$A163),2),D$1),0)</f>
        <v>0</v>
      </c>
      <c r="E163">
        <f>IFERROR(COUNTIF(OFFSET('Schedule Raw Data'!$A$2,MATCH($A163,'Schedule Raw Data'!$A$3:$A$2477,0),1,COUNTIF('Schedule Raw Data'!$A$3:$A$2477,$A163),2),E$1),0)</f>
        <v>0</v>
      </c>
      <c r="F163">
        <f>IFERROR(COUNTIF(OFFSET('Schedule Raw Data'!$A$2,MATCH($A163,'Schedule Raw Data'!$A$3:$A$2477,0),1,COUNTIF('Schedule Raw Data'!$A$3:$A$2477,$A163),2),F$1),0)</f>
        <v>0</v>
      </c>
      <c r="G163">
        <f>IFERROR(COUNTIF(OFFSET('Schedule Raw Data'!$A$2,MATCH($A163,'Schedule Raw Data'!$A$3:$A$2477,0),1,COUNTIF('Schedule Raw Data'!$A$3:$A$2477,$A163),2),G$1),0)</f>
        <v>0</v>
      </c>
      <c r="H163">
        <f>IFERROR(COUNTIF(OFFSET('Schedule Raw Data'!$A$2,MATCH($A163,'Schedule Raw Data'!$A$3:$A$2477,0),1,COUNTIF('Schedule Raw Data'!$A$3:$A$2477,$A163),2),H$1),0)</f>
        <v>0</v>
      </c>
      <c r="I163">
        <f>IFERROR(COUNTIF(OFFSET('Schedule Raw Data'!$A$2,MATCH($A163,'Schedule Raw Data'!$A$3:$A$2477,0),1,COUNTIF('Schedule Raw Data'!$A$3:$A$2477,$A163),2),I$1),0)</f>
        <v>0</v>
      </c>
      <c r="J163">
        <f>IFERROR(COUNTIF(OFFSET('Schedule Raw Data'!$A$2,MATCH($A163,'Schedule Raw Data'!$A$3:$A$2477,0),1,COUNTIF('Schedule Raw Data'!$A$3:$A$2477,$A163),2),J$1),0)</f>
        <v>0</v>
      </c>
      <c r="K163">
        <f>IFERROR(COUNTIF(OFFSET('Schedule Raw Data'!$A$2,MATCH($A163,'Schedule Raw Data'!$A$3:$A$2477,0),1,COUNTIF('Schedule Raw Data'!$A$3:$A$2477,$A163),2),K$1),0)</f>
        <v>0</v>
      </c>
      <c r="L163">
        <f>IFERROR(COUNTIF(OFFSET('Schedule Raw Data'!$A$2,MATCH($A163,'Schedule Raw Data'!$A$3:$A$2477,0),1,COUNTIF('Schedule Raw Data'!$A$3:$A$2477,$A163),2),L$1),0)</f>
        <v>0</v>
      </c>
      <c r="M163">
        <f>IFERROR(COUNTIF(OFFSET('Schedule Raw Data'!$A$2,MATCH($A163,'Schedule Raw Data'!$A$3:$A$2477,0),1,COUNTIF('Schedule Raw Data'!$A$3:$A$2477,$A163),2),M$1),0)</f>
        <v>0</v>
      </c>
      <c r="N163">
        <f>IFERROR(COUNTIF(OFFSET('Schedule Raw Data'!$A$2,MATCH($A163,'Schedule Raw Data'!$A$3:$A$2477,0),1,COUNTIF('Schedule Raw Data'!$A$3:$A$2477,$A163),2),N$1),0)</f>
        <v>0</v>
      </c>
      <c r="O163">
        <f>IFERROR(COUNTIF(OFFSET('Schedule Raw Data'!$A$2,MATCH($A163,'Schedule Raw Data'!$A$3:$A$2477,0),1,COUNTIF('Schedule Raw Data'!$A$3:$A$2477,$A163),2),O$1),0)</f>
        <v>0</v>
      </c>
      <c r="P163">
        <f>IFERROR(COUNTIF(OFFSET('Schedule Raw Data'!$A$2,MATCH($A163,'Schedule Raw Data'!$A$3:$A$2477,0),1,COUNTIF('Schedule Raw Data'!$A$3:$A$2477,$A163),2),P$1),0)</f>
        <v>0</v>
      </c>
      <c r="Q163">
        <f>IFERROR(COUNTIF(OFFSET('Schedule Raw Data'!$A$2,MATCH($A163,'Schedule Raw Data'!$A$3:$A$2477,0),1,COUNTIF('Schedule Raw Data'!$A$3:$A$2477,$A163),2),Q$1),0)</f>
        <v>0</v>
      </c>
      <c r="R163">
        <f>IFERROR(COUNTIF(OFFSET('Schedule Raw Data'!$A$2,MATCH($A163,'Schedule Raw Data'!$A$3:$A$2477,0),1,COUNTIF('Schedule Raw Data'!$A$3:$A$2477,$A163),2),R$1),0)</f>
        <v>0</v>
      </c>
      <c r="S163">
        <f>IFERROR(COUNTIF(OFFSET('Schedule Raw Data'!$A$2,MATCH($A163,'Schedule Raw Data'!$A$3:$A$2477,0),1,COUNTIF('Schedule Raw Data'!$A$3:$A$2477,$A163),2),S$1),0)</f>
        <v>0</v>
      </c>
      <c r="T163">
        <f>IFERROR(COUNTIF(OFFSET('Schedule Raw Data'!$A$2,MATCH($A163,'Schedule Raw Data'!$A$3:$A$2477,0),1,COUNTIF('Schedule Raw Data'!$A$3:$A$2477,$A163),2),T$1),0)</f>
        <v>0</v>
      </c>
      <c r="U163">
        <f>IFERROR(COUNTIF(OFFSET('Schedule Raw Data'!$A$2,MATCH($A163,'Schedule Raw Data'!$A$3:$A$2477,0),1,COUNTIF('Schedule Raw Data'!$A$3:$A$2477,$A163),2),U$1),0)</f>
        <v>0</v>
      </c>
      <c r="V163">
        <f>IFERROR(COUNTIF(OFFSET('Schedule Raw Data'!$A$2,MATCH($A163,'Schedule Raw Data'!$A$3:$A$2477,0),1,COUNTIF('Schedule Raw Data'!$A$3:$A$2477,$A163),2),V$1),0)</f>
        <v>0</v>
      </c>
      <c r="W163">
        <f>IFERROR(COUNTIF(OFFSET('Schedule Raw Data'!$A$2,MATCH($A163,'Schedule Raw Data'!$A$3:$A$2477,0),1,COUNTIF('Schedule Raw Data'!$A$3:$A$2477,$A163),2),W$1),0)</f>
        <v>0</v>
      </c>
      <c r="X163">
        <f>IFERROR(COUNTIF(OFFSET('Schedule Raw Data'!$A$2,MATCH($A163,'Schedule Raw Data'!$A$3:$A$2477,0),1,COUNTIF('Schedule Raw Data'!$A$3:$A$2477,$A163),2),X$1),0)</f>
        <v>0</v>
      </c>
      <c r="Y163">
        <f>IFERROR(COUNTIF(OFFSET('Schedule Raw Data'!$A$2,MATCH($A163,'Schedule Raw Data'!$A$3:$A$2477,0),1,COUNTIF('Schedule Raw Data'!$A$3:$A$2477,$A163),2),Y$1),0)</f>
        <v>0</v>
      </c>
      <c r="Z163">
        <f>IFERROR(COUNTIF(OFFSET('Schedule Raw Data'!$A$2,MATCH($A163,'Schedule Raw Data'!$A$3:$A$2477,0),1,COUNTIF('Schedule Raw Data'!$A$3:$A$2477,$A163),2),Z$1),0)</f>
        <v>0</v>
      </c>
      <c r="AA163">
        <f>IFERROR(COUNTIF(OFFSET('Schedule Raw Data'!$A$2,MATCH($A163,'Schedule Raw Data'!$A$3:$A$2477,0),1,COUNTIF('Schedule Raw Data'!$A$3:$A$2477,$A163),2),AA$1),0)</f>
        <v>0</v>
      </c>
      <c r="AB163">
        <f>IFERROR(COUNTIF(OFFSET('Schedule Raw Data'!$A$2,MATCH($A163,'Schedule Raw Data'!$A$3:$A$2477,0),1,COUNTIF('Schedule Raw Data'!$A$3:$A$2477,$A163),2),AB$1),0)</f>
        <v>0</v>
      </c>
      <c r="AC163">
        <f>IFERROR(COUNTIF(OFFSET('Schedule Raw Data'!$A$2,MATCH($A163,'Schedule Raw Data'!$A$3:$A$2477,0),1,COUNTIF('Schedule Raw Data'!$A$3:$A$2477,$A163),2),AC$1),0)</f>
        <v>0</v>
      </c>
      <c r="AD163">
        <f>IFERROR(COUNTIF(OFFSET('Schedule Raw Data'!$A$2,MATCH($A163,'Schedule Raw Data'!$A$3:$A$2477,0),1,COUNTIF('Schedule Raw Data'!$A$3:$A$2477,$A163),2),AD$1),0)</f>
        <v>0</v>
      </c>
      <c r="AE163">
        <f>IFERROR(COUNTIF(OFFSET('Schedule Raw Data'!$A$2,MATCH($A163,'Schedule Raw Data'!$A$3:$A$2477,0),1,COUNTIF('Schedule Raw Data'!$A$3:$A$2477,$A163),2),AE$1),0)</f>
        <v>0</v>
      </c>
      <c r="AF163">
        <f>IFERROR(COUNTIF(OFFSET('Schedule Raw Data'!$A$2,MATCH($A163,'Schedule Raw Data'!$A$3:$A$2477,0),1,COUNTIF('Schedule Raw Data'!$A$3:$A$2477,$A163),2),AF$1),0)</f>
        <v>0</v>
      </c>
      <c r="AG163">
        <f t="shared" si="1"/>
        <v>0</v>
      </c>
    </row>
    <row r="164">
      <c r="A164" s="30" t="str">
        <f t="array" ref="A164">INDEX('Schedule Raw Data'!$A$3:$A$2477,MATCH(0,INDEX(COUNTIF($A$1:A163,'Schedule Raw Data'!$A$3:$A$2477),0,0),0))</f>
        <v/>
      </c>
      <c r="B164">
        <f t="shared" si="2"/>
        <v>24</v>
      </c>
      <c r="C164">
        <f>IFERROR(COUNTIF(OFFSET('Schedule Raw Data'!$A$2,MATCH($A164,'Schedule Raw Data'!$A$3:$A$2477,0),1,COUNTIF('Schedule Raw Data'!$A$3:$A$2477,$A164),2),C$1),0)</f>
        <v>0</v>
      </c>
      <c r="D164">
        <f>IFERROR(COUNTIF(OFFSET('Schedule Raw Data'!$A$2,MATCH($A164,'Schedule Raw Data'!$A$3:$A$2477,0),1,COUNTIF('Schedule Raw Data'!$A$3:$A$2477,$A164),2),D$1),0)</f>
        <v>0</v>
      </c>
      <c r="E164">
        <f>IFERROR(COUNTIF(OFFSET('Schedule Raw Data'!$A$2,MATCH($A164,'Schedule Raw Data'!$A$3:$A$2477,0),1,COUNTIF('Schedule Raw Data'!$A$3:$A$2477,$A164),2),E$1),0)</f>
        <v>0</v>
      </c>
      <c r="F164">
        <f>IFERROR(COUNTIF(OFFSET('Schedule Raw Data'!$A$2,MATCH($A164,'Schedule Raw Data'!$A$3:$A$2477,0),1,COUNTIF('Schedule Raw Data'!$A$3:$A$2477,$A164),2),F$1),0)</f>
        <v>0</v>
      </c>
      <c r="G164">
        <f>IFERROR(COUNTIF(OFFSET('Schedule Raw Data'!$A$2,MATCH($A164,'Schedule Raw Data'!$A$3:$A$2477,0),1,COUNTIF('Schedule Raw Data'!$A$3:$A$2477,$A164),2),G$1),0)</f>
        <v>0</v>
      </c>
      <c r="H164">
        <f>IFERROR(COUNTIF(OFFSET('Schedule Raw Data'!$A$2,MATCH($A164,'Schedule Raw Data'!$A$3:$A$2477,0),1,COUNTIF('Schedule Raw Data'!$A$3:$A$2477,$A164),2),H$1),0)</f>
        <v>0</v>
      </c>
      <c r="I164">
        <f>IFERROR(COUNTIF(OFFSET('Schedule Raw Data'!$A$2,MATCH($A164,'Schedule Raw Data'!$A$3:$A$2477,0),1,COUNTIF('Schedule Raw Data'!$A$3:$A$2477,$A164),2),I$1),0)</f>
        <v>0</v>
      </c>
      <c r="J164">
        <f>IFERROR(COUNTIF(OFFSET('Schedule Raw Data'!$A$2,MATCH($A164,'Schedule Raw Data'!$A$3:$A$2477,0),1,COUNTIF('Schedule Raw Data'!$A$3:$A$2477,$A164),2),J$1),0)</f>
        <v>0</v>
      </c>
      <c r="K164">
        <f>IFERROR(COUNTIF(OFFSET('Schedule Raw Data'!$A$2,MATCH($A164,'Schedule Raw Data'!$A$3:$A$2477,0),1,COUNTIF('Schedule Raw Data'!$A$3:$A$2477,$A164),2),K$1),0)</f>
        <v>0</v>
      </c>
      <c r="L164">
        <f>IFERROR(COUNTIF(OFFSET('Schedule Raw Data'!$A$2,MATCH($A164,'Schedule Raw Data'!$A$3:$A$2477,0),1,COUNTIF('Schedule Raw Data'!$A$3:$A$2477,$A164),2),L$1),0)</f>
        <v>0</v>
      </c>
      <c r="M164">
        <f>IFERROR(COUNTIF(OFFSET('Schedule Raw Data'!$A$2,MATCH($A164,'Schedule Raw Data'!$A$3:$A$2477,0),1,COUNTIF('Schedule Raw Data'!$A$3:$A$2477,$A164),2),M$1),0)</f>
        <v>0</v>
      </c>
      <c r="N164">
        <f>IFERROR(COUNTIF(OFFSET('Schedule Raw Data'!$A$2,MATCH($A164,'Schedule Raw Data'!$A$3:$A$2477,0),1,COUNTIF('Schedule Raw Data'!$A$3:$A$2477,$A164),2),N$1),0)</f>
        <v>0</v>
      </c>
      <c r="O164">
        <f>IFERROR(COUNTIF(OFFSET('Schedule Raw Data'!$A$2,MATCH($A164,'Schedule Raw Data'!$A$3:$A$2477,0),1,COUNTIF('Schedule Raw Data'!$A$3:$A$2477,$A164),2),O$1),0)</f>
        <v>0</v>
      </c>
      <c r="P164">
        <f>IFERROR(COUNTIF(OFFSET('Schedule Raw Data'!$A$2,MATCH($A164,'Schedule Raw Data'!$A$3:$A$2477,0),1,COUNTIF('Schedule Raw Data'!$A$3:$A$2477,$A164),2),P$1),0)</f>
        <v>0</v>
      </c>
      <c r="Q164">
        <f>IFERROR(COUNTIF(OFFSET('Schedule Raw Data'!$A$2,MATCH($A164,'Schedule Raw Data'!$A$3:$A$2477,0),1,COUNTIF('Schedule Raw Data'!$A$3:$A$2477,$A164),2),Q$1),0)</f>
        <v>0</v>
      </c>
      <c r="R164">
        <f>IFERROR(COUNTIF(OFFSET('Schedule Raw Data'!$A$2,MATCH($A164,'Schedule Raw Data'!$A$3:$A$2477,0),1,COUNTIF('Schedule Raw Data'!$A$3:$A$2477,$A164),2),R$1),0)</f>
        <v>0</v>
      </c>
      <c r="S164">
        <f>IFERROR(COUNTIF(OFFSET('Schedule Raw Data'!$A$2,MATCH($A164,'Schedule Raw Data'!$A$3:$A$2477,0),1,COUNTIF('Schedule Raw Data'!$A$3:$A$2477,$A164),2),S$1),0)</f>
        <v>0</v>
      </c>
      <c r="T164">
        <f>IFERROR(COUNTIF(OFFSET('Schedule Raw Data'!$A$2,MATCH($A164,'Schedule Raw Data'!$A$3:$A$2477,0),1,COUNTIF('Schedule Raw Data'!$A$3:$A$2477,$A164),2),T$1),0)</f>
        <v>0</v>
      </c>
      <c r="U164">
        <f>IFERROR(COUNTIF(OFFSET('Schedule Raw Data'!$A$2,MATCH($A164,'Schedule Raw Data'!$A$3:$A$2477,0),1,COUNTIF('Schedule Raw Data'!$A$3:$A$2477,$A164),2),U$1),0)</f>
        <v>0</v>
      </c>
      <c r="V164">
        <f>IFERROR(COUNTIF(OFFSET('Schedule Raw Data'!$A$2,MATCH($A164,'Schedule Raw Data'!$A$3:$A$2477,0),1,COUNTIF('Schedule Raw Data'!$A$3:$A$2477,$A164),2),V$1),0)</f>
        <v>0</v>
      </c>
      <c r="W164">
        <f>IFERROR(COUNTIF(OFFSET('Schedule Raw Data'!$A$2,MATCH($A164,'Schedule Raw Data'!$A$3:$A$2477,0),1,COUNTIF('Schedule Raw Data'!$A$3:$A$2477,$A164),2),W$1),0)</f>
        <v>0</v>
      </c>
      <c r="X164">
        <f>IFERROR(COUNTIF(OFFSET('Schedule Raw Data'!$A$2,MATCH($A164,'Schedule Raw Data'!$A$3:$A$2477,0),1,COUNTIF('Schedule Raw Data'!$A$3:$A$2477,$A164),2),X$1),0)</f>
        <v>0</v>
      </c>
      <c r="Y164">
        <f>IFERROR(COUNTIF(OFFSET('Schedule Raw Data'!$A$2,MATCH($A164,'Schedule Raw Data'!$A$3:$A$2477,0),1,COUNTIF('Schedule Raw Data'!$A$3:$A$2477,$A164),2),Y$1),0)</f>
        <v>0</v>
      </c>
      <c r="Z164">
        <f>IFERROR(COUNTIF(OFFSET('Schedule Raw Data'!$A$2,MATCH($A164,'Schedule Raw Data'!$A$3:$A$2477,0),1,COUNTIF('Schedule Raw Data'!$A$3:$A$2477,$A164),2),Z$1),0)</f>
        <v>0</v>
      </c>
      <c r="AA164">
        <f>IFERROR(COUNTIF(OFFSET('Schedule Raw Data'!$A$2,MATCH($A164,'Schedule Raw Data'!$A$3:$A$2477,0),1,COUNTIF('Schedule Raw Data'!$A$3:$A$2477,$A164),2),AA$1),0)</f>
        <v>0</v>
      </c>
      <c r="AB164">
        <f>IFERROR(COUNTIF(OFFSET('Schedule Raw Data'!$A$2,MATCH($A164,'Schedule Raw Data'!$A$3:$A$2477,0),1,COUNTIF('Schedule Raw Data'!$A$3:$A$2477,$A164),2),AB$1),0)</f>
        <v>0</v>
      </c>
      <c r="AC164">
        <f>IFERROR(COUNTIF(OFFSET('Schedule Raw Data'!$A$2,MATCH($A164,'Schedule Raw Data'!$A$3:$A$2477,0),1,COUNTIF('Schedule Raw Data'!$A$3:$A$2477,$A164),2),AC$1),0)</f>
        <v>0</v>
      </c>
      <c r="AD164">
        <f>IFERROR(COUNTIF(OFFSET('Schedule Raw Data'!$A$2,MATCH($A164,'Schedule Raw Data'!$A$3:$A$2477,0),1,COUNTIF('Schedule Raw Data'!$A$3:$A$2477,$A164),2),AD$1),0)</f>
        <v>0</v>
      </c>
      <c r="AE164">
        <f>IFERROR(COUNTIF(OFFSET('Schedule Raw Data'!$A$2,MATCH($A164,'Schedule Raw Data'!$A$3:$A$2477,0),1,COUNTIF('Schedule Raw Data'!$A$3:$A$2477,$A164),2),AE$1),0)</f>
        <v>0</v>
      </c>
      <c r="AF164">
        <f>IFERROR(COUNTIF(OFFSET('Schedule Raw Data'!$A$2,MATCH($A164,'Schedule Raw Data'!$A$3:$A$2477,0),1,COUNTIF('Schedule Raw Data'!$A$3:$A$2477,$A164),2),AF$1),0)</f>
        <v>0</v>
      </c>
      <c r="AG164">
        <f t="shared" si="1"/>
        <v>0</v>
      </c>
    </row>
    <row r="165">
      <c r="A165" s="30" t="str">
        <f t="array" ref="A165">INDEX('Schedule Raw Data'!$A$3:$A$2477,MATCH(0,INDEX(COUNTIF($A$1:A164,'Schedule Raw Data'!$A$3:$A$2477),0,0),0))</f>
        <v/>
      </c>
      <c r="B165">
        <f t="shared" si="2"/>
        <v>24</v>
      </c>
      <c r="C165">
        <f>IFERROR(COUNTIF(OFFSET('Schedule Raw Data'!$A$2,MATCH($A165,'Schedule Raw Data'!$A$3:$A$2477,0),1,COUNTIF('Schedule Raw Data'!$A$3:$A$2477,$A165),2),C$1),0)</f>
        <v>0</v>
      </c>
      <c r="D165">
        <f>IFERROR(COUNTIF(OFFSET('Schedule Raw Data'!$A$2,MATCH($A165,'Schedule Raw Data'!$A$3:$A$2477,0),1,COUNTIF('Schedule Raw Data'!$A$3:$A$2477,$A165),2),D$1),0)</f>
        <v>0</v>
      </c>
      <c r="E165">
        <f>IFERROR(COUNTIF(OFFSET('Schedule Raw Data'!$A$2,MATCH($A165,'Schedule Raw Data'!$A$3:$A$2477,0),1,COUNTIF('Schedule Raw Data'!$A$3:$A$2477,$A165),2),E$1),0)</f>
        <v>0</v>
      </c>
      <c r="F165">
        <f>IFERROR(COUNTIF(OFFSET('Schedule Raw Data'!$A$2,MATCH($A165,'Schedule Raw Data'!$A$3:$A$2477,0),1,COUNTIF('Schedule Raw Data'!$A$3:$A$2477,$A165),2),F$1),0)</f>
        <v>0</v>
      </c>
      <c r="G165">
        <f>IFERROR(COUNTIF(OFFSET('Schedule Raw Data'!$A$2,MATCH($A165,'Schedule Raw Data'!$A$3:$A$2477,0),1,COUNTIF('Schedule Raw Data'!$A$3:$A$2477,$A165),2),G$1),0)</f>
        <v>0</v>
      </c>
      <c r="H165">
        <f>IFERROR(COUNTIF(OFFSET('Schedule Raw Data'!$A$2,MATCH($A165,'Schedule Raw Data'!$A$3:$A$2477,0),1,COUNTIF('Schedule Raw Data'!$A$3:$A$2477,$A165),2),H$1),0)</f>
        <v>0</v>
      </c>
      <c r="I165">
        <f>IFERROR(COUNTIF(OFFSET('Schedule Raw Data'!$A$2,MATCH($A165,'Schedule Raw Data'!$A$3:$A$2477,0),1,COUNTIF('Schedule Raw Data'!$A$3:$A$2477,$A165),2),I$1),0)</f>
        <v>0</v>
      </c>
      <c r="J165">
        <f>IFERROR(COUNTIF(OFFSET('Schedule Raw Data'!$A$2,MATCH($A165,'Schedule Raw Data'!$A$3:$A$2477,0),1,COUNTIF('Schedule Raw Data'!$A$3:$A$2477,$A165),2),J$1),0)</f>
        <v>0</v>
      </c>
      <c r="K165">
        <f>IFERROR(COUNTIF(OFFSET('Schedule Raw Data'!$A$2,MATCH($A165,'Schedule Raw Data'!$A$3:$A$2477,0),1,COUNTIF('Schedule Raw Data'!$A$3:$A$2477,$A165),2),K$1),0)</f>
        <v>0</v>
      </c>
      <c r="L165">
        <f>IFERROR(COUNTIF(OFFSET('Schedule Raw Data'!$A$2,MATCH($A165,'Schedule Raw Data'!$A$3:$A$2477,0),1,COUNTIF('Schedule Raw Data'!$A$3:$A$2477,$A165),2),L$1),0)</f>
        <v>0</v>
      </c>
      <c r="M165">
        <f>IFERROR(COUNTIF(OFFSET('Schedule Raw Data'!$A$2,MATCH($A165,'Schedule Raw Data'!$A$3:$A$2477,0),1,COUNTIF('Schedule Raw Data'!$A$3:$A$2477,$A165),2),M$1),0)</f>
        <v>0</v>
      </c>
      <c r="N165">
        <f>IFERROR(COUNTIF(OFFSET('Schedule Raw Data'!$A$2,MATCH($A165,'Schedule Raw Data'!$A$3:$A$2477,0),1,COUNTIF('Schedule Raw Data'!$A$3:$A$2477,$A165),2),N$1),0)</f>
        <v>0</v>
      </c>
      <c r="O165">
        <f>IFERROR(COUNTIF(OFFSET('Schedule Raw Data'!$A$2,MATCH($A165,'Schedule Raw Data'!$A$3:$A$2477,0),1,COUNTIF('Schedule Raw Data'!$A$3:$A$2477,$A165),2),O$1),0)</f>
        <v>0</v>
      </c>
      <c r="P165">
        <f>IFERROR(COUNTIF(OFFSET('Schedule Raw Data'!$A$2,MATCH($A165,'Schedule Raw Data'!$A$3:$A$2477,0),1,COUNTIF('Schedule Raw Data'!$A$3:$A$2477,$A165),2),P$1),0)</f>
        <v>0</v>
      </c>
      <c r="Q165">
        <f>IFERROR(COUNTIF(OFFSET('Schedule Raw Data'!$A$2,MATCH($A165,'Schedule Raw Data'!$A$3:$A$2477,0),1,COUNTIF('Schedule Raw Data'!$A$3:$A$2477,$A165),2),Q$1),0)</f>
        <v>0</v>
      </c>
      <c r="R165">
        <f>IFERROR(COUNTIF(OFFSET('Schedule Raw Data'!$A$2,MATCH($A165,'Schedule Raw Data'!$A$3:$A$2477,0),1,COUNTIF('Schedule Raw Data'!$A$3:$A$2477,$A165),2),R$1),0)</f>
        <v>0</v>
      </c>
      <c r="S165">
        <f>IFERROR(COUNTIF(OFFSET('Schedule Raw Data'!$A$2,MATCH($A165,'Schedule Raw Data'!$A$3:$A$2477,0),1,COUNTIF('Schedule Raw Data'!$A$3:$A$2477,$A165),2),S$1),0)</f>
        <v>0</v>
      </c>
      <c r="T165">
        <f>IFERROR(COUNTIF(OFFSET('Schedule Raw Data'!$A$2,MATCH($A165,'Schedule Raw Data'!$A$3:$A$2477,0),1,COUNTIF('Schedule Raw Data'!$A$3:$A$2477,$A165),2),T$1),0)</f>
        <v>0</v>
      </c>
      <c r="U165">
        <f>IFERROR(COUNTIF(OFFSET('Schedule Raw Data'!$A$2,MATCH($A165,'Schedule Raw Data'!$A$3:$A$2477,0),1,COUNTIF('Schedule Raw Data'!$A$3:$A$2477,$A165),2),U$1),0)</f>
        <v>0</v>
      </c>
      <c r="V165">
        <f>IFERROR(COUNTIF(OFFSET('Schedule Raw Data'!$A$2,MATCH($A165,'Schedule Raw Data'!$A$3:$A$2477,0),1,COUNTIF('Schedule Raw Data'!$A$3:$A$2477,$A165),2),V$1),0)</f>
        <v>0</v>
      </c>
      <c r="W165">
        <f>IFERROR(COUNTIF(OFFSET('Schedule Raw Data'!$A$2,MATCH($A165,'Schedule Raw Data'!$A$3:$A$2477,0),1,COUNTIF('Schedule Raw Data'!$A$3:$A$2477,$A165),2),W$1),0)</f>
        <v>0</v>
      </c>
      <c r="X165">
        <f>IFERROR(COUNTIF(OFFSET('Schedule Raw Data'!$A$2,MATCH($A165,'Schedule Raw Data'!$A$3:$A$2477,0),1,COUNTIF('Schedule Raw Data'!$A$3:$A$2477,$A165),2),X$1),0)</f>
        <v>0</v>
      </c>
      <c r="Y165">
        <f>IFERROR(COUNTIF(OFFSET('Schedule Raw Data'!$A$2,MATCH($A165,'Schedule Raw Data'!$A$3:$A$2477,0),1,COUNTIF('Schedule Raw Data'!$A$3:$A$2477,$A165),2),Y$1),0)</f>
        <v>0</v>
      </c>
      <c r="Z165">
        <f>IFERROR(COUNTIF(OFFSET('Schedule Raw Data'!$A$2,MATCH($A165,'Schedule Raw Data'!$A$3:$A$2477,0),1,COUNTIF('Schedule Raw Data'!$A$3:$A$2477,$A165),2),Z$1),0)</f>
        <v>0</v>
      </c>
      <c r="AA165">
        <f>IFERROR(COUNTIF(OFFSET('Schedule Raw Data'!$A$2,MATCH($A165,'Schedule Raw Data'!$A$3:$A$2477,0),1,COUNTIF('Schedule Raw Data'!$A$3:$A$2477,$A165),2),AA$1),0)</f>
        <v>0</v>
      </c>
      <c r="AB165">
        <f>IFERROR(COUNTIF(OFFSET('Schedule Raw Data'!$A$2,MATCH($A165,'Schedule Raw Data'!$A$3:$A$2477,0),1,COUNTIF('Schedule Raw Data'!$A$3:$A$2477,$A165),2),AB$1),0)</f>
        <v>0</v>
      </c>
      <c r="AC165">
        <f>IFERROR(COUNTIF(OFFSET('Schedule Raw Data'!$A$2,MATCH($A165,'Schedule Raw Data'!$A$3:$A$2477,0),1,COUNTIF('Schedule Raw Data'!$A$3:$A$2477,$A165),2),AC$1),0)</f>
        <v>0</v>
      </c>
      <c r="AD165">
        <f>IFERROR(COUNTIF(OFFSET('Schedule Raw Data'!$A$2,MATCH($A165,'Schedule Raw Data'!$A$3:$A$2477,0),1,COUNTIF('Schedule Raw Data'!$A$3:$A$2477,$A165),2),AD$1),0)</f>
        <v>0</v>
      </c>
      <c r="AE165">
        <f>IFERROR(COUNTIF(OFFSET('Schedule Raw Data'!$A$2,MATCH($A165,'Schedule Raw Data'!$A$3:$A$2477,0),1,COUNTIF('Schedule Raw Data'!$A$3:$A$2477,$A165),2),AE$1),0)</f>
        <v>0</v>
      </c>
      <c r="AF165">
        <f>IFERROR(COUNTIF(OFFSET('Schedule Raw Data'!$A$2,MATCH($A165,'Schedule Raw Data'!$A$3:$A$2477,0),1,COUNTIF('Schedule Raw Data'!$A$3:$A$2477,$A165),2),AF$1),0)</f>
        <v>0</v>
      </c>
      <c r="AG165">
        <f t="shared" si="1"/>
        <v>0</v>
      </c>
    </row>
    <row r="166">
      <c r="A166" s="30" t="str">
        <f t="array" ref="A166">INDEX('Schedule Raw Data'!$A$3:$A$2477,MATCH(0,INDEX(COUNTIF($A$1:A165,'Schedule Raw Data'!$A$3:$A$2477),0,0),0))</f>
        <v/>
      </c>
      <c r="B166">
        <f t="shared" si="2"/>
        <v>24</v>
      </c>
      <c r="C166">
        <f>IFERROR(COUNTIF(OFFSET('Schedule Raw Data'!$A$2,MATCH($A166,'Schedule Raw Data'!$A$3:$A$2477,0),1,COUNTIF('Schedule Raw Data'!$A$3:$A$2477,$A166),2),C$1),0)</f>
        <v>0</v>
      </c>
      <c r="D166">
        <f>IFERROR(COUNTIF(OFFSET('Schedule Raw Data'!$A$2,MATCH($A166,'Schedule Raw Data'!$A$3:$A$2477,0),1,COUNTIF('Schedule Raw Data'!$A$3:$A$2477,$A166),2),D$1),0)</f>
        <v>0</v>
      </c>
      <c r="E166">
        <f>IFERROR(COUNTIF(OFFSET('Schedule Raw Data'!$A$2,MATCH($A166,'Schedule Raw Data'!$A$3:$A$2477,0),1,COUNTIF('Schedule Raw Data'!$A$3:$A$2477,$A166),2),E$1),0)</f>
        <v>0</v>
      </c>
      <c r="F166">
        <f>IFERROR(COUNTIF(OFFSET('Schedule Raw Data'!$A$2,MATCH($A166,'Schedule Raw Data'!$A$3:$A$2477,0),1,COUNTIF('Schedule Raw Data'!$A$3:$A$2477,$A166),2),F$1),0)</f>
        <v>0</v>
      </c>
      <c r="G166">
        <f>IFERROR(COUNTIF(OFFSET('Schedule Raw Data'!$A$2,MATCH($A166,'Schedule Raw Data'!$A$3:$A$2477,0),1,COUNTIF('Schedule Raw Data'!$A$3:$A$2477,$A166),2),G$1),0)</f>
        <v>0</v>
      </c>
      <c r="H166">
        <f>IFERROR(COUNTIF(OFFSET('Schedule Raw Data'!$A$2,MATCH($A166,'Schedule Raw Data'!$A$3:$A$2477,0),1,COUNTIF('Schedule Raw Data'!$A$3:$A$2477,$A166),2),H$1),0)</f>
        <v>0</v>
      </c>
      <c r="I166">
        <f>IFERROR(COUNTIF(OFFSET('Schedule Raw Data'!$A$2,MATCH($A166,'Schedule Raw Data'!$A$3:$A$2477,0),1,COUNTIF('Schedule Raw Data'!$A$3:$A$2477,$A166),2),I$1),0)</f>
        <v>0</v>
      </c>
      <c r="J166">
        <f>IFERROR(COUNTIF(OFFSET('Schedule Raw Data'!$A$2,MATCH($A166,'Schedule Raw Data'!$A$3:$A$2477,0),1,COUNTIF('Schedule Raw Data'!$A$3:$A$2477,$A166),2),J$1),0)</f>
        <v>0</v>
      </c>
      <c r="K166">
        <f>IFERROR(COUNTIF(OFFSET('Schedule Raw Data'!$A$2,MATCH($A166,'Schedule Raw Data'!$A$3:$A$2477,0),1,COUNTIF('Schedule Raw Data'!$A$3:$A$2477,$A166),2),K$1),0)</f>
        <v>0</v>
      </c>
      <c r="L166">
        <f>IFERROR(COUNTIF(OFFSET('Schedule Raw Data'!$A$2,MATCH($A166,'Schedule Raw Data'!$A$3:$A$2477,0),1,COUNTIF('Schedule Raw Data'!$A$3:$A$2477,$A166),2),L$1),0)</f>
        <v>0</v>
      </c>
      <c r="M166">
        <f>IFERROR(COUNTIF(OFFSET('Schedule Raw Data'!$A$2,MATCH($A166,'Schedule Raw Data'!$A$3:$A$2477,0),1,COUNTIF('Schedule Raw Data'!$A$3:$A$2477,$A166),2),M$1),0)</f>
        <v>0</v>
      </c>
      <c r="N166">
        <f>IFERROR(COUNTIF(OFFSET('Schedule Raw Data'!$A$2,MATCH($A166,'Schedule Raw Data'!$A$3:$A$2477,0),1,COUNTIF('Schedule Raw Data'!$A$3:$A$2477,$A166),2),N$1),0)</f>
        <v>0</v>
      </c>
      <c r="O166">
        <f>IFERROR(COUNTIF(OFFSET('Schedule Raw Data'!$A$2,MATCH($A166,'Schedule Raw Data'!$A$3:$A$2477,0),1,COUNTIF('Schedule Raw Data'!$A$3:$A$2477,$A166),2),O$1),0)</f>
        <v>0</v>
      </c>
      <c r="P166">
        <f>IFERROR(COUNTIF(OFFSET('Schedule Raw Data'!$A$2,MATCH($A166,'Schedule Raw Data'!$A$3:$A$2477,0),1,COUNTIF('Schedule Raw Data'!$A$3:$A$2477,$A166),2),P$1),0)</f>
        <v>0</v>
      </c>
      <c r="Q166">
        <f>IFERROR(COUNTIF(OFFSET('Schedule Raw Data'!$A$2,MATCH($A166,'Schedule Raw Data'!$A$3:$A$2477,0),1,COUNTIF('Schedule Raw Data'!$A$3:$A$2477,$A166),2),Q$1),0)</f>
        <v>0</v>
      </c>
      <c r="R166">
        <f>IFERROR(COUNTIF(OFFSET('Schedule Raw Data'!$A$2,MATCH($A166,'Schedule Raw Data'!$A$3:$A$2477,0),1,COUNTIF('Schedule Raw Data'!$A$3:$A$2477,$A166),2),R$1),0)</f>
        <v>0</v>
      </c>
      <c r="S166">
        <f>IFERROR(COUNTIF(OFFSET('Schedule Raw Data'!$A$2,MATCH($A166,'Schedule Raw Data'!$A$3:$A$2477,0),1,COUNTIF('Schedule Raw Data'!$A$3:$A$2477,$A166),2),S$1),0)</f>
        <v>0</v>
      </c>
      <c r="T166">
        <f>IFERROR(COUNTIF(OFFSET('Schedule Raw Data'!$A$2,MATCH($A166,'Schedule Raw Data'!$A$3:$A$2477,0),1,COUNTIF('Schedule Raw Data'!$A$3:$A$2477,$A166),2),T$1),0)</f>
        <v>0</v>
      </c>
      <c r="U166">
        <f>IFERROR(COUNTIF(OFFSET('Schedule Raw Data'!$A$2,MATCH($A166,'Schedule Raw Data'!$A$3:$A$2477,0),1,COUNTIF('Schedule Raw Data'!$A$3:$A$2477,$A166),2),U$1),0)</f>
        <v>0</v>
      </c>
      <c r="V166">
        <f>IFERROR(COUNTIF(OFFSET('Schedule Raw Data'!$A$2,MATCH($A166,'Schedule Raw Data'!$A$3:$A$2477,0),1,COUNTIF('Schedule Raw Data'!$A$3:$A$2477,$A166),2),V$1),0)</f>
        <v>0</v>
      </c>
      <c r="W166">
        <f>IFERROR(COUNTIF(OFFSET('Schedule Raw Data'!$A$2,MATCH($A166,'Schedule Raw Data'!$A$3:$A$2477,0),1,COUNTIF('Schedule Raw Data'!$A$3:$A$2477,$A166),2),W$1),0)</f>
        <v>0</v>
      </c>
      <c r="X166">
        <f>IFERROR(COUNTIF(OFFSET('Schedule Raw Data'!$A$2,MATCH($A166,'Schedule Raw Data'!$A$3:$A$2477,0),1,COUNTIF('Schedule Raw Data'!$A$3:$A$2477,$A166),2),X$1),0)</f>
        <v>0</v>
      </c>
      <c r="Y166">
        <f>IFERROR(COUNTIF(OFFSET('Schedule Raw Data'!$A$2,MATCH($A166,'Schedule Raw Data'!$A$3:$A$2477,0),1,COUNTIF('Schedule Raw Data'!$A$3:$A$2477,$A166),2),Y$1),0)</f>
        <v>0</v>
      </c>
      <c r="Z166">
        <f>IFERROR(COUNTIF(OFFSET('Schedule Raw Data'!$A$2,MATCH($A166,'Schedule Raw Data'!$A$3:$A$2477,0),1,COUNTIF('Schedule Raw Data'!$A$3:$A$2477,$A166),2),Z$1),0)</f>
        <v>0</v>
      </c>
      <c r="AA166">
        <f>IFERROR(COUNTIF(OFFSET('Schedule Raw Data'!$A$2,MATCH($A166,'Schedule Raw Data'!$A$3:$A$2477,0),1,COUNTIF('Schedule Raw Data'!$A$3:$A$2477,$A166),2),AA$1),0)</f>
        <v>0</v>
      </c>
      <c r="AB166">
        <f>IFERROR(COUNTIF(OFFSET('Schedule Raw Data'!$A$2,MATCH($A166,'Schedule Raw Data'!$A$3:$A$2477,0),1,COUNTIF('Schedule Raw Data'!$A$3:$A$2477,$A166),2),AB$1),0)</f>
        <v>0</v>
      </c>
      <c r="AC166">
        <f>IFERROR(COUNTIF(OFFSET('Schedule Raw Data'!$A$2,MATCH($A166,'Schedule Raw Data'!$A$3:$A$2477,0),1,COUNTIF('Schedule Raw Data'!$A$3:$A$2477,$A166),2),AC$1),0)</f>
        <v>0</v>
      </c>
      <c r="AD166">
        <f>IFERROR(COUNTIF(OFFSET('Schedule Raw Data'!$A$2,MATCH($A166,'Schedule Raw Data'!$A$3:$A$2477,0),1,COUNTIF('Schedule Raw Data'!$A$3:$A$2477,$A166),2),AD$1),0)</f>
        <v>0</v>
      </c>
      <c r="AE166">
        <f>IFERROR(COUNTIF(OFFSET('Schedule Raw Data'!$A$2,MATCH($A166,'Schedule Raw Data'!$A$3:$A$2477,0),1,COUNTIF('Schedule Raw Data'!$A$3:$A$2477,$A166),2),AE$1),0)</f>
        <v>0</v>
      </c>
      <c r="AF166">
        <f>IFERROR(COUNTIF(OFFSET('Schedule Raw Data'!$A$2,MATCH($A166,'Schedule Raw Data'!$A$3:$A$2477,0),1,COUNTIF('Schedule Raw Data'!$A$3:$A$2477,$A166),2),AF$1),0)</f>
        <v>0</v>
      </c>
      <c r="AG166">
        <f t="shared" si="1"/>
        <v>0</v>
      </c>
    </row>
    <row r="167">
      <c r="A167" s="30" t="str">
        <f t="array" ref="A167">INDEX('Schedule Raw Data'!$A$3:$A$2477,MATCH(0,INDEX(COUNTIF($A$1:A166,'Schedule Raw Data'!$A$3:$A$2477),0,0),0))</f>
        <v/>
      </c>
      <c r="B167">
        <f t="shared" si="2"/>
        <v>24</v>
      </c>
      <c r="C167">
        <f>IFERROR(COUNTIF(OFFSET('Schedule Raw Data'!$A$2,MATCH($A167,'Schedule Raw Data'!$A$3:$A$2477,0),1,COUNTIF('Schedule Raw Data'!$A$3:$A$2477,$A167),2),C$1),0)</f>
        <v>0</v>
      </c>
      <c r="D167">
        <f>IFERROR(COUNTIF(OFFSET('Schedule Raw Data'!$A$2,MATCH($A167,'Schedule Raw Data'!$A$3:$A$2477,0),1,COUNTIF('Schedule Raw Data'!$A$3:$A$2477,$A167),2),D$1),0)</f>
        <v>0</v>
      </c>
      <c r="E167">
        <f>IFERROR(COUNTIF(OFFSET('Schedule Raw Data'!$A$2,MATCH($A167,'Schedule Raw Data'!$A$3:$A$2477,0),1,COUNTIF('Schedule Raw Data'!$A$3:$A$2477,$A167),2),E$1),0)</f>
        <v>0</v>
      </c>
      <c r="F167">
        <f>IFERROR(COUNTIF(OFFSET('Schedule Raw Data'!$A$2,MATCH($A167,'Schedule Raw Data'!$A$3:$A$2477,0),1,COUNTIF('Schedule Raw Data'!$A$3:$A$2477,$A167),2),F$1),0)</f>
        <v>0</v>
      </c>
      <c r="G167">
        <f>IFERROR(COUNTIF(OFFSET('Schedule Raw Data'!$A$2,MATCH($A167,'Schedule Raw Data'!$A$3:$A$2477,0),1,COUNTIF('Schedule Raw Data'!$A$3:$A$2477,$A167),2),G$1),0)</f>
        <v>0</v>
      </c>
      <c r="H167">
        <f>IFERROR(COUNTIF(OFFSET('Schedule Raw Data'!$A$2,MATCH($A167,'Schedule Raw Data'!$A$3:$A$2477,0),1,COUNTIF('Schedule Raw Data'!$A$3:$A$2477,$A167),2),H$1),0)</f>
        <v>0</v>
      </c>
      <c r="I167">
        <f>IFERROR(COUNTIF(OFFSET('Schedule Raw Data'!$A$2,MATCH($A167,'Schedule Raw Data'!$A$3:$A$2477,0),1,COUNTIF('Schedule Raw Data'!$A$3:$A$2477,$A167),2),I$1),0)</f>
        <v>0</v>
      </c>
      <c r="J167">
        <f>IFERROR(COUNTIF(OFFSET('Schedule Raw Data'!$A$2,MATCH($A167,'Schedule Raw Data'!$A$3:$A$2477,0),1,COUNTIF('Schedule Raw Data'!$A$3:$A$2477,$A167),2),J$1),0)</f>
        <v>0</v>
      </c>
      <c r="K167">
        <f>IFERROR(COUNTIF(OFFSET('Schedule Raw Data'!$A$2,MATCH($A167,'Schedule Raw Data'!$A$3:$A$2477,0),1,COUNTIF('Schedule Raw Data'!$A$3:$A$2477,$A167),2),K$1),0)</f>
        <v>0</v>
      </c>
      <c r="L167">
        <f>IFERROR(COUNTIF(OFFSET('Schedule Raw Data'!$A$2,MATCH($A167,'Schedule Raw Data'!$A$3:$A$2477,0),1,COUNTIF('Schedule Raw Data'!$A$3:$A$2477,$A167),2),L$1),0)</f>
        <v>0</v>
      </c>
      <c r="M167">
        <f>IFERROR(COUNTIF(OFFSET('Schedule Raw Data'!$A$2,MATCH($A167,'Schedule Raw Data'!$A$3:$A$2477,0),1,COUNTIF('Schedule Raw Data'!$A$3:$A$2477,$A167),2),M$1),0)</f>
        <v>0</v>
      </c>
      <c r="N167">
        <f>IFERROR(COUNTIF(OFFSET('Schedule Raw Data'!$A$2,MATCH($A167,'Schedule Raw Data'!$A$3:$A$2477,0),1,COUNTIF('Schedule Raw Data'!$A$3:$A$2477,$A167),2),N$1),0)</f>
        <v>0</v>
      </c>
      <c r="O167">
        <f>IFERROR(COUNTIF(OFFSET('Schedule Raw Data'!$A$2,MATCH($A167,'Schedule Raw Data'!$A$3:$A$2477,0),1,COUNTIF('Schedule Raw Data'!$A$3:$A$2477,$A167),2),O$1),0)</f>
        <v>0</v>
      </c>
      <c r="P167">
        <f>IFERROR(COUNTIF(OFFSET('Schedule Raw Data'!$A$2,MATCH($A167,'Schedule Raw Data'!$A$3:$A$2477,0),1,COUNTIF('Schedule Raw Data'!$A$3:$A$2477,$A167),2),P$1),0)</f>
        <v>0</v>
      </c>
      <c r="Q167">
        <f>IFERROR(COUNTIF(OFFSET('Schedule Raw Data'!$A$2,MATCH($A167,'Schedule Raw Data'!$A$3:$A$2477,0),1,COUNTIF('Schedule Raw Data'!$A$3:$A$2477,$A167),2),Q$1),0)</f>
        <v>0</v>
      </c>
      <c r="R167">
        <f>IFERROR(COUNTIF(OFFSET('Schedule Raw Data'!$A$2,MATCH($A167,'Schedule Raw Data'!$A$3:$A$2477,0),1,COUNTIF('Schedule Raw Data'!$A$3:$A$2477,$A167),2),R$1),0)</f>
        <v>0</v>
      </c>
      <c r="S167">
        <f>IFERROR(COUNTIF(OFFSET('Schedule Raw Data'!$A$2,MATCH($A167,'Schedule Raw Data'!$A$3:$A$2477,0),1,COUNTIF('Schedule Raw Data'!$A$3:$A$2477,$A167),2),S$1),0)</f>
        <v>0</v>
      </c>
      <c r="T167">
        <f>IFERROR(COUNTIF(OFFSET('Schedule Raw Data'!$A$2,MATCH($A167,'Schedule Raw Data'!$A$3:$A$2477,0),1,COUNTIF('Schedule Raw Data'!$A$3:$A$2477,$A167),2),T$1),0)</f>
        <v>0</v>
      </c>
      <c r="U167">
        <f>IFERROR(COUNTIF(OFFSET('Schedule Raw Data'!$A$2,MATCH($A167,'Schedule Raw Data'!$A$3:$A$2477,0),1,COUNTIF('Schedule Raw Data'!$A$3:$A$2477,$A167),2),U$1),0)</f>
        <v>0</v>
      </c>
      <c r="V167">
        <f>IFERROR(COUNTIF(OFFSET('Schedule Raw Data'!$A$2,MATCH($A167,'Schedule Raw Data'!$A$3:$A$2477,0),1,COUNTIF('Schedule Raw Data'!$A$3:$A$2477,$A167),2),V$1),0)</f>
        <v>0</v>
      </c>
      <c r="W167">
        <f>IFERROR(COUNTIF(OFFSET('Schedule Raw Data'!$A$2,MATCH($A167,'Schedule Raw Data'!$A$3:$A$2477,0),1,COUNTIF('Schedule Raw Data'!$A$3:$A$2477,$A167),2),W$1),0)</f>
        <v>0</v>
      </c>
      <c r="X167">
        <f>IFERROR(COUNTIF(OFFSET('Schedule Raw Data'!$A$2,MATCH($A167,'Schedule Raw Data'!$A$3:$A$2477,0),1,COUNTIF('Schedule Raw Data'!$A$3:$A$2477,$A167),2),X$1),0)</f>
        <v>0</v>
      </c>
      <c r="Y167">
        <f>IFERROR(COUNTIF(OFFSET('Schedule Raw Data'!$A$2,MATCH($A167,'Schedule Raw Data'!$A$3:$A$2477,0),1,COUNTIF('Schedule Raw Data'!$A$3:$A$2477,$A167),2),Y$1),0)</f>
        <v>0</v>
      </c>
      <c r="Z167">
        <f>IFERROR(COUNTIF(OFFSET('Schedule Raw Data'!$A$2,MATCH($A167,'Schedule Raw Data'!$A$3:$A$2477,0),1,COUNTIF('Schedule Raw Data'!$A$3:$A$2477,$A167),2),Z$1),0)</f>
        <v>0</v>
      </c>
      <c r="AA167">
        <f>IFERROR(COUNTIF(OFFSET('Schedule Raw Data'!$A$2,MATCH($A167,'Schedule Raw Data'!$A$3:$A$2477,0),1,COUNTIF('Schedule Raw Data'!$A$3:$A$2477,$A167),2),AA$1),0)</f>
        <v>0</v>
      </c>
      <c r="AB167">
        <f>IFERROR(COUNTIF(OFFSET('Schedule Raw Data'!$A$2,MATCH($A167,'Schedule Raw Data'!$A$3:$A$2477,0),1,COUNTIF('Schedule Raw Data'!$A$3:$A$2477,$A167),2),AB$1),0)</f>
        <v>0</v>
      </c>
      <c r="AC167">
        <f>IFERROR(COUNTIF(OFFSET('Schedule Raw Data'!$A$2,MATCH($A167,'Schedule Raw Data'!$A$3:$A$2477,0),1,COUNTIF('Schedule Raw Data'!$A$3:$A$2477,$A167),2),AC$1),0)</f>
        <v>0</v>
      </c>
      <c r="AD167">
        <f>IFERROR(COUNTIF(OFFSET('Schedule Raw Data'!$A$2,MATCH($A167,'Schedule Raw Data'!$A$3:$A$2477,0),1,COUNTIF('Schedule Raw Data'!$A$3:$A$2477,$A167),2),AD$1),0)</f>
        <v>0</v>
      </c>
      <c r="AE167">
        <f>IFERROR(COUNTIF(OFFSET('Schedule Raw Data'!$A$2,MATCH($A167,'Schedule Raw Data'!$A$3:$A$2477,0),1,COUNTIF('Schedule Raw Data'!$A$3:$A$2477,$A167),2),AE$1),0)</f>
        <v>0</v>
      </c>
      <c r="AF167">
        <f>IFERROR(COUNTIF(OFFSET('Schedule Raw Data'!$A$2,MATCH($A167,'Schedule Raw Data'!$A$3:$A$2477,0),1,COUNTIF('Schedule Raw Data'!$A$3:$A$2477,$A167),2),AF$1),0)</f>
        <v>0</v>
      </c>
      <c r="AG167">
        <f t="shared" si="1"/>
        <v>0</v>
      </c>
    </row>
    <row r="168">
      <c r="A168" s="30" t="str">
        <f t="array" ref="A168">INDEX('Schedule Raw Data'!$A$3:$A$2477,MATCH(0,INDEX(COUNTIF($A$1:A167,'Schedule Raw Data'!$A$3:$A$2477),0,0),0))</f>
        <v/>
      </c>
      <c r="B168">
        <f t="shared" si="2"/>
        <v>24</v>
      </c>
      <c r="C168">
        <f>IFERROR(COUNTIF(OFFSET('Schedule Raw Data'!$A$2,MATCH($A168,'Schedule Raw Data'!$A$3:$A$2477,0),1,COUNTIF('Schedule Raw Data'!$A$3:$A$2477,$A168),2),C$1),0)</f>
        <v>0</v>
      </c>
      <c r="D168">
        <f>IFERROR(COUNTIF(OFFSET('Schedule Raw Data'!$A$2,MATCH($A168,'Schedule Raw Data'!$A$3:$A$2477,0),1,COUNTIF('Schedule Raw Data'!$A$3:$A$2477,$A168),2),D$1),0)</f>
        <v>0</v>
      </c>
      <c r="E168">
        <f>IFERROR(COUNTIF(OFFSET('Schedule Raw Data'!$A$2,MATCH($A168,'Schedule Raw Data'!$A$3:$A$2477,0),1,COUNTIF('Schedule Raw Data'!$A$3:$A$2477,$A168),2),E$1),0)</f>
        <v>0</v>
      </c>
      <c r="F168">
        <f>IFERROR(COUNTIF(OFFSET('Schedule Raw Data'!$A$2,MATCH($A168,'Schedule Raw Data'!$A$3:$A$2477,0),1,COUNTIF('Schedule Raw Data'!$A$3:$A$2477,$A168),2),F$1),0)</f>
        <v>0</v>
      </c>
      <c r="G168">
        <f>IFERROR(COUNTIF(OFFSET('Schedule Raw Data'!$A$2,MATCH($A168,'Schedule Raw Data'!$A$3:$A$2477,0),1,COUNTIF('Schedule Raw Data'!$A$3:$A$2477,$A168),2),G$1),0)</f>
        <v>0</v>
      </c>
      <c r="H168">
        <f>IFERROR(COUNTIF(OFFSET('Schedule Raw Data'!$A$2,MATCH($A168,'Schedule Raw Data'!$A$3:$A$2477,0),1,COUNTIF('Schedule Raw Data'!$A$3:$A$2477,$A168),2),H$1),0)</f>
        <v>0</v>
      </c>
      <c r="I168">
        <f>IFERROR(COUNTIF(OFFSET('Schedule Raw Data'!$A$2,MATCH($A168,'Schedule Raw Data'!$A$3:$A$2477,0),1,COUNTIF('Schedule Raw Data'!$A$3:$A$2477,$A168),2),I$1),0)</f>
        <v>0</v>
      </c>
      <c r="J168">
        <f>IFERROR(COUNTIF(OFFSET('Schedule Raw Data'!$A$2,MATCH($A168,'Schedule Raw Data'!$A$3:$A$2477,0),1,COUNTIF('Schedule Raw Data'!$A$3:$A$2477,$A168),2),J$1),0)</f>
        <v>0</v>
      </c>
      <c r="K168">
        <f>IFERROR(COUNTIF(OFFSET('Schedule Raw Data'!$A$2,MATCH($A168,'Schedule Raw Data'!$A$3:$A$2477,0),1,COUNTIF('Schedule Raw Data'!$A$3:$A$2477,$A168),2),K$1),0)</f>
        <v>0</v>
      </c>
      <c r="L168">
        <f>IFERROR(COUNTIF(OFFSET('Schedule Raw Data'!$A$2,MATCH($A168,'Schedule Raw Data'!$A$3:$A$2477,0),1,COUNTIF('Schedule Raw Data'!$A$3:$A$2477,$A168),2),L$1),0)</f>
        <v>0</v>
      </c>
      <c r="M168">
        <f>IFERROR(COUNTIF(OFFSET('Schedule Raw Data'!$A$2,MATCH($A168,'Schedule Raw Data'!$A$3:$A$2477,0),1,COUNTIF('Schedule Raw Data'!$A$3:$A$2477,$A168),2),M$1),0)</f>
        <v>0</v>
      </c>
      <c r="N168">
        <f>IFERROR(COUNTIF(OFFSET('Schedule Raw Data'!$A$2,MATCH($A168,'Schedule Raw Data'!$A$3:$A$2477,0),1,COUNTIF('Schedule Raw Data'!$A$3:$A$2477,$A168),2),N$1),0)</f>
        <v>0</v>
      </c>
      <c r="O168">
        <f>IFERROR(COUNTIF(OFFSET('Schedule Raw Data'!$A$2,MATCH($A168,'Schedule Raw Data'!$A$3:$A$2477,0),1,COUNTIF('Schedule Raw Data'!$A$3:$A$2477,$A168),2),O$1),0)</f>
        <v>0</v>
      </c>
      <c r="P168">
        <f>IFERROR(COUNTIF(OFFSET('Schedule Raw Data'!$A$2,MATCH($A168,'Schedule Raw Data'!$A$3:$A$2477,0),1,COUNTIF('Schedule Raw Data'!$A$3:$A$2477,$A168),2),P$1),0)</f>
        <v>0</v>
      </c>
      <c r="Q168">
        <f>IFERROR(COUNTIF(OFFSET('Schedule Raw Data'!$A$2,MATCH($A168,'Schedule Raw Data'!$A$3:$A$2477,0),1,COUNTIF('Schedule Raw Data'!$A$3:$A$2477,$A168),2),Q$1),0)</f>
        <v>0</v>
      </c>
      <c r="R168">
        <f>IFERROR(COUNTIF(OFFSET('Schedule Raw Data'!$A$2,MATCH($A168,'Schedule Raw Data'!$A$3:$A$2477,0),1,COUNTIF('Schedule Raw Data'!$A$3:$A$2477,$A168),2),R$1),0)</f>
        <v>0</v>
      </c>
      <c r="S168">
        <f>IFERROR(COUNTIF(OFFSET('Schedule Raw Data'!$A$2,MATCH($A168,'Schedule Raw Data'!$A$3:$A$2477,0),1,COUNTIF('Schedule Raw Data'!$A$3:$A$2477,$A168),2),S$1),0)</f>
        <v>0</v>
      </c>
      <c r="T168">
        <f>IFERROR(COUNTIF(OFFSET('Schedule Raw Data'!$A$2,MATCH($A168,'Schedule Raw Data'!$A$3:$A$2477,0),1,COUNTIF('Schedule Raw Data'!$A$3:$A$2477,$A168),2),T$1),0)</f>
        <v>0</v>
      </c>
      <c r="U168">
        <f>IFERROR(COUNTIF(OFFSET('Schedule Raw Data'!$A$2,MATCH($A168,'Schedule Raw Data'!$A$3:$A$2477,0),1,COUNTIF('Schedule Raw Data'!$A$3:$A$2477,$A168),2),U$1),0)</f>
        <v>0</v>
      </c>
      <c r="V168">
        <f>IFERROR(COUNTIF(OFFSET('Schedule Raw Data'!$A$2,MATCH($A168,'Schedule Raw Data'!$A$3:$A$2477,0),1,COUNTIF('Schedule Raw Data'!$A$3:$A$2477,$A168),2),V$1),0)</f>
        <v>0</v>
      </c>
      <c r="W168">
        <f>IFERROR(COUNTIF(OFFSET('Schedule Raw Data'!$A$2,MATCH($A168,'Schedule Raw Data'!$A$3:$A$2477,0),1,COUNTIF('Schedule Raw Data'!$A$3:$A$2477,$A168),2),W$1),0)</f>
        <v>0</v>
      </c>
      <c r="X168">
        <f>IFERROR(COUNTIF(OFFSET('Schedule Raw Data'!$A$2,MATCH($A168,'Schedule Raw Data'!$A$3:$A$2477,0),1,COUNTIF('Schedule Raw Data'!$A$3:$A$2477,$A168),2),X$1),0)</f>
        <v>0</v>
      </c>
      <c r="Y168">
        <f>IFERROR(COUNTIF(OFFSET('Schedule Raw Data'!$A$2,MATCH($A168,'Schedule Raw Data'!$A$3:$A$2477,0),1,COUNTIF('Schedule Raw Data'!$A$3:$A$2477,$A168),2),Y$1),0)</f>
        <v>0</v>
      </c>
      <c r="Z168">
        <f>IFERROR(COUNTIF(OFFSET('Schedule Raw Data'!$A$2,MATCH($A168,'Schedule Raw Data'!$A$3:$A$2477,0),1,COUNTIF('Schedule Raw Data'!$A$3:$A$2477,$A168),2),Z$1),0)</f>
        <v>0</v>
      </c>
      <c r="AA168">
        <f>IFERROR(COUNTIF(OFFSET('Schedule Raw Data'!$A$2,MATCH($A168,'Schedule Raw Data'!$A$3:$A$2477,0),1,COUNTIF('Schedule Raw Data'!$A$3:$A$2477,$A168),2),AA$1),0)</f>
        <v>0</v>
      </c>
      <c r="AB168">
        <f>IFERROR(COUNTIF(OFFSET('Schedule Raw Data'!$A$2,MATCH($A168,'Schedule Raw Data'!$A$3:$A$2477,0),1,COUNTIF('Schedule Raw Data'!$A$3:$A$2477,$A168),2),AB$1),0)</f>
        <v>0</v>
      </c>
      <c r="AC168">
        <f>IFERROR(COUNTIF(OFFSET('Schedule Raw Data'!$A$2,MATCH($A168,'Schedule Raw Data'!$A$3:$A$2477,0),1,COUNTIF('Schedule Raw Data'!$A$3:$A$2477,$A168),2),AC$1),0)</f>
        <v>0</v>
      </c>
      <c r="AD168">
        <f>IFERROR(COUNTIF(OFFSET('Schedule Raw Data'!$A$2,MATCH($A168,'Schedule Raw Data'!$A$3:$A$2477,0),1,COUNTIF('Schedule Raw Data'!$A$3:$A$2477,$A168),2),AD$1),0)</f>
        <v>0</v>
      </c>
      <c r="AE168">
        <f>IFERROR(COUNTIF(OFFSET('Schedule Raw Data'!$A$2,MATCH($A168,'Schedule Raw Data'!$A$3:$A$2477,0),1,COUNTIF('Schedule Raw Data'!$A$3:$A$2477,$A168),2),AE$1),0)</f>
        <v>0</v>
      </c>
      <c r="AF168">
        <f>IFERROR(COUNTIF(OFFSET('Schedule Raw Data'!$A$2,MATCH($A168,'Schedule Raw Data'!$A$3:$A$2477,0),1,COUNTIF('Schedule Raw Data'!$A$3:$A$2477,$A168),2),AF$1),0)</f>
        <v>0</v>
      </c>
      <c r="AG168">
        <f t="shared" si="1"/>
        <v>0</v>
      </c>
    </row>
    <row r="169">
      <c r="A169" s="30" t="str">
        <f t="array" ref="A169">INDEX('Schedule Raw Data'!$A$3:$A$2477,MATCH(0,INDEX(COUNTIF($A$1:A168,'Schedule Raw Data'!$A$3:$A$2477),0,0),0))</f>
        <v/>
      </c>
      <c r="B169">
        <f t="shared" si="2"/>
        <v>24</v>
      </c>
      <c r="C169">
        <f>IFERROR(COUNTIF(OFFSET('Schedule Raw Data'!$A$2,MATCH($A169,'Schedule Raw Data'!$A$3:$A$2477,0),1,COUNTIF('Schedule Raw Data'!$A$3:$A$2477,$A169),2),C$1),0)</f>
        <v>0</v>
      </c>
      <c r="D169">
        <f>IFERROR(COUNTIF(OFFSET('Schedule Raw Data'!$A$2,MATCH($A169,'Schedule Raw Data'!$A$3:$A$2477,0),1,COUNTIF('Schedule Raw Data'!$A$3:$A$2477,$A169),2),D$1),0)</f>
        <v>0</v>
      </c>
      <c r="E169">
        <f>IFERROR(COUNTIF(OFFSET('Schedule Raw Data'!$A$2,MATCH($A169,'Schedule Raw Data'!$A$3:$A$2477,0),1,COUNTIF('Schedule Raw Data'!$A$3:$A$2477,$A169),2),E$1),0)</f>
        <v>0</v>
      </c>
      <c r="F169">
        <f>IFERROR(COUNTIF(OFFSET('Schedule Raw Data'!$A$2,MATCH($A169,'Schedule Raw Data'!$A$3:$A$2477,0),1,COUNTIF('Schedule Raw Data'!$A$3:$A$2477,$A169),2),F$1),0)</f>
        <v>0</v>
      </c>
      <c r="G169">
        <f>IFERROR(COUNTIF(OFFSET('Schedule Raw Data'!$A$2,MATCH($A169,'Schedule Raw Data'!$A$3:$A$2477,0),1,COUNTIF('Schedule Raw Data'!$A$3:$A$2477,$A169),2),G$1),0)</f>
        <v>0</v>
      </c>
      <c r="H169">
        <f>IFERROR(COUNTIF(OFFSET('Schedule Raw Data'!$A$2,MATCH($A169,'Schedule Raw Data'!$A$3:$A$2477,0),1,COUNTIF('Schedule Raw Data'!$A$3:$A$2477,$A169),2),H$1),0)</f>
        <v>0</v>
      </c>
      <c r="I169">
        <f>IFERROR(COUNTIF(OFFSET('Schedule Raw Data'!$A$2,MATCH($A169,'Schedule Raw Data'!$A$3:$A$2477,0),1,COUNTIF('Schedule Raw Data'!$A$3:$A$2477,$A169),2),I$1),0)</f>
        <v>0</v>
      </c>
      <c r="J169">
        <f>IFERROR(COUNTIF(OFFSET('Schedule Raw Data'!$A$2,MATCH($A169,'Schedule Raw Data'!$A$3:$A$2477,0),1,COUNTIF('Schedule Raw Data'!$A$3:$A$2477,$A169),2),J$1),0)</f>
        <v>0</v>
      </c>
      <c r="K169">
        <f>IFERROR(COUNTIF(OFFSET('Schedule Raw Data'!$A$2,MATCH($A169,'Schedule Raw Data'!$A$3:$A$2477,0),1,COUNTIF('Schedule Raw Data'!$A$3:$A$2477,$A169),2),K$1),0)</f>
        <v>0</v>
      </c>
      <c r="L169">
        <f>IFERROR(COUNTIF(OFFSET('Schedule Raw Data'!$A$2,MATCH($A169,'Schedule Raw Data'!$A$3:$A$2477,0),1,COUNTIF('Schedule Raw Data'!$A$3:$A$2477,$A169),2),L$1),0)</f>
        <v>0</v>
      </c>
      <c r="M169">
        <f>IFERROR(COUNTIF(OFFSET('Schedule Raw Data'!$A$2,MATCH($A169,'Schedule Raw Data'!$A$3:$A$2477,0),1,COUNTIF('Schedule Raw Data'!$A$3:$A$2477,$A169),2),M$1),0)</f>
        <v>0</v>
      </c>
      <c r="N169">
        <f>IFERROR(COUNTIF(OFFSET('Schedule Raw Data'!$A$2,MATCH($A169,'Schedule Raw Data'!$A$3:$A$2477,0),1,COUNTIF('Schedule Raw Data'!$A$3:$A$2477,$A169),2),N$1),0)</f>
        <v>0</v>
      </c>
      <c r="O169">
        <f>IFERROR(COUNTIF(OFFSET('Schedule Raw Data'!$A$2,MATCH($A169,'Schedule Raw Data'!$A$3:$A$2477,0),1,COUNTIF('Schedule Raw Data'!$A$3:$A$2477,$A169),2),O$1),0)</f>
        <v>0</v>
      </c>
      <c r="P169">
        <f>IFERROR(COUNTIF(OFFSET('Schedule Raw Data'!$A$2,MATCH($A169,'Schedule Raw Data'!$A$3:$A$2477,0),1,COUNTIF('Schedule Raw Data'!$A$3:$A$2477,$A169),2),P$1),0)</f>
        <v>0</v>
      </c>
      <c r="Q169">
        <f>IFERROR(COUNTIF(OFFSET('Schedule Raw Data'!$A$2,MATCH($A169,'Schedule Raw Data'!$A$3:$A$2477,0),1,COUNTIF('Schedule Raw Data'!$A$3:$A$2477,$A169),2),Q$1),0)</f>
        <v>0</v>
      </c>
      <c r="R169">
        <f>IFERROR(COUNTIF(OFFSET('Schedule Raw Data'!$A$2,MATCH($A169,'Schedule Raw Data'!$A$3:$A$2477,0),1,COUNTIF('Schedule Raw Data'!$A$3:$A$2477,$A169),2),R$1),0)</f>
        <v>0</v>
      </c>
      <c r="S169">
        <f>IFERROR(COUNTIF(OFFSET('Schedule Raw Data'!$A$2,MATCH($A169,'Schedule Raw Data'!$A$3:$A$2477,0),1,COUNTIF('Schedule Raw Data'!$A$3:$A$2477,$A169),2),S$1),0)</f>
        <v>0</v>
      </c>
      <c r="T169">
        <f>IFERROR(COUNTIF(OFFSET('Schedule Raw Data'!$A$2,MATCH($A169,'Schedule Raw Data'!$A$3:$A$2477,0),1,COUNTIF('Schedule Raw Data'!$A$3:$A$2477,$A169),2),T$1),0)</f>
        <v>0</v>
      </c>
      <c r="U169">
        <f>IFERROR(COUNTIF(OFFSET('Schedule Raw Data'!$A$2,MATCH($A169,'Schedule Raw Data'!$A$3:$A$2477,0),1,COUNTIF('Schedule Raw Data'!$A$3:$A$2477,$A169),2),U$1),0)</f>
        <v>0</v>
      </c>
      <c r="V169">
        <f>IFERROR(COUNTIF(OFFSET('Schedule Raw Data'!$A$2,MATCH($A169,'Schedule Raw Data'!$A$3:$A$2477,0),1,COUNTIF('Schedule Raw Data'!$A$3:$A$2477,$A169),2),V$1),0)</f>
        <v>0</v>
      </c>
      <c r="W169">
        <f>IFERROR(COUNTIF(OFFSET('Schedule Raw Data'!$A$2,MATCH($A169,'Schedule Raw Data'!$A$3:$A$2477,0),1,COUNTIF('Schedule Raw Data'!$A$3:$A$2477,$A169),2),W$1),0)</f>
        <v>0</v>
      </c>
      <c r="X169">
        <f>IFERROR(COUNTIF(OFFSET('Schedule Raw Data'!$A$2,MATCH($A169,'Schedule Raw Data'!$A$3:$A$2477,0),1,COUNTIF('Schedule Raw Data'!$A$3:$A$2477,$A169),2),X$1),0)</f>
        <v>0</v>
      </c>
      <c r="Y169">
        <f>IFERROR(COUNTIF(OFFSET('Schedule Raw Data'!$A$2,MATCH($A169,'Schedule Raw Data'!$A$3:$A$2477,0),1,COUNTIF('Schedule Raw Data'!$A$3:$A$2477,$A169),2),Y$1),0)</f>
        <v>0</v>
      </c>
      <c r="Z169">
        <f>IFERROR(COUNTIF(OFFSET('Schedule Raw Data'!$A$2,MATCH($A169,'Schedule Raw Data'!$A$3:$A$2477,0),1,COUNTIF('Schedule Raw Data'!$A$3:$A$2477,$A169),2),Z$1),0)</f>
        <v>0</v>
      </c>
      <c r="AA169">
        <f>IFERROR(COUNTIF(OFFSET('Schedule Raw Data'!$A$2,MATCH($A169,'Schedule Raw Data'!$A$3:$A$2477,0),1,COUNTIF('Schedule Raw Data'!$A$3:$A$2477,$A169),2),AA$1),0)</f>
        <v>0</v>
      </c>
      <c r="AB169">
        <f>IFERROR(COUNTIF(OFFSET('Schedule Raw Data'!$A$2,MATCH($A169,'Schedule Raw Data'!$A$3:$A$2477,0),1,COUNTIF('Schedule Raw Data'!$A$3:$A$2477,$A169),2),AB$1),0)</f>
        <v>0</v>
      </c>
      <c r="AC169">
        <f>IFERROR(COUNTIF(OFFSET('Schedule Raw Data'!$A$2,MATCH($A169,'Schedule Raw Data'!$A$3:$A$2477,0),1,COUNTIF('Schedule Raw Data'!$A$3:$A$2477,$A169),2),AC$1),0)</f>
        <v>0</v>
      </c>
      <c r="AD169">
        <f>IFERROR(COUNTIF(OFFSET('Schedule Raw Data'!$A$2,MATCH($A169,'Schedule Raw Data'!$A$3:$A$2477,0),1,COUNTIF('Schedule Raw Data'!$A$3:$A$2477,$A169),2),AD$1),0)</f>
        <v>0</v>
      </c>
      <c r="AE169">
        <f>IFERROR(COUNTIF(OFFSET('Schedule Raw Data'!$A$2,MATCH($A169,'Schedule Raw Data'!$A$3:$A$2477,0),1,COUNTIF('Schedule Raw Data'!$A$3:$A$2477,$A169),2),AE$1),0)</f>
        <v>0</v>
      </c>
      <c r="AF169">
        <f>IFERROR(COUNTIF(OFFSET('Schedule Raw Data'!$A$2,MATCH($A169,'Schedule Raw Data'!$A$3:$A$2477,0),1,COUNTIF('Schedule Raw Data'!$A$3:$A$2477,$A169),2),AF$1),0)</f>
        <v>0</v>
      </c>
      <c r="AG169">
        <f t="shared" si="1"/>
        <v>0</v>
      </c>
    </row>
    <row r="170">
      <c r="A170" s="30" t="str">
        <f t="array" ref="A170">INDEX('Schedule Raw Data'!$A$3:$A$2477,MATCH(0,INDEX(COUNTIF($A$1:A169,'Schedule Raw Data'!$A$3:$A$2477),0,0),0))</f>
        <v/>
      </c>
      <c r="B170">
        <f t="shared" si="2"/>
        <v>24</v>
      </c>
      <c r="C170">
        <f>IFERROR(COUNTIF(OFFSET('Schedule Raw Data'!$A$2,MATCH($A170,'Schedule Raw Data'!$A$3:$A$2477,0),1,COUNTIF('Schedule Raw Data'!$A$3:$A$2477,$A170),2),C$1),0)</f>
        <v>0</v>
      </c>
      <c r="D170">
        <f>IFERROR(COUNTIF(OFFSET('Schedule Raw Data'!$A$2,MATCH($A170,'Schedule Raw Data'!$A$3:$A$2477,0),1,COUNTIF('Schedule Raw Data'!$A$3:$A$2477,$A170),2),D$1),0)</f>
        <v>0</v>
      </c>
      <c r="E170">
        <f>IFERROR(COUNTIF(OFFSET('Schedule Raw Data'!$A$2,MATCH($A170,'Schedule Raw Data'!$A$3:$A$2477,0),1,COUNTIF('Schedule Raw Data'!$A$3:$A$2477,$A170),2),E$1),0)</f>
        <v>0</v>
      </c>
      <c r="F170">
        <f>IFERROR(COUNTIF(OFFSET('Schedule Raw Data'!$A$2,MATCH($A170,'Schedule Raw Data'!$A$3:$A$2477,0),1,COUNTIF('Schedule Raw Data'!$A$3:$A$2477,$A170),2),F$1),0)</f>
        <v>0</v>
      </c>
      <c r="G170">
        <f>IFERROR(COUNTIF(OFFSET('Schedule Raw Data'!$A$2,MATCH($A170,'Schedule Raw Data'!$A$3:$A$2477,0),1,COUNTIF('Schedule Raw Data'!$A$3:$A$2477,$A170),2),G$1),0)</f>
        <v>0</v>
      </c>
      <c r="H170">
        <f>IFERROR(COUNTIF(OFFSET('Schedule Raw Data'!$A$2,MATCH($A170,'Schedule Raw Data'!$A$3:$A$2477,0),1,COUNTIF('Schedule Raw Data'!$A$3:$A$2477,$A170),2),H$1),0)</f>
        <v>0</v>
      </c>
      <c r="I170">
        <f>IFERROR(COUNTIF(OFFSET('Schedule Raw Data'!$A$2,MATCH($A170,'Schedule Raw Data'!$A$3:$A$2477,0),1,COUNTIF('Schedule Raw Data'!$A$3:$A$2477,$A170),2),I$1),0)</f>
        <v>0</v>
      </c>
      <c r="J170">
        <f>IFERROR(COUNTIF(OFFSET('Schedule Raw Data'!$A$2,MATCH($A170,'Schedule Raw Data'!$A$3:$A$2477,0),1,COUNTIF('Schedule Raw Data'!$A$3:$A$2477,$A170),2),J$1),0)</f>
        <v>0</v>
      </c>
      <c r="K170">
        <f>IFERROR(COUNTIF(OFFSET('Schedule Raw Data'!$A$2,MATCH($A170,'Schedule Raw Data'!$A$3:$A$2477,0),1,COUNTIF('Schedule Raw Data'!$A$3:$A$2477,$A170),2),K$1),0)</f>
        <v>0</v>
      </c>
      <c r="L170">
        <f>IFERROR(COUNTIF(OFFSET('Schedule Raw Data'!$A$2,MATCH($A170,'Schedule Raw Data'!$A$3:$A$2477,0),1,COUNTIF('Schedule Raw Data'!$A$3:$A$2477,$A170),2),L$1),0)</f>
        <v>0</v>
      </c>
      <c r="M170">
        <f>IFERROR(COUNTIF(OFFSET('Schedule Raw Data'!$A$2,MATCH($A170,'Schedule Raw Data'!$A$3:$A$2477,0),1,COUNTIF('Schedule Raw Data'!$A$3:$A$2477,$A170),2),M$1),0)</f>
        <v>0</v>
      </c>
      <c r="N170">
        <f>IFERROR(COUNTIF(OFFSET('Schedule Raw Data'!$A$2,MATCH($A170,'Schedule Raw Data'!$A$3:$A$2477,0),1,COUNTIF('Schedule Raw Data'!$A$3:$A$2477,$A170),2),N$1),0)</f>
        <v>0</v>
      </c>
      <c r="O170">
        <f>IFERROR(COUNTIF(OFFSET('Schedule Raw Data'!$A$2,MATCH($A170,'Schedule Raw Data'!$A$3:$A$2477,0),1,COUNTIF('Schedule Raw Data'!$A$3:$A$2477,$A170),2),O$1),0)</f>
        <v>0</v>
      </c>
      <c r="P170">
        <f>IFERROR(COUNTIF(OFFSET('Schedule Raw Data'!$A$2,MATCH($A170,'Schedule Raw Data'!$A$3:$A$2477,0),1,COUNTIF('Schedule Raw Data'!$A$3:$A$2477,$A170),2),P$1),0)</f>
        <v>0</v>
      </c>
      <c r="Q170">
        <f>IFERROR(COUNTIF(OFFSET('Schedule Raw Data'!$A$2,MATCH($A170,'Schedule Raw Data'!$A$3:$A$2477,0),1,COUNTIF('Schedule Raw Data'!$A$3:$A$2477,$A170),2),Q$1),0)</f>
        <v>0</v>
      </c>
      <c r="R170">
        <f>IFERROR(COUNTIF(OFFSET('Schedule Raw Data'!$A$2,MATCH($A170,'Schedule Raw Data'!$A$3:$A$2477,0),1,COUNTIF('Schedule Raw Data'!$A$3:$A$2477,$A170),2),R$1),0)</f>
        <v>0</v>
      </c>
      <c r="S170">
        <f>IFERROR(COUNTIF(OFFSET('Schedule Raw Data'!$A$2,MATCH($A170,'Schedule Raw Data'!$A$3:$A$2477,0),1,COUNTIF('Schedule Raw Data'!$A$3:$A$2477,$A170),2),S$1),0)</f>
        <v>0</v>
      </c>
      <c r="T170">
        <f>IFERROR(COUNTIF(OFFSET('Schedule Raw Data'!$A$2,MATCH($A170,'Schedule Raw Data'!$A$3:$A$2477,0),1,COUNTIF('Schedule Raw Data'!$A$3:$A$2477,$A170),2),T$1),0)</f>
        <v>0</v>
      </c>
      <c r="U170">
        <f>IFERROR(COUNTIF(OFFSET('Schedule Raw Data'!$A$2,MATCH($A170,'Schedule Raw Data'!$A$3:$A$2477,0),1,COUNTIF('Schedule Raw Data'!$A$3:$A$2477,$A170),2),U$1),0)</f>
        <v>0</v>
      </c>
      <c r="V170">
        <f>IFERROR(COUNTIF(OFFSET('Schedule Raw Data'!$A$2,MATCH($A170,'Schedule Raw Data'!$A$3:$A$2477,0),1,COUNTIF('Schedule Raw Data'!$A$3:$A$2477,$A170),2),V$1),0)</f>
        <v>0</v>
      </c>
      <c r="W170">
        <f>IFERROR(COUNTIF(OFFSET('Schedule Raw Data'!$A$2,MATCH($A170,'Schedule Raw Data'!$A$3:$A$2477,0),1,COUNTIF('Schedule Raw Data'!$A$3:$A$2477,$A170),2),W$1),0)</f>
        <v>0</v>
      </c>
      <c r="X170">
        <f>IFERROR(COUNTIF(OFFSET('Schedule Raw Data'!$A$2,MATCH($A170,'Schedule Raw Data'!$A$3:$A$2477,0),1,COUNTIF('Schedule Raw Data'!$A$3:$A$2477,$A170),2),X$1),0)</f>
        <v>0</v>
      </c>
      <c r="Y170">
        <f>IFERROR(COUNTIF(OFFSET('Schedule Raw Data'!$A$2,MATCH($A170,'Schedule Raw Data'!$A$3:$A$2477,0),1,COUNTIF('Schedule Raw Data'!$A$3:$A$2477,$A170),2),Y$1),0)</f>
        <v>0</v>
      </c>
      <c r="Z170">
        <f>IFERROR(COUNTIF(OFFSET('Schedule Raw Data'!$A$2,MATCH($A170,'Schedule Raw Data'!$A$3:$A$2477,0),1,COUNTIF('Schedule Raw Data'!$A$3:$A$2477,$A170),2),Z$1),0)</f>
        <v>0</v>
      </c>
      <c r="AA170">
        <f>IFERROR(COUNTIF(OFFSET('Schedule Raw Data'!$A$2,MATCH($A170,'Schedule Raw Data'!$A$3:$A$2477,0),1,COUNTIF('Schedule Raw Data'!$A$3:$A$2477,$A170),2),AA$1),0)</f>
        <v>0</v>
      </c>
      <c r="AB170">
        <f>IFERROR(COUNTIF(OFFSET('Schedule Raw Data'!$A$2,MATCH($A170,'Schedule Raw Data'!$A$3:$A$2477,0),1,COUNTIF('Schedule Raw Data'!$A$3:$A$2477,$A170),2),AB$1),0)</f>
        <v>0</v>
      </c>
      <c r="AC170">
        <f>IFERROR(COUNTIF(OFFSET('Schedule Raw Data'!$A$2,MATCH($A170,'Schedule Raw Data'!$A$3:$A$2477,0),1,COUNTIF('Schedule Raw Data'!$A$3:$A$2477,$A170),2),AC$1),0)</f>
        <v>0</v>
      </c>
      <c r="AD170">
        <f>IFERROR(COUNTIF(OFFSET('Schedule Raw Data'!$A$2,MATCH($A170,'Schedule Raw Data'!$A$3:$A$2477,0),1,COUNTIF('Schedule Raw Data'!$A$3:$A$2477,$A170),2),AD$1),0)</f>
        <v>0</v>
      </c>
      <c r="AE170">
        <f>IFERROR(COUNTIF(OFFSET('Schedule Raw Data'!$A$2,MATCH($A170,'Schedule Raw Data'!$A$3:$A$2477,0),1,COUNTIF('Schedule Raw Data'!$A$3:$A$2477,$A170),2),AE$1),0)</f>
        <v>0</v>
      </c>
      <c r="AF170">
        <f>IFERROR(COUNTIF(OFFSET('Schedule Raw Data'!$A$2,MATCH($A170,'Schedule Raw Data'!$A$3:$A$2477,0),1,COUNTIF('Schedule Raw Data'!$A$3:$A$2477,$A170),2),AF$1),0)</f>
        <v>0</v>
      </c>
      <c r="AG170">
        <f t="shared" si="1"/>
        <v>0</v>
      </c>
    </row>
    <row r="171">
      <c r="A171" s="30" t="str">
        <f t="array" ref="A171">INDEX('Schedule Raw Data'!$A$3:$A$2477,MATCH(0,INDEX(COUNTIF($A$1:A170,'Schedule Raw Data'!$A$3:$A$2477),0,0),0))</f>
        <v/>
      </c>
      <c r="B171">
        <f t="shared" si="2"/>
        <v>24</v>
      </c>
      <c r="C171">
        <f>IFERROR(COUNTIF(OFFSET('Schedule Raw Data'!$A$2,MATCH($A171,'Schedule Raw Data'!$A$3:$A$2477,0),1,COUNTIF('Schedule Raw Data'!$A$3:$A$2477,$A171),2),C$1),0)</f>
        <v>0</v>
      </c>
      <c r="D171">
        <f>IFERROR(COUNTIF(OFFSET('Schedule Raw Data'!$A$2,MATCH($A171,'Schedule Raw Data'!$A$3:$A$2477,0),1,COUNTIF('Schedule Raw Data'!$A$3:$A$2477,$A171),2),D$1),0)</f>
        <v>0</v>
      </c>
      <c r="E171">
        <f>IFERROR(COUNTIF(OFFSET('Schedule Raw Data'!$A$2,MATCH($A171,'Schedule Raw Data'!$A$3:$A$2477,0),1,COUNTIF('Schedule Raw Data'!$A$3:$A$2477,$A171),2),E$1),0)</f>
        <v>0</v>
      </c>
      <c r="F171">
        <f>IFERROR(COUNTIF(OFFSET('Schedule Raw Data'!$A$2,MATCH($A171,'Schedule Raw Data'!$A$3:$A$2477,0),1,COUNTIF('Schedule Raw Data'!$A$3:$A$2477,$A171),2),F$1),0)</f>
        <v>0</v>
      </c>
      <c r="G171">
        <f>IFERROR(COUNTIF(OFFSET('Schedule Raw Data'!$A$2,MATCH($A171,'Schedule Raw Data'!$A$3:$A$2477,0),1,COUNTIF('Schedule Raw Data'!$A$3:$A$2477,$A171),2),G$1),0)</f>
        <v>0</v>
      </c>
      <c r="H171">
        <f>IFERROR(COUNTIF(OFFSET('Schedule Raw Data'!$A$2,MATCH($A171,'Schedule Raw Data'!$A$3:$A$2477,0),1,COUNTIF('Schedule Raw Data'!$A$3:$A$2477,$A171),2),H$1),0)</f>
        <v>0</v>
      </c>
      <c r="I171">
        <f>IFERROR(COUNTIF(OFFSET('Schedule Raw Data'!$A$2,MATCH($A171,'Schedule Raw Data'!$A$3:$A$2477,0),1,COUNTIF('Schedule Raw Data'!$A$3:$A$2477,$A171),2),I$1),0)</f>
        <v>0</v>
      </c>
      <c r="J171">
        <f>IFERROR(COUNTIF(OFFSET('Schedule Raw Data'!$A$2,MATCH($A171,'Schedule Raw Data'!$A$3:$A$2477,0),1,COUNTIF('Schedule Raw Data'!$A$3:$A$2477,$A171),2),J$1),0)</f>
        <v>0</v>
      </c>
      <c r="K171">
        <f>IFERROR(COUNTIF(OFFSET('Schedule Raw Data'!$A$2,MATCH($A171,'Schedule Raw Data'!$A$3:$A$2477,0),1,COUNTIF('Schedule Raw Data'!$A$3:$A$2477,$A171),2),K$1),0)</f>
        <v>0</v>
      </c>
      <c r="L171">
        <f>IFERROR(COUNTIF(OFFSET('Schedule Raw Data'!$A$2,MATCH($A171,'Schedule Raw Data'!$A$3:$A$2477,0),1,COUNTIF('Schedule Raw Data'!$A$3:$A$2477,$A171),2),L$1),0)</f>
        <v>0</v>
      </c>
      <c r="M171">
        <f>IFERROR(COUNTIF(OFFSET('Schedule Raw Data'!$A$2,MATCH($A171,'Schedule Raw Data'!$A$3:$A$2477,0),1,COUNTIF('Schedule Raw Data'!$A$3:$A$2477,$A171),2),M$1),0)</f>
        <v>0</v>
      </c>
      <c r="N171">
        <f>IFERROR(COUNTIF(OFFSET('Schedule Raw Data'!$A$2,MATCH($A171,'Schedule Raw Data'!$A$3:$A$2477,0),1,COUNTIF('Schedule Raw Data'!$A$3:$A$2477,$A171),2),N$1),0)</f>
        <v>0</v>
      </c>
      <c r="O171">
        <f>IFERROR(COUNTIF(OFFSET('Schedule Raw Data'!$A$2,MATCH($A171,'Schedule Raw Data'!$A$3:$A$2477,0),1,COUNTIF('Schedule Raw Data'!$A$3:$A$2477,$A171),2),O$1),0)</f>
        <v>0</v>
      </c>
      <c r="P171">
        <f>IFERROR(COUNTIF(OFFSET('Schedule Raw Data'!$A$2,MATCH($A171,'Schedule Raw Data'!$A$3:$A$2477,0),1,COUNTIF('Schedule Raw Data'!$A$3:$A$2477,$A171),2),P$1),0)</f>
        <v>0</v>
      </c>
      <c r="Q171">
        <f>IFERROR(COUNTIF(OFFSET('Schedule Raw Data'!$A$2,MATCH($A171,'Schedule Raw Data'!$A$3:$A$2477,0),1,COUNTIF('Schedule Raw Data'!$A$3:$A$2477,$A171),2),Q$1),0)</f>
        <v>0</v>
      </c>
      <c r="R171">
        <f>IFERROR(COUNTIF(OFFSET('Schedule Raw Data'!$A$2,MATCH($A171,'Schedule Raw Data'!$A$3:$A$2477,0),1,COUNTIF('Schedule Raw Data'!$A$3:$A$2477,$A171),2),R$1),0)</f>
        <v>0</v>
      </c>
      <c r="S171">
        <f>IFERROR(COUNTIF(OFFSET('Schedule Raw Data'!$A$2,MATCH($A171,'Schedule Raw Data'!$A$3:$A$2477,0),1,COUNTIF('Schedule Raw Data'!$A$3:$A$2477,$A171),2),S$1),0)</f>
        <v>0</v>
      </c>
      <c r="T171">
        <f>IFERROR(COUNTIF(OFFSET('Schedule Raw Data'!$A$2,MATCH($A171,'Schedule Raw Data'!$A$3:$A$2477,0),1,COUNTIF('Schedule Raw Data'!$A$3:$A$2477,$A171),2),T$1),0)</f>
        <v>0</v>
      </c>
      <c r="U171">
        <f>IFERROR(COUNTIF(OFFSET('Schedule Raw Data'!$A$2,MATCH($A171,'Schedule Raw Data'!$A$3:$A$2477,0),1,COUNTIF('Schedule Raw Data'!$A$3:$A$2477,$A171),2),U$1),0)</f>
        <v>0</v>
      </c>
      <c r="V171">
        <f>IFERROR(COUNTIF(OFFSET('Schedule Raw Data'!$A$2,MATCH($A171,'Schedule Raw Data'!$A$3:$A$2477,0),1,COUNTIF('Schedule Raw Data'!$A$3:$A$2477,$A171),2),V$1),0)</f>
        <v>0</v>
      </c>
      <c r="W171">
        <f>IFERROR(COUNTIF(OFFSET('Schedule Raw Data'!$A$2,MATCH($A171,'Schedule Raw Data'!$A$3:$A$2477,0),1,COUNTIF('Schedule Raw Data'!$A$3:$A$2477,$A171),2),W$1),0)</f>
        <v>0</v>
      </c>
      <c r="X171">
        <f>IFERROR(COUNTIF(OFFSET('Schedule Raw Data'!$A$2,MATCH($A171,'Schedule Raw Data'!$A$3:$A$2477,0),1,COUNTIF('Schedule Raw Data'!$A$3:$A$2477,$A171),2),X$1),0)</f>
        <v>0</v>
      </c>
      <c r="Y171">
        <f>IFERROR(COUNTIF(OFFSET('Schedule Raw Data'!$A$2,MATCH($A171,'Schedule Raw Data'!$A$3:$A$2477,0),1,COUNTIF('Schedule Raw Data'!$A$3:$A$2477,$A171),2),Y$1),0)</f>
        <v>0</v>
      </c>
      <c r="Z171">
        <f>IFERROR(COUNTIF(OFFSET('Schedule Raw Data'!$A$2,MATCH($A171,'Schedule Raw Data'!$A$3:$A$2477,0),1,COUNTIF('Schedule Raw Data'!$A$3:$A$2477,$A171),2),Z$1),0)</f>
        <v>0</v>
      </c>
      <c r="AA171">
        <f>IFERROR(COUNTIF(OFFSET('Schedule Raw Data'!$A$2,MATCH($A171,'Schedule Raw Data'!$A$3:$A$2477,0),1,COUNTIF('Schedule Raw Data'!$A$3:$A$2477,$A171),2),AA$1),0)</f>
        <v>0</v>
      </c>
      <c r="AB171">
        <f>IFERROR(COUNTIF(OFFSET('Schedule Raw Data'!$A$2,MATCH($A171,'Schedule Raw Data'!$A$3:$A$2477,0),1,COUNTIF('Schedule Raw Data'!$A$3:$A$2477,$A171),2),AB$1),0)</f>
        <v>0</v>
      </c>
      <c r="AC171">
        <f>IFERROR(COUNTIF(OFFSET('Schedule Raw Data'!$A$2,MATCH($A171,'Schedule Raw Data'!$A$3:$A$2477,0),1,COUNTIF('Schedule Raw Data'!$A$3:$A$2477,$A171),2),AC$1),0)</f>
        <v>0</v>
      </c>
      <c r="AD171">
        <f>IFERROR(COUNTIF(OFFSET('Schedule Raw Data'!$A$2,MATCH($A171,'Schedule Raw Data'!$A$3:$A$2477,0),1,COUNTIF('Schedule Raw Data'!$A$3:$A$2477,$A171),2),AD$1),0)</f>
        <v>0</v>
      </c>
      <c r="AE171">
        <f>IFERROR(COUNTIF(OFFSET('Schedule Raw Data'!$A$2,MATCH($A171,'Schedule Raw Data'!$A$3:$A$2477,0),1,COUNTIF('Schedule Raw Data'!$A$3:$A$2477,$A171),2),AE$1),0)</f>
        <v>0</v>
      </c>
      <c r="AF171">
        <f>IFERROR(COUNTIF(OFFSET('Schedule Raw Data'!$A$2,MATCH($A171,'Schedule Raw Data'!$A$3:$A$2477,0),1,COUNTIF('Schedule Raw Data'!$A$3:$A$2477,$A171),2),AF$1),0)</f>
        <v>0</v>
      </c>
      <c r="AG171">
        <f t="shared" si="1"/>
        <v>0</v>
      </c>
    </row>
    <row r="172">
      <c r="A172" s="30" t="str">
        <f t="array" ref="A172">INDEX('Schedule Raw Data'!$A$3:$A$2477,MATCH(0,INDEX(COUNTIF($A$1:A171,'Schedule Raw Data'!$A$3:$A$2477),0,0),0))</f>
        <v/>
      </c>
      <c r="B172">
        <f t="shared" si="2"/>
        <v>24</v>
      </c>
      <c r="C172">
        <f>IFERROR(COUNTIF(OFFSET('Schedule Raw Data'!$A$2,MATCH($A172,'Schedule Raw Data'!$A$3:$A$2477,0),1,COUNTIF('Schedule Raw Data'!$A$3:$A$2477,$A172),2),C$1),0)</f>
        <v>0</v>
      </c>
      <c r="D172">
        <f>IFERROR(COUNTIF(OFFSET('Schedule Raw Data'!$A$2,MATCH($A172,'Schedule Raw Data'!$A$3:$A$2477,0),1,COUNTIF('Schedule Raw Data'!$A$3:$A$2477,$A172),2),D$1),0)</f>
        <v>0</v>
      </c>
      <c r="E172">
        <f>IFERROR(COUNTIF(OFFSET('Schedule Raw Data'!$A$2,MATCH($A172,'Schedule Raw Data'!$A$3:$A$2477,0),1,COUNTIF('Schedule Raw Data'!$A$3:$A$2477,$A172),2),E$1),0)</f>
        <v>0</v>
      </c>
      <c r="F172">
        <f>IFERROR(COUNTIF(OFFSET('Schedule Raw Data'!$A$2,MATCH($A172,'Schedule Raw Data'!$A$3:$A$2477,0),1,COUNTIF('Schedule Raw Data'!$A$3:$A$2477,$A172),2),F$1),0)</f>
        <v>0</v>
      </c>
      <c r="G172">
        <f>IFERROR(COUNTIF(OFFSET('Schedule Raw Data'!$A$2,MATCH($A172,'Schedule Raw Data'!$A$3:$A$2477,0),1,COUNTIF('Schedule Raw Data'!$A$3:$A$2477,$A172),2),G$1),0)</f>
        <v>0</v>
      </c>
      <c r="H172">
        <f>IFERROR(COUNTIF(OFFSET('Schedule Raw Data'!$A$2,MATCH($A172,'Schedule Raw Data'!$A$3:$A$2477,0),1,COUNTIF('Schedule Raw Data'!$A$3:$A$2477,$A172),2),H$1),0)</f>
        <v>0</v>
      </c>
      <c r="I172">
        <f>IFERROR(COUNTIF(OFFSET('Schedule Raw Data'!$A$2,MATCH($A172,'Schedule Raw Data'!$A$3:$A$2477,0),1,COUNTIF('Schedule Raw Data'!$A$3:$A$2477,$A172),2),I$1),0)</f>
        <v>0</v>
      </c>
      <c r="J172">
        <f>IFERROR(COUNTIF(OFFSET('Schedule Raw Data'!$A$2,MATCH($A172,'Schedule Raw Data'!$A$3:$A$2477,0),1,COUNTIF('Schedule Raw Data'!$A$3:$A$2477,$A172),2),J$1),0)</f>
        <v>0</v>
      </c>
      <c r="K172">
        <f>IFERROR(COUNTIF(OFFSET('Schedule Raw Data'!$A$2,MATCH($A172,'Schedule Raw Data'!$A$3:$A$2477,0),1,COUNTIF('Schedule Raw Data'!$A$3:$A$2477,$A172),2),K$1),0)</f>
        <v>0</v>
      </c>
      <c r="L172">
        <f>IFERROR(COUNTIF(OFFSET('Schedule Raw Data'!$A$2,MATCH($A172,'Schedule Raw Data'!$A$3:$A$2477,0),1,COUNTIF('Schedule Raw Data'!$A$3:$A$2477,$A172),2),L$1),0)</f>
        <v>0</v>
      </c>
      <c r="M172">
        <f>IFERROR(COUNTIF(OFFSET('Schedule Raw Data'!$A$2,MATCH($A172,'Schedule Raw Data'!$A$3:$A$2477,0),1,COUNTIF('Schedule Raw Data'!$A$3:$A$2477,$A172),2),M$1),0)</f>
        <v>0</v>
      </c>
      <c r="N172">
        <f>IFERROR(COUNTIF(OFFSET('Schedule Raw Data'!$A$2,MATCH($A172,'Schedule Raw Data'!$A$3:$A$2477,0),1,COUNTIF('Schedule Raw Data'!$A$3:$A$2477,$A172),2),N$1),0)</f>
        <v>0</v>
      </c>
      <c r="O172">
        <f>IFERROR(COUNTIF(OFFSET('Schedule Raw Data'!$A$2,MATCH($A172,'Schedule Raw Data'!$A$3:$A$2477,0),1,COUNTIF('Schedule Raw Data'!$A$3:$A$2477,$A172),2),O$1),0)</f>
        <v>0</v>
      </c>
      <c r="P172">
        <f>IFERROR(COUNTIF(OFFSET('Schedule Raw Data'!$A$2,MATCH($A172,'Schedule Raw Data'!$A$3:$A$2477,0),1,COUNTIF('Schedule Raw Data'!$A$3:$A$2477,$A172),2),P$1),0)</f>
        <v>0</v>
      </c>
      <c r="Q172">
        <f>IFERROR(COUNTIF(OFFSET('Schedule Raw Data'!$A$2,MATCH($A172,'Schedule Raw Data'!$A$3:$A$2477,0),1,COUNTIF('Schedule Raw Data'!$A$3:$A$2477,$A172),2),Q$1),0)</f>
        <v>0</v>
      </c>
      <c r="R172">
        <f>IFERROR(COUNTIF(OFFSET('Schedule Raw Data'!$A$2,MATCH($A172,'Schedule Raw Data'!$A$3:$A$2477,0),1,COUNTIF('Schedule Raw Data'!$A$3:$A$2477,$A172),2),R$1),0)</f>
        <v>0</v>
      </c>
      <c r="S172">
        <f>IFERROR(COUNTIF(OFFSET('Schedule Raw Data'!$A$2,MATCH($A172,'Schedule Raw Data'!$A$3:$A$2477,0),1,COUNTIF('Schedule Raw Data'!$A$3:$A$2477,$A172),2),S$1),0)</f>
        <v>0</v>
      </c>
      <c r="T172">
        <f>IFERROR(COUNTIF(OFFSET('Schedule Raw Data'!$A$2,MATCH($A172,'Schedule Raw Data'!$A$3:$A$2477,0),1,COUNTIF('Schedule Raw Data'!$A$3:$A$2477,$A172),2),T$1),0)</f>
        <v>0</v>
      </c>
      <c r="U172">
        <f>IFERROR(COUNTIF(OFFSET('Schedule Raw Data'!$A$2,MATCH($A172,'Schedule Raw Data'!$A$3:$A$2477,0),1,COUNTIF('Schedule Raw Data'!$A$3:$A$2477,$A172),2),U$1),0)</f>
        <v>0</v>
      </c>
      <c r="V172">
        <f>IFERROR(COUNTIF(OFFSET('Schedule Raw Data'!$A$2,MATCH($A172,'Schedule Raw Data'!$A$3:$A$2477,0),1,COUNTIF('Schedule Raw Data'!$A$3:$A$2477,$A172),2),V$1),0)</f>
        <v>0</v>
      </c>
      <c r="W172">
        <f>IFERROR(COUNTIF(OFFSET('Schedule Raw Data'!$A$2,MATCH($A172,'Schedule Raw Data'!$A$3:$A$2477,0),1,COUNTIF('Schedule Raw Data'!$A$3:$A$2477,$A172),2),W$1),0)</f>
        <v>0</v>
      </c>
      <c r="X172">
        <f>IFERROR(COUNTIF(OFFSET('Schedule Raw Data'!$A$2,MATCH($A172,'Schedule Raw Data'!$A$3:$A$2477,0),1,COUNTIF('Schedule Raw Data'!$A$3:$A$2477,$A172),2),X$1),0)</f>
        <v>0</v>
      </c>
      <c r="Y172">
        <f>IFERROR(COUNTIF(OFFSET('Schedule Raw Data'!$A$2,MATCH($A172,'Schedule Raw Data'!$A$3:$A$2477,0),1,COUNTIF('Schedule Raw Data'!$A$3:$A$2477,$A172),2),Y$1),0)</f>
        <v>0</v>
      </c>
      <c r="Z172">
        <f>IFERROR(COUNTIF(OFFSET('Schedule Raw Data'!$A$2,MATCH($A172,'Schedule Raw Data'!$A$3:$A$2477,0),1,COUNTIF('Schedule Raw Data'!$A$3:$A$2477,$A172),2),Z$1),0)</f>
        <v>0</v>
      </c>
      <c r="AA172">
        <f>IFERROR(COUNTIF(OFFSET('Schedule Raw Data'!$A$2,MATCH($A172,'Schedule Raw Data'!$A$3:$A$2477,0),1,COUNTIF('Schedule Raw Data'!$A$3:$A$2477,$A172),2),AA$1),0)</f>
        <v>0</v>
      </c>
      <c r="AB172">
        <f>IFERROR(COUNTIF(OFFSET('Schedule Raw Data'!$A$2,MATCH($A172,'Schedule Raw Data'!$A$3:$A$2477,0),1,COUNTIF('Schedule Raw Data'!$A$3:$A$2477,$A172),2),AB$1),0)</f>
        <v>0</v>
      </c>
      <c r="AC172">
        <f>IFERROR(COUNTIF(OFFSET('Schedule Raw Data'!$A$2,MATCH($A172,'Schedule Raw Data'!$A$3:$A$2477,0),1,COUNTIF('Schedule Raw Data'!$A$3:$A$2477,$A172),2),AC$1),0)</f>
        <v>0</v>
      </c>
      <c r="AD172">
        <f>IFERROR(COUNTIF(OFFSET('Schedule Raw Data'!$A$2,MATCH($A172,'Schedule Raw Data'!$A$3:$A$2477,0),1,COUNTIF('Schedule Raw Data'!$A$3:$A$2477,$A172),2),AD$1),0)</f>
        <v>0</v>
      </c>
      <c r="AE172">
        <f>IFERROR(COUNTIF(OFFSET('Schedule Raw Data'!$A$2,MATCH($A172,'Schedule Raw Data'!$A$3:$A$2477,0),1,COUNTIF('Schedule Raw Data'!$A$3:$A$2477,$A172),2),AE$1),0)</f>
        <v>0</v>
      </c>
      <c r="AF172">
        <f>IFERROR(COUNTIF(OFFSET('Schedule Raw Data'!$A$2,MATCH($A172,'Schedule Raw Data'!$A$3:$A$2477,0),1,COUNTIF('Schedule Raw Data'!$A$3:$A$2477,$A172),2),AF$1),0)</f>
        <v>0</v>
      </c>
      <c r="AG172">
        <f t="shared" si="1"/>
        <v>0</v>
      </c>
    </row>
    <row r="173">
      <c r="A173" s="30" t="str">
        <f t="array" ref="A173">INDEX('Schedule Raw Data'!$A$3:$A$2477,MATCH(0,INDEX(COUNTIF($A$1:A172,'Schedule Raw Data'!$A$3:$A$2477),0,0),0))</f>
        <v/>
      </c>
      <c r="B173">
        <f t="shared" si="2"/>
        <v>24</v>
      </c>
      <c r="C173">
        <f>IFERROR(COUNTIF(OFFSET('Schedule Raw Data'!$A$2,MATCH($A173,'Schedule Raw Data'!$A$3:$A$2477,0),1,COUNTIF('Schedule Raw Data'!$A$3:$A$2477,$A173),2),C$1),0)</f>
        <v>0</v>
      </c>
      <c r="D173">
        <f>IFERROR(COUNTIF(OFFSET('Schedule Raw Data'!$A$2,MATCH($A173,'Schedule Raw Data'!$A$3:$A$2477,0),1,COUNTIF('Schedule Raw Data'!$A$3:$A$2477,$A173),2),D$1),0)</f>
        <v>0</v>
      </c>
      <c r="E173">
        <f>IFERROR(COUNTIF(OFFSET('Schedule Raw Data'!$A$2,MATCH($A173,'Schedule Raw Data'!$A$3:$A$2477,0),1,COUNTIF('Schedule Raw Data'!$A$3:$A$2477,$A173),2),E$1),0)</f>
        <v>0</v>
      </c>
      <c r="F173">
        <f>IFERROR(COUNTIF(OFFSET('Schedule Raw Data'!$A$2,MATCH($A173,'Schedule Raw Data'!$A$3:$A$2477,0),1,COUNTIF('Schedule Raw Data'!$A$3:$A$2477,$A173),2),F$1),0)</f>
        <v>0</v>
      </c>
      <c r="G173">
        <f>IFERROR(COUNTIF(OFFSET('Schedule Raw Data'!$A$2,MATCH($A173,'Schedule Raw Data'!$A$3:$A$2477,0),1,COUNTIF('Schedule Raw Data'!$A$3:$A$2477,$A173),2),G$1),0)</f>
        <v>0</v>
      </c>
      <c r="H173">
        <f>IFERROR(COUNTIF(OFFSET('Schedule Raw Data'!$A$2,MATCH($A173,'Schedule Raw Data'!$A$3:$A$2477,0),1,COUNTIF('Schedule Raw Data'!$A$3:$A$2477,$A173),2),H$1),0)</f>
        <v>0</v>
      </c>
      <c r="I173">
        <f>IFERROR(COUNTIF(OFFSET('Schedule Raw Data'!$A$2,MATCH($A173,'Schedule Raw Data'!$A$3:$A$2477,0),1,COUNTIF('Schedule Raw Data'!$A$3:$A$2477,$A173),2),I$1),0)</f>
        <v>0</v>
      </c>
      <c r="J173">
        <f>IFERROR(COUNTIF(OFFSET('Schedule Raw Data'!$A$2,MATCH($A173,'Schedule Raw Data'!$A$3:$A$2477,0),1,COUNTIF('Schedule Raw Data'!$A$3:$A$2477,$A173),2),J$1),0)</f>
        <v>0</v>
      </c>
      <c r="K173">
        <f>IFERROR(COUNTIF(OFFSET('Schedule Raw Data'!$A$2,MATCH($A173,'Schedule Raw Data'!$A$3:$A$2477,0),1,COUNTIF('Schedule Raw Data'!$A$3:$A$2477,$A173),2),K$1),0)</f>
        <v>0</v>
      </c>
      <c r="L173">
        <f>IFERROR(COUNTIF(OFFSET('Schedule Raw Data'!$A$2,MATCH($A173,'Schedule Raw Data'!$A$3:$A$2477,0),1,COUNTIF('Schedule Raw Data'!$A$3:$A$2477,$A173),2),L$1),0)</f>
        <v>0</v>
      </c>
      <c r="M173">
        <f>IFERROR(COUNTIF(OFFSET('Schedule Raw Data'!$A$2,MATCH($A173,'Schedule Raw Data'!$A$3:$A$2477,0),1,COUNTIF('Schedule Raw Data'!$A$3:$A$2477,$A173),2),M$1),0)</f>
        <v>0</v>
      </c>
      <c r="N173">
        <f>IFERROR(COUNTIF(OFFSET('Schedule Raw Data'!$A$2,MATCH($A173,'Schedule Raw Data'!$A$3:$A$2477,0),1,COUNTIF('Schedule Raw Data'!$A$3:$A$2477,$A173),2),N$1),0)</f>
        <v>0</v>
      </c>
      <c r="O173">
        <f>IFERROR(COUNTIF(OFFSET('Schedule Raw Data'!$A$2,MATCH($A173,'Schedule Raw Data'!$A$3:$A$2477,0),1,COUNTIF('Schedule Raw Data'!$A$3:$A$2477,$A173),2),O$1),0)</f>
        <v>0</v>
      </c>
      <c r="P173">
        <f>IFERROR(COUNTIF(OFFSET('Schedule Raw Data'!$A$2,MATCH($A173,'Schedule Raw Data'!$A$3:$A$2477,0),1,COUNTIF('Schedule Raw Data'!$A$3:$A$2477,$A173),2),P$1),0)</f>
        <v>0</v>
      </c>
      <c r="Q173">
        <f>IFERROR(COUNTIF(OFFSET('Schedule Raw Data'!$A$2,MATCH($A173,'Schedule Raw Data'!$A$3:$A$2477,0),1,COUNTIF('Schedule Raw Data'!$A$3:$A$2477,$A173),2),Q$1),0)</f>
        <v>0</v>
      </c>
      <c r="R173">
        <f>IFERROR(COUNTIF(OFFSET('Schedule Raw Data'!$A$2,MATCH($A173,'Schedule Raw Data'!$A$3:$A$2477,0),1,COUNTIF('Schedule Raw Data'!$A$3:$A$2477,$A173),2),R$1),0)</f>
        <v>0</v>
      </c>
      <c r="S173">
        <f>IFERROR(COUNTIF(OFFSET('Schedule Raw Data'!$A$2,MATCH($A173,'Schedule Raw Data'!$A$3:$A$2477,0),1,COUNTIF('Schedule Raw Data'!$A$3:$A$2477,$A173),2),S$1),0)</f>
        <v>0</v>
      </c>
      <c r="T173">
        <f>IFERROR(COUNTIF(OFFSET('Schedule Raw Data'!$A$2,MATCH($A173,'Schedule Raw Data'!$A$3:$A$2477,0),1,COUNTIF('Schedule Raw Data'!$A$3:$A$2477,$A173),2),T$1),0)</f>
        <v>0</v>
      </c>
      <c r="U173">
        <f>IFERROR(COUNTIF(OFFSET('Schedule Raw Data'!$A$2,MATCH($A173,'Schedule Raw Data'!$A$3:$A$2477,0),1,COUNTIF('Schedule Raw Data'!$A$3:$A$2477,$A173),2),U$1),0)</f>
        <v>0</v>
      </c>
      <c r="V173">
        <f>IFERROR(COUNTIF(OFFSET('Schedule Raw Data'!$A$2,MATCH($A173,'Schedule Raw Data'!$A$3:$A$2477,0),1,COUNTIF('Schedule Raw Data'!$A$3:$A$2477,$A173),2),V$1),0)</f>
        <v>0</v>
      </c>
      <c r="W173">
        <f>IFERROR(COUNTIF(OFFSET('Schedule Raw Data'!$A$2,MATCH($A173,'Schedule Raw Data'!$A$3:$A$2477,0),1,COUNTIF('Schedule Raw Data'!$A$3:$A$2477,$A173),2),W$1),0)</f>
        <v>0</v>
      </c>
      <c r="X173">
        <f>IFERROR(COUNTIF(OFFSET('Schedule Raw Data'!$A$2,MATCH($A173,'Schedule Raw Data'!$A$3:$A$2477,0),1,COUNTIF('Schedule Raw Data'!$A$3:$A$2477,$A173),2),X$1),0)</f>
        <v>0</v>
      </c>
      <c r="Y173">
        <f>IFERROR(COUNTIF(OFFSET('Schedule Raw Data'!$A$2,MATCH($A173,'Schedule Raw Data'!$A$3:$A$2477,0),1,COUNTIF('Schedule Raw Data'!$A$3:$A$2477,$A173),2),Y$1),0)</f>
        <v>0</v>
      </c>
      <c r="Z173">
        <f>IFERROR(COUNTIF(OFFSET('Schedule Raw Data'!$A$2,MATCH($A173,'Schedule Raw Data'!$A$3:$A$2477,0),1,COUNTIF('Schedule Raw Data'!$A$3:$A$2477,$A173),2),Z$1),0)</f>
        <v>0</v>
      </c>
      <c r="AA173">
        <f>IFERROR(COUNTIF(OFFSET('Schedule Raw Data'!$A$2,MATCH($A173,'Schedule Raw Data'!$A$3:$A$2477,0),1,COUNTIF('Schedule Raw Data'!$A$3:$A$2477,$A173),2),AA$1),0)</f>
        <v>0</v>
      </c>
      <c r="AB173">
        <f>IFERROR(COUNTIF(OFFSET('Schedule Raw Data'!$A$2,MATCH($A173,'Schedule Raw Data'!$A$3:$A$2477,0),1,COUNTIF('Schedule Raw Data'!$A$3:$A$2477,$A173),2),AB$1),0)</f>
        <v>0</v>
      </c>
      <c r="AC173">
        <f>IFERROR(COUNTIF(OFFSET('Schedule Raw Data'!$A$2,MATCH($A173,'Schedule Raw Data'!$A$3:$A$2477,0),1,COUNTIF('Schedule Raw Data'!$A$3:$A$2477,$A173),2),AC$1),0)</f>
        <v>0</v>
      </c>
      <c r="AD173">
        <f>IFERROR(COUNTIF(OFFSET('Schedule Raw Data'!$A$2,MATCH($A173,'Schedule Raw Data'!$A$3:$A$2477,0),1,COUNTIF('Schedule Raw Data'!$A$3:$A$2477,$A173),2),AD$1),0)</f>
        <v>0</v>
      </c>
      <c r="AE173">
        <f>IFERROR(COUNTIF(OFFSET('Schedule Raw Data'!$A$2,MATCH($A173,'Schedule Raw Data'!$A$3:$A$2477,0),1,COUNTIF('Schedule Raw Data'!$A$3:$A$2477,$A173),2),AE$1),0)</f>
        <v>0</v>
      </c>
      <c r="AF173">
        <f>IFERROR(COUNTIF(OFFSET('Schedule Raw Data'!$A$2,MATCH($A173,'Schedule Raw Data'!$A$3:$A$2477,0),1,COUNTIF('Schedule Raw Data'!$A$3:$A$2477,$A173),2),AF$1),0)</f>
        <v>0</v>
      </c>
      <c r="AG173">
        <f t="shared" si="1"/>
        <v>0</v>
      </c>
    </row>
    <row r="174">
      <c r="A174" s="30" t="str">
        <f t="array" ref="A174">INDEX('Schedule Raw Data'!$A$3:$A$2477,MATCH(0,INDEX(COUNTIF($A$1:A173,'Schedule Raw Data'!$A$3:$A$2477),0,0),0))</f>
        <v/>
      </c>
      <c r="B174">
        <f t="shared" si="2"/>
        <v>24</v>
      </c>
      <c r="C174">
        <f>IFERROR(COUNTIF(OFFSET('Schedule Raw Data'!$A$2,MATCH($A174,'Schedule Raw Data'!$A$3:$A$2477,0),1,COUNTIF('Schedule Raw Data'!$A$3:$A$2477,$A174),2),C$1),0)</f>
        <v>0</v>
      </c>
      <c r="D174">
        <f>IFERROR(COUNTIF(OFFSET('Schedule Raw Data'!$A$2,MATCH($A174,'Schedule Raw Data'!$A$3:$A$2477,0),1,COUNTIF('Schedule Raw Data'!$A$3:$A$2477,$A174),2),D$1),0)</f>
        <v>0</v>
      </c>
      <c r="E174">
        <f>IFERROR(COUNTIF(OFFSET('Schedule Raw Data'!$A$2,MATCH($A174,'Schedule Raw Data'!$A$3:$A$2477,0),1,COUNTIF('Schedule Raw Data'!$A$3:$A$2477,$A174),2),E$1),0)</f>
        <v>0</v>
      </c>
      <c r="F174">
        <f>IFERROR(COUNTIF(OFFSET('Schedule Raw Data'!$A$2,MATCH($A174,'Schedule Raw Data'!$A$3:$A$2477,0),1,COUNTIF('Schedule Raw Data'!$A$3:$A$2477,$A174),2),F$1),0)</f>
        <v>0</v>
      </c>
      <c r="G174">
        <f>IFERROR(COUNTIF(OFFSET('Schedule Raw Data'!$A$2,MATCH($A174,'Schedule Raw Data'!$A$3:$A$2477,0),1,COUNTIF('Schedule Raw Data'!$A$3:$A$2477,$A174),2),G$1),0)</f>
        <v>0</v>
      </c>
      <c r="H174">
        <f>IFERROR(COUNTIF(OFFSET('Schedule Raw Data'!$A$2,MATCH($A174,'Schedule Raw Data'!$A$3:$A$2477,0),1,COUNTIF('Schedule Raw Data'!$A$3:$A$2477,$A174),2),H$1),0)</f>
        <v>0</v>
      </c>
      <c r="I174">
        <f>IFERROR(COUNTIF(OFFSET('Schedule Raw Data'!$A$2,MATCH($A174,'Schedule Raw Data'!$A$3:$A$2477,0),1,COUNTIF('Schedule Raw Data'!$A$3:$A$2477,$A174),2),I$1),0)</f>
        <v>0</v>
      </c>
      <c r="J174">
        <f>IFERROR(COUNTIF(OFFSET('Schedule Raw Data'!$A$2,MATCH($A174,'Schedule Raw Data'!$A$3:$A$2477,0),1,COUNTIF('Schedule Raw Data'!$A$3:$A$2477,$A174),2),J$1),0)</f>
        <v>0</v>
      </c>
      <c r="K174">
        <f>IFERROR(COUNTIF(OFFSET('Schedule Raw Data'!$A$2,MATCH($A174,'Schedule Raw Data'!$A$3:$A$2477,0),1,COUNTIF('Schedule Raw Data'!$A$3:$A$2477,$A174),2),K$1),0)</f>
        <v>0</v>
      </c>
      <c r="L174">
        <f>IFERROR(COUNTIF(OFFSET('Schedule Raw Data'!$A$2,MATCH($A174,'Schedule Raw Data'!$A$3:$A$2477,0),1,COUNTIF('Schedule Raw Data'!$A$3:$A$2477,$A174),2),L$1),0)</f>
        <v>0</v>
      </c>
      <c r="M174">
        <f>IFERROR(COUNTIF(OFFSET('Schedule Raw Data'!$A$2,MATCH($A174,'Schedule Raw Data'!$A$3:$A$2477,0),1,COUNTIF('Schedule Raw Data'!$A$3:$A$2477,$A174),2),M$1),0)</f>
        <v>0</v>
      </c>
      <c r="N174">
        <f>IFERROR(COUNTIF(OFFSET('Schedule Raw Data'!$A$2,MATCH($A174,'Schedule Raw Data'!$A$3:$A$2477,0),1,COUNTIF('Schedule Raw Data'!$A$3:$A$2477,$A174),2),N$1),0)</f>
        <v>0</v>
      </c>
      <c r="O174">
        <f>IFERROR(COUNTIF(OFFSET('Schedule Raw Data'!$A$2,MATCH($A174,'Schedule Raw Data'!$A$3:$A$2477,0),1,COUNTIF('Schedule Raw Data'!$A$3:$A$2477,$A174),2),O$1),0)</f>
        <v>0</v>
      </c>
      <c r="P174">
        <f>IFERROR(COUNTIF(OFFSET('Schedule Raw Data'!$A$2,MATCH($A174,'Schedule Raw Data'!$A$3:$A$2477,0),1,COUNTIF('Schedule Raw Data'!$A$3:$A$2477,$A174),2),P$1),0)</f>
        <v>0</v>
      </c>
      <c r="Q174">
        <f>IFERROR(COUNTIF(OFFSET('Schedule Raw Data'!$A$2,MATCH($A174,'Schedule Raw Data'!$A$3:$A$2477,0),1,COUNTIF('Schedule Raw Data'!$A$3:$A$2477,$A174),2),Q$1),0)</f>
        <v>0</v>
      </c>
      <c r="R174">
        <f>IFERROR(COUNTIF(OFFSET('Schedule Raw Data'!$A$2,MATCH($A174,'Schedule Raw Data'!$A$3:$A$2477,0),1,COUNTIF('Schedule Raw Data'!$A$3:$A$2477,$A174),2),R$1),0)</f>
        <v>0</v>
      </c>
      <c r="S174">
        <f>IFERROR(COUNTIF(OFFSET('Schedule Raw Data'!$A$2,MATCH($A174,'Schedule Raw Data'!$A$3:$A$2477,0),1,COUNTIF('Schedule Raw Data'!$A$3:$A$2477,$A174),2),S$1),0)</f>
        <v>0</v>
      </c>
      <c r="T174">
        <f>IFERROR(COUNTIF(OFFSET('Schedule Raw Data'!$A$2,MATCH($A174,'Schedule Raw Data'!$A$3:$A$2477,0),1,COUNTIF('Schedule Raw Data'!$A$3:$A$2477,$A174),2),T$1),0)</f>
        <v>0</v>
      </c>
      <c r="U174">
        <f>IFERROR(COUNTIF(OFFSET('Schedule Raw Data'!$A$2,MATCH($A174,'Schedule Raw Data'!$A$3:$A$2477,0),1,COUNTIF('Schedule Raw Data'!$A$3:$A$2477,$A174),2),U$1),0)</f>
        <v>0</v>
      </c>
      <c r="V174">
        <f>IFERROR(COUNTIF(OFFSET('Schedule Raw Data'!$A$2,MATCH($A174,'Schedule Raw Data'!$A$3:$A$2477,0),1,COUNTIF('Schedule Raw Data'!$A$3:$A$2477,$A174),2),V$1),0)</f>
        <v>0</v>
      </c>
      <c r="W174">
        <f>IFERROR(COUNTIF(OFFSET('Schedule Raw Data'!$A$2,MATCH($A174,'Schedule Raw Data'!$A$3:$A$2477,0),1,COUNTIF('Schedule Raw Data'!$A$3:$A$2477,$A174),2),W$1),0)</f>
        <v>0</v>
      </c>
      <c r="X174">
        <f>IFERROR(COUNTIF(OFFSET('Schedule Raw Data'!$A$2,MATCH($A174,'Schedule Raw Data'!$A$3:$A$2477,0),1,COUNTIF('Schedule Raw Data'!$A$3:$A$2477,$A174),2),X$1),0)</f>
        <v>0</v>
      </c>
      <c r="Y174">
        <f>IFERROR(COUNTIF(OFFSET('Schedule Raw Data'!$A$2,MATCH($A174,'Schedule Raw Data'!$A$3:$A$2477,0),1,COUNTIF('Schedule Raw Data'!$A$3:$A$2477,$A174),2),Y$1),0)</f>
        <v>0</v>
      </c>
      <c r="Z174">
        <f>IFERROR(COUNTIF(OFFSET('Schedule Raw Data'!$A$2,MATCH($A174,'Schedule Raw Data'!$A$3:$A$2477,0),1,COUNTIF('Schedule Raw Data'!$A$3:$A$2477,$A174),2),Z$1),0)</f>
        <v>0</v>
      </c>
      <c r="AA174">
        <f>IFERROR(COUNTIF(OFFSET('Schedule Raw Data'!$A$2,MATCH($A174,'Schedule Raw Data'!$A$3:$A$2477,0),1,COUNTIF('Schedule Raw Data'!$A$3:$A$2477,$A174),2),AA$1),0)</f>
        <v>0</v>
      </c>
      <c r="AB174">
        <f>IFERROR(COUNTIF(OFFSET('Schedule Raw Data'!$A$2,MATCH($A174,'Schedule Raw Data'!$A$3:$A$2477,0),1,COUNTIF('Schedule Raw Data'!$A$3:$A$2477,$A174),2),AB$1),0)</f>
        <v>0</v>
      </c>
      <c r="AC174">
        <f>IFERROR(COUNTIF(OFFSET('Schedule Raw Data'!$A$2,MATCH($A174,'Schedule Raw Data'!$A$3:$A$2477,0),1,COUNTIF('Schedule Raw Data'!$A$3:$A$2477,$A174),2),AC$1),0)</f>
        <v>0</v>
      </c>
      <c r="AD174">
        <f>IFERROR(COUNTIF(OFFSET('Schedule Raw Data'!$A$2,MATCH($A174,'Schedule Raw Data'!$A$3:$A$2477,0),1,COUNTIF('Schedule Raw Data'!$A$3:$A$2477,$A174),2),AD$1),0)</f>
        <v>0</v>
      </c>
      <c r="AE174">
        <f>IFERROR(COUNTIF(OFFSET('Schedule Raw Data'!$A$2,MATCH($A174,'Schedule Raw Data'!$A$3:$A$2477,0),1,COUNTIF('Schedule Raw Data'!$A$3:$A$2477,$A174),2),AE$1),0)</f>
        <v>0</v>
      </c>
      <c r="AF174">
        <f>IFERROR(COUNTIF(OFFSET('Schedule Raw Data'!$A$2,MATCH($A174,'Schedule Raw Data'!$A$3:$A$2477,0),1,COUNTIF('Schedule Raw Data'!$A$3:$A$2477,$A174),2),AF$1),0)</f>
        <v>0</v>
      </c>
      <c r="AG174">
        <f t="shared" si="1"/>
        <v>0</v>
      </c>
    </row>
    <row r="175">
      <c r="A175" s="30" t="str">
        <f t="array" ref="A175">INDEX('Schedule Raw Data'!$A$3:$A$2477,MATCH(0,INDEX(COUNTIF($A$1:A174,'Schedule Raw Data'!$A$3:$A$2477),0,0),0))</f>
        <v/>
      </c>
      <c r="B175">
        <f t="shared" si="2"/>
        <v>24</v>
      </c>
      <c r="C175">
        <f>IFERROR(COUNTIF(OFFSET('Schedule Raw Data'!$A$2,MATCH($A175,'Schedule Raw Data'!$A$3:$A$2477,0),1,COUNTIF('Schedule Raw Data'!$A$3:$A$2477,$A175),2),C$1),0)</f>
        <v>0</v>
      </c>
      <c r="D175">
        <f>IFERROR(COUNTIF(OFFSET('Schedule Raw Data'!$A$2,MATCH($A175,'Schedule Raw Data'!$A$3:$A$2477,0),1,COUNTIF('Schedule Raw Data'!$A$3:$A$2477,$A175),2),D$1),0)</f>
        <v>0</v>
      </c>
      <c r="E175">
        <f>IFERROR(COUNTIF(OFFSET('Schedule Raw Data'!$A$2,MATCH($A175,'Schedule Raw Data'!$A$3:$A$2477,0),1,COUNTIF('Schedule Raw Data'!$A$3:$A$2477,$A175),2),E$1),0)</f>
        <v>0</v>
      </c>
      <c r="F175">
        <f>IFERROR(COUNTIF(OFFSET('Schedule Raw Data'!$A$2,MATCH($A175,'Schedule Raw Data'!$A$3:$A$2477,0),1,COUNTIF('Schedule Raw Data'!$A$3:$A$2477,$A175),2),F$1),0)</f>
        <v>0</v>
      </c>
      <c r="G175">
        <f>IFERROR(COUNTIF(OFFSET('Schedule Raw Data'!$A$2,MATCH($A175,'Schedule Raw Data'!$A$3:$A$2477,0),1,COUNTIF('Schedule Raw Data'!$A$3:$A$2477,$A175),2),G$1),0)</f>
        <v>0</v>
      </c>
      <c r="H175">
        <f>IFERROR(COUNTIF(OFFSET('Schedule Raw Data'!$A$2,MATCH($A175,'Schedule Raw Data'!$A$3:$A$2477,0),1,COUNTIF('Schedule Raw Data'!$A$3:$A$2477,$A175),2),H$1),0)</f>
        <v>0</v>
      </c>
      <c r="I175">
        <f>IFERROR(COUNTIF(OFFSET('Schedule Raw Data'!$A$2,MATCH($A175,'Schedule Raw Data'!$A$3:$A$2477,0),1,COUNTIF('Schedule Raw Data'!$A$3:$A$2477,$A175),2),I$1),0)</f>
        <v>0</v>
      </c>
      <c r="J175">
        <f>IFERROR(COUNTIF(OFFSET('Schedule Raw Data'!$A$2,MATCH($A175,'Schedule Raw Data'!$A$3:$A$2477,0),1,COUNTIF('Schedule Raw Data'!$A$3:$A$2477,$A175),2),J$1),0)</f>
        <v>0</v>
      </c>
      <c r="K175">
        <f>IFERROR(COUNTIF(OFFSET('Schedule Raw Data'!$A$2,MATCH($A175,'Schedule Raw Data'!$A$3:$A$2477,0),1,COUNTIF('Schedule Raw Data'!$A$3:$A$2477,$A175),2),K$1),0)</f>
        <v>0</v>
      </c>
      <c r="L175">
        <f>IFERROR(COUNTIF(OFFSET('Schedule Raw Data'!$A$2,MATCH($A175,'Schedule Raw Data'!$A$3:$A$2477,0),1,COUNTIF('Schedule Raw Data'!$A$3:$A$2477,$A175),2),L$1),0)</f>
        <v>0</v>
      </c>
      <c r="M175">
        <f>IFERROR(COUNTIF(OFFSET('Schedule Raw Data'!$A$2,MATCH($A175,'Schedule Raw Data'!$A$3:$A$2477,0),1,COUNTIF('Schedule Raw Data'!$A$3:$A$2477,$A175),2),M$1),0)</f>
        <v>0</v>
      </c>
      <c r="N175">
        <f>IFERROR(COUNTIF(OFFSET('Schedule Raw Data'!$A$2,MATCH($A175,'Schedule Raw Data'!$A$3:$A$2477,0),1,COUNTIF('Schedule Raw Data'!$A$3:$A$2477,$A175),2),N$1),0)</f>
        <v>0</v>
      </c>
      <c r="O175">
        <f>IFERROR(COUNTIF(OFFSET('Schedule Raw Data'!$A$2,MATCH($A175,'Schedule Raw Data'!$A$3:$A$2477,0),1,COUNTIF('Schedule Raw Data'!$A$3:$A$2477,$A175),2),O$1),0)</f>
        <v>0</v>
      </c>
      <c r="P175">
        <f>IFERROR(COUNTIF(OFFSET('Schedule Raw Data'!$A$2,MATCH($A175,'Schedule Raw Data'!$A$3:$A$2477,0),1,COUNTIF('Schedule Raw Data'!$A$3:$A$2477,$A175),2),P$1),0)</f>
        <v>0</v>
      </c>
      <c r="Q175">
        <f>IFERROR(COUNTIF(OFFSET('Schedule Raw Data'!$A$2,MATCH($A175,'Schedule Raw Data'!$A$3:$A$2477,0),1,COUNTIF('Schedule Raw Data'!$A$3:$A$2477,$A175),2),Q$1),0)</f>
        <v>0</v>
      </c>
      <c r="R175">
        <f>IFERROR(COUNTIF(OFFSET('Schedule Raw Data'!$A$2,MATCH($A175,'Schedule Raw Data'!$A$3:$A$2477,0),1,COUNTIF('Schedule Raw Data'!$A$3:$A$2477,$A175),2),R$1),0)</f>
        <v>0</v>
      </c>
      <c r="S175">
        <f>IFERROR(COUNTIF(OFFSET('Schedule Raw Data'!$A$2,MATCH($A175,'Schedule Raw Data'!$A$3:$A$2477,0),1,COUNTIF('Schedule Raw Data'!$A$3:$A$2477,$A175),2),S$1),0)</f>
        <v>0</v>
      </c>
      <c r="T175">
        <f>IFERROR(COUNTIF(OFFSET('Schedule Raw Data'!$A$2,MATCH($A175,'Schedule Raw Data'!$A$3:$A$2477,0),1,COUNTIF('Schedule Raw Data'!$A$3:$A$2477,$A175),2),T$1),0)</f>
        <v>0</v>
      </c>
      <c r="U175">
        <f>IFERROR(COUNTIF(OFFSET('Schedule Raw Data'!$A$2,MATCH($A175,'Schedule Raw Data'!$A$3:$A$2477,0),1,COUNTIF('Schedule Raw Data'!$A$3:$A$2477,$A175),2),U$1),0)</f>
        <v>0</v>
      </c>
      <c r="V175">
        <f>IFERROR(COUNTIF(OFFSET('Schedule Raw Data'!$A$2,MATCH($A175,'Schedule Raw Data'!$A$3:$A$2477,0),1,COUNTIF('Schedule Raw Data'!$A$3:$A$2477,$A175),2),V$1),0)</f>
        <v>0</v>
      </c>
      <c r="W175">
        <f>IFERROR(COUNTIF(OFFSET('Schedule Raw Data'!$A$2,MATCH($A175,'Schedule Raw Data'!$A$3:$A$2477,0),1,COUNTIF('Schedule Raw Data'!$A$3:$A$2477,$A175),2),W$1),0)</f>
        <v>0</v>
      </c>
      <c r="X175">
        <f>IFERROR(COUNTIF(OFFSET('Schedule Raw Data'!$A$2,MATCH($A175,'Schedule Raw Data'!$A$3:$A$2477,0),1,COUNTIF('Schedule Raw Data'!$A$3:$A$2477,$A175),2),X$1),0)</f>
        <v>0</v>
      </c>
      <c r="Y175">
        <f>IFERROR(COUNTIF(OFFSET('Schedule Raw Data'!$A$2,MATCH($A175,'Schedule Raw Data'!$A$3:$A$2477,0),1,COUNTIF('Schedule Raw Data'!$A$3:$A$2477,$A175),2),Y$1),0)</f>
        <v>0</v>
      </c>
      <c r="Z175">
        <f>IFERROR(COUNTIF(OFFSET('Schedule Raw Data'!$A$2,MATCH($A175,'Schedule Raw Data'!$A$3:$A$2477,0),1,COUNTIF('Schedule Raw Data'!$A$3:$A$2477,$A175),2),Z$1),0)</f>
        <v>0</v>
      </c>
      <c r="AA175">
        <f>IFERROR(COUNTIF(OFFSET('Schedule Raw Data'!$A$2,MATCH($A175,'Schedule Raw Data'!$A$3:$A$2477,0),1,COUNTIF('Schedule Raw Data'!$A$3:$A$2477,$A175),2),AA$1),0)</f>
        <v>0</v>
      </c>
      <c r="AB175">
        <f>IFERROR(COUNTIF(OFFSET('Schedule Raw Data'!$A$2,MATCH($A175,'Schedule Raw Data'!$A$3:$A$2477,0),1,COUNTIF('Schedule Raw Data'!$A$3:$A$2477,$A175),2),AB$1),0)</f>
        <v>0</v>
      </c>
      <c r="AC175">
        <f>IFERROR(COUNTIF(OFFSET('Schedule Raw Data'!$A$2,MATCH($A175,'Schedule Raw Data'!$A$3:$A$2477,0),1,COUNTIF('Schedule Raw Data'!$A$3:$A$2477,$A175),2),AC$1),0)</f>
        <v>0</v>
      </c>
      <c r="AD175">
        <f>IFERROR(COUNTIF(OFFSET('Schedule Raw Data'!$A$2,MATCH($A175,'Schedule Raw Data'!$A$3:$A$2477,0),1,COUNTIF('Schedule Raw Data'!$A$3:$A$2477,$A175),2),AD$1),0)</f>
        <v>0</v>
      </c>
      <c r="AE175">
        <f>IFERROR(COUNTIF(OFFSET('Schedule Raw Data'!$A$2,MATCH($A175,'Schedule Raw Data'!$A$3:$A$2477,0),1,COUNTIF('Schedule Raw Data'!$A$3:$A$2477,$A175),2),AE$1),0)</f>
        <v>0</v>
      </c>
      <c r="AF175">
        <f>IFERROR(COUNTIF(OFFSET('Schedule Raw Data'!$A$2,MATCH($A175,'Schedule Raw Data'!$A$3:$A$2477,0),1,COUNTIF('Schedule Raw Data'!$A$3:$A$2477,$A175),2),AF$1),0)</f>
        <v>0</v>
      </c>
      <c r="AG175">
        <f t="shared" si="1"/>
        <v>0</v>
      </c>
    </row>
    <row r="176">
      <c r="A176" s="30" t="str">
        <f t="array" ref="A176">INDEX('Schedule Raw Data'!$A$3:$A$2477,MATCH(0,INDEX(COUNTIF($A$1:A175,'Schedule Raw Data'!$A$3:$A$2477),0,0),0))</f>
        <v/>
      </c>
      <c r="B176">
        <f t="shared" si="2"/>
        <v>24</v>
      </c>
      <c r="C176">
        <f>IFERROR(COUNTIF(OFFSET('Schedule Raw Data'!$A$2,MATCH($A176,'Schedule Raw Data'!$A$3:$A$2477,0),1,COUNTIF('Schedule Raw Data'!$A$3:$A$2477,$A176),2),C$1),0)</f>
        <v>0</v>
      </c>
      <c r="D176">
        <f>IFERROR(COUNTIF(OFFSET('Schedule Raw Data'!$A$2,MATCH($A176,'Schedule Raw Data'!$A$3:$A$2477,0),1,COUNTIF('Schedule Raw Data'!$A$3:$A$2477,$A176),2),D$1),0)</f>
        <v>0</v>
      </c>
      <c r="E176">
        <f>IFERROR(COUNTIF(OFFSET('Schedule Raw Data'!$A$2,MATCH($A176,'Schedule Raw Data'!$A$3:$A$2477,0),1,COUNTIF('Schedule Raw Data'!$A$3:$A$2477,$A176),2),E$1),0)</f>
        <v>0</v>
      </c>
      <c r="F176">
        <f>IFERROR(COUNTIF(OFFSET('Schedule Raw Data'!$A$2,MATCH($A176,'Schedule Raw Data'!$A$3:$A$2477,0),1,COUNTIF('Schedule Raw Data'!$A$3:$A$2477,$A176),2),F$1),0)</f>
        <v>0</v>
      </c>
      <c r="G176">
        <f>IFERROR(COUNTIF(OFFSET('Schedule Raw Data'!$A$2,MATCH($A176,'Schedule Raw Data'!$A$3:$A$2477,0),1,COUNTIF('Schedule Raw Data'!$A$3:$A$2477,$A176),2),G$1),0)</f>
        <v>0</v>
      </c>
      <c r="H176">
        <f>IFERROR(COUNTIF(OFFSET('Schedule Raw Data'!$A$2,MATCH($A176,'Schedule Raw Data'!$A$3:$A$2477,0),1,COUNTIF('Schedule Raw Data'!$A$3:$A$2477,$A176),2),H$1),0)</f>
        <v>0</v>
      </c>
      <c r="I176">
        <f>IFERROR(COUNTIF(OFFSET('Schedule Raw Data'!$A$2,MATCH($A176,'Schedule Raw Data'!$A$3:$A$2477,0),1,COUNTIF('Schedule Raw Data'!$A$3:$A$2477,$A176),2),I$1),0)</f>
        <v>0</v>
      </c>
      <c r="J176">
        <f>IFERROR(COUNTIF(OFFSET('Schedule Raw Data'!$A$2,MATCH($A176,'Schedule Raw Data'!$A$3:$A$2477,0),1,COUNTIF('Schedule Raw Data'!$A$3:$A$2477,$A176),2),J$1),0)</f>
        <v>0</v>
      </c>
      <c r="K176">
        <f>IFERROR(COUNTIF(OFFSET('Schedule Raw Data'!$A$2,MATCH($A176,'Schedule Raw Data'!$A$3:$A$2477,0),1,COUNTIF('Schedule Raw Data'!$A$3:$A$2477,$A176),2),K$1),0)</f>
        <v>0</v>
      </c>
      <c r="L176">
        <f>IFERROR(COUNTIF(OFFSET('Schedule Raw Data'!$A$2,MATCH($A176,'Schedule Raw Data'!$A$3:$A$2477,0),1,COUNTIF('Schedule Raw Data'!$A$3:$A$2477,$A176),2),L$1),0)</f>
        <v>0</v>
      </c>
      <c r="M176">
        <f>IFERROR(COUNTIF(OFFSET('Schedule Raw Data'!$A$2,MATCH($A176,'Schedule Raw Data'!$A$3:$A$2477,0),1,COUNTIF('Schedule Raw Data'!$A$3:$A$2477,$A176),2),M$1),0)</f>
        <v>0</v>
      </c>
      <c r="N176">
        <f>IFERROR(COUNTIF(OFFSET('Schedule Raw Data'!$A$2,MATCH($A176,'Schedule Raw Data'!$A$3:$A$2477,0),1,COUNTIF('Schedule Raw Data'!$A$3:$A$2477,$A176),2),N$1),0)</f>
        <v>0</v>
      </c>
      <c r="O176">
        <f>IFERROR(COUNTIF(OFFSET('Schedule Raw Data'!$A$2,MATCH($A176,'Schedule Raw Data'!$A$3:$A$2477,0),1,COUNTIF('Schedule Raw Data'!$A$3:$A$2477,$A176),2),O$1),0)</f>
        <v>0</v>
      </c>
      <c r="P176">
        <f>IFERROR(COUNTIF(OFFSET('Schedule Raw Data'!$A$2,MATCH($A176,'Schedule Raw Data'!$A$3:$A$2477,0),1,COUNTIF('Schedule Raw Data'!$A$3:$A$2477,$A176),2),P$1),0)</f>
        <v>0</v>
      </c>
      <c r="Q176">
        <f>IFERROR(COUNTIF(OFFSET('Schedule Raw Data'!$A$2,MATCH($A176,'Schedule Raw Data'!$A$3:$A$2477,0),1,COUNTIF('Schedule Raw Data'!$A$3:$A$2477,$A176),2),Q$1),0)</f>
        <v>0</v>
      </c>
      <c r="R176">
        <f>IFERROR(COUNTIF(OFFSET('Schedule Raw Data'!$A$2,MATCH($A176,'Schedule Raw Data'!$A$3:$A$2477,0),1,COUNTIF('Schedule Raw Data'!$A$3:$A$2477,$A176),2),R$1),0)</f>
        <v>0</v>
      </c>
      <c r="S176">
        <f>IFERROR(COUNTIF(OFFSET('Schedule Raw Data'!$A$2,MATCH($A176,'Schedule Raw Data'!$A$3:$A$2477,0),1,COUNTIF('Schedule Raw Data'!$A$3:$A$2477,$A176),2),S$1),0)</f>
        <v>0</v>
      </c>
      <c r="T176">
        <f>IFERROR(COUNTIF(OFFSET('Schedule Raw Data'!$A$2,MATCH($A176,'Schedule Raw Data'!$A$3:$A$2477,0),1,COUNTIF('Schedule Raw Data'!$A$3:$A$2477,$A176),2),T$1),0)</f>
        <v>0</v>
      </c>
      <c r="U176">
        <f>IFERROR(COUNTIF(OFFSET('Schedule Raw Data'!$A$2,MATCH($A176,'Schedule Raw Data'!$A$3:$A$2477,0),1,COUNTIF('Schedule Raw Data'!$A$3:$A$2477,$A176),2),U$1),0)</f>
        <v>0</v>
      </c>
      <c r="V176">
        <f>IFERROR(COUNTIF(OFFSET('Schedule Raw Data'!$A$2,MATCH($A176,'Schedule Raw Data'!$A$3:$A$2477,0),1,COUNTIF('Schedule Raw Data'!$A$3:$A$2477,$A176),2),V$1),0)</f>
        <v>0</v>
      </c>
      <c r="W176">
        <f>IFERROR(COUNTIF(OFFSET('Schedule Raw Data'!$A$2,MATCH($A176,'Schedule Raw Data'!$A$3:$A$2477,0),1,COUNTIF('Schedule Raw Data'!$A$3:$A$2477,$A176),2),W$1),0)</f>
        <v>0</v>
      </c>
      <c r="X176">
        <f>IFERROR(COUNTIF(OFFSET('Schedule Raw Data'!$A$2,MATCH($A176,'Schedule Raw Data'!$A$3:$A$2477,0),1,COUNTIF('Schedule Raw Data'!$A$3:$A$2477,$A176),2),X$1),0)</f>
        <v>0</v>
      </c>
      <c r="Y176">
        <f>IFERROR(COUNTIF(OFFSET('Schedule Raw Data'!$A$2,MATCH($A176,'Schedule Raw Data'!$A$3:$A$2477,0),1,COUNTIF('Schedule Raw Data'!$A$3:$A$2477,$A176),2),Y$1),0)</f>
        <v>0</v>
      </c>
      <c r="Z176">
        <f>IFERROR(COUNTIF(OFFSET('Schedule Raw Data'!$A$2,MATCH($A176,'Schedule Raw Data'!$A$3:$A$2477,0),1,COUNTIF('Schedule Raw Data'!$A$3:$A$2477,$A176),2),Z$1),0)</f>
        <v>0</v>
      </c>
      <c r="AA176">
        <f>IFERROR(COUNTIF(OFFSET('Schedule Raw Data'!$A$2,MATCH($A176,'Schedule Raw Data'!$A$3:$A$2477,0),1,COUNTIF('Schedule Raw Data'!$A$3:$A$2477,$A176),2),AA$1),0)</f>
        <v>0</v>
      </c>
      <c r="AB176">
        <f>IFERROR(COUNTIF(OFFSET('Schedule Raw Data'!$A$2,MATCH($A176,'Schedule Raw Data'!$A$3:$A$2477,0),1,COUNTIF('Schedule Raw Data'!$A$3:$A$2477,$A176),2),AB$1),0)</f>
        <v>0</v>
      </c>
      <c r="AC176">
        <f>IFERROR(COUNTIF(OFFSET('Schedule Raw Data'!$A$2,MATCH($A176,'Schedule Raw Data'!$A$3:$A$2477,0),1,COUNTIF('Schedule Raw Data'!$A$3:$A$2477,$A176),2),AC$1),0)</f>
        <v>0</v>
      </c>
      <c r="AD176">
        <f>IFERROR(COUNTIF(OFFSET('Schedule Raw Data'!$A$2,MATCH($A176,'Schedule Raw Data'!$A$3:$A$2477,0),1,COUNTIF('Schedule Raw Data'!$A$3:$A$2477,$A176),2),AD$1),0)</f>
        <v>0</v>
      </c>
      <c r="AE176">
        <f>IFERROR(COUNTIF(OFFSET('Schedule Raw Data'!$A$2,MATCH($A176,'Schedule Raw Data'!$A$3:$A$2477,0),1,COUNTIF('Schedule Raw Data'!$A$3:$A$2477,$A176),2),AE$1),0)</f>
        <v>0</v>
      </c>
      <c r="AF176">
        <f>IFERROR(COUNTIF(OFFSET('Schedule Raw Data'!$A$2,MATCH($A176,'Schedule Raw Data'!$A$3:$A$2477,0),1,COUNTIF('Schedule Raw Data'!$A$3:$A$2477,$A176),2),AF$1),0)</f>
        <v>0</v>
      </c>
      <c r="AG176">
        <f t="shared" si="1"/>
        <v>0</v>
      </c>
    </row>
    <row r="177">
      <c r="A177" s="30" t="str">
        <f t="array" ref="A177">INDEX('Schedule Raw Data'!$A$3:$A$2477,MATCH(0,INDEX(COUNTIF($A$1:A176,'Schedule Raw Data'!$A$3:$A$2477),0,0),0))</f>
        <v/>
      </c>
      <c r="B177">
        <f t="shared" si="2"/>
        <v>24</v>
      </c>
      <c r="C177">
        <f>IFERROR(COUNTIF(OFFSET('Schedule Raw Data'!$A$2,MATCH($A177,'Schedule Raw Data'!$A$3:$A$2477,0),1,COUNTIF('Schedule Raw Data'!$A$3:$A$2477,$A177),2),C$1),0)</f>
        <v>0</v>
      </c>
      <c r="D177">
        <f>IFERROR(COUNTIF(OFFSET('Schedule Raw Data'!$A$2,MATCH($A177,'Schedule Raw Data'!$A$3:$A$2477,0),1,COUNTIF('Schedule Raw Data'!$A$3:$A$2477,$A177),2),D$1),0)</f>
        <v>0</v>
      </c>
      <c r="E177">
        <f>IFERROR(COUNTIF(OFFSET('Schedule Raw Data'!$A$2,MATCH($A177,'Schedule Raw Data'!$A$3:$A$2477,0),1,COUNTIF('Schedule Raw Data'!$A$3:$A$2477,$A177),2),E$1),0)</f>
        <v>0</v>
      </c>
      <c r="F177">
        <f>IFERROR(COUNTIF(OFFSET('Schedule Raw Data'!$A$2,MATCH($A177,'Schedule Raw Data'!$A$3:$A$2477,0),1,COUNTIF('Schedule Raw Data'!$A$3:$A$2477,$A177),2),F$1),0)</f>
        <v>0</v>
      </c>
      <c r="G177">
        <f>IFERROR(COUNTIF(OFFSET('Schedule Raw Data'!$A$2,MATCH($A177,'Schedule Raw Data'!$A$3:$A$2477,0),1,COUNTIF('Schedule Raw Data'!$A$3:$A$2477,$A177),2),G$1),0)</f>
        <v>0</v>
      </c>
      <c r="H177">
        <f>IFERROR(COUNTIF(OFFSET('Schedule Raw Data'!$A$2,MATCH($A177,'Schedule Raw Data'!$A$3:$A$2477,0),1,COUNTIF('Schedule Raw Data'!$A$3:$A$2477,$A177),2),H$1),0)</f>
        <v>0</v>
      </c>
      <c r="I177">
        <f>IFERROR(COUNTIF(OFFSET('Schedule Raw Data'!$A$2,MATCH($A177,'Schedule Raw Data'!$A$3:$A$2477,0),1,COUNTIF('Schedule Raw Data'!$A$3:$A$2477,$A177),2),I$1),0)</f>
        <v>0</v>
      </c>
      <c r="J177">
        <f>IFERROR(COUNTIF(OFFSET('Schedule Raw Data'!$A$2,MATCH($A177,'Schedule Raw Data'!$A$3:$A$2477,0),1,COUNTIF('Schedule Raw Data'!$A$3:$A$2477,$A177),2),J$1),0)</f>
        <v>0</v>
      </c>
      <c r="K177">
        <f>IFERROR(COUNTIF(OFFSET('Schedule Raw Data'!$A$2,MATCH($A177,'Schedule Raw Data'!$A$3:$A$2477,0),1,COUNTIF('Schedule Raw Data'!$A$3:$A$2477,$A177),2),K$1),0)</f>
        <v>0</v>
      </c>
      <c r="L177">
        <f>IFERROR(COUNTIF(OFFSET('Schedule Raw Data'!$A$2,MATCH($A177,'Schedule Raw Data'!$A$3:$A$2477,0),1,COUNTIF('Schedule Raw Data'!$A$3:$A$2477,$A177),2),L$1),0)</f>
        <v>0</v>
      </c>
      <c r="M177">
        <f>IFERROR(COUNTIF(OFFSET('Schedule Raw Data'!$A$2,MATCH($A177,'Schedule Raw Data'!$A$3:$A$2477,0),1,COUNTIF('Schedule Raw Data'!$A$3:$A$2477,$A177),2),M$1),0)</f>
        <v>0</v>
      </c>
      <c r="N177">
        <f>IFERROR(COUNTIF(OFFSET('Schedule Raw Data'!$A$2,MATCH($A177,'Schedule Raw Data'!$A$3:$A$2477,0),1,COUNTIF('Schedule Raw Data'!$A$3:$A$2477,$A177),2),N$1),0)</f>
        <v>0</v>
      </c>
      <c r="O177">
        <f>IFERROR(COUNTIF(OFFSET('Schedule Raw Data'!$A$2,MATCH($A177,'Schedule Raw Data'!$A$3:$A$2477,0),1,COUNTIF('Schedule Raw Data'!$A$3:$A$2477,$A177),2),O$1),0)</f>
        <v>0</v>
      </c>
      <c r="P177">
        <f>IFERROR(COUNTIF(OFFSET('Schedule Raw Data'!$A$2,MATCH($A177,'Schedule Raw Data'!$A$3:$A$2477,0),1,COUNTIF('Schedule Raw Data'!$A$3:$A$2477,$A177),2),P$1),0)</f>
        <v>0</v>
      </c>
      <c r="Q177">
        <f>IFERROR(COUNTIF(OFFSET('Schedule Raw Data'!$A$2,MATCH($A177,'Schedule Raw Data'!$A$3:$A$2477,0),1,COUNTIF('Schedule Raw Data'!$A$3:$A$2477,$A177),2),Q$1),0)</f>
        <v>0</v>
      </c>
      <c r="R177">
        <f>IFERROR(COUNTIF(OFFSET('Schedule Raw Data'!$A$2,MATCH($A177,'Schedule Raw Data'!$A$3:$A$2477,0),1,COUNTIF('Schedule Raw Data'!$A$3:$A$2477,$A177),2),R$1),0)</f>
        <v>0</v>
      </c>
      <c r="S177">
        <f>IFERROR(COUNTIF(OFFSET('Schedule Raw Data'!$A$2,MATCH($A177,'Schedule Raw Data'!$A$3:$A$2477,0),1,COUNTIF('Schedule Raw Data'!$A$3:$A$2477,$A177),2),S$1),0)</f>
        <v>0</v>
      </c>
      <c r="T177">
        <f>IFERROR(COUNTIF(OFFSET('Schedule Raw Data'!$A$2,MATCH($A177,'Schedule Raw Data'!$A$3:$A$2477,0),1,COUNTIF('Schedule Raw Data'!$A$3:$A$2477,$A177),2),T$1),0)</f>
        <v>0</v>
      </c>
      <c r="U177">
        <f>IFERROR(COUNTIF(OFFSET('Schedule Raw Data'!$A$2,MATCH($A177,'Schedule Raw Data'!$A$3:$A$2477,0),1,COUNTIF('Schedule Raw Data'!$A$3:$A$2477,$A177),2),U$1),0)</f>
        <v>0</v>
      </c>
      <c r="V177">
        <f>IFERROR(COUNTIF(OFFSET('Schedule Raw Data'!$A$2,MATCH($A177,'Schedule Raw Data'!$A$3:$A$2477,0),1,COUNTIF('Schedule Raw Data'!$A$3:$A$2477,$A177),2),V$1),0)</f>
        <v>0</v>
      </c>
      <c r="W177">
        <f>IFERROR(COUNTIF(OFFSET('Schedule Raw Data'!$A$2,MATCH($A177,'Schedule Raw Data'!$A$3:$A$2477,0),1,COUNTIF('Schedule Raw Data'!$A$3:$A$2477,$A177),2),W$1),0)</f>
        <v>0</v>
      </c>
      <c r="X177">
        <f>IFERROR(COUNTIF(OFFSET('Schedule Raw Data'!$A$2,MATCH($A177,'Schedule Raw Data'!$A$3:$A$2477,0),1,COUNTIF('Schedule Raw Data'!$A$3:$A$2477,$A177),2),X$1),0)</f>
        <v>0</v>
      </c>
      <c r="Y177">
        <f>IFERROR(COUNTIF(OFFSET('Schedule Raw Data'!$A$2,MATCH($A177,'Schedule Raw Data'!$A$3:$A$2477,0),1,COUNTIF('Schedule Raw Data'!$A$3:$A$2477,$A177),2),Y$1),0)</f>
        <v>0</v>
      </c>
      <c r="Z177">
        <f>IFERROR(COUNTIF(OFFSET('Schedule Raw Data'!$A$2,MATCH($A177,'Schedule Raw Data'!$A$3:$A$2477,0),1,COUNTIF('Schedule Raw Data'!$A$3:$A$2477,$A177),2),Z$1),0)</f>
        <v>0</v>
      </c>
      <c r="AA177">
        <f>IFERROR(COUNTIF(OFFSET('Schedule Raw Data'!$A$2,MATCH($A177,'Schedule Raw Data'!$A$3:$A$2477,0),1,COUNTIF('Schedule Raw Data'!$A$3:$A$2477,$A177),2),AA$1),0)</f>
        <v>0</v>
      </c>
      <c r="AB177">
        <f>IFERROR(COUNTIF(OFFSET('Schedule Raw Data'!$A$2,MATCH($A177,'Schedule Raw Data'!$A$3:$A$2477,0),1,COUNTIF('Schedule Raw Data'!$A$3:$A$2477,$A177),2),AB$1),0)</f>
        <v>0</v>
      </c>
      <c r="AC177">
        <f>IFERROR(COUNTIF(OFFSET('Schedule Raw Data'!$A$2,MATCH($A177,'Schedule Raw Data'!$A$3:$A$2477,0),1,COUNTIF('Schedule Raw Data'!$A$3:$A$2477,$A177),2),AC$1),0)</f>
        <v>0</v>
      </c>
      <c r="AD177">
        <f>IFERROR(COUNTIF(OFFSET('Schedule Raw Data'!$A$2,MATCH($A177,'Schedule Raw Data'!$A$3:$A$2477,0),1,COUNTIF('Schedule Raw Data'!$A$3:$A$2477,$A177),2),AD$1),0)</f>
        <v>0</v>
      </c>
      <c r="AE177">
        <f>IFERROR(COUNTIF(OFFSET('Schedule Raw Data'!$A$2,MATCH($A177,'Schedule Raw Data'!$A$3:$A$2477,0),1,COUNTIF('Schedule Raw Data'!$A$3:$A$2477,$A177),2),AE$1),0)</f>
        <v>0</v>
      </c>
      <c r="AF177">
        <f>IFERROR(COUNTIF(OFFSET('Schedule Raw Data'!$A$2,MATCH($A177,'Schedule Raw Data'!$A$3:$A$2477,0),1,COUNTIF('Schedule Raw Data'!$A$3:$A$2477,$A177),2),AF$1),0)</f>
        <v>0</v>
      </c>
      <c r="AG177">
        <f t="shared" si="1"/>
        <v>0</v>
      </c>
    </row>
    <row r="178">
      <c r="A178" s="30" t="str">
        <f t="array" ref="A178">INDEX('Schedule Raw Data'!$A$3:$A$2477,MATCH(0,INDEX(COUNTIF($A$1:A177,'Schedule Raw Data'!$A$3:$A$2477),0,0),0))</f>
        <v/>
      </c>
      <c r="B178">
        <f t="shared" si="2"/>
        <v>24</v>
      </c>
      <c r="C178">
        <f>IFERROR(COUNTIF(OFFSET('Schedule Raw Data'!$A$2,MATCH($A178,'Schedule Raw Data'!$A$3:$A$2477,0),1,COUNTIF('Schedule Raw Data'!$A$3:$A$2477,$A178),2),C$1),0)</f>
        <v>0</v>
      </c>
      <c r="D178">
        <f>IFERROR(COUNTIF(OFFSET('Schedule Raw Data'!$A$2,MATCH($A178,'Schedule Raw Data'!$A$3:$A$2477,0),1,COUNTIF('Schedule Raw Data'!$A$3:$A$2477,$A178),2),D$1),0)</f>
        <v>0</v>
      </c>
      <c r="E178">
        <f>IFERROR(COUNTIF(OFFSET('Schedule Raw Data'!$A$2,MATCH($A178,'Schedule Raw Data'!$A$3:$A$2477,0),1,COUNTIF('Schedule Raw Data'!$A$3:$A$2477,$A178),2),E$1),0)</f>
        <v>0</v>
      </c>
      <c r="F178">
        <f>IFERROR(COUNTIF(OFFSET('Schedule Raw Data'!$A$2,MATCH($A178,'Schedule Raw Data'!$A$3:$A$2477,0),1,COUNTIF('Schedule Raw Data'!$A$3:$A$2477,$A178),2),F$1),0)</f>
        <v>0</v>
      </c>
      <c r="G178">
        <f>IFERROR(COUNTIF(OFFSET('Schedule Raw Data'!$A$2,MATCH($A178,'Schedule Raw Data'!$A$3:$A$2477,0),1,COUNTIF('Schedule Raw Data'!$A$3:$A$2477,$A178),2),G$1),0)</f>
        <v>0</v>
      </c>
      <c r="H178">
        <f>IFERROR(COUNTIF(OFFSET('Schedule Raw Data'!$A$2,MATCH($A178,'Schedule Raw Data'!$A$3:$A$2477,0),1,COUNTIF('Schedule Raw Data'!$A$3:$A$2477,$A178),2),H$1),0)</f>
        <v>0</v>
      </c>
      <c r="I178">
        <f>IFERROR(COUNTIF(OFFSET('Schedule Raw Data'!$A$2,MATCH($A178,'Schedule Raw Data'!$A$3:$A$2477,0),1,COUNTIF('Schedule Raw Data'!$A$3:$A$2477,$A178),2),I$1),0)</f>
        <v>0</v>
      </c>
      <c r="J178">
        <f>IFERROR(COUNTIF(OFFSET('Schedule Raw Data'!$A$2,MATCH($A178,'Schedule Raw Data'!$A$3:$A$2477,0),1,COUNTIF('Schedule Raw Data'!$A$3:$A$2477,$A178),2),J$1),0)</f>
        <v>0</v>
      </c>
      <c r="K178">
        <f>IFERROR(COUNTIF(OFFSET('Schedule Raw Data'!$A$2,MATCH($A178,'Schedule Raw Data'!$A$3:$A$2477,0),1,COUNTIF('Schedule Raw Data'!$A$3:$A$2477,$A178),2),K$1),0)</f>
        <v>0</v>
      </c>
      <c r="L178">
        <f>IFERROR(COUNTIF(OFFSET('Schedule Raw Data'!$A$2,MATCH($A178,'Schedule Raw Data'!$A$3:$A$2477,0),1,COUNTIF('Schedule Raw Data'!$A$3:$A$2477,$A178),2),L$1),0)</f>
        <v>0</v>
      </c>
      <c r="M178">
        <f>IFERROR(COUNTIF(OFFSET('Schedule Raw Data'!$A$2,MATCH($A178,'Schedule Raw Data'!$A$3:$A$2477,0),1,COUNTIF('Schedule Raw Data'!$A$3:$A$2477,$A178),2),M$1),0)</f>
        <v>0</v>
      </c>
      <c r="N178">
        <f>IFERROR(COUNTIF(OFFSET('Schedule Raw Data'!$A$2,MATCH($A178,'Schedule Raw Data'!$A$3:$A$2477,0),1,COUNTIF('Schedule Raw Data'!$A$3:$A$2477,$A178),2),N$1),0)</f>
        <v>0</v>
      </c>
      <c r="O178">
        <f>IFERROR(COUNTIF(OFFSET('Schedule Raw Data'!$A$2,MATCH($A178,'Schedule Raw Data'!$A$3:$A$2477,0),1,COUNTIF('Schedule Raw Data'!$A$3:$A$2477,$A178),2),O$1),0)</f>
        <v>0</v>
      </c>
      <c r="P178">
        <f>IFERROR(COUNTIF(OFFSET('Schedule Raw Data'!$A$2,MATCH($A178,'Schedule Raw Data'!$A$3:$A$2477,0),1,COUNTIF('Schedule Raw Data'!$A$3:$A$2477,$A178),2),P$1),0)</f>
        <v>0</v>
      </c>
      <c r="Q178">
        <f>IFERROR(COUNTIF(OFFSET('Schedule Raw Data'!$A$2,MATCH($A178,'Schedule Raw Data'!$A$3:$A$2477,0),1,COUNTIF('Schedule Raw Data'!$A$3:$A$2477,$A178),2),Q$1),0)</f>
        <v>0</v>
      </c>
      <c r="R178">
        <f>IFERROR(COUNTIF(OFFSET('Schedule Raw Data'!$A$2,MATCH($A178,'Schedule Raw Data'!$A$3:$A$2477,0),1,COUNTIF('Schedule Raw Data'!$A$3:$A$2477,$A178),2),R$1),0)</f>
        <v>0</v>
      </c>
      <c r="S178">
        <f>IFERROR(COUNTIF(OFFSET('Schedule Raw Data'!$A$2,MATCH($A178,'Schedule Raw Data'!$A$3:$A$2477,0),1,COUNTIF('Schedule Raw Data'!$A$3:$A$2477,$A178),2),S$1),0)</f>
        <v>0</v>
      </c>
      <c r="T178">
        <f>IFERROR(COUNTIF(OFFSET('Schedule Raw Data'!$A$2,MATCH($A178,'Schedule Raw Data'!$A$3:$A$2477,0),1,COUNTIF('Schedule Raw Data'!$A$3:$A$2477,$A178),2),T$1),0)</f>
        <v>0</v>
      </c>
      <c r="U178">
        <f>IFERROR(COUNTIF(OFFSET('Schedule Raw Data'!$A$2,MATCH($A178,'Schedule Raw Data'!$A$3:$A$2477,0),1,COUNTIF('Schedule Raw Data'!$A$3:$A$2477,$A178),2),U$1),0)</f>
        <v>0</v>
      </c>
      <c r="V178">
        <f>IFERROR(COUNTIF(OFFSET('Schedule Raw Data'!$A$2,MATCH($A178,'Schedule Raw Data'!$A$3:$A$2477,0),1,COUNTIF('Schedule Raw Data'!$A$3:$A$2477,$A178),2),V$1),0)</f>
        <v>0</v>
      </c>
      <c r="W178">
        <f>IFERROR(COUNTIF(OFFSET('Schedule Raw Data'!$A$2,MATCH($A178,'Schedule Raw Data'!$A$3:$A$2477,0),1,COUNTIF('Schedule Raw Data'!$A$3:$A$2477,$A178),2),W$1),0)</f>
        <v>0</v>
      </c>
      <c r="X178">
        <f>IFERROR(COUNTIF(OFFSET('Schedule Raw Data'!$A$2,MATCH($A178,'Schedule Raw Data'!$A$3:$A$2477,0),1,COUNTIF('Schedule Raw Data'!$A$3:$A$2477,$A178),2),X$1),0)</f>
        <v>0</v>
      </c>
      <c r="Y178">
        <f>IFERROR(COUNTIF(OFFSET('Schedule Raw Data'!$A$2,MATCH($A178,'Schedule Raw Data'!$A$3:$A$2477,0),1,COUNTIF('Schedule Raw Data'!$A$3:$A$2477,$A178),2),Y$1),0)</f>
        <v>0</v>
      </c>
      <c r="Z178">
        <f>IFERROR(COUNTIF(OFFSET('Schedule Raw Data'!$A$2,MATCH($A178,'Schedule Raw Data'!$A$3:$A$2477,0),1,COUNTIF('Schedule Raw Data'!$A$3:$A$2477,$A178),2),Z$1),0)</f>
        <v>0</v>
      </c>
      <c r="AA178">
        <f>IFERROR(COUNTIF(OFFSET('Schedule Raw Data'!$A$2,MATCH($A178,'Schedule Raw Data'!$A$3:$A$2477,0),1,COUNTIF('Schedule Raw Data'!$A$3:$A$2477,$A178),2),AA$1),0)</f>
        <v>0</v>
      </c>
      <c r="AB178">
        <f>IFERROR(COUNTIF(OFFSET('Schedule Raw Data'!$A$2,MATCH($A178,'Schedule Raw Data'!$A$3:$A$2477,0),1,COUNTIF('Schedule Raw Data'!$A$3:$A$2477,$A178),2),AB$1),0)</f>
        <v>0</v>
      </c>
      <c r="AC178">
        <f>IFERROR(COUNTIF(OFFSET('Schedule Raw Data'!$A$2,MATCH($A178,'Schedule Raw Data'!$A$3:$A$2477,0),1,COUNTIF('Schedule Raw Data'!$A$3:$A$2477,$A178),2),AC$1),0)</f>
        <v>0</v>
      </c>
      <c r="AD178">
        <f>IFERROR(COUNTIF(OFFSET('Schedule Raw Data'!$A$2,MATCH($A178,'Schedule Raw Data'!$A$3:$A$2477,0),1,COUNTIF('Schedule Raw Data'!$A$3:$A$2477,$A178),2),AD$1),0)</f>
        <v>0</v>
      </c>
      <c r="AE178">
        <f>IFERROR(COUNTIF(OFFSET('Schedule Raw Data'!$A$2,MATCH($A178,'Schedule Raw Data'!$A$3:$A$2477,0),1,COUNTIF('Schedule Raw Data'!$A$3:$A$2477,$A178),2),AE$1),0)</f>
        <v>0</v>
      </c>
      <c r="AF178">
        <f>IFERROR(COUNTIF(OFFSET('Schedule Raw Data'!$A$2,MATCH($A178,'Schedule Raw Data'!$A$3:$A$2477,0),1,COUNTIF('Schedule Raw Data'!$A$3:$A$2477,$A178),2),AF$1),0)</f>
        <v>0</v>
      </c>
      <c r="AG178">
        <f t="shared" si="1"/>
        <v>0</v>
      </c>
    </row>
    <row r="179">
      <c r="A179" s="30" t="str">
        <f t="array" ref="A179">INDEX('Schedule Raw Data'!$A$3:$A$2477,MATCH(0,INDEX(COUNTIF($A$1:A178,'Schedule Raw Data'!$A$3:$A$2477),0,0),0))</f>
        <v/>
      </c>
      <c r="B179">
        <f t="shared" si="2"/>
        <v>24</v>
      </c>
      <c r="C179">
        <f>IFERROR(COUNTIF(OFFSET('Schedule Raw Data'!$A$2,MATCH($A179,'Schedule Raw Data'!$A$3:$A$2477,0),1,COUNTIF('Schedule Raw Data'!$A$3:$A$2477,$A179),2),C$1),0)</f>
        <v>0</v>
      </c>
      <c r="D179">
        <f>IFERROR(COUNTIF(OFFSET('Schedule Raw Data'!$A$2,MATCH($A179,'Schedule Raw Data'!$A$3:$A$2477,0),1,COUNTIF('Schedule Raw Data'!$A$3:$A$2477,$A179),2),D$1),0)</f>
        <v>0</v>
      </c>
      <c r="E179">
        <f>IFERROR(COUNTIF(OFFSET('Schedule Raw Data'!$A$2,MATCH($A179,'Schedule Raw Data'!$A$3:$A$2477,0),1,COUNTIF('Schedule Raw Data'!$A$3:$A$2477,$A179),2),E$1),0)</f>
        <v>0</v>
      </c>
      <c r="F179">
        <f>IFERROR(COUNTIF(OFFSET('Schedule Raw Data'!$A$2,MATCH($A179,'Schedule Raw Data'!$A$3:$A$2477,0),1,COUNTIF('Schedule Raw Data'!$A$3:$A$2477,$A179),2),F$1),0)</f>
        <v>0</v>
      </c>
      <c r="G179">
        <f>IFERROR(COUNTIF(OFFSET('Schedule Raw Data'!$A$2,MATCH($A179,'Schedule Raw Data'!$A$3:$A$2477,0),1,COUNTIF('Schedule Raw Data'!$A$3:$A$2477,$A179),2),G$1),0)</f>
        <v>0</v>
      </c>
      <c r="H179">
        <f>IFERROR(COUNTIF(OFFSET('Schedule Raw Data'!$A$2,MATCH($A179,'Schedule Raw Data'!$A$3:$A$2477,0),1,COUNTIF('Schedule Raw Data'!$A$3:$A$2477,$A179),2),H$1),0)</f>
        <v>0</v>
      </c>
      <c r="I179">
        <f>IFERROR(COUNTIF(OFFSET('Schedule Raw Data'!$A$2,MATCH($A179,'Schedule Raw Data'!$A$3:$A$2477,0),1,COUNTIF('Schedule Raw Data'!$A$3:$A$2477,$A179),2),I$1),0)</f>
        <v>0</v>
      </c>
      <c r="J179">
        <f>IFERROR(COUNTIF(OFFSET('Schedule Raw Data'!$A$2,MATCH($A179,'Schedule Raw Data'!$A$3:$A$2477,0),1,COUNTIF('Schedule Raw Data'!$A$3:$A$2477,$A179),2),J$1),0)</f>
        <v>0</v>
      </c>
      <c r="K179">
        <f>IFERROR(COUNTIF(OFFSET('Schedule Raw Data'!$A$2,MATCH($A179,'Schedule Raw Data'!$A$3:$A$2477,0),1,COUNTIF('Schedule Raw Data'!$A$3:$A$2477,$A179),2),K$1),0)</f>
        <v>0</v>
      </c>
      <c r="L179">
        <f>IFERROR(COUNTIF(OFFSET('Schedule Raw Data'!$A$2,MATCH($A179,'Schedule Raw Data'!$A$3:$A$2477,0),1,COUNTIF('Schedule Raw Data'!$A$3:$A$2477,$A179),2),L$1),0)</f>
        <v>0</v>
      </c>
      <c r="M179">
        <f>IFERROR(COUNTIF(OFFSET('Schedule Raw Data'!$A$2,MATCH($A179,'Schedule Raw Data'!$A$3:$A$2477,0),1,COUNTIF('Schedule Raw Data'!$A$3:$A$2477,$A179),2),M$1),0)</f>
        <v>0</v>
      </c>
      <c r="N179">
        <f>IFERROR(COUNTIF(OFFSET('Schedule Raw Data'!$A$2,MATCH($A179,'Schedule Raw Data'!$A$3:$A$2477,0),1,COUNTIF('Schedule Raw Data'!$A$3:$A$2477,$A179),2),N$1),0)</f>
        <v>0</v>
      </c>
      <c r="O179">
        <f>IFERROR(COUNTIF(OFFSET('Schedule Raw Data'!$A$2,MATCH($A179,'Schedule Raw Data'!$A$3:$A$2477,0),1,COUNTIF('Schedule Raw Data'!$A$3:$A$2477,$A179),2),O$1),0)</f>
        <v>0</v>
      </c>
      <c r="P179">
        <f>IFERROR(COUNTIF(OFFSET('Schedule Raw Data'!$A$2,MATCH($A179,'Schedule Raw Data'!$A$3:$A$2477,0),1,COUNTIF('Schedule Raw Data'!$A$3:$A$2477,$A179),2),P$1),0)</f>
        <v>0</v>
      </c>
      <c r="Q179">
        <f>IFERROR(COUNTIF(OFFSET('Schedule Raw Data'!$A$2,MATCH($A179,'Schedule Raw Data'!$A$3:$A$2477,0),1,COUNTIF('Schedule Raw Data'!$A$3:$A$2477,$A179),2),Q$1),0)</f>
        <v>0</v>
      </c>
      <c r="R179">
        <f>IFERROR(COUNTIF(OFFSET('Schedule Raw Data'!$A$2,MATCH($A179,'Schedule Raw Data'!$A$3:$A$2477,0),1,COUNTIF('Schedule Raw Data'!$A$3:$A$2477,$A179),2),R$1),0)</f>
        <v>0</v>
      </c>
      <c r="S179">
        <f>IFERROR(COUNTIF(OFFSET('Schedule Raw Data'!$A$2,MATCH($A179,'Schedule Raw Data'!$A$3:$A$2477,0),1,COUNTIF('Schedule Raw Data'!$A$3:$A$2477,$A179),2),S$1),0)</f>
        <v>0</v>
      </c>
      <c r="T179">
        <f>IFERROR(COUNTIF(OFFSET('Schedule Raw Data'!$A$2,MATCH($A179,'Schedule Raw Data'!$A$3:$A$2477,0),1,COUNTIF('Schedule Raw Data'!$A$3:$A$2477,$A179),2),T$1),0)</f>
        <v>0</v>
      </c>
      <c r="U179">
        <f>IFERROR(COUNTIF(OFFSET('Schedule Raw Data'!$A$2,MATCH($A179,'Schedule Raw Data'!$A$3:$A$2477,0),1,COUNTIF('Schedule Raw Data'!$A$3:$A$2477,$A179),2),U$1),0)</f>
        <v>0</v>
      </c>
      <c r="V179">
        <f>IFERROR(COUNTIF(OFFSET('Schedule Raw Data'!$A$2,MATCH($A179,'Schedule Raw Data'!$A$3:$A$2477,0),1,COUNTIF('Schedule Raw Data'!$A$3:$A$2477,$A179),2),V$1),0)</f>
        <v>0</v>
      </c>
      <c r="W179">
        <f>IFERROR(COUNTIF(OFFSET('Schedule Raw Data'!$A$2,MATCH($A179,'Schedule Raw Data'!$A$3:$A$2477,0),1,COUNTIF('Schedule Raw Data'!$A$3:$A$2477,$A179),2),W$1),0)</f>
        <v>0</v>
      </c>
      <c r="X179">
        <f>IFERROR(COUNTIF(OFFSET('Schedule Raw Data'!$A$2,MATCH($A179,'Schedule Raw Data'!$A$3:$A$2477,0),1,COUNTIF('Schedule Raw Data'!$A$3:$A$2477,$A179),2),X$1),0)</f>
        <v>0</v>
      </c>
      <c r="Y179">
        <f>IFERROR(COUNTIF(OFFSET('Schedule Raw Data'!$A$2,MATCH($A179,'Schedule Raw Data'!$A$3:$A$2477,0),1,COUNTIF('Schedule Raw Data'!$A$3:$A$2477,$A179),2),Y$1),0)</f>
        <v>0</v>
      </c>
      <c r="Z179">
        <f>IFERROR(COUNTIF(OFFSET('Schedule Raw Data'!$A$2,MATCH($A179,'Schedule Raw Data'!$A$3:$A$2477,0),1,COUNTIF('Schedule Raw Data'!$A$3:$A$2477,$A179),2),Z$1),0)</f>
        <v>0</v>
      </c>
      <c r="AA179">
        <f>IFERROR(COUNTIF(OFFSET('Schedule Raw Data'!$A$2,MATCH($A179,'Schedule Raw Data'!$A$3:$A$2477,0),1,COUNTIF('Schedule Raw Data'!$A$3:$A$2477,$A179),2),AA$1),0)</f>
        <v>0</v>
      </c>
      <c r="AB179">
        <f>IFERROR(COUNTIF(OFFSET('Schedule Raw Data'!$A$2,MATCH($A179,'Schedule Raw Data'!$A$3:$A$2477,0),1,COUNTIF('Schedule Raw Data'!$A$3:$A$2477,$A179),2),AB$1),0)</f>
        <v>0</v>
      </c>
      <c r="AC179">
        <f>IFERROR(COUNTIF(OFFSET('Schedule Raw Data'!$A$2,MATCH($A179,'Schedule Raw Data'!$A$3:$A$2477,0),1,COUNTIF('Schedule Raw Data'!$A$3:$A$2477,$A179),2),AC$1),0)</f>
        <v>0</v>
      </c>
      <c r="AD179">
        <f>IFERROR(COUNTIF(OFFSET('Schedule Raw Data'!$A$2,MATCH($A179,'Schedule Raw Data'!$A$3:$A$2477,0),1,COUNTIF('Schedule Raw Data'!$A$3:$A$2477,$A179),2),AD$1),0)</f>
        <v>0</v>
      </c>
      <c r="AE179">
        <f>IFERROR(COUNTIF(OFFSET('Schedule Raw Data'!$A$2,MATCH($A179,'Schedule Raw Data'!$A$3:$A$2477,0),1,COUNTIF('Schedule Raw Data'!$A$3:$A$2477,$A179),2),AE$1),0)</f>
        <v>0</v>
      </c>
      <c r="AF179">
        <f>IFERROR(COUNTIF(OFFSET('Schedule Raw Data'!$A$2,MATCH($A179,'Schedule Raw Data'!$A$3:$A$2477,0),1,COUNTIF('Schedule Raw Data'!$A$3:$A$2477,$A179),2),AF$1),0)</f>
        <v>0</v>
      </c>
      <c r="AG179">
        <f t="shared" si="1"/>
        <v>0</v>
      </c>
    </row>
    <row r="180">
      <c r="A180" s="30" t="str">
        <f t="array" ref="A180">INDEX('Schedule Raw Data'!$A$3:$A$2477,MATCH(0,INDEX(COUNTIF($A$1:A179,'Schedule Raw Data'!$A$3:$A$2477),0,0),0))</f>
        <v/>
      </c>
      <c r="B180">
        <f t="shared" si="2"/>
        <v>24</v>
      </c>
      <c r="C180">
        <f>IFERROR(COUNTIF(OFFSET('Schedule Raw Data'!$A$2,MATCH($A180,'Schedule Raw Data'!$A$3:$A$2477,0),1,COUNTIF('Schedule Raw Data'!$A$3:$A$2477,$A180),2),C$1),0)</f>
        <v>0</v>
      </c>
      <c r="D180">
        <f>IFERROR(COUNTIF(OFFSET('Schedule Raw Data'!$A$2,MATCH($A180,'Schedule Raw Data'!$A$3:$A$2477,0),1,COUNTIF('Schedule Raw Data'!$A$3:$A$2477,$A180),2),D$1),0)</f>
        <v>0</v>
      </c>
      <c r="E180">
        <f>IFERROR(COUNTIF(OFFSET('Schedule Raw Data'!$A$2,MATCH($A180,'Schedule Raw Data'!$A$3:$A$2477,0),1,COUNTIF('Schedule Raw Data'!$A$3:$A$2477,$A180),2),E$1),0)</f>
        <v>0</v>
      </c>
      <c r="F180">
        <f>IFERROR(COUNTIF(OFFSET('Schedule Raw Data'!$A$2,MATCH($A180,'Schedule Raw Data'!$A$3:$A$2477,0),1,COUNTIF('Schedule Raw Data'!$A$3:$A$2477,$A180),2),F$1),0)</f>
        <v>0</v>
      </c>
      <c r="G180">
        <f>IFERROR(COUNTIF(OFFSET('Schedule Raw Data'!$A$2,MATCH($A180,'Schedule Raw Data'!$A$3:$A$2477,0),1,COUNTIF('Schedule Raw Data'!$A$3:$A$2477,$A180),2),G$1),0)</f>
        <v>0</v>
      </c>
      <c r="H180">
        <f>IFERROR(COUNTIF(OFFSET('Schedule Raw Data'!$A$2,MATCH($A180,'Schedule Raw Data'!$A$3:$A$2477,0),1,COUNTIF('Schedule Raw Data'!$A$3:$A$2477,$A180),2),H$1),0)</f>
        <v>0</v>
      </c>
      <c r="I180">
        <f>IFERROR(COUNTIF(OFFSET('Schedule Raw Data'!$A$2,MATCH($A180,'Schedule Raw Data'!$A$3:$A$2477,0),1,COUNTIF('Schedule Raw Data'!$A$3:$A$2477,$A180),2),I$1),0)</f>
        <v>0</v>
      </c>
      <c r="J180">
        <f>IFERROR(COUNTIF(OFFSET('Schedule Raw Data'!$A$2,MATCH($A180,'Schedule Raw Data'!$A$3:$A$2477,0),1,COUNTIF('Schedule Raw Data'!$A$3:$A$2477,$A180),2),J$1),0)</f>
        <v>0</v>
      </c>
      <c r="K180">
        <f>IFERROR(COUNTIF(OFFSET('Schedule Raw Data'!$A$2,MATCH($A180,'Schedule Raw Data'!$A$3:$A$2477,0),1,COUNTIF('Schedule Raw Data'!$A$3:$A$2477,$A180),2),K$1),0)</f>
        <v>0</v>
      </c>
      <c r="L180">
        <f>IFERROR(COUNTIF(OFFSET('Schedule Raw Data'!$A$2,MATCH($A180,'Schedule Raw Data'!$A$3:$A$2477,0),1,COUNTIF('Schedule Raw Data'!$A$3:$A$2477,$A180),2),L$1),0)</f>
        <v>0</v>
      </c>
      <c r="M180">
        <f>IFERROR(COUNTIF(OFFSET('Schedule Raw Data'!$A$2,MATCH($A180,'Schedule Raw Data'!$A$3:$A$2477,0),1,COUNTIF('Schedule Raw Data'!$A$3:$A$2477,$A180),2),M$1),0)</f>
        <v>0</v>
      </c>
      <c r="N180">
        <f>IFERROR(COUNTIF(OFFSET('Schedule Raw Data'!$A$2,MATCH($A180,'Schedule Raw Data'!$A$3:$A$2477,0),1,COUNTIF('Schedule Raw Data'!$A$3:$A$2477,$A180),2),N$1),0)</f>
        <v>0</v>
      </c>
      <c r="O180">
        <f>IFERROR(COUNTIF(OFFSET('Schedule Raw Data'!$A$2,MATCH($A180,'Schedule Raw Data'!$A$3:$A$2477,0),1,COUNTIF('Schedule Raw Data'!$A$3:$A$2477,$A180),2),O$1),0)</f>
        <v>0</v>
      </c>
      <c r="P180">
        <f>IFERROR(COUNTIF(OFFSET('Schedule Raw Data'!$A$2,MATCH($A180,'Schedule Raw Data'!$A$3:$A$2477,0),1,COUNTIF('Schedule Raw Data'!$A$3:$A$2477,$A180),2),P$1),0)</f>
        <v>0</v>
      </c>
      <c r="Q180">
        <f>IFERROR(COUNTIF(OFFSET('Schedule Raw Data'!$A$2,MATCH($A180,'Schedule Raw Data'!$A$3:$A$2477,0),1,COUNTIF('Schedule Raw Data'!$A$3:$A$2477,$A180),2),Q$1),0)</f>
        <v>0</v>
      </c>
      <c r="R180">
        <f>IFERROR(COUNTIF(OFFSET('Schedule Raw Data'!$A$2,MATCH($A180,'Schedule Raw Data'!$A$3:$A$2477,0),1,COUNTIF('Schedule Raw Data'!$A$3:$A$2477,$A180),2),R$1),0)</f>
        <v>0</v>
      </c>
      <c r="S180">
        <f>IFERROR(COUNTIF(OFFSET('Schedule Raw Data'!$A$2,MATCH($A180,'Schedule Raw Data'!$A$3:$A$2477,0),1,COUNTIF('Schedule Raw Data'!$A$3:$A$2477,$A180),2),S$1),0)</f>
        <v>0</v>
      </c>
      <c r="T180">
        <f>IFERROR(COUNTIF(OFFSET('Schedule Raw Data'!$A$2,MATCH($A180,'Schedule Raw Data'!$A$3:$A$2477,0),1,COUNTIF('Schedule Raw Data'!$A$3:$A$2477,$A180),2),T$1),0)</f>
        <v>0</v>
      </c>
      <c r="U180">
        <f>IFERROR(COUNTIF(OFFSET('Schedule Raw Data'!$A$2,MATCH($A180,'Schedule Raw Data'!$A$3:$A$2477,0),1,COUNTIF('Schedule Raw Data'!$A$3:$A$2477,$A180),2),U$1),0)</f>
        <v>0</v>
      </c>
      <c r="V180">
        <f>IFERROR(COUNTIF(OFFSET('Schedule Raw Data'!$A$2,MATCH($A180,'Schedule Raw Data'!$A$3:$A$2477,0),1,COUNTIF('Schedule Raw Data'!$A$3:$A$2477,$A180),2),V$1),0)</f>
        <v>0</v>
      </c>
      <c r="W180">
        <f>IFERROR(COUNTIF(OFFSET('Schedule Raw Data'!$A$2,MATCH($A180,'Schedule Raw Data'!$A$3:$A$2477,0),1,COUNTIF('Schedule Raw Data'!$A$3:$A$2477,$A180),2),W$1),0)</f>
        <v>0</v>
      </c>
      <c r="X180">
        <f>IFERROR(COUNTIF(OFFSET('Schedule Raw Data'!$A$2,MATCH($A180,'Schedule Raw Data'!$A$3:$A$2477,0),1,COUNTIF('Schedule Raw Data'!$A$3:$A$2477,$A180),2),X$1),0)</f>
        <v>0</v>
      </c>
      <c r="Y180">
        <f>IFERROR(COUNTIF(OFFSET('Schedule Raw Data'!$A$2,MATCH($A180,'Schedule Raw Data'!$A$3:$A$2477,0),1,COUNTIF('Schedule Raw Data'!$A$3:$A$2477,$A180),2),Y$1),0)</f>
        <v>0</v>
      </c>
      <c r="Z180">
        <f>IFERROR(COUNTIF(OFFSET('Schedule Raw Data'!$A$2,MATCH($A180,'Schedule Raw Data'!$A$3:$A$2477,0),1,COUNTIF('Schedule Raw Data'!$A$3:$A$2477,$A180),2),Z$1),0)</f>
        <v>0</v>
      </c>
      <c r="AA180">
        <f>IFERROR(COUNTIF(OFFSET('Schedule Raw Data'!$A$2,MATCH($A180,'Schedule Raw Data'!$A$3:$A$2477,0),1,COUNTIF('Schedule Raw Data'!$A$3:$A$2477,$A180),2),AA$1),0)</f>
        <v>0</v>
      </c>
      <c r="AB180">
        <f>IFERROR(COUNTIF(OFFSET('Schedule Raw Data'!$A$2,MATCH($A180,'Schedule Raw Data'!$A$3:$A$2477,0),1,COUNTIF('Schedule Raw Data'!$A$3:$A$2477,$A180),2),AB$1),0)</f>
        <v>0</v>
      </c>
      <c r="AC180">
        <f>IFERROR(COUNTIF(OFFSET('Schedule Raw Data'!$A$2,MATCH($A180,'Schedule Raw Data'!$A$3:$A$2477,0),1,COUNTIF('Schedule Raw Data'!$A$3:$A$2477,$A180),2),AC$1),0)</f>
        <v>0</v>
      </c>
      <c r="AD180">
        <f>IFERROR(COUNTIF(OFFSET('Schedule Raw Data'!$A$2,MATCH($A180,'Schedule Raw Data'!$A$3:$A$2477,0),1,COUNTIF('Schedule Raw Data'!$A$3:$A$2477,$A180),2),AD$1),0)</f>
        <v>0</v>
      </c>
      <c r="AE180">
        <f>IFERROR(COUNTIF(OFFSET('Schedule Raw Data'!$A$2,MATCH($A180,'Schedule Raw Data'!$A$3:$A$2477,0),1,COUNTIF('Schedule Raw Data'!$A$3:$A$2477,$A180),2),AE$1),0)</f>
        <v>0</v>
      </c>
      <c r="AF180">
        <f>IFERROR(COUNTIF(OFFSET('Schedule Raw Data'!$A$2,MATCH($A180,'Schedule Raw Data'!$A$3:$A$2477,0),1,COUNTIF('Schedule Raw Data'!$A$3:$A$2477,$A180),2),AF$1),0)</f>
        <v>0</v>
      </c>
      <c r="AG180">
        <f t="shared" si="1"/>
        <v>0</v>
      </c>
    </row>
    <row r="181">
      <c r="A181" s="30" t="str">
        <f t="array" ref="A181">INDEX('Schedule Raw Data'!$A$3:$A$2477,MATCH(0,INDEX(COUNTIF($A$1:A180,'Schedule Raw Data'!$A$3:$A$2477),0,0),0))</f>
        <v/>
      </c>
      <c r="B181">
        <f t="shared" si="2"/>
        <v>24</v>
      </c>
      <c r="C181">
        <f>IFERROR(COUNTIF(OFFSET('Schedule Raw Data'!$A$2,MATCH($A181,'Schedule Raw Data'!$A$3:$A$2477,0),1,COUNTIF('Schedule Raw Data'!$A$3:$A$2477,$A181),2),C$1),0)</f>
        <v>0</v>
      </c>
      <c r="D181">
        <f>IFERROR(COUNTIF(OFFSET('Schedule Raw Data'!$A$2,MATCH($A181,'Schedule Raw Data'!$A$3:$A$2477,0),1,COUNTIF('Schedule Raw Data'!$A$3:$A$2477,$A181),2),D$1),0)</f>
        <v>0</v>
      </c>
      <c r="E181">
        <f>IFERROR(COUNTIF(OFFSET('Schedule Raw Data'!$A$2,MATCH($A181,'Schedule Raw Data'!$A$3:$A$2477,0),1,COUNTIF('Schedule Raw Data'!$A$3:$A$2477,$A181),2),E$1),0)</f>
        <v>0</v>
      </c>
      <c r="F181">
        <f>IFERROR(COUNTIF(OFFSET('Schedule Raw Data'!$A$2,MATCH($A181,'Schedule Raw Data'!$A$3:$A$2477,0),1,COUNTIF('Schedule Raw Data'!$A$3:$A$2477,$A181),2),F$1),0)</f>
        <v>0</v>
      </c>
      <c r="G181">
        <f>IFERROR(COUNTIF(OFFSET('Schedule Raw Data'!$A$2,MATCH($A181,'Schedule Raw Data'!$A$3:$A$2477,0),1,COUNTIF('Schedule Raw Data'!$A$3:$A$2477,$A181),2),G$1),0)</f>
        <v>0</v>
      </c>
      <c r="H181">
        <f>IFERROR(COUNTIF(OFFSET('Schedule Raw Data'!$A$2,MATCH($A181,'Schedule Raw Data'!$A$3:$A$2477,0),1,COUNTIF('Schedule Raw Data'!$A$3:$A$2477,$A181),2),H$1),0)</f>
        <v>0</v>
      </c>
      <c r="I181">
        <f>IFERROR(COUNTIF(OFFSET('Schedule Raw Data'!$A$2,MATCH($A181,'Schedule Raw Data'!$A$3:$A$2477,0),1,COUNTIF('Schedule Raw Data'!$A$3:$A$2477,$A181),2),I$1),0)</f>
        <v>0</v>
      </c>
      <c r="J181">
        <f>IFERROR(COUNTIF(OFFSET('Schedule Raw Data'!$A$2,MATCH($A181,'Schedule Raw Data'!$A$3:$A$2477,0),1,COUNTIF('Schedule Raw Data'!$A$3:$A$2477,$A181),2),J$1),0)</f>
        <v>0</v>
      </c>
      <c r="K181">
        <f>IFERROR(COUNTIF(OFFSET('Schedule Raw Data'!$A$2,MATCH($A181,'Schedule Raw Data'!$A$3:$A$2477,0),1,COUNTIF('Schedule Raw Data'!$A$3:$A$2477,$A181),2),K$1),0)</f>
        <v>0</v>
      </c>
      <c r="L181">
        <f>IFERROR(COUNTIF(OFFSET('Schedule Raw Data'!$A$2,MATCH($A181,'Schedule Raw Data'!$A$3:$A$2477,0),1,COUNTIF('Schedule Raw Data'!$A$3:$A$2477,$A181),2),L$1),0)</f>
        <v>0</v>
      </c>
      <c r="M181">
        <f>IFERROR(COUNTIF(OFFSET('Schedule Raw Data'!$A$2,MATCH($A181,'Schedule Raw Data'!$A$3:$A$2477,0),1,COUNTIF('Schedule Raw Data'!$A$3:$A$2477,$A181),2),M$1),0)</f>
        <v>0</v>
      </c>
      <c r="N181">
        <f>IFERROR(COUNTIF(OFFSET('Schedule Raw Data'!$A$2,MATCH($A181,'Schedule Raw Data'!$A$3:$A$2477,0),1,COUNTIF('Schedule Raw Data'!$A$3:$A$2477,$A181),2),N$1),0)</f>
        <v>0</v>
      </c>
      <c r="O181">
        <f>IFERROR(COUNTIF(OFFSET('Schedule Raw Data'!$A$2,MATCH($A181,'Schedule Raw Data'!$A$3:$A$2477,0),1,COUNTIF('Schedule Raw Data'!$A$3:$A$2477,$A181),2),O$1),0)</f>
        <v>0</v>
      </c>
      <c r="P181">
        <f>IFERROR(COUNTIF(OFFSET('Schedule Raw Data'!$A$2,MATCH($A181,'Schedule Raw Data'!$A$3:$A$2477,0),1,COUNTIF('Schedule Raw Data'!$A$3:$A$2477,$A181),2),P$1),0)</f>
        <v>0</v>
      </c>
      <c r="Q181">
        <f>IFERROR(COUNTIF(OFFSET('Schedule Raw Data'!$A$2,MATCH($A181,'Schedule Raw Data'!$A$3:$A$2477,0),1,COUNTIF('Schedule Raw Data'!$A$3:$A$2477,$A181),2),Q$1),0)</f>
        <v>0</v>
      </c>
      <c r="R181">
        <f>IFERROR(COUNTIF(OFFSET('Schedule Raw Data'!$A$2,MATCH($A181,'Schedule Raw Data'!$A$3:$A$2477,0),1,COUNTIF('Schedule Raw Data'!$A$3:$A$2477,$A181),2),R$1),0)</f>
        <v>0</v>
      </c>
      <c r="S181">
        <f>IFERROR(COUNTIF(OFFSET('Schedule Raw Data'!$A$2,MATCH($A181,'Schedule Raw Data'!$A$3:$A$2477,0),1,COUNTIF('Schedule Raw Data'!$A$3:$A$2477,$A181),2),S$1),0)</f>
        <v>0</v>
      </c>
      <c r="T181">
        <f>IFERROR(COUNTIF(OFFSET('Schedule Raw Data'!$A$2,MATCH($A181,'Schedule Raw Data'!$A$3:$A$2477,0),1,COUNTIF('Schedule Raw Data'!$A$3:$A$2477,$A181),2),T$1),0)</f>
        <v>0</v>
      </c>
      <c r="U181">
        <f>IFERROR(COUNTIF(OFFSET('Schedule Raw Data'!$A$2,MATCH($A181,'Schedule Raw Data'!$A$3:$A$2477,0),1,COUNTIF('Schedule Raw Data'!$A$3:$A$2477,$A181),2),U$1),0)</f>
        <v>0</v>
      </c>
      <c r="V181">
        <f>IFERROR(COUNTIF(OFFSET('Schedule Raw Data'!$A$2,MATCH($A181,'Schedule Raw Data'!$A$3:$A$2477,0),1,COUNTIF('Schedule Raw Data'!$A$3:$A$2477,$A181),2),V$1),0)</f>
        <v>0</v>
      </c>
      <c r="W181">
        <f>IFERROR(COUNTIF(OFFSET('Schedule Raw Data'!$A$2,MATCH($A181,'Schedule Raw Data'!$A$3:$A$2477,0),1,COUNTIF('Schedule Raw Data'!$A$3:$A$2477,$A181),2),W$1),0)</f>
        <v>0</v>
      </c>
      <c r="X181">
        <f>IFERROR(COUNTIF(OFFSET('Schedule Raw Data'!$A$2,MATCH($A181,'Schedule Raw Data'!$A$3:$A$2477,0),1,COUNTIF('Schedule Raw Data'!$A$3:$A$2477,$A181),2),X$1),0)</f>
        <v>0</v>
      </c>
      <c r="Y181">
        <f>IFERROR(COUNTIF(OFFSET('Schedule Raw Data'!$A$2,MATCH($A181,'Schedule Raw Data'!$A$3:$A$2477,0),1,COUNTIF('Schedule Raw Data'!$A$3:$A$2477,$A181),2),Y$1),0)</f>
        <v>0</v>
      </c>
      <c r="Z181">
        <f>IFERROR(COUNTIF(OFFSET('Schedule Raw Data'!$A$2,MATCH($A181,'Schedule Raw Data'!$A$3:$A$2477,0),1,COUNTIF('Schedule Raw Data'!$A$3:$A$2477,$A181),2),Z$1),0)</f>
        <v>0</v>
      </c>
      <c r="AA181">
        <f>IFERROR(COUNTIF(OFFSET('Schedule Raw Data'!$A$2,MATCH($A181,'Schedule Raw Data'!$A$3:$A$2477,0),1,COUNTIF('Schedule Raw Data'!$A$3:$A$2477,$A181),2),AA$1),0)</f>
        <v>0</v>
      </c>
      <c r="AB181">
        <f>IFERROR(COUNTIF(OFFSET('Schedule Raw Data'!$A$2,MATCH($A181,'Schedule Raw Data'!$A$3:$A$2477,0),1,COUNTIF('Schedule Raw Data'!$A$3:$A$2477,$A181),2),AB$1),0)</f>
        <v>0</v>
      </c>
      <c r="AC181">
        <f>IFERROR(COUNTIF(OFFSET('Schedule Raw Data'!$A$2,MATCH($A181,'Schedule Raw Data'!$A$3:$A$2477,0),1,COUNTIF('Schedule Raw Data'!$A$3:$A$2477,$A181),2),AC$1),0)</f>
        <v>0</v>
      </c>
      <c r="AD181">
        <f>IFERROR(COUNTIF(OFFSET('Schedule Raw Data'!$A$2,MATCH($A181,'Schedule Raw Data'!$A$3:$A$2477,0),1,COUNTIF('Schedule Raw Data'!$A$3:$A$2477,$A181),2),AD$1),0)</f>
        <v>0</v>
      </c>
      <c r="AE181">
        <f>IFERROR(COUNTIF(OFFSET('Schedule Raw Data'!$A$2,MATCH($A181,'Schedule Raw Data'!$A$3:$A$2477,0),1,COUNTIF('Schedule Raw Data'!$A$3:$A$2477,$A181),2),AE$1),0)</f>
        <v>0</v>
      </c>
      <c r="AF181">
        <f>IFERROR(COUNTIF(OFFSET('Schedule Raw Data'!$A$2,MATCH($A181,'Schedule Raw Data'!$A$3:$A$2477,0),1,COUNTIF('Schedule Raw Data'!$A$3:$A$2477,$A181),2),AF$1),0)</f>
        <v>0</v>
      </c>
      <c r="AG181">
        <f t="shared" si="1"/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.75"/>
    <col customWidth="1" min="3" max="5" width="4.25"/>
    <col customWidth="1" min="6" max="6" width="3.63"/>
    <col customWidth="1" min="7" max="8" width="4.0"/>
    <col customWidth="1" min="9" max="9" width="4.25"/>
    <col customWidth="1" min="10" max="10" width="4.13"/>
    <col customWidth="1" min="11" max="11" width="4.75"/>
    <col customWidth="1" min="12" max="12" width="4.5"/>
    <col customWidth="1" min="13" max="13" width="3.63"/>
    <col customWidth="1" min="14" max="14" width="4.0"/>
    <col customWidth="1" min="15" max="15" width="3.75"/>
    <col customWidth="1" min="16" max="16" width="4.63"/>
    <col customWidth="1" min="17" max="17" width="3.75"/>
    <col customWidth="1" min="18" max="18" width="3.63"/>
    <col customWidth="1" min="19" max="19" width="3.88"/>
    <col customWidth="1" min="20" max="20" width="4.5"/>
    <col customWidth="1" min="21" max="21" width="4.25"/>
    <col customWidth="1" min="22" max="22" width="4.38"/>
    <col customWidth="1" min="23" max="23" width="4.25"/>
    <col customWidth="1" min="24" max="24" width="3.63"/>
    <col customWidth="1" min="25" max="26" width="4.38"/>
    <col customWidth="1" min="27" max="27" width="4.25"/>
    <col customWidth="1" min="28" max="28" width="4.13"/>
    <col customWidth="1" min="29" max="29" width="4.25"/>
    <col customWidth="1" min="30" max="30" width="4.0"/>
    <col customWidth="1" min="31" max="31" width="4.5"/>
  </cols>
  <sheetData>
    <row r="1">
      <c r="A1" s="17" t="str">
        <f>'Schedule Daily'!B1</f>
        <v>Week</v>
      </c>
      <c r="B1" s="17" t="str">
        <f>'Schedule Daily'!C1</f>
        <v>ATL</v>
      </c>
      <c r="C1" s="17" t="str">
        <f>'Schedule Daily'!D1</f>
        <v>BRK</v>
      </c>
      <c r="D1" s="17" t="str">
        <f>'Schedule Daily'!E1</f>
        <v>BOS</v>
      </c>
      <c r="E1" s="17" t="str">
        <f>'Schedule Daily'!F1</f>
        <v>CHO</v>
      </c>
      <c r="F1" s="17" t="str">
        <f>'Schedule Daily'!G1</f>
        <v>CHI</v>
      </c>
      <c r="G1" s="17" t="str">
        <f>'Schedule Daily'!H1</f>
        <v>CLE</v>
      </c>
      <c r="H1" s="17" t="str">
        <f>'Schedule Daily'!I1</f>
        <v>DAL</v>
      </c>
      <c r="I1" s="17" t="str">
        <f>'Schedule Daily'!J1</f>
        <v>DEN</v>
      </c>
      <c r="J1" s="17" t="str">
        <f>'Schedule Daily'!K1</f>
        <v>DET</v>
      </c>
      <c r="K1" s="17" t="str">
        <f>'Schedule Daily'!L1</f>
        <v>GSW</v>
      </c>
      <c r="L1" s="17" t="str">
        <f>'Schedule Daily'!M1</f>
        <v>HOU</v>
      </c>
      <c r="M1" s="17" t="str">
        <f>'Schedule Daily'!N1</f>
        <v>IND</v>
      </c>
      <c r="N1" s="17" t="str">
        <f>'Schedule Daily'!O1</f>
        <v>LAC</v>
      </c>
      <c r="O1" s="17" t="str">
        <f>'Schedule Daily'!P1</f>
        <v>LAL</v>
      </c>
      <c r="P1" s="17" t="str">
        <f>'Schedule Daily'!Q1</f>
        <v>MEM</v>
      </c>
      <c r="Q1" s="17" t="str">
        <f>'Schedule Daily'!R1</f>
        <v>MIA</v>
      </c>
      <c r="R1" s="17" t="str">
        <f>'Schedule Daily'!S1</f>
        <v>MIL</v>
      </c>
      <c r="S1" s="17" t="str">
        <f>'Schedule Daily'!T1</f>
        <v>MIN</v>
      </c>
      <c r="T1" s="17" t="str">
        <f>'Schedule Daily'!U1</f>
        <v>NOP</v>
      </c>
      <c r="U1" s="17" t="str">
        <f>'Schedule Daily'!V1</f>
        <v>NYK</v>
      </c>
      <c r="V1" s="17" t="str">
        <f>'Schedule Daily'!W1</f>
        <v>OKC</v>
      </c>
      <c r="W1" s="17" t="str">
        <f>'Schedule Daily'!X1</f>
        <v>ORL</v>
      </c>
      <c r="X1" s="17" t="str">
        <f>'Schedule Daily'!Y1</f>
        <v>PHI</v>
      </c>
      <c r="Y1" s="17" t="str">
        <f>'Schedule Daily'!Z1</f>
        <v>PHO</v>
      </c>
      <c r="Z1" s="17" t="str">
        <f>'Schedule Daily'!AA1</f>
        <v>POR</v>
      </c>
      <c r="AA1" s="17" t="str">
        <f>'Schedule Daily'!AB1</f>
        <v>SAC</v>
      </c>
      <c r="AB1" s="17" t="str">
        <f>'Schedule Daily'!AC1</f>
        <v>SAS</v>
      </c>
      <c r="AC1" s="17" t="str">
        <f>'Schedule Daily'!AD1</f>
        <v>TOR</v>
      </c>
      <c r="AD1" s="17" t="str">
        <f>'Schedule Daily'!AE1</f>
        <v>UTA</v>
      </c>
      <c r="AE1" s="17" t="str">
        <f>'Schedule Daily'!AF1</f>
        <v>WAS</v>
      </c>
    </row>
    <row r="2">
      <c r="A2" s="17">
        <v>1.0</v>
      </c>
      <c r="B2">
        <f t="array" ref="B2">IFERROR(COUNTIF(OFFSET(INDEX('Schedule Daily'!$A:$A,MATCH($A2,'Schedule Daily'!$B:$B,0)),0,COLUMN(B2),COUNTIF('Schedule Daily'!$B:$B,$A2),1),1),0)</f>
        <v>3</v>
      </c>
      <c r="C2">
        <f t="array" ref="C2">IFERROR(COUNTIF(OFFSET(INDEX('Schedule Daily'!$A:$A,MATCH($A2,'Schedule Daily'!$B:$B,0)),0,COLUMN(C2),COUNTIF('Schedule Daily'!$B:$B,$A2),1),1),0)</f>
        <v>3</v>
      </c>
      <c r="D2">
        <f t="array" ref="D2">IFERROR(COUNTIF(OFFSET(INDEX('Schedule Daily'!$A:$A,MATCH($A2,'Schedule Daily'!$B:$B,0)),0,COLUMN(D2),COUNTIF('Schedule Daily'!$B:$B,$A2),1),1),0)</f>
        <v>1</v>
      </c>
      <c r="E2">
        <f t="array" ref="E2">IFERROR(COUNTIF(OFFSET(INDEX('Schedule Daily'!$A:$A,MATCH($A2,'Schedule Daily'!$B:$B,0)),0,COLUMN(E2),COUNTIF('Schedule Daily'!$B:$B,$A2),1),1),0)</f>
        <v>3</v>
      </c>
      <c r="F2">
        <f t="array" ref="F2">IFERROR(COUNTIF(OFFSET(INDEX('Schedule Daily'!$A:$A,MATCH($A2,'Schedule Daily'!$B:$B,0)),0,COLUMN(F2),COUNTIF('Schedule Daily'!$B:$B,$A2),1),1),0)</f>
        <v>3</v>
      </c>
      <c r="G2">
        <f t="array" ref="G2">IFERROR(COUNTIF(OFFSET(INDEX('Schedule Daily'!$A:$A,MATCH($A2,'Schedule Daily'!$B:$B,0)),0,COLUMN(G2),COUNTIF('Schedule Daily'!$B:$B,$A2),1),1),0)</f>
        <v>2</v>
      </c>
      <c r="H2">
        <f t="array" ref="H2">IFERROR(COUNTIF(OFFSET(INDEX('Schedule Daily'!$A:$A,MATCH($A2,'Schedule Daily'!$B:$B,0)),0,COLUMN(H2),COUNTIF('Schedule Daily'!$B:$B,$A2),1),1),0)</f>
        <v>3</v>
      </c>
      <c r="I2">
        <f t="array" ref="I2">IFERROR(COUNTIF(OFFSET(INDEX('Schedule Daily'!$A:$A,MATCH($A2,'Schedule Daily'!$B:$B,0)),0,COLUMN(I2),COUNTIF('Schedule Daily'!$B:$B,$A2),1),1),0)</f>
        <v>2</v>
      </c>
      <c r="J2">
        <f t="array" ref="J2">IFERROR(COUNTIF(OFFSET(INDEX('Schedule Daily'!$A:$A,MATCH($A2,'Schedule Daily'!$B:$B,0)),0,COLUMN(J2),COUNTIF('Schedule Daily'!$B:$B,$A2),1),1),0)</f>
        <v>2</v>
      </c>
      <c r="K2">
        <f t="array" ref="K2">IFERROR(COUNTIF(OFFSET(INDEX('Schedule Daily'!$A:$A,MATCH($A2,'Schedule Daily'!$B:$B,0)),0,COLUMN(K2),COUNTIF('Schedule Daily'!$B:$B,$A2),1),1),0)</f>
        <v>3</v>
      </c>
      <c r="L2">
        <f t="array" ref="L2">IFERROR(COUNTIF(OFFSET(INDEX('Schedule Daily'!$A:$A,MATCH($A2,'Schedule Daily'!$B:$B,0)),0,COLUMN(L2),COUNTIF('Schedule Daily'!$B:$B,$A2),1),1),0)</f>
        <v>3</v>
      </c>
      <c r="M2">
        <f t="array" ref="M2">IFERROR(COUNTIF(OFFSET(INDEX('Schedule Daily'!$A:$A,MATCH($A2,'Schedule Daily'!$B:$B,0)),0,COLUMN(M2),COUNTIF('Schedule Daily'!$B:$B,$A2),1),1),0)</f>
        <v>3</v>
      </c>
      <c r="N2">
        <f t="array" ref="N2">IFERROR(COUNTIF(OFFSET(INDEX('Schedule Daily'!$A:$A,MATCH($A2,'Schedule Daily'!$B:$B,0)),0,COLUMN(N2),COUNTIF('Schedule Daily'!$B:$B,$A2),1),1),0)</f>
        <v>3</v>
      </c>
      <c r="O2">
        <f t="array" ref="O2">IFERROR(COUNTIF(OFFSET(INDEX('Schedule Daily'!$A:$A,MATCH($A2,'Schedule Daily'!$B:$B,0)),0,COLUMN(O2),COUNTIF('Schedule Daily'!$B:$B,$A2),1),1),0)</f>
        <v>3</v>
      </c>
      <c r="P2">
        <f t="array" ref="P2">IFERROR(COUNTIF(OFFSET(INDEX('Schedule Daily'!$A:$A,MATCH($A2,'Schedule Daily'!$B:$B,0)),0,COLUMN(P2),COUNTIF('Schedule Daily'!$B:$B,$A2),1),1),0)</f>
        <v>3</v>
      </c>
      <c r="Q2">
        <f t="array" ref="Q2">IFERROR(COUNTIF(OFFSET(INDEX('Schedule Daily'!$A:$A,MATCH($A2,'Schedule Daily'!$B:$B,0)),0,COLUMN(Q2),COUNTIF('Schedule Daily'!$B:$B,$A2),1),1),0)</f>
        <v>3</v>
      </c>
      <c r="R2">
        <f t="array" ref="R2">IFERROR(COUNTIF(OFFSET(INDEX('Schedule Daily'!$A:$A,MATCH($A2,'Schedule Daily'!$B:$B,0)),0,COLUMN(R2),COUNTIF('Schedule Daily'!$B:$B,$A2),1),1),0)</f>
        <v>3</v>
      </c>
      <c r="S2">
        <f t="array" ref="S2">IFERROR(COUNTIF(OFFSET(INDEX('Schedule Daily'!$A:$A,MATCH($A2,'Schedule Daily'!$B:$B,0)),0,COLUMN(S2),COUNTIF('Schedule Daily'!$B:$B,$A2),1),1),0)</f>
        <v>3</v>
      </c>
      <c r="T2">
        <f t="array" ref="T2">IFERROR(COUNTIF(OFFSET(INDEX('Schedule Daily'!$A:$A,MATCH($A2,'Schedule Daily'!$B:$B,0)),0,COLUMN(T2),COUNTIF('Schedule Daily'!$B:$B,$A2),1),1),0)</f>
        <v>3</v>
      </c>
      <c r="U2">
        <f t="array" ref="U2">IFERROR(COUNTIF(OFFSET(INDEX('Schedule Daily'!$A:$A,MATCH($A2,'Schedule Daily'!$B:$B,0)),0,COLUMN(U2),COUNTIF('Schedule Daily'!$B:$B,$A2),1),1),0)</f>
        <v>3</v>
      </c>
      <c r="V2">
        <f t="array" ref="V2">IFERROR(COUNTIF(OFFSET(INDEX('Schedule Daily'!$A:$A,MATCH($A2,'Schedule Daily'!$B:$B,0)),0,COLUMN(V2),COUNTIF('Schedule Daily'!$B:$B,$A2),1),1),0)</f>
        <v>3</v>
      </c>
      <c r="W2">
        <f t="array" ref="W2">IFERROR(COUNTIF(OFFSET(INDEX('Schedule Daily'!$A:$A,MATCH($A2,'Schedule Daily'!$B:$B,0)),0,COLUMN(W2),COUNTIF('Schedule Daily'!$B:$B,$A2),1),1),0)</f>
        <v>3</v>
      </c>
      <c r="X2">
        <f t="array" ref="X2">IFERROR(COUNTIF(OFFSET(INDEX('Schedule Daily'!$A:$A,MATCH($A2,'Schedule Daily'!$B:$B,0)),0,COLUMN(X2),COUNTIF('Schedule Daily'!$B:$B,$A2),1),1),0)</f>
        <v>4</v>
      </c>
      <c r="Y2">
        <f t="array" ref="Y2">IFERROR(COUNTIF(OFFSET(INDEX('Schedule Daily'!$A:$A,MATCH($A2,'Schedule Daily'!$B:$B,0)),0,COLUMN(Y2),COUNTIF('Schedule Daily'!$B:$B,$A2),1),1),0)</f>
        <v>2</v>
      </c>
      <c r="Z2">
        <f t="array" ref="Z2">IFERROR(COUNTIF(OFFSET(INDEX('Schedule Daily'!$A:$A,MATCH($A2,'Schedule Daily'!$B:$B,0)),0,COLUMN(Z2),COUNTIF('Schedule Daily'!$B:$B,$A2),1),1),0)</f>
        <v>2</v>
      </c>
      <c r="AA2">
        <f t="array" ref="AA2">IFERROR(COUNTIF(OFFSET(INDEX('Schedule Daily'!$A:$A,MATCH($A2,'Schedule Daily'!$B:$B,0)),0,COLUMN(AA2),COUNTIF('Schedule Daily'!$B:$B,$A2),1),1),0)</f>
        <v>3</v>
      </c>
      <c r="AB2">
        <f t="array" ref="AB2">IFERROR(COUNTIF(OFFSET(INDEX('Schedule Daily'!$A:$A,MATCH($A2,'Schedule Daily'!$B:$B,0)),0,COLUMN(AB2),COUNTIF('Schedule Daily'!$B:$B,$A2),1),1),0)</f>
        <v>3</v>
      </c>
      <c r="AC2">
        <f t="array" ref="AC2">IFERROR(COUNTIF(OFFSET(INDEX('Schedule Daily'!$A:$A,MATCH($A2,'Schedule Daily'!$B:$B,0)),0,COLUMN(AC2),COUNTIF('Schedule Daily'!$B:$B,$A2),1),1),0)</f>
        <v>3</v>
      </c>
      <c r="AD2">
        <f t="array" ref="AD2">IFERROR(COUNTIF(OFFSET(INDEX('Schedule Daily'!$A:$A,MATCH($A2,'Schedule Daily'!$B:$B,0)),0,COLUMN(AD2),COUNTIF('Schedule Daily'!$B:$B,$A2),1),1),0)</f>
        <v>3</v>
      </c>
      <c r="AE2">
        <f t="array" ref="AE2">IFERROR(COUNTIF(OFFSET(INDEX('Schedule Daily'!$A:$A,MATCH($A2,'Schedule Daily'!$B:$B,0)),0,COLUMN(AE2),COUNTIF('Schedule Daily'!$B:$B,$A2),1),1),0)</f>
        <v>3</v>
      </c>
    </row>
    <row r="3">
      <c r="A3">
        <f t="shared" ref="A3:A23" si="1">A2+1</f>
        <v>2</v>
      </c>
      <c r="B3">
        <f t="array" ref="B3">IFERROR(COUNTIF(OFFSET(INDEX('Schedule Daily'!$A:$A,MATCH($A3,'Schedule Daily'!$B:$B,0)),0,COLUMN(B3),COUNTIF('Schedule Daily'!$B:$B,$A3),1),1),0)</f>
        <v>4</v>
      </c>
      <c r="C3">
        <f t="array" ref="C3">IFERROR(COUNTIF(OFFSET(INDEX('Schedule Daily'!$A:$A,MATCH($A3,'Schedule Daily'!$B:$B,0)),0,COLUMN(C3),COUNTIF('Schedule Daily'!$B:$B,$A3),1),1),0)</f>
        <v>3</v>
      </c>
      <c r="D3">
        <f t="array" ref="D3">IFERROR(COUNTIF(OFFSET(INDEX('Schedule Daily'!$A:$A,MATCH($A3,'Schedule Daily'!$B:$B,0)),0,COLUMN(D3),COUNTIF('Schedule Daily'!$B:$B,$A3),1),1),0)</f>
        <v>4</v>
      </c>
      <c r="E3">
        <f t="array" ref="E3">IFERROR(COUNTIF(OFFSET(INDEX('Schedule Daily'!$A:$A,MATCH($A3,'Schedule Daily'!$B:$B,0)),0,COLUMN(E3),COUNTIF('Schedule Daily'!$B:$B,$A3),1),1),0)</f>
        <v>4</v>
      </c>
      <c r="F3">
        <f t="array" ref="F3">IFERROR(COUNTIF(OFFSET(INDEX('Schedule Daily'!$A:$A,MATCH($A3,'Schedule Daily'!$B:$B,0)),0,COLUMN(F3),COUNTIF('Schedule Daily'!$B:$B,$A3),1),1),0)</f>
        <v>3</v>
      </c>
      <c r="G3">
        <f t="array" ref="G3">IFERROR(COUNTIF(OFFSET(INDEX('Schedule Daily'!$A:$A,MATCH($A3,'Schedule Daily'!$B:$B,0)),0,COLUMN(G3),COUNTIF('Schedule Daily'!$B:$B,$A3),1),1),0)</f>
        <v>4</v>
      </c>
      <c r="H3">
        <f t="array" ref="H3">IFERROR(COUNTIF(OFFSET(INDEX('Schedule Daily'!$A:$A,MATCH($A3,'Schedule Daily'!$B:$B,0)),0,COLUMN(H3),COUNTIF('Schedule Daily'!$B:$B,$A3),1),1),0)</f>
        <v>3</v>
      </c>
      <c r="I3">
        <f t="array" ref="I3">IFERROR(COUNTIF(OFFSET(INDEX('Schedule Daily'!$A:$A,MATCH($A3,'Schedule Daily'!$B:$B,0)),0,COLUMN(I3),COUNTIF('Schedule Daily'!$B:$B,$A3),1),1),0)</f>
        <v>3</v>
      </c>
      <c r="J3">
        <f t="array" ref="J3">IFERROR(COUNTIF(OFFSET(INDEX('Schedule Daily'!$A:$A,MATCH($A3,'Schedule Daily'!$B:$B,0)),0,COLUMN(J3),COUNTIF('Schedule Daily'!$B:$B,$A3),1),1),0)</f>
        <v>3</v>
      </c>
      <c r="K3">
        <f t="array" ref="K3">IFERROR(COUNTIF(OFFSET(INDEX('Schedule Daily'!$A:$A,MATCH($A3,'Schedule Daily'!$B:$B,0)),0,COLUMN(K3),COUNTIF('Schedule Daily'!$B:$B,$A3),1),1),0)</f>
        <v>4</v>
      </c>
      <c r="L3">
        <f t="array" ref="L3">IFERROR(COUNTIF(OFFSET(INDEX('Schedule Daily'!$A:$A,MATCH($A3,'Schedule Daily'!$B:$B,0)),0,COLUMN(L3),COUNTIF('Schedule Daily'!$B:$B,$A3),1),1),0)</f>
        <v>4</v>
      </c>
      <c r="M3">
        <f t="array" ref="M3">IFERROR(COUNTIF(OFFSET(INDEX('Schedule Daily'!$A:$A,MATCH($A3,'Schedule Daily'!$B:$B,0)),0,COLUMN(M3),COUNTIF('Schedule Daily'!$B:$B,$A3),1),1),0)</f>
        <v>4</v>
      </c>
      <c r="N3">
        <f t="array" ref="N3">IFERROR(COUNTIF(OFFSET(INDEX('Schedule Daily'!$A:$A,MATCH($A3,'Schedule Daily'!$B:$B,0)),0,COLUMN(N3),COUNTIF('Schedule Daily'!$B:$B,$A3),1),1),0)</f>
        <v>3</v>
      </c>
      <c r="O3">
        <f t="array" ref="O3">IFERROR(COUNTIF(OFFSET(INDEX('Schedule Daily'!$A:$A,MATCH($A3,'Schedule Daily'!$B:$B,0)),0,COLUMN(O3),COUNTIF('Schedule Daily'!$B:$B,$A3),1),1),0)</f>
        <v>4</v>
      </c>
      <c r="P3">
        <f t="array" ref="P3">IFERROR(COUNTIF(OFFSET(INDEX('Schedule Daily'!$A:$A,MATCH($A3,'Schedule Daily'!$B:$B,0)),0,COLUMN(P3),COUNTIF('Schedule Daily'!$B:$B,$A3),1),1),0)</f>
        <v>3</v>
      </c>
      <c r="Q3">
        <f t="array" ref="Q3">IFERROR(COUNTIF(OFFSET(INDEX('Schedule Daily'!$A:$A,MATCH($A3,'Schedule Daily'!$B:$B,0)),0,COLUMN(Q3),COUNTIF('Schedule Daily'!$B:$B,$A3),1),1),0)</f>
        <v>3</v>
      </c>
      <c r="R3">
        <f t="array" ref="R3">IFERROR(COUNTIF(OFFSET(INDEX('Schedule Daily'!$A:$A,MATCH($A3,'Schedule Daily'!$B:$B,0)),0,COLUMN(R3),COUNTIF('Schedule Daily'!$B:$B,$A3),1),1),0)</f>
        <v>3</v>
      </c>
      <c r="S3">
        <f t="array" ref="S3">IFERROR(COUNTIF(OFFSET(INDEX('Schedule Daily'!$A:$A,MATCH($A3,'Schedule Daily'!$B:$B,0)),0,COLUMN(S3),COUNTIF('Schedule Daily'!$B:$B,$A3),1),1),0)</f>
        <v>4</v>
      </c>
      <c r="T3">
        <f t="array" ref="T3">IFERROR(COUNTIF(OFFSET(INDEX('Schedule Daily'!$A:$A,MATCH($A3,'Schedule Daily'!$B:$B,0)),0,COLUMN(T3),COUNTIF('Schedule Daily'!$B:$B,$A3),1),1),0)</f>
        <v>3</v>
      </c>
      <c r="U3">
        <f t="array" ref="U3">IFERROR(COUNTIF(OFFSET(INDEX('Schedule Daily'!$A:$A,MATCH($A3,'Schedule Daily'!$B:$B,0)),0,COLUMN(U3),COUNTIF('Schedule Daily'!$B:$B,$A3),1),1),0)</f>
        <v>3</v>
      </c>
      <c r="V3">
        <f t="array" ref="V3">IFERROR(COUNTIF(OFFSET(INDEX('Schedule Daily'!$A:$A,MATCH($A3,'Schedule Daily'!$B:$B,0)),0,COLUMN(V3),COUNTIF('Schedule Daily'!$B:$B,$A3),1),1),0)</f>
        <v>3</v>
      </c>
      <c r="W3">
        <f t="array" ref="W3">IFERROR(COUNTIF(OFFSET(INDEX('Schedule Daily'!$A:$A,MATCH($A3,'Schedule Daily'!$B:$B,0)),0,COLUMN(W3),COUNTIF('Schedule Daily'!$B:$B,$A3),1),1),0)</f>
        <v>3</v>
      </c>
      <c r="X3">
        <f t="array" ref="X3">IFERROR(COUNTIF(OFFSET(INDEX('Schedule Daily'!$A:$A,MATCH($A3,'Schedule Daily'!$B:$B,0)),0,COLUMN(X3),COUNTIF('Schedule Daily'!$B:$B,$A3),1),1),0)</f>
        <v>3</v>
      </c>
      <c r="Y3">
        <f t="array" ref="Y3">IFERROR(COUNTIF(OFFSET(INDEX('Schedule Daily'!$A:$A,MATCH($A3,'Schedule Daily'!$B:$B,0)),0,COLUMN(Y3),COUNTIF('Schedule Daily'!$B:$B,$A3),1),1),0)</f>
        <v>2</v>
      </c>
      <c r="Z3">
        <f t="array" ref="Z3">IFERROR(COUNTIF(OFFSET(INDEX('Schedule Daily'!$A:$A,MATCH($A3,'Schedule Daily'!$B:$B,0)),0,COLUMN(Z3),COUNTIF('Schedule Daily'!$B:$B,$A3),1),1),0)</f>
        <v>3</v>
      </c>
      <c r="AA3">
        <f t="array" ref="AA3">IFERROR(COUNTIF(OFFSET(INDEX('Schedule Daily'!$A:$A,MATCH($A3,'Schedule Daily'!$B:$B,0)),0,COLUMN(AA3),COUNTIF('Schedule Daily'!$B:$B,$A3),1),1),0)</f>
        <v>3</v>
      </c>
      <c r="AB3">
        <f t="array" ref="AB3">IFERROR(COUNTIF(OFFSET(INDEX('Schedule Daily'!$A:$A,MATCH($A3,'Schedule Daily'!$B:$B,0)),0,COLUMN(AB3),COUNTIF('Schedule Daily'!$B:$B,$A3),1),1),0)</f>
        <v>3</v>
      </c>
      <c r="AC3">
        <f t="array" ref="AC3">IFERROR(COUNTIF(OFFSET(INDEX('Schedule Daily'!$A:$A,MATCH($A3,'Schedule Daily'!$B:$B,0)),0,COLUMN(AC3),COUNTIF('Schedule Daily'!$B:$B,$A3),1),1),0)</f>
        <v>3</v>
      </c>
      <c r="AD3">
        <f t="array" ref="AD3">IFERROR(COUNTIF(OFFSET(INDEX('Schedule Daily'!$A:$A,MATCH($A3,'Schedule Daily'!$B:$B,0)),0,COLUMN(AD3),COUNTIF('Schedule Daily'!$B:$B,$A3),1),1),0)</f>
        <v>3</v>
      </c>
      <c r="AE3">
        <f t="array" ref="AE3">IFERROR(COUNTIF(OFFSET(INDEX('Schedule Daily'!$A:$A,MATCH($A3,'Schedule Daily'!$B:$B,0)),0,COLUMN(AE3),COUNTIF('Schedule Daily'!$B:$B,$A3),1),1),0)</f>
        <v>3</v>
      </c>
    </row>
    <row r="4">
      <c r="A4">
        <f t="shared" si="1"/>
        <v>3</v>
      </c>
      <c r="B4">
        <f t="array" ref="B4">IFERROR(COUNTIF(OFFSET(INDEX('Schedule Daily'!$A:$A,MATCH($A4,'Schedule Daily'!$B:$B,0)),0,COLUMN(B4),COUNTIF('Schedule Daily'!$B:$B,$A4),1),1),0)</f>
        <v>4</v>
      </c>
      <c r="C4">
        <f t="array" ref="C4">IFERROR(COUNTIF(OFFSET(INDEX('Schedule Daily'!$A:$A,MATCH($A4,'Schedule Daily'!$B:$B,0)),0,COLUMN(C4),COUNTIF('Schedule Daily'!$B:$B,$A4),1),1),0)</f>
        <v>4</v>
      </c>
      <c r="D4">
        <f t="array" ref="D4">IFERROR(COUNTIF(OFFSET(INDEX('Schedule Daily'!$A:$A,MATCH($A4,'Schedule Daily'!$B:$B,0)),0,COLUMN(D4),COUNTIF('Schedule Daily'!$B:$B,$A4),1),1),0)</f>
        <v>4</v>
      </c>
      <c r="E4">
        <f t="array" ref="E4">IFERROR(COUNTIF(OFFSET(INDEX('Schedule Daily'!$A:$A,MATCH($A4,'Schedule Daily'!$B:$B,0)),0,COLUMN(E4),COUNTIF('Schedule Daily'!$B:$B,$A4),1),1),0)</f>
        <v>3</v>
      </c>
      <c r="F4">
        <f t="array" ref="F4">IFERROR(COUNTIF(OFFSET(INDEX('Schedule Daily'!$A:$A,MATCH($A4,'Schedule Daily'!$B:$B,0)),0,COLUMN(F4),COUNTIF('Schedule Daily'!$B:$B,$A4),1),1),0)</f>
        <v>3</v>
      </c>
      <c r="G4">
        <f t="array" ref="G4">IFERROR(COUNTIF(OFFSET(INDEX('Schedule Daily'!$A:$A,MATCH($A4,'Schedule Daily'!$B:$B,0)),0,COLUMN(G4),COUNTIF('Schedule Daily'!$B:$B,$A4),1),1),0)</f>
        <v>4</v>
      </c>
      <c r="H4">
        <f t="array" ref="H4">IFERROR(COUNTIF(OFFSET(INDEX('Schedule Daily'!$A:$A,MATCH($A4,'Schedule Daily'!$B:$B,0)),0,COLUMN(H4),COUNTIF('Schedule Daily'!$B:$B,$A4),1),1),0)</f>
        <v>4</v>
      </c>
      <c r="I4">
        <f t="array" ref="I4">IFERROR(COUNTIF(OFFSET(INDEX('Schedule Daily'!$A:$A,MATCH($A4,'Schedule Daily'!$B:$B,0)),0,COLUMN(I4),COUNTIF('Schedule Daily'!$B:$B,$A4),1),1),0)</f>
        <v>3</v>
      </c>
      <c r="J4">
        <f t="array" ref="J4">IFERROR(COUNTIF(OFFSET(INDEX('Schedule Daily'!$A:$A,MATCH($A4,'Schedule Daily'!$B:$B,0)),0,COLUMN(J4),COUNTIF('Schedule Daily'!$B:$B,$A4),1),1),0)</f>
        <v>3</v>
      </c>
      <c r="K4">
        <f t="array" ref="K4">IFERROR(COUNTIF(OFFSET(INDEX('Schedule Daily'!$A:$A,MATCH($A4,'Schedule Daily'!$B:$B,0)),0,COLUMN(K4),COUNTIF('Schedule Daily'!$B:$B,$A4),1),1),0)</f>
        <v>3</v>
      </c>
      <c r="L4">
        <f t="array" ref="L4">IFERROR(COUNTIF(OFFSET(INDEX('Schedule Daily'!$A:$A,MATCH($A4,'Schedule Daily'!$B:$B,0)),0,COLUMN(L4),COUNTIF('Schedule Daily'!$B:$B,$A4),1),1),0)</f>
        <v>3</v>
      </c>
      <c r="M4">
        <f t="array" ref="M4">IFERROR(COUNTIF(OFFSET(INDEX('Schedule Daily'!$A:$A,MATCH($A4,'Schedule Daily'!$B:$B,0)),0,COLUMN(M4),COUNTIF('Schedule Daily'!$B:$B,$A4),1),1),0)</f>
        <v>3</v>
      </c>
      <c r="N4">
        <f t="array" ref="N4">IFERROR(COUNTIF(OFFSET(INDEX('Schedule Daily'!$A:$A,MATCH($A4,'Schedule Daily'!$B:$B,0)),0,COLUMN(N4),COUNTIF('Schedule Daily'!$B:$B,$A4),1),1),0)</f>
        <v>3</v>
      </c>
      <c r="O4">
        <f t="array" ref="O4">IFERROR(COUNTIF(OFFSET(INDEX('Schedule Daily'!$A:$A,MATCH($A4,'Schedule Daily'!$B:$B,0)),0,COLUMN(O4),COUNTIF('Schedule Daily'!$B:$B,$A4),1),1),0)</f>
        <v>4</v>
      </c>
      <c r="P4">
        <f t="array" ref="P4">IFERROR(COUNTIF(OFFSET(INDEX('Schedule Daily'!$A:$A,MATCH($A4,'Schedule Daily'!$B:$B,0)),0,COLUMN(P4),COUNTIF('Schedule Daily'!$B:$B,$A4),1),1),0)</f>
        <v>3</v>
      </c>
      <c r="Q4">
        <f t="array" ref="Q4">IFERROR(COUNTIF(OFFSET(INDEX('Schedule Daily'!$A:$A,MATCH($A4,'Schedule Daily'!$B:$B,0)),0,COLUMN(Q4),COUNTIF('Schedule Daily'!$B:$B,$A4),1),1),0)</f>
        <v>4</v>
      </c>
      <c r="R4">
        <f t="array" ref="R4">IFERROR(COUNTIF(OFFSET(INDEX('Schedule Daily'!$A:$A,MATCH($A4,'Schedule Daily'!$B:$B,0)),0,COLUMN(R4),COUNTIF('Schedule Daily'!$B:$B,$A4),1),1),0)</f>
        <v>4</v>
      </c>
      <c r="S4">
        <f t="array" ref="S4">IFERROR(COUNTIF(OFFSET(INDEX('Schedule Daily'!$A:$A,MATCH($A4,'Schedule Daily'!$B:$B,0)),0,COLUMN(S4),COUNTIF('Schedule Daily'!$B:$B,$A4),1),1),0)</f>
        <v>4</v>
      </c>
      <c r="T4">
        <f t="array" ref="T4">IFERROR(COUNTIF(OFFSET(INDEX('Schedule Daily'!$A:$A,MATCH($A4,'Schedule Daily'!$B:$B,0)),0,COLUMN(T4),COUNTIF('Schedule Daily'!$B:$B,$A4),1),1),0)</f>
        <v>4</v>
      </c>
      <c r="U4">
        <f t="array" ref="U4">IFERROR(COUNTIF(OFFSET(INDEX('Schedule Daily'!$A:$A,MATCH($A4,'Schedule Daily'!$B:$B,0)),0,COLUMN(U4),COUNTIF('Schedule Daily'!$B:$B,$A4),1),1),0)</f>
        <v>3</v>
      </c>
      <c r="V4">
        <f t="array" ref="V4">IFERROR(COUNTIF(OFFSET(INDEX('Schedule Daily'!$A:$A,MATCH($A4,'Schedule Daily'!$B:$B,0)),0,COLUMN(V4),COUNTIF('Schedule Daily'!$B:$B,$A4),1),1),0)</f>
        <v>4</v>
      </c>
      <c r="W4">
        <f t="array" ref="W4">IFERROR(COUNTIF(OFFSET(INDEX('Schedule Daily'!$A:$A,MATCH($A4,'Schedule Daily'!$B:$B,0)),0,COLUMN(W4),COUNTIF('Schedule Daily'!$B:$B,$A4),1),1),0)</f>
        <v>3</v>
      </c>
      <c r="X4">
        <f t="array" ref="X4">IFERROR(COUNTIF(OFFSET(INDEX('Schedule Daily'!$A:$A,MATCH($A4,'Schedule Daily'!$B:$B,0)),0,COLUMN(X4),COUNTIF('Schedule Daily'!$B:$B,$A4),1),1),0)</f>
        <v>4</v>
      </c>
      <c r="Y4">
        <f t="array" ref="Y4">IFERROR(COUNTIF(OFFSET(INDEX('Schedule Daily'!$A:$A,MATCH($A4,'Schedule Daily'!$B:$B,0)),0,COLUMN(Y4),COUNTIF('Schedule Daily'!$B:$B,$A4),1),1),0)</f>
        <v>4</v>
      </c>
      <c r="Z4">
        <f t="array" ref="Z4">IFERROR(COUNTIF(OFFSET(INDEX('Schedule Daily'!$A:$A,MATCH($A4,'Schedule Daily'!$B:$B,0)),0,COLUMN(Z4),COUNTIF('Schedule Daily'!$B:$B,$A4),1),1),0)</f>
        <v>4</v>
      </c>
      <c r="AA4">
        <f t="array" ref="AA4">IFERROR(COUNTIF(OFFSET(INDEX('Schedule Daily'!$A:$A,MATCH($A4,'Schedule Daily'!$B:$B,0)),0,COLUMN(AA4),COUNTIF('Schedule Daily'!$B:$B,$A4),1),1),0)</f>
        <v>4</v>
      </c>
      <c r="AB4">
        <f t="array" ref="AB4">IFERROR(COUNTIF(OFFSET(INDEX('Schedule Daily'!$A:$A,MATCH($A4,'Schedule Daily'!$B:$B,0)),0,COLUMN(AB4),COUNTIF('Schedule Daily'!$B:$B,$A4),1),1),0)</f>
        <v>4</v>
      </c>
      <c r="AC4">
        <f t="array" ref="AC4">IFERROR(COUNTIF(OFFSET(INDEX('Schedule Daily'!$A:$A,MATCH($A4,'Schedule Daily'!$B:$B,0)),0,COLUMN(AC4),COUNTIF('Schedule Daily'!$B:$B,$A4),1),1),0)</f>
        <v>3</v>
      </c>
      <c r="AD4">
        <f t="array" ref="AD4">IFERROR(COUNTIF(OFFSET(INDEX('Schedule Daily'!$A:$A,MATCH($A4,'Schedule Daily'!$B:$B,0)),0,COLUMN(AD4),COUNTIF('Schedule Daily'!$B:$B,$A4),1),1),0)</f>
        <v>4</v>
      </c>
      <c r="AE4">
        <f t="array" ref="AE4">IFERROR(COUNTIF(OFFSET(INDEX('Schedule Daily'!$A:$A,MATCH($A4,'Schedule Daily'!$B:$B,0)),0,COLUMN(AE4),COUNTIF('Schedule Daily'!$B:$B,$A4),1),1),0)</f>
        <v>4</v>
      </c>
    </row>
    <row r="5">
      <c r="A5">
        <f t="shared" si="1"/>
        <v>4</v>
      </c>
      <c r="B5">
        <f t="array" ref="B5">IFERROR(COUNTIF(OFFSET(INDEX('Schedule Daily'!$A:$A,MATCH($A5,'Schedule Daily'!$B:$B,0)),0,COLUMN(B5),COUNTIF('Schedule Daily'!$B:$B,$A5),1),1),0)</f>
        <v>3</v>
      </c>
      <c r="C5">
        <f t="array" ref="C5">IFERROR(COUNTIF(OFFSET(INDEX('Schedule Daily'!$A:$A,MATCH($A5,'Schedule Daily'!$B:$B,0)),0,COLUMN(C5),COUNTIF('Schedule Daily'!$B:$B,$A5),1),1),0)</f>
        <v>2</v>
      </c>
      <c r="D5">
        <f t="array" ref="D5">IFERROR(COUNTIF(OFFSET(INDEX('Schedule Daily'!$A:$A,MATCH($A5,'Schedule Daily'!$B:$B,0)),0,COLUMN(D5),COUNTIF('Schedule Daily'!$B:$B,$A5),1),1),0)</f>
        <v>3</v>
      </c>
      <c r="E5">
        <f t="array" ref="E5">IFERROR(COUNTIF(OFFSET(INDEX('Schedule Daily'!$A:$A,MATCH($A5,'Schedule Daily'!$B:$B,0)),0,COLUMN(E5),COUNTIF('Schedule Daily'!$B:$B,$A5),1),1),0)</f>
        <v>3</v>
      </c>
      <c r="F5">
        <f t="array" ref="F5">IFERROR(COUNTIF(OFFSET(INDEX('Schedule Daily'!$A:$A,MATCH($A5,'Schedule Daily'!$B:$B,0)),0,COLUMN(F5),COUNTIF('Schedule Daily'!$B:$B,$A5),1),1),0)</f>
        <v>3</v>
      </c>
      <c r="G5">
        <f t="array" ref="G5">IFERROR(COUNTIF(OFFSET(INDEX('Schedule Daily'!$A:$A,MATCH($A5,'Schedule Daily'!$B:$B,0)),0,COLUMN(G5),COUNTIF('Schedule Daily'!$B:$B,$A5),1),1),0)</f>
        <v>4</v>
      </c>
      <c r="H5">
        <f t="array" ref="H5">IFERROR(COUNTIF(OFFSET(INDEX('Schedule Daily'!$A:$A,MATCH($A5,'Schedule Daily'!$B:$B,0)),0,COLUMN(H5),COUNTIF('Schedule Daily'!$B:$B,$A5),1),1),0)</f>
        <v>4</v>
      </c>
      <c r="I5">
        <f t="array" ref="I5">IFERROR(COUNTIF(OFFSET(INDEX('Schedule Daily'!$A:$A,MATCH($A5,'Schedule Daily'!$B:$B,0)),0,COLUMN(I5),COUNTIF('Schedule Daily'!$B:$B,$A5),1),1),0)</f>
        <v>3</v>
      </c>
      <c r="J5">
        <f t="array" ref="J5">IFERROR(COUNTIF(OFFSET(INDEX('Schedule Daily'!$A:$A,MATCH($A5,'Schedule Daily'!$B:$B,0)),0,COLUMN(J5),COUNTIF('Schedule Daily'!$B:$B,$A5),1),1),0)</f>
        <v>3</v>
      </c>
      <c r="K5">
        <f t="array" ref="K5">IFERROR(COUNTIF(OFFSET(INDEX('Schedule Daily'!$A:$A,MATCH($A5,'Schedule Daily'!$B:$B,0)),0,COLUMN(K5),COUNTIF('Schedule Daily'!$B:$B,$A5),1),1),0)</f>
        <v>3</v>
      </c>
      <c r="L5">
        <f t="array" ref="L5">IFERROR(COUNTIF(OFFSET(INDEX('Schedule Daily'!$A:$A,MATCH($A5,'Schedule Daily'!$B:$B,0)),0,COLUMN(L5),COUNTIF('Schedule Daily'!$B:$B,$A5),1),1),0)</f>
        <v>4</v>
      </c>
      <c r="M5">
        <f t="array" ref="M5">IFERROR(COUNTIF(OFFSET(INDEX('Schedule Daily'!$A:$A,MATCH($A5,'Schedule Daily'!$B:$B,0)),0,COLUMN(M5),COUNTIF('Schedule Daily'!$B:$B,$A5),1),1),0)</f>
        <v>4</v>
      </c>
      <c r="N5">
        <f t="array" ref="N5">IFERROR(COUNTIF(OFFSET(INDEX('Schedule Daily'!$A:$A,MATCH($A5,'Schedule Daily'!$B:$B,0)),0,COLUMN(N5),COUNTIF('Schedule Daily'!$B:$B,$A5),1),1),0)</f>
        <v>3</v>
      </c>
      <c r="O5">
        <f t="array" ref="O5">IFERROR(COUNTIF(OFFSET(INDEX('Schedule Daily'!$A:$A,MATCH($A5,'Schedule Daily'!$B:$B,0)),0,COLUMN(O5),COUNTIF('Schedule Daily'!$B:$B,$A5),1),1),0)</f>
        <v>3</v>
      </c>
      <c r="P5">
        <f t="array" ref="P5">IFERROR(COUNTIF(OFFSET(INDEX('Schedule Daily'!$A:$A,MATCH($A5,'Schedule Daily'!$B:$B,0)),0,COLUMN(P5),COUNTIF('Schedule Daily'!$B:$B,$A5),1),1),0)</f>
        <v>4</v>
      </c>
      <c r="Q5">
        <f t="array" ref="Q5">IFERROR(COUNTIF(OFFSET(INDEX('Schedule Daily'!$A:$A,MATCH($A5,'Schedule Daily'!$B:$B,0)),0,COLUMN(Q5),COUNTIF('Schedule Daily'!$B:$B,$A5),1),1),0)</f>
        <v>3</v>
      </c>
      <c r="R5">
        <f t="array" ref="R5">IFERROR(COUNTIF(OFFSET(INDEX('Schedule Daily'!$A:$A,MATCH($A5,'Schedule Daily'!$B:$B,0)),0,COLUMN(R5),COUNTIF('Schedule Daily'!$B:$B,$A5),1),1),0)</f>
        <v>4</v>
      </c>
      <c r="S5">
        <f t="array" ref="S5">IFERROR(COUNTIF(OFFSET(INDEX('Schedule Daily'!$A:$A,MATCH($A5,'Schedule Daily'!$B:$B,0)),0,COLUMN(S5),COUNTIF('Schedule Daily'!$B:$B,$A5),1),1),0)</f>
        <v>2</v>
      </c>
      <c r="T5">
        <f t="array" ref="T5">IFERROR(COUNTIF(OFFSET(INDEX('Schedule Daily'!$A:$A,MATCH($A5,'Schedule Daily'!$B:$B,0)),0,COLUMN(T5),COUNTIF('Schedule Daily'!$B:$B,$A5),1),1),0)</f>
        <v>4</v>
      </c>
      <c r="U5">
        <f t="array" ref="U5">IFERROR(COUNTIF(OFFSET(INDEX('Schedule Daily'!$A:$A,MATCH($A5,'Schedule Daily'!$B:$B,0)),0,COLUMN(U5),COUNTIF('Schedule Daily'!$B:$B,$A5),1),1),0)</f>
        <v>4</v>
      </c>
      <c r="V5">
        <f t="array" ref="V5">IFERROR(COUNTIF(OFFSET(INDEX('Schedule Daily'!$A:$A,MATCH($A5,'Schedule Daily'!$B:$B,0)),0,COLUMN(V5),COUNTIF('Schedule Daily'!$B:$B,$A5),1),1),0)</f>
        <v>4</v>
      </c>
      <c r="W5">
        <f t="array" ref="W5">IFERROR(COUNTIF(OFFSET(INDEX('Schedule Daily'!$A:$A,MATCH($A5,'Schedule Daily'!$B:$B,0)),0,COLUMN(W5),COUNTIF('Schedule Daily'!$B:$B,$A5),1),1),0)</f>
        <v>3</v>
      </c>
      <c r="X5">
        <f t="array" ref="X5">IFERROR(COUNTIF(OFFSET(INDEX('Schedule Daily'!$A:$A,MATCH($A5,'Schedule Daily'!$B:$B,0)),0,COLUMN(X5),COUNTIF('Schedule Daily'!$B:$B,$A5),1),1),0)</f>
        <v>3</v>
      </c>
      <c r="Y5">
        <f t="array" ref="Y5">IFERROR(COUNTIF(OFFSET(INDEX('Schedule Daily'!$A:$A,MATCH($A5,'Schedule Daily'!$B:$B,0)),0,COLUMN(Y5),COUNTIF('Schedule Daily'!$B:$B,$A5),1),1),0)</f>
        <v>4</v>
      </c>
      <c r="Z5">
        <f t="array" ref="Z5">IFERROR(COUNTIF(OFFSET(INDEX('Schedule Daily'!$A:$A,MATCH($A5,'Schedule Daily'!$B:$B,0)),0,COLUMN(Z5),COUNTIF('Schedule Daily'!$B:$B,$A5),1),1),0)</f>
        <v>3</v>
      </c>
      <c r="AA5">
        <f t="array" ref="AA5">IFERROR(COUNTIF(OFFSET(INDEX('Schedule Daily'!$A:$A,MATCH($A5,'Schedule Daily'!$B:$B,0)),0,COLUMN(AA5),COUNTIF('Schedule Daily'!$B:$B,$A5),1),1),0)</f>
        <v>3</v>
      </c>
      <c r="AB5">
        <f t="array" ref="AB5">IFERROR(COUNTIF(OFFSET(INDEX('Schedule Daily'!$A:$A,MATCH($A5,'Schedule Daily'!$B:$B,0)),0,COLUMN(AB5),COUNTIF('Schedule Daily'!$B:$B,$A5),1),1),0)</f>
        <v>4</v>
      </c>
      <c r="AC5">
        <f t="array" ref="AC5">IFERROR(COUNTIF(OFFSET(INDEX('Schedule Daily'!$A:$A,MATCH($A5,'Schedule Daily'!$B:$B,0)),0,COLUMN(AC5),COUNTIF('Schedule Daily'!$B:$B,$A5),1),1),0)</f>
        <v>4</v>
      </c>
      <c r="AD5">
        <f t="array" ref="AD5">IFERROR(COUNTIF(OFFSET(INDEX('Schedule Daily'!$A:$A,MATCH($A5,'Schedule Daily'!$B:$B,0)),0,COLUMN(AD5),COUNTIF('Schedule Daily'!$B:$B,$A5),1),1),0)</f>
        <v>4</v>
      </c>
      <c r="AE5">
        <f t="array" ref="AE5">IFERROR(COUNTIF(OFFSET(INDEX('Schedule Daily'!$A:$A,MATCH($A5,'Schedule Daily'!$B:$B,0)),0,COLUMN(AE5),COUNTIF('Schedule Daily'!$B:$B,$A5),1),1),0)</f>
        <v>4</v>
      </c>
    </row>
    <row r="6">
      <c r="A6">
        <f t="shared" si="1"/>
        <v>5</v>
      </c>
      <c r="B6">
        <f t="array" ref="B6">IFERROR(COUNTIF(OFFSET(INDEX('Schedule Daily'!$A:$A,MATCH($A6,'Schedule Daily'!$B:$B,0)),0,COLUMN(B6),COUNTIF('Schedule Daily'!$B:$B,$A6),1),1),0)</f>
        <v>3</v>
      </c>
      <c r="C6">
        <f t="array" ref="C6">IFERROR(COUNTIF(OFFSET(INDEX('Schedule Daily'!$A:$A,MATCH($A6,'Schedule Daily'!$B:$B,0)),0,COLUMN(C6),COUNTIF('Schedule Daily'!$B:$B,$A6),1),1),0)</f>
        <v>3</v>
      </c>
      <c r="D6">
        <f t="array" ref="D6">IFERROR(COUNTIF(OFFSET(INDEX('Schedule Daily'!$A:$A,MATCH($A6,'Schedule Daily'!$B:$B,0)),0,COLUMN(D6),COUNTIF('Schedule Daily'!$B:$B,$A6),1),1),0)</f>
        <v>4</v>
      </c>
      <c r="E6">
        <f t="array" ref="E6">IFERROR(COUNTIF(OFFSET(INDEX('Schedule Daily'!$A:$A,MATCH($A6,'Schedule Daily'!$B:$B,0)),0,COLUMN(E6),COUNTIF('Schedule Daily'!$B:$B,$A6),1),1),0)</f>
        <v>2</v>
      </c>
      <c r="F6">
        <f t="array" ref="F6">IFERROR(COUNTIF(OFFSET(INDEX('Schedule Daily'!$A:$A,MATCH($A6,'Schedule Daily'!$B:$B,0)),0,COLUMN(F6),COUNTIF('Schedule Daily'!$B:$B,$A6),1),1),0)</f>
        <v>4</v>
      </c>
      <c r="G6">
        <f t="array" ref="G6">IFERROR(COUNTIF(OFFSET(INDEX('Schedule Daily'!$A:$A,MATCH($A6,'Schedule Daily'!$B:$B,0)),0,COLUMN(G6),COUNTIF('Schedule Daily'!$B:$B,$A6),1),1),0)</f>
        <v>3</v>
      </c>
      <c r="H6">
        <f t="array" ref="H6">IFERROR(COUNTIF(OFFSET(INDEX('Schedule Daily'!$A:$A,MATCH($A6,'Schedule Daily'!$B:$B,0)),0,COLUMN(H6),COUNTIF('Schedule Daily'!$B:$B,$A6),1),1),0)</f>
        <v>3</v>
      </c>
      <c r="I6">
        <f t="array" ref="I6">IFERROR(COUNTIF(OFFSET(INDEX('Schedule Daily'!$A:$A,MATCH($A6,'Schedule Daily'!$B:$B,0)),0,COLUMN(I6),COUNTIF('Schedule Daily'!$B:$B,$A6),1),1),0)</f>
        <v>4</v>
      </c>
      <c r="J6">
        <f t="array" ref="J6">IFERROR(COUNTIF(OFFSET(INDEX('Schedule Daily'!$A:$A,MATCH($A6,'Schedule Daily'!$B:$B,0)),0,COLUMN(J6),COUNTIF('Schedule Daily'!$B:$B,$A6),1),1),0)</f>
        <v>4</v>
      </c>
      <c r="K6">
        <f t="array" ref="K6">IFERROR(COUNTIF(OFFSET(INDEX('Schedule Daily'!$A:$A,MATCH($A6,'Schedule Daily'!$B:$B,0)),0,COLUMN(K6),COUNTIF('Schedule Daily'!$B:$B,$A6),1),1),0)</f>
        <v>4</v>
      </c>
      <c r="L6">
        <f t="array" ref="L6">IFERROR(COUNTIF(OFFSET(INDEX('Schedule Daily'!$A:$A,MATCH($A6,'Schedule Daily'!$B:$B,0)),0,COLUMN(L6),COUNTIF('Schedule Daily'!$B:$B,$A6),1),1),0)</f>
        <v>3</v>
      </c>
      <c r="M6">
        <f t="array" ref="M6">IFERROR(COUNTIF(OFFSET(INDEX('Schedule Daily'!$A:$A,MATCH($A6,'Schedule Daily'!$B:$B,0)),0,COLUMN(M6),COUNTIF('Schedule Daily'!$B:$B,$A6),1),1),0)</f>
        <v>3</v>
      </c>
      <c r="N6">
        <f t="array" ref="N6">IFERROR(COUNTIF(OFFSET(INDEX('Schedule Daily'!$A:$A,MATCH($A6,'Schedule Daily'!$B:$B,0)),0,COLUMN(N6),COUNTIF('Schedule Daily'!$B:$B,$A6),1),1),0)</f>
        <v>3</v>
      </c>
      <c r="O6">
        <f t="array" ref="O6">IFERROR(COUNTIF(OFFSET(INDEX('Schedule Daily'!$A:$A,MATCH($A6,'Schedule Daily'!$B:$B,0)),0,COLUMN(O6),COUNTIF('Schedule Daily'!$B:$B,$A6),1),1),0)</f>
        <v>3</v>
      </c>
      <c r="P6">
        <f t="array" ref="P6">IFERROR(COUNTIF(OFFSET(INDEX('Schedule Daily'!$A:$A,MATCH($A6,'Schedule Daily'!$B:$B,0)),0,COLUMN(P6),COUNTIF('Schedule Daily'!$B:$B,$A6),1),1),0)</f>
        <v>4</v>
      </c>
      <c r="Q6">
        <f t="array" ref="Q6">IFERROR(COUNTIF(OFFSET(INDEX('Schedule Daily'!$A:$A,MATCH($A6,'Schedule Daily'!$B:$B,0)),0,COLUMN(Q6),COUNTIF('Schedule Daily'!$B:$B,$A6),1),1),0)</f>
        <v>3</v>
      </c>
      <c r="R6">
        <f t="array" ref="R6">IFERROR(COUNTIF(OFFSET(INDEX('Schedule Daily'!$A:$A,MATCH($A6,'Schedule Daily'!$B:$B,0)),0,COLUMN(R6),COUNTIF('Schedule Daily'!$B:$B,$A6),1),1),0)</f>
        <v>3</v>
      </c>
      <c r="S6">
        <f t="array" ref="S6">IFERROR(COUNTIF(OFFSET(INDEX('Schedule Daily'!$A:$A,MATCH($A6,'Schedule Daily'!$B:$B,0)),0,COLUMN(S6),COUNTIF('Schedule Daily'!$B:$B,$A6),1),1),0)</f>
        <v>4</v>
      </c>
      <c r="T6">
        <f t="array" ref="T6">IFERROR(COUNTIF(OFFSET(INDEX('Schedule Daily'!$A:$A,MATCH($A6,'Schedule Daily'!$B:$B,0)),0,COLUMN(T6),COUNTIF('Schedule Daily'!$B:$B,$A6),1),1),0)</f>
        <v>4</v>
      </c>
      <c r="U6">
        <f t="array" ref="U6">IFERROR(COUNTIF(OFFSET(INDEX('Schedule Daily'!$A:$A,MATCH($A6,'Schedule Daily'!$B:$B,0)),0,COLUMN(U6),COUNTIF('Schedule Daily'!$B:$B,$A6),1),1),0)</f>
        <v>4</v>
      </c>
      <c r="V6">
        <f t="array" ref="V6">IFERROR(COUNTIF(OFFSET(INDEX('Schedule Daily'!$A:$A,MATCH($A6,'Schedule Daily'!$B:$B,0)),0,COLUMN(V6),COUNTIF('Schedule Daily'!$B:$B,$A6),1),1),0)</f>
        <v>3</v>
      </c>
      <c r="W6">
        <f t="array" ref="W6">IFERROR(COUNTIF(OFFSET(INDEX('Schedule Daily'!$A:$A,MATCH($A6,'Schedule Daily'!$B:$B,0)),0,COLUMN(W6),COUNTIF('Schedule Daily'!$B:$B,$A6),1),1),0)</f>
        <v>4</v>
      </c>
      <c r="X6">
        <f t="array" ref="X6">IFERROR(COUNTIF(OFFSET(INDEX('Schedule Daily'!$A:$A,MATCH($A6,'Schedule Daily'!$B:$B,0)),0,COLUMN(X6),COUNTIF('Schedule Daily'!$B:$B,$A6),1),1),0)</f>
        <v>3</v>
      </c>
      <c r="Y6">
        <f t="array" ref="Y6">IFERROR(COUNTIF(OFFSET(INDEX('Schedule Daily'!$A:$A,MATCH($A6,'Schedule Daily'!$B:$B,0)),0,COLUMN(Y6),COUNTIF('Schedule Daily'!$B:$B,$A6),1),1),0)</f>
        <v>3</v>
      </c>
      <c r="Z6">
        <f t="array" ref="Z6">IFERROR(COUNTIF(OFFSET(INDEX('Schedule Daily'!$A:$A,MATCH($A6,'Schedule Daily'!$B:$B,0)),0,COLUMN(Z6),COUNTIF('Schedule Daily'!$B:$B,$A6),1),1),0)</f>
        <v>4</v>
      </c>
      <c r="AA6">
        <f t="array" ref="AA6">IFERROR(COUNTIF(OFFSET(INDEX('Schedule Daily'!$A:$A,MATCH($A6,'Schedule Daily'!$B:$B,0)),0,COLUMN(AA6),COUNTIF('Schedule Daily'!$B:$B,$A6),1),1),0)</f>
        <v>3</v>
      </c>
      <c r="AB6">
        <f t="array" ref="AB6">IFERROR(COUNTIF(OFFSET(INDEX('Schedule Daily'!$A:$A,MATCH($A6,'Schedule Daily'!$B:$B,0)),0,COLUMN(AB6),COUNTIF('Schedule Daily'!$B:$B,$A6),1),1),0)</f>
        <v>3</v>
      </c>
      <c r="AC6">
        <f t="array" ref="AC6">IFERROR(COUNTIF(OFFSET(INDEX('Schedule Daily'!$A:$A,MATCH($A6,'Schedule Daily'!$B:$B,0)),0,COLUMN(AC6),COUNTIF('Schedule Daily'!$B:$B,$A6),1),1),0)</f>
        <v>3</v>
      </c>
      <c r="AD6">
        <f t="array" ref="AD6">IFERROR(COUNTIF(OFFSET(INDEX('Schedule Daily'!$A:$A,MATCH($A6,'Schedule Daily'!$B:$B,0)),0,COLUMN(AD6),COUNTIF('Schedule Daily'!$B:$B,$A6),1),1),0)</f>
        <v>4</v>
      </c>
      <c r="AE6">
        <f t="array" ref="AE6">IFERROR(COUNTIF(OFFSET(INDEX('Schedule Daily'!$A:$A,MATCH($A6,'Schedule Daily'!$B:$B,0)),0,COLUMN(AE6),COUNTIF('Schedule Daily'!$B:$B,$A6),1),1),0)</f>
        <v>4</v>
      </c>
    </row>
    <row r="7">
      <c r="A7">
        <f t="shared" si="1"/>
        <v>6</v>
      </c>
      <c r="B7">
        <f t="array" ref="B7">IFERROR(COUNTIF(OFFSET(INDEX('Schedule Daily'!$A:$A,MATCH($A7,'Schedule Daily'!$B:$B,0)),0,COLUMN(B7),COUNTIF('Schedule Daily'!$B:$B,$A7),1),1),0)</f>
        <v>2</v>
      </c>
      <c r="C7">
        <f t="array" ref="C7">IFERROR(COUNTIF(OFFSET(INDEX('Schedule Daily'!$A:$A,MATCH($A7,'Schedule Daily'!$B:$B,0)),0,COLUMN(C7),COUNTIF('Schedule Daily'!$B:$B,$A7),1),1),0)</f>
        <v>4</v>
      </c>
      <c r="D7">
        <f t="array" ref="D7">IFERROR(COUNTIF(OFFSET(INDEX('Schedule Daily'!$A:$A,MATCH($A7,'Schedule Daily'!$B:$B,0)),0,COLUMN(D7),COUNTIF('Schedule Daily'!$B:$B,$A7),1),1),0)</f>
        <v>3</v>
      </c>
      <c r="E7">
        <f t="array" ref="E7">IFERROR(COUNTIF(OFFSET(INDEX('Schedule Daily'!$A:$A,MATCH($A7,'Schedule Daily'!$B:$B,0)),0,COLUMN(E7),COUNTIF('Schedule Daily'!$B:$B,$A7),1),1),0)</f>
        <v>3</v>
      </c>
      <c r="F7">
        <f t="array" ref="F7">IFERROR(COUNTIF(OFFSET(INDEX('Schedule Daily'!$A:$A,MATCH($A7,'Schedule Daily'!$B:$B,0)),0,COLUMN(F7),COUNTIF('Schedule Daily'!$B:$B,$A7),1),1),0)</f>
        <v>3</v>
      </c>
      <c r="G7">
        <f t="array" ref="G7">IFERROR(COUNTIF(OFFSET(INDEX('Schedule Daily'!$A:$A,MATCH($A7,'Schedule Daily'!$B:$B,0)),0,COLUMN(G7),COUNTIF('Schedule Daily'!$B:$B,$A7),1),1),0)</f>
        <v>3</v>
      </c>
      <c r="H7">
        <f t="array" ref="H7">IFERROR(COUNTIF(OFFSET(INDEX('Schedule Daily'!$A:$A,MATCH($A7,'Schedule Daily'!$B:$B,0)),0,COLUMN(H7),COUNTIF('Schedule Daily'!$B:$B,$A7),1),1),0)</f>
        <v>2</v>
      </c>
      <c r="I7">
        <f t="array" ref="I7">IFERROR(COUNTIF(OFFSET(INDEX('Schedule Daily'!$A:$A,MATCH($A7,'Schedule Daily'!$B:$B,0)),0,COLUMN(I7),COUNTIF('Schedule Daily'!$B:$B,$A7),1),1),0)</f>
        <v>3</v>
      </c>
      <c r="J7">
        <f t="array" ref="J7">IFERROR(COUNTIF(OFFSET(INDEX('Schedule Daily'!$A:$A,MATCH($A7,'Schedule Daily'!$B:$B,0)),0,COLUMN(J7),COUNTIF('Schedule Daily'!$B:$B,$A7),1),1),0)</f>
        <v>3</v>
      </c>
      <c r="K7">
        <f t="array" ref="K7">IFERROR(COUNTIF(OFFSET(INDEX('Schedule Daily'!$A:$A,MATCH($A7,'Schedule Daily'!$B:$B,0)),0,COLUMN(K7),COUNTIF('Schedule Daily'!$B:$B,$A7),1),1),0)</f>
        <v>3</v>
      </c>
      <c r="L7">
        <f t="array" ref="L7">IFERROR(COUNTIF(OFFSET(INDEX('Schedule Daily'!$A:$A,MATCH($A7,'Schedule Daily'!$B:$B,0)),0,COLUMN(L7),COUNTIF('Schedule Daily'!$B:$B,$A7),1),1),0)</f>
        <v>3</v>
      </c>
      <c r="M7">
        <f t="array" ref="M7">IFERROR(COUNTIF(OFFSET(INDEX('Schedule Daily'!$A:$A,MATCH($A7,'Schedule Daily'!$B:$B,0)),0,COLUMN(M7),COUNTIF('Schedule Daily'!$B:$B,$A7),1),1),0)</f>
        <v>3</v>
      </c>
      <c r="N7">
        <f t="array" ref="N7">IFERROR(COUNTIF(OFFSET(INDEX('Schedule Daily'!$A:$A,MATCH($A7,'Schedule Daily'!$B:$B,0)),0,COLUMN(N7),COUNTIF('Schedule Daily'!$B:$B,$A7),1),1),0)</f>
        <v>4</v>
      </c>
      <c r="O7">
        <f t="array" ref="O7">IFERROR(COUNTIF(OFFSET(INDEX('Schedule Daily'!$A:$A,MATCH($A7,'Schedule Daily'!$B:$B,0)),0,COLUMN(O7),COUNTIF('Schedule Daily'!$B:$B,$A7),1),1),0)</f>
        <v>3</v>
      </c>
      <c r="P7">
        <f t="array" ref="P7">IFERROR(COUNTIF(OFFSET(INDEX('Schedule Daily'!$A:$A,MATCH($A7,'Schedule Daily'!$B:$B,0)),0,COLUMN(P7),COUNTIF('Schedule Daily'!$B:$B,$A7),1),1),0)</f>
        <v>4</v>
      </c>
      <c r="Q7">
        <f t="array" ref="Q7">IFERROR(COUNTIF(OFFSET(INDEX('Schedule Daily'!$A:$A,MATCH($A7,'Schedule Daily'!$B:$B,0)),0,COLUMN(Q7),COUNTIF('Schedule Daily'!$B:$B,$A7),1),1),0)</f>
        <v>3</v>
      </c>
      <c r="R7">
        <f t="array" ref="R7">IFERROR(COUNTIF(OFFSET(INDEX('Schedule Daily'!$A:$A,MATCH($A7,'Schedule Daily'!$B:$B,0)),0,COLUMN(R7),COUNTIF('Schedule Daily'!$B:$B,$A7),1),1),0)</f>
        <v>4</v>
      </c>
      <c r="S7">
        <f t="array" ref="S7">IFERROR(COUNTIF(OFFSET(INDEX('Schedule Daily'!$A:$A,MATCH($A7,'Schedule Daily'!$B:$B,0)),0,COLUMN(S7),COUNTIF('Schedule Daily'!$B:$B,$A7),1),1),0)</f>
        <v>4</v>
      </c>
      <c r="T7">
        <f t="array" ref="T7">IFERROR(COUNTIF(OFFSET(INDEX('Schedule Daily'!$A:$A,MATCH($A7,'Schedule Daily'!$B:$B,0)),0,COLUMN(T7),COUNTIF('Schedule Daily'!$B:$B,$A7),1),1),0)</f>
        <v>3</v>
      </c>
      <c r="U7">
        <f t="array" ref="U7">IFERROR(COUNTIF(OFFSET(INDEX('Schedule Daily'!$A:$A,MATCH($A7,'Schedule Daily'!$B:$B,0)),0,COLUMN(U7),COUNTIF('Schedule Daily'!$B:$B,$A7),1),1),0)</f>
        <v>3</v>
      </c>
      <c r="V7">
        <f t="array" ref="V7">IFERROR(COUNTIF(OFFSET(INDEX('Schedule Daily'!$A:$A,MATCH($A7,'Schedule Daily'!$B:$B,0)),0,COLUMN(V7),COUNTIF('Schedule Daily'!$B:$B,$A7),1),1),0)</f>
        <v>3</v>
      </c>
      <c r="W7">
        <f t="array" ref="W7">IFERROR(COUNTIF(OFFSET(INDEX('Schedule Daily'!$A:$A,MATCH($A7,'Schedule Daily'!$B:$B,0)),0,COLUMN(W7),COUNTIF('Schedule Daily'!$B:$B,$A7),1),1),0)</f>
        <v>3</v>
      </c>
      <c r="X7">
        <f t="array" ref="X7">IFERROR(COUNTIF(OFFSET(INDEX('Schedule Daily'!$A:$A,MATCH($A7,'Schedule Daily'!$B:$B,0)),0,COLUMN(X7),COUNTIF('Schedule Daily'!$B:$B,$A7),1),1),0)</f>
        <v>4</v>
      </c>
      <c r="Y7">
        <f t="array" ref="Y7">IFERROR(COUNTIF(OFFSET(INDEX('Schedule Daily'!$A:$A,MATCH($A7,'Schedule Daily'!$B:$B,0)),0,COLUMN(Y7),COUNTIF('Schedule Daily'!$B:$B,$A7),1),1),0)</f>
        <v>4</v>
      </c>
      <c r="Z7">
        <f t="array" ref="Z7">IFERROR(COUNTIF(OFFSET(INDEX('Schedule Daily'!$A:$A,MATCH($A7,'Schedule Daily'!$B:$B,0)),0,COLUMN(Z7),COUNTIF('Schedule Daily'!$B:$B,$A7),1),1),0)</f>
        <v>4</v>
      </c>
      <c r="AA7">
        <f t="array" ref="AA7">IFERROR(COUNTIF(OFFSET(INDEX('Schedule Daily'!$A:$A,MATCH($A7,'Schedule Daily'!$B:$B,0)),0,COLUMN(AA7),COUNTIF('Schedule Daily'!$B:$B,$A7),1),1),0)</f>
        <v>3</v>
      </c>
      <c r="AB7">
        <f t="array" ref="AB7">IFERROR(COUNTIF(OFFSET(INDEX('Schedule Daily'!$A:$A,MATCH($A7,'Schedule Daily'!$B:$B,0)),0,COLUMN(AB7),COUNTIF('Schedule Daily'!$B:$B,$A7),1),1),0)</f>
        <v>4</v>
      </c>
      <c r="AC7">
        <f t="array" ref="AC7">IFERROR(COUNTIF(OFFSET(INDEX('Schedule Daily'!$A:$A,MATCH($A7,'Schedule Daily'!$B:$B,0)),0,COLUMN(AC7),COUNTIF('Schedule Daily'!$B:$B,$A7),1),1),0)</f>
        <v>3</v>
      </c>
      <c r="AD7">
        <f t="array" ref="AD7">IFERROR(COUNTIF(OFFSET(INDEX('Schedule Daily'!$A:$A,MATCH($A7,'Schedule Daily'!$B:$B,0)),0,COLUMN(AD7),COUNTIF('Schedule Daily'!$B:$B,$A7),1),1),0)</f>
        <v>3</v>
      </c>
      <c r="AE7">
        <f t="array" ref="AE7">IFERROR(COUNTIF(OFFSET(INDEX('Schedule Daily'!$A:$A,MATCH($A7,'Schedule Daily'!$B:$B,0)),0,COLUMN(AE7),COUNTIF('Schedule Daily'!$B:$B,$A7),1),1),0)</f>
        <v>2</v>
      </c>
    </row>
    <row r="8">
      <c r="A8">
        <f t="shared" si="1"/>
        <v>7</v>
      </c>
      <c r="B8">
        <f t="array" ref="B8">IFERROR(COUNTIF(OFFSET(INDEX('Schedule Daily'!$A:$A,MATCH($A8,'Schedule Daily'!$B:$B,0)),0,COLUMN(B8),COUNTIF('Schedule Daily'!$B:$B,$A8),1),1),0)</f>
        <v>3</v>
      </c>
      <c r="C8">
        <f t="array" ref="C8">IFERROR(COUNTIF(OFFSET(INDEX('Schedule Daily'!$A:$A,MATCH($A8,'Schedule Daily'!$B:$B,0)),0,COLUMN(C8),COUNTIF('Schedule Daily'!$B:$B,$A8),1),1),0)</f>
        <v>3</v>
      </c>
      <c r="D8">
        <f t="array" ref="D8">IFERROR(COUNTIF(OFFSET(INDEX('Schedule Daily'!$A:$A,MATCH($A8,'Schedule Daily'!$B:$B,0)),0,COLUMN(D8),COUNTIF('Schedule Daily'!$B:$B,$A8),1),1),0)</f>
        <v>3</v>
      </c>
      <c r="E8">
        <f t="array" ref="E8">IFERROR(COUNTIF(OFFSET(INDEX('Schedule Daily'!$A:$A,MATCH($A8,'Schedule Daily'!$B:$B,0)),0,COLUMN(E8),COUNTIF('Schedule Daily'!$B:$B,$A8),1),1),0)</f>
        <v>3</v>
      </c>
      <c r="F8">
        <f t="array" ref="F8">IFERROR(COUNTIF(OFFSET(INDEX('Schedule Daily'!$A:$A,MATCH($A8,'Schedule Daily'!$B:$B,0)),0,COLUMN(F8),COUNTIF('Schedule Daily'!$B:$B,$A8),1),1),0)</f>
        <v>3</v>
      </c>
      <c r="G8">
        <f t="array" ref="G8">IFERROR(COUNTIF(OFFSET(INDEX('Schedule Daily'!$A:$A,MATCH($A8,'Schedule Daily'!$B:$B,0)),0,COLUMN(G8),COUNTIF('Schedule Daily'!$B:$B,$A8),1),1),0)</f>
        <v>3</v>
      </c>
      <c r="H8">
        <f t="array" ref="H8">IFERROR(COUNTIF(OFFSET(INDEX('Schedule Daily'!$A:$A,MATCH($A8,'Schedule Daily'!$B:$B,0)),0,COLUMN(H8),COUNTIF('Schedule Daily'!$B:$B,$A8),1),1),0)</f>
        <v>2</v>
      </c>
      <c r="I8">
        <f t="array" ref="I8">IFERROR(COUNTIF(OFFSET(INDEX('Schedule Daily'!$A:$A,MATCH($A8,'Schedule Daily'!$B:$B,0)),0,COLUMN(I8),COUNTIF('Schedule Daily'!$B:$B,$A8),1),1),0)</f>
        <v>3</v>
      </c>
      <c r="J8">
        <f t="array" ref="J8">IFERROR(COUNTIF(OFFSET(INDEX('Schedule Daily'!$A:$A,MATCH($A8,'Schedule Daily'!$B:$B,0)),0,COLUMN(J8),COUNTIF('Schedule Daily'!$B:$B,$A8),1),1),0)</f>
        <v>3</v>
      </c>
      <c r="K8">
        <f t="array" ref="K8">IFERROR(COUNTIF(OFFSET(INDEX('Schedule Daily'!$A:$A,MATCH($A8,'Schedule Daily'!$B:$B,0)),0,COLUMN(K8),COUNTIF('Schedule Daily'!$B:$B,$A8),1),1),0)</f>
        <v>2</v>
      </c>
      <c r="L8">
        <f t="array" ref="L8">IFERROR(COUNTIF(OFFSET(INDEX('Schedule Daily'!$A:$A,MATCH($A8,'Schedule Daily'!$B:$B,0)),0,COLUMN(L8),COUNTIF('Schedule Daily'!$B:$B,$A8),1),1),0)</f>
        <v>3</v>
      </c>
      <c r="M8">
        <f t="array" ref="M8">IFERROR(COUNTIF(OFFSET(INDEX('Schedule Daily'!$A:$A,MATCH($A8,'Schedule Daily'!$B:$B,0)),0,COLUMN(M8),COUNTIF('Schedule Daily'!$B:$B,$A8),1),1),0)</f>
        <v>3</v>
      </c>
      <c r="N8">
        <f t="array" ref="N8">IFERROR(COUNTIF(OFFSET(INDEX('Schedule Daily'!$A:$A,MATCH($A8,'Schedule Daily'!$B:$B,0)),0,COLUMN(N8),COUNTIF('Schedule Daily'!$B:$B,$A8),1),1),0)</f>
        <v>3</v>
      </c>
      <c r="O8">
        <f t="array" ref="O8">IFERROR(COUNTIF(OFFSET(INDEX('Schedule Daily'!$A:$A,MATCH($A8,'Schedule Daily'!$B:$B,0)),0,COLUMN(O8),COUNTIF('Schedule Daily'!$B:$B,$A8),1),1),0)</f>
        <v>2</v>
      </c>
      <c r="P8">
        <f t="array" ref="P8">IFERROR(COUNTIF(OFFSET(INDEX('Schedule Daily'!$A:$A,MATCH($A8,'Schedule Daily'!$B:$B,0)),0,COLUMN(P8),COUNTIF('Schedule Daily'!$B:$B,$A8),1),1),0)</f>
        <v>3</v>
      </c>
      <c r="Q8">
        <f t="array" ref="Q8">IFERROR(COUNTIF(OFFSET(INDEX('Schedule Daily'!$A:$A,MATCH($A8,'Schedule Daily'!$B:$B,0)),0,COLUMN(Q8),COUNTIF('Schedule Daily'!$B:$B,$A8),1),1),0)</f>
        <v>3</v>
      </c>
      <c r="R8">
        <f t="array" ref="R8">IFERROR(COUNTIF(OFFSET(INDEX('Schedule Daily'!$A:$A,MATCH($A8,'Schedule Daily'!$B:$B,0)),0,COLUMN(R8),COUNTIF('Schedule Daily'!$B:$B,$A8),1),1),0)</f>
        <v>3</v>
      </c>
      <c r="S8">
        <f t="array" ref="S8">IFERROR(COUNTIF(OFFSET(INDEX('Schedule Daily'!$A:$A,MATCH($A8,'Schedule Daily'!$B:$B,0)),0,COLUMN(S8),COUNTIF('Schedule Daily'!$B:$B,$A8),1),1),0)</f>
        <v>3</v>
      </c>
      <c r="T8">
        <f t="array" ref="T8">IFERROR(COUNTIF(OFFSET(INDEX('Schedule Daily'!$A:$A,MATCH($A8,'Schedule Daily'!$B:$B,0)),0,COLUMN(T8),COUNTIF('Schedule Daily'!$B:$B,$A8),1),1),0)</f>
        <v>3</v>
      </c>
      <c r="U8">
        <f t="array" ref="U8">IFERROR(COUNTIF(OFFSET(INDEX('Schedule Daily'!$A:$A,MATCH($A8,'Schedule Daily'!$B:$B,0)),0,COLUMN(U8),COUNTIF('Schedule Daily'!$B:$B,$A8),1),1),0)</f>
        <v>3</v>
      </c>
      <c r="V8">
        <f t="array" ref="V8">IFERROR(COUNTIF(OFFSET(INDEX('Schedule Daily'!$A:$A,MATCH($A8,'Schedule Daily'!$B:$B,0)),0,COLUMN(V8),COUNTIF('Schedule Daily'!$B:$B,$A8),1),1),0)</f>
        <v>3</v>
      </c>
      <c r="W8">
        <f t="array" ref="W8">IFERROR(COUNTIF(OFFSET(INDEX('Schedule Daily'!$A:$A,MATCH($A8,'Schedule Daily'!$B:$B,0)),0,COLUMN(W8),COUNTIF('Schedule Daily'!$B:$B,$A8),1),1),0)</f>
        <v>2</v>
      </c>
      <c r="X8">
        <f t="array" ref="X8">IFERROR(COUNTIF(OFFSET(INDEX('Schedule Daily'!$A:$A,MATCH($A8,'Schedule Daily'!$B:$B,0)),0,COLUMN(X8),COUNTIF('Schedule Daily'!$B:$B,$A8),1),1),0)</f>
        <v>3</v>
      </c>
      <c r="Y8">
        <f t="array" ref="Y8">IFERROR(COUNTIF(OFFSET(INDEX('Schedule Daily'!$A:$A,MATCH($A8,'Schedule Daily'!$B:$B,0)),0,COLUMN(Y8),COUNTIF('Schedule Daily'!$B:$B,$A8),1),1),0)</f>
        <v>3</v>
      </c>
      <c r="Z8">
        <f t="array" ref="Z8">IFERROR(COUNTIF(OFFSET(INDEX('Schedule Daily'!$A:$A,MATCH($A8,'Schedule Daily'!$B:$B,0)),0,COLUMN(Z8),COUNTIF('Schedule Daily'!$B:$B,$A8),1),1),0)</f>
        <v>3</v>
      </c>
      <c r="AA8">
        <f t="array" ref="AA8">IFERROR(COUNTIF(OFFSET(INDEX('Schedule Daily'!$A:$A,MATCH($A8,'Schedule Daily'!$B:$B,0)),0,COLUMN(AA8),COUNTIF('Schedule Daily'!$B:$B,$A8),1),1),0)</f>
        <v>3</v>
      </c>
      <c r="AB8">
        <f t="array" ref="AB8">IFERROR(COUNTIF(OFFSET(INDEX('Schedule Daily'!$A:$A,MATCH($A8,'Schedule Daily'!$B:$B,0)),0,COLUMN(AB8),COUNTIF('Schedule Daily'!$B:$B,$A8),1),1),0)</f>
        <v>3</v>
      </c>
      <c r="AC8">
        <f t="array" ref="AC8">IFERROR(COUNTIF(OFFSET(INDEX('Schedule Daily'!$A:$A,MATCH($A8,'Schedule Daily'!$B:$B,0)),0,COLUMN(AC8),COUNTIF('Schedule Daily'!$B:$B,$A8),1),1),0)</f>
        <v>3</v>
      </c>
      <c r="AD8">
        <f t="array" ref="AD8">IFERROR(COUNTIF(OFFSET(INDEX('Schedule Daily'!$A:$A,MATCH($A8,'Schedule Daily'!$B:$B,0)),0,COLUMN(AD8),COUNTIF('Schedule Daily'!$B:$B,$A8),1),1),0)</f>
        <v>3</v>
      </c>
      <c r="AE8">
        <f t="array" ref="AE8">IFERROR(COUNTIF(OFFSET(INDEX('Schedule Daily'!$A:$A,MATCH($A8,'Schedule Daily'!$B:$B,0)),0,COLUMN(AE8),COUNTIF('Schedule Daily'!$B:$B,$A8),1),1),0)</f>
        <v>3</v>
      </c>
    </row>
    <row r="9">
      <c r="A9">
        <f t="shared" si="1"/>
        <v>8</v>
      </c>
      <c r="B9">
        <f t="array" ref="B9">IFERROR(COUNTIF(OFFSET(INDEX('Schedule Daily'!$A:$A,MATCH($A9,'Schedule Daily'!$B:$B,0)),0,COLUMN(B9),COUNTIF('Schedule Daily'!$B:$B,$A9),1),1),0)</f>
        <v>4</v>
      </c>
      <c r="C9">
        <f t="array" ref="C9">IFERROR(COUNTIF(OFFSET(INDEX('Schedule Daily'!$A:$A,MATCH($A9,'Schedule Daily'!$B:$B,0)),0,COLUMN(C9),COUNTIF('Schedule Daily'!$B:$B,$A9),1),1),0)</f>
        <v>4</v>
      </c>
      <c r="D9">
        <f t="array" ref="D9">IFERROR(COUNTIF(OFFSET(INDEX('Schedule Daily'!$A:$A,MATCH($A9,'Schedule Daily'!$B:$B,0)),0,COLUMN(D9),COUNTIF('Schedule Daily'!$B:$B,$A9),1),1),0)</f>
        <v>4</v>
      </c>
      <c r="E9">
        <f t="array" ref="E9">IFERROR(COUNTIF(OFFSET(INDEX('Schedule Daily'!$A:$A,MATCH($A9,'Schedule Daily'!$B:$B,0)),0,COLUMN(E9),COUNTIF('Schedule Daily'!$B:$B,$A9),1),1),0)</f>
        <v>4</v>
      </c>
      <c r="F9">
        <f t="array" ref="F9">IFERROR(COUNTIF(OFFSET(INDEX('Schedule Daily'!$A:$A,MATCH($A9,'Schedule Daily'!$B:$B,0)),0,COLUMN(F9),COUNTIF('Schedule Daily'!$B:$B,$A9),1),1),0)</f>
        <v>4</v>
      </c>
      <c r="G9">
        <f t="array" ref="G9">IFERROR(COUNTIF(OFFSET(INDEX('Schedule Daily'!$A:$A,MATCH($A9,'Schedule Daily'!$B:$B,0)),0,COLUMN(G9),COUNTIF('Schedule Daily'!$B:$B,$A9),1),1),0)</f>
        <v>4</v>
      </c>
      <c r="H9">
        <f t="array" ref="H9">IFERROR(COUNTIF(OFFSET(INDEX('Schedule Daily'!$A:$A,MATCH($A9,'Schedule Daily'!$B:$B,0)),0,COLUMN(H9),COUNTIF('Schedule Daily'!$B:$B,$A9),1),1),0)</f>
        <v>4</v>
      </c>
      <c r="I9">
        <f t="array" ref="I9">IFERROR(COUNTIF(OFFSET(INDEX('Schedule Daily'!$A:$A,MATCH($A9,'Schedule Daily'!$B:$B,0)),0,COLUMN(I9),COUNTIF('Schedule Daily'!$B:$B,$A9),1),1),0)</f>
        <v>3</v>
      </c>
      <c r="J9">
        <f t="array" ref="J9">IFERROR(COUNTIF(OFFSET(INDEX('Schedule Daily'!$A:$A,MATCH($A9,'Schedule Daily'!$B:$B,0)),0,COLUMN(J9),COUNTIF('Schedule Daily'!$B:$B,$A9),1),1),0)</f>
        <v>4</v>
      </c>
      <c r="K9">
        <f t="array" ref="K9">IFERROR(COUNTIF(OFFSET(INDEX('Schedule Daily'!$A:$A,MATCH($A9,'Schedule Daily'!$B:$B,0)),0,COLUMN(K9),COUNTIF('Schedule Daily'!$B:$B,$A9),1),1),0)</f>
        <v>4</v>
      </c>
      <c r="L9">
        <f t="array" ref="L9">IFERROR(COUNTIF(OFFSET(INDEX('Schedule Daily'!$A:$A,MATCH($A9,'Schedule Daily'!$B:$B,0)),0,COLUMN(L9),COUNTIF('Schedule Daily'!$B:$B,$A9),1),1),0)</f>
        <v>4</v>
      </c>
      <c r="M9">
        <f t="array" ref="M9">IFERROR(COUNTIF(OFFSET(INDEX('Schedule Daily'!$A:$A,MATCH($A9,'Schedule Daily'!$B:$B,0)),0,COLUMN(M9),COUNTIF('Schedule Daily'!$B:$B,$A9),1),1),0)</f>
        <v>3</v>
      </c>
      <c r="N9">
        <f t="array" ref="N9">IFERROR(COUNTIF(OFFSET(INDEX('Schedule Daily'!$A:$A,MATCH($A9,'Schedule Daily'!$B:$B,0)),0,COLUMN(N9),COUNTIF('Schedule Daily'!$B:$B,$A9),1),1),0)</f>
        <v>3</v>
      </c>
      <c r="O9">
        <f t="array" ref="O9">IFERROR(COUNTIF(OFFSET(INDEX('Schedule Daily'!$A:$A,MATCH($A9,'Schedule Daily'!$B:$B,0)),0,COLUMN(O9),COUNTIF('Schedule Daily'!$B:$B,$A9),1),1),0)</f>
        <v>4</v>
      </c>
      <c r="P9">
        <f t="array" ref="P9">IFERROR(COUNTIF(OFFSET(INDEX('Schedule Daily'!$A:$A,MATCH($A9,'Schedule Daily'!$B:$B,0)),0,COLUMN(P9),COUNTIF('Schedule Daily'!$B:$B,$A9),1),1),0)</f>
        <v>4</v>
      </c>
      <c r="Q9">
        <f t="array" ref="Q9">IFERROR(COUNTIF(OFFSET(INDEX('Schedule Daily'!$A:$A,MATCH($A9,'Schedule Daily'!$B:$B,0)),0,COLUMN(Q9),COUNTIF('Schedule Daily'!$B:$B,$A9),1),1),0)</f>
        <v>4</v>
      </c>
      <c r="R9">
        <f t="array" ref="R9">IFERROR(COUNTIF(OFFSET(INDEX('Schedule Daily'!$A:$A,MATCH($A9,'Schedule Daily'!$B:$B,0)),0,COLUMN(R9),COUNTIF('Schedule Daily'!$B:$B,$A9),1),1),0)</f>
        <v>4</v>
      </c>
      <c r="S9">
        <f t="array" ref="S9">IFERROR(COUNTIF(OFFSET(INDEX('Schedule Daily'!$A:$A,MATCH($A9,'Schedule Daily'!$B:$B,0)),0,COLUMN(S9),COUNTIF('Schedule Daily'!$B:$B,$A9),1),1),0)</f>
        <v>3</v>
      </c>
      <c r="T9">
        <f t="array" ref="T9">IFERROR(COUNTIF(OFFSET(INDEX('Schedule Daily'!$A:$A,MATCH($A9,'Schedule Daily'!$B:$B,0)),0,COLUMN(T9),COUNTIF('Schedule Daily'!$B:$B,$A9),1),1),0)</f>
        <v>4</v>
      </c>
      <c r="U9">
        <f t="array" ref="U9">IFERROR(COUNTIF(OFFSET(INDEX('Schedule Daily'!$A:$A,MATCH($A9,'Schedule Daily'!$B:$B,0)),0,COLUMN(U9),COUNTIF('Schedule Daily'!$B:$B,$A9),1),1),0)</f>
        <v>3</v>
      </c>
      <c r="V9">
        <f t="array" ref="V9">IFERROR(COUNTIF(OFFSET(INDEX('Schedule Daily'!$A:$A,MATCH($A9,'Schedule Daily'!$B:$B,0)),0,COLUMN(V9),COUNTIF('Schedule Daily'!$B:$B,$A9),1),1),0)</f>
        <v>3</v>
      </c>
      <c r="W9">
        <f t="array" ref="W9">IFERROR(COUNTIF(OFFSET(INDEX('Schedule Daily'!$A:$A,MATCH($A9,'Schedule Daily'!$B:$B,0)),0,COLUMN(W9),COUNTIF('Schedule Daily'!$B:$B,$A9),1),1),0)</f>
        <v>4</v>
      </c>
      <c r="X9">
        <f t="array" ref="X9">IFERROR(COUNTIF(OFFSET(INDEX('Schedule Daily'!$A:$A,MATCH($A9,'Schedule Daily'!$B:$B,0)),0,COLUMN(X9),COUNTIF('Schedule Daily'!$B:$B,$A9),1),1),0)</f>
        <v>2</v>
      </c>
      <c r="Y9">
        <f t="array" ref="Y9">IFERROR(COUNTIF(OFFSET(INDEX('Schedule Daily'!$A:$A,MATCH($A9,'Schedule Daily'!$B:$B,0)),0,COLUMN(Y9),COUNTIF('Schedule Daily'!$B:$B,$A9),1),1),0)</f>
        <v>4</v>
      </c>
      <c r="Z9">
        <f t="array" ref="Z9">IFERROR(COUNTIF(OFFSET(INDEX('Schedule Daily'!$A:$A,MATCH($A9,'Schedule Daily'!$B:$B,0)),0,COLUMN(Z9),COUNTIF('Schedule Daily'!$B:$B,$A9),1),1),0)</f>
        <v>3</v>
      </c>
      <c r="AA9">
        <f t="array" ref="AA9">IFERROR(COUNTIF(OFFSET(INDEX('Schedule Daily'!$A:$A,MATCH($A9,'Schedule Daily'!$B:$B,0)),0,COLUMN(AA9),COUNTIF('Schedule Daily'!$B:$B,$A9),1),1),0)</f>
        <v>3</v>
      </c>
      <c r="AB9">
        <f t="array" ref="AB9">IFERROR(COUNTIF(OFFSET(INDEX('Schedule Daily'!$A:$A,MATCH($A9,'Schedule Daily'!$B:$B,0)),0,COLUMN(AB9),COUNTIF('Schedule Daily'!$B:$B,$A9),1),1),0)</f>
        <v>4</v>
      </c>
      <c r="AC9">
        <f t="array" ref="AC9">IFERROR(COUNTIF(OFFSET(INDEX('Schedule Daily'!$A:$A,MATCH($A9,'Schedule Daily'!$B:$B,0)),0,COLUMN(AC9),COUNTIF('Schedule Daily'!$B:$B,$A9),1),1),0)</f>
        <v>4</v>
      </c>
      <c r="AD9">
        <f t="array" ref="AD9">IFERROR(COUNTIF(OFFSET(INDEX('Schedule Daily'!$A:$A,MATCH($A9,'Schedule Daily'!$B:$B,0)),0,COLUMN(AD9),COUNTIF('Schedule Daily'!$B:$B,$A9),1),1),0)</f>
        <v>4</v>
      </c>
      <c r="AE9">
        <f t="array" ref="AE9">IFERROR(COUNTIF(OFFSET(INDEX('Schedule Daily'!$A:$A,MATCH($A9,'Schedule Daily'!$B:$B,0)),0,COLUMN(AE9),COUNTIF('Schedule Daily'!$B:$B,$A9),1),1),0)</f>
        <v>4</v>
      </c>
    </row>
    <row r="10">
      <c r="A10">
        <f t="shared" si="1"/>
        <v>9</v>
      </c>
      <c r="B10">
        <f t="array" ref="B10">IFERROR(COUNTIF(OFFSET(INDEX('Schedule Daily'!$A:$A,MATCH($A10,'Schedule Daily'!$B:$B,0)),0,COLUMN(B10),COUNTIF('Schedule Daily'!$B:$B,$A10),1),1),0)</f>
        <v>3</v>
      </c>
      <c r="C10">
        <f t="array" ref="C10">IFERROR(COUNTIF(OFFSET(INDEX('Schedule Daily'!$A:$A,MATCH($A10,'Schedule Daily'!$B:$B,0)),0,COLUMN(C10),COUNTIF('Schedule Daily'!$B:$B,$A10),1),1),0)</f>
        <v>4</v>
      </c>
      <c r="D10">
        <f t="array" ref="D10">IFERROR(COUNTIF(OFFSET(INDEX('Schedule Daily'!$A:$A,MATCH($A10,'Schedule Daily'!$B:$B,0)),0,COLUMN(D10),COUNTIF('Schedule Daily'!$B:$B,$A10),1),1),0)</f>
        <v>2</v>
      </c>
      <c r="E10">
        <f t="array" ref="E10">IFERROR(COUNTIF(OFFSET(INDEX('Schedule Daily'!$A:$A,MATCH($A10,'Schedule Daily'!$B:$B,0)),0,COLUMN(E10),COUNTIF('Schedule Daily'!$B:$B,$A10),1),1),0)</f>
        <v>4</v>
      </c>
      <c r="F10">
        <f t="array" ref="F10">IFERROR(COUNTIF(OFFSET(INDEX('Schedule Daily'!$A:$A,MATCH($A10,'Schedule Daily'!$B:$B,0)),0,COLUMN(F10),COUNTIF('Schedule Daily'!$B:$B,$A10),1),1),0)</f>
        <v>3</v>
      </c>
      <c r="G10">
        <f t="array" ref="G10">IFERROR(COUNTIF(OFFSET(INDEX('Schedule Daily'!$A:$A,MATCH($A10,'Schedule Daily'!$B:$B,0)),0,COLUMN(G10),COUNTIF('Schedule Daily'!$B:$B,$A10),1),1),0)</f>
        <v>3</v>
      </c>
      <c r="H10">
        <f t="array" ref="H10">IFERROR(COUNTIF(OFFSET(INDEX('Schedule Daily'!$A:$A,MATCH($A10,'Schedule Daily'!$B:$B,0)),0,COLUMN(H10),COUNTIF('Schedule Daily'!$B:$B,$A10),1),1),0)</f>
        <v>3</v>
      </c>
      <c r="I10">
        <f t="array" ref="I10">IFERROR(COUNTIF(OFFSET(INDEX('Schedule Daily'!$A:$A,MATCH($A10,'Schedule Daily'!$B:$B,0)),0,COLUMN(I10),COUNTIF('Schedule Daily'!$B:$B,$A10),1),1),0)</f>
        <v>4</v>
      </c>
      <c r="J10">
        <f t="array" ref="J10">IFERROR(COUNTIF(OFFSET(INDEX('Schedule Daily'!$A:$A,MATCH($A10,'Schedule Daily'!$B:$B,0)),0,COLUMN(J10),COUNTIF('Schedule Daily'!$B:$B,$A10),1),1),0)</f>
        <v>4</v>
      </c>
      <c r="K10">
        <f t="array" ref="K10">IFERROR(COUNTIF(OFFSET(INDEX('Schedule Daily'!$A:$A,MATCH($A10,'Schedule Daily'!$B:$B,0)),0,COLUMN(K10),COUNTIF('Schedule Daily'!$B:$B,$A10),1),1),0)</f>
        <v>4</v>
      </c>
      <c r="L10">
        <f t="array" ref="L10">IFERROR(COUNTIF(OFFSET(INDEX('Schedule Daily'!$A:$A,MATCH($A10,'Schedule Daily'!$B:$B,0)),0,COLUMN(L10),COUNTIF('Schedule Daily'!$B:$B,$A10),1),1),0)</f>
        <v>2</v>
      </c>
      <c r="M10">
        <f t="array" ref="M10">IFERROR(COUNTIF(OFFSET(INDEX('Schedule Daily'!$A:$A,MATCH($A10,'Schedule Daily'!$B:$B,0)),0,COLUMN(M10),COUNTIF('Schedule Daily'!$B:$B,$A10),1),1),0)</f>
        <v>4</v>
      </c>
      <c r="N10">
        <f t="array" ref="N10">IFERROR(COUNTIF(OFFSET(INDEX('Schedule Daily'!$A:$A,MATCH($A10,'Schedule Daily'!$B:$B,0)),0,COLUMN(N10),COUNTIF('Schedule Daily'!$B:$B,$A10),1),1),0)</f>
        <v>4</v>
      </c>
      <c r="O10">
        <f t="array" ref="O10">IFERROR(COUNTIF(OFFSET(INDEX('Schedule Daily'!$A:$A,MATCH($A10,'Schedule Daily'!$B:$B,0)),0,COLUMN(O10),COUNTIF('Schedule Daily'!$B:$B,$A10),1),1),0)</f>
        <v>4</v>
      </c>
      <c r="P10">
        <f t="array" ref="P10">IFERROR(COUNTIF(OFFSET(INDEX('Schedule Daily'!$A:$A,MATCH($A10,'Schedule Daily'!$B:$B,0)),0,COLUMN(P10),COUNTIF('Schedule Daily'!$B:$B,$A10),1),1),0)</f>
        <v>4</v>
      </c>
      <c r="Q10">
        <f t="array" ref="Q10">IFERROR(COUNTIF(OFFSET(INDEX('Schedule Daily'!$A:$A,MATCH($A10,'Schedule Daily'!$B:$B,0)),0,COLUMN(Q10),COUNTIF('Schedule Daily'!$B:$B,$A10),1),1),0)</f>
        <v>4</v>
      </c>
      <c r="R10">
        <f t="array" ref="R10">IFERROR(COUNTIF(OFFSET(INDEX('Schedule Daily'!$A:$A,MATCH($A10,'Schedule Daily'!$B:$B,0)),0,COLUMN(R10),COUNTIF('Schedule Daily'!$B:$B,$A10),1),1),0)</f>
        <v>3</v>
      </c>
      <c r="S10">
        <f t="array" ref="S10">IFERROR(COUNTIF(OFFSET(INDEX('Schedule Daily'!$A:$A,MATCH($A10,'Schedule Daily'!$B:$B,0)),0,COLUMN(S10),COUNTIF('Schedule Daily'!$B:$B,$A10),1),1),0)</f>
        <v>4</v>
      </c>
      <c r="T10">
        <f t="array" ref="T10">IFERROR(COUNTIF(OFFSET(INDEX('Schedule Daily'!$A:$A,MATCH($A10,'Schedule Daily'!$B:$B,0)),0,COLUMN(T10),COUNTIF('Schedule Daily'!$B:$B,$A10),1),1),0)</f>
        <v>3</v>
      </c>
      <c r="U10">
        <f t="array" ref="U10">IFERROR(COUNTIF(OFFSET(INDEX('Schedule Daily'!$A:$A,MATCH($A10,'Schedule Daily'!$B:$B,0)),0,COLUMN(U10),COUNTIF('Schedule Daily'!$B:$B,$A10),1),1),0)</f>
        <v>4</v>
      </c>
      <c r="V10">
        <f t="array" ref="V10">IFERROR(COUNTIF(OFFSET(INDEX('Schedule Daily'!$A:$A,MATCH($A10,'Schedule Daily'!$B:$B,0)),0,COLUMN(V10),COUNTIF('Schedule Daily'!$B:$B,$A10),1),1),0)</f>
        <v>4</v>
      </c>
      <c r="W10">
        <f t="array" ref="W10">IFERROR(COUNTIF(OFFSET(INDEX('Schedule Daily'!$A:$A,MATCH($A10,'Schedule Daily'!$B:$B,0)),0,COLUMN(W10),COUNTIF('Schedule Daily'!$B:$B,$A10),1),1),0)</f>
        <v>4</v>
      </c>
      <c r="X10">
        <f t="array" ref="X10">IFERROR(COUNTIF(OFFSET(INDEX('Schedule Daily'!$A:$A,MATCH($A10,'Schedule Daily'!$B:$B,0)),0,COLUMN(X10),COUNTIF('Schedule Daily'!$B:$B,$A10),1),1),0)</f>
        <v>4</v>
      </c>
      <c r="Y10">
        <f t="array" ref="Y10">IFERROR(COUNTIF(OFFSET(INDEX('Schedule Daily'!$A:$A,MATCH($A10,'Schedule Daily'!$B:$B,0)),0,COLUMN(Y10),COUNTIF('Schedule Daily'!$B:$B,$A10),1),1),0)</f>
        <v>3</v>
      </c>
      <c r="Z10">
        <f t="array" ref="Z10">IFERROR(COUNTIF(OFFSET(INDEX('Schedule Daily'!$A:$A,MATCH($A10,'Schedule Daily'!$B:$B,0)),0,COLUMN(Z10),COUNTIF('Schedule Daily'!$B:$B,$A10),1),1),0)</f>
        <v>4</v>
      </c>
      <c r="AA10">
        <f t="array" ref="AA10">IFERROR(COUNTIF(OFFSET(INDEX('Schedule Daily'!$A:$A,MATCH($A10,'Schedule Daily'!$B:$B,0)),0,COLUMN(AA10),COUNTIF('Schedule Daily'!$B:$B,$A10),1),1),0)</f>
        <v>3</v>
      </c>
      <c r="AB10">
        <f t="array" ref="AB10">IFERROR(COUNTIF(OFFSET(INDEX('Schedule Daily'!$A:$A,MATCH($A10,'Schedule Daily'!$B:$B,0)),0,COLUMN(AB10),COUNTIF('Schedule Daily'!$B:$B,$A10),1),1),0)</f>
        <v>4</v>
      </c>
      <c r="AC10">
        <f t="array" ref="AC10">IFERROR(COUNTIF(OFFSET(INDEX('Schedule Daily'!$A:$A,MATCH($A10,'Schedule Daily'!$B:$B,0)),0,COLUMN(AC10),COUNTIF('Schedule Daily'!$B:$B,$A10),1),1),0)</f>
        <v>3</v>
      </c>
      <c r="AD10">
        <f t="array" ref="AD10">IFERROR(COUNTIF(OFFSET(INDEX('Schedule Daily'!$A:$A,MATCH($A10,'Schedule Daily'!$B:$B,0)),0,COLUMN(AD10),COUNTIF('Schedule Daily'!$B:$B,$A10),1),1),0)</f>
        <v>3</v>
      </c>
      <c r="AE10">
        <f t="array" ref="AE10">IFERROR(COUNTIF(OFFSET(INDEX('Schedule Daily'!$A:$A,MATCH($A10,'Schedule Daily'!$B:$B,0)),0,COLUMN(AE10),COUNTIF('Schedule Daily'!$B:$B,$A10),1),1),0)</f>
        <v>4</v>
      </c>
    </row>
    <row r="11">
      <c r="A11">
        <f t="shared" si="1"/>
        <v>10</v>
      </c>
      <c r="B11">
        <f t="array" ref="B11">IFERROR(COUNTIF(OFFSET(INDEX('Schedule Daily'!$A:$A,MATCH($A11,'Schedule Daily'!$B:$B,0)),0,COLUMN(B11),COUNTIF('Schedule Daily'!$B:$B,$A11),1),1),0)</f>
        <v>3</v>
      </c>
      <c r="C11">
        <f t="array" ref="C11">IFERROR(COUNTIF(OFFSET(INDEX('Schedule Daily'!$A:$A,MATCH($A11,'Schedule Daily'!$B:$B,0)),0,COLUMN(C11),COUNTIF('Schedule Daily'!$B:$B,$A11),1),1),0)</f>
        <v>3</v>
      </c>
      <c r="D11">
        <f t="array" ref="D11">IFERROR(COUNTIF(OFFSET(INDEX('Schedule Daily'!$A:$A,MATCH($A11,'Schedule Daily'!$B:$B,0)),0,COLUMN(D11),COUNTIF('Schedule Daily'!$B:$B,$A11),1),1),0)</f>
        <v>4</v>
      </c>
      <c r="E11">
        <f t="array" ref="E11">IFERROR(COUNTIF(OFFSET(INDEX('Schedule Daily'!$A:$A,MATCH($A11,'Schedule Daily'!$B:$B,0)),0,COLUMN(E11),COUNTIF('Schedule Daily'!$B:$B,$A11),1),1),0)</f>
        <v>4</v>
      </c>
      <c r="F11">
        <f t="array" ref="F11">IFERROR(COUNTIF(OFFSET(INDEX('Schedule Daily'!$A:$A,MATCH($A11,'Schedule Daily'!$B:$B,0)),0,COLUMN(F11),COUNTIF('Schedule Daily'!$B:$B,$A11),1),1),0)</f>
        <v>3</v>
      </c>
      <c r="G11">
        <f t="array" ref="G11">IFERROR(COUNTIF(OFFSET(INDEX('Schedule Daily'!$A:$A,MATCH($A11,'Schedule Daily'!$B:$B,0)),0,COLUMN(G11),COUNTIF('Schedule Daily'!$B:$B,$A11),1),1),0)</f>
        <v>4</v>
      </c>
      <c r="H11">
        <f t="array" ref="H11">IFERROR(COUNTIF(OFFSET(INDEX('Schedule Daily'!$A:$A,MATCH($A11,'Schedule Daily'!$B:$B,0)),0,COLUMN(H11),COUNTIF('Schedule Daily'!$B:$B,$A11),1),1),0)</f>
        <v>3</v>
      </c>
      <c r="I11">
        <f t="array" ref="I11">IFERROR(COUNTIF(OFFSET(INDEX('Schedule Daily'!$A:$A,MATCH($A11,'Schedule Daily'!$B:$B,0)),0,COLUMN(I11),COUNTIF('Schedule Daily'!$B:$B,$A11),1),1),0)</f>
        <v>4</v>
      </c>
      <c r="J11">
        <f t="array" ref="J11">IFERROR(COUNTIF(OFFSET(INDEX('Schedule Daily'!$A:$A,MATCH($A11,'Schedule Daily'!$B:$B,0)),0,COLUMN(J11),COUNTIF('Schedule Daily'!$B:$B,$A11),1),1),0)</f>
        <v>3</v>
      </c>
      <c r="K11">
        <f t="array" ref="K11">IFERROR(COUNTIF(OFFSET(INDEX('Schedule Daily'!$A:$A,MATCH($A11,'Schedule Daily'!$B:$B,0)),0,COLUMN(K11),COUNTIF('Schedule Daily'!$B:$B,$A11),1),1),0)</f>
        <v>3</v>
      </c>
      <c r="L11">
        <f t="array" ref="L11">IFERROR(COUNTIF(OFFSET(INDEX('Schedule Daily'!$A:$A,MATCH($A11,'Schedule Daily'!$B:$B,0)),0,COLUMN(L11),COUNTIF('Schedule Daily'!$B:$B,$A11),1),1),0)</f>
        <v>4</v>
      </c>
      <c r="M11">
        <f t="array" ref="M11">IFERROR(COUNTIF(OFFSET(INDEX('Schedule Daily'!$A:$A,MATCH($A11,'Schedule Daily'!$B:$B,0)),0,COLUMN(M11),COUNTIF('Schedule Daily'!$B:$B,$A11),1),1),0)</f>
        <v>3</v>
      </c>
      <c r="N11">
        <f t="array" ref="N11">IFERROR(COUNTIF(OFFSET(INDEX('Schedule Daily'!$A:$A,MATCH($A11,'Schedule Daily'!$B:$B,0)),0,COLUMN(N11),COUNTIF('Schedule Daily'!$B:$B,$A11),1),1),0)</f>
        <v>4</v>
      </c>
      <c r="O11">
        <f t="array" ref="O11">IFERROR(COUNTIF(OFFSET(INDEX('Schedule Daily'!$A:$A,MATCH($A11,'Schedule Daily'!$B:$B,0)),0,COLUMN(O11),COUNTIF('Schedule Daily'!$B:$B,$A11),1),1),0)</f>
        <v>4</v>
      </c>
      <c r="P11">
        <f t="array" ref="P11">IFERROR(COUNTIF(OFFSET(INDEX('Schedule Daily'!$A:$A,MATCH($A11,'Schedule Daily'!$B:$B,0)),0,COLUMN(P11),COUNTIF('Schedule Daily'!$B:$B,$A11),1),1),0)</f>
        <v>2</v>
      </c>
      <c r="Q11">
        <f t="array" ref="Q11">IFERROR(COUNTIF(OFFSET(INDEX('Schedule Daily'!$A:$A,MATCH($A11,'Schedule Daily'!$B:$B,0)),0,COLUMN(Q11),COUNTIF('Schedule Daily'!$B:$B,$A11),1),1),0)</f>
        <v>3</v>
      </c>
      <c r="R11">
        <f t="array" ref="R11">IFERROR(COUNTIF(OFFSET(INDEX('Schedule Daily'!$A:$A,MATCH($A11,'Schedule Daily'!$B:$B,0)),0,COLUMN(R11),COUNTIF('Schedule Daily'!$B:$B,$A11),1),1),0)</f>
        <v>4</v>
      </c>
      <c r="S11">
        <f t="array" ref="S11">IFERROR(COUNTIF(OFFSET(INDEX('Schedule Daily'!$A:$A,MATCH($A11,'Schedule Daily'!$B:$B,0)),0,COLUMN(S11),COUNTIF('Schedule Daily'!$B:$B,$A11),1),1),0)</f>
        <v>4</v>
      </c>
      <c r="T11">
        <f t="array" ref="T11">IFERROR(COUNTIF(OFFSET(INDEX('Schedule Daily'!$A:$A,MATCH($A11,'Schedule Daily'!$B:$B,0)),0,COLUMN(T11),COUNTIF('Schedule Daily'!$B:$B,$A11),1),1),0)</f>
        <v>4</v>
      </c>
      <c r="U11">
        <f t="array" ref="U11">IFERROR(COUNTIF(OFFSET(INDEX('Schedule Daily'!$A:$A,MATCH($A11,'Schedule Daily'!$B:$B,0)),0,COLUMN(U11),COUNTIF('Schedule Daily'!$B:$B,$A11),1),1),0)</f>
        <v>3</v>
      </c>
      <c r="V11">
        <f t="array" ref="V11">IFERROR(COUNTIF(OFFSET(INDEX('Schedule Daily'!$A:$A,MATCH($A11,'Schedule Daily'!$B:$B,0)),0,COLUMN(V11),COUNTIF('Schedule Daily'!$B:$B,$A11),1),1),0)</f>
        <v>4</v>
      </c>
      <c r="W11">
        <f t="array" ref="W11">IFERROR(COUNTIF(OFFSET(INDEX('Schedule Daily'!$A:$A,MATCH($A11,'Schedule Daily'!$B:$B,0)),0,COLUMN(W11),COUNTIF('Schedule Daily'!$B:$B,$A11),1),1),0)</f>
        <v>4</v>
      </c>
      <c r="X11">
        <f t="array" ref="X11">IFERROR(COUNTIF(OFFSET(INDEX('Schedule Daily'!$A:$A,MATCH($A11,'Schedule Daily'!$B:$B,0)),0,COLUMN(X11),COUNTIF('Schedule Daily'!$B:$B,$A11),1),1),0)</f>
        <v>3</v>
      </c>
      <c r="Y11">
        <f t="array" ref="Y11">IFERROR(COUNTIF(OFFSET(INDEX('Schedule Daily'!$A:$A,MATCH($A11,'Schedule Daily'!$B:$B,0)),0,COLUMN(Y11),COUNTIF('Schedule Daily'!$B:$B,$A11),1),1),0)</f>
        <v>4</v>
      </c>
      <c r="Z11">
        <f t="array" ref="Z11">IFERROR(COUNTIF(OFFSET(INDEX('Schedule Daily'!$A:$A,MATCH($A11,'Schedule Daily'!$B:$B,0)),0,COLUMN(Z11),COUNTIF('Schedule Daily'!$B:$B,$A11),1),1),0)</f>
        <v>2</v>
      </c>
      <c r="AA11">
        <f t="array" ref="AA11">IFERROR(COUNTIF(OFFSET(INDEX('Schedule Daily'!$A:$A,MATCH($A11,'Schedule Daily'!$B:$B,0)),0,COLUMN(AA11),COUNTIF('Schedule Daily'!$B:$B,$A11),1),1),0)</f>
        <v>4</v>
      </c>
      <c r="AB11">
        <f t="array" ref="AB11">IFERROR(COUNTIF(OFFSET(INDEX('Schedule Daily'!$A:$A,MATCH($A11,'Schedule Daily'!$B:$B,0)),0,COLUMN(AB11),COUNTIF('Schedule Daily'!$B:$B,$A11),1),1),0)</f>
        <v>4</v>
      </c>
      <c r="AC11">
        <f t="array" ref="AC11">IFERROR(COUNTIF(OFFSET(INDEX('Schedule Daily'!$A:$A,MATCH($A11,'Schedule Daily'!$B:$B,0)),0,COLUMN(AC11),COUNTIF('Schedule Daily'!$B:$B,$A11),1),1),0)</f>
        <v>4</v>
      </c>
      <c r="AD11">
        <f t="array" ref="AD11">IFERROR(COUNTIF(OFFSET(INDEX('Schedule Daily'!$A:$A,MATCH($A11,'Schedule Daily'!$B:$B,0)),0,COLUMN(AD11),COUNTIF('Schedule Daily'!$B:$B,$A11),1),1),0)</f>
        <v>3</v>
      </c>
      <c r="AE11">
        <f t="array" ref="AE11">IFERROR(COUNTIF(OFFSET(INDEX('Schedule Daily'!$A:$A,MATCH($A11,'Schedule Daily'!$B:$B,0)),0,COLUMN(AE11),COUNTIF('Schedule Daily'!$B:$B,$A11),1),1),0)</f>
        <v>3</v>
      </c>
    </row>
    <row r="12">
      <c r="A12">
        <f t="shared" si="1"/>
        <v>11</v>
      </c>
      <c r="B12">
        <f t="array" ref="B12">IFERROR(COUNTIF(OFFSET(INDEX('Schedule Daily'!$A:$A,MATCH($A12,'Schedule Daily'!$B:$B,0)),0,COLUMN(B12),COUNTIF('Schedule Daily'!$B:$B,$A12),1),1),0)</f>
        <v>4</v>
      </c>
      <c r="C12">
        <f t="array" ref="C12">IFERROR(COUNTIF(OFFSET(INDEX('Schedule Daily'!$A:$A,MATCH($A12,'Schedule Daily'!$B:$B,0)),0,COLUMN(C12),COUNTIF('Schedule Daily'!$B:$B,$A12),1),1),0)</f>
        <v>4</v>
      </c>
      <c r="D12">
        <f t="array" ref="D12">IFERROR(COUNTIF(OFFSET(INDEX('Schedule Daily'!$A:$A,MATCH($A12,'Schedule Daily'!$B:$B,0)),0,COLUMN(D12),COUNTIF('Schedule Daily'!$B:$B,$A12),1),1),0)</f>
        <v>3</v>
      </c>
      <c r="E12">
        <f t="array" ref="E12">IFERROR(COUNTIF(OFFSET(INDEX('Schedule Daily'!$A:$A,MATCH($A12,'Schedule Daily'!$B:$B,0)),0,COLUMN(E12),COUNTIF('Schedule Daily'!$B:$B,$A12),1),1),0)</f>
        <v>4</v>
      </c>
      <c r="F12">
        <f t="array" ref="F12">IFERROR(COUNTIF(OFFSET(INDEX('Schedule Daily'!$A:$A,MATCH($A12,'Schedule Daily'!$B:$B,0)),0,COLUMN(F12),COUNTIF('Schedule Daily'!$B:$B,$A12),1),1),0)</f>
        <v>5</v>
      </c>
      <c r="G12">
        <f t="array" ref="G12">IFERROR(COUNTIF(OFFSET(INDEX('Schedule Daily'!$A:$A,MATCH($A12,'Schedule Daily'!$B:$B,0)),0,COLUMN(G12),COUNTIF('Schedule Daily'!$B:$B,$A12),1),1),0)</f>
        <v>3</v>
      </c>
      <c r="H12">
        <f t="array" ref="H12">IFERROR(COUNTIF(OFFSET(INDEX('Schedule Daily'!$A:$A,MATCH($A12,'Schedule Daily'!$B:$B,0)),0,COLUMN(H12),COUNTIF('Schedule Daily'!$B:$B,$A12),1),1),0)</f>
        <v>4</v>
      </c>
      <c r="I12">
        <f t="array" ref="I12">IFERROR(COUNTIF(OFFSET(INDEX('Schedule Daily'!$A:$A,MATCH($A12,'Schedule Daily'!$B:$B,0)),0,COLUMN(I12),COUNTIF('Schedule Daily'!$B:$B,$A12),1),1),0)</f>
        <v>3</v>
      </c>
      <c r="J12">
        <f t="array" ref="J12">IFERROR(COUNTIF(OFFSET(INDEX('Schedule Daily'!$A:$A,MATCH($A12,'Schedule Daily'!$B:$B,0)),0,COLUMN(J12),COUNTIF('Schedule Daily'!$B:$B,$A12),1),1),0)</f>
        <v>4</v>
      </c>
      <c r="K12">
        <f t="array" ref="K12">IFERROR(COUNTIF(OFFSET(INDEX('Schedule Daily'!$A:$A,MATCH($A12,'Schedule Daily'!$B:$B,0)),0,COLUMN(K12),COUNTIF('Schedule Daily'!$B:$B,$A12),1),1),0)</f>
        <v>3</v>
      </c>
      <c r="L12">
        <f t="array" ref="L12">IFERROR(COUNTIF(OFFSET(INDEX('Schedule Daily'!$A:$A,MATCH($A12,'Schedule Daily'!$B:$B,0)),0,COLUMN(L12),COUNTIF('Schedule Daily'!$B:$B,$A12),1),1),0)</f>
        <v>3</v>
      </c>
      <c r="M12">
        <f t="array" ref="M12">IFERROR(COUNTIF(OFFSET(INDEX('Schedule Daily'!$A:$A,MATCH($A12,'Schedule Daily'!$B:$B,0)),0,COLUMN(M12),COUNTIF('Schedule Daily'!$B:$B,$A12),1),1),0)</f>
        <v>4</v>
      </c>
      <c r="N12">
        <f t="array" ref="N12">IFERROR(COUNTIF(OFFSET(INDEX('Schedule Daily'!$A:$A,MATCH($A12,'Schedule Daily'!$B:$B,0)),0,COLUMN(N12),COUNTIF('Schedule Daily'!$B:$B,$A12),1),1),0)</f>
        <v>3</v>
      </c>
      <c r="O12">
        <f t="array" ref="O12">IFERROR(COUNTIF(OFFSET(INDEX('Schedule Daily'!$A:$A,MATCH($A12,'Schedule Daily'!$B:$B,0)),0,COLUMN(O12),COUNTIF('Schedule Daily'!$B:$B,$A12),1),1),0)</f>
        <v>3</v>
      </c>
      <c r="P12">
        <f t="array" ref="P12">IFERROR(COUNTIF(OFFSET(INDEX('Schedule Daily'!$A:$A,MATCH($A12,'Schedule Daily'!$B:$B,0)),0,COLUMN(P12),COUNTIF('Schedule Daily'!$B:$B,$A12),1),1),0)</f>
        <v>4</v>
      </c>
      <c r="Q12">
        <f t="array" ref="Q12">IFERROR(COUNTIF(OFFSET(INDEX('Schedule Daily'!$A:$A,MATCH($A12,'Schedule Daily'!$B:$B,0)),0,COLUMN(Q12),COUNTIF('Schedule Daily'!$B:$B,$A12),1),1),0)</f>
        <v>4</v>
      </c>
      <c r="R12">
        <f t="array" ref="R12">IFERROR(COUNTIF(OFFSET(INDEX('Schedule Daily'!$A:$A,MATCH($A12,'Schedule Daily'!$B:$B,0)),0,COLUMN(R12),COUNTIF('Schedule Daily'!$B:$B,$A12),1),1),0)</f>
        <v>3</v>
      </c>
      <c r="S12">
        <f t="array" ref="S12">IFERROR(COUNTIF(OFFSET(INDEX('Schedule Daily'!$A:$A,MATCH($A12,'Schedule Daily'!$B:$B,0)),0,COLUMN(S12),COUNTIF('Schedule Daily'!$B:$B,$A12),1),1),0)</f>
        <v>3</v>
      </c>
      <c r="T12">
        <f t="array" ref="T12">IFERROR(COUNTIF(OFFSET(INDEX('Schedule Daily'!$A:$A,MATCH($A12,'Schedule Daily'!$B:$B,0)),0,COLUMN(T12),COUNTIF('Schedule Daily'!$B:$B,$A12),1),1),0)</f>
        <v>4</v>
      </c>
      <c r="U12">
        <f t="array" ref="U12">IFERROR(COUNTIF(OFFSET(INDEX('Schedule Daily'!$A:$A,MATCH($A12,'Schedule Daily'!$B:$B,0)),0,COLUMN(U12),COUNTIF('Schedule Daily'!$B:$B,$A12),1),1),0)</f>
        <v>3</v>
      </c>
      <c r="V12">
        <f t="array" ref="V12">IFERROR(COUNTIF(OFFSET(INDEX('Schedule Daily'!$A:$A,MATCH($A12,'Schedule Daily'!$B:$B,0)),0,COLUMN(V12),COUNTIF('Schedule Daily'!$B:$B,$A12),1),1),0)</f>
        <v>3</v>
      </c>
      <c r="W12">
        <f t="array" ref="W12">IFERROR(COUNTIF(OFFSET(INDEX('Schedule Daily'!$A:$A,MATCH($A12,'Schedule Daily'!$B:$B,0)),0,COLUMN(W12),COUNTIF('Schedule Daily'!$B:$B,$A12),1),1),0)</f>
        <v>4</v>
      </c>
      <c r="X12">
        <f t="array" ref="X12">IFERROR(COUNTIF(OFFSET(INDEX('Schedule Daily'!$A:$A,MATCH($A12,'Schedule Daily'!$B:$B,0)),0,COLUMN(X12),COUNTIF('Schedule Daily'!$B:$B,$A12),1),1),0)</f>
        <v>4</v>
      </c>
      <c r="Y12">
        <f t="array" ref="Y12">IFERROR(COUNTIF(OFFSET(INDEX('Schedule Daily'!$A:$A,MATCH($A12,'Schedule Daily'!$B:$B,0)),0,COLUMN(Y12),COUNTIF('Schedule Daily'!$B:$B,$A12),1),1),0)</f>
        <v>4</v>
      </c>
      <c r="Z12">
        <f t="array" ref="Z12">IFERROR(COUNTIF(OFFSET(INDEX('Schedule Daily'!$A:$A,MATCH($A12,'Schedule Daily'!$B:$B,0)),0,COLUMN(Z12),COUNTIF('Schedule Daily'!$B:$B,$A12),1),1),0)</f>
        <v>4</v>
      </c>
      <c r="AA12">
        <f t="array" ref="AA12">IFERROR(COUNTIF(OFFSET(INDEX('Schedule Daily'!$A:$A,MATCH($A12,'Schedule Daily'!$B:$B,0)),0,COLUMN(AA12),COUNTIF('Schedule Daily'!$B:$B,$A12),1),1),0)</f>
        <v>4</v>
      </c>
      <c r="AB12">
        <f t="array" ref="AB12">IFERROR(COUNTIF(OFFSET(INDEX('Schedule Daily'!$A:$A,MATCH($A12,'Schedule Daily'!$B:$B,0)),0,COLUMN(AB12),COUNTIF('Schedule Daily'!$B:$B,$A12),1),1),0)</f>
        <v>3</v>
      </c>
      <c r="AC12">
        <f t="array" ref="AC12">IFERROR(COUNTIF(OFFSET(INDEX('Schedule Daily'!$A:$A,MATCH($A12,'Schedule Daily'!$B:$B,0)),0,COLUMN(AC12),COUNTIF('Schedule Daily'!$B:$B,$A12),1),1),0)</f>
        <v>4</v>
      </c>
      <c r="AD12">
        <f t="array" ref="AD12">IFERROR(COUNTIF(OFFSET(INDEX('Schedule Daily'!$A:$A,MATCH($A12,'Schedule Daily'!$B:$B,0)),0,COLUMN(AD12),COUNTIF('Schedule Daily'!$B:$B,$A12),1),1),0)</f>
        <v>4</v>
      </c>
      <c r="AE12">
        <f t="array" ref="AE12">IFERROR(COUNTIF(OFFSET(INDEX('Schedule Daily'!$A:$A,MATCH($A12,'Schedule Daily'!$B:$B,0)),0,COLUMN(AE12),COUNTIF('Schedule Daily'!$B:$B,$A12),1),1),0)</f>
        <v>3</v>
      </c>
    </row>
    <row r="13">
      <c r="A13">
        <f t="shared" si="1"/>
        <v>12</v>
      </c>
      <c r="B13">
        <f t="array" ref="B13">IFERROR(COUNTIF(OFFSET(INDEX('Schedule Daily'!$A:$A,MATCH($A13,'Schedule Daily'!$B:$B,0)),0,COLUMN(B13),COUNTIF('Schedule Daily'!$B:$B,$A13),1),1),0)</f>
        <v>3</v>
      </c>
      <c r="C13">
        <f t="array" ref="C13">IFERROR(COUNTIF(OFFSET(INDEX('Schedule Daily'!$A:$A,MATCH($A13,'Schedule Daily'!$B:$B,0)),0,COLUMN(C13),COUNTIF('Schedule Daily'!$B:$B,$A13),1),1),0)</f>
        <v>4</v>
      </c>
      <c r="D13">
        <f t="array" ref="D13">IFERROR(COUNTIF(OFFSET(INDEX('Schedule Daily'!$A:$A,MATCH($A13,'Schedule Daily'!$B:$B,0)),0,COLUMN(D13),COUNTIF('Schedule Daily'!$B:$B,$A13),1),1),0)</f>
        <v>3</v>
      </c>
      <c r="E13">
        <f t="array" ref="E13">IFERROR(COUNTIF(OFFSET(INDEX('Schedule Daily'!$A:$A,MATCH($A13,'Schedule Daily'!$B:$B,0)),0,COLUMN(E13),COUNTIF('Schedule Daily'!$B:$B,$A13),1),1),0)</f>
        <v>3</v>
      </c>
      <c r="F13">
        <f t="array" ref="F13">IFERROR(COUNTIF(OFFSET(INDEX('Schedule Daily'!$A:$A,MATCH($A13,'Schedule Daily'!$B:$B,0)),0,COLUMN(F13),COUNTIF('Schedule Daily'!$B:$B,$A13),1),1),0)</f>
        <v>3</v>
      </c>
      <c r="G13">
        <f t="array" ref="G13">IFERROR(COUNTIF(OFFSET(INDEX('Schedule Daily'!$A:$A,MATCH($A13,'Schedule Daily'!$B:$B,0)),0,COLUMN(G13),COUNTIF('Schedule Daily'!$B:$B,$A13),1),1),0)</f>
        <v>4</v>
      </c>
      <c r="H13">
        <f t="array" ref="H13">IFERROR(COUNTIF(OFFSET(INDEX('Schedule Daily'!$A:$A,MATCH($A13,'Schedule Daily'!$B:$B,0)),0,COLUMN(H13),COUNTIF('Schedule Daily'!$B:$B,$A13),1),1),0)</f>
        <v>3</v>
      </c>
      <c r="I13">
        <f t="array" ref="I13">IFERROR(COUNTIF(OFFSET(INDEX('Schedule Daily'!$A:$A,MATCH($A13,'Schedule Daily'!$B:$B,0)),0,COLUMN(I13),COUNTIF('Schedule Daily'!$B:$B,$A13),1),1),0)</f>
        <v>5</v>
      </c>
      <c r="J13">
        <f t="array" ref="J13">IFERROR(COUNTIF(OFFSET(INDEX('Schedule Daily'!$A:$A,MATCH($A13,'Schedule Daily'!$B:$B,0)),0,COLUMN(J13),COUNTIF('Schedule Daily'!$B:$B,$A13),1),1),0)</f>
        <v>3</v>
      </c>
      <c r="K13">
        <f t="array" ref="K13">IFERROR(COUNTIF(OFFSET(INDEX('Schedule Daily'!$A:$A,MATCH($A13,'Schedule Daily'!$B:$B,0)),0,COLUMN(K13),COUNTIF('Schedule Daily'!$B:$B,$A13),1),1),0)</f>
        <v>4</v>
      </c>
      <c r="L13">
        <f t="array" ref="L13">IFERROR(COUNTIF(OFFSET(INDEX('Schedule Daily'!$A:$A,MATCH($A13,'Schedule Daily'!$B:$B,0)),0,COLUMN(L13),COUNTIF('Schedule Daily'!$B:$B,$A13),1),1),0)</f>
        <v>4</v>
      </c>
      <c r="M13">
        <f t="array" ref="M13">IFERROR(COUNTIF(OFFSET(INDEX('Schedule Daily'!$A:$A,MATCH($A13,'Schedule Daily'!$B:$B,0)),0,COLUMN(M13),COUNTIF('Schedule Daily'!$B:$B,$A13),1),1),0)</f>
        <v>4</v>
      </c>
      <c r="N13">
        <f t="array" ref="N13">IFERROR(COUNTIF(OFFSET(INDEX('Schedule Daily'!$A:$A,MATCH($A13,'Schedule Daily'!$B:$B,0)),0,COLUMN(N13),COUNTIF('Schedule Daily'!$B:$B,$A13),1),1),0)</f>
        <v>3</v>
      </c>
      <c r="O13">
        <f t="array" ref="O13">IFERROR(COUNTIF(OFFSET(INDEX('Schedule Daily'!$A:$A,MATCH($A13,'Schedule Daily'!$B:$B,0)),0,COLUMN(O13),COUNTIF('Schedule Daily'!$B:$B,$A13),1),1),0)</f>
        <v>4</v>
      </c>
      <c r="P13">
        <f t="array" ref="P13">IFERROR(COUNTIF(OFFSET(INDEX('Schedule Daily'!$A:$A,MATCH($A13,'Schedule Daily'!$B:$B,0)),0,COLUMN(P13),COUNTIF('Schedule Daily'!$B:$B,$A13),1),1),0)</f>
        <v>3</v>
      </c>
      <c r="Q13">
        <f t="array" ref="Q13">IFERROR(COUNTIF(OFFSET(INDEX('Schedule Daily'!$A:$A,MATCH($A13,'Schedule Daily'!$B:$B,0)),0,COLUMN(Q13),COUNTIF('Schedule Daily'!$B:$B,$A13),1),1),0)</f>
        <v>4</v>
      </c>
      <c r="R13">
        <f t="array" ref="R13">IFERROR(COUNTIF(OFFSET(INDEX('Schedule Daily'!$A:$A,MATCH($A13,'Schedule Daily'!$B:$B,0)),0,COLUMN(R13),COUNTIF('Schedule Daily'!$B:$B,$A13),1),1),0)</f>
        <v>4</v>
      </c>
      <c r="S13">
        <f t="array" ref="S13">IFERROR(COUNTIF(OFFSET(INDEX('Schedule Daily'!$A:$A,MATCH($A13,'Schedule Daily'!$B:$B,0)),0,COLUMN(S13),COUNTIF('Schedule Daily'!$B:$B,$A13),1),1),0)</f>
        <v>3</v>
      </c>
      <c r="T13">
        <f t="array" ref="T13">IFERROR(COUNTIF(OFFSET(INDEX('Schedule Daily'!$A:$A,MATCH($A13,'Schedule Daily'!$B:$B,0)),0,COLUMN(T13),COUNTIF('Schedule Daily'!$B:$B,$A13),1),1),0)</f>
        <v>2</v>
      </c>
      <c r="U13">
        <f t="array" ref="U13">IFERROR(COUNTIF(OFFSET(INDEX('Schedule Daily'!$A:$A,MATCH($A13,'Schedule Daily'!$B:$B,0)),0,COLUMN(U13),COUNTIF('Schedule Daily'!$B:$B,$A13),1),1),0)</f>
        <v>4</v>
      </c>
      <c r="V13">
        <f t="array" ref="V13">IFERROR(COUNTIF(OFFSET(INDEX('Schedule Daily'!$A:$A,MATCH($A13,'Schedule Daily'!$B:$B,0)),0,COLUMN(V13),COUNTIF('Schedule Daily'!$B:$B,$A13),1),1),0)</f>
        <v>3</v>
      </c>
      <c r="W13">
        <f t="array" ref="W13">IFERROR(COUNTIF(OFFSET(INDEX('Schedule Daily'!$A:$A,MATCH($A13,'Schedule Daily'!$B:$B,0)),0,COLUMN(W13),COUNTIF('Schedule Daily'!$B:$B,$A13),1),1),0)</f>
        <v>4</v>
      </c>
      <c r="X13">
        <f t="array" ref="X13">IFERROR(COUNTIF(OFFSET(INDEX('Schedule Daily'!$A:$A,MATCH($A13,'Schedule Daily'!$B:$B,0)),0,COLUMN(X13),COUNTIF('Schedule Daily'!$B:$B,$A13),1),1),0)</f>
        <v>3</v>
      </c>
      <c r="Y13">
        <f t="array" ref="Y13">IFERROR(COUNTIF(OFFSET(INDEX('Schedule Daily'!$A:$A,MATCH($A13,'Schedule Daily'!$B:$B,0)),0,COLUMN(Y13),COUNTIF('Schedule Daily'!$B:$B,$A13),1),1),0)</f>
        <v>2</v>
      </c>
      <c r="Z13">
        <f t="array" ref="Z13">IFERROR(COUNTIF(OFFSET(INDEX('Schedule Daily'!$A:$A,MATCH($A13,'Schedule Daily'!$B:$B,0)),0,COLUMN(Z13),COUNTIF('Schedule Daily'!$B:$B,$A13),1),1),0)</f>
        <v>4</v>
      </c>
      <c r="AA13">
        <f t="array" ref="AA13">IFERROR(COUNTIF(OFFSET(INDEX('Schedule Daily'!$A:$A,MATCH($A13,'Schedule Daily'!$B:$B,0)),0,COLUMN(AA13),COUNTIF('Schedule Daily'!$B:$B,$A13),1),1),0)</f>
        <v>4</v>
      </c>
      <c r="AB13">
        <f t="array" ref="AB13">IFERROR(COUNTIF(OFFSET(INDEX('Schedule Daily'!$A:$A,MATCH($A13,'Schedule Daily'!$B:$B,0)),0,COLUMN(AB13),COUNTIF('Schedule Daily'!$B:$B,$A13),1),1),0)</f>
        <v>2</v>
      </c>
      <c r="AC13">
        <f t="array" ref="AC13">IFERROR(COUNTIF(OFFSET(INDEX('Schedule Daily'!$A:$A,MATCH($A13,'Schedule Daily'!$B:$B,0)),0,COLUMN(AC13),COUNTIF('Schedule Daily'!$B:$B,$A13),1),1),0)</f>
        <v>4</v>
      </c>
      <c r="AD13">
        <f t="array" ref="AD13">IFERROR(COUNTIF(OFFSET(INDEX('Schedule Daily'!$A:$A,MATCH($A13,'Schedule Daily'!$B:$B,0)),0,COLUMN(AD13),COUNTIF('Schedule Daily'!$B:$B,$A13),1),1),0)</f>
        <v>4</v>
      </c>
      <c r="AE13">
        <f t="array" ref="AE13">IFERROR(COUNTIF(OFFSET(INDEX('Schedule Daily'!$A:$A,MATCH($A13,'Schedule Daily'!$B:$B,0)),0,COLUMN(AE13),COUNTIF('Schedule Daily'!$B:$B,$A13),1),1),0)</f>
        <v>4</v>
      </c>
    </row>
    <row r="14">
      <c r="A14">
        <f t="shared" si="1"/>
        <v>13</v>
      </c>
      <c r="B14">
        <f t="array" ref="B14">IFERROR(COUNTIF(OFFSET(INDEX('Schedule Daily'!$A:$A,MATCH($A14,'Schedule Daily'!$B:$B,0)),0,COLUMN(B14),COUNTIF('Schedule Daily'!$B:$B,$A14),1),1),0)</f>
        <v>4</v>
      </c>
      <c r="C14">
        <f t="array" ref="C14">IFERROR(COUNTIF(OFFSET(INDEX('Schedule Daily'!$A:$A,MATCH($A14,'Schedule Daily'!$B:$B,0)),0,COLUMN(C14),COUNTIF('Schedule Daily'!$B:$B,$A14),1),1),0)</f>
        <v>3</v>
      </c>
      <c r="D14">
        <f t="array" ref="D14">IFERROR(COUNTIF(OFFSET(INDEX('Schedule Daily'!$A:$A,MATCH($A14,'Schedule Daily'!$B:$B,0)),0,COLUMN(D14),COUNTIF('Schedule Daily'!$B:$B,$A14),1),1),0)</f>
        <v>4</v>
      </c>
      <c r="E14">
        <f t="array" ref="E14">IFERROR(COUNTIF(OFFSET(INDEX('Schedule Daily'!$A:$A,MATCH($A14,'Schedule Daily'!$B:$B,0)),0,COLUMN(E14),COUNTIF('Schedule Daily'!$B:$B,$A14),1),1),0)</f>
        <v>3</v>
      </c>
      <c r="F14">
        <f t="array" ref="F14">IFERROR(COUNTIF(OFFSET(INDEX('Schedule Daily'!$A:$A,MATCH($A14,'Schedule Daily'!$B:$B,0)),0,COLUMN(F14),COUNTIF('Schedule Daily'!$B:$B,$A14),1),1),0)</f>
        <v>3</v>
      </c>
      <c r="G14">
        <f t="array" ref="G14">IFERROR(COUNTIF(OFFSET(INDEX('Schedule Daily'!$A:$A,MATCH($A14,'Schedule Daily'!$B:$B,0)),0,COLUMN(G14),COUNTIF('Schedule Daily'!$B:$B,$A14),1),1),0)</f>
        <v>3</v>
      </c>
      <c r="H14">
        <f t="array" ref="H14">IFERROR(COUNTIF(OFFSET(INDEX('Schedule Daily'!$A:$A,MATCH($A14,'Schedule Daily'!$B:$B,0)),0,COLUMN(H14),COUNTIF('Schedule Daily'!$B:$B,$A14),1),1),0)</f>
        <v>4</v>
      </c>
      <c r="I14">
        <f t="array" ref="I14">IFERROR(COUNTIF(OFFSET(INDEX('Schedule Daily'!$A:$A,MATCH($A14,'Schedule Daily'!$B:$B,0)),0,COLUMN(I14),COUNTIF('Schedule Daily'!$B:$B,$A14),1),1),0)</f>
        <v>3</v>
      </c>
      <c r="J14">
        <f t="array" ref="J14">IFERROR(COUNTIF(OFFSET(INDEX('Schedule Daily'!$A:$A,MATCH($A14,'Schedule Daily'!$B:$B,0)),0,COLUMN(J14),COUNTIF('Schedule Daily'!$B:$B,$A14),1),1),0)</f>
        <v>3</v>
      </c>
      <c r="K14">
        <f t="array" ref="K14">IFERROR(COUNTIF(OFFSET(INDEX('Schedule Daily'!$A:$A,MATCH($A14,'Schedule Daily'!$B:$B,0)),0,COLUMN(K14),COUNTIF('Schedule Daily'!$B:$B,$A14),1),1),0)</f>
        <v>4</v>
      </c>
      <c r="L14">
        <f t="array" ref="L14">IFERROR(COUNTIF(OFFSET(INDEX('Schedule Daily'!$A:$A,MATCH($A14,'Schedule Daily'!$B:$B,0)),0,COLUMN(L14),COUNTIF('Schedule Daily'!$B:$B,$A14),1),1),0)</f>
        <v>4</v>
      </c>
      <c r="M14">
        <f t="array" ref="M14">IFERROR(COUNTIF(OFFSET(INDEX('Schedule Daily'!$A:$A,MATCH($A14,'Schedule Daily'!$B:$B,0)),0,COLUMN(M14),COUNTIF('Schedule Daily'!$B:$B,$A14),1),1),0)</f>
        <v>3</v>
      </c>
      <c r="N14">
        <f t="array" ref="N14">IFERROR(COUNTIF(OFFSET(INDEX('Schedule Daily'!$A:$A,MATCH($A14,'Schedule Daily'!$B:$B,0)),0,COLUMN(N14),COUNTIF('Schedule Daily'!$B:$B,$A14),1),1),0)</f>
        <v>4</v>
      </c>
      <c r="O14">
        <f t="array" ref="O14">IFERROR(COUNTIF(OFFSET(INDEX('Schedule Daily'!$A:$A,MATCH($A14,'Schedule Daily'!$B:$B,0)),0,COLUMN(O14),COUNTIF('Schedule Daily'!$B:$B,$A14),1),1),0)</f>
        <v>4</v>
      </c>
      <c r="P14">
        <f t="array" ref="P14">IFERROR(COUNTIF(OFFSET(INDEX('Schedule Daily'!$A:$A,MATCH($A14,'Schedule Daily'!$B:$B,0)),0,COLUMN(P14),COUNTIF('Schedule Daily'!$B:$B,$A14),1),1),0)</f>
        <v>3</v>
      </c>
      <c r="Q14">
        <f t="array" ref="Q14">IFERROR(COUNTIF(OFFSET(INDEX('Schedule Daily'!$A:$A,MATCH($A14,'Schedule Daily'!$B:$B,0)),0,COLUMN(Q14),COUNTIF('Schedule Daily'!$B:$B,$A14),1),1),0)</f>
        <v>3</v>
      </c>
      <c r="R14">
        <f t="array" ref="R14">IFERROR(COUNTIF(OFFSET(INDEX('Schedule Daily'!$A:$A,MATCH($A14,'Schedule Daily'!$B:$B,0)),0,COLUMN(R14),COUNTIF('Schedule Daily'!$B:$B,$A14),1),1),0)</f>
        <v>3</v>
      </c>
      <c r="S14">
        <f t="array" ref="S14">IFERROR(COUNTIF(OFFSET(INDEX('Schedule Daily'!$A:$A,MATCH($A14,'Schedule Daily'!$B:$B,0)),0,COLUMN(S14),COUNTIF('Schedule Daily'!$B:$B,$A14),1),1),0)</f>
        <v>4</v>
      </c>
      <c r="T14">
        <f t="array" ref="T14">IFERROR(COUNTIF(OFFSET(INDEX('Schedule Daily'!$A:$A,MATCH($A14,'Schedule Daily'!$B:$B,0)),0,COLUMN(T14),COUNTIF('Schedule Daily'!$B:$B,$A14),1),1),0)</f>
        <v>2</v>
      </c>
      <c r="U14">
        <f t="array" ref="U14">IFERROR(COUNTIF(OFFSET(INDEX('Schedule Daily'!$A:$A,MATCH($A14,'Schedule Daily'!$B:$B,0)),0,COLUMN(U14),COUNTIF('Schedule Daily'!$B:$B,$A14),1),1),0)</f>
        <v>4</v>
      </c>
      <c r="V14">
        <f t="array" ref="V14">IFERROR(COUNTIF(OFFSET(INDEX('Schedule Daily'!$A:$A,MATCH($A14,'Schedule Daily'!$B:$B,0)),0,COLUMN(V14),COUNTIF('Schedule Daily'!$B:$B,$A14),1),1),0)</f>
        <v>4</v>
      </c>
      <c r="W14">
        <f t="array" ref="W14">IFERROR(COUNTIF(OFFSET(INDEX('Schedule Daily'!$A:$A,MATCH($A14,'Schedule Daily'!$B:$B,0)),0,COLUMN(W14),COUNTIF('Schedule Daily'!$B:$B,$A14),1),1),0)</f>
        <v>3</v>
      </c>
      <c r="X14">
        <f t="array" ref="X14">IFERROR(COUNTIF(OFFSET(INDEX('Schedule Daily'!$A:$A,MATCH($A14,'Schedule Daily'!$B:$B,0)),0,COLUMN(X14),COUNTIF('Schedule Daily'!$B:$B,$A14),1),1),0)</f>
        <v>4</v>
      </c>
      <c r="Y14">
        <f t="array" ref="Y14">IFERROR(COUNTIF(OFFSET(INDEX('Schedule Daily'!$A:$A,MATCH($A14,'Schedule Daily'!$B:$B,0)),0,COLUMN(Y14),COUNTIF('Schedule Daily'!$B:$B,$A14),1),1),0)</f>
        <v>4</v>
      </c>
      <c r="Z14">
        <f t="array" ref="Z14">IFERROR(COUNTIF(OFFSET(INDEX('Schedule Daily'!$A:$A,MATCH($A14,'Schedule Daily'!$B:$B,0)),0,COLUMN(Z14),COUNTIF('Schedule Daily'!$B:$B,$A14),1),1),0)</f>
        <v>4</v>
      </c>
      <c r="AA14">
        <f t="array" ref="AA14">IFERROR(COUNTIF(OFFSET(INDEX('Schedule Daily'!$A:$A,MATCH($A14,'Schedule Daily'!$B:$B,0)),0,COLUMN(AA14),COUNTIF('Schedule Daily'!$B:$B,$A14),1),1),0)</f>
        <v>3</v>
      </c>
      <c r="AB14">
        <f t="array" ref="AB14">IFERROR(COUNTIF(OFFSET(INDEX('Schedule Daily'!$A:$A,MATCH($A14,'Schedule Daily'!$B:$B,0)),0,COLUMN(AB14),COUNTIF('Schedule Daily'!$B:$B,$A14),1),1),0)</f>
        <v>3</v>
      </c>
      <c r="AC14">
        <f t="array" ref="AC14">IFERROR(COUNTIF(OFFSET(INDEX('Schedule Daily'!$A:$A,MATCH($A14,'Schedule Daily'!$B:$B,0)),0,COLUMN(AC14),COUNTIF('Schedule Daily'!$B:$B,$A14),1),1),0)</f>
        <v>3</v>
      </c>
      <c r="AD14">
        <f t="array" ref="AD14">IFERROR(COUNTIF(OFFSET(INDEX('Schedule Daily'!$A:$A,MATCH($A14,'Schedule Daily'!$B:$B,0)),0,COLUMN(AD14),COUNTIF('Schedule Daily'!$B:$B,$A14),1),1),0)</f>
        <v>4</v>
      </c>
      <c r="AE14">
        <f t="array" ref="AE14">IFERROR(COUNTIF(OFFSET(INDEX('Schedule Daily'!$A:$A,MATCH($A14,'Schedule Daily'!$B:$B,0)),0,COLUMN(AE14),COUNTIF('Schedule Daily'!$B:$B,$A14),1),1),0)</f>
        <v>4</v>
      </c>
    </row>
    <row r="15">
      <c r="A15">
        <f t="shared" si="1"/>
        <v>14</v>
      </c>
      <c r="B15">
        <f t="array" ref="B15">IFERROR(COUNTIF(OFFSET(INDEX('Schedule Daily'!$A:$A,MATCH($A15,'Schedule Daily'!$B:$B,0)),0,COLUMN(B15),COUNTIF('Schedule Daily'!$B:$B,$A15),1),1),0)</f>
        <v>3</v>
      </c>
      <c r="C15">
        <f t="array" ref="C15">IFERROR(COUNTIF(OFFSET(INDEX('Schedule Daily'!$A:$A,MATCH($A15,'Schedule Daily'!$B:$B,0)),0,COLUMN(C15),COUNTIF('Schedule Daily'!$B:$B,$A15),1),1),0)</f>
        <v>4</v>
      </c>
      <c r="D15">
        <f t="array" ref="D15">IFERROR(COUNTIF(OFFSET(INDEX('Schedule Daily'!$A:$A,MATCH($A15,'Schedule Daily'!$B:$B,0)),0,COLUMN(D15),COUNTIF('Schedule Daily'!$B:$B,$A15),1),1),0)</f>
        <v>4</v>
      </c>
      <c r="E15">
        <f t="array" ref="E15">IFERROR(COUNTIF(OFFSET(INDEX('Schedule Daily'!$A:$A,MATCH($A15,'Schedule Daily'!$B:$B,0)),0,COLUMN(E15),COUNTIF('Schedule Daily'!$B:$B,$A15),1),1),0)</f>
        <v>4</v>
      </c>
      <c r="F15">
        <f t="array" ref="F15">IFERROR(COUNTIF(OFFSET(INDEX('Schedule Daily'!$A:$A,MATCH($A15,'Schedule Daily'!$B:$B,0)),0,COLUMN(F15),COUNTIF('Schedule Daily'!$B:$B,$A15),1),1),0)</f>
        <v>4</v>
      </c>
      <c r="G15">
        <f t="array" ref="G15">IFERROR(COUNTIF(OFFSET(INDEX('Schedule Daily'!$A:$A,MATCH($A15,'Schedule Daily'!$B:$B,0)),0,COLUMN(G15),COUNTIF('Schedule Daily'!$B:$B,$A15),1),1),0)</f>
        <v>4</v>
      </c>
      <c r="H15">
        <f t="array" ref="H15">IFERROR(COUNTIF(OFFSET(INDEX('Schedule Daily'!$A:$A,MATCH($A15,'Schedule Daily'!$B:$B,0)),0,COLUMN(H15),COUNTIF('Schedule Daily'!$B:$B,$A15),1),1),0)</f>
        <v>4</v>
      </c>
      <c r="I15">
        <f t="array" ref="I15">IFERROR(COUNTIF(OFFSET(INDEX('Schedule Daily'!$A:$A,MATCH($A15,'Schedule Daily'!$B:$B,0)),0,COLUMN(I15),COUNTIF('Schedule Daily'!$B:$B,$A15),1),1),0)</f>
        <v>4</v>
      </c>
      <c r="J15">
        <f t="array" ref="J15">IFERROR(COUNTIF(OFFSET(INDEX('Schedule Daily'!$A:$A,MATCH($A15,'Schedule Daily'!$B:$B,0)),0,COLUMN(J15),COUNTIF('Schedule Daily'!$B:$B,$A15),1),1),0)</f>
        <v>4</v>
      </c>
      <c r="K15">
        <f t="array" ref="K15">IFERROR(COUNTIF(OFFSET(INDEX('Schedule Daily'!$A:$A,MATCH($A15,'Schedule Daily'!$B:$B,0)),0,COLUMN(K15),COUNTIF('Schedule Daily'!$B:$B,$A15),1),1),0)</f>
        <v>3</v>
      </c>
      <c r="L15">
        <f t="array" ref="L15">IFERROR(COUNTIF(OFFSET(INDEX('Schedule Daily'!$A:$A,MATCH($A15,'Schedule Daily'!$B:$B,0)),0,COLUMN(L15),COUNTIF('Schedule Daily'!$B:$B,$A15),1),1),0)</f>
        <v>4</v>
      </c>
      <c r="M15">
        <f t="array" ref="M15">IFERROR(COUNTIF(OFFSET(INDEX('Schedule Daily'!$A:$A,MATCH($A15,'Schedule Daily'!$B:$B,0)),0,COLUMN(M15),COUNTIF('Schedule Daily'!$B:$B,$A15),1),1),0)</f>
        <v>3</v>
      </c>
      <c r="N15">
        <f t="array" ref="N15">IFERROR(COUNTIF(OFFSET(INDEX('Schedule Daily'!$A:$A,MATCH($A15,'Schedule Daily'!$B:$B,0)),0,COLUMN(N15),COUNTIF('Schedule Daily'!$B:$B,$A15),1),1),0)</f>
        <v>3</v>
      </c>
      <c r="O15">
        <f t="array" ref="O15">IFERROR(COUNTIF(OFFSET(INDEX('Schedule Daily'!$A:$A,MATCH($A15,'Schedule Daily'!$B:$B,0)),0,COLUMN(O15),COUNTIF('Schedule Daily'!$B:$B,$A15),1),1),0)</f>
        <v>4</v>
      </c>
      <c r="P15">
        <f t="array" ref="P15">IFERROR(COUNTIF(OFFSET(INDEX('Schedule Daily'!$A:$A,MATCH($A15,'Schedule Daily'!$B:$B,0)),0,COLUMN(P15),COUNTIF('Schedule Daily'!$B:$B,$A15),1),1),0)</f>
        <v>3</v>
      </c>
      <c r="Q15">
        <f t="array" ref="Q15">IFERROR(COUNTIF(OFFSET(INDEX('Schedule Daily'!$A:$A,MATCH($A15,'Schedule Daily'!$B:$B,0)),0,COLUMN(Q15),COUNTIF('Schedule Daily'!$B:$B,$A15),1),1),0)</f>
        <v>3</v>
      </c>
      <c r="R15">
        <f t="array" ref="R15">IFERROR(COUNTIF(OFFSET(INDEX('Schedule Daily'!$A:$A,MATCH($A15,'Schedule Daily'!$B:$B,0)),0,COLUMN(R15),COUNTIF('Schedule Daily'!$B:$B,$A15),1),1),0)</f>
        <v>3</v>
      </c>
      <c r="S15">
        <f t="array" ref="S15">IFERROR(COUNTIF(OFFSET(INDEX('Schedule Daily'!$A:$A,MATCH($A15,'Schedule Daily'!$B:$B,0)),0,COLUMN(S15),COUNTIF('Schedule Daily'!$B:$B,$A15),1),1),0)</f>
        <v>4</v>
      </c>
      <c r="T15">
        <f t="array" ref="T15">IFERROR(COUNTIF(OFFSET(INDEX('Schedule Daily'!$A:$A,MATCH($A15,'Schedule Daily'!$B:$B,0)),0,COLUMN(T15),COUNTIF('Schedule Daily'!$B:$B,$A15),1),1),0)</f>
        <v>4</v>
      </c>
      <c r="U15">
        <f t="array" ref="U15">IFERROR(COUNTIF(OFFSET(INDEX('Schedule Daily'!$A:$A,MATCH($A15,'Schedule Daily'!$B:$B,0)),0,COLUMN(U15),COUNTIF('Schedule Daily'!$B:$B,$A15),1),1),0)</f>
        <v>3</v>
      </c>
      <c r="V15">
        <f t="array" ref="V15">IFERROR(COUNTIF(OFFSET(INDEX('Schedule Daily'!$A:$A,MATCH($A15,'Schedule Daily'!$B:$B,0)),0,COLUMN(V15),COUNTIF('Schedule Daily'!$B:$B,$A15),1),1),0)</f>
        <v>4</v>
      </c>
      <c r="W15">
        <f t="array" ref="W15">IFERROR(COUNTIF(OFFSET(INDEX('Schedule Daily'!$A:$A,MATCH($A15,'Schedule Daily'!$B:$B,0)),0,COLUMN(W15),COUNTIF('Schedule Daily'!$B:$B,$A15),1),1),0)</f>
        <v>4</v>
      </c>
      <c r="X15">
        <f t="array" ref="X15">IFERROR(COUNTIF(OFFSET(INDEX('Schedule Daily'!$A:$A,MATCH($A15,'Schedule Daily'!$B:$B,0)),0,COLUMN(X15),COUNTIF('Schedule Daily'!$B:$B,$A15),1),1),0)</f>
        <v>4</v>
      </c>
      <c r="Y15">
        <f t="array" ref="Y15">IFERROR(COUNTIF(OFFSET(INDEX('Schedule Daily'!$A:$A,MATCH($A15,'Schedule Daily'!$B:$B,0)),0,COLUMN(Y15),COUNTIF('Schedule Daily'!$B:$B,$A15),1),1),0)</f>
        <v>4</v>
      </c>
      <c r="Z15">
        <f t="array" ref="Z15">IFERROR(COUNTIF(OFFSET(INDEX('Schedule Daily'!$A:$A,MATCH($A15,'Schedule Daily'!$B:$B,0)),0,COLUMN(Z15),COUNTIF('Schedule Daily'!$B:$B,$A15),1),1),0)</f>
        <v>3</v>
      </c>
      <c r="AA15">
        <f t="array" ref="AA15">IFERROR(COUNTIF(OFFSET(INDEX('Schedule Daily'!$A:$A,MATCH($A15,'Schedule Daily'!$B:$B,0)),0,COLUMN(AA15),COUNTIF('Schedule Daily'!$B:$B,$A15),1),1),0)</f>
        <v>4</v>
      </c>
      <c r="AB15">
        <f t="array" ref="AB15">IFERROR(COUNTIF(OFFSET(INDEX('Schedule Daily'!$A:$A,MATCH($A15,'Schedule Daily'!$B:$B,0)),0,COLUMN(AB15),COUNTIF('Schedule Daily'!$B:$B,$A15),1),1),0)</f>
        <v>3</v>
      </c>
      <c r="AC15">
        <f t="array" ref="AC15">IFERROR(COUNTIF(OFFSET(INDEX('Schedule Daily'!$A:$A,MATCH($A15,'Schedule Daily'!$B:$B,0)),0,COLUMN(AC15),COUNTIF('Schedule Daily'!$B:$B,$A15),1),1),0)</f>
        <v>4</v>
      </c>
      <c r="AD15">
        <f t="array" ref="AD15">IFERROR(COUNTIF(OFFSET(INDEX('Schedule Daily'!$A:$A,MATCH($A15,'Schedule Daily'!$B:$B,0)),0,COLUMN(AD15),COUNTIF('Schedule Daily'!$B:$B,$A15),1),1),0)</f>
        <v>3</v>
      </c>
      <c r="AE15">
        <f t="array" ref="AE15">IFERROR(COUNTIF(OFFSET(INDEX('Schedule Daily'!$A:$A,MATCH($A15,'Schedule Daily'!$B:$B,0)),0,COLUMN(AE15),COUNTIF('Schedule Daily'!$B:$B,$A15),1),1),0)</f>
        <v>3</v>
      </c>
    </row>
    <row r="16">
      <c r="A16">
        <f t="shared" si="1"/>
        <v>15</v>
      </c>
      <c r="B16">
        <f t="array" ref="B16">IFERROR(COUNTIF(OFFSET(INDEX('Schedule Daily'!$A:$A,MATCH($A16,'Schedule Daily'!$B:$B,0)),0,COLUMN(B16),COUNTIF('Schedule Daily'!$B:$B,$A16),1),1),0)</f>
        <v>4</v>
      </c>
      <c r="C16">
        <f t="array" ref="C16">IFERROR(COUNTIF(OFFSET(INDEX('Schedule Daily'!$A:$A,MATCH($A16,'Schedule Daily'!$B:$B,0)),0,COLUMN(C16),COUNTIF('Schedule Daily'!$B:$B,$A16),1),1),0)</f>
        <v>3</v>
      </c>
      <c r="D16">
        <f t="array" ref="D16">IFERROR(COUNTIF(OFFSET(INDEX('Schedule Daily'!$A:$A,MATCH($A16,'Schedule Daily'!$B:$B,0)),0,COLUMN(D16),COUNTIF('Schedule Daily'!$B:$B,$A16),1),1),0)</f>
        <v>4</v>
      </c>
      <c r="E16">
        <f t="array" ref="E16">IFERROR(COUNTIF(OFFSET(INDEX('Schedule Daily'!$A:$A,MATCH($A16,'Schedule Daily'!$B:$B,0)),0,COLUMN(E16),COUNTIF('Schedule Daily'!$B:$B,$A16),1),1),0)</f>
        <v>4</v>
      </c>
      <c r="F16">
        <f t="array" ref="F16">IFERROR(COUNTIF(OFFSET(INDEX('Schedule Daily'!$A:$A,MATCH($A16,'Schedule Daily'!$B:$B,0)),0,COLUMN(F16),COUNTIF('Schedule Daily'!$B:$B,$A16),1),1),0)</f>
        <v>3</v>
      </c>
      <c r="G16">
        <f t="array" ref="G16">IFERROR(COUNTIF(OFFSET(INDEX('Schedule Daily'!$A:$A,MATCH($A16,'Schedule Daily'!$B:$B,0)),0,COLUMN(G16),COUNTIF('Schedule Daily'!$B:$B,$A16),1),1),0)</f>
        <v>4</v>
      </c>
      <c r="H16">
        <f t="array" ref="H16">IFERROR(COUNTIF(OFFSET(INDEX('Schedule Daily'!$A:$A,MATCH($A16,'Schedule Daily'!$B:$B,0)),0,COLUMN(H16),COUNTIF('Schedule Daily'!$B:$B,$A16),1),1),0)</f>
        <v>4</v>
      </c>
      <c r="I16">
        <f t="array" ref="I16">IFERROR(COUNTIF(OFFSET(INDEX('Schedule Daily'!$A:$A,MATCH($A16,'Schedule Daily'!$B:$B,0)),0,COLUMN(I16),COUNTIF('Schedule Daily'!$B:$B,$A16),1),1),0)</f>
        <v>4</v>
      </c>
      <c r="J16">
        <f t="array" ref="J16">IFERROR(COUNTIF(OFFSET(INDEX('Schedule Daily'!$A:$A,MATCH($A16,'Schedule Daily'!$B:$B,0)),0,COLUMN(J16),COUNTIF('Schedule Daily'!$B:$B,$A16),1),1),0)</f>
        <v>4</v>
      </c>
      <c r="K16">
        <f t="array" ref="K16">IFERROR(COUNTIF(OFFSET(INDEX('Schedule Daily'!$A:$A,MATCH($A16,'Schedule Daily'!$B:$B,0)),0,COLUMN(K16),COUNTIF('Schedule Daily'!$B:$B,$A16),1),1),0)</f>
        <v>4</v>
      </c>
      <c r="L16">
        <f t="array" ref="L16">IFERROR(COUNTIF(OFFSET(INDEX('Schedule Daily'!$A:$A,MATCH($A16,'Schedule Daily'!$B:$B,0)),0,COLUMN(L16),COUNTIF('Schedule Daily'!$B:$B,$A16),1),1),0)</f>
        <v>3</v>
      </c>
      <c r="M16">
        <f t="array" ref="M16">IFERROR(COUNTIF(OFFSET(INDEX('Schedule Daily'!$A:$A,MATCH($A16,'Schedule Daily'!$B:$B,0)),0,COLUMN(M16),COUNTIF('Schedule Daily'!$B:$B,$A16),1),1),0)</f>
        <v>3</v>
      </c>
      <c r="N16">
        <f t="array" ref="N16">IFERROR(COUNTIF(OFFSET(INDEX('Schedule Daily'!$A:$A,MATCH($A16,'Schedule Daily'!$B:$B,0)),0,COLUMN(N16),COUNTIF('Schedule Daily'!$B:$B,$A16),1),1),0)</f>
        <v>4</v>
      </c>
      <c r="O16">
        <f t="array" ref="O16">IFERROR(COUNTIF(OFFSET(INDEX('Schedule Daily'!$A:$A,MATCH($A16,'Schedule Daily'!$B:$B,0)),0,COLUMN(O16),COUNTIF('Schedule Daily'!$B:$B,$A16),1),1),0)</f>
        <v>3</v>
      </c>
      <c r="P16">
        <f t="array" ref="P16">IFERROR(COUNTIF(OFFSET(INDEX('Schedule Daily'!$A:$A,MATCH($A16,'Schedule Daily'!$B:$B,0)),0,COLUMN(P16),COUNTIF('Schedule Daily'!$B:$B,$A16),1),1),0)</f>
        <v>3</v>
      </c>
      <c r="Q16">
        <f t="array" ref="Q16">IFERROR(COUNTIF(OFFSET(INDEX('Schedule Daily'!$A:$A,MATCH($A16,'Schedule Daily'!$B:$B,0)),0,COLUMN(Q16),COUNTIF('Schedule Daily'!$B:$B,$A16),1),1),0)</f>
        <v>4</v>
      </c>
      <c r="R16">
        <f t="array" ref="R16">IFERROR(COUNTIF(OFFSET(INDEX('Schedule Daily'!$A:$A,MATCH($A16,'Schedule Daily'!$B:$B,0)),0,COLUMN(R16),COUNTIF('Schedule Daily'!$B:$B,$A16),1),1),0)</f>
        <v>3</v>
      </c>
      <c r="S16">
        <f t="array" ref="S16">IFERROR(COUNTIF(OFFSET(INDEX('Schedule Daily'!$A:$A,MATCH($A16,'Schedule Daily'!$B:$B,0)),0,COLUMN(S16),COUNTIF('Schedule Daily'!$B:$B,$A16),1),1),0)</f>
        <v>4</v>
      </c>
      <c r="T16">
        <f t="array" ref="T16">IFERROR(COUNTIF(OFFSET(INDEX('Schedule Daily'!$A:$A,MATCH($A16,'Schedule Daily'!$B:$B,0)),0,COLUMN(T16),COUNTIF('Schedule Daily'!$B:$B,$A16),1),1),0)</f>
        <v>4</v>
      </c>
      <c r="U16">
        <f t="array" ref="U16">IFERROR(COUNTIF(OFFSET(INDEX('Schedule Daily'!$A:$A,MATCH($A16,'Schedule Daily'!$B:$B,0)),0,COLUMN(U16),COUNTIF('Schedule Daily'!$B:$B,$A16),1),1),0)</f>
        <v>4</v>
      </c>
      <c r="V16">
        <f t="array" ref="V16">IFERROR(COUNTIF(OFFSET(INDEX('Schedule Daily'!$A:$A,MATCH($A16,'Schedule Daily'!$B:$B,0)),0,COLUMN(V16),COUNTIF('Schedule Daily'!$B:$B,$A16),1),1),0)</f>
        <v>4</v>
      </c>
      <c r="W16">
        <f t="array" ref="W16">IFERROR(COUNTIF(OFFSET(INDEX('Schedule Daily'!$A:$A,MATCH($A16,'Schedule Daily'!$B:$B,0)),0,COLUMN(W16),COUNTIF('Schedule Daily'!$B:$B,$A16),1),1),0)</f>
        <v>3</v>
      </c>
      <c r="X16">
        <f t="array" ref="X16">IFERROR(COUNTIF(OFFSET(INDEX('Schedule Daily'!$A:$A,MATCH($A16,'Schedule Daily'!$B:$B,0)),0,COLUMN(X16),COUNTIF('Schedule Daily'!$B:$B,$A16),1),1),0)</f>
        <v>4</v>
      </c>
      <c r="Y16">
        <f t="array" ref="Y16">IFERROR(COUNTIF(OFFSET(INDEX('Schedule Daily'!$A:$A,MATCH($A16,'Schedule Daily'!$B:$B,0)),0,COLUMN(Y16),COUNTIF('Schedule Daily'!$B:$B,$A16),1),1),0)</f>
        <v>3</v>
      </c>
      <c r="Z16">
        <f t="array" ref="Z16">IFERROR(COUNTIF(OFFSET(INDEX('Schedule Daily'!$A:$A,MATCH($A16,'Schedule Daily'!$B:$B,0)),0,COLUMN(Z16),COUNTIF('Schedule Daily'!$B:$B,$A16),1),1),0)</f>
        <v>3</v>
      </c>
      <c r="AA16">
        <f t="array" ref="AA16">IFERROR(COUNTIF(OFFSET(INDEX('Schedule Daily'!$A:$A,MATCH($A16,'Schedule Daily'!$B:$B,0)),0,COLUMN(AA16),COUNTIF('Schedule Daily'!$B:$B,$A16),1),1),0)</f>
        <v>3</v>
      </c>
      <c r="AB16">
        <f t="array" ref="AB16">IFERROR(COUNTIF(OFFSET(INDEX('Schedule Daily'!$A:$A,MATCH($A16,'Schedule Daily'!$B:$B,0)),0,COLUMN(AB16),COUNTIF('Schedule Daily'!$B:$B,$A16),1),1),0)</f>
        <v>4</v>
      </c>
      <c r="AC16">
        <f t="array" ref="AC16">IFERROR(COUNTIF(OFFSET(INDEX('Schedule Daily'!$A:$A,MATCH($A16,'Schedule Daily'!$B:$B,0)),0,COLUMN(AC16),COUNTIF('Schedule Daily'!$B:$B,$A16),1),1),0)</f>
        <v>4</v>
      </c>
      <c r="AD16">
        <f t="array" ref="AD16">IFERROR(COUNTIF(OFFSET(INDEX('Schedule Daily'!$A:$A,MATCH($A16,'Schedule Daily'!$B:$B,0)),0,COLUMN(AD16),COUNTIF('Schedule Daily'!$B:$B,$A16),1),1),0)</f>
        <v>4</v>
      </c>
      <c r="AE16">
        <f t="array" ref="AE16">IFERROR(COUNTIF(OFFSET(INDEX('Schedule Daily'!$A:$A,MATCH($A16,'Schedule Daily'!$B:$B,0)),0,COLUMN(AE16),COUNTIF('Schedule Daily'!$B:$B,$A16),1),1),0)</f>
        <v>3</v>
      </c>
    </row>
    <row r="17">
      <c r="A17">
        <f t="shared" si="1"/>
        <v>16</v>
      </c>
      <c r="B17">
        <f t="array" ref="B17">IFERROR(COUNTIF(OFFSET(INDEX('Schedule Daily'!$A:$A,MATCH($A17,'Schedule Daily'!$B:$B,0)),0,COLUMN(B17),COUNTIF('Schedule Daily'!$B:$B,$A17),1),1),0)</f>
        <v>4</v>
      </c>
      <c r="C17">
        <f t="array" ref="C17">IFERROR(COUNTIF(OFFSET(INDEX('Schedule Daily'!$A:$A,MATCH($A17,'Schedule Daily'!$B:$B,0)),0,COLUMN(C17),COUNTIF('Schedule Daily'!$B:$B,$A17),1),1),0)</f>
        <v>4</v>
      </c>
      <c r="D17">
        <f t="array" ref="D17">IFERROR(COUNTIF(OFFSET(INDEX('Schedule Daily'!$A:$A,MATCH($A17,'Schedule Daily'!$B:$B,0)),0,COLUMN(D17),COUNTIF('Schedule Daily'!$B:$B,$A17),1),1),0)</f>
        <v>4</v>
      </c>
      <c r="E17">
        <f t="array" ref="E17">IFERROR(COUNTIF(OFFSET(INDEX('Schedule Daily'!$A:$A,MATCH($A17,'Schedule Daily'!$B:$B,0)),0,COLUMN(E17),COUNTIF('Schedule Daily'!$B:$B,$A17),1),1),0)</f>
        <v>3</v>
      </c>
      <c r="F17">
        <f t="array" ref="F17">IFERROR(COUNTIF(OFFSET(INDEX('Schedule Daily'!$A:$A,MATCH($A17,'Schedule Daily'!$B:$B,0)),0,COLUMN(F17),COUNTIF('Schedule Daily'!$B:$B,$A17),1),1),0)</f>
        <v>4</v>
      </c>
      <c r="G17">
        <f t="array" ref="G17">IFERROR(COUNTIF(OFFSET(INDEX('Schedule Daily'!$A:$A,MATCH($A17,'Schedule Daily'!$B:$B,0)),0,COLUMN(G17),COUNTIF('Schedule Daily'!$B:$B,$A17),1),1),0)</f>
        <v>4</v>
      </c>
      <c r="H17">
        <f t="array" ref="H17">IFERROR(COUNTIF(OFFSET(INDEX('Schedule Daily'!$A:$A,MATCH($A17,'Schedule Daily'!$B:$B,0)),0,COLUMN(H17),COUNTIF('Schedule Daily'!$B:$B,$A17),1),1),0)</f>
        <v>3</v>
      </c>
      <c r="I17">
        <f t="array" ref="I17">IFERROR(COUNTIF(OFFSET(INDEX('Schedule Daily'!$A:$A,MATCH($A17,'Schedule Daily'!$B:$B,0)),0,COLUMN(I17),COUNTIF('Schedule Daily'!$B:$B,$A17),1),1),0)</f>
        <v>4</v>
      </c>
      <c r="J17">
        <f t="array" ref="J17">IFERROR(COUNTIF(OFFSET(INDEX('Schedule Daily'!$A:$A,MATCH($A17,'Schedule Daily'!$B:$B,0)),0,COLUMN(J17),COUNTIF('Schedule Daily'!$B:$B,$A17),1),1),0)</f>
        <v>3</v>
      </c>
      <c r="K17">
        <f t="array" ref="K17">IFERROR(COUNTIF(OFFSET(INDEX('Schedule Daily'!$A:$A,MATCH($A17,'Schedule Daily'!$B:$B,0)),0,COLUMN(K17),COUNTIF('Schedule Daily'!$B:$B,$A17),1),1),0)</f>
        <v>3</v>
      </c>
      <c r="L17">
        <f t="array" ref="L17">IFERROR(COUNTIF(OFFSET(INDEX('Schedule Daily'!$A:$A,MATCH($A17,'Schedule Daily'!$B:$B,0)),0,COLUMN(L17),COUNTIF('Schedule Daily'!$B:$B,$A17),1),1),0)</f>
        <v>4</v>
      </c>
      <c r="M17">
        <f t="array" ref="M17">IFERROR(COUNTIF(OFFSET(INDEX('Schedule Daily'!$A:$A,MATCH($A17,'Schedule Daily'!$B:$B,0)),0,COLUMN(M17),COUNTIF('Schedule Daily'!$B:$B,$A17),1),1),0)</f>
        <v>4</v>
      </c>
      <c r="N17">
        <f t="array" ref="N17">IFERROR(COUNTIF(OFFSET(INDEX('Schedule Daily'!$A:$A,MATCH($A17,'Schedule Daily'!$B:$B,0)),0,COLUMN(N17),COUNTIF('Schedule Daily'!$B:$B,$A17),1),1),0)</f>
        <v>4</v>
      </c>
      <c r="O17">
        <f t="array" ref="O17">IFERROR(COUNTIF(OFFSET(INDEX('Schedule Daily'!$A:$A,MATCH($A17,'Schedule Daily'!$B:$B,0)),0,COLUMN(O17),COUNTIF('Schedule Daily'!$B:$B,$A17),1),1),0)</f>
        <v>3</v>
      </c>
      <c r="P17">
        <f t="array" ref="P17">IFERROR(COUNTIF(OFFSET(INDEX('Schedule Daily'!$A:$A,MATCH($A17,'Schedule Daily'!$B:$B,0)),0,COLUMN(P17),COUNTIF('Schedule Daily'!$B:$B,$A17),1),1),0)</f>
        <v>3</v>
      </c>
      <c r="Q17">
        <f t="array" ref="Q17">IFERROR(COUNTIF(OFFSET(INDEX('Schedule Daily'!$A:$A,MATCH($A17,'Schedule Daily'!$B:$B,0)),0,COLUMN(Q17),COUNTIF('Schedule Daily'!$B:$B,$A17),1),1),0)</f>
        <v>4</v>
      </c>
      <c r="R17">
        <f t="array" ref="R17">IFERROR(COUNTIF(OFFSET(INDEX('Schedule Daily'!$A:$A,MATCH($A17,'Schedule Daily'!$B:$B,0)),0,COLUMN(R17),COUNTIF('Schedule Daily'!$B:$B,$A17),1),1),0)</f>
        <v>4</v>
      </c>
      <c r="S17">
        <f t="array" ref="S17">IFERROR(COUNTIF(OFFSET(INDEX('Schedule Daily'!$A:$A,MATCH($A17,'Schedule Daily'!$B:$B,0)),0,COLUMN(S17),COUNTIF('Schedule Daily'!$B:$B,$A17),1),1),0)</f>
        <v>2</v>
      </c>
      <c r="T17">
        <f t="array" ref="T17">IFERROR(COUNTIF(OFFSET(INDEX('Schedule Daily'!$A:$A,MATCH($A17,'Schedule Daily'!$B:$B,0)),0,COLUMN(T17),COUNTIF('Schedule Daily'!$B:$B,$A17),1),1),0)</f>
        <v>4</v>
      </c>
      <c r="U17">
        <f t="array" ref="U17">IFERROR(COUNTIF(OFFSET(INDEX('Schedule Daily'!$A:$A,MATCH($A17,'Schedule Daily'!$B:$B,0)),0,COLUMN(U17),COUNTIF('Schedule Daily'!$B:$B,$A17),1),1),0)</f>
        <v>3</v>
      </c>
      <c r="V17">
        <f t="array" ref="V17">IFERROR(COUNTIF(OFFSET(INDEX('Schedule Daily'!$A:$A,MATCH($A17,'Schedule Daily'!$B:$B,0)),0,COLUMN(V17),COUNTIF('Schedule Daily'!$B:$B,$A17),1),1),0)</f>
        <v>3</v>
      </c>
      <c r="W17">
        <f t="array" ref="W17">IFERROR(COUNTIF(OFFSET(INDEX('Schedule Daily'!$A:$A,MATCH($A17,'Schedule Daily'!$B:$B,0)),0,COLUMN(W17),COUNTIF('Schedule Daily'!$B:$B,$A17),1),1),0)</f>
        <v>4</v>
      </c>
      <c r="X17">
        <f t="array" ref="X17">IFERROR(COUNTIF(OFFSET(INDEX('Schedule Daily'!$A:$A,MATCH($A17,'Schedule Daily'!$B:$B,0)),0,COLUMN(X17),COUNTIF('Schedule Daily'!$B:$B,$A17),1),1),0)</f>
        <v>3</v>
      </c>
      <c r="Y17">
        <f t="array" ref="Y17">IFERROR(COUNTIF(OFFSET(INDEX('Schedule Daily'!$A:$A,MATCH($A17,'Schedule Daily'!$B:$B,0)),0,COLUMN(Y17),COUNTIF('Schedule Daily'!$B:$B,$A17),1),1),0)</f>
        <v>4</v>
      </c>
      <c r="Z17">
        <f t="array" ref="Z17">IFERROR(COUNTIF(OFFSET(INDEX('Schedule Daily'!$A:$A,MATCH($A17,'Schedule Daily'!$B:$B,0)),0,COLUMN(Z17),COUNTIF('Schedule Daily'!$B:$B,$A17),1),1),0)</f>
        <v>5</v>
      </c>
      <c r="AA17">
        <f t="array" ref="AA17">IFERROR(COUNTIF(OFFSET(INDEX('Schedule Daily'!$A:$A,MATCH($A17,'Schedule Daily'!$B:$B,0)),0,COLUMN(AA17),COUNTIF('Schedule Daily'!$B:$B,$A17),1),1),0)</f>
        <v>4</v>
      </c>
      <c r="AB17">
        <f t="array" ref="AB17">IFERROR(COUNTIF(OFFSET(INDEX('Schedule Daily'!$A:$A,MATCH($A17,'Schedule Daily'!$B:$B,0)),0,COLUMN(AB17),COUNTIF('Schedule Daily'!$B:$B,$A17),1),1),0)</f>
        <v>3</v>
      </c>
      <c r="AC17">
        <f t="array" ref="AC17">IFERROR(COUNTIF(OFFSET(INDEX('Schedule Daily'!$A:$A,MATCH($A17,'Schedule Daily'!$B:$B,0)),0,COLUMN(AC17),COUNTIF('Schedule Daily'!$B:$B,$A17),1),1),0)</f>
        <v>3</v>
      </c>
      <c r="AD17">
        <f t="array" ref="AD17">IFERROR(COUNTIF(OFFSET(INDEX('Schedule Daily'!$A:$A,MATCH($A17,'Schedule Daily'!$B:$B,0)),0,COLUMN(AD17),COUNTIF('Schedule Daily'!$B:$B,$A17),1),1),0)</f>
        <v>2</v>
      </c>
      <c r="AE17">
        <f t="array" ref="AE17">IFERROR(COUNTIF(OFFSET(INDEX('Schedule Daily'!$A:$A,MATCH($A17,'Schedule Daily'!$B:$B,0)),0,COLUMN(AE17),COUNTIF('Schedule Daily'!$B:$B,$A17),1),1),0)</f>
        <v>4</v>
      </c>
    </row>
    <row r="18">
      <c r="A18">
        <f t="shared" si="1"/>
        <v>17</v>
      </c>
      <c r="B18">
        <f t="array" ref="B18">IFERROR(COUNTIF(OFFSET(INDEX('Schedule Daily'!$A:$A,MATCH($A18,'Schedule Daily'!$B:$B,0)),0,COLUMN(B18),COUNTIF('Schedule Daily'!$B:$B,$A18),1),1),0)</f>
        <v>5</v>
      </c>
      <c r="C18">
        <f t="array" ref="C18">IFERROR(COUNTIF(OFFSET(INDEX('Schedule Daily'!$A:$A,MATCH($A18,'Schedule Daily'!$B:$B,0)),0,COLUMN(C18),COUNTIF('Schedule Daily'!$B:$B,$A18),1),1),0)</f>
        <v>3</v>
      </c>
      <c r="D18">
        <f t="array" ref="D18">IFERROR(COUNTIF(OFFSET(INDEX('Schedule Daily'!$A:$A,MATCH($A18,'Schedule Daily'!$B:$B,0)),0,COLUMN(D18),COUNTIF('Schedule Daily'!$B:$B,$A18),1),1),0)</f>
        <v>4</v>
      </c>
      <c r="E18">
        <f t="array" ref="E18">IFERROR(COUNTIF(OFFSET(INDEX('Schedule Daily'!$A:$A,MATCH($A18,'Schedule Daily'!$B:$B,0)),0,COLUMN(E18),COUNTIF('Schedule Daily'!$B:$B,$A18),1),1),0)</f>
        <v>5</v>
      </c>
      <c r="F18">
        <f t="array" ref="F18">IFERROR(COUNTIF(OFFSET(INDEX('Schedule Daily'!$A:$A,MATCH($A18,'Schedule Daily'!$B:$B,0)),0,COLUMN(F18),COUNTIF('Schedule Daily'!$B:$B,$A18),1),1),0)</f>
        <v>4</v>
      </c>
      <c r="G18">
        <f t="array" ref="G18">IFERROR(COUNTIF(OFFSET(INDEX('Schedule Daily'!$A:$A,MATCH($A18,'Schedule Daily'!$B:$B,0)),0,COLUMN(G18),COUNTIF('Schedule Daily'!$B:$B,$A18),1),1),0)</f>
        <v>4</v>
      </c>
      <c r="H18">
        <f t="array" ref="H18">IFERROR(COUNTIF(OFFSET(INDEX('Schedule Daily'!$A:$A,MATCH($A18,'Schedule Daily'!$B:$B,0)),0,COLUMN(H18),COUNTIF('Schedule Daily'!$B:$B,$A18),1),1),0)</f>
        <v>5</v>
      </c>
      <c r="I18">
        <f t="array" ref="I18">IFERROR(COUNTIF(OFFSET(INDEX('Schedule Daily'!$A:$A,MATCH($A18,'Schedule Daily'!$B:$B,0)),0,COLUMN(I18),COUNTIF('Schedule Daily'!$B:$B,$A18),1),1),0)</f>
        <v>3</v>
      </c>
      <c r="J18">
        <f t="array" ref="J18">IFERROR(COUNTIF(OFFSET(INDEX('Schedule Daily'!$A:$A,MATCH($A18,'Schedule Daily'!$B:$B,0)),0,COLUMN(J18),COUNTIF('Schedule Daily'!$B:$B,$A18),1),1),0)</f>
        <v>4</v>
      </c>
      <c r="K18">
        <f t="array" ref="K18">IFERROR(COUNTIF(OFFSET(INDEX('Schedule Daily'!$A:$A,MATCH($A18,'Schedule Daily'!$B:$B,0)),0,COLUMN(K18),COUNTIF('Schedule Daily'!$B:$B,$A18),1),1),0)</f>
        <v>3</v>
      </c>
      <c r="L18">
        <f t="array" ref="L18">IFERROR(COUNTIF(OFFSET(INDEX('Schedule Daily'!$A:$A,MATCH($A18,'Schedule Daily'!$B:$B,0)),0,COLUMN(L18),COUNTIF('Schedule Daily'!$B:$B,$A18),1),1),0)</f>
        <v>4</v>
      </c>
      <c r="M18">
        <f t="array" ref="M18">IFERROR(COUNTIF(OFFSET(INDEX('Schedule Daily'!$A:$A,MATCH($A18,'Schedule Daily'!$B:$B,0)),0,COLUMN(M18),COUNTIF('Schedule Daily'!$B:$B,$A18),1),1),0)</f>
        <v>5</v>
      </c>
      <c r="N18">
        <f t="array" ref="N18">IFERROR(COUNTIF(OFFSET(INDEX('Schedule Daily'!$A:$A,MATCH($A18,'Schedule Daily'!$B:$B,0)),0,COLUMN(N18),COUNTIF('Schedule Daily'!$B:$B,$A18),1),1),0)</f>
        <v>4</v>
      </c>
      <c r="O18">
        <f t="array" ref="O18">IFERROR(COUNTIF(OFFSET(INDEX('Schedule Daily'!$A:$A,MATCH($A18,'Schedule Daily'!$B:$B,0)),0,COLUMN(O18),COUNTIF('Schedule Daily'!$B:$B,$A18),1),1),0)</f>
        <v>4</v>
      </c>
      <c r="P18">
        <f t="array" ref="P18">IFERROR(COUNTIF(OFFSET(INDEX('Schedule Daily'!$A:$A,MATCH($A18,'Schedule Daily'!$B:$B,0)),0,COLUMN(P18),COUNTIF('Schedule Daily'!$B:$B,$A18),1),1),0)</f>
        <v>5</v>
      </c>
      <c r="Q18">
        <f t="array" ref="Q18">IFERROR(COUNTIF(OFFSET(INDEX('Schedule Daily'!$A:$A,MATCH($A18,'Schedule Daily'!$B:$B,0)),0,COLUMN(Q18),COUNTIF('Schedule Daily'!$B:$B,$A18),1),1),0)</f>
        <v>4</v>
      </c>
      <c r="R18">
        <f t="array" ref="R18">IFERROR(COUNTIF(OFFSET(INDEX('Schedule Daily'!$A:$A,MATCH($A18,'Schedule Daily'!$B:$B,0)),0,COLUMN(R18),COUNTIF('Schedule Daily'!$B:$B,$A18),1),1),0)</f>
        <v>4</v>
      </c>
      <c r="S18">
        <f t="array" ref="S18">IFERROR(COUNTIF(OFFSET(INDEX('Schedule Daily'!$A:$A,MATCH($A18,'Schedule Daily'!$B:$B,0)),0,COLUMN(S18),COUNTIF('Schedule Daily'!$B:$B,$A18),1),1),0)</f>
        <v>4</v>
      </c>
      <c r="T18">
        <f t="array" ref="T18">IFERROR(COUNTIF(OFFSET(INDEX('Schedule Daily'!$A:$A,MATCH($A18,'Schedule Daily'!$B:$B,0)),0,COLUMN(T18),COUNTIF('Schedule Daily'!$B:$B,$A18),1),1),0)</f>
        <v>4</v>
      </c>
      <c r="U18">
        <f t="array" ref="U18">IFERROR(COUNTIF(OFFSET(INDEX('Schedule Daily'!$A:$A,MATCH($A18,'Schedule Daily'!$B:$B,0)),0,COLUMN(U18),COUNTIF('Schedule Daily'!$B:$B,$A18),1),1),0)</f>
        <v>5</v>
      </c>
      <c r="V18">
        <f t="array" ref="V18">IFERROR(COUNTIF(OFFSET(INDEX('Schedule Daily'!$A:$A,MATCH($A18,'Schedule Daily'!$B:$B,0)),0,COLUMN(V18),COUNTIF('Schedule Daily'!$B:$B,$A18),1),1),0)</f>
        <v>4</v>
      </c>
      <c r="W18">
        <f t="array" ref="W18">IFERROR(COUNTIF(OFFSET(INDEX('Schedule Daily'!$A:$A,MATCH($A18,'Schedule Daily'!$B:$B,0)),0,COLUMN(W18),COUNTIF('Schedule Daily'!$B:$B,$A18),1),1),0)</f>
        <v>4</v>
      </c>
      <c r="X18">
        <f t="array" ref="X18">IFERROR(COUNTIF(OFFSET(INDEX('Schedule Daily'!$A:$A,MATCH($A18,'Schedule Daily'!$B:$B,0)),0,COLUMN(X18),COUNTIF('Schedule Daily'!$B:$B,$A18),1),1),0)</f>
        <v>4</v>
      </c>
      <c r="Y18">
        <f t="array" ref="Y18">IFERROR(COUNTIF(OFFSET(INDEX('Schedule Daily'!$A:$A,MATCH($A18,'Schedule Daily'!$B:$B,0)),0,COLUMN(Y18),COUNTIF('Schedule Daily'!$B:$B,$A18),1),1),0)</f>
        <v>4</v>
      </c>
      <c r="Z18">
        <f t="array" ref="Z18">IFERROR(COUNTIF(OFFSET(INDEX('Schedule Daily'!$A:$A,MATCH($A18,'Schedule Daily'!$B:$B,0)),0,COLUMN(Z18),COUNTIF('Schedule Daily'!$B:$B,$A18),1),1),0)</f>
        <v>4</v>
      </c>
      <c r="AA18">
        <f t="array" ref="AA18">IFERROR(COUNTIF(OFFSET(INDEX('Schedule Daily'!$A:$A,MATCH($A18,'Schedule Daily'!$B:$B,0)),0,COLUMN(AA18),COUNTIF('Schedule Daily'!$B:$B,$A18),1),1),0)</f>
        <v>4</v>
      </c>
      <c r="AB18">
        <f t="array" ref="AB18">IFERROR(COUNTIF(OFFSET(INDEX('Schedule Daily'!$A:$A,MATCH($A18,'Schedule Daily'!$B:$B,0)),0,COLUMN(AB18),COUNTIF('Schedule Daily'!$B:$B,$A18),1),1),0)</f>
        <v>5</v>
      </c>
      <c r="AC18">
        <f t="array" ref="AC18">IFERROR(COUNTIF(OFFSET(INDEX('Schedule Daily'!$A:$A,MATCH($A18,'Schedule Daily'!$B:$B,0)),0,COLUMN(AC18),COUNTIF('Schedule Daily'!$B:$B,$A18),1),1),0)</f>
        <v>4</v>
      </c>
      <c r="AD18">
        <f t="array" ref="AD18">IFERROR(COUNTIF(OFFSET(INDEX('Schedule Daily'!$A:$A,MATCH($A18,'Schedule Daily'!$B:$B,0)),0,COLUMN(AD18),COUNTIF('Schedule Daily'!$B:$B,$A18),1),1),0)</f>
        <v>4</v>
      </c>
      <c r="AE18">
        <f t="array" ref="AE18">IFERROR(COUNTIF(OFFSET(INDEX('Schedule Daily'!$A:$A,MATCH($A18,'Schedule Daily'!$B:$B,0)),0,COLUMN(AE18),COUNTIF('Schedule Daily'!$B:$B,$A18),1),1),0)</f>
        <v>4</v>
      </c>
    </row>
    <row r="19">
      <c r="A19">
        <f t="shared" si="1"/>
        <v>18</v>
      </c>
      <c r="B19">
        <f t="array" ref="B19">IFERROR(COUNTIF(OFFSET(INDEX('Schedule Daily'!$A:$A,MATCH($A19,'Schedule Daily'!$B:$B,0)),0,COLUMN(B19),COUNTIF('Schedule Daily'!$B:$B,$A19),1),1),0)</f>
        <v>3</v>
      </c>
      <c r="C19">
        <f t="array" ref="C19">IFERROR(COUNTIF(OFFSET(INDEX('Schedule Daily'!$A:$A,MATCH($A19,'Schedule Daily'!$B:$B,0)),0,COLUMN(C19),COUNTIF('Schedule Daily'!$B:$B,$A19),1),1),0)</f>
        <v>4</v>
      </c>
      <c r="D19">
        <f t="array" ref="D19">IFERROR(COUNTIF(OFFSET(INDEX('Schedule Daily'!$A:$A,MATCH($A19,'Schedule Daily'!$B:$B,0)),0,COLUMN(D19),COUNTIF('Schedule Daily'!$B:$B,$A19),1),1),0)</f>
        <v>3</v>
      </c>
      <c r="E19">
        <f t="array" ref="E19">IFERROR(COUNTIF(OFFSET(INDEX('Schedule Daily'!$A:$A,MATCH($A19,'Schedule Daily'!$B:$B,0)),0,COLUMN(E19),COUNTIF('Schedule Daily'!$B:$B,$A19),1),1),0)</f>
        <v>2</v>
      </c>
      <c r="F19">
        <f t="array" ref="F19">IFERROR(COUNTIF(OFFSET(INDEX('Schedule Daily'!$A:$A,MATCH($A19,'Schedule Daily'!$B:$B,0)),0,COLUMN(F19),COUNTIF('Schedule Daily'!$B:$B,$A19),1),1),0)</f>
        <v>4</v>
      </c>
      <c r="G19">
        <f t="array" ref="G19">IFERROR(COUNTIF(OFFSET(INDEX('Schedule Daily'!$A:$A,MATCH($A19,'Schedule Daily'!$B:$B,0)),0,COLUMN(G19),COUNTIF('Schedule Daily'!$B:$B,$A19),1),1),0)</f>
        <v>3</v>
      </c>
      <c r="H19">
        <f t="array" ref="H19">IFERROR(COUNTIF(OFFSET(INDEX('Schedule Daily'!$A:$A,MATCH($A19,'Schedule Daily'!$B:$B,0)),0,COLUMN(H19),COUNTIF('Schedule Daily'!$B:$B,$A19),1),1),0)</f>
        <v>2</v>
      </c>
      <c r="I19">
        <f t="array" ref="I19">IFERROR(COUNTIF(OFFSET(INDEX('Schedule Daily'!$A:$A,MATCH($A19,'Schedule Daily'!$B:$B,0)),0,COLUMN(I19),COUNTIF('Schedule Daily'!$B:$B,$A19),1),1),0)</f>
        <v>3</v>
      </c>
      <c r="J19">
        <f t="array" ref="J19">IFERROR(COUNTIF(OFFSET(INDEX('Schedule Daily'!$A:$A,MATCH($A19,'Schedule Daily'!$B:$B,0)),0,COLUMN(J19),COUNTIF('Schedule Daily'!$B:$B,$A19),1),1),0)</f>
        <v>3</v>
      </c>
      <c r="K19">
        <f t="array" ref="K19">IFERROR(COUNTIF(OFFSET(INDEX('Schedule Daily'!$A:$A,MATCH($A19,'Schedule Daily'!$B:$B,0)),0,COLUMN(K19),COUNTIF('Schedule Daily'!$B:$B,$A19),1),1),0)</f>
        <v>4</v>
      </c>
      <c r="L19">
        <f t="array" ref="L19">IFERROR(COUNTIF(OFFSET(INDEX('Schedule Daily'!$A:$A,MATCH($A19,'Schedule Daily'!$B:$B,0)),0,COLUMN(L19),COUNTIF('Schedule Daily'!$B:$B,$A19),1),1),0)</f>
        <v>4</v>
      </c>
      <c r="M19">
        <f t="array" ref="M19">IFERROR(COUNTIF(OFFSET(INDEX('Schedule Daily'!$A:$A,MATCH($A19,'Schedule Daily'!$B:$B,0)),0,COLUMN(M19),COUNTIF('Schedule Daily'!$B:$B,$A19),1),1),0)</f>
        <v>3</v>
      </c>
      <c r="N19">
        <f t="array" ref="N19">IFERROR(COUNTIF(OFFSET(INDEX('Schedule Daily'!$A:$A,MATCH($A19,'Schedule Daily'!$B:$B,0)),0,COLUMN(N19),COUNTIF('Schedule Daily'!$B:$B,$A19),1),1),0)</f>
        <v>3</v>
      </c>
      <c r="O19">
        <f t="array" ref="O19">IFERROR(COUNTIF(OFFSET(INDEX('Schedule Daily'!$A:$A,MATCH($A19,'Schedule Daily'!$B:$B,0)),0,COLUMN(O19),COUNTIF('Schedule Daily'!$B:$B,$A19),1),1),0)</f>
        <v>4</v>
      </c>
      <c r="P19">
        <f t="array" ref="P19">IFERROR(COUNTIF(OFFSET(INDEX('Schedule Daily'!$A:$A,MATCH($A19,'Schedule Daily'!$B:$B,0)),0,COLUMN(P19),COUNTIF('Schedule Daily'!$B:$B,$A19),1),1),0)</f>
        <v>3</v>
      </c>
      <c r="Q19">
        <f t="array" ref="Q19">IFERROR(COUNTIF(OFFSET(INDEX('Schedule Daily'!$A:$A,MATCH($A19,'Schedule Daily'!$B:$B,0)),0,COLUMN(Q19),COUNTIF('Schedule Daily'!$B:$B,$A19),1),1),0)</f>
        <v>3</v>
      </c>
      <c r="R19">
        <f t="array" ref="R19">IFERROR(COUNTIF(OFFSET(INDEX('Schedule Daily'!$A:$A,MATCH($A19,'Schedule Daily'!$B:$B,0)),0,COLUMN(R19),COUNTIF('Schedule Daily'!$B:$B,$A19),1),1),0)</f>
        <v>3</v>
      </c>
      <c r="S19">
        <f t="array" ref="S19">IFERROR(COUNTIF(OFFSET(INDEX('Schedule Daily'!$A:$A,MATCH($A19,'Schedule Daily'!$B:$B,0)),0,COLUMN(S19),COUNTIF('Schedule Daily'!$B:$B,$A19),1),1),0)</f>
        <v>3</v>
      </c>
      <c r="T19">
        <f t="array" ref="T19">IFERROR(COUNTIF(OFFSET(INDEX('Schedule Daily'!$A:$A,MATCH($A19,'Schedule Daily'!$B:$B,0)),0,COLUMN(T19),COUNTIF('Schedule Daily'!$B:$B,$A19),1),1),0)</f>
        <v>4</v>
      </c>
      <c r="U19">
        <f t="array" ref="U19">IFERROR(COUNTIF(OFFSET(INDEX('Schedule Daily'!$A:$A,MATCH($A19,'Schedule Daily'!$B:$B,0)),0,COLUMN(U19),COUNTIF('Schedule Daily'!$B:$B,$A19),1),1),0)</f>
        <v>3</v>
      </c>
      <c r="V19">
        <f t="array" ref="V19">IFERROR(COUNTIF(OFFSET(INDEX('Schedule Daily'!$A:$A,MATCH($A19,'Schedule Daily'!$B:$B,0)),0,COLUMN(V19),COUNTIF('Schedule Daily'!$B:$B,$A19),1),1),0)</f>
        <v>3</v>
      </c>
      <c r="W19">
        <f t="array" ref="W19">IFERROR(COUNTIF(OFFSET(INDEX('Schedule Daily'!$A:$A,MATCH($A19,'Schedule Daily'!$B:$B,0)),0,COLUMN(W19),COUNTIF('Schedule Daily'!$B:$B,$A19),1),1),0)</f>
        <v>3</v>
      </c>
      <c r="X19">
        <f t="array" ref="X19">IFERROR(COUNTIF(OFFSET(INDEX('Schedule Daily'!$A:$A,MATCH($A19,'Schedule Daily'!$B:$B,0)),0,COLUMN(X19),COUNTIF('Schedule Daily'!$B:$B,$A19),1),1),0)</f>
        <v>4</v>
      </c>
      <c r="Y19">
        <f t="array" ref="Y19">IFERROR(COUNTIF(OFFSET(INDEX('Schedule Daily'!$A:$A,MATCH($A19,'Schedule Daily'!$B:$B,0)),0,COLUMN(Y19),COUNTIF('Schedule Daily'!$B:$B,$A19),1),1),0)</f>
        <v>3</v>
      </c>
      <c r="Z19">
        <f t="array" ref="Z19">IFERROR(COUNTIF(OFFSET(INDEX('Schedule Daily'!$A:$A,MATCH($A19,'Schedule Daily'!$B:$B,0)),0,COLUMN(Z19),COUNTIF('Schedule Daily'!$B:$B,$A19),1),1),0)</f>
        <v>4</v>
      </c>
      <c r="AA19">
        <f t="array" ref="AA19">IFERROR(COUNTIF(OFFSET(INDEX('Schedule Daily'!$A:$A,MATCH($A19,'Schedule Daily'!$B:$B,0)),0,COLUMN(AA19),COUNTIF('Schedule Daily'!$B:$B,$A19),1),1),0)</f>
        <v>3</v>
      </c>
      <c r="AB19">
        <f t="array" ref="AB19">IFERROR(COUNTIF(OFFSET(INDEX('Schedule Daily'!$A:$A,MATCH($A19,'Schedule Daily'!$B:$B,0)),0,COLUMN(AB19),COUNTIF('Schedule Daily'!$B:$B,$A19),1),1),0)</f>
        <v>3</v>
      </c>
      <c r="AC19">
        <f t="array" ref="AC19">IFERROR(COUNTIF(OFFSET(INDEX('Schedule Daily'!$A:$A,MATCH($A19,'Schedule Daily'!$B:$B,0)),0,COLUMN(AC19),COUNTIF('Schedule Daily'!$B:$B,$A19),1),1),0)</f>
        <v>3</v>
      </c>
      <c r="AD19">
        <f t="array" ref="AD19">IFERROR(COUNTIF(OFFSET(INDEX('Schedule Daily'!$A:$A,MATCH($A19,'Schedule Daily'!$B:$B,0)),0,COLUMN(AD19),COUNTIF('Schedule Daily'!$B:$B,$A19),1),1),0)</f>
        <v>4</v>
      </c>
      <c r="AE19">
        <f t="array" ref="AE19">IFERROR(COUNTIF(OFFSET(INDEX('Schedule Daily'!$A:$A,MATCH($A19,'Schedule Daily'!$B:$B,0)),0,COLUMN(AE19),COUNTIF('Schedule Daily'!$B:$B,$A19),1),1),0)</f>
        <v>4</v>
      </c>
    </row>
    <row r="20">
      <c r="A20">
        <f t="shared" si="1"/>
        <v>19</v>
      </c>
      <c r="B20">
        <f t="array" ref="B20">IFERROR(COUNTIF(OFFSET(INDEX('Schedule Daily'!$A:$A,MATCH($A20,'Schedule Daily'!$B:$B,0)),0,COLUMN(B20),COUNTIF('Schedule Daily'!$B:$B,$A20),1),1),0)</f>
        <v>4</v>
      </c>
      <c r="C20">
        <f t="array" ref="C20">IFERROR(COUNTIF(OFFSET(INDEX('Schedule Daily'!$A:$A,MATCH($A20,'Schedule Daily'!$B:$B,0)),0,COLUMN(C20),COUNTIF('Schedule Daily'!$B:$B,$A20),1),1),0)</f>
        <v>3</v>
      </c>
      <c r="D20">
        <f t="array" ref="D20">IFERROR(COUNTIF(OFFSET(INDEX('Schedule Daily'!$A:$A,MATCH($A20,'Schedule Daily'!$B:$B,0)),0,COLUMN(D20),COUNTIF('Schedule Daily'!$B:$B,$A20),1),1),0)</f>
        <v>4</v>
      </c>
      <c r="E20">
        <f t="array" ref="E20">IFERROR(COUNTIF(OFFSET(INDEX('Schedule Daily'!$A:$A,MATCH($A20,'Schedule Daily'!$B:$B,0)),0,COLUMN(E20),COUNTIF('Schedule Daily'!$B:$B,$A20),1),1),0)</f>
        <v>4</v>
      </c>
      <c r="F20">
        <f t="array" ref="F20">IFERROR(COUNTIF(OFFSET(INDEX('Schedule Daily'!$A:$A,MATCH($A20,'Schedule Daily'!$B:$B,0)),0,COLUMN(F20),COUNTIF('Schedule Daily'!$B:$B,$A20),1),1),0)</f>
        <v>3</v>
      </c>
      <c r="G20">
        <f t="array" ref="G20">IFERROR(COUNTIF(OFFSET(INDEX('Schedule Daily'!$A:$A,MATCH($A20,'Schedule Daily'!$B:$B,0)),0,COLUMN(G20),COUNTIF('Schedule Daily'!$B:$B,$A20),1),1),0)</f>
        <v>4</v>
      </c>
      <c r="H20">
        <f t="array" ref="H20">IFERROR(COUNTIF(OFFSET(INDEX('Schedule Daily'!$A:$A,MATCH($A20,'Schedule Daily'!$B:$B,0)),0,COLUMN(H20),COUNTIF('Schedule Daily'!$B:$B,$A20),1),1),0)</f>
        <v>4</v>
      </c>
      <c r="I20">
        <f t="array" ref="I20">IFERROR(COUNTIF(OFFSET(INDEX('Schedule Daily'!$A:$A,MATCH($A20,'Schedule Daily'!$B:$B,0)),0,COLUMN(I20),COUNTIF('Schedule Daily'!$B:$B,$A20),1),1),0)</f>
        <v>4</v>
      </c>
      <c r="J20">
        <f t="array" ref="J20">IFERROR(COUNTIF(OFFSET(INDEX('Schedule Daily'!$A:$A,MATCH($A20,'Schedule Daily'!$B:$B,0)),0,COLUMN(J20),COUNTIF('Schedule Daily'!$B:$B,$A20),1),1),0)</f>
        <v>4</v>
      </c>
      <c r="K20">
        <f t="array" ref="K20">IFERROR(COUNTIF(OFFSET(INDEX('Schedule Daily'!$A:$A,MATCH($A20,'Schedule Daily'!$B:$B,0)),0,COLUMN(K20),COUNTIF('Schedule Daily'!$B:$B,$A20),1),1),0)</f>
        <v>4</v>
      </c>
      <c r="L20">
        <f t="array" ref="L20">IFERROR(COUNTIF(OFFSET(INDEX('Schedule Daily'!$A:$A,MATCH($A20,'Schedule Daily'!$B:$B,0)),0,COLUMN(L20),COUNTIF('Schedule Daily'!$B:$B,$A20),1),1),0)</f>
        <v>3</v>
      </c>
      <c r="M20">
        <f t="array" ref="M20">IFERROR(COUNTIF(OFFSET(INDEX('Schedule Daily'!$A:$A,MATCH($A20,'Schedule Daily'!$B:$B,0)),0,COLUMN(M20),COUNTIF('Schedule Daily'!$B:$B,$A20),1),1),0)</f>
        <v>3</v>
      </c>
      <c r="N20">
        <f t="array" ref="N20">IFERROR(COUNTIF(OFFSET(INDEX('Schedule Daily'!$A:$A,MATCH($A20,'Schedule Daily'!$B:$B,0)),0,COLUMN(N20),COUNTIF('Schedule Daily'!$B:$B,$A20),1),1),0)</f>
        <v>4</v>
      </c>
      <c r="O20">
        <f t="array" ref="O20">IFERROR(COUNTIF(OFFSET(INDEX('Schedule Daily'!$A:$A,MATCH($A20,'Schedule Daily'!$B:$B,0)),0,COLUMN(O20),COUNTIF('Schedule Daily'!$B:$B,$A20),1),1),0)</f>
        <v>3</v>
      </c>
      <c r="P20">
        <f t="array" ref="P20">IFERROR(COUNTIF(OFFSET(INDEX('Schedule Daily'!$A:$A,MATCH($A20,'Schedule Daily'!$B:$B,0)),0,COLUMN(P20),COUNTIF('Schedule Daily'!$B:$B,$A20),1),1),0)</f>
        <v>4</v>
      </c>
      <c r="Q20">
        <f t="array" ref="Q20">IFERROR(COUNTIF(OFFSET(INDEX('Schedule Daily'!$A:$A,MATCH($A20,'Schedule Daily'!$B:$B,0)),0,COLUMN(Q20),COUNTIF('Schedule Daily'!$B:$B,$A20),1),1),0)</f>
        <v>4</v>
      </c>
      <c r="R20">
        <f t="array" ref="R20">IFERROR(COUNTIF(OFFSET(INDEX('Schedule Daily'!$A:$A,MATCH($A20,'Schedule Daily'!$B:$B,0)),0,COLUMN(R20),COUNTIF('Schedule Daily'!$B:$B,$A20),1),1),0)</f>
        <v>3</v>
      </c>
      <c r="S20">
        <f t="array" ref="S20">IFERROR(COUNTIF(OFFSET(INDEX('Schedule Daily'!$A:$A,MATCH($A20,'Schedule Daily'!$B:$B,0)),0,COLUMN(S20),COUNTIF('Schedule Daily'!$B:$B,$A20),1),1),0)</f>
        <v>4</v>
      </c>
      <c r="T20">
        <f t="array" ref="T20">IFERROR(COUNTIF(OFFSET(INDEX('Schedule Daily'!$A:$A,MATCH($A20,'Schedule Daily'!$B:$B,0)),0,COLUMN(T20),COUNTIF('Schedule Daily'!$B:$B,$A20),1),1),0)</f>
        <v>4</v>
      </c>
      <c r="U20">
        <f t="array" ref="U20">IFERROR(COUNTIF(OFFSET(INDEX('Schedule Daily'!$A:$A,MATCH($A20,'Schedule Daily'!$B:$B,0)),0,COLUMN(U20),COUNTIF('Schedule Daily'!$B:$B,$A20),1),1),0)</f>
        <v>3</v>
      </c>
      <c r="V20">
        <f t="array" ref="V20">IFERROR(COUNTIF(OFFSET(INDEX('Schedule Daily'!$A:$A,MATCH($A20,'Schedule Daily'!$B:$B,0)),0,COLUMN(V20),COUNTIF('Schedule Daily'!$B:$B,$A20),1),1),0)</f>
        <v>4</v>
      </c>
      <c r="W20">
        <f t="array" ref="W20">IFERROR(COUNTIF(OFFSET(INDEX('Schedule Daily'!$A:$A,MATCH($A20,'Schedule Daily'!$B:$B,0)),0,COLUMN(W20),COUNTIF('Schedule Daily'!$B:$B,$A20),1),1),0)</f>
        <v>3</v>
      </c>
      <c r="X20">
        <f t="array" ref="X20">IFERROR(COUNTIF(OFFSET(INDEX('Schedule Daily'!$A:$A,MATCH($A20,'Schedule Daily'!$B:$B,0)),0,COLUMN(X20),COUNTIF('Schedule Daily'!$B:$B,$A20),1),1),0)</f>
        <v>3</v>
      </c>
      <c r="Y20">
        <f t="array" ref="Y20">IFERROR(COUNTIF(OFFSET(INDEX('Schedule Daily'!$A:$A,MATCH($A20,'Schedule Daily'!$B:$B,0)),0,COLUMN(Y20),COUNTIF('Schedule Daily'!$B:$B,$A20),1),1),0)</f>
        <v>4</v>
      </c>
      <c r="Z20">
        <f t="array" ref="Z20">IFERROR(COUNTIF(OFFSET(INDEX('Schedule Daily'!$A:$A,MATCH($A20,'Schedule Daily'!$B:$B,0)),0,COLUMN(Z20),COUNTIF('Schedule Daily'!$B:$B,$A20),1),1),0)</f>
        <v>3</v>
      </c>
      <c r="AA20">
        <f t="array" ref="AA20">IFERROR(COUNTIF(OFFSET(INDEX('Schedule Daily'!$A:$A,MATCH($A20,'Schedule Daily'!$B:$B,0)),0,COLUMN(AA20),COUNTIF('Schedule Daily'!$B:$B,$A20),1),1),0)</f>
        <v>4</v>
      </c>
      <c r="AB20">
        <f t="array" ref="AB20">IFERROR(COUNTIF(OFFSET(INDEX('Schedule Daily'!$A:$A,MATCH($A20,'Schedule Daily'!$B:$B,0)),0,COLUMN(AB20),COUNTIF('Schedule Daily'!$B:$B,$A20),1),1),0)</f>
        <v>3</v>
      </c>
      <c r="AC20">
        <f t="array" ref="AC20">IFERROR(COUNTIF(OFFSET(INDEX('Schedule Daily'!$A:$A,MATCH($A20,'Schedule Daily'!$B:$B,0)),0,COLUMN(AC20),COUNTIF('Schedule Daily'!$B:$B,$A20),1),1),0)</f>
        <v>3</v>
      </c>
      <c r="AD20">
        <f t="array" ref="AD20">IFERROR(COUNTIF(OFFSET(INDEX('Schedule Daily'!$A:$A,MATCH($A20,'Schedule Daily'!$B:$B,0)),0,COLUMN(AD20),COUNTIF('Schedule Daily'!$B:$B,$A20),1),1),0)</f>
        <v>3</v>
      </c>
      <c r="AE20">
        <f t="array" ref="AE20">IFERROR(COUNTIF(OFFSET(INDEX('Schedule Daily'!$A:$A,MATCH($A20,'Schedule Daily'!$B:$B,0)),0,COLUMN(AE20),COUNTIF('Schedule Daily'!$B:$B,$A20),1),1),0)</f>
        <v>3</v>
      </c>
    </row>
    <row r="21">
      <c r="A21">
        <f t="shared" si="1"/>
        <v>20</v>
      </c>
      <c r="B21">
        <f t="array" ref="B21">IFERROR(COUNTIF(OFFSET(INDEX('Schedule Daily'!$A:$A,MATCH($A21,'Schedule Daily'!$B:$B,0)),0,COLUMN(B21),COUNTIF('Schedule Daily'!$B:$B,$A21),1),1),0)</f>
        <v>4</v>
      </c>
      <c r="C21">
        <f t="array" ref="C21">IFERROR(COUNTIF(OFFSET(INDEX('Schedule Daily'!$A:$A,MATCH($A21,'Schedule Daily'!$B:$B,0)),0,COLUMN(C21),COUNTIF('Schedule Daily'!$B:$B,$A21),1),1),0)</f>
        <v>4</v>
      </c>
      <c r="D21">
        <f t="array" ref="D21">IFERROR(COUNTIF(OFFSET(INDEX('Schedule Daily'!$A:$A,MATCH($A21,'Schedule Daily'!$B:$B,0)),0,COLUMN(D21),COUNTIF('Schedule Daily'!$B:$B,$A21),1),1),0)</f>
        <v>3</v>
      </c>
      <c r="E21">
        <f t="array" ref="E21">IFERROR(COUNTIF(OFFSET(INDEX('Schedule Daily'!$A:$A,MATCH($A21,'Schedule Daily'!$B:$B,0)),0,COLUMN(E21),COUNTIF('Schedule Daily'!$B:$B,$A21),1),1),0)</f>
        <v>3</v>
      </c>
      <c r="F21">
        <f t="array" ref="F21">IFERROR(COUNTIF(OFFSET(INDEX('Schedule Daily'!$A:$A,MATCH($A21,'Schedule Daily'!$B:$B,0)),0,COLUMN(F21),COUNTIF('Schedule Daily'!$B:$B,$A21),1),1),0)</f>
        <v>3</v>
      </c>
      <c r="G21">
        <f t="array" ref="G21">IFERROR(COUNTIF(OFFSET(INDEX('Schedule Daily'!$A:$A,MATCH($A21,'Schedule Daily'!$B:$B,0)),0,COLUMN(G21),COUNTIF('Schedule Daily'!$B:$B,$A21),1),1),0)</f>
        <v>3</v>
      </c>
      <c r="H21">
        <f t="array" ref="H21">IFERROR(COUNTIF(OFFSET(INDEX('Schedule Daily'!$A:$A,MATCH($A21,'Schedule Daily'!$B:$B,0)),0,COLUMN(H21),COUNTIF('Schedule Daily'!$B:$B,$A21),1),1),0)</f>
        <v>4</v>
      </c>
      <c r="I21">
        <f t="array" ref="I21">IFERROR(COUNTIF(OFFSET(INDEX('Schedule Daily'!$A:$A,MATCH($A21,'Schedule Daily'!$B:$B,0)),0,COLUMN(I21),COUNTIF('Schedule Daily'!$B:$B,$A21),1),1),0)</f>
        <v>4</v>
      </c>
      <c r="J21">
        <f t="array" ref="J21">IFERROR(COUNTIF(OFFSET(INDEX('Schedule Daily'!$A:$A,MATCH($A21,'Schedule Daily'!$B:$B,0)),0,COLUMN(J21),COUNTIF('Schedule Daily'!$B:$B,$A21),1),1),0)</f>
        <v>3</v>
      </c>
      <c r="K21">
        <f t="array" ref="K21">IFERROR(COUNTIF(OFFSET(INDEX('Schedule Daily'!$A:$A,MATCH($A21,'Schedule Daily'!$B:$B,0)),0,COLUMN(K21),COUNTIF('Schedule Daily'!$B:$B,$A21),1),1),0)</f>
        <v>3</v>
      </c>
      <c r="L21">
        <f t="array" ref="L21">IFERROR(COUNTIF(OFFSET(INDEX('Schedule Daily'!$A:$A,MATCH($A21,'Schedule Daily'!$B:$B,0)),0,COLUMN(L21),COUNTIF('Schedule Daily'!$B:$B,$A21),1),1),0)</f>
        <v>3</v>
      </c>
      <c r="M21">
        <f t="array" ref="M21">IFERROR(COUNTIF(OFFSET(INDEX('Schedule Daily'!$A:$A,MATCH($A21,'Schedule Daily'!$B:$B,0)),0,COLUMN(M21),COUNTIF('Schedule Daily'!$B:$B,$A21),1),1),0)</f>
        <v>4</v>
      </c>
      <c r="N21">
        <f t="array" ref="N21">IFERROR(COUNTIF(OFFSET(INDEX('Schedule Daily'!$A:$A,MATCH($A21,'Schedule Daily'!$B:$B,0)),0,COLUMN(N21),COUNTIF('Schedule Daily'!$B:$B,$A21),1),1),0)</f>
        <v>3</v>
      </c>
      <c r="O21">
        <f t="array" ref="O21">IFERROR(COUNTIF(OFFSET(INDEX('Schedule Daily'!$A:$A,MATCH($A21,'Schedule Daily'!$B:$B,0)),0,COLUMN(O21),COUNTIF('Schedule Daily'!$B:$B,$A21),1),1),0)</f>
        <v>4</v>
      </c>
      <c r="P21">
        <f t="array" ref="P21">IFERROR(COUNTIF(OFFSET(INDEX('Schedule Daily'!$A:$A,MATCH($A21,'Schedule Daily'!$B:$B,0)),0,COLUMN(P21),COUNTIF('Schedule Daily'!$B:$B,$A21),1),1),0)</f>
        <v>4</v>
      </c>
      <c r="Q21">
        <f t="array" ref="Q21">IFERROR(COUNTIF(OFFSET(INDEX('Schedule Daily'!$A:$A,MATCH($A21,'Schedule Daily'!$B:$B,0)),0,COLUMN(Q21),COUNTIF('Schedule Daily'!$B:$B,$A21),1),1),0)</f>
        <v>3</v>
      </c>
      <c r="R21">
        <f t="array" ref="R21">IFERROR(COUNTIF(OFFSET(INDEX('Schedule Daily'!$A:$A,MATCH($A21,'Schedule Daily'!$B:$B,0)),0,COLUMN(R21),COUNTIF('Schedule Daily'!$B:$B,$A21),1),1),0)</f>
        <v>3</v>
      </c>
      <c r="S21">
        <f t="array" ref="S21">IFERROR(COUNTIF(OFFSET(INDEX('Schedule Daily'!$A:$A,MATCH($A21,'Schedule Daily'!$B:$B,0)),0,COLUMN(S21),COUNTIF('Schedule Daily'!$B:$B,$A21),1),1),0)</f>
        <v>2</v>
      </c>
      <c r="T21">
        <f t="array" ref="T21">IFERROR(COUNTIF(OFFSET(INDEX('Schedule Daily'!$A:$A,MATCH($A21,'Schedule Daily'!$B:$B,0)),0,COLUMN(T21),COUNTIF('Schedule Daily'!$B:$B,$A21),1),1),0)</f>
        <v>4</v>
      </c>
      <c r="U21">
        <f t="array" ref="U21">IFERROR(COUNTIF(OFFSET(INDEX('Schedule Daily'!$A:$A,MATCH($A21,'Schedule Daily'!$B:$B,0)),0,COLUMN(U21),COUNTIF('Schedule Daily'!$B:$B,$A21),1),1),0)</f>
        <v>3</v>
      </c>
      <c r="V21">
        <f t="array" ref="V21">IFERROR(COUNTIF(OFFSET(INDEX('Schedule Daily'!$A:$A,MATCH($A21,'Schedule Daily'!$B:$B,0)),0,COLUMN(V21),COUNTIF('Schedule Daily'!$B:$B,$A21),1),1),0)</f>
        <v>3</v>
      </c>
      <c r="W21">
        <f t="array" ref="W21">IFERROR(COUNTIF(OFFSET(INDEX('Schedule Daily'!$A:$A,MATCH($A21,'Schedule Daily'!$B:$B,0)),0,COLUMN(W21),COUNTIF('Schedule Daily'!$B:$B,$A21),1),1),0)</f>
        <v>4</v>
      </c>
      <c r="X21">
        <f t="array" ref="X21">IFERROR(COUNTIF(OFFSET(INDEX('Schedule Daily'!$A:$A,MATCH($A21,'Schedule Daily'!$B:$B,0)),0,COLUMN(X21),COUNTIF('Schedule Daily'!$B:$B,$A21),1),1),0)</f>
        <v>4</v>
      </c>
      <c r="Y21">
        <f t="array" ref="Y21">IFERROR(COUNTIF(OFFSET(INDEX('Schedule Daily'!$A:$A,MATCH($A21,'Schedule Daily'!$B:$B,0)),0,COLUMN(Y21),COUNTIF('Schedule Daily'!$B:$B,$A21),1),1),0)</f>
        <v>4</v>
      </c>
      <c r="Z21">
        <f t="array" ref="Z21">IFERROR(COUNTIF(OFFSET(INDEX('Schedule Daily'!$A:$A,MATCH($A21,'Schedule Daily'!$B:$B,0)),0,COLUMN(Z21),COUNTIF('Schedule Daily'!$B:$B,$A21),1),1),0)</f>
        <v>4</v>
      </c>
      <c r="AA21">
        <f t="array" ref="AA21">IFERROR(COUNTIF(OFFSET(INDEX('Schedule Daily'!$A:$A,MATCH($A21,'Schedule Daily'!$B:$B,0)),0,COLUMN(AA21),COUNTIF('Schedule Daily'!$B:$B,$A21),1),1),0)</f>
        <v>4</v>
      </c>
      <c r="AB21">
        <f t="array" ref="AB21">IFERROR(COUNTIF(OFFSET(INDEX('Schedule Daily'!$A:$A,MATCH($A21,'Schedule Daily'!$B:$B,0)),0,COLUMN(AB21),COUNTIF('Schedule Daily'!$B:$B,$A21),1),1),0)</f>
        <v>4</v>
      </c>
      <c r="AC21">
        <f t="array" ref="AC21">IFERROR(COUNTIF(OFFSET(INDEX('Schedule Daily'!$A:$A,MATCH($A21,'Schedule Daily'!$B:$B,0)),0,COLUMN(AC21),COUNTIF('Schedule Daily'!$B:$B,$A21),1),1),0)</f>
        <v>4</v>
      </c>
      <c r="AD21">
        <f t="array" ref="AD21">IFERROR(COUNTIF(OFFSET(INDEX('Schedule Daily'!$A:$A,MATCH($A21,'Schedule Daily'!$B:$B,0)),0,COLUMN(AD21),COUNTIF('Schedule Daily'!$B:$B,$A21),1),1),0)</f>
        <v>3</v>
      </c>
      <c r="AE21">
        <f t="array" ref="AE21">IFERROR(COUNTIF(OFFSET(INDEX('Schedule Daily'!$A:$A,MATCH($A21,'Schedule Daily'!$B:$B,0)),0,COLUMN(AE21),COUNTIF('Schedule Daily'!$B:$B,$A21),1),1),0)</f>
        <v>3</v>
      </c>
    </row>
    <row r="22">
      <c r="A22">
        <f t="shared" si="1"/>
        <v>21</v>
      </c>
      <c r="B22">
        <f t="array" ref="B22">IFERROR(COUNTIF(OFFSET(INDEX('Schedule Daily'!$A:$A,MATCH($A22,'Schedule Daily'!$B:$B,0)),0,COLUMN(B22),COUNTIF('Schedule Daily'!$B:$B,$A22),1),1),0)</f>
        <v>3</v>
      </c>
      <c r="C22">
        <f t="array" ref="C22">IFERROR(COUNTIF(OFFSET(INDEX('Schedule Daily'!$A:$A,MATCH($A22,'Schedule Daily'!$B:$B,0)),0,COLUMN(C22),COUNTIF('Schedule Daily'!$B:$B,$A22),1),1),0)</f>
        <v>3</v>
      </c>
      <c r="D22">
        <f t="array" ref="D22">IFERROR(COUNTIF(OFFSET(INDEX('Schedule Daily'!$A:$A,MATCH($A22,'Schedule Daily'!$B:$B,0)),0,COLUMN(D22),COUNTIF('Schedule Daily'!$B:$B,$A22),1),1),0)</f>
        <v>4</v>
      </c>
      <c r="E22">
        <f t="array" ref="E22">IFERROR(COUNTIF(OFFSET(INDEX('Schedule Daily'!$A:$A,MATCH($A22,'Schedule Daily'!$B:$B,0)),0,COLUMN(E22),COUNTIF('Schedule Daily'!$B:$B,$A22),1),1),0)</f>
        <v>4</v>
      </c>
      <c r="F22">
        <f t="array" ref="F22">IFERROR(COUNTIF(OFFSET(INDEX('Schedule Daily'!$A:$A,MATCH($A22,'Schedule Daily'!$B:$B,0)),0,COLUMN(F22),COUNTIF('Schedule Daily'!$B:$B,$A22),1),1),0)</f>
        <v>4</v>
      </c>
      <c r="G22">
        <f t="array" ref="G22">IFERROR(COUNTIF(OFFSET(INDEX('Schedule Daily'!$A:$A,MATCH($A22,'Schedule Daily'!$B:$B,0)),0,COLUMN(G22),COUNTIF('Schedule Daily'!$B:$B,$A22),1),1),0)</f>
        <v>2</v>
      </c>
      <c r="H22">
        <f t="array" ref="H22">IFERROR(COUNTIF(OFFSET(INDEX('Schedule Daily'!$A:$A,MATCH($A22,'Schedule Daily'!$B:$B,0)),0,COLUMN(H22),COUNTIF('Schedule Daily'!$B:$B,$A22),1),1),0)</f>
        <v>4</v>
      </c>
      <c r="I22">
        <f t="array" ref="I22">IFERROR(COUNTIF(OFFSET(INDEX('Schedule Daily'!$A:$A,MATCH($A22,'Schedule Daily'!$B:$B,0)),0,COLUMN(I22),COUNTIF('Schedule Daily'!$B:$B,$A22),1),1),0)</f>
        <v>3</v>
      </c>
      <c r="J22">
        <f t="array" ref="J22">IFERROR(COUNTIF(OFFSET(INDEX('Schedule Daily'!$A:$A,MATCH($A22,'Schedule Daily'!$B:$B,0)),0,COLUMN(J22),COUNTIF('Schedule Daily'!$B:$B,$A22),1),1),0)</f>
        <v>4</v>
      </c>
      <c r="K22">
        <f t="array" ref="K22">IFERROR(COUNTIF(OFFSET(INDEX('Schedule Daily'!$A:$A,MATCH($A22,'Schedule Daily'!$B:$B,0)),0,COLUMN(K22),COUNTIF('Schedule Daily'!$B:$B,$A22),1),1),0)</f>
        <v>4</v>
      </c>
      <c r="L22">
        <f t="array" ref="L22">IFERROR(COUNTIF(OFFSET(INDEX('Schedule Daily'!$A:$A,MATCH($A22,'Schedule Daily'!$B:$B,0)),0,COLUMN(L22),COUNTIF('Schedule Daily'!$B:$B,$A22),1),1),0)</f>
        <v>4</v>
      </c>
      <c r="M22">
        <f t="array" ref="M22">IFERROR(COUNTIF(OFFSET(INDEX('Schedule Daily'!$A:$A,MATCH($A22,'Schedule Daily'!$B:$B,0)),0,COLUMN(M22),COUNTIF('Schedule Daily'!$B:$B,$A22),1),1),0)</f>
        <v>3</v>
      </c>
      <c r="N22">
        <f t="array" ref="N22">IFERROR(COUNTIF(OFFSET(INDEX('Schedule Daily'!$A:$A,MATCH($A22,'Schedule Daily'!$B:$B,0)),0,COLUMN(N22),COUNTIF('Schedule Daily'!$B:$B,$A22),1),1),0)</f>
        <v>4</v>
      </c>
      <c r="O22">
        <f t="array" ref="O22">IFERROR(COUNTIF(OFFSET(INDEX('Schedule Daily'!$A:$A,MATCH($A22,'Schedule Daily'!$B:$B,0)),0,COLUMN(O22),COUNTIF('Schedule Daily'!$B:$B,$A22),1),1),0)</f>
        <v>3</v>
      </c>
      <c r="P22">
        <f t="array" ref="P22">IFERROR(COUNTIF(OFFSET(INDEX('Schedule Daily'!$A:$A,MATCH($A22,'Schedule Daily'!$B:$B,0)),0,COLUMN(P22),COUNTIF('Schedule Daily'!$B:$B,$A22),1),1),0)</f>
        <v>4</v>
      </c>
      <c r="Q22">
        <f t="array" ref="Q22">IFERROR(COUNTIF(OFFSET(INDEX('Schedule Daily'!$A:$A,MATCH($A22,'Schedule Daily'!$B:$B,0)),0,COLUMN(Q22),COUNTIF('Schedule Daily'!$B:$B,$A22),1),1),0)</f>
        <v>3</v>
      </c>
      <c r="R22">
        <f t="array" ref="R22">IFERROR(COUNTIF(OFFSET(INDEX('Schedule Daily'!$A:$A,MATCH($A22,'Schedule Daily'!$B:$B,0)),0,COLUMN(R22),COUNTIF('Schedule Daily'!$B:$B,$A22),1),1),0)</f>
        <v>4</v>
      </c>
      <c r="S22">
        <f t="array" ref="S22">IFERROR(COUNTIF(OFFSET(INDEX('Schedule Daily'!$A:$A,MATCH($A22,'Schedule Daily'!$B:$B,0)),0,COLUMN(S22),COUNTIF('Schedule Daily'!$B:$B,$A22),1),1),0)</f>
        <v>4</v>
      </c>
      <c r="T22">
        <f t="array" ref="T22">IFERROR(COUNTIF(OFFSET(INDEX('Schedule Daily'!$A:$A,MATCH($A22,'Schedule Daily'!$B:$B,0)),0,COLUMN(T22),COUNTIF('Schedule Daily'!$B:$B,$A22),1),1),0)</f>
        <v>3</v>
      </c>
      <c r="U22">
        <f t="array" ref="U22">IFERROR(COUNTIF(OFFSET(INDEX('Schedule Daily'!$A:$A,MATCH($A22,'Schedule Daily'!$B:$B,0)),0,COLUMN(U22),COUNTIF('Schedule Daily'!$B:$B,$A22),1),1),0)</f>
        <v>4</v>
      </c>
      <c r="V22">
        <f t="array" ref="V22">IFERROR(COUNTIF(OFFSET(INDEX('Schedule Daily'!$A:$A,MATCH($A22,'Schedule Daily'!$B:$B,0)),0,COLUMN(V22),COUNTIF('Schedule Daily'!$B:$B,$A22),1),1),0)</f>
        <v>4</v>
      </c>
      <c r="W22">
        <f t="array" ref="W22">IFERROR(COUNTIF(OFFSET(INDEX('Schedule Daily'!$A:$A,MATCH($A22,'Schedule Daily'!$B:$B,0)),0,COLUMN(W22),COUNTIF('Schedule Daily'!$B:$B,$A22),1),1),0)</f>
        <v>4</v>
      </c>
      <c r="X22">
        <f t="array" ref="X22">IFERROR(COUNTIF(OFFSET(INDEX('Schedule Daily'!$A:$A,MATCH($A22,'Schedule Daily'!$B:$B,0)),0,COLUMN(X22),COUNTIF('Schedule Daily'!$B:$B,$A22),1),1),0)</f>
        <v>4</v>
      </c>
      <c r="Y22">
        <f t="array" ref="Y22">IFERROR(COUNTIF(OFFSET(INDEX('Schedule Daily'!$A:$A,MATCH($A22,'Schedule Daily'!$B:$B,0)),0,COLUMN(Y22),COUNTIF('Schedule Daily'!$B:$B,$A22),1),1),0)</f>
        <v>4</v>
      </c>
      <c r="Z22">
        <f t="array" ref="Z22">IFERROR(COUNTIF(OFFSET(INDEX('Schedule Daily'!$A:$A,MATCH($A22,'Schedule Daily'!$B:$B,0)),0,COLUMN(Z22),COUNTIF('Schedule Daily'!$B:$B,$A22),1),1),0)</f>
        <v>3</v>
      </c>
      <c r="AA22">
        <f t="array" ref="AA22">IFERROR(COUNTIF(OFFSET(INDEX('Schedule Daily'!$A:$A,MATCH($A22,'Schedule Daily'!$B:$B,0)),0,COLUMN(AA22),COUNTIF('Schedule Daily'!$B:$B,$A22),1),1),0)</f>
        <v>3</v>
      </c>
      <c r="AB22">
        <f t="array" ref="AB22">IFERROR(COUNTIF(OFFSET(INDEX('Schedule Daily'!$A:$A,MATCH($A22,'Schedule Daily'!$B:$B,0)),0,COLUMN(AB22),COUNTIF('Schedule Daily'!$B:$B,$A22),1),1),0)</f>
        <v>3</v>
      </c>
      <c r="AC22">
        <f t="array" ref="AC22">IFERROR(COUNTIF(OFFSET(INDEX('Schedule Daily'!$A:$A,MATCH($A22,'Schedule Daily'!$B:$B,0)),0,COLUMN(AC22),COUNTIF('Schedule Daily'!$B:$B,$A22),1),1),0)</f>
        <v>4</v>
      </c>
      <c r="AD22">
        <f t="array" ref="AD22">IFERROR(COUNTIF(OFFSET(INDEX('Schedule Daily'!$A:$A,MATCH($A22,'Schedule Daily'!$B:$B,0)),0,COLUMN(AD22),COUNTIF('Schedule Daily'!$B:$B,$A22),1),1),0)</f>
        <v>4</v>
      </c>
      <c r="AE22">
        <f t="array" ref="AE22">IFERROR(COUNTIF(OFFSET(INDEX('Schedule Daily'!$A:$A,MATCH($A22,'Schedule Daily'!$B:$B,0)),0,COLUMN(AE22),COUNTIF('Schedule Daily'!$B:$B,$A22),1),1),0)</f>
        <v>4</v>
      </c>
    </row>
    <row r="23">
      <c r="A23">
        <f t="shared" si="1"/>
        <v>22</v>
      </c>
      <c r="B23">
        <f t="array" ref="B23">IFERROR(COUNTIF(OFFSET(INDEX('Schedule Daily'!$A:$A,MATCH($A23,'Schedule Daily'!$B:$B,0)),0,COLUMN(B23),COUNTIF('Schedule Daily'!$B:$B,$A23),1),1),0)</f>
        <v>4</v>
      </c>
      <c r="C23">
        <f t="array" ref="C23">IFERROR(COUNTIF(OFFSET(INDEX('Schedule Daily'!$A:$A,MATCH($A23,'Schedule Daily'!$B:$B,0)),0,COLUMN(C23),COUNTIF('Schedule Daily'!$B:$B,$A23),1),1),0)</f>
        <v>4</v>
      </c>
      <c r="D23">
        <f t="array" ref="D23">IFERROR(COUNTIF(OFFSET(INDEX('Schedule Daily'!$A:$A,MATCH($A23,'Schedule Daily'!$B:$B,0)),0,COLUMN(D23),COUNTIF('Schedule Daily'!$B:$B,$A23),1),1),0)</f>
        <v>4</v>
      </c>
      <c r="E23">
        <f t="array" ref="E23">IFERROR(COUNTIF(OFFSET(INDEX('Schedule Daily'!$A:$A,MATCH($A23,'Schedule Daily'!$B:$B,0)),0,COLUMN(E23),COUNTIF('Schedule Daily'!$B:$B,$A23),1),1),0)</f>
        <v>4</v>
      </c>
      <c r="F23">
        <f t="array" ref="F23">IFERROR(COUNTIF(OFFSET(INDEX('Schedule Daily'!$A:$A,MATCH($A23,'Schedule Daily'!$B:$B,0)),0,COLUMN(F23),COUNTIF('Schedule Daily'!$B:$B,$A23),1),1),0)</f>
        <v>4</v>
      </c>
      <c r="G23">
        <f t="array" ref="G23">IFERROR(COUNTIF(OFFSET(INDEX('Schedule Daily'!$A:$A,MATCH($A23,'Schedule Daily'!$B:$B,0)),0,COLUMN(G23),COUNTIF('Schedule Daily'!$B:$B,$A23),1),1),0)</f>
        <v>4</v>
      </c>
      <c r="H23">
        <f t="array" ref="H23">IFERROR(COUNTIF(OFFSET(INDEX('Schedule Daily'!$A:$A,MATCH($A23,'Schedule Daily'!$B:$B,0)),0,COLUMN(H23),COUNTIF('Schedule Daily'!$B:$B,$A23),1),1),0)</f>
        <v>4</v>
      </c>
      <c r="I23">
        <f t="array" ref="I23">IFERROR(COUNTIF(OFFSET(INDEX('Schedule Daily'!$A:$A,MATCH($A23,'Schedule Daily'!$B:$B,0)),0,COLUMN(I23),COUNTIF('Schedule Daily'!$B:$B,$A23),1),1),0)</f>
        <v>4</v>
      </c>
      <c r="J23">
        <f t="array" ref="J23">IFERROR(COUNTIF(OFFSET(INDEX('Schedule Daily'!$A:$A,MATCH($A23,'Schedule Daily'!$B:$B,0)),0,COLUMN(J23),COUNTIF('Schedule Daily'!$B:$B,$A23),1),1),0)</f>
        <v>4</v>
      </c>
      <c r="K23">
        <f t="array" ref="K23">IFERROR(COUNTIF(OFFSET(INDEX('Schedule Daily'!$A:$A,MATCH($A23,'Schedule Daily'!$B:$B,0)),0,COLUMN(K23),COUNTIF('Schedule Daily'!$B:$B,$A23),1),1),0)</f>
        <v>4</v>
      </c>
      <c r="L23">
        <f t="array" ref="L23">IFERROR(COUNTIF(OFFSET(INDEX('Schedule Daily'!$A:$A,MATCH($A23,'Schedule Daily'!$B:$B,0)),0,COLUMN(L23),COUNTIF('Schedule Daily'!$B:$B,$A23),1),1),0)</f>
        <v>4</v>
      </c>
      <c r="M23">
        <f t="array" ref="M23">IFERROR(COUNTIF(OFFSET(INDEX('Schedule Daily'!$A:$A,MATCH($A23,'Schedule Daily'!$B:$B,0)),0,COLUMN(M23),COUNTIF('Schedule Daily'!$B:$B,$A23),1),1),0)</f>
        <v>4</v>
      </c>
      <c r="N23">
        <f t="array" ref="N23">IFERROR(COUNTIF(OFFSET(INDEX('Schedule Daily'!$A:$A,MATCH($A23,'Schedule Daily'!$B:$B,0)),0,COLUMN(N23),COUNTIF('Schedule Daily'!$B:$B,$A23),1),1),0)</f>
        <v>4</v>
      </c>
      <c r="O23">
        <f t="array" ref="O23">IFERROR(COUNTIF(OFFSET(INDEX('Schedule Daily'!$A:$A,MATCH($A23,'Schedule Daily'!$B:$B,0)),0,COLUMN(O23),COUNTIF('Schedule Daily'!$B:$B,$A23),1),1),0)</f>
        <v>3</v>
      </c>
      <c r="P23">
        <f t="array" ref="P23">IFERROR(COUNTIF(OFFSET(INDEX('Schedule Daily'!$A:$A,MATCH($A23,'Schedule Daily'!$B:$B,0)),0,COLUMN(P23),COUNTIF('Schedule Daily'!$B:$B,$A23),1),1),0)</f>
        <v>3</v>
      </c>
      <c r="Q23">
        <f t="array" ref="Q23">IFERROR(COUNTIF(OFFSET(INDEX('Schedule Daily'!$A:$A,MATCH($A23,'Schedule Daily'!$B:$B,0)),0,COLUMN(Q23),COUNTIF('Schedule Daily'!$B:$B,$A23),1),1),0)</f>
        <v>4</v>
      </c>
      <c r="R23">
        <f t="array" ref="R23">IFERROR(COUNTIF(OFFSET(INDEX('Schedule Daily'!$A:$A,MATCH($A23,'Schedule Daily'!$B:$B,0)),0,COLUMN(R23),COUNTIF('Schedule Daily'!$B:$B,$A23),1),1),0)</f>
        <v>4</v>
      </c>
      <c r="S23">
        <f t="array" ref="S23">IFERROR(COUNTIF(OFFSET(INDEX('Schedule Daily'!$A:$A,MATCH($A23,'Schedule Daily'!$B:$B,0)),0,COLUMN(S23),COUNTIF('Schedule Daily'!$B:$B,$A23),1),1),0)</f>
        <v>4</v>
      </c>
      <c r="T23">
        <f t="array" ref="T23">IFERROR(COUNTIF(OFFSET(INDEX('Schedule Daily'!$A:$A,MATCH($A23,'Schedule Daily'!$B:$B,0)),0,COLUMN(T23),COUNTIF('Schedule Daily'!$B:$B,$A23),1),1),0)</f>
        <v>2</v>
      </c>
      <c r="U23">
        <f t="array" ref="U23">IFERROR(COUNTIF(OFFSET(INDEX('Schedule Daily'!$A:$A,MATCH($A23,'Schedule Daily'!$B:$B,0)),0,COLUMN(U23),COUNTIF('Schedule Daily'!$B:$B,$A23),1),1),0)</f>
        <v>4</v>
      </c>
      <c r="V23">
        <f t="array" ref="V23">IFERROR(COUNTIF(OFFSET(INDEX('Schedule Daily'!$A:$A,MATCH($A23,'Schedule Daily'!$B:$B,0)),0,COLUMN(V23),COUNTIF('Schedule Daily'!$B:$B,$A23),1),1),0)</f>
        <v>3</v>
      </c>
      <c r="W23">
        <f t="array" ref="W23">IFERROR(COUNTIF(OFFSET(INDEX('Schedule Daily'!$A:$A,MATCH($A23,'Schedule Daily'!$B:$B,0)),0,COLUMN(W23),COUNTIF('Schedule Daily'!$B:$B,$A23),1),1),0)</f>
        <v>3</v>
      </c>
      <c r="X23">
        <f t="array" ref="X23">IFERROR(COUNTIF(OFFSET(INDEX('Schedule Daily'!$A:$A,MATCH($A23,'Schedule Daily'!$B:$B,0)),0,COLUMN(X23),COUNTIF('Schedule Daily'!$B:$B,$A23),1),1),0)</f>
        <v>3</v>
      </c>
      <c r="Y23">
        <f t="array" ref="Y23">IFERROR(COUNTIF(OFFSET(INDEX('Schedule Daily'!$A:$A,MATCH($A23,'Schedule Daily'!$B:$B,0)),0,COLUMN(Y23),COUNTIF('Schedule Daily'!$B:$B,$A23),1),1),0)</f>
        <v>4</v>
      </c>
      <c r="Z23">
        <f t="array" ref="Z23">IFERROR(COUNTIF(OFFSET(INDEX('Schedule Daily'!$A:$A,MATCH($A23,'Schedule Daily'!$B:$B,0)),0,COLUMN(Z23),COUNTIF('Schedule Daily'!$B:$B,$A23),1),1),0)</f>
        <v>4</v>
      </c>
      <c r="AA23">
        <f t="array" ref="AA23">IFERROR(COUNTIF(OFFSET(INDEX('Schedule Daily'!$A:$A,MATCH($A23,'Schedule Daily'!$B:$B,0)),0,COLUMN(AA23),COUNTIF('Schedule Daily'!$B:$B,$A23),1),1),0)</f>
        <v>4</v>
      </c>
      <c r="AB23">
        <f t="array" ref="AB23">IFERROR(COUNTIF(OFFSET(INDEX('Schedule Daily'!$A:$A,MATCH($A23,'Schedule Daily'!$B:$B,0)),0,COLUMN(AB23),COUNTIF('Schedule Daily'!$B:$B,$A23),1),1),0)</f>
        <v>4</v>
      </c>
      <c r="AC23">
        <f t="array" ref="AC23">IFERROR(COUNTIF(OFFSET(INDEX('Schedule Daily'!$A:$A,MATCH($A23,'Schedule Daily'!$B:$B,0)),0,COLUMN(AC23),COUNTIF('Schedule Daily'!$B:$B,$A23),1),1),0)</f>
        <v>3</v>
      </c>
      <c r="AD23">
        <f t="array" ref="AD23">IFERROR(COUNTIF(OFFSET(INDEX('Schedule Daily'!$A:$A,MATCH($A23,'Schedule Daily'!$B:$B,0)),0,COLUMN(AD23),COUNTIF('Schedule Daily'!$B:$B,$A23),1),1),0)</f>
        <v>3</v>
      </c>
      <c r="AE23">
        <f t="array" ref="AE23">IFERROR(COUNTIF(OFFSET(INDEX('Schedule Daily'!$A:$A,MATCH($A23,'Schedule Daily'!$B:$B,0)),0,COLUMN(AE23),COUNTIF('Schedule Daily'!$B:$B,$A23),1),1),0)</f>
        <v>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.75"/>
    <col customWidth="1" min="3" max="5" width="4.25"/>
    <col customWidth="1" min="6" max="6" width="3.63"/>
    <col customWidth="1" min="7" max="8" width="4.0"/>
    <col customWidth="1" min="9" max="9" width="4.25"/>
    <col customWidth="1" min="10" max="10" width="4.13"/>
    <col customWidth="1" min="11" max="11" width="4.75"/>
    <col customWidth="1" min="12" max="12" width="4.5"/>
    <col customWidth="1" min="13" max="13" width="3.63"/>
    <col customWidth="1" min="14" max="14" width="4.0"/>
    <col customWidth="1" min="15" max="15" width="3.75"/>
    <col customWidth="1" min="16" max="16" width="4.63"/>
    <col customWidth="1" min="17" max="17" width="3.75"/>
    <col customWidth="1" min="18" max="18" width="3.63"/>
    <col customWidth="1" min="19" max="19" width="3.88"/>
    <col customWidth="1" min="20" max="20" width="4.5"/>
    <col customWidth="1" min="21" max="21" width="4.25"/>
    <col customWidth="1" min="22" max="22" width="4.38"/>
    <col customWidth="1" min="23" max="23" width="4.25"/>
    <col customWidth="1" min="24" max="24" width="3.63"/>
    <col customWidth="1" min="25" max="26" width="4.38"/>
    <col customWidth="1" min="27" max="27" width="4.25"/>
    <col customWidth="1" min="28" max="28" width="4.13"/>
    <col customWidth="1" min="29" max="29" width="4.25"/>
    <col customWidth="1" min="30" max="30" width="4.0"/>
    <col customWidth="1" min="31" max="31" width="4.5"/>
  </cols>
  <sheetData>
    <row r="1">
      <c r="A1" s="17" t="str">
        <f>'Schedule Weekly'!A1</f>
        <v>Week</v>
      </c>
      <c r="B1" s="17" t="str">
        <f>'Schedule Weekly'!B1</f>
        <v>ATL</v>
      </c>
      <c r="C1" s="17" t="str">
        <f>'Schedule Weekly'!C1</f>
        <v>BRK</v>
      </c>
      <c r="D1" s="17" t="str">
        <f>'Schedule Weekly'!D1</f>
        <v>BOS</v>
      </c>
      <c r="E1" s="17" t="str">
        <f>'Schedule Weekly'!E1</f>
        <v>CHO</v>
      </c>
      <c r="F1" s="17" t="str">
        <f>'Schedule Weekly'!F1</f>
        <v>CHI</v>
      </c>
      <c r="G1" s="17" t="str">
        <f>'Schedule Weekly'!G1</f>
        <v>CLE</v>
      </c>
      <c r="H1" s="17" t="str">
        <f>'Schedule Weekly'!H1</f>
        <v>DAL</v>
      </c>
      <c r="I1" s="17" t="str">
        <f>'Schedule Weekly'!I1</f>
        <v>DEN</v>
      </c>
      <c r="J1" s="17" t="str">
        <f>'Schedule Weekly'!J1</f>
        <v>DET</v>
      </c>
      <c r="K1" s="17" t="str">
        <f>'Schedule Weekly'!K1</f>
        <v>GSW</v>
      </c>
      <c r="L1" s="17" t="str">
        <f>'Schedule Weekly'!L1</f>
        <v>HOU</v>
      </c>
      <c r="M1" s="17" t="str">
        <f>'Schedule Weekly'!M1</f>
        <v>IND</v>
      </c>
      <c r="N1" s="17" t="str">
        <f>'Schedule Weekly'!N1</f>
        <v>LAC</v>
      </c>
      <c r="O1" s="17" t="str">
        <f>'Schedule Weekly'!O1</f>
        <v>LAL</v>
      </c>
      <c r="P1" s="17" t="str">
        <f>'Schedule Weekly'!P1</f>
        <v>MEM</v>
      </c>
      <c r="Q1" s="17" t="str">
        <f>'Schedule Weekly'!Q1</f>
        <v>MIA</v>
      </c>
      <c r="R1" s="17" t="str">
        <f>'Schedule Weekly'!R1</f>
        <v>MIL</v>
      </c>
      <c r="S1" s="17" t="str">
        <f>'Schedule Weekly'!S1</f>
        <v>MIN</v>
      </c>
      <c r="T1" s="17" t="str">
        <f>'Schedule Weekly'!T1</f>
        <v>NOP</v>
      </c>
      <c r="U1" s="17" t="str">
        <f>'Schedule Weekly'!U1</f>
        <v>NYK</v>
      </c>
      <c r="V1" s="17" t="str">
        <f>'Schedule Weekly'!V1</f>
        <v>OKC</v>
      </c>
      <c r="W1" s="17" t="str">
        <f>'Schedule Weekly'!W1</f>
        <v>ORL</v>
      </c>
      <c r="X1" s="17" t="str">
        <f>'Schedule Weekly'!X1</f>
        <v>PHI</v>
      </c>
      <c r="Y1" s="17" t="str">
        <f>'Schedule Weekly'!Y1</f>
        <v>PHO</v>
      </c>
      <c r="Z1" s="17" t="str">
        <f>'Schedule Weekly'!Z1</f>
        <v>POR</v>
      </c>
      <c r="AA1" s="17" t="str">
        <f>'Schedule Weekly'!AA1</f>
        <v>SAC</v>
      </c>
      <c r="AB1" s="17" t="str">
        <f>'Schedule Weekly'!AB1</f>
        <v>SAS</v>
      </c>
      <c r="AC1" s="17" t="str">
        <f>'Schedule Weekly'!AC1</f>
        <v>TOR</v>
      </c>
      <c r="AD1" s="17" t="str">
        <f>'Schedule Weekly'!AD1</f>
        <v>UTA</v>
      </c>
      <c r="AE1" s="17" t="str">
        <f>'Schedule Weekly'!AE1</f>
        <v>WAS</v>
      </c>
    </row>
    <row r="2">
      <c r="A2">
        <f>IFERROR(__xludf.DUMMYFUNCTION("FILTER('Schedule Weekly'!$1:$1000,'Schedule Weekly'!$A:$A=19)"),19.0)</f>
        <v>19</v>
      </c>
      <c r="B2">
        <f>IFERROR(__xludf.DUMMYFUNCTION("""COMPUTED_VALUE"""),4.0)</f>
        <v>4</v>
      </c>
      <c r="C2">
        <f>IFERROR(__xludf.DUMMYFUNCTION("""COMPUTED_VALUE"""),3.0)</f>
        <v>3</v>
      </c>
      <c r="D2">
        <f>IFERROR(__xludf.DUMMYFUNCTION("""COMPUTED_VALUE"""),4.0)</f>
        <v>4</v>
      </c>
      <c r="E2">
        <f>IFERROR(__xludf.DUMMYFUNCTION("""COMPUTED_VALUE"""),4.0)</f>
        <v>4</v>
      </c>
      <c r="F2">
        <f>IFERROR(__xludf.DUMMYFUNCTION("""COMPUTED_VALUE"""),3.0)</f>
        <v>3</v>
      </c>
      <c r="G2">
        <f>IFERROR(__xludf.DUMMYFUNCTION("""COMPUTED_VALUE"""),4.0)</f>
        <v>4</v>
      </c>
      <c r="H2">
        <f>IFERROR(__xludf.DUMMYFUNCTION("""COMPUTED_VALUE"""),4.0)</f>
        <v>4</v>
      </c>
      <c r="I2">
        <f>IFERROR(__xludf.DUMMYFUNCTION("""COMPUTED_VALUE"""),4.0)</f>
        <v>4</v>
      </c>
      <c r="J2">
        <f>IFERROR(__xludf.DUMMYFUNCTION("""COMPUTED_VALUE"""),4.0)</f>
        <v>4</v>
      </c>
      <c r="K2">
        <f>IFERROR(__xludf.DUMMYFUNCTION("""COMPUTED_VALUE"""),4.0)</f>
        <v>4</v>
      </c>
      <c r="L2">
        <f>IFERROR(__xludf.DUMMYFUNCTION("""COMPUTED_VALUE"""),3.0)</f>
        <v>3</v>
      </c>
      <c r="M2">
        <f>IFERROR(__xludf.DUMMYFUNCTION("""COMPUTED_VALUE"""),3.0)</f>
        <v>3</v>
      </c>
      <c r="N2">
        <f>IFERROR(__xludf.DUMMYFUNCTION("""COMPUTED_VALUE"""),4.0)</f>
        <v>4</v>
      </c>
      <c r="O2">
        <f>IFERROR(__xludf.DUMMYFUNCTION("""COMPUTED_VALUE"""),3.0)</f>
        <v>3</v>
      </c>
      <c r="P2">
        <f>IFERROR(__xludf.DUMMYFUNCTION("""COMPUTED_VALUE"""),4.0)</f>
        <v>4</v>
      </c>
      <c r="Q2">
        <f>IFERROR(__xludf.DUMMYFUNCTION("""COMPUTED_VALUE"""),4.0)</f>
        <v>4</v>
      </c>
      <c r="R2">
        <f>IFERROR(__xludf.DUMMYFUNCTION("""COMPUTED_VALUE"""),3.0)</f>
        <v>3</v>
      </c>
      <c r="S2">
        <f>IFERROR(__xludf.DUMMYFUNCTION("""COMPUTED_VALUE"""),4.0)</f>
        <v>4</v>
      </c>
      <c r="T2">
        <f>IFERROR(__xludf.DUMMYFUNCTION("""COMPUTED_VALUE"""),4.0)</f>
        <v>4</v>
      </c>
      <c r="U2">
        <f>IFERROR(__xludf.DUMMYFUNCTION("""COMPUTED_VALUE"""),3.0)</f>
        <v>3</v>
      </c>
      <c r="V2">
        <f>IFERROR(__xludf.DUMMYFUNCTION("""COMPUTED_VALUE"""),4.0)</f>
        <v>4</v>
      </c>
      <c r="W2">
        <f>IFERROR(__xludf.DUMMYFUNCTION("""COMPUTED_VALUE"""),3.0)</f>
        <v>3</v>
      </c>
      <c r="X2">
        <f>IFERROR(__xludf.DUMMYFUNCTION("""COMPUTED_VALUE"""),3.0)</f>
        <v>3</v>
      </c>
      <c r="Y2">
        <f>IFERROR(__xludf.DUMMYFUNCTION("""COMPUTED_VALUE"""),4.0)</f>
        <v>4</v>
      </c>
      <c r="Z2">
        <f>IFERROR(__xludf.DUMMYFUNCTION("""COMPUTED_VALUE"""),3.0)</f>
        <v>3</v>
      </c>
      <c r="AA2">
        <f>IFERROR(__xludf.DUMMYFUNCTION("""COMPUTED_VALUE"""),4.0)</f>
        <v>4</v>
      </c>
      <c r="AB2">
        <f>IFERROR(__xludf.DUMMYFUNCTION("""COMPUTED_VALUE"""),3.0)</f>
        <v>3</v>
      </c>
      <c r="AC2">
        <f>IFERROR(__xludf.DUMMYFUNCTION("""COMPUTED_VALUE"""),3.0)</f>
        <v>3</v>
      </c>
      <c r="AD2">
        <f>IFERROR(__xludf.DUMMYFUNCTION("""COMPUTED_VALUE"""),3.0)</f>
        <v>3</v>
      </c>
      <c r="AE2">
        <f>IFERROR(__xludf.DUMMYFUNCTION("""COMPUTED_VALUE"""),3.0)</f>
        <v>3</v>
      </c>
    </row>
    <row r="3">
      <c r="A3">
        <f>IFERROR(__xludf.DUMMYFUNCTION("FILTER('Schedule Weekly'!$1:$1000,'Schedule Weekly'!$A:$A=20)"),20.0)</f>
        <v>20</v>
      </c>
      <c r="B3">
        <f>IFERROR(__xludf.DUMMYFUNCTION("""COMPUTED_VALUE"""),4.0)</f>
        <v>4</v>
      </c>
      <c r="C3">
        <f>IFERROR(__xludf.DUMMYFUNCTION("""COMPUTED_VALUE"""),4.0)</f>
        <v>4</v>
      </c>
      <c r="D3">
        <f>IFERROR(__xludf.DUMMYFUNCTION("""COMPUTED_VALUE"""),3.0)</f>
        <v>3</v>
      </c>
      <c r="E3">
        <f>IFERROR(__xludf.DUMMYFUNCTION("""COMPUTED_VALUE"""),3.0)</f>
        <v>3</v>
      </c>
      <c r="F3">
        <f>IFERROR(__xludf.DUMMYFUNCTION("""COMPUTED_VALUE"""),3.0)</f>
        <v>3</v>
      </c>
      <c r="G3">
        <f>IFERROR(__xludf.DUMMYFUNCTION("""COMPUTED_VALUE"""),3.0)</f>
        <v>3</v>
      </c>
      <c r="H3">
        <f>IFERROR(__xludf.DUMMYFUNCTION("""COMPUTED_VALUE"""),4.0)</f>
        <v>4</v>
      </c>
      <c r="I3">
        <f>IFERROR(__xludf.DUMMYFUNCTION("""COMPUTED_VALUE"""),4.0)</f>
        <v>4</v>
      </c>
      <c r="J3">
        <f>IFERROR(__xludf.DUMMYFUNCTION("""COMPUTED_VALUE"""),3.0)</f>
        <v>3</v>
      </c>
      <c r="K3">
        <f>IFERROR(__xludf.DUMMYFUNCTION("""COMPUTED_VALUE"""),3.0)</f>
        <v>3</v>
      </c>
      <c r="L3">
        <f>IFERROR(__xludf.DUMMYFUNCTION("""COMPUTED_VALUE"""),3.0)</f>
        <v>3</v>
      </c>
      <c r="M3">
        <f>IFERROR(__xludf.DUMMYFUNCTION("""COMPUTED_VALUE"""),4.0)</f>
        <v>4</v>
      </c>
      <c r="N3">
        <f>IFERROR(__xludf.DUMMYFUNCTION("""COMPUTED_VALUE"""),3.0)</f>
        <v>3</v>
      </c>
      <c r="O3">
        <f>IFERROR(__xludf.DUMMYFUNCTION("""COMPUTED_VALUE"""),4.0)</f>
        <v>4</v>
      </c>
      <c r="P3">
        <f>IFERROR(__xludf.DUMMYFUNCTION("""COMPUTED_VALUE"""),4.0)</f>
        <v>4</v>
      </c>
      <c r="Q3">
        <f>IFERROR(__xludf.DUMMYFUNCTION("""COMPUTED_VALUE"""),3.0)</f>
        <v>3</v>
      </c>
      <c r="R3">
        <f>IFERROR(__xludf.DUMMYFUNCTION("""COMPUTED_VALUE"""),3.0)</f>
        <v>3</v>
      </c>
      <c r="S3">
        <f>IFERROR(__xludf.DUMMYFUNCTION("""COMPUTED_VALUE"""),2.0)</f>
        <v>2</v>
      </c>
      <c r="T3">
        <f>IFERROR(__xludf.DUMMYFUNCTION("""COMPUTED_VALUE"""),4.0)</f>
        <v>4</v>
      </c>
      <c r="U3">
        <f>IFERROR(__xludf.DUMMYFUNCTION("""COMPUTED_VALUE"""),3.0)</f>
        <v>3</v>
      </c>
      <c r="V3">
        <f>IFERROR(__xludf.DUMMYFUNCTION("""COMPUTED_VALUE"""),3.0)</f>
        <v>3</v>
      </c>
      <c r="W3">
        <f>IFERROR(__xludf.DUMMYFUNCTION("""COMPUTED_VALUE"""),4.0)</f>
        <v>4</v>
      </c>
      <c r="X3">
        <f>IFERROR(__xludf.DUMMYFUNCTION("""COMPUTED_VALUE"""),4.0)</f>
        <v>4</v>
      </c>
      <c r="Y3">
        <f>IFERROR(__xludf.DUMMYFUNCTION("""COMPUTED_VALUE"""),4.0)</f>
        <v>4</v>
      </c>
      <c r="Z3">
        <f>IFERROR(__xludf.DUMMYFUNCTION("""COMPUTED_VALUE"""),4.0)</f>
        <v>4</v>
      </c>
      <c r="AA3">
        <f>IFERROR(__xludf.DUMMYFUNCTION("""COMPUTED_VALUE"""),4.0)</f>
        <v>4</v>
      </c>
      <c r="AB3">
        <f>IFERROR(__xludf.DUMMYFUNCTION("""COMPUTED_VALUE"""),4.0)</f>
        <v>4</v>
      </c>
      <c r="AC3">
        <f>IFERROR(__xludf.DUMMYFUNCTION("""COMPUTED_VALUE"""),4.0)</f>
        <v>4</v>
      </c>
      <c r="AD3">
        <f>IFERROR(__xludf.DUMMYFUNCTION("""COMPUTED_VALUE"""),3.0)</f>
        <v>3</v>
      </c>
      <c r="AE3">
        <f>IFERROR(__xludf.DUMMYFUNCTION("""COMPUTED_VALUE"""),3.0)</f>
        <v>3</v>
      </c>
    </row>
    <row r="4">
      <c r="A4">
        <f>IFERROR(__xludf.DUMMYFUNCTION("FILTER('Schedule Weekly'!$1:$1000,'Schedule Weekly'!$A:$A=21)"),21.0)</f>
        <v>21</v>
      </c>
      <c r="B4">
        <f>IFERROR(__xludf.DUMMYFUNCTION("""COMPUTED_VALUE"""),3.0)</f>
        <v>3</v>
      </c>
      <c r="C4">
        <f>IFERROR(__xludf.DUMMYFUNCTION("""COMPUTED_VALUE"""),3.0)</f>
        <v>3</v>
      </c>
      <c r="D4">
        <f>IFERROR(__xludf.DUMMYFUNCTION("""COMPUTED_VALUE"""),4.0)</f>
        <v>4</v>
      </c>
      <c r="E4">
        <f>IFERROR(__xludf.DUMMYFUNCTION("""COMPUTED_VALUE"""),4.0)</f>
        <v>4</v>
      </c>
      <c r="F4">
        <f>IFERROR(__xludf.DUMMYFUNCTION("""COMPUTED_VALUE"""),4.0)</f>
        <v>4</v>
      </c>
      <c r="G4">
        <f>IFERROR(__xludf.DUMMYFUNCTION("""COMPUTED_VALUE"""),2.0)</f>
        <v>2</v>
      </c>
      <c r="H4">
        <f>IFERROR(__xludf.DUMMYFUNCTION("""COMPUTED_VALUE"""),4.0)</f>
        <v>4</v>
      </c>
      <c r="I4">
        <f>IFERROR(__xludf.DUMMYFUNCTION("""COMPUTED_VALUE"""),3.0)</f>
        <v>3</v>
      </c>
      <c r="J4">
        <f>IFERROR(__xludf.DUMMYFUNCTION("""COMPUTED_VALUE"""),4.0)</f>
        <v>4</v>
      </c>
      <c r="K4">
        <f>IFERROR(__xludf.DUMMYFUNCTION("""COMPUTED_VALUE"""),4.0)</f>
        <v>4</v>
      </c>
      <c r="L4">
        <f>IFERROR(__xludf.DUMMYFUNCTION("""COMPUTED_VALUE"""),4.0)</f>
        <v>4</v>
      </c>
      <c r="M4">
        <f>IFERROR(__xludf.DUMMYFUNCTION("""COMPUTED_VALUE"""),3.0)</f>
        <v>3</v>
      </c>
      <c r="N4">
        <f>IFERROR(__xludf.DUMMYFUNCTION("""COMPUTED_VALUE"""),4.0)</f>
        <v>4</v>
      </c>
      <c r="O4">
        <f>IFERROR(__xludf.DUMMYFUNCTION("""COMPUTED_VALUE"""),3.0)</f>
        <v>3</v>
      </c>
      <c r="P4">
        <f>IFERROR(__xludf.DUMMYFUNCTION("""COMPUTED_VALUE"""),4.0)</f>
        <v>4</v>
      </c>
      <c r="Q4">
        <f>IFERROR(__xludf.DUMMYFUNCTION("""COMPUTED_VALUE"""),3.0)</f>
        <v>3</v>
      </c>
      <c r="R4">
        <f>IFERROR(__xludf.DUMMYFUNCTION("""COMPUTED_VALUE"""),4.0)</f>
        <v>4</v>
      </c>
      <c r="S4">
        <f>IFERROR(__xludf.DUMMYFUNCTION("""COMPUTED_VALUE"""),4.0)</f>
        <v>4</v>
      </c>
      <c r="T4">
        <f>IFERROR(__xludf.DUMMYFUNCTION("""COMPUTED_VALUE"""),3.0)</f>
        <v>3</v>
      </c>
      <c r="U4">
        <f>IFERROR(__xludf.DUMMYFUNCTION("""COMPUTED_VALUE"""),4.0)</f>
        <v>4</v>
      </c>
      <c r="V4">
        <f>IFERROR(__xludf.DUMMYFUNCTION("""COMPUTED_VALUE"""),4.0)</f>
        <v>4</v>
      </c>
      <c r="W4">
        <f>IFERROR(__xludf.DUMMYFUNCTION("""COMPUTED_VALUE"""),4.0)</f>
        <v>4</v>
      </c>
      <c r="X4">
        <f>IFERROR(__xludf.DUMMYFUNCTION("""COMPUTED_VALUE"""),4.0)</f>
        <v>4</v>
      </c>
      <c r="Y4">
        <f>IFERROR(__xludf.DUMMYFUNCTION("""COMPUTED_VALUE"""),4.0)</f>
        <v>4</v>
      </c>
      <c r="Z4">
        <f>IFERROR(__xludf.DUMMYFUNCTION("""COMPUTED_VALUE"""),3.0)</f>
        <v>3</v>
      </c>
      <c r="AA4">
        <f>IFERROR(__xludf.DUMMYFUNCTION("""COMPUTED_VALUE"""),3.0)</f>
        <v>3</v>
      </c>
      <c r="AB4">
        <f>IFERROR(__xludf.DUMMYFUNCTION("""COMPUTED_VALUE"""),3.0)</f>
        <v>3</v>
      </c>
      <c r="AC4">
        <f>IFERROR(__xludf.DUMMYFUNCTION("""COMPUTED_VALUE"""),4.0)</f>
        <v>4</v>
      </c>
      <c r="AD4">
        <f>IFERROR(__xludf.DUMMYFUNCTION("""COMPUTED_VALUE"""),4.0)</f>
        <v>4</v>
      </c>
      <c r="AE4">
        <f>IFERROR(__xludf.DUMMYFUNCTION("""COMPUTED_VALUE"""),4.0)</f>
        <v>4</v>
      </c>
    </row>
    <row r="5">
      <c r="A5" s="17" t="s">
        <v>1293</v>
      </c>
      <c r="B5">
        <f t="shared" ref="B5:AE5" si="1">SUM(B2:B4)</f>
        <v>11</v>
      </c>
      <c r="C5">
        <f t="shared" si="1"/>
        <v>10</v>
      </c>
      <c r="D5">
        <f t="shared" si="1"/>
        <v>11</v>
      </c>
      <c r="E5">
        <f t="shared" si="1"/>
        <v>11</v>
      </c>
      <c r="F5">
        <f t="shared" si="1"/>
        <v>10</v>
      </c>
      <c r="G5">
        <f t="shared" si="1"/>
        <v>9</v>
      </c>
      <c r="H5">
        <f t="shared" si="1"/>
        <v>12</v>
      </c>
      <c r="I5">
        <f t="shared" si="1"/>
        <v>11</v>
      </c>
      <c r="J5">
        <f t="shared" si="1"/>
        <v>11</v>
      </c>
      <c r="K5">
        <f t="shared" si="1"/>
        <v>11</v>
      </c>
      <c r="L5">
        <f t="shared" si="1"/>
        <v>10</v>
      </c>
      <c r="M5">
        <f t="shared" si="1"/>
        <v>10</v>
      </c>
      <c r="N5">
        <f t="shared" si="1"/>
        <v>11</v>
      </c>
      <c r="O5">
        <f t="shared" si="1"/>
        <v>10</v>
      </c>
      <c r="P5">
        <f t="shared" si="1"/>
        <v>12</v>
      </c>
      <c r="Q5">
        <f t="shared" si="1"/>
        <v>10</v>
      </c>
      <c r="R5">
        <f t="shared" si="1"/>
        <v>10</v>
      </c>
      <c r="S5">
        <f t="shared" si="1"/>
        <v>10</v>
      </c>
      <c r="T5">
        <f t="shared" si="1"/>
        <v>11</v>
      </c>
      <c r="U5">
        <f t="shared" si="1"/>
        <v>10</v>
      </c>
      <c r="V5">
        <f t="shared" si="1"/>
        <v>11</v>
      </c>
      <c r="W5">
        <f t="shared" si="1"/>
        <v>11</v>
      </c>
      <c r="X5">
        <f t="shared" si="1"/>
        <v>11</v>
      </c>
      <c r="Y5">
        <f t="shared" si="1"/>
        <v>12</v>
      </c>
      <c r="Z5">
        <f t="shared" si="1"/>
        <v>10</v>
      </c>
      <c r="AA5">
        <f t="shared" si="1"/>
        <v>11</v>
      </c>
      <c r="AB5">
        <f t="shared" si="1"/>
        <v>10</v>
      </c>
      <c r="AC5">
        <f t="shared" si="1"/>
        <v>11</v>
      </c>
      <c r="AD5">
        <f t="shared" si="1"/>
        <v>10</v>
      </c>
      <c r="AE5">
        <f t="shared" si="1"/>
        <v>10</v>
      </c>
    </row>
  </sheetData>
  <conditionalFormatting sqref="B2:AE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:AE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:AE4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5:AE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t="str">
        <f t="array" ref="A1:ALL1">TRANSPOSE('Schedule Daily'!A:A)</f>
        <v>Date</v>
      </c>
      <c r="B1" s="19">
        <v>46315.0</v>
      </c>
      <c r="C1" s="29">
        <v>46316.0</v>
      </c>
      <c r="D1" s="29">
        <v>46317.0</v>
      </c>
      <c r="E1" s="29">
        <v>46318.0</v>
      </c>
      <c r="F1" s="29">
        <v>46319.0</v>
      </c>
      <c r="G1" s="29">
        <v>46320.0</v>
      </c>
      <c r="H1" s="29">
        <v>46321.0</v>
      </c>
      <c r="I1" s="29">
        <v>46322.0</v>
      </c>
      <c r="J1" s="29">
        <v>46323.0</v>
      </c>
      <c r="K1" s="29">
        <v>46324.0</v>
      </c>
      <c r="L1" s="29">
        <v>46325.0</v>
      </c>
      <c r="M1" s="30">
        <v>46326.0</v>
      </c>
      <c r="N1" s="30">
        <v>46327.0</v>
      </c>
      <c r="O1" s="30">
        <v>46328.0</v>
      </c>
      <c r="P1" s="30">
        <v>46330.0</v>
      </c>
      <c r="Q1" s="30">
        <v>46331.0</v>
      </c>
      <c r="R1" s="30">
        <v>46332.0</v>
      </c>
      <c r="S1" s="30">
        <v>46333.0</v>
      </c>
      <c r="T1" s="30">
        <v>46334.0</v>
      </c>
      <c r="U1" s="30">
        <v>46335.0</v>
      </c>
      <c r="V1" s="30">
        <v>46336.0</v>
      </c>
      <c r="W1" s="30">
        <v>46337.0</v>
      </c>
      <c r="X1" s="30">
        <v>46338.0</v>
      </c>
      <c r="Y1" s="30">
        <v>46339.0</v>
      </c>
      <c r="Z1" s="30">
        <v>46340.0</v>
      </c>
      <c r="AA1" s="30">
        <v>46341.0</v>
      </c>
      <c r="AB1" s="30">
        <v>46342.0</v>
      </c>
      <c r="AC1" s="30">
        <v>46343.0</v>
      </c>
      <c r="AD1" s="30">
        <v>46344.0</v>
      </c>
      <c r="AE1" s="30">
        <v>46345.0</v>
      </c>
      <c r="AF1" s="30">
        <v>46346.0</v>
      </c>
      <c r="AG1" s="30">
        <v>46347.0</v>
      </c>
      <c r="AH1" s="30">
        <v>46348.0</v>
      </c>
      <c r="AI1" s="30">
        <v>46349.0</v>
      </c>
      <c r="AJ1" s="30">
        <v>46350.0</v>
      </c>
      <c r="AK1" s="30">
        <v>46351.0</v>
      </c>
      <c r="AL1" s="30">
        <v>46353.0</v>
      </c>
      <c r="AM1" s="30">
        <v>46354.0</v>
      </c>
      <c r="AN1" s="30">
        <v>46355.0</v>
      </c>
      <c r="AO1" s="30">
        <v>46356.0</v>
      </c>
      <c r="AP1" s="30">
        <v>46357.0</v>
      </c>
      <c r="AQ1" s="30">
        <v>46358.0</v>
      </c>
      <c r="AR1" s="30">
        <v>46359.0</v>
      </c>
      <c r="AS1" s="30">
        <v>46368.0</v>
      </c>
      <c r="AT1" s="30">
        <v>46369.0</v>
      </c>
      <c r="AU1" s="30">
        <v>46370.0</v>
      </c>
      <c r="AV1" s="30">
        <v>46371.0</v>
      </c>
      <c r="AW1" s="30">
        <v>46372.0</v>
      </c>
      <c r="AX1" s="30">
        <v>46373.0</v>
      </c>
      <c r="AY1" s="30">
        <v>46374.0</v>
      </c>
      <c r="AZ1" s="30">
        <v>46375.0</v>
      </c>
      <c r="BA1" s="30">
        <v>46376.0</v>
      </c>
      <c r="BB1" s="30">
        <v>46377.0</v>
      </c>
      <c r="BC1" s="30">
        <v>46378.0</v>
      </c>
      <c r="BD1" s="30">
        <v>46379.0</v>
      </c>
      <c r="BE1" s="30">
        <v>46381.0</v>
      </c>
      <c r="BF1" s="30">
        <v>46382.0</v>
      </c>
      <c r="BG1" s="30">
        <v>46383.0</v>
      </c>
      <c r="BH1" s="30">
        <v>46384.0</v>
      </c>
      <c r="BI1" s="30">
        <v>46385.0</v>
      </c>
      <c r="BJ1" s="30">
        <v>46386.0</v>
      </c>
      <c r="BK1" s="30">
        <v>46387.0</v>
      </c>
      <c r="BL1" s="30">
        <v>46388.0</v>
      </c>
      <c r="BM1" s="30">
        <v>46389.0</v>
      </c>
      <c r="BN1" s="30">
        <v>46390.0</v>
      </c>
      <c r="BO1" s="30">
        <v>46391.0</v>
      </c>
      <c r="BP1" s="30">
        <v>46392.0</v>
      </c>
      <c r="BQ1" s="30">
        <v>46393.0</v>
      </c>
      <c r="BR1" s="30">
        <v>46394.0</v>
      </c>
      <c r="BS1" s="30">
        <v>46395.0</v>
      </c>
      <c r="BT1" s="30">
        <v>46396.0</v>
      </c>
      <c r="BU1" s="30">
        <v>46397.0</v>
      </c>
      <c r="BV1" s="30">
        <v>46398.0</v>
      </c>
      <c r="BW1" s="30">
        <v>46399.0</v>
      </c>
      <c r="BX1" s="30">
        <v>46400.0</v>
      </c>
      <c r="BY1" s="30">
        <v>46401.0</v>
      </c>
      <c r="BZ1" s="30">
        <v>46402.0</v>
      </c>
      <c r="CA1" s="30">
        <v>46403.0</v>
      </c>
      <c r="CB1" s="30">
        <v>46404.0</v>
      </c>
      <c r="CC1" s="30">
        <v>46405.0</v>
      </c>
      <c r="CD1" s="30">
        <v>46406.0</v>
      </c>
      <c r="CE1" s="30">
        <v>46407.0</v>
      </c>
      <c r="CF1" s="30">
        <v>46408.0</v>
      </c>
      <c r="CG1" s="30">
        <v>46409.0</v>
      </c>
      <c r="CH1" s="30">
        <v>46410.0</v>
      </c>
      <c r="CI1" s="30">
        <v>46411.0</v>
      </c>
      <c r="CJ1" s="30">
        <v>46412.0</v>
      </c>
      <c r="CK1" s="30">
        <v>46413.0</v>
      </c>
      <c r="CL1" s="30">
        <v>46414.0</v>
      </c>
      <c r="CM1" s="30">
        <v>46415.0</v>
      </c>
      <c r="CN1" s="30">
        <v>46416.0</v>
      </c>
      <c r="CO1" s="30">
        <v>46417.0</v>
      </c>
      <c r="CP1" s="30">
        <v>46418.0</v>
      </c>
      <c r="CQ1" s="30">
        <v>46419.0</v>
      </c>
      <c r="CR1" s="30">
        <v>46420.0</v>
      </c>
      <c r="CS1" s="30">
        <v>46421.0</v>
      </c>
      <c r="CT1" s="30">
        <v>46422.0</v>
      </c>
      <c r="CU1" s="30">
        <v>46423.0</v>
      </c>
      <c r="CV1" s="30">
        <v>46424.0</v>
      </c>
      <c r="CW1" s="30">
        <v>46425.0</v>
      </c>
      <c r="CX1" s="30">
        <v>46426.0</v>
      </c>
      <c r="CY1" s="30">
        <v>46427.0</v>
      </c>
      <c r="CZ1" s="30">
        <v>46428.0</v>
      </c>
      <c r="DA1" s="30">
        <v>46429.0</v>
      </c>
      <c r="DB1" s="30">
        <v>46430.0</v>
      </c>
      <c r="DC1" s="30">
        <v>46431.0</v>
      </c>
      <c r="DD1" s="30">
        <v>46432.0</v>
      </c>
      <c r="DE1" s="30">
        <v>46433.0</v>
      </c>
      <c r="DF1" s="30">
        <v>46434.0</v>
      </c>
      <c r="DG1" s="30">
        <v>46435.0</v>
      </c>
      <c r="DH1" s="30">
        <v>46436.0</v>
      </c>
      <c r="DI1" s="30">
        <v>46443.0</v>
      </c>
      <c r="DJ1" s="30">
        <v>46444.0</v>
      </c>
      <c r="DK1" s="30">
        <v>46445.0</v>
      </c>
      <c r="DL1" s="30">
        <v>46446.0</v>
      </c>
      <c r="DM1" s="30">
        <v>46447.0</v>
      </c>
      <c r="DN1" s="30">
        <v>46448.0</v>
      </c>
      <c r="DO1" s="30">
        <v>46449.0</v>
      </c>
      <c r="DP1" s="30">
        <v>46450.0</v>
      </c>
      <c r="DQ1" s="30">
        <v>46451.0</v>
      </c>
      <c r="DR1" s="30">
        <v>46452.0</v>
      </c>
      <c r="DS1" s="30">
        <v>46453.0</v>
      </c>
      <c r="DT1" s="30">
        <v>46454.0</v>
      </c>
      <c r="DU1" s="30">
        <v>46455.0</v>
      </c>
      <c r="DV1" s="30">
        <v>46456.0</v>
      </c>
      <c r="DW1" s="30">
        <v>46457.0</v>
      </c>
      <c r="DX1" s="30">
        <v>46458.0</v>
      </c>
      <c r="DY1" s="30">
        <v>46459.0</v>
      </c>
      <c r="DZ1" s="30">
        <v>46460.0</v>
      </c>
      <c r="EA1" s="30">
        <v>46461.0</v>
      </c>
      <c r="EB1" s="30">
        <v>46462.0</v>
      </c>
      <c r="EC1" s="30">
        <v>46463.0</v>
      </c>
      <c r="ED1" s="30">
        <v>46464.0</v>
      </c>
      <c r="EE1" s="30">
        <v>46465.0</v>
      </c>
      <c r="EF1" s="30">
        <v>46466.0</v>
      </c>
      <c r="EG1" s="30">
        <v>46467.0</v>
      </c>
      <c r="EH1" s="30">
        <v>46468.0</v>
      </c>
      <c r="EI1" s="30">
        <v>46469.0</v>
      </c>
      <c r="EJ1" s="30">
        <v>46470.0</v>
      </c>
      <c r="EK1" s="30">
        <v>46471.0</v>
      </c>
      <c r="EL1" s="30">
        <v>46472.0</v>
      </c>
      <c r="EM1" s="30">
        <v>46473.0</v>
      </c>
      <c r="EN1" s="30">
        <v>46474.0</v>
      </c>
      <c r="EO1" s="30">
        <v>46475.0</v>
      </c>
      <c r="EP1" s="30">
        <v>46476.0</v>
      </c>
      <c r="EQ1" s="30">
        <v>46477.0</v>
      </c>
      <c r="ER1" s="30">
        <v>46478.0</v>
      </c>
      <c r="ES1" s="30">
        <v>46479.0</v>
      </c>
      <c r="ET1" s="30">
        <v>46480.0</v>
      </c>
      <c r="EU1" s="30">
        <v>46481.0</v>
      </c>
      <c r="EV1" s="30">
        <v>46482.0</v>
      </c>
      <c r="EW1" s="30">
        <v>46483.0</v>
      </c>
      <c r="EX1" s="30">
        <v>46484.0</v>
      </c>
      <c r="EY1" s="30">
        <v>46485.0</v>
      </c>
      <c r="EZ1" s="30">
        <v>46486.0</v>
      </c>
      <c r="FA1" s="30">
        <v>46488.0</v>
      </c>
      <c r="FB1" s="30" t="s">
        <v>137</v>
      </c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</row>
    <row r="2">
      <c r="A2" s="31" t="s">
        <v>1291</v>
      </c>
      <c r="B2" s="15">
        <f t="array" ref="B2">INDEX('Schedule Daily'!$B:$B,MATCH(B$1,'Schedule Daily'!$A:$A,0))</f>
        <v>1</v>
      </c>
      <c r="C2" s="15">
        <f t="array" ref="C2">INDEX('Schedule Daily'!$B:$B,MATCH(C$1,'Schedule Daily'!$A:$A,0))</f>
        <v>1</v>
      </c>
      <c r="D2" s="15">
        <f t="array" ref="D2">INDEX('Schedule Daily'!$B:$B,MATCH(D$1,'Schedule Daily'!$A:$A,0))</f>
        <v>1</v>
      </c>
      <c r="E2" s="15">
        <f t="array" ref="E2">INDEX('Schedule Daily'!$B:$B,MATCH(E$1,'Schedule Daily'!$A:$A,0))</f>
        <v>1</v>
      </c>
      <c r="F2" s="15">
        <f t="array" ref="F2">INDEX('Schedule Daily'!$B:$B,MATCH(F$1,'Schedule Daily'!$A:$A,0))</f>
        <v>1</v>
      </c>
      <c r="G2" s="15">
        <f t="array" ref="G2">INDEX('Schedule Daily'!$B:$B,MATCH(G$1,'Schedule Daily'!$A:$A,0))</f>
        <v>1</v>
      </c>
      <c r="H2" s="15">
        <f t="array" ref="H2">INDEX('Schedule Daily'!$B:$B,MATCH(H$1,'Schedule Daily'!$A:$A,0))</f>
        <v>2</v>
      </c>
      <c r="I2" s="15">
        <f t="array" ref="I2">INDEX('Schedule Daily'!$B:$B,MATCH(I$1,'Schedule Daily'!$A:$A,0))</f>
        <v>2</v>
      </c>
      <c r="J2" s="15">
        <f t="array" ref="J2">INDEX('Schedule Daily'!$B:$B,MATCH(J$1,'Schedule Daily'!$A:$A,0))</f>
        <v>2</v>
      </c>
      <c r="K2" s="15">
        <f t="array" ref="K2">INDEX('Schedule Daily'!$B:$B,MATCH(K$1,'Schedule Daily'!$A:$A,0))</f>
        <v>2</v>
      </c>
      <c r="L2" s="15">
        <f t="array" ref="L2">INDEX('Schedule Daily'!$B:$B,MATCH(L$1,'Schedule Daily'!$A:$A,0))</f>
        <v>2</v>
      </c>
      <c r="M2" s="15">
        <f t="array" ref="M2">INDEX('Schedule Daily'!$B:$B,MATCH(M$1,'Schedule Daily'!$A:$A,0))</f>
        <v>2</v>
      </c>
      <c r="N2" s="15">
        <f t="array" ref="N2">INDEX('Schedule Daily'!$B:$B,MATCH(N$1,'Schedule Daily'!$A:$A,0))</f>
        <v>2</v>
      </c>
      <c r="O2" s="15">
        <f t="array" ref="O2">INDEX('Schedule Daily'!$B:$B,MATCH(O$1,'Schedule Daily'!$A:$A,0))</f>
        <v>3</v>
      </c>
      <c r="P2" s="15">
        <f t="array" ref="P2">INDEX('Schedule Daily'!$B:$B,MATCH(P$1,'Schedule Daily'!$A:$A,0))</f>
        <v>3</v>
      </c>
      <c r="Q2" s="15">
        <f t="array" ref="Q2">INDEX('Schedule Daily'!$B:$B,MATCH(Q$1,'Schedule Daily'!$A:$A,0))</f>
        <v>3</v>
      </c>
      <c r="R2" s="15">
        <f t="array" ref="R2">INDEX('Schedule Daily'!$B:$B,MATCH(R$1,'Schedule Daily'!$A:$A,0))</f>
        <v>3</v>
      </c>
      <c r="S2" s="15">
        <f t="array" ref="S2">INDEX('Schedule Daily'!$B:$B,MATCH(S$1,'Schedule Daily'!$A:$A,0))</f>
        <v>3</v>
      </c>
      <c r="T2" s="15">
        <f t="array" ref="T2">INDEX('Schedule Daily'!$B:$B,MATCH(T$1,'Schedule Daily'!$A:$A,0))</f>
        <v>3</v>
      </c>
      <c r="U2" s="15">
        <f t="array" ref="U2">INDEX('Schedule Daily'!$B:$B,MATCH(U$1,'Schedule Daily'!$A:$A,0))</f>
        <v>4</v>
      </c>
      <c r="V2" s="15">
        <f t="array" ref="V2">INDEX('Schedule Daily'!$B:$B,MATCH(V$1,'Schedule Daily'!$A:$A,0))</f>
        <v>4</v>
      </c>
      <c r="W2" s="15">
        <f t="array" ref="W2">INDEX('Schedule Daily'!$B:$B,MATCH(W$1,'Schedule Daily'!$A:$A,0))</f>
        <v>4</v>
      </c>
      <c r="X2" s="15">
        <f t="array" ref="X2">INDEX('Schedule Daily'!$B:$B,MATCH(X$1,'Schedule Daily'!$A:$A,0))</f>
        <v>4</v>
      </c>
      <c r="Y2" s="15">
        <f t="array" ref="Y2">INDEX('Schedule Daily'!$B:$B,MATCH(Y$1,'Schedule Daily'!$A:$A,0))</f>
        <v>4</v>
      </c>
      <c r="Z2" s="15">
        <f t="array" ref="Z2">INDEX('Schedule Daily'!$B:$B,MATCH(Z$1,'Schedule Daily'!$A:$A,0))</f>
        <v>4</v>
      </c>
      <c r="AA2" s="15">
        <f t="array" ref="AA2">INDEX('Schedule Daily'!$B:$B,MATCH(AA$1,'Schedule Daily'!$A:$A,0))</f>
        <v>4</v>
      </c>
      <c r="AB2" s="15">
        <f t="array" ref="AB2">INDEX('Schedule Daily'!$B:$B,MATCH(AB$1,'Schedule Daily'!$A:$A,0))</f>
        <v>5</v>
      </c>
      <c r="AC2" s="15">
        <f t="array" ref="AC2">INDEX('Schedule Daily'!$B:$B,MATCH(AC$1,'Schedule Daily'!$A:$A,0))</f>
        <v>5</v>
      </c>
      <c r="AD2" s="15">
        <f t="array" ref="AD2">INDEX('Schedule Daily'!$B:$B,MATCH(AD$1,'Schedule Daily'!$A:$A,0))</f>
        <v>5</v>
      </c>
      <c r="AE2" s="15">
        <f t="array" ref="AE2">INDEX('Schedule Daily'!$B:$B,MATCH(AE$1,'Schedule Daily'!$A:$A,0))</f>
        <v>5</v>
      </c>
      <c r="AF2" s="15">
        <f t="array" ref="AF2">INDEX('Schedule Daily'!$B:$B,MATCH(AF$1,'Schedule Daily'!$A:$A,0))</f>
        <v>5</v>
      </c>
      <c r="AG2" s="15">
        <f t="array" ref="AG2">INDEX('Schedule Daily'!$B:$B,MATCH(AG$1,'Schedule Daily'!$A:$A,0))</f>
        <v>5</v>
      </c>
      <c r="AH2" s="15">
        <f t="array" ref="AH2">INDEX('Schedule Daily'!$B:$B,MATCH(AH$1,'Schedule Daily'!$A:$A,0))</f>
        <v>5</v>
      </c>
      <c r="AI2" s="15">
        <f t="array" ref="AI2">INDEX('Schedule Daily'!$B:$B,MATCH(AI$1,'Schedule Daily'!$A:$A,0))</f>
        <v>6</v>
      </c>
      <c r="AJ2" s="15">
        <f t="array" ref="AJ2">INDEX('Schedule Daily'!$B:$B,MATCH(AJ$1,'Schedule Daily'!$A:$A,0))</f>
        <v>6</v>
      </c>
      <c r="AK2" s="15">
        <f t="array" ref="AK2">INDEX('Schedule Daily'!$B:$B,MATCH(AK$1,'Schedule Daily'!$A:$A,0))</f>
        <v>6</v>
      </c>
      <c r="AL2" s="15">
        <f t="array" ref="AL2">INDEX('Schedule Daily'!$B:$B,MATCH(AL$1,'Schedule Daily'!$A:$A,0))</f>
        <v>6</v>
      </c>
      <c r="AM2" s="15">
        <f t="array" ref="AM2">INDEX('Schedule Daily'!$B:$B,MATCH(AM$1,'Schedule Daily'!$A:$A,0))</f>
        <v>6</v>
      </c>
      <c r="AN2" s="15">
        <f t="array" ref="AN2">INDEX('Schedule Daily'!$B:$B,MATCH(AN$1,'Schedule Daily'!$A:$A,0))</f>
        <v>6</v>
      </c>
      <c r="AO2" s="15">
        <f t="array" ref="AO2">INDEX('Schedule Daily'!$B:$B,MATCH(AO$1,'Schedule Daily'!$A:$A,0))</f>
        <v>7</v>
      </c>
      <c r="AP2" s="15">
        <f t="array" ref="AP2">INDEX('Schedule Daily'!$B:$B,MATCH(AP$1,'Schedule Daily'!$A:$A,0))</f>
        <v>7</v>
      </c>
      <c r="AQ2" s="15">
        <f t="array" ref="AQ2">INDEX('Schedule Daily'!$B:$B,MATCH(AQ$1,'Schedule Daily'!$A:$A,0))</f>
        <v>7</v>
      </c>
      <c r="AR2" s="15">
        <f t="array" ref="AR2">INDEX('Schedule Daily'!$B:$B,MATCH(AR$1,'Schedule Daily'!$A:$A,0))</f>
        <v>7</v>
      </c>
      <c r="AS2" s="15">
        <f t="array" ref="AS2">INDEX('Schedule Daily'!$B:$B,MATCH(AS$1,'Schedule Daily'!$A:$A,0))</f>
        <v>7</v>
      </c>
      <c r="AT2" s="15">
        <f t="array" ref="AT2">INDEX('Schedule Daily'!$B:$B,MATCH(AT$1,'Schedule Daily'!$A:$A,0))</f>
        <v>7</v>
      </c>
      <c r="AU2" s="15">
        <f t="array" ref="AU2">INDEX('Schedule Daily'!$B:$B,MATCH(AU$1,'Schedule Daily'!$A:$A,0))</f>
        <v>8</v>
      </c>
      <c r="AV2" s="15">
        <f t="array" ref="AV2">INDEX('Schedule Daily'!$B:$B,MATCH(AV$1,'Schedule Daily'!$A:$A,0))</f>
        <v>8</v>
      </c>
      <c r="AW2" s="15">
        <f t="array" ref="AW2">INDEX('Schedule Daily'!$B:$B,MATCH(AW$1,'Schedule Daily'!$A:$A,0))</f>
        <v>8</v>
      </c>
      <c r="AX2" s="15">
        <f t="array" ref="AX2">INDEX('Schedule Daily'!$B:$B,MATCH(AX$1,'Schedule Daily'!$A:$A,0))</f>
        <v>8</v>
      </c>
      <c r="AY2" s="15">
        <f t="array" ref="AY2">INDEX('Schedule Daily'!$B:$B,MATCH(AY$1,'Schedule Daily'!$A:$A,0))</f>
        <v>8</v>
      </c>
      <c r="AZ2" s="15">
        <f t="array" ref="AZ2">INDEX('Schedule Daily'!$B:$B,MATCH(AZ$1,'Schedule Daily'!$A:$A,0))</f>
        <v>8</v>
      </c>
      <c r="BA2" s="15">
        <f t="array" ref="BA2">INDEX('Schedule Daily'!$B:$B,MATCH(BA$1,'Schedule Daily'!$A:$A,0))</f>
        <v>8</v>
      </c>
      <c r="BB2" s="15">
        <f t="array" ref="BB2">INDEX('Schedule Daily'!$B:$B,MATCH(BB$1,'Schedule Daily'!$A:$A,0))</f>
        <v>9</v>
      </c>
      <c r="BC2" s="15">
        <f t="array" ref="BC2">INDEX('Schedule Daily'!$B:$B,MATCH(BC$1,'Schedule Daily'!$A:$A,0))</f>
        <v>9</v>
      </c>
      <c r="BD2" s="15">
        <f t="array" ref="BD2">INDEX('Schedule Daily'!$B:$B,MATCH(BD$1,'Schedule Daily'!$A:$A,0))</f>
        <v>9</v>
      </c>
      <c r="BE2" s="15">
        <f t="array" ref="BE2">INDEX('Schedule Daily'!$B:$B,MATCH(BE$1,'Schedule Daily'!$A:$A,0))</f>
        <v>9</v>
      </c>
      <c r="BF2" s="15">
        <f t="array" ref="BF2">INDEX('Schedule Daily'!$B:$B,MATCH(BF$1,'Schedule Daily'!$A:$A,0))</f>
        <v>9</v>
      </c>
      <c r="BG2" s="15">
        <f t="array" ref="BG2">INDEX('Schedule Daily'!$B:$B,MATCH(BG$1,'Schedule Daily'!$A:$A,0))</f>
        <v>9</v>
      </c>
      <c r="BH2" s="15">
        <f t="array" ref="BH2">INDEX('Schedule Daily'!$B:$B,MATCH(BH$1,'Schedule Daily'!$A:$A,0))</f>
        <v>10</v>
      </c>
      <c r="BI2" s="15">
        <f t="array" ref="BI2">INDEX('Schedule Daily'!$B:$B,MATCH(BI$1,'Schedule Daily'!$A:$A,0))</f>
        <v>10</v>
      </c>
      <c r="BJ2" s="15">
        <f t="array" ref="BJ2">INDEX('Schedule Daily'!$B:$B,MATCH(BJ$1,'Schedule Daily'!$A:$A,0))</f>
        <v>10</v>
      </c>
      <c r="BK2" s="15">
        <f t="array" ref="BK2">INDEX('Schedule Daily'!$B:$B,MATCH(BK$1,'Schedule Daily'!$A:$A,0))</f>
        <v>10</v>
      </c>
      <c r="BL2" s="15">
        <f t="array" ref="BL2">INDEX('Schedule Daily'!$B:$B,MATCH(BL$1,'Schedule Daily'!$A:$A,0))</f>
        <v>10</v>
      </c>
      <c r="BM2" s="15">
        <f t="array" ref="BM2">INDEX('Schedule Daily'!$B:$B,MATCH(BM$1,'Schedule Daily'!$A:$A,0))</f>
        <v>10</v>
      </c>
      <c r="BN2" s="15">
        <f t="array" ref="BN2">INDEX('Schedule Daily'!$B:$B,MATCH(BN$1,'Schedule Daily'!$A:$A,0))</f>
        <v>10</v>
      </c>
      <c r="BO2" s="15">
        <f t="array" ref="BO2">INDEX('Schedule Daily'!$B:$B,MATCH(BO$1,'Schedule Daily'!$A:$A,0))</f>
        <v>11</v>
      </c>
      <c r="BP2" s="15">
        <f t="array" ref="BP2">INDEX('Schedule Daily'!$B:$B,MATCH(BP$1,'Schedule Daily'!$A:$A,0))</f>
        <v>11</v>
      </c>
      <c r="BQ2" s="15">
        <f t="array" ref="BQ2">INDEX('Schedule Daily'!$B:$B,MATCH(BQ$1,'Schedule Daily'!$A:$A,0))</f>
        <v>11</v>
      </c>
      <c r="BR2" s="15">
        <f t="array" ref="BR2">INDEX('Schedule Daily'!$B:$B,MATCH(BR$1,'Schedule Daily'!$A:$A,0))</f>
        <v>11</v>
      </c>
      <c r="BS2" s="15">
        <f t="array" ref="BS2">INDEX('Schedule Daily'!$B:$B,MATCH(BS$1,'Schedule Daily'!$A:$A,0))</f>
        <v>11</v>
      </c>
      <c r="BT2" s="15">
        <f t="array" ref="BT2">INDEX('Schedule Daily'!$B:$B,MATCH(BT$1,'Schedule Daily'!$A:$A,0))</f>
        <v>11</v>
      </c>
      <c r="BU2" s="15">
        <f t="array" ref="BU2">INDEX('Schedule Daily'!$B:$B,MATCH(BU$1,'Schedule Daily'!$A:$A,0))</f>
        <v>11</v>
      </c>
      <c r="BV2" s="15">
        <f t="array" ref="BV2">INDEX('Schedule Daily'!$B:$B,MATCH(BV$1,'Schedule Daily'!$A:$A,0))</f>
        <v>12</v>
      </c>
      <c r="BW2" s="15">
        <f t="array" ref="BW2">INDEX('Schedule Daily'!$B:$B,MATCH(BW$1,'Schedule Daily'!$A:$A,0))</f>
        <v>12</v>
      </c>
      <c r="BX2" s="15">
        <f t="array" ref="BX2">INDEX('Schedule Daily'!$B:$B,MATCH(BX$1,'Schedule Daily'!$A:$A,0))</f>
        <v>12</v>
      </c>
      <c r="BY2" s="15">
        <f t="array" ref="BY2">INDEX('Schedule Daily'!$B:$B,MATCH(BY$1,'Schedule Daily'!$A:$A,0))</f>
        <v>12</v>
      </c>
      <c r="BZ2" s="15">
        <f t="array" ref="BZ2">INDEX('Schedule Daily'!$B:$B,MATCH(BZ$1,'Schedule Daily'!$A:$A,0))</f>
        <v>12</v>
      </c>
      <c r="CA2" s="15">
        <f t="array" ref="CA2">INDEX('Schedule Daily'!$B:$B,MATCH(CA$1,'Schedule Daily'!$A:$A,0))</f>
        <v>12</v>
      </c>
      <c r="CB2" s="15">
        <f t="array" ref="CB2">INDEX('Schedule Daily'!$B:$B,MATCH(CB$1,'Schedule Daily'!$A:$A,0))</f>
        <v>12</v>
      </c>
      <c r="CC2" s="15">
        <f t="array" ref="CC2">INDEX('Schedule Daily'!$B:$B,MATCH(CC$1,'Schedule Daily'!$A:$A,0))</f>
        <v>13</v>
      </c>
      <c r="CD2" s="15">
        <f t="array" ref="CD2">INDEX('Schedule Daily'!$B:$B,MATCH(CD$1,'Schedule Daily'!$A:$A,0))</f>
        <v>13</v>
      </c>
      <c r="CE2" s="15">
        <f t="array" ref="CE2">INDEX('Schedule Daily'!$B:$B,MATCH(CE$1,'Schedule Daily'!$A:$A,0))</f>
        <v>13</v>
      </c>
      <c r="CF2" s="15">
        <f t="array" ref="CF2">INDEX('Schedule Daily'!$B:$B,MATCH(CF$1,'Schedule Daily'!$A:$A,0))</f>
        <v>13</v>
      </c>
      <c r="CG2" s="15">
        <f t="array" ref="CG2">INDEX('Schedule Daily'!$B:$B,MATCH(CG$1,'Schedule Daily'!$A:$A,0))</f>
        <v>13</v>
      </c>
      <c r="CH2" s="15">
        <f t="array" ref="CH2">INDEX('Schedule Daily'!$B:$B,MATCH(CH$1,'Schedule Daily'!$A:$A,0))</f>
        <v>13</v>
      </c>
      <c r="CI2" s="15">
        <f t="array" ref="CI2">INDEX('Schedule Daily'!$B:$B,MATCH(CI$1,'Schedule Daily'!$A:$A,0))</f>
        <v>13</v>
      </c>
      <c r="CJ2" s="15">
        <f t="array" ref="CJ2">INDEX('Schedule Daily'!$B:$B,MATCH(CJ$1,'Schedule Daily'!$A:$A,0))</f>
        <v>14</v>
      </c>
      <c r="CK2" s="15">
        <f t="array" ref="CK2">INDEX('Schedule Daily'!$B:$B,MATCH(CK$1,'Schedule Daily'!$A:$A,0))</f>
        <v>14</v>
      </c>
      <c r="CL2" s="15">
        <f t="array" ref="CL2">INDEX('Schedule Daily'!$B:$B,MATCH(CL$1,'Schedule Daily'!$A:$A,0))</f>
        <v>14</v>
      </c>
      <c r="CM2" s="15">
        <f t="array" ref="CM2">INDEX('Schedule Daily'!$B:$B,MATCH(CM$1,'Schedule Daily'!$A:$A,0))</f>
        <v>14</v>
      </c>
      <c r="CN2" s="15">
        <f t="array" ref="CN2">INDEX('Schedule Daily'!$B:$B,MATCH(CN$1,'Schedule Daily'!$A:$A,0))</f>
        <v>14</v>
      </c>
      <c r="CO2" s="15">
        <f t="array" ref="CO2">INDEX('Schedule Daily'!$B:$B,MATCH(CO$1,'Schedule Daily'!$A:$A,0))</f>
        <v>14</v>
      </c>
      <c r="CP2" s="15">
        <f t="array" ref="CP2">INDEX('Schedule Daily'!$B:$B,MATCH(CP$1,'Schedule Daily'!$A:$A,0))</f>
        <v>14</v>
      </c>
      <c r="CQ2" s="15">
        <f t="array" ref="CQ2">INDEX('Schedule Daily'!$B:$B,MATCH(CQ$1,'Schedule Daily'!$A:$A,0))</f>
        <v>15</v>
      </c>
      <c r="CR2" s="15">
        <f t="array" ref="CR2">INDEX('Schedule Daily'!$B:$B,MATCH(CR$1,'Schedule Daily'!$A:$A,0))</f>
        <v>15</v>
      </c>
      <c r="CS2" s="15">
        <f t="array" ref="CS2">INDEX('Schedule Daily'!$B:$B,MATCH(CS$1,'Schedule Daily'!$A:$A,0))</f>
        <v>15</v>
      </c>
      <c r="CT2" s="15">
        <f t="array" ref="CT2">INDEX('Schedule Daily'!$B:$B,MATCH(CT$1,'Schedule Daily'!$A:$A,0))</f>
        <v>15</v>
      </c>
      <c r="CU2" s="15">
        <f t="array" ref="CU2">INDEX('Schedule Daily'!$B:$B,MATCH(CU$1,'Schedule Daily'!$A:$A,0))</f>
        <v>15</v>
      </c>
      <c r="CV2" s="15">
        <f t="array" ref="CV2">INDEX('Schedule Daily'!$B:$B,MATCH(CV$1,'Schedule Daily'!$A:$A,0))</f>
        <v>15</v>
      </c>
      <c r="CW2" s="15">
        <f t="array" ref="CW2">INDEX('Schedule Daily'!$B:$B,MATCH(CW$1,'Schedule Daily'!$A:$A,0))</f>
        <v>15</v>
      </c>
      <c r="CX2" s="15">
        <f t="array" ref="CX2">INDEX('Schedule Daily'!$B:$B,MATCH(CX$1,'Schedule Daily'!$A:$A,0))</f>
        <v>16</v>
      </c>
      <c r="CY2" s="15">
        <f t="array" ref="CY2">INDEX('Schedule Daily'!$B:$B,MATCH(CY$1,'Schedule Daily'!$A:$A,0))</f>
        <v>16</v>
      </c>
      <c r="CZ2" s="15">
        <f t="array" ref="CZ2">INDEX('Schedule Daily'!$B:$B,MATCH(CZ$1,'Schedule Daily'!$A:$A,0))</f>
        <v>16</v>
      </c>
      <c r="DA2" s="15">
        <f t="array" ref="DA2">INDEX('Schedule Daily'!$B:$B,MATCH(DA$1,'Schedule Daily'!$A:$A,0))</f>
        <v>16</v>
      </c>
      <c r="DB2" s="15">
        <f t="array" ref="DB2">INDEX('Schedule Daily'!$B:$B,MATCH(DB$1,'Schedule Daily'!$A:$A,0))</f>
        <v>16</v>
      </c>
      <c r="DC2" s="15">
        <f t="array" ref="DC2">INDEX('Schedule Daily'!$B:$B,MATCH(DC$1,'Schedule Daily'!$A:$A,0))</f>
        <v>16</v>
      </c>
      <c r="DD2" s="15">
        <f t="array" ref="DD2">INDEX('Schedule Daily'!$B:$B,MATCH(DD$1,'Schedule Daily'!$A:$A,0))</f>
        <v>16</v>
      </c>
      <c r="DE2" s="15">
        <f t="array" ref="DE2">INDEX('Schedule Daily'!$B:$B,MATCH(DE$1,'Schedule Daily'!$A:$A,0))</f>
        <v>17</v>
      </c>
      <c r="DF2" s="15">
        <f t="array" ref="DF2">INDEX('Schedule Daily'!$B:$B,MATCH(DF$1,'Schedule Daily'!$A:$A,0))</f>
        <v>17</v>
      </c>
      <c r="DG2" s="15">
        <f t="array" ref="DG2">INDEX('Schedule Daily'!$B:$B,MATCH(DG$1,'Schedule Daily'!$A:$A,0))</f>
        <v>17</v>
      </c>
      <c r="DH2" s="15">
        <f t="array" ref="DH2">INDEX('Schedule Daily'!$B:$B,MATCH(DH$1,'Schedule Daily'!$A:$A,0))</f>
        <v>17</v>
      </c>
      <c r="DI2" s="15">
        <f t="array" ref="DI2">INDEX('Schedule Daily'!$B:$B,MATCH(DI$1,'Schedule Daily'!$A:$A,0))</f>
        <v>17</v>
      </c>
      <c r="DJ2" s="15">
        <f t="array" ref="DJ2">INDEX('Schedule Daily'!$B:$B,MATCH(DJ$1,'Schedule Daily'!$A:$A,0))</f>
        <v>17</v>
      </c>
      <c r="DK2" s="15">
        <f t="array" ref="DK2">INDEX('Schedule Daily'!$B:$B,MATCH(DK$1,'Schedule Daily'!$A:$A,0))</f>
        <v>17</v>
      </c>
      <c r="DL2" s="15">
        <f t="array" ref="DL2">INDEX('Schedule Daily'!$B:$B,MATCH(DL$1,'Schedule Daily'!$A:$A,0))</f>
        <v>17</v>
      </c>
      <c r="DM2" s="15">
        <f t="array" ref="DM2">INDEX('Schedule Daily'!$B:$B,MATCH(DM$1,'Schedule Daily'!$A:$A,0))</f>
        <v>18</v>
      </c>
      <c r="DN2" s="15">
        <f t="array" ref="DN2">INDEX('Schedule Daily'!$B:$B,MATCH(DN$1,'Schedule Daily'!$A:$A,0))</f>
        <v>18</v>
      </c>
      <c r="DO2" s="15">
        <f t="array" ref="DO2">INDEX('Schedule Daily'!$B:$B,MATCH(DO$1,'Schedule Daily'!$A:$A,0))</f>
        <v>18</v>
      </c>
      <c r="DP2" s="15">
        <f t="array" ref="DP2">INDEX('Schedule Daily'!$B:$B,MATCH(DP$1,'Schedule Daily'!$A:$A,0))</f>
        <v>18</v>
      </c>
      <c r="DQ2" s="15">
        <f t="array" ref="DQ2">INDEX('Schedule Daily'!$B:$B,MATCH(DQ$1,'Schedule Daily'!$A:$A,0))</f>
        <v>18</v>
      </c>
      <c r="DR2" s="15">
        <f t="array" ref="DR2">INDEX('Schedule Daily'!$B:$B,MATCH(DR$1,'Schedule Daily'!$A:$A,0))</f>
        <v>18</v>
      </c>
      <c r="DS2" s="15">
        <f t="array" ref="DS2">INDEX('Schedule Daily'!$B:$B,MATCH(DS$1,'Schedule Daily'!$A:$A,0))</f>
        <v>18</v>
      </c>
      <c r="DT2" s="15">
        <f t="array" ref="DT2">INDEX('Schedule Daily'!$B:$B,MATCH(DT$1,'Schedule Daily'!$A:$A,0))</f>
        <v>19</v>
      </c>
      <c r="DU2" s="15">
        <f t="array" ref="DU2">INDEX('Schedule Daily'!$B:$B,MATCH(DU$1,'Schedule Daily'!$A:$A,0))</f>
        <v>19</v>
      </c>
      <c r="DV2" s="15">
        <f t="array" ref="DV2">INDEX('Schedule Daily'!$B:$B,MATCH(DV$1,'Schedule Daily'!$A:$A,0))</f>
        <v>19</v>
      </c>
      <c r="DW2" s="15">
        <f t="array" ref="DW2">INDEX('Schedule Daily'!$B:$B,MATCH(DW$1,'Schedule Daily'!$A:$A,0))</f>
        <v>19</v>
      </c>
      <c r="DX2" s="15">
        <f t="array" ref="DX2">INDEX('Schedule Daily'!$B:$B,MATCH(DX$1,'Schedule Daily'!$A:$A,0))</f>
        <v>19</v>
      </c>
      <c r="DY2" s="15">
        <f t="array" ref="DY2">INDEX('Schedule Daily'!$B:$B,MATCH(DY$1,'Schedule Daily'!$A:$A,0))</f>
        <v>19</v>
      </c>
      <c r="DZ2" s="15">
        <f t="array" ref="DZ2">INDEX('Schedule Daily'!$B:$B,MATCH(DZ$1,'Schedule Daily'!$A:$A,0))</f>
        <v>19</v>
      </c>
      <c r="EA2" s="15">
        <f t="array" ref="EA2">INDEX('Schedule Daily'!$B:$B,MATCH(EA$1,'Schedule Daily'!$A:$A,0))</f>
        <v>20</v>
      </c>
      <c r="EB2" s="15">
        <f t="array" ref="EB2">INDEX('Schedule Daily'!$B:$B,MATCH(EB$1,'Schedule Daily'!$A:$A,0))</f>
        <v>20</v>
      </c>
      <c r="EC2" s="15">
        <f t="array" ref="EC2">INDEX('Schedule Daily'!$B:$B,MATCH(EC$1,'Schedule Daily'!$A:$A,0))</f>
        <v>20</v>
      </c>
      <c r="ED2" s="15">
        <f t="array" ref="ED2">INDEX('Schedule Daily'!$B:$B,MATCH(ED$1,'Schedule Daily'!$A:$A,0))</f>
        <v>20</v>
      </c>
      <c r="EE2" s="15">
        <f t="array" ref="EE2">INDEX('Schedule Daily'!$B:$B,MATCH(EE$1,'Schedule Daily'!$A:$A,0))</f>
        <v>20</v>
      </c>
      <c r="EF2" s="15">
        <f t="array" ref="EF2">INDEX('Schedule Daily'!$B:$B,MATCH(EF$1,'Schedule Daily'!$A:$A,0))</f>
        <v>20</v>
      </c>
      <c r="EG2" s="15">
        <f t="array" ref="EG2">INDEX('Schedule Daily'!$B:$B,MATCH(EG$1,'Schedule Daily'!$A:$A,0))</f>
        <v>20</v>
      </c>
      <c r="EH2" s="15">
        <f t="array" ref="EH2">INDEX('Schedule Daily'!$B:$B,MATCH(EH$1,'Schedule Daily'!$A:$A,0))</f>
        <v>21</v>
      </c>
      <c r="EI2" s="15">
        <f t="array" ref="EI2">INDEX('Schedule Daily'!$B:$B,MATCH(EI$1,'Schedule Daily'!$A:$A,0))</f>
        <v>21</v>
      </c>
      <c r="EJ2" s="15">
        <f t="array" ref="EJ2">INDEX('Schedule Daily'!$B:$B,MATCH(EJ$1,'Schedule Daily'!$A:$A,0))</f>
        <v>21</v>
      </c>
      <c r="EK2" s="15">
        <f t="array" ref="EK2">INDEX('Schedule Daily'!$B:$B,MATCH(EK$1,'Schedule Daily'!$A:$A,0))</f>
        <v>21</v>
      </c>
      <c r="EL2" s="15">
        <f t="array" ref="EL2">INDEX('Schedule Daily'!$B:$B,MATCH(EL$1,'Schedule Daily'!$A:$A,0))</f>
        <v>21</v>
      </c>
      <c r="EM2" s="15">
        <f t="array" ref="EM2">INDEX('Schedule Daily'!$B:$B,MATCH(EM$1,'Schedule Daily'!$A:$A,0))</f>
        <v>21</v>
      </c>
      <c r="EN2" s="15">
        <f t="array" ref="EN2">INDEX('Schedule Daily'!$B:$B,MATCH(EN$1,'Schedule Daily'!$A:$A,0))</f>
        <v>21</v>
      </c>
      <c r="EO2" s="15">
        <f t="array" ref="EO2">INDEX('Schedule Daily'!$B:$B,MATCH(EO$1,'Schedule Daily'!$A:$A,0))</f>
        <v>22</v>
      </c>
      <c r="EP2" s="15">
        <f t="array" ref="EP2">INDEX('Schedule Daily'!$B:$B,MATCH(EP$1,'Schedule Daily'!$A:$A,0))</f>
        <v>22</v>
      </c>
      <c r="EQ2" s="15">
        <f t="array" ref="EQ2">INDEX('Schedule Daily'!$B:$B,MATCH(EQ$1,'Schedule Daily'!$A:$A,0))</f>
        <v>22</v>
      </c>
      <c r="ER2" s="15">
        <f t="array" ref="ER2">INDEX('Schedule Daily'!$B:$B,MATCH(ER$1,'Schedule Daily'!$A:$A,0))</f>
        <v>22</v>
      </c>
      <c r="ES2" s="15">
        <f t="array" ref="ES2">INDEX('Schedule Daily'!$B:$B,MATCH(ES$1,'Schedule Daily'!$A:$A,0))</f>
        <v>22</v>
      </c>
      <c r="ET2" s="15">
        <f t="array" ref="ET2">INDEX('Schedule Daily'!$B:$B,MATCH(ET$1,'Schedule Daily'!$A:$A,0))</f>
        <v>22</v>
      </c>
      <c r="EU2" s="15">
        <f t="array" ref="EU2">INDEX('Schedule Daily'!$B:$B,MATCH(EU$1,'Schedule Daily'!$A:$A,0))</f>
        <v>22</v>
      </c>
      <c r="EV2" s="15">
        <f t="array" ref="EV2">INDEX('Schedule Daily'!$B:$B,MATCH(EV$1,'Schedule Daily'!$A:$A,0))</f>
        <v>23</v>
      </c>
      <c r="EW2" s="15">
        <f t="array" ref="EW2">INDEX('Schedule Daily'!$B:$B,MATCH(EW$1,'Schedule Daily'!$A:$A,0))</f>
        <v>23</v>
      </c>
      <c r="EX2" s="15">
        <f t="array" ref="EX2">INDEX('Schedule Daily'!$B:$B,MATCH(EX$1,'Schedule Daily'!$A:$A,0))</f>
        <v>23</v>
      </c>
      <c r="EY2" s="15">
        <f t="array" ref="EY2">INDEX('Schedule Daily'!$B:$B,MATCH(EY$1,'Schedule Daily'!$A:$A,0))</f>
        <v>23</v>
      </c>
      <c r="EZ2" s="15">
        <f t="array" ref="EZ2">INDEX('Schedule Daily'!$B:$B,MATCH(EZ$1,'Schedule Daily'!$A:$A,0))</f>
        <v>23</v>
      </c>
      <c r="FA2" s="15">
        <f t="array" ref="FA2">INDEX('Schedule Daily'!$B:$B,MATCH(FA$1,'Schedule Daily'!$A:$A,0))</f>
        <v>23</v>
      </c>
      <c r="FB2" s="15">
        <f t="array" ref="FB2">INDEX('Schedule Daily'!$B:$B,MATCH(FB$1,'Schedule Daily'!$A:$A,0))</f>
        <v>24</v>
      </c>
      <c r="FC2" s="15" t="str">
        <f t="array" ref="FC2">INDEX('Schedule Daily'!$B:$B,MATCH(FC$1,'Schedule Daily'!$A:$A,0))</f>
        <v>#N/A</v>
      </c>
      <c r="FD2" s="15" t="str">
        <f t="array" ref="FD2">INDEX('Schedule Daily'!$B:$B,MATCH(FD$1,'Schedule Daily'!$A:$A,0))</f>
        <v>#N/A</v>
      </c>
      <c r="FE2" s="15" t="str">
        <f t="array" ref="FE2">INDEX('Schedule Daily'!$B:$B,MATCH(FE$1,'Schedule Daily'!$A:$A,0))</f>
        <v>#N/A</v>
      </c>
      <c r="FF2" s="15" t="str">
        <f t="array" ref="FF2">INDEX('Schedule Daily'!$B:$B,MATCH(FF$1,'Schedule Daily'!$A:$A,0))</f>
        <v>#N/A</v>
      </c>
      <c r="FG2" s="15" t="str">
        <f t="array" ref="FG2">INDEX('Schedule Daily'!$B:$B,MATCH(FG$1,'Schedule Daily'!$A:$A,0))</f>
        <v>#N/A</v>
      </c>
      <c r="FH2" s="15" t="str">
        <f t="array" ref="FH2">INDEX('Schedule Daily'!$B:$B,MATCH(FH$1,'Schedule Daily'!$A:$A,0))</f>
        <v>#N/A</v>
      </c>
      <c r="FI2" s="15" t="str">
        <f t="array" ref="FI2">INDEX('Schedule Daily'!$B:$B,MATCH(FI$1,'Schedule Daily'!$A:$A,0))</f>
        <v>#N/A</v>
      </c>
      <c r="FJ2" s="15" t="str">
        <f t="array" ref="FJ2">INDEX('Schedule Daily'!$B:$B,MATCH(FJ$1,'Schedule Daily'!$A:$A,0))</f>
        <v>#N/A</v>
      </c>
      <c r="FK2" s="15" t="str">
        <f t="array" ref="FK2">INDEX('Schedule Daily'!$B:$B,MATCH(FK$1,'Schedule Daily'!$A:$A,0))</f>
        <v>#N/A</v>
      </c>
      <c r="FL2" s="15" t="str">
        <f t="array" ref="FL2">INDEX('Schedule Daily'!$B:$B,MATCH(FL$1,'Schedule Daily'!$A:$A,0))</f>
        <v>#N/A</v>
      </c>
      <c r="FM2" s="15" t="str">
        <f t="array" ref="FM2">INDEX('Schedule Daily'!$B:$B,MATCH(FM$1,'Schedule Daily'!$A:$A,0))</f>
        <v>#N/A</v>
      </c>
      <c r="FN2" s="15" t="str">
        <f t="array" ref="FN2">INDEX('Schedule Daily'!$B:$B,MATCH(FN$1,'Schedule Daily'!$A:$A,0))</f>
        <v>#N/A</v>
      </c>
      <c r="FO2" s="15" t="str">
        <f t="array" ref="FO2">INDEX('Schedule Daily'!$B:$B,MATCH(FO$1,'Schedule Daily'!$A:$A,0))</f>
        <v>#N/A</v>
      </c>
      <c r="FP2" s="15" t="str">
        <f t="array" ref="FP2">INDEX('Schedule Daily'!$B:$B,MATCH(FP$1,'Schedule Daily'!$A:$A,0))</f>
        <v>#N/A</v>
      </c>
      <c r="FQ2" s="15" t="str">
        <f t="array" ref="FQ2">INDEX('Schedule Daily'!$B:$B,MATCH(FQ$1,'Schedule Daily'!$A:$A,0))</f>
        <v>#N/A</v>
      </c>
      <c r="FR2" s="15" t="str">
        <f t="array" ref="FR2">INDEX('Schedule Daily'!$B:$B,MATCH(FR$1,'Schedule Daily'!$A:$A,0))</f>
        <v>#N/A</v>
      </c>
      <c r="FS2" s="15" t="str">
        <f t="array" ref="FS2">INDEX('Schedule Daily'!$B:$B,MATCH(FS$1,'Schedule Daily'!$A:$A,0))</f>
        <v>#N/A</v>
      </c>
      <c r="FT2" s="15" t="str">
        <f t="array" ref="FT2">INDEX('Schedule Daily'!$B:$B,MATCH(FT$1,'Schedule Daily'!$A:$A,0))</f>
        <v>#N/A</v>
      </c>
      <c r="FU2" s="15" t="str">
        <f t="array" ref="FU2">INDEX('Schedule Daily'!$B:$B,MATCH(FU$1,'Schedule Daily'!$A:$A,0))</f>
        <v>#N/A</v>
      </c>
      <c r="FV2" s="15" t="str">
        <f t="array" ref="FV2">INDEX('Schedule Daily'!$B:$B,MATCH(FV$1,'Schedule Daily'!$A:$A,0))</f>
        <v>#N/A</v>
      </c>
      <c r="FW2" s="15" t="str">
        <f t="array" ref="FW2">INDEX('Schedule Daily'!$B:$B,MATCH(FW$1,'Schedule Daily'!$A:$A,0))</f>
        <v>#N/A</v>
      </c>
      <c r="FX2" s="15" t="str">
        <f t="array" ref="FX2">INDEX('Schedule Daily'!$B:$B,MATCH(FX$1,'Schedule Daily'!$A:$A,0))</f>
        <v>#N/A</v>
      </c>
      <c r="FY2" s="15" t="str">
        <f t="array" ref="FY2">INDEX('Schedule Daily'!$B:$B,MATCH(FY$1,'Schedule Daily'!$A:$A,0))</f>
        <v>#N/A</v>
      </c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</row>
    <row r="3">
      <c r="A3" s="32" t="str">
        <f>'Weekly EDSA'!A2</f>
        <v>Robinson</v>
      </c>
      <c r="B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Col""&amp;COLUMN(B$1)&amp;""=1""))&amp;""' ORDER BY Col6 DESC LIMIT ""&amp;QUERY('Global Variables'!$A:$B, ""SELECT Col2 WHERE Col1 = 'STAR"&amp;"TING_ROSTER_SIZE'"")),0))"),0.0)</f>
        <v>0</v>
      </c>
      <c r="C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Col""&amp;COLUMN(C$1)&amp;""=1""))&amp;""' ORDER BY Col6 DESC LIMIT ""&amp;QUERY('Global Variables'!$A:$B, ""SELECT Col2 WHERE Col1 = 'STAR"&amp;"TING_ROSTER_SIZE'"")),0))"),0.0)</f>
        <v>0</v>
      </c>
      <c r="D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Col""&amp;COLUMN(D$1)&amp;""=1""))&amp;""' ORDER BY Col6 DESC LIMIT ""&amp;QUERY('Global Variables'!$A:$B, ""SELECT Col2 WHERE Col1 = 'STAR"&amp;"TING_ROSTER_SIZE'"")),0))"),0.0)</f>
        <v>0</v>
      </c>
      <c r="E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Col""&amp;COLUMN(E$1)&amp;""=1""))&amp;""' ORDER BY Col6 DESC LIMIT ""&amp;QUERY('Global Variables'!$A:$B, ""SELECT Col2 WHERE Col1 = 'STAR"&amp;"TING_ROSTER_SIZE'"")),0))"),0.0)</f>
        <v>0</v>
      </c>
      <c r="F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Col""&amp;COLUMN(F$1)&amp;""=1""))&amp;""' ORDER BY Col6 DESC LIMIT ""&amp;QUERY('Global Variables'!$A:$B, ""SELECT Col2 WHERE Col1 = 'STAR"&amp;"TING_ROSTER_SIZE'"")),0))"),0.0)</f>
        <v>0</v>
      </c>
      <c r="G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Col""&amp;COLUMN(G$1)&amp;""=1""))&amp;""' ORDER BY Col6 DESC LIMIT ""&amp;QUERY('Global Variables'!$A:$B, ""SELECT Col2 WHERE Col1 = 'STAR"&amp;"TING_ROSTER_SIZE'"")),0))"),0.0)</f>
        <v>0</v>
      </c>
      <c r="H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Col""&amp;COLUMN(H$1)&amp;""=1""))&amp;""' ORDER BY Col6 DESC LIMIT ""&amp;QUERY('Global Variables'!$A:$B, ""SELECT Col2 WHERE Col1 = 'STAR"&amp;"TING_ROSTER_SIZE'"")),0))"),0.0)</f>
        <v>0</v>
      </c>
      <c r="I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Col""&amp;COLUMN(I$1)&amp;""=1""))&amp;""' ORDER BY Col6 DESC LIMIT ""&amp;QUERY('Global Variables'!$A:$B, ""SELECT Col2 WHERE Col1 = 'STAR"&amp;"TING_ROSTER_SIZE'"")),0))"),0.0)</f>
        <v>0</v>
      </c>
      <c r="J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Col""&amp;COLUMN(J$1)&amp;""=1""))&amp;""' ORDER BY Col6 DESC LIMIT ""&amp;QUERY('Global Variables'!$A:$B, ""SELECT Col2 WHERE Col1 = 'STAR"&amp;"TING_ROSTER_SIZE'"")),0))"),0.0)</f>
        <v>0</v>
      </c>
      <c r="K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Col""&amp;COLUMN(K$1)&amp;""=1""))&amp;""' ORDER BY Col6 DESC LIMIT ""&amp;QUERY('Global Variables'!$A:$B, ""SELECT Col2 WHERE Col1 = 'STAR"&amp;"TING_ROSTER_SIZE'"")),0))"),0.0)</f>
        <v>0</v>
      </c>
      <c r="L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Col""&amp;COLUMN(L$1)&amp;""=1""))&amp;""' ORDER BY Col6 DESC LIMIT ""&amp;QUERY('Global Variables'!$A:$B, ""SELECT Col2 WHERE Col1 = 'STAR"&amp;"TING_ROSTER_SIZE'"")),0))"),0.0)</f>
        <v>0</v>
      </c>
      <c r="M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Col""&amp;COLUMN(M$1)&amp;""=1""))&amp;""' ORDER BY Col6 DESC LIMIT ""&amp;QUERY('Global Variables'!$A:$B, ""SELECT Col2 WHERE Col1 = 'STAR"&amp;"TING_ROSTER_SIZE'"")),0))"),0.0)</f>
        <v>0</v>
      </c>
      <c r="N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Col""&amp;COLUMN(N$1)&amp;""=1""))&amp;""' ORDER BY Col6 DESC LIMIT ""&amp;QUERY('Global Variables'!$A:$B, ""SELECT Col2 WHERE Col1 = 'STAR"&amp;"TING_ROSTER_SIZE'"")),0))"),0.0)</f>
        <v>0</v>
      </c>
      <c r="O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Col""&amp;COLUMN(O$1)&amp;""=1""))&amp;""' ORDER BY Col6 DESC LIMIT ""&amp;QUERY('Global Variables'!$A:$B, ""SELECT Col2 WHERE Col1 = 'STAR"&amp;"TING_ROSTER_SIZE'"")),0))"),0.0)</f>
        <v>0</v>
      </c>
      <c r="P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Col""&amp;COLUMN(P$1)&amp;""=1""))&amp;""' ORDER BY Col6 DESC LIMIT ""&amp;QUERY('Global Variables'!$A:$B, ""SELECT Col2 WHERE Col1 = 'STAR"&amp;"TING_ROSTER_SIZE'"")),0))"),0.0)</f>
        <v>0</v>
      </c>
      <c r="Q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Col""&amp;COLUMN(Q$1)&amp;""=1""))&amp;""' ORDER BY Col6 DESC LIMIT ""&amp;QUERY('Global Variables'!$A:$B, ""SELECT Col2 WHERE Col1 = 'STAR"&amp;"TING_ROSTER_SIZE'"")),0))"),0.0)</f>
        <v>0</v>
      </c>
      <c r="R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Col""&amp;COLUMN(R$1)&amp;""=1""))&amp;""' ORDER BY Col6 DESC LIMIT ""&amp;QUERY('Global Variables'!$A:$B, ""SELECT Col2 WHERE Col1 = 'STAR"&amp;"TING_ROSTER_SIZE'"")),0))"),0.0)</f>
        <v>0</v>
      </c>
      <c r="S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Col""&amp;COLUMN(S$1)&amp;""=1""))&amp;""' ORDER BY Col6 DESC LIMIT ""&amp;QUERY('Global Variables'!$A:$B, ""SELECT Col2 WHERE Col1 = 'STAR"&amp;"TING_ROSTER_SIZE'"")),0))"),0.0)</f>
        <v>0</v>
      </c>
      <c r="T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Col""&amp;COLUMN(T$1)&amp;""=1""))&amp;""' ORDER BY Col6 DESC LIMIT ""&amp;QUERY('Global Variables'!$A:$B, ""SELECT Col2 WHERE Col1 = 'STAR"&amp;"TING_ROSTER_SIZE'"")),0))"),0.0)</f>
        <v>0</v>
      </c>
      <c r="U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Col""&amp;COLUMN(U$1)&amp;""=1""))&amp;""' ORDER BY Col6 DESC LIMIT ""&amp;QUERY('Global Variables'!$A:$B, ""SELECT Col2 WHERE Col1 = 'STAR"&amp;"TING_ROSTER_SIZE'"")),0))"),0.0)</f>
        <v>0</v>
      </c>
      <c r="V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Col""&amp;COLUMN(V$1)&amp;""=1""))&amp;""' ORDER BY Col6 DESC LIMIT ""&amp;QUERY('Global Variables'!$A:$B, ""SELECT Col2 WHERE Col1 = 'STAR"&amp;"TING_ROSTER_SIZE'"")),0))"),0.0)</f>
        <v>0</v>
      </c>
      <c r="W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Col""&amp;COLUMN(W$1)&amp;""=1""))&amp;""' ORDER BY Col6 DESC LIMIT ""&amp;QUERY('Global Variables'!$A:$B, ""SELECT Col2 WHERE Col1 = 'STAR"&amp;"TING_ROSTER_SIZE'"")),0))"),0.0)</f>
        <v>0</v>
      </c>
      <c r="X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Col""&amp;COLUMN(X$1)&amp;""=1""))&amp;""' ORDER BY Col6 DESC LIMIT ""&amp;QUERY('Global Variables'!$A:$B, ""SELECT Col2 WHERE Col1 = 'STAR"&amp;"TING_ROSTER_SIZE'"")),0))"),0.0)</f>
        <v>0</v>
      </c>
      <c r="Y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Col""&amp;COLUMN(Y$1)&amp;""=1""))&amp;""' ORDER BY Col6 DESC LIMIT ""&amp;QUERY('Global Variables'!$A:$B, ""SELECT Col2 WHERE Col1 = 'STAR"&amp;"TING_ROSTER_SIZE'"")),0))"),0.0)</f>
        <v>0</v>
      </c>
      <c r="Z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Col""&amp;COLUMN(Z$1)&amp;""=1""))&amp;""' ORDER BY Col6 DESC LIMIT ""&amp;QUERY('Global Variables'!$A:$B, ""SELECT Col2 WHERE Col1 = 'STAR"&amp;"TING_ROSTER_SIZE'"")),0))"),0.0)</f>
        <v>0</v>
      </c>
      <c r="AA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Col""&amp;COLUMN(AA$1)&amp;""=1""))&amp;""' ORDER BY Col6 DESC LIMIT ""&amp;QUERY('Global Variables'!$A:$B, ""SELECT Col2 WHERE Col1 = 'STA"&amp;"RTING_ROSTER_SIZE'"")),0))"),0.0)</f>
        <v>0</v>
      </c>
      <c r="AB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Col""&amp;COLUMN(AB$1)&amp;""=1""))&amp;""' ORDER BY Col6 DESC LIMIT ""&amp;QUERY('Global Variables'!$A:$B, ""SELECT Col2 WHERE Col1 = 'STA"&amp;"RTING_ROSTER_SIZE'"")),0))"),0.0)</f>
        <v>0</v>
      </c>
      <c r="AC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Col""&amp;COLUMN(AC$1)&amp;""=1""))&amp;""' ORDER BY Col6 DESC LIMIT ""&amp;QUERY('Global Variables'!$A:$B, ""SELECT Col2 WHERE Col1 = 'STA"&amp;"RTING_ROSTER_SIZE'"")),0))"),0.0)</f>
        <v>0</v>
      </c>
      <c r="AD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Col""&amp;COLUMN(AD$1)&amp;""=1""))&amp;""' ORDER BY Col6 DESC LIMIT ""&amp;QUERY('Global Variables'!$A:$B, ""SELECT Col2 WHERE Col1 = 'STA"&amp;"RTING_ROSTER_SIZE'"")),0))"),0.0)</f>
        <v>0</v>
      </c>
      <c r="AE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Col""&amp;COLUMN(AE$1)&amp;""=1""))&amp;""' ORDER BY Col6 DESC LIMIT ""&amp;QUERY('Global Variables'!$A:$B, ""SELECT Col2 WHERE Col1 = 'STA"&amp;"RTING_ROSTER_SIZE'"")),0))"),0.0)</f>
        <v>0</v>
      </c>
      <c r="AF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Col""&amp;COLUMN(AF$1)&amp;""=1""))&amp;""' ORDER BY Col6 DESC LIMIT ""&amp;QUERY('Global Variables'!$A:$B, ""SELECT Col2 WHERE Col1 = 'STA"&amp;"RTING_ROSTER_SIZE'"")),0))"),0.0)</f>
        <v>0</v>
      </c>
      <c r="AG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Col""&amp;COLUMN(AG$1)&amp;""=1""))&amp;""' ORDER BY Col6 DESC LIMIT ""&amp;QUERY('Global Variables'!$A:$B, ""SELECT Col2 WHERE Col1 = 'STA"&amp;"RTING_ROSTER_SIZE'"")),0))"),0.0)</f>
        <v>0</v>
      </c>
      <c r="AH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Col""&amp;COLUMN(AH$1)&amp;""=1""))&amp;""' ORDER BY Col6 DESC LIMIT ""&amp;QUERY('Global Variables'!$A:$B, ""SELECT Col2 WHERE Col1 = 'STA"&amp;"RTING_ROSTER_SIZE'"")),0))"),0.0)</f>
        <v>0</v>
      </c>
      <c r="AI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Col""&amp;COLUMN(AI$1)&amp;""=1""))&amp;""' ORDER BY Col6 DESC LIMIT ""&amp;QUERY('Global Variables'!$A:$B, ""SELECT Col2 WHERE Col1 = 'STA"&amp;"RTING_ROSTER_SIZE'"")),0))"),0.0)</f>
        <v>0</v>
      </c>
      <c r="AJ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Col""&amp;COLUMN(AJ$1)&amp;""=1""))&amp;""' ORDER BY Col6 DESC LIMIT ""&amp;QUERY('Global Variables'!$A:$B, ""SELECT Col2 WHERE Col1 = 'STA"&amp;"RTING_ROSTER_SIZE'"")),0))"),0.0)</f>
        <v>0</v>
      </c>
      <c r="AK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Col""&amp;COLUMN(AK$1)&amp;""=1""))&amp;""' ORDER BY Col6 DESC LIMIT ""&amp;QUERY('Global Variables'!$A:$B, ""SELECT Col2 WHERE Col1 = 'STA"&amp;"RTING_ROSTER_SIZE'"")),0))"),0.0)</f>
        <v>0</v>
      </c>
      <c r="AL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Col""&amp;COLUMN(AL$1)&amp;""=1""))&amp;""' ORDER BY Col6 DESC LIMIT ""&amp;QUERY('Global Variables'!$A:$B, ""SELECT Col2 WHERE Col1 = 'STA"&amp;"RTING_ROSTER_SIZE'"")),0))"),0.0)</f>
        <v>0</v>
      </c>
      <c r="AM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Col""&amp;COLUMN(AM$1)&amp;""=1""))&amp;""' ORDER BY Col6 DESC LIMIT ""&amp;QUERY('Global Variables'!$A:$B, ""SELECT Col2 WHERE Col1 = 'STA"&amp;"RTING_ROSTER_SIZE'"")),0))"),0.0)</f>
        <v>0</v>
      </c>
      <c r="AN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Col""&amp;COLUMN(AN$1)&amp;""=1""))&amp;""' ORDER BY Col6 DESC LIMIT ""&amp;QUERY('Global Variables'!$A:$B, ""SELECT Col2 WHERE Col1 = 'STA"&amp;"RTING_ROSTER_SIZE'"")),0))"),0.0)</f>
        <v>0</v>
      </c>
      <c r="AO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Col""&amp;COLUMN(AO$1)&amp;""=1""))&amp;""' ORDER BY Col6 DESC LIMIT ""&amp;QUERY('Global Variables'!$A:$B, ""SELECT Col2 WHERE Col1 = 'STA"&amp;"RTING_ROSTER_SIZE'"")),0))"),0.0)</f>
        <v>0</v>
      </c>
      <c r="AP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Col""&amp;COLUMN(AP$1)&amp;""=1""))&amp;""' ORDER BY Col6 DESC LIMIT ""&amp;QUERY('Global Variables'!$A:$B, ""SELECT Col2 WHERE Col1 = 'STA"&amp;"RTING_ROSTER_SIZE'"")),0))"),0.0)</f>
        <v>0</v>
      </c>
      <c r="AQ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Col""&amp;COLUMN(AQ$1)&amp;""=1""))&amp;""' ORDER BY Col6 DESC LIMIT ""&amp;QUERY('Global Variables'!$A:$B, ""SELECT Col2 WHERE Col1 = 'STA"&amp;"RTING_ROSTER_SIZE'"")),0))"),0.0)</f>
        <v>0</v>
      </c>
      <c r="AR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Col""&amp;COLUMN(AR$1)&amp;""=1""))&amp;""' ORDER BY Col6 DESC LIMIT ""&amp;QUERY('Global Variables'!$A:$B, ""SELECT Col2 WHERE Col1 = 'STA"&amp;"RTING_ROSTER_SIZE'"")),0))"),0.0)</f>
        <v>0</v>
      </c>
      <c r="AS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Col""&amp;COLUMN(AS$1)&amp;""=1""))&amp;""' ORDER BY Col6 DESC LIMIT ""&amp;QUERY('Global Variables'!$A:$B, ""SELECT Col2 WHERE Col1 = 'STA"&amp;"RTING_ROSTER_SIZE'"")),0))"),0.0)</f>
        <v>0</v>
      </c>
      <c r="AT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Col""&amp;COLUMN(AT$1)&amp;""=1""))&amp;""' ORDER BY Col6 DESC LIMIT ""&amp;QUERY('Global Variables'!$A:$B, ""SELECT Col2 WHERE Col1 = 'STA"&amp;"RTING_ROSTER_SIZE'"")),0))"),0.0)</f>
        <v>0</v>
      </c>
      <c r="AU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Col""&amp;COLUMN(AU$1)&amp;""=1""))&amp;""' ORDER BY Col6 DESC LIMIT ""&amp;QUERY('Global Variables'!$A:$B, ""SELECT Col2 WHERE Col1 = 'STA"&amp;"RTING_ROSTER_SIZE'"")),0))"),0.0)</f>
        <v>0</v>
      </c>
      <c r="AV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Col""&amp;COLUMN(AV$1)&amp;""=1""))&amp;""' ORDER BY Col6 DESC LIMIT ""&amp;QUERY('Global Variables'!$A:$B, ""SELECT Col2 WHERE Col1 = 'STA"&amp;"RTING_ROSTER_SIZE'"")),0))"),0.0)</f>
        <v>0</v>
      </c>
      <c r="AW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Col""&amp;COLUMN(AW$1)&amp;""=1""))&amp;""' ORDER BY Col6 DESC LIMIT ""&amp;QUERY('Global Variables'!$A:$B, ""SELECT Col2 WHERE Col1 = 'STA"&amp;"RTING_ROSTER_SIZE'"")),0))"),0.0)</f>
        <v>0</v>
      </c>
      <c r="AX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Col""&amp;COLUMN(AX$1)&amp;""=1""))&amp;""' ORDER BY Col6 DESC LIMIT ""&amp;QUERY('Global Variables'!$A:$B, ""SELECT Col2 WHERE Col1 = 'STA"&amp;"RTING_ROSTER_SIZE'"")),0))"),0.0)</f>
        <v>0</v>
      </c>
      <c r="AY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Col""&amp;COLUMN(AY$1)&amp;""=1""))&amp;""' ORDER BY Col6 DESC LIMIT ""&amp;QUERY('Global Variables'!$A:$B, ""SELECT Col2 WHERE Col1 = 'STA"&amp;"RTING_ROSTER_SIZE'"")),0))"),0.0)</f>
        <v>0</v>
      </c>
      <c r="AZ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Col""&amp;COLUMN(AZ$1)&amp;""=1""))&amp;""' ORDER BY Col6 DESC LIMIT ""&amp;QUERY('Global Variables'!$A:$B, ""SELECT Col2 WHERE Col1 = 'STA"&amp;"RTING_ROSTER_SIZE'"")),0))"),0.0)</f>
        <v>0</v>
      </c>
      <c r="BA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Col""&amp;COLUMN(BA$1)&amp;""=1""))&amp;""' ORDER BY Col6 DESC LIMIT ""&amp;QUERY('Global Variables'!$A:$B, ""SELECT Col2 WHERE Col1 = 'STA"&amp;"RTING_ROSTER_SIZE'"")),0))"),0.0)</f>
        <v>0</v>
      </c>
      <c r="BB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Col""&amp;COLUMN(BB$1)&amp;""=1""))&amp;""' ORDER BY Col6 DESC LIMIT ""&amp;QUERY('Global Variables'!$A:$B, ""SELECT Col2 WHERE Col1 = 'STA"&amp;"RTING_ROSTER_SIZE'"")),0))"),0.0)</f>
        <v>0</v>
      </c>
      <c r="BC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Col""&amp;COLUMN(BC$1)&amp;""=1""))&amp;""' ORDER BY Col6 DESC LIMIT ""&amp;QUERY('Global Variables'!$A:$B, ""SELECT Col2 WHERE Col1 = 'STA"&amp;"RTING_ROSTER_SIZE'"")),0))"),0.0)</f>
        <v>0</v>
      </c>
      <c r="BD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Col""&amp;COLUMN(BD$1)&amp;""=1""))&amp;""' ORDER BY Col6 DESC LIMIT ""&amp;QUERY('Global Variables'!$A:$B, ""SELECT Col2 WHERE Col1 = 'STA"&amp;"RTING_ROSTER_SIZE'"")),0))"),0.0)</f>
        <v>0</v>
      </c>
      <c r="BE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Col""&amp;COLUMN(BE$1)&amp;""=1""))&amp;""' ORDER BY Col6 DESC LIMIT ""&amp;QUERY('Global Variables'!$A:$B, ""SELECT Col2 WHERE Col1 = 'STA"&amp;"RTING_ROSTER_SIZE'"")),0))"),0.0)</f>
        <v>0</v>
      </c>
      <c r="BF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Col""&amp;COLUMN(BF$1)&amp;""=1""))&amp;""' ORDER BY Col6 DESC LIMIT ""&amp;QUERY('Global Variables'!$A:$B, ""SELECT Col2 WHERE Col1 = 'STA"&amp;"RTING_ROSTER_SIZE'"")),0))"),0.0)</f>
        <v>0</v>
      </c>
      <c r="BG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Col""&amp;COLUMN(BG$1)&amp;""=1""))&amp;""' ORDER BY Col6 DESC LIMIT ""&amp;QUERY('Global Variables'!$A:$B, ""SELECT Col2 WHERE Col1 = 'STA"&amp;"RTING_ROSTER_SIZE'"")),0))"),0.0)</f>
        <v>0</v>
      </c>
      <c r="BH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Col""&amp;COLUMN(BH$1)&amp;""=1""))&amp;""' ORDER BY Col6 DESC LIMIT ""&amp;QUERY('Global Variables'!$A:$B, ""SELECT Col2 WHERE Col1 = 'STA"&amp;"RTING_ROSTER_SIZE'"")),0))"),0.0)</f>
        <v>0</v>
      </c>
      <c r="BI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Col""&amp;COLUMN(BI$1)&amp;""=1""))&amp;""' ORDER BY Col6 DESC LIMIT ""&amp;QUERY('Global Variables'!$A:$B, ""SELECT Col2 WHERE Col1 = 'STA"&amp;"RTING_ROSTER_SIZE'"")),0))"),0.0)</f>
        <v>0</v>
      </c>
      <c r="BJ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Col""&amp;COLUMN(BJ$1)&amp;""=1""))&amp;""' ORDER BY Col6 DESC LIMIT ""&amp;QUERY('Global Variables'!$A:$B, ""SELECT Col2 WHERE Col1 = 'STA"&amp;"RTING_ROSTER_SIZE'"")),0))"),0.0)</f>
        <v>0</v>
      </c>
      <c r="BK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Col""&amp;COLUMN(BK$1)&amp;""=1""))&amp;""' ORDER BY Col6 DESC LIMIT ""&amp;QUERY('Global Variables'!$A:$B, ""SELECT Col2 WHERE Col1 = 'STA"&amp;"RTING_ROSTER_SIZE'"")),0))"),0.0)</f>
        <v>0</v>
      </c>
      <c r="BL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Col""&amp;COLUMN(BL$1)&amp;""=1""))&amp;""' ORDER BY Col6 DESC LIMIT ""&amp;QUERY('Global Variables'!$A:$B, ""SELECT Col2 WHERE Col1 = 'STA"&amp;"RTING_ROSTER_SIZE'"")),0))"),0.0)</f>
        <v>0</v>
      </c>
      <c r="BM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Col""&amp;COLUMN(BM$1)&amp;""=1""))&amp;""' ORDER BY Col6 DESC LIMIT ""&amp;QUERY('Global Variables'!$A:$B, ""SELECT Col2 WHERE Col1 = 'STA"&amp;"RTING_ROSTER_SIZE'"")),0))"),0.0)</f>
        <v>0</v>
      </c>
      <c r="BN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Col""&amp;COLUMN(BN$1)&amp;""=1""))&amp;""' ORDER BY Col6 DESC LIMIT ""&amp;QUERY('Global Variables'!$A:$B, ""SELECT Col2 WHERE Col1 = 'STA"&amp;"RTING_ROSTER_SIZE'"")),0))"),0.0)</f>
        <v>0</v>
      </c>
      <c r="BO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Col""&amp;COLUMN(BO$1)&amp;""=1""))&amp;""' ORDER BY Col6 DESC LIMIT ""&amp;QUERY('Global Variables'!$A:$B, ""SELECT Col2 WHERE Col1 = 'STA"&amp;"RTING_ROSTER_SIZE'"")),0))"),0.0)</f>
        <v>0</v>
      </c>
      <c r="BP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Col""&amp;COLUMN(BP$1)&amp;""=1""))&amp;""' ORDER BY Col6 DESC LIMIT ""&amp;QUERY('Global Variables'!$A:$B, ""SELECT Col2 WHERE Col1 = 'STA"&amp;"RTING_ROSTER_SIZE'"")),0))"),0.0)</f>
        <v>0</v>
      </c>
      <c r="BQ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Col""&amp;COLUMN(BQ$1)&amp;""=1""))&amp;""' ORDER BY Col6 DESC LIMIT ""&amp;QUERY('Global Variables'!$A:$B, ""SELECT Col2 WHERE Col1 = 'STA"&amp;"RTING_ROSTER_SIZE'"")),0))"),0.0)</f>
        <v>0</v>
      </c>
      <c r="BR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Col""&amp;COLUMN(BR$1)&amp;""=1""))&amp;""' ORDER BY Col6 DESC LIMIT ""&amp;QUERY('Global Variables'!$A:$B, ""SELECT Col2 WHERE Col1 = 'STA"&amp;"RTING_ROSTER_SIZE'"")),0))"),0.0)</f>
        <v>0</v>
      </c>
      <c r="BS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Col""&amp;COLUMN(BS$1)&amp;""=1""))&amp;""' ORDER BY Col6 DESC LIMIT ""&amp;QUERY('Global Variables'!$A:$B, ""SELECT Col2 WHERE Col1 = 'STA"&amp;"RTING_ROSTER_SIZE'"")),0))"),0.0)</f>
        <v>0</v>
      </c>
      <c r="BT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Col""&amp;COLUMN(BT$1)&amp;""=1""))&amp;""' ORDER BY Col6 DESC LIMIT ""&amp;QUERY('Global Variables'!$A:$B, ""SELECT Col2 WHERE Col1 = 'STA"&amp;"RTING_ROSTER_SIZE'"")),0))"),0.0)</f>
        <v>0</v>
      </c>
      <c r="BU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Col""&amp;COLUMN(BU$1)&amp;""=1""))&amp;""' ORDER BY Col6 DESC LIMIT ""&amp;QUERY('Global Variables'!$A:$B, ""SELECT Col2 WHERE Col1 = 'STA"&amp;"RTING_ROSTER_SIZE'"")),0))"),0.0)</f>
        <v>0</v>
      </c>
      <c r="BV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Col""&amp;COLUMN(BV$1)&amp;""=1""))&amp;""' ORDER BY Col6 DESC LIMIT ""&amp;QUERY('Global Variables'!$A:$B, ""SELECT Col2 WHERE Col1 = 'STA"&amp;"RTING_ROSTER_SIZE'"")),0))"),0.0)</f>
        <v>0</v>
      </c>
      <c r="BW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Col""&amp;COLUMN(BW$1)&amp;""=1""))&amp;""' ORDER BY Col6 DESC LIMIT ""&amp;QUERY('Global Variables'!$A:$B, ""SELECT Col2 WHERE Col1 = 'STA"&amp;"RTING_ROSTER_SIZE'"")),0))"),0.0)</f>
        <v>0</v>
      </c>
      <c r="BX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Col""&amp;COLUMN(BX$1)&amp;""=1""))&amp;""' ORDER BY Col6 DESC LIMIT ""&amp;QUERY('Global Variables'!$A:$B, ""SELECT Col2 WHERE Col1 = 'STA"&amp;"RTING_ROSTER_SIZE'"")),0))"),0.0)</f>
        <v>0</v>
      </c>
      <c r="BY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Col""&amp;COLUMN(BY$1)&amp;""=1""))&amp;""' ORDER BY Col6 DESC LIMIT ""&amp;QUERY('Global Variables'!$A:$B, ""SELECT Col2 WHERE Col1 = 'STA"&amp;"RTING_ROSTER_SIZE'"")),0))"),0.0)</f>
        <v>0</v>
      </c>
      <c r="BZ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Col""&amp;COLUMN(BZ$1)&amp;""=1""))&amp;""' ORDER BY Col6 DESC LIMIT ""&amp;QUERY('Global Variables'!$A:$B, ""SELECT Col2 WHERE Col1 = 'STA"&amp;"RTING_ROSTER_SIZE'"")),0))"),0.0)</f>
        <v>0</v>
      </c>
      <c r="CA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Col""&amp;COLUMN(CA$1)&amp;""=1""))&amp;""' ORDER BY Col6 DESC LIMIT ""&amp;QUERY('Global Variables'!$A:$B, ""SELECT Col2 WHERE Col1 = 'STA"&amp;"RTING_ROSTER_SIZE'"")),0))"),0.0)</f>
        <v>0</v>
      </c>
      <c r="CB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Col""&amp;COLUMN(CB$1)&amp;""=1""))&amp;""' ORDER BY Col6 DESC LIMIT ""&amp;QUERY('Global Variables'!$A:$B, ""SELECT Col2 WHERE Col1 = 'STA"&amp;"RTING_ROSTER_SIZE'"")),0))"),0.0)</f>
        <v>0</v>
      </c>
      <c r="CC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Col""&amp;COLUMN(CC$1)&amp;""=1""))&amp;""' ORDER BY Col6 DESC LIMIT ""&amp;QUERY('Global Variables'!$A:$B, ""SELECT Col2 WHERE Col1 = 'STA"&amp;"RTING_ROSTER_SIZE'"")),0))"),0.0)</f>
        <v>0</v>
      </c>
      <c r="CD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Col""&amp;COLUMN(CD$1)&amp;""=1""))&amp;""' ORDER BY Col6 DESC LIMIT ""&amp;QUERY('Global Variables'!$A:$B, ""SELECT Col2 WHERE Col1 = 'STA"&amp;"RTING_ROSTER_SIZE'"")),0))"),0.0)</f>
        <v>0</v>
      </c>
      <c r="CE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Col""&amp;COLUMN(CE$1)&amp;""=1""))&amp;""' ORDER BY Col6 DESC LIMIT ""&amp;QUERY('Global Variables'!$A:$B, ""SELECT Col2 WHERE Col1 = 'STA"&amp;"RTING_ROSTER_SIZE'"")),0))"),0.0)</f>
        <v>0</v>
      </c>
      <c r="CF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Col""&amp;COLUMN(CF$1)&amp;""=1""))&amp;""' ORDER BY Col6 DESC LIMIT ""&amp;QUERY('Global Variables'!$A:$B, ""SELECT Col2 WHERE Col1 = 'STA"&amp;"RTING_ROSTER_SIZE'"")),0))"),0.0)</f>
        <v>0</v>
      </c>
      <c r="CG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Col""&amp;COLUMN(CG$1)&amp;""=1""))&amp;""' ORDER BY Col6 DESC LIMIT ""&amp;QUERY('Global Variables'!$A:$B, ""SELECT Col2 WHERE Col1 = 'STA"&amp;"RTING_ROSTER_SIZE'"")),0))"),0.0)</f>
        <v>0</v>
      </c>
      <c r="CH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Col""&amp;COLUMN(CH$1)&amp;""=1""))&amp;""' ORDER BY Col6 DESC LIMIT ""&amp;QUERY('Global Variables'!$A:$B, ""SELECT Col2 WHERE Col1 = 'STA"&amp;"RTING_ROSTER_SIZE'"")),0))"),0.0)</f>
        <v>0</v>
      </c>
      <c r="CI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Col""&amp;COLUMN(CI$1)&amp;""=1""))&amp;""' ORDER BY Col6 DESC LIMIT ""&amp;QUERY('Global Variables'!$A:$B, ""SELECT Col2 WHERE Col1 = 'STA"&amp;"RTING_ROSTER_SIZE'"")),0))"),0.0)</f>
        <v>0</v>
      </c>
      <c r="CJ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Col""&amp;COLUMN(CJ$1)&amp;""=1""))&amp;""' ORDER BY Col6 DESC LIMIT ""&amp;QUERY('Global Variables'!$A:$B, ""SELECT Col2 WHERE Col1 = 'STA"&amp;"RTING_ROSTER_SIZE'"")),0))"),0.0)</f>
        <v>0</v>
      </c>
      <c r="CK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Col""&amp;COLUMN(CK$1)&amp;""=1""))&amp;""' ORDER BY Col6 DESC LIMIT ""&amp;QUERY('Global Variables'!$A:$B, ""SELECT Col2 WHERE Col1 = 'STA"&amp;"RTING_ROSTER_SIZE'"")),0))"),0.0)</f>
        <v>0</v>
      </c>
      <c r="CL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Col""&amp;COLUMN(CL$1)&amp;""=1""))&amp;""' ORDER BY Col6 DESC LIMIT ""&amp;QUERY('Global Variables'!$A:$B, ""SELECT Col2 WHERE Col1 = 'STA"&amp;"RTING_ROSTER_SIZE'"")),0))"),0.0)</f>
        <v>0</v>
      </c>
      <c r="CM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Col""&amp;COLUMN(CM$1)&amp;""=1""))&amp;""' ORDER BY Col6 DESC LIMIT ""&amp;QUERY('Global Variables'!$A:$B, ""SELECT Col2 WHERE Col1 = 'STA"&amp;"RTING_ROSTER_SIZE'"")),0))"),0.0)</f>
        <v>0</v>
      </c>
      <c r="CN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Col""&amp;COLUMN(CN$1)&amp;""=1""))&amp;""' ORDER BY Col6 DESC LIMIT ""&amp;QUERY('Global Variables'!$A:$B, ""SELECT Col2 WHERE Col1 = 'STA"&amp;"RTING_ROSTER_SIZE'"")),0))"),0.0)</f>
        <v>0</v>
      </c>
      <c r="CO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Col""&amp;COLUMN(CO$1)&amp;""=1""))&amp;""' ORDER BY Col6 DESC LIMIT ""&amp;QUERY('Global Variables'!$A:$B, ""SELECT Col2 WHERE Col1 = 'STA"&amp;"RTING_ROSTER_SIZE'"")),0))"),0.0)</f>
        <v>0</v>
      </c>
      <c r="CP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Col""&amp;COLUMN(CP$1)&amp;""=1""))&amp;""' ORDER BY Col6 DESC LIMIT ""&amp;QUERY('Global Variables'!$A:$B, ""SELECT Col2 WHERE Col1 = 'STA"&amp;"RTING_ROSTER_SIZE'"")),0))"),0.0)</f>
        <v>0</v>
      </c>
      <c r="CQ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Col""&amp;COLUMN(CQ$1)&amp;""=1""))&amp;""' ORDER BY Col6 DESC LIMIT ""&amp;QUERY('Global Variables'!$A:$B, ""SELECT Col2 WHERE Col1 = 'STA"&amp;"RTING_ROSTER_SIZE'"")),0))"),0.0)</f>
        <v>0</v>
      </c>
      <c r="CR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Col""&amp;COLUMN(CR$1)&amp;""=1""))&amp;""' ORDER BY Col6 DESC LIMIT ""&amp;QUERY('Global Variables'!$A:$B, ""SELECT Col2 WHERE Col1 = 'STA"&amp;"RTING_ROSTER_SIZE'"")),0))"),0.0)</f>
        <v>0</v>
      </c>
      <c r="CS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Col""&amp;COLUMN(CS$1)&amp;""=1""))&amp;""' ORDER BY Col6 DESC LIMIT ""&amp;QUERY('Global Variables'!$A:$B, ""SELECT Col2 WHERE Col1 = 'STA"&amp;"RTING_ROSTER_SIZE'"")),0))"),0.0)</f>
        <v>0</v>
      </c>
      <c r="CT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Col""&amp;COLUMN(CT$1)&amp;""=1""))&amp;""' ORDER BY Col6 DESC LIMIT ""&amp;QUERY('Global Variables'!$A:$B, ""SELECT Col2 WHERE Col1 = 'STA"&amp;"RTING_ROSTER_SIZE'"")),0))"),0.0)</f>
        <v>0</v>
      </c>
      <c r="CU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Col""&amp;COLUMN(CU$1)&amp;""=1""))&amp;""' ORDER BY Col6 DESC LIMIT ""&amp;QUERY('Global Variables'!$A:$B, ""SELECT Col2 WHERE Col1 = 'STA"&amp;"RTING_ROSTER_SIZE'"")),0))"),0.0)</f>
        <v>0</v>
      </c>
      <c r="CV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Col""&amp;COLUMN(CV$1)&amp;""=1""))&amp;""' ORDER BY Col6 DESC LIMIT ""&amp;QUERY('Global Variables'!$A:$B, ""SELECT Col2 WHERE Col1 = 'STA"&amp;"RTING_ROSTER_SIZE'"")),0))"),0.0)</f>
        <v>0</v>
      </c>
      <c r="CW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Col""&amp;COLUMN(CW$1)&amp;""=1""))&amp;""' ORDER BY Col6 DESC LIMIT ""&amp;QUERY('Global Variables'!$A:$B, ""SELECT Col2 WHERE Col1 = 'STA"&amp;"RTING_ROSTER_SIZE'"")),0))"),0.0)</f>
        <v>0</v>
      </c>
      <c r="CX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Col""&amp;COLUMN(CX$1)&amp;""=1""))&amp;""' ORDER BY Col6 DESC LIMIT ""&amp;QUERY('Global Variables'!$A:$B, ""SELECT Col2 WHERE Col1 = 'STA"&amp;"RTING_ROSTER_SIZE'"")),0))"),0.0)</f>
        <v>0</v>
      </c>
      <c r="CY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Col""&amp;COLUMN(CY$1)&amp;""=1""))&amp;""' ORDER BY Col6 DESC LIMIT ""&amp;QUERY('Global Variables'!$A:$B, ""SELECT Col2 WHERE Col1 = 'STA"&amp;"RTING_ROSTER_SIZE'"")),0))"),0.0)</f>
        <v>0</v>
      </c>
      <c r="CZ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Col""&amp;COLUMN(CZ$1)&amp;""=1""))&amp;""' ORDER BY Col6 DESC LIMIT ""&amp;QUERY('Global Variables'!$A:$B, ""SELECT Col2 WHERE Col1 = 'STA"&amp;"RTING_ROSTER_SIZE'"")),0))"),0.0)</f>
        <v>0</v>
      </c>
      <c r="DA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Col""&amp;COLUMN(DA$1)&amp;""=1""))&amp;""' ORDER BY Col6 DESC LIMIT ""&amp;QUERY('Global Variables'!$A:$B, ""SELECT Col2 WHERE Col1 = 'STA"&amp;"RTING_ROSTER_SIZE'"")),0))"),0.0)</f>
        <v>0</v>
      </c>
      <c r="DB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Col""&amp;COLUMN(DB$1)&amp;""=1""))&amp;""' ORDER BY Col6 DESC LIMIT ""&amp;QUERY('Global Variables'!$A:$B, ""SELECT Col2 WHERE Col1 = 'STA"&amp;"RTING_ROSTER_SIZE'"")),0))"),0.0)</f>
        <v>0</v>
      </c>
      <c r="DC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Col""&amp;COLUMN(DC$1)&amp;""=1""))&amp;""' ORDER BY Col6 DESC LIMIT ""&amp;QUERY('Global Variables'!$A:$B, ""SELECT Col2 WHERE Col1 = 'STA"&amp;"RTING_ROSTER_SIZE'"")),0))"),0.0)</f>
        <v>0</v>
      </c>
      <c r="DD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Col""&amp;COLUMN(DD$1)&amp;""=1""))&amp;""' ORDER BY Col6 DESC LIMIT ""&amp;QUERY('Global Variables'!$A:$B, ""SELECT Col2 WHERE Col1 = 'STA"&amp;"RTING_ROSTER_SIZE'"")),0))"),0.0)</f>
        <v>0</v>
      </c>
      <c r="DE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Col""&amp;COLUMN(DE$1)&amp;""=1""))&amp;""' ORDER BY Col6 DESC LIMIT ""&amp;QUERY('Global Variables'!$A:$B, ""SELECT Col2 WHERE Col1 = 'STA"&amp;"RTING_ROSTER_SIZE'"")),0))"),0.0)</f>
        <v>0</v>
      </c>
      <c r="DF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Col""&amp;COLUMN(DF$1)&amp;""=1""))&amp;""' ORDER BY Col6 DESC LIMIT ""&amp;QUERY('Global Variables'!$A:$B, ""SELECT Col2 WHERE Col1 = 'STA"&amp;"RTING_ROSTER_SIZE'"")),0))"),0.0)</f>
        <v>0</v>
      </c>
      <c r="DG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Col""&amp;COLUMN(DG$1)&amp;""=1""))&amp;""' ORDER BY Col6 DESC LIMIT ""&amp;QUERY('Global Variables'!$A:$B, ""SELECT Col2 WHERE Col1 = 'STA"&amp;"RTING_ROSTER_SIZE'"")),0))"),0.0)</f>
        <v>0</v>
      </c>
      <c r="DH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Col""&amp;COLUMN(DH$1)&amp;""=1""))&amp;""' ORDER BY Col6 DESC LIMIT ""&amp;QUERY('Global Variables'!$A:$B, ""SELECT Col2 WHERE Col1 = 'STA"&amp;"RTING_ROSTER_SIZE'"")),0))"),0.0)</f>
        <v>0</v>
      </c>
      <c r="DI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Col""&amp;COLUMN(DI$1)&amp;""=1""))&amp;""' ORDER BY Col6 DESC LIMIT ""&amp;QUERY('Global Variables'!$A:$B, ""SELECT Col2 WHERE Col1 = 'STA"&amp;"RTING_ROSTER_SIZE'"")),0))"),0.0)</f>
        <v>0</v>
      </c>
      <c r="DJ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Col""&amp;COLUMN(DJ$1)&amp;""=1""))&amp;""' ORDER BY Col6 DESC LIMIT ""&amp;QUERY('Global Variables'!$A:$B, ""SELECT Col2 WHERE Col1 = 'STA"&amp;"RTING_ROSTER_SIZE'"")),0))"),0.0)</f>
        <v>0</v>
      </c>
      <c r="DK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Col""&amp;COLUMN(DK$1)&amp;""=1""))&amp;""' ORDER BY Col6 DESC LIMIT ""&amp;QUERY('Global Variables'!$A:$B, ""SELECT Col2 WHERE Col1 = 'STA"&amp;"RTING_ROSTER_SIZE'"")),0))"),0.0)</f>
        <v>0</v>
      </c>
      <c r="DL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Col""&amp;COLUMN(DL$1)&amp;""=1""))&amp;""' ORDER BY Col6 DESC LIMIT ""&amp;QUERY('Global Variables'!$A:$B, ""SELECT Col2 WHERE Col1 = 'STA"&amp;"RTING_ROSTER_SIZE'"")),0))"),0.0)</f>
        <v>0</v>
      </c>
      <c r="DM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Col""&amp;COLUMN(DM$1)&amp;""=1""))&amp;""' ORDER BY Col6 DESC LIMIT ""&amp;QUERY('Global Variables'!$A:$B, ""SELECT Col2 WHERE Col1 = 'STA"&amp;"RTING_ROSTER_SIZE'"")),0))"),0.0)</f>
        <v>0</v>
      </c>
      <c r="DN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Col""&amp;COLUMN(DN$1)&amp;""=1""))&amp;""' ORDER BY Col6 DESC LIMIT ""&amp;QUERY('Global Variables'!$A:$B, ""SELECT Col2 WHERE Col1 = 'STA"&amp;"RTING_ROSTER_SIZE'"")),0))"),0.0)</f>
        <v>0</v>
      </c>
      <c r="DO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Col""&amp;COLUMN(DO$1)&amp;""=1""))&amp;""' ORDER BY Col6 DESC LIMIT ""&amp;QUERY('Global Variables'!$A:$B, ""SELECT Col2 WHERE Col1 = 'STA"&amp;"RTING_ROSTER_SIZE'"")),0))"),0.0)</f>
        <v>0</v>
      </c>
      <c r="DP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Col""&amp;COLUMN(DP$1)&amp;""=1""))&amp;""' ORDER BY Col6 DESC LIMIT ""&amp;QUERY('Global Variables'!$A:$B, ""SELECT Col2 WHERE Col1 = 'STA"&amp;"RTING_ROSTER_SIZE'"")),0))"),0.0)</f>
        <v>0</v>
      </c>
      <c r="DQ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Col""&amp;COLUMN(DQ$1)&amp;""=1""))&amp;""' ORDER BY Col6 DESC LIMIT ""&amp;QUERY('Global Variables'!$A:$B, ""SELECT Col2 WHERE Col1 = 'STA"&amp;"RTING_ROSTER_SIZE'"")),0))"),0.0)</f>
        <v>0</v>
      </c>
      <c r="DR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Col""&amp;COLUMN(DR$1)&amp;""=1""))&amp;""' ORDER BY Col6 DESC LIMIT ""&amp;QUERY('Global Variables'!$A:$B, ""SELECT Col2 WHERE Col1 = 'STA"&amp;"RTING_ROSTER_SIZE'"")),0))"),0.0)</f>
        <v>0</v>
      </c>
      <c r="DS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Col""&amp;COLUMN(DS$1)&amp;""=1""))&amp;""' ORDER BY Col6 DESC LIMIT ""&amp;QUERY('Global Variables'!$A:$B, ""SELECT Col2 WHERE Col1 = 'STA"&amp;"RTING_ROSTER_SIZE'"")),0))"),0.0)</f>
        <v>0</v>
      </c>
      <c r="DT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Col""&amp;COLUMN(DT$1)&amp;""=1""))&amp;""' ORDER BY Col6 DESC LIMIT ""&amp;QUERY('Global Variables'!$A:$B, ""SELECT Col2 WHERE Col1 = 'STA"&amp;"RTING_ROSTER_SIZE'"")),0))"),0.0)</f>
        <v>0</v>
      </c>
      <c r="DU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Col""&amp;COLUMN(DU$1)&amp;""=1""))&amp;""' ORDER BY Col6 DESC LIMIT ""&amp;QUERY('Global Variables'!$A:$B, ""SELECT Col2 WHERE Col1 = 'STA"&amp;"RTING_ROSTER_SIZE'"")),0))"),0.0)</f>
        <v>0</v>
      </c>
      <c r="DV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Col""&amp;COLUMN(DV$1)&amp;""=1""))&amp;""' ORDER BY Col6 DESC LIMIT ""&amp;QUERY('Global Variables'!$A:$B, ""SELECT Col2 WHERE Col1 = 'STA"&amp;"RTING_ROSTER_SIZE'"")),0))"),0.0)</f>
        <v>0</v>
      </c>
      <c r="DW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Col""&amp;COLUMN(DW$1)&amp;""=1""))&amp;""' ORDER BY Col6 DESC LIMIT ""&amp;QUERY('Global Variables'!$A:$B, ""SELECT Col2 WHERE Col1 = 'STA"&amp;"RTING_ROSTER_SIZE'"")),0))"),0.0)</f>
        <v>0</v>
      </c>
      <c r="DX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Col""&amp;COLUMN(DX$1)&amp;""=1""))&amp;""' ORDER BY Col6 DESC LIMIT ""&amp;QUERY('Global Variables'!$A:$B, ""SELECT Col2 WHERE Col1 = 'STA"&amp;"RTING_ROSTER_SIZE'"")),0))"),0.0)</f>
        <v>0</v>
      </c>
      <c r="DY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Col""&amp;COLUMN(DY$1)&amp;""=1""))&amp;""' ORDER BY Col6 DESC LIMIT ""&amp;QUERY('Global Variables'!$A:$B, ""SELECT Col2 WHERE Col1 = 'STA"&amp;"RTING_ROSTER_SIZE'"")),0))"),0.0)</f>
        <v>0</v>
      </c>
      <c r="DZ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Col""&amp;COLUMN(DZ$1)&amp;""=1""))&amp;""' ORDER BY Col6 DESC LIMIT ""&amp;QUERY('Global Variables'!$A:$B, ""SELECT Col2 WHERE Col1 = 'STA"&amp;"RTING_ROSTER_SIZE'"")),0))"),0.0)</f>
        <v>0</v>
      </c>
      <c r="EA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Col""&amp;COLUMN(EA$1)&amp;""=1""))&amp;""' ORDER BY Col6 DESC LIMIT ""&amp;QUERY('Global Variables'!$A:$B, ""SELECT Col2 WHERE Col1 = 'STA"&amp;"RTING_ROSTER_SIZE'"")),0))"),0.0)</f>
        <v>0</v>
      </c>
      <c r="EB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Col""&amp;COLUMN(EB$1)&amp;""=1""))&amp;""' ORDER BY Col6 DESC LIMIT ""&amp;QUERY('Global Variables'!$A:$B, ""SELECT Col2 WHERE Col1 = 'STA"&amp;"RTING_ROSTER_SIZE'"")),0))"),0.0)</f>
        <v>0</v>
      </c>
      <c r="EC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Col""&amp;COLUMN(EC$1)&amp;""=1""))&amp;""' ORDER BY Col6 DESC LIMIT ""&amp;QUERY('Global Variables'!$A:$B, ""SELECT Col2 WHERE Col1 = 'STA"&amp;"RTING_ROSTER_SIZE'"")),0))"),0.0)</f>
        <v>0</v>
      </c>
      <c r="ED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Col""&amp;COLUMN(ED$1)&amp;""=1""))&amp;""' ORDER BY Col6 DESC LIMIT ""&amp;QUERY('Global Variables'!$A:$B, ""SELECT Col2 WHERE Col1 = 'STA"&amp;"RTING_ROSTER_SIZE'"")),0))"),0.0)</f>
        <v>0</v>
      </c>
      <c r="EE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Col""&amp;COLUMN(EE$1)&amp;""=1""))&amp;""' ORDER BY Col6 DESC LIMIT ""&amp;QUERY('Global Variables'!$A:$B, ""SELECT Col2 WHERE Col1 = 'STA"&amp;"RTING_ROSTER_SIZE'"")),0))"),0.0)</f>
        <v>0</v>
      </c>
      <c r="EF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Col""&amp;COLUMN(EF$1)&amp;""=1""))&amp;""' ORDER BY Col6 DESC LIMIT ""&amp;QUERY('Global Variables'!$A:$B, ""SELECT Col2 WHERE Col1 = 'STA"&amp;"RTING_ROSTER_SIZE'"")),0))"),0.0)</f>
        <v>0</v>
      </c>
      <c r="EG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Col""&amp;COLUMN(EG$1)&amp;""=1""))&amp;""' ORDER BY Col6 DESC LIMIT ""&amp;QUERY('Global Variables'!$A:$B, ""SELECT Col2 WHERE Col1 = 'STA"&amp;"RTING_ROSTER_SIZE'"")),0))"),0.0)</f>
        <v>0</v>
      </c>
      <c r="EH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Col""&amp;COLUMN(EH$1)&amp;""=1""))&amp;""' ORDER BY Col6 DESC LIMIT ""&amp;QUERY('Global Variables'!$A:$B, ""SELECT Col2 WHERE Col1 = 'STA"&amp;"RTING_ROSTER_SIZE'"")),0))"),0.0)</f>
        <v>0</v>
      </c>
      <c r="EI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Col""&amp;COLUMN(EI$1)&amp;""=1""))&amp;""' ORDER BY Col6 DESC LIMIT ""&amp;QUERY('Global Variables'!$A:$B, ""SELECT Col2 WHERE Col1 = 'STA"&amp;"RTING_ROSTER_SIZE'"")),0))"),0.0)</f>
        <v>0</v>
      </c>
      <c r="EJ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Col""&amp;COLUMN(EJ$1)&amp;""=1""))&amp;""' ORDER BY Col6 DESC LIMIT ""&amp;QUERY('Global Variables'!$A:$B, ""SELECT Col2 WHERE Col1 = 'STA"&amp;"RTING_ROSTER_SIZE'"")),0))"),0.0)</f>
        <v>0</v>
      </c>
      <c r="EK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Col""&amp;COLUMN(EK$1)&amp;""=1""))&amp;""' ORDER BY Col6 DESC LIMIT ""&amp;QUERY('Global Variables'!$A:$B, ""SELECT Col2 WHERE Col1 = 'STA"&amp;"RTING_ROSTER_SIZE'"")),0))"),0.0)</f>
        <v>0</v>
      </c>
      <c r="EL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Col""&amp;COLUMN(EL$1)&amp;""=1""))&amp;""' ORDER BY Col6 DESC LIMIT ""&amp;QUERY('Global Variables'!$A:$B, ""SELECT Col2 WHERE Col1 = 'STA"&amp;"RTING_ROSTER_SIZE'"")),0))"),0.0)</f>
        <v>0</v>
      </c>
      <c r="EM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Col""&amp;COLUMN(EM$1)&amp;""=1""))&amp;""' ORDER BY Col6 DESC LIMIT ""&amp;QUERY('Global Variables'!$A:$B, ""SELECT Col2 WHERE Col1 = 'STA"&amp;"RTING_ROSTER_SIZE'"")),0))"),0.0)</f>
        <v>0</v>
      </c>
      <c r="EN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Col""&amp;COLUMN(EN$1)&amp;""=1""))&amp;""' ORDER BY Col6 DESC LIMIT ""&amp;QUERY('Global Variables'!$A:$B, ""SELECT Col2 WHERE Col1 = 'STA"&amp;"RTING_ROSTER_SIZE'"")),0))"),0.0)</f>
        <v>0</v>
      </c>
      <c r="EO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Col""&amp;COLUMN(EO$1)&amp;""=1""))&amp;""' ORDER BY Col6 DESC LIMIT ""&amp;QUERY('Global Variables'!$A:$B, ""SELECT Col2 WHERE Col1 = 'STA"&amp;"RTING_ROSTER_SIZE'"")),0))"),0.0)</f>
        <v>0</v>
      </c>
      <c r="EP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Col""&amp;COLUMN(EP$1)&amp;""=1""))&amp;""' ORDER BY Col6 DESC LIMIT ""&amp;QUERY('Global Variables'!$A:$B, ""SELECT Col2 WHERE Col1 = 'STA"&amp;"RTING_ROSTER_SIZE'"")),0))"),0.0)</f>
        <v>0</v>
      </c>
      <c r="EQ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Col""&amp;COLUMN(EQ$1)&amp;""=1""))&amp;""' ORDER BY Col6 DESC LIMIT ""&amp;QUERY('Global Variables'!$A:$B, ""SELECT Col2 WHERE Col1 = 'STA"&amp;"RTING_ROSTER_SIZE'"")),0))"),0.0)</f>
        <v>0</v>
      </c>
      <c r="ER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Col""&amp;COLUMN(ER$1)&amp;""=1""))&amp;""' ORDER BY Col6 DESC LIMIT ""&amp;QUERY('Global Variables'!$A:$B, ""SELECT Col2 WHERE Col1 = 'STA"&amp;"RTING_ROSTER_SIZE'"")),0))"),0.0)</f>
        <v>0</v>
      </c>
      <c r="ES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Col""&amp;COLUMN(ES$1)&amp;""=1""))&amp;""' ORDER BY Col6 DESC LIMIT ""&amp;QUERY('Global Variables'!$A:$B, ""SELECT Col2 WHERE Col1 = 'STA"&amp;"RTING_ROSTER_SIZE'"")),0))"),0.0)</f>
        <v>0</v>
      </c>
      <c r="ET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Col""&amp;COLUMN(ET$1)&amp;""=1""))&amp;""' ORDER BY Col6 DESC LIMIT ""&amp;QUERY('Global Variables'!$A:$B, ""SELECT Col2 WHERE Col1 = 'STA"&amp;"RTING_ROSTER_SIZE'"")),0))"),0.0)</f>
        <v>0</v>
      </c>
      <c r="EU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Col""&amp;COLUMN(EU$1)&amp;""=1""))&amp;""' ORDER BY Col6 DESC LIMIT ""&amp;QUERY('Global Variables'!$A:$B, ""SELECT Col2 WHERE Col1 = 'STA"&amp;"RTING_ROSTER_SIZE'"")),0))"),0.0)</f>
        <v>0</v>
      </c>
      <c r="EV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Col""&amp;COLUMN(EV$1)&amp;""=1""))&amp;""' ORDER BY Col6 DESC LIMIT ""&amp;QUERY('Global Variables'!$A:$B, ""SELECT Col2 WHERE Col1 = 'STA"&amp;"RTING_ROSTER_SIZE'"")),0))"),0.0)</f>
        <v>0</v>
      </c>
      <c r="EW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Col""&amp;COLUMN(EW$1)&amp;""=1""))&amp;""' ORDER BY Col6 DESC LIMIT ""&amp;QUERY('Global Variables'!$A:$B, ""SELECT Col2 WHERE Col1 = 'STA"&amp;"RTING_ROSTER_SIZE'"")),0))"),0.0)</f>
        <v>0</v>
      </c>
      <c r="EX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Col""&amp;COLUMN(EX$1)&amp;""=1""))&amp;""' ORDER BY Col6 DESC LIMIT ""&amp;QUERY('Global Variables'!$A:$B, ""SELECT Col2 WHERE Col1 = 'STA"&amp;"RTING_ROSTER_SIZE'"")),0))"),0.0)</f>
        <v>0</v>
      </c>
      <c r="EY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Col""&amp;COLUMN(EY$1)&amp;""=1""))&amp;""' ORDER BY Col6 DESC LIMIT ""&amp;QUERY('Global Variables'!$A:$B, ""SELECT Col2 WHERE Col1 = 'STA"&amp;"RTING_ROSTER_SIZE'"")),0))"),0.0)</f>
        <v>0</v>
      </c>
      <c r="EZ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Col""&amp;COLUMN(EZ$1)&amp;""=1""))&amp;""' ORDER BY Col6 DESC LIMIT ""&amp;QUERY('Global Variables'!$A:$B, ""SELECT Col2 WHERE Col1 = 'STA"&amp;"RTING_ROSTER_SIZE'"")),0))"),0.0)</f>
        <v>0</v>
      </c>
      <c r="FA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Col""&amp;COLUMN(FA$1)&amp;""=1""))&amp;""' ORDER BY Col6 DESC LIMIT ""&amp;QUERY('Global Variables'!$A:$B, ""SELECT Col2 WHERE Col1 = 'STA"&amp;"RTING_ROSTER_SIZE'"")),0))"),0.0)</f>
        <v>0</v>
      </c>
      <c r="FB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Col""&amp;COLUMN(FB$1)&amp;""=1""))&amp;""' ORDER BY Col6 DESC LIMIT ""&amp;QUERY('Global Variables'!$A:$B, ""SELECT Col2 WHERE Col1 = 'STA"&amp;"RTING_ROSTER_SIZE'"")),0))"),0.0)</f>
        <v>0</v>
      </c>
      <c r="FC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Col""&amp;COLUMN(FC$1)&amp;""=1""))&amp;""' ORDER BY Col6 DESC LIMIT ""&amp;QUERY('Global Variables'!$A:$B, ""SELECT Col2 WHERE Col1 = 'STA"&amp;"RTING_ROSTER_SIZE'"")),0))"),0.0)</f>
        <v>0</v>
      </c>
      <c r="FD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Col""&amp;COLUMN(FD$1)&amp;""=1""))&amp;""' ORDER BY Col6 DESC LIMIT ""&amp;QUERY('Global Variables'!$A:$B, ""SELECT Col2 WHERE Col1 = 'STA"&amp;"RTING_ROSTER_SIZE'"")),0))"),0.0)</f>
        <v>0</v>
      </c>
      <c r="FE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Col""&amp;COLUMN(FE$1)&amp;""=1""))&amp;""' ORDER BY Col6 DESC LIMIT ""&amp;QUERY('Global Variables'!$A:$B, ""SELECT Col2 WHERE Col1 = 'STA"&amp;"RTING_ROSTER_SIZE'"")),0))"),0.0)</f>
        <v>0</v>
      </c>
      <c r="FF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Col""&amp;COLUMN(FF$1)&amp;""=1""))&amp;""' ORDER BY Col6 DESC LIMIT ""&amp;QUERY('Global Variables'!$A:$B, ""SELECT Col2 WHERE Col1 = 'STA"&amp;"RTING_ROSTER_SIZE'"")),0))"),0.0)</f>
        <v>0</v>
      </c>
      <c r="FG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Col""&amp;COLUMN(FG$1)&amp;""=1""))&amp;""' ORDER BY Col6 DESC LIMIT ""&amp;QUERY('Global Variables'!$A:$B, ""SELECT Col2 WHERE Col1 = 'STA"&amp;"RTING_ROSTER_SIZE'"")),0))"),0.0)</f>
        <v>0</v>
      </c>
      <c r="FH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Col""&amp;COLUMN(FH$1)&amp;""=1""))&amp;""' ORDER BY Col6 DESC LIMIT ""&amp;QUERY('Global Variables'!$A:$B, ""SELECT Col2 WHERE Col1 = 'STA"&amp;"RTING_ROSTER_SIZE'"")),0))"),0.0)</f>
        <v>0</v>
      </c>
      <c r="FI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Col""&amp;COLUMN(FI$1)&amp;""=1""))&amp;""' ORDER BY Col6 DESC LIMIT ""&amp;QUERY('Global Variables'!$A:$B, ""SELECT Col2 WHERE Col1 = 'STA"&amp;"RTING_ROSTER_SIZE'"")),0))"),0.0)</f>
        <v>0</v>
      </c>
      <c r="FJ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Col""&amp;COLUMN(FJ$1)&amp;""=1""))&amp;""' ORDER BY Col6 DESC LIMIT ""&amp;QUERY('Global Variables'!$A:$B, ""SELECT Col2 WHERE Col1 = 'STA"&amp;"RTING_ROSTER_SIZE'"")),0))"),0.0)</f>
        <v>0</v>
      </c>
      <c r="FK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Col""&amp;COLUMN(FK$1)&amp;""=1""))&amp;""' ORDER BY Col6 DESC LIMIT ""&amp;QUERY('Global Variables'!$A:$B, ""SELECT Col2 WHERE Col1 = 'STA"&amp;"RTING_ROSTER_SIZE'"")),0))"),0.0)</f>
        <v>0</v>
      </c>
      <c r="FL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Col""&amp;COLUMN(FL$1)&amp;""=1""))&amp;""' ORDER BY Col6 DESC LIMIT ""&amp;QUERY('Global Variables'!$A:$B, ""SELECT Col2 WHERE Col1 = 'STA"&amp;"RTING_ROSTER_SIZE'"")),0))"),0.0)</f>
        <v>0</v>
      </c>
      <c r="FM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Col""&amp;COLUMN(FM$1)&amp;""=1""))&amp;""' ORDER BY Col6 DESC LIMIT ""&amp;QUERY('Global Variables'!$A:$B, ""SELECT Col2 WHERE Col1 = 'STA"&amp;"RTING_ROSTER_SIZE'"")),0))"),0.0)</f>
        <v>0</v>
      </c>
      <c r="FN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Col""&amp;COLUMN(FN$1)&amp;""=1""))&amp;""' ORDER BY Col6 DESC LIMIT ""&amp;QUERY('Global Variables'!$A:$B, ""SELECT Col2 WHERE Col1 = 'STA"&amp;"RTING_ROSTER_SIZE'"")),0))"),0.0)</f>
        <v>0</v>
      </c>
      <c r="FO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Col""&amp;COLUMN(FO$1)&amp;""=1""))&amp;""' ORDER BY Col6 DESC LIMIT ""&amp;QUERY('Global Variables'!$A:$B, ""SELECT Col2 WHERE Col1 = 'STA"&amp;"RTING_ROSTER_SIZE'"")),0))"),0.0)</f>
        <v>0</v>
      </c>
      <c r="FP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Col""&amp;COLUMN(FP$1)&amp;""=1""))&amp;""' ORDER BY Col6 DESC LIMIT ""&amp;QUERY('Global Variables'!$A:$B, ""SELECT Col2 WHERE Col1 = 'STA"&amp;"RTING_ROSTER_SIZE'"")),0))"),0.0)</f>
        <v>0</v>
      </c>
      <c r="FQ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Col""&amp;COLUMN(FQ$1)&amp;""=1""))&amp;""' ORDER BY Col6 DESC LIMIT ""&amp;QUERY('Global Variables'!$A:$B, ""SELECT Col2 WHERE Col1 = 'STA"&amp;"RTING_ROSTER_SIZE'"")),0))"),0.0)</f>
        <v>0</v>
      </c>
      <c r="FR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Col""&amp;COLUMN(FR$1)&amp;""=1""))&amp;""' ORDER BY Col6 DESC LIMIT ""&amp;QUERY('Global Variables'!$A:$B, ""SELECT Col2 WHERE Col1 = 'STA"&amp;"RTING_ROSTER_SIZE'"")),0))"),0.0)</f>
        <v>0</v>
      </c>
      <c r="FS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Col""&amp;COLUMN(FS$1)&amp;""=1""))&amp;""' ORDER BY Col6 DESC LIMIT ""&amp;QUERY('Global Variables'!$A:$B, ""SELECT Col2 WHERE Col1 = 'STA"&amp;"RTING_ROSTER_SIZE'"")),0))"),0.0)</f>
        <v>0</v>
      </c>
      <c r="FT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Col""&amp;COLUMN(FT$1)&amp;""=1""))&amp;""' ORDER BY Col6 DESC LIMIT ""&amp;QUERY('Global Variables'!$A:$B, ""SELECT Col2 WHERE Col1 = 'STA"&amp;"RTING_ROSTER_SIZE'"")),0))"),0.0)</f>
        <v>0</v>
      </c>
      <c r="FU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Col""&amp;COLUMN(FU$1)&amp;""=1""))&amp;""' ORDER BY Col6 DESC LIMIT ""&amp;QUERY('Global Variables'!$A:$B, ""SELECT Col2 WHERE Col1 = 'STA"&amp;"RTING_ROSTER_SIZE'"")),0))"),0.0)</f>
        <v>0</v>
      </c>
      <c r="FV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Col""&amp;COLUMN(FV$1)&amp;""=1""))&amp;""' ORDER BY Col6 DESC LIMIT ""&amp;QUERY('Global Variables'!$A:$B, ""SELECT Col2 WHERE Col1 = 'STA"&amp;"RTING_ROSTER_SIZE'"")),0))"),0.0)</f>
        <v>0</v>
      </c>
      <c r="FW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Col""&amp;COLUMN(FW$1)&amp;""=1""))&amp;""' ORDER BY Col6 DESC LIMIT ""&amp;QUERY('Global Variables'!$A:$B, ""SELECT Col2 WHERE Col1 = 'STA"&amp;"RTING_ROSTER_SIZE'"")),0))"),0.0)</f>
        <v>0</v>
      </c>
      <c r="FX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Col""&amp;COLUMN(FX$1)&amp;""=1""))&amp;""' ORDER BY Col6 DESC LIMIT ""&amp;QUERY('Global Variables'!$A:$B, ""SELECT Col2 WHERE Col1 = 'STA"&amp;"RTING_ROSTER_SIZE'"")),0))"),0.0)</f>
        <v>0</v>
      </c>
      <c r="FY3" s="9">
        <f>IFERROR(__xludf.DUMMYFUNCTION("SUM(
IFERROR(QUERY(
IFERROR(
OFFSET(Teams!$A$1,MATCH($A3,Teams!$A:$A,0),1,QUERY('Global Variables'!$A:$B, ""SELECT Col2 WHERE Col1 = '""&amp;IF($B$21,""TEAM_SIZE"",""ACTIVE_ROSTER_SIZE"")&amp;""'""),QUERY('Global Variables'!$A:$B, ""SELECT Col2 WHERE Col1 = 'TEAM"&amp;"_DATA_FIELD_COUNT'"")),
OFFSET(Teams!$K$1,MATCH($A3,Teams!$K:$K,0),1,QUERY('Global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Col""&amp;COLUMN(FY$1)&amp;""=1""))&amp;""' ORDER BY Col6 DESC LIMIT ""&amp;QUERY('Global Variables'!$A:$B, ""SELECT Col2 WHERE Col1 = 'STA"&amp;"RTING_ROSTER_SIZE'"")),0))"),0.0)</f>
        <v>0</v>
      </c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</row>
    <row r="4">
      <c r="A4" s="32" t="str">
        <f>'Weekly EDSA'!A3</f>
        <v>Brown</v>
      </c>
      <c r="B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Col""&amp;COLUMN(B$1)&amp;""=1""))&amp;""' ORDER BY Col6 DESC LIMIT ""&amp;QUERY('Global Variables'!$A:$B, ""SELECT Col2 WHERE Col1 = 'STAR"&amp;"TING_ROSTER_SIZE'"")),0))"),0.0)</f>
        <v>0</v>
      </c>
      <c r="C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Col""&amp;COLUMN(C$1)&amp;""=1""))&amp;""' ORDER BY Col6 DESC LIMIT ""&amp;QUERY('Global Variables'!$A:$B, ""SELECT Col2 WHERE Col1 = 'STAR"&amp;"TING_ROSTER_SIZE'"")),0))"),0.0)</f>
        <v>0</v>
      </c>
      <c r="D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Col""&amp;COLUMN(D$1)&amp;""=1""))&amp;""' ORDER BY Col6 DESC LIMIT ""&amp;QUERY('Global Variables'!$A:$B, ""SELECT Col2 WHERE Col1 = 'STAR"&amp;"TING_ROSTER_SIZE'"")),0))"),0.0)</f>
        <v>0</v>
      </c>
      <c r="E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Col""&amp;COLUMN(E$1)&amp;""=1""))&amp;""' ORDER BY Col6 DESC LIMIT ""&amp;QUERY('Global Variables'!$A:$B, ""SELECT Col2 WHERE Col1 = 'STAR"&amp;"TING_ROSTER_SIZE'"")),0))"),0.0)</f>
        <v>0</v>
      </c>
      <c r="F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Col""&amp;COLUMN(F$1)&amp;""=1""))&amp;""' ORDER BY Col6 DESC LIMIT ""&amp;QUERY('Global Variables'!$A:$B, ""SELECT Col2 WHERE Col1 = 'STAR"&amp;"TING_ROSTER_SIZE'"")),0))"),0.0)</f>
        <v>0</v>
      </c>
      <c r="G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Col""&amp;COLUMN(G$1)&amp;""=1""))&amp;""' ORDER BY Col6 DESC LIMIT ""&amp;QUERY('Global Variables'!$A:$B, ""SELECT Col2 WHERE Col1 = 'STAR"&amp;"TING_ROSTER_SIZE'"")),0))"),0.0)</f>
        <v>0</v>
      </c>
      <c r="H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Col""&amp;COLUMN(H$1)&amp;""=1""))&amp;""' ORDER BY Col6 DESC LIMIT ""&amp;QUERY('Global Variables'!$A:$B, ""SELECT Col2 WHERE Col1 = 'STAR"&amp;"TING_ROSTER_SIZE'"")),0))"),0.0)</f>
        <v>0</v>
      </c>
      <c r="I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Col""&amp;COLUMN(I$1)&amp;""=1""))&amp;""' ORDER BY Col6 DESC LIMIT ""&amp;QUERY('Global Variables'!$A:$B, ""SELECT Col2 WHERE Col1 = 'STAR"&amp;"TING_ROSTER_SIZE'"")),0))"),0.0)</f>
        <v>0</v>
      </c>
      <c r="J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Col""&amp;COLUMN(J$1)&amp;""=1""))&amp;""' ORDER BY Col6 DESC LIMIT ""&amp;QUERY('Global Variables'!$A:$B, ""SELECT Col2 WHERE Col1 = 'STAR"&amp;"TING_ROSTER_SIZE'"")),0))"),0.0)</f>
        <v>0</v>
      </c>
      <c r="K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Col""&amp;COLUMN(K$1)&amp;""=1""))&amp;""' ORDER BY Col6 DESC LIMIT ""&amp;QUERY('Global Variables'!$A:$B, ""SELECT Col2 WHERE Col1 = 'STAR"&amp;"TING_ROSTER_SIZE'"")),0))"),0.0)</f>
        <v>0</v>
      </c>
      <c r="L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Col""&amp;COLUMN(L$1)&amp;""=1""))&amp;""' ORDER BY Col6 DESC LIMIT ""&amp;QUERY('Global Variables'!$A:$B, ""SELECT Col2 WHERE Col1 = 'STAR"&amp;"TING_ROSTER_SIZE'"")),0))"),0.0)</f>
        <v>0</v>
      </c>
      <c r="M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Col""&amp;COLUMN(M$1)&amp;""=1""))&amp;""' ORDER BY Col6 DESC LIMIT ""&amp;QUERY('Global Variables'!$A:$B, ""SELECT Col2 WHERE Col1 = 'STAR"&amp;"TING_ROSTER_SIZE'"")),0))"),0.0)</f>
        <v>0</v>
      </c>
      <c r="N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Col""&amp;COLUMN(N$1)&amp;""=1""))&amp;""' ORDER BY Col6 DESC LIMIT ""&amp;QUERY('Global Variables'!$A:$B, ""SELECT Col2 WHERE Col1 = 'STAR"&amp;"TING_ROSTER_SIZE'"")),0))"),0.0)</f>
        <v>0</v>
      </c>
      <c r="O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Col""&amp;COLUMN(O$1)&amp;""=1""))&amp;""' ORDER BY Col6 DESC LIMIT ""&amp;QUERY('Global Variables'!$A:$B, ""SELECT Col2 WHERE Col1 = 'STAR"&amp;"TING_ROSTER_SIZE'"")),0))"),0.0)</f>
        <v>0</v>
      </c>
      <c r="P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Col""&amp;COLUMN(P$1)&amp;""=1""))&amp;""' ORDER BY Col6 DESC LIMIT ""&amp;QUERY('Global Variables'!$A:$B, ""SELECT Col2 WHERE Col1 = 'STAR"&amp;"TING_ROSTER_SIZE'"")),0))"),0.0)</f>
        <v>0</v>
      </c>
      <c r="Q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Col""&amp;COLUMN(Q$1)&amp;""=1""))&amp;""' ORDER BY Col6 DESC LIMIT ""&amp;QUERY('Global Variables'!$A:$B, ""SELECT Col2 WHERE Col1 = 'STAR"&amp;"TING_ROSTER_SIZE'"")),0))"),0.0)</f>
        <v>0</v>
      </c>
      <c r="R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Col""&amp;COLUMN(R$1)&amp;""=1""))&amp;""' ORDER BY Col6 DESC LIMIT ""&amp;QUERY('Global Variables'!$A:$B, ""SELECT Col2 WHERE Col1 = 'STAR"&amp;"TING_ROSTER_SIZE'"")),0))"),0.0)</f>
        <v>0</v>
      </c>
      <c r="S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Col""&amp;COLUMN(S$1)&amp;""=1""))&amp;""' ORDER BY Col6 DESC LIMIT ""&amp;QUERY('Global Variables'!$A:$B, ""SELECT Col2 WHERE Col1 = 'STAR"&amp;"TING_ROSTER_SIZE'"")),0))"),0.0)</f>
        <v>0</v>
      </c>
      <c r="T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Col""&amp;COLUMN(T$1)&amp;""=1""))&amp;""' ORDER BY Col6 DESC LIMIT ""&amp;QUERY('Global Variables'!$A:$B, ""SELECT Col2 WHERE Col1 = 'STAR"&amp;"TING_ROSTER_SIZE'"")),0))"),0.0)</f>
        <v>0</v>
      </c>
      <c r="U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Col""&amp;COLUMN(U$1)&amp;""=1""))&amp;""' ORDER BY Col6 DESC LIMIT ""&amp;QUERY('Global Variables'!$A:$B, ""SELECT Col2 WHERE Col1 = 'STAR"&amp;"TING_ROSTER_SIZE'"")),0))"),0.0)</f>
        <v>0</v>
      </c>
      <c r="V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Col""&amp;COLUMN(V$1)&amp;""=1""))&amp;""' ORDER BY Col6 DESC LIMIT ""&amp;QUERY('Global Variables'!$A:$B, ""SELECT Col2 WHERE Col1 = 'STAR"&amp;"TING_ROSTER_SIZE'"")),0))"),0.0)</f>
        <v>0</v>
      </c>
      <c r="W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Col""&amp;COLUMN(W$1)&amp;""=1""))&amp;""' ORDER BY Col6 DESC LIMIT ""&amp;QUERY('Global Variables'!$A:$B, ""SELECT Col2 WHERE Col1 = 'STAR"&amp;"TING_ROSTER_SIZE'"")),0))"),0.0)</f>
        <v>0</v>
      </c>
      <c r="X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Col""&amp;COLUMN(X$1)&amp;""=1""))&amp;""' ORDER BY Col6 DESC LIMIT ""&amp;QUERY('Global Variables'!$A:$B, ""SELECT Col2 WHERE Col1 = 'STAR"&amp;"TING_ROSTER_SIZE'"")),0))"),0.0)</f>
        <v>0</v>
      </c>
      <c r="Y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Col""&amp;COLUMN(Y$1)&amp;""=1""))&amp;""' ORDER BY Col6 DESC LIMIT ""&amp;QUERY('Global Variables'!$A:$B, ""SELECT Col2 WHERE Col1 = 'STAR"&amp;"TING_ROSTER_SIZE'"")),0))"),0.0)</f>
        <v>0</v>
      </c>
      <c r="Z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Col""&amp;COLUMN(Z$1)&amp;""=1""))&amp;""' ORDER BY Col6 DESC LIMIT ""&amp;QUERY('Global Variables'!$A:$B, ""SELECT Col2 WHERE Col1 = 'STAR"&amp;"TING_ROSTER_SIZE'"")),0))"),0.0)</f>
        <v>0</v>
      </c>
      <c r="AA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Col""&amp;COLUMN(AA$1)&amp;""=1""))&amp;""' ORDER BY Col6 DESC LIMIT ""&amp;QUERY('Global Variables'!$A:$B, ""SELECT Col2 WHERE Col1 = 'STA"&amp;"RTING_ROSTER_SIZE'"")),0))"),0.0)</f>
        <v>0</v>
      </c>
      <c r="AB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Col""&amp;COLUMN(AB$1)&amp;""=1""))&amp;""' ORDER BY Col6 DESC LIMIT ""&amp;QUERY('Global Variables'!$A:$B, ""SELECT Col2 WHERE Col1 = 'STA"&amp;"RTING_ROSTER_SIZE'"")),0))"),0.0)</f>
        <v>0</v>
      </c>
      <c r="AC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Col""&amp;COLUMN(AC$1)&amp;""=1""))&amp;""' ORDER BY Col6 DESC LIMIT ""&amp;QUERY('Global Variables'!$A:$B, ""SELECT Col2 WHERE Col1 = 'STA"&amp;"RTING_ROSTER_SIZE'"")),0))"),0.0)</f>
        <v>0</v>
      </c>
      <c r="AD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Col""&amp;COLUMN(AD$1)&amp;""=1""))&amp;""' ORDER BY Col6 DESC LIMIT ""&amp;QUERY('Global Variables'!$A:$B, ""SELECT Col2 WHERE Col1 = 'STA"&amp;"RTING_ROSTER_SIZE'"")),0))"),0.0)</f>
        <v>0</v>
      </c>
      <c r="AE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Col""&amp;COLUMN(AE$1)&amp;""=1""))&amp;""' ORDER BY Col6 DESC LIMIT ""&amp;QUERY('Global Variables'!$A:$B, ""SELECT Col2 WHERE Col1 = 'STA"&amp;"RTING_ROSTER_SIZE'"")),0))"),0.0)</f>
        <v>0</v>
      </c>
      <c r="AF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Col""&amp;COLUMN(AF$1)&amp;""=1""))&amp;""' ORDER BY Col6 DESC LIMIT ""&amp;QUERY('Global Variables'!$A:$B, ""SELECT Col2 WHERE Col1 = 'STA"&amp;"RTING_ROSTER_SIZE'"")),0))"),0.0)</f>
        <v>0</v>
      </c>
      <c r="AG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Col""&amp;COLUMN(AG$1)&amp;""=1""))&amp;""' ORDER BY Col6 DESC LIMIT ""&amp;QUERY('Global Variables'!$A:$B, ""SELECT Col2 WHERE Col1 = 'STA"&amp;"RTING_ROSTER_SIZE'"")),0))"),0.0)</f>
        <v>0</v>
      </c>
      <c r="AH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Col""&amp;COLUMN(AH$1)&amp;""=1""))&amp;""' ORDER BY Col6 DESC LIMIT ""&amp;QUERY('Global Variables'!$A:$B, ""SELECT Col2 WHERE Col1 = 'STA"&amp;"RTING_ROSTER_SIZE'"")),0))"),0.0)</f>
        <v>0</v>
      </c>
      <c r="AI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Col""&amp;COLUMN(AI$1)&amp;""=1""))&amp;""' ORDER BY Col6 DESC LIMIT ""&amp;QUERY('Global Variables'!$A:$B, ""SELECT Col2 WHERE Col1 = 'STA"&amp;"RTING_ROSTER_SIZE'"")),0))"),0.0)</f>
        <v>0</v>
      </c>
      <c r="AJ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Col""&amp;COLUMN(AJ$1)&amp;""=1""))&amp;""' ORDER BY Col6 DESC LIMIT ""&amp;QUERY('Global Variables'!$A:$B, ""SELECT Col2 WHERE Col1 = 'STA"&amp;"RTING_ROSTER_SIZE'"")),0))"),0.0)</f>
        <v>0</v>
      </c>
      <c r="AK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Col""&amp;COLUMN(AK$1)&amp;""=1""))&amp;""' ORDER BY Col6 DESC LIMIT ""&amp;QUERY('Global Variables'!$A:$B, ""SELECT Col2 WHERE Col1 = 'STA"&amp;"RTING_ROSTER_SIZE'"")),0))"),0.0)</f>
        <v>0</v>
      </c>
      <c r="AL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Col""&amp;COLUMN(AL$1)&amp;""=1""))&amp;""' ORDER BY Col6 DESC LIMIT ""&amp;QUERY('Global Variables'!$A:$B, ""SELECT Col2 WHERE Col1 = 'STA"&amp;"RTING_ROSTER_SIZE'"")),0))"),0.0)</f>
        <v>0</v>
      </c>
      <c r="AM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Col""&amp;COLUMN(AM$1)&amp;""=1""))&amp;""' ORDER BY Col6 DESC LIMIT ""&amp;QUERY('Global Variables'!$A:$B, ""SELECT Col2 WHERE Col1 = 'STA"&amp;"RTING_ROSTER_SIZE'"")),0))"),0.0)</f>
        <v>0</v>
      </c>
      <c r="AN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Col""&amp;COLUMN(AN$1)&amp;""=1""))&amp;""' ORDER BY Col6 DESC LIMIT ""&amp;QUERY('Global Variables'!$A:$B, ""SELECT Col2 WHERE Col1 = 'STA"&amp;"RTING_ROSTER_SIZE'"")),0))"),0.0)</f>
        <v>0</v>
      </c>
      <c r="AO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Col""&amp;COLUMN(AO$1)&amp;""=1""))&amp;""' ORDER BY Col6 DESC LIMIT ""&amp;QUERY('Global Variables'!$A:$B, ""SELECT Col2 WHERE Col1 = 'STA"&amp;"RTING_ROSTER_SIZE'"")),0))"),0.0)</f>
        <v>0</v>
      </c>
      <c r="AP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Col""&amp;COLUMN(AP$1)&amp;""=1""))&amp;""' ORDER BY Col6 DESC LIMIT ""&amp;QUERY('Global Variables'!$A:$B, ""SELECT Col2 WHERE Col1 = 'STA"&amp;"RTING_ROSTER_SIZE'"")),0))"),0.0)</f>
        <v>0</v>
      </c>
      <c r="AQ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Col""&amp;COLUMN(AQ$1)&amp;""=1""))&amp;""' ORDER BY Col6 DESC LIMIT ""&amp;QUERY('Global Variables'!$A:$B, ""SELECT Col2 WHERE Col1 = 'STA"&amp;"RTING_ROSTER_SIZE'"")),0))"),0.0)</f>
        <v>0</v>
      </c>
      <c r="AR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Col""&amp;COLUMN(AR$1)&amp;""=1""))&amp;""' ORDER BY Col6 DESC LIMIT ""&amp;QUERY('Global Variables'!$A:$B, ""SELECT Col2 WHERE Col1 = 'STA"&amp;"RTING_ROSTER_SIZE'"")),0))"),0.0)</f>
        <v>0</v>
      </c>
      <c r="AS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Col""&amp;COLUMN(AS$1)&amp;""=1""))&amp;""' ORDER BY Col6 DESC LIMIT ""&amp;QUERY('Global Variables'!$A:$B, ""SELECT Col2 WHERE Col1 = 'STA"&amp;"RTING_ROSTER_SIZE'"")),0))"),0.0)</f>
        <v>0</v>
      </c>
      <c r="AT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Col""&amp;COLUMN(AT$1)&amp;""=1""))&amp;""' ORDER BY Col6 DESC LIMIT ""&amp;QUERY('Global Variables'!$A:$B, ""SELECT Col2 WHERE Col1 = 'STA"&amp;"RTING_ROSTER_SIZE'"")),0))"),0.0)</f>
        <v>0</v>
      </c>
      <c r="AU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Col""&amp;COLUMN(AU$1)&amp;""=1""))&amp;""' ORDER BY Col6 DESC LIMIT ""&amp;QUERY('Global Variables'!$A:$B, ""SELECT Col2 WHERE Col1 = 'STA"&amp;"RTING_ROSTER_SIZE'"")),0))"),0.0)</f>
        <v>0</v>
      </c>
      <c r="AV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Col""&amp;COLUMN(AV$1)&amp;""=1""))&amp;""' ORDER BY Col6 DESC LIMIT ""&amp;QUERY('Global Variables'!$A:$B, ""SELECT Col2 WHERE Col1 = 'STA"&amp;"RTING_ROSTER_SIZE'"")),0))"),0.0)</f>
        <v>0</v>
      </c>
      <c r="AW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Col""&amp;COLUMN(AW$1)&amp;""=1""))&amp;""' ORDER BY Col6 DESC LIMIT ""&amp;QUERY('Global Variables'!$A:$B, ""SELECT Col2 WHERE Col1 = 'STA"&amp;"RTING_ROSTER_SIZE'"")),0))"),0.0)</f>
        <v>0</v>
      </c>
      <c r="AX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Col""&amp;COLUMN(AX$1)&amp;""=1""))&amp;""' ORDER BY Col6 DESC LIMIT ""&amp;QUERY('Global Variables'!$A:$B, ""SELECT Col2 WHERE Col1 = 'STA"&amp;"RTING_ROSTER_SIZE'"")),0))"),0.0)</f>
        <v>0</v>
      </c>
      <c r="AY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Col""&amp;COLUMN(AY$1)&amp;""=1""))&amp;""' ORDER BY Col6 DESC LIMIT ""&amp;QUERY('Global Variables'!$A:$B, ""SELECT Col2 WHERE Col1 = 'STA"&amp;"RTING_ROSTER_SIZE'"")),0))"),0.0)</f>
        <v>0</v>
      </c>
      <c r="AZ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Col""&amp;COLUMN(AZ$1)&amp;""=1""))&amp;""' ORDER BY Col6 DESC LIMIT ""&amp;QUERY('Global Variables'!$A:$B, ""SELECT Col2 WHERE Col1 = 'STA"&amp;"RTING_ROSTER_SIZE'"")),0))"),0.0)</f>
        <v>0</v>
      </c>
      <c r="BA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Col""&amp;COLUMN(BA$1)&amp;""=1""))&amp;""' ORDER BY Col6 DESC LIMIT ""&amp;QUERY('Global Variables'!$A:$B, ""SELECT Col2 WHERE Col1 = 'STA"&amp;"RTING_ROSTER_SIZE'"")),0))"),0.0)</f>
        <v>0</v>
      </c>
      <c r="BB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Col""&amp;COLUMN(BB$1)&amp;""=1""))&amp;""' ORDER BY Col6 DESC LIMIT ""&amp;QUERY('Global Variables'!$A:$B, ""SELECT Col2 WHERE Col1 = 'STA"&amp;"RTING_ROSTER_SIZE'"")),0))"),0.0)</f>
        <v>0</v>
      </c>
      <c r="BC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Col""&amp;COLUMN(BC$1)&amp;""=1""))&amp;""' ORDER BY Col6 DESC LIMIT ""&amp;QUERY('Global Variables'!$A:$B, ""SELECT Col2 WHERE Col1 = 'STA"&amp;"RTING_ROSTER_SIZE'"")),0))"),0.0)</f>
        <v>0</v>
      </c>
      <c r="BD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Col""&amp;COLUMN(BD$1)&amp;""=1""))&amp;""' ORDER BY Col6 DESC LIMIT ""&amp;QUERY('Global Variables'!$A:$B, ""SELECT Col2 WHERE Col1 = 'STA"&amp;"RTING_ROSTER_SIZE'"")),0))"),0.0)</f>
        <v>0</v>
      </c>
      <c r="BE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Col""&amp;COLUMN(BE$1)&amp;""=1""))&amp;""' ORDER BY Col6 DESC LIMIT ""&amp;QUERY('Global Variables'!$A:$B, ""SELECT Col2 WHERE Col1 = 'STA"&amp;"RTING_ROSTER_SIZE'"")),0))"),0.0)</f>
        <v>0</v>
      </c>
      <c r="BF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Col""&amp;COLUMN(BF$1)&amp;""=1""))&amp;""' ORDER BY Col6 DESC LIMIT ""&amp;QUERY('Global Variables'!$A:$B, ""SELECT Col2 WHERE Col1 = 'STA"&amp;"RTING_ROSTER_SIZE'"")),0))"),0.0)</f>
        <v>0</v>
      </c>
      <c r="BG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Col""&amp;COLUMN(BG$1)&amp;""=1""))&amp;""' ORDER BY Col6 DESC LIMIT ""&amp;QUERY('Global Variables'!$A:$B, ""SELECT Col2 WHERE Col1 = 'STA"&amp;"RTING_ROSTER_SIZE'"")),0))"),0.0)</f>
        <v>0</v>
      </c>
      <c r="BH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Col""&amp;COLUMN(BH$1)&amp;""=1""))&amp;""' ORDER BY Col6 DESC LIMIT ""&amp;QUERY('Global Variables'!$A:$B, ""SELECT Col2 WHERE Col1 = 'STA"&amp;"RTING_ROSTER_SIZE'"")),0))"),0.0)</f>
        <v>0</v>
      </c>
      <c r="BI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Col""&amp;COLUMN(BI$1)&amp;""=1""))&amp;""' ORDER BY Col6 DESC LIMIT ""&amp;QUERY('Global Variables'!$A:$B, ""SELECT Col2 WHERE Col1 = 'STA"&amp;"RTING_ROSTER_SIZE'"")),0))"),0.0)</f>
        <v>0</v>
      </c>
      <c r="BJ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Col""&amp;COLUMN(BJ$1)&amp;""=1""))&amp;""' ORDER BY Col6 DESC LIMIT ""&amp;QUERY('Global Variables'!$A:$B, ""SELECT Col2 WHERE Col1 = 'STA"&amp;"RTING_ROSTER_SIZE'"")),0))"),0.0)</f>
        <v>0</v>
      </c>
      <c r="BK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Col""&amp;COLUMN(BK$1)&amp;""=1""))&amp;""' ORDER BY Col6 DESC LIMIT ""&amp;QUERY('Global Variables'!$A:$B, ""SELECT Col2 WHERE Col1 = 'STA"&amp;"RTING_ROSTER_SIZE'"")),0))"),0.0)</f>
        <v>0</v>
      </c>
      <c r="BL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Col""&amp;COLUMN(BL$1)&amp;""=1""))&amp;""' ORDER BY Col6 DESC LIMIT ""&amp;QUERY('Global Variables'!$A:$B, ""SELECT Col2 WHERE Col1 = 'STA"&amp;"RTING_ROSTER_SIZE'"")),0))"),0.0)</f>
        <v>0</v>
      </c>
      <c r="BM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Col""&amp;COLUMN(BM$1)&amp;""=1""))&amp;""' ORDER BY Col6 DESC LIMIT ""&amp;QUERY('Global Variables'!$A:$B, ""SELECT Col2 WHERE Col1 = 'STA"&amp;"RTING_ROSTER_SIZE'"")),0))"),0.0)</f>
        <v>0</v>
      </c>
      <c r="BN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Col""&amp;COLUMN(BN$1)&amp;""=1""))&amp;""' ORDER BY Col6 DESC LIMIT ""&amp;QUERY('Global Variables'!$A:$B, ""SELECT Col2 WHERE Col1 = 'STA"&amp;"RTING_ROSTER_SIZE'"")),0))"),0.0)</f>
        <v>0</v>
      </c>
      <c r="BO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Col""&amp;COLUMN(BO$1)&amp;""=1""))&amp;""' ORDER BY Col6 DESC LIMIT ""&amp;QUERY('Global Variables'!$A:$B, ""SELECT Col2 WHERE Col1 = 'STA"&amp;"RTING_ROSTER_SIZE'"")),0))"),0.0)</f>
        <v>0</v>
      </c>
      <c r="BP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Col""&amp;COLUMN(BP$1)&amp;""=1""))&amp;""' ORDER BY Col6 DESC LIMIT ""&amp;QUERY('Global Variables'!$A:$B, ""SELECT Col2 WHERE Col1 = 'STA"&amp;"RTING_ROSTER_SIZE'"")),0))"),0.0)</f>
        <v>0</v>
      </c>
      <c r="BQ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Col""&amp;COLUMN(BQ$1)&amp;""=1""))&amp;""' ORDER BY Col6 DESC LIMIT ""&amp;QUERY('Global Variables'!$A:$B, ""SELECT Col2 WHERE Col1 = 'STA"&amp;"RTING_ROSTER_SIZE'"")),0))"),0.0)</f>
        <v>0</v>
      </c>
      <c r="BR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Col""&amp;COLUMN(BR$1)&amp;""=1""))&amp;""' ORDER BY Col6 DESC LIMIT ""&amp;QUERY('Global Variables'!$A:$B, ""SELECT Col2 WHERE Col1 = 'STA"&amp;"RTING_ROSTER_SIZE'"")),0))"),0.0)</f>
        <v>0</v>
      </c>
      <c r="BS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Col""&amp;COLUMN(BS$1)&amp;""=1""))&amp;""' ORDER BY Col6 DESC LIMIT ""&amp;QUERY('Global Variables'!$A:$B, ""SELECT Col2 WHERE Col1 = 'STA"&amp;"RTING_ROSTER_SIZE'"")),0))"),0.0)</f>
        <v>0</v>
      </c>
      <c r="BT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Col""&amp;COLUMN(BT$1)&amp;""=1""))&amp;""' ORDER BY Col6 DESC LIMIT ""&amp;QUERY('Global Variables'!$A:$B, ""SELECT Col2 WHERE Col1 = 'STA"&amp;"RTING_ROSTER_SIZE'"")),0))"),0.0)</f>
        <v>0</v>
      </c>
      <c r="BU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Col""&amp;COLUMN(BU$1)&amp;""=1""))&amp;""' ORDER BY Col6 DESC LIMIT ""&amp;QUERY('Global Variables'!$A:$B, ""SELECT Col2 WHERE Col1 = 'STA"&amp;"RTING_ROSTER_SIZE'"")),0))"),0.0)</f>
        <v>0</v>
      </c>
      <c r="BV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Col""&amp;COLUMN(BV$1)&amp;""=1""))&amp;""' ORDER BY Col6 DESC LIMIT ""&amp;QUERY('Global Variables'!$A:$B, ""SELECT Col2 WHERE Col1 = 'STA"&amp;"RTING_ROSTER_SIZE'"")),0))"),0.0)</f>
        <v>0</v>
      </c>
      <c r="BW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Col""&amp;COLUMN(BW$1)&amp;""=1""))&amp;""' ORDER BY Col6 DESC LIMIT ""&amp;QUERY('Global Variables'!$A:$B, ""SELECT Col2 WHERE Col1 = 'STA"&amp;"RTING_ROSTER_SIZE'"")),0))"),0.0)</f>
        <v>0</v>
      </c>
      <c r="BX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Col""&amp;COLUMN(BX$1)&amp;""=1""))&amp;""' ORDER BY Col6 DESC LIMIT ""&amp;QUERY('Global Variables'!$A:$B, ""SELECT Col2 WHERE Col1 = 'STA"&amp;"RTING_ROSTER_SIZE'"")),0))"),0.0)</f>
        <v>0</v>
      </c>
      <c r="BY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Col""&amp;COLUMN(BY$1)&amp;""=1""))&amp;""' ORDER BY Col6 DESC LIMIT ""&amp;QUERY('Global Variables'!$A:$B, ""SELECT Col2 WHERE Col1 = 'STA"&amp;"RTING_ROSTER_SIZE'"")),0))"),0.0)</f>
        <v>0</v>
      </c>
      <c r="BZ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Col""&amp;COLUMN(BZ$1)&amp;""=1""))&amp;""' ORDER BY Col6 DESC LIMIT ""&amp;QUERY('Global Variables'!$A:$B, ""SELECT Col2 WHERE Col1 = 'STA"&amp;"RTING_ROSTER_SIZE'"")),0))"),0.0)</f>
        <v>0</v>
      </c>
      <c r="CA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Col""&amp;COLUMN(CA$1)&amp;""=1""))&amp;""' ORDER BY Col6 DESC LIMIT ""&amp;QUERY('Global Variables'!$A:$B, ""SELECT Col2 WHERE Col1 = 'STA"&amp;"RTING_ROSTER_SIZE'"")),0))"),0.0)</f>
        <v>0</v>
      </c>
      <c r="CB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Col""&amp;COLUMN(CB$1)&amp;""=1""))&amp;""' ORDER BY Col6 DESC LIMIT ""&amp;QUERY('Global Variables'!$A:$B, ""SELECT Col2 WHERE Col1 = 'STA"&amp;"RTING_ROSTER_SIZE'"")),0))"),0.0)</f>
        <v>0</v>
      </c>
      <c r="CC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Col""&amp;COLUMN(CC$1)&amp;""=1""))&amp;""' ORDER BY Col6 DESC LIMIT ""&amp;QUERY('Global Variables'!$A:$B, ""SELECT Col2 WHERE Col1 = 'STA"&amp;"RTING_ROSTER_SIZE'"")),0))"),0.0)</f>
        <v>0</v>
      </c>
      <c r="CD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Col""&amp;COLUMN(CD$1)&amp;""=1""))&amp;""' ORDER BY Col6 DESC LIMIT ""&amp;QUERY('Global Variables'!$A:$B, ""SELECT Col2 WHERE Col1 = 'STA"&amp;"RTING_ROSTER_SIZE'"")),0))"),0.0)</f>
        <v>0</v>
      </c>
      <c r="CE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Col""&amp;COLUMN(CE$1)&amp;""=1""))&amp;""' ORDER BY Col6 DESC LIMIT ""&amp;QUERY('Global Variables'!$A:$B, ""SELECT Col2 WHERE Col1 = 'STA"&amp;"RTING_ROSTER_SIZE'"")),0))"),0.0)</f>
        <v>0</v>
      </c>
      <c r="CF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Col""&amp;COLUMN(CF$1)&amp;""=1""))&amp;""' ORDER BY Col6 DESC LIMIT ""&amp;QUERY('Global Variables'!$A:$B, ""SELECT Col2 WHERE Col1 = 'STA"&amp;"RTING_ROSTER_SIZE'"")),0))"),0.0)</f>
        <v>0</v>
      </c>
      <c r="CG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Col""&amp;COLUMN(CG$1)&amp;""=1""))&amp;""' ORDER BY Col6 DESC LIMIT ""&amp;QUERY('Global Variables'!$A:$B, ""SELECT Col2 WHERE Col1 = 'STA"&amp;"RTING_ROSTER_SIZE'"")),0))"),0.0)</f>
        <v>0</v>
      </c>
      <c r="CH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Col""&amp;COLUMN(CH$1)&amp;""=1""))&amp;""' ORDER BY Col6 DESC LIMIT ""&amp;QUERY('Global Variables'!$A:$B, ""SELECT Col2 WHERE Col1 = 'STA"&amp;"RTING_ROSTER_SIZE'"")),0))"),0.0)</f>
        <v>0</v>
      </c>
      <c r="CI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Col""&amp;COLUMN(CI$1)&amp;""=1""))&amp;""' ORDER BY Col6 DESC LIMIT ""&amp;QUERY('Global Variables'!$A:$B, ""SELECT Col2 WHERE Col1 = 'STA"&amp;"RTING_ROSTER_SIZE'"")),0))"),0.0)</f>
        <v>0</v>
      </c>
      <c r="CJ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Col""&amp;COLUMN(CJ$1)&amp;""=1""))&amp;""' ORDER BY Col6 DESC LIMIT ""&amp;QUERY('Global Variables'!$A:$B, ""SELECT Col2 WHERE Col1 = 'STA"&amp;"RTING_ROSTER_SIZE'"")),0))"),0.0)</f>
        <v>0</v>
      </c>
      <c r="CK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Col""&amp;COLUMN(CK$1)&amp;""=1""))&amp;""' ORDER BY Col6 DESC LIMIT ""&amp;QUERY('Global Variables'!$A:$B, ""SELECT Col2 WHERE Col1 = 'STA"&amp;"RTING_ROSTER_SIZE'"")),0))"),0.0)</f>
        <v>0</v>
      </c>
      <c r="CL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Col""&amp;COLUMN(CL$1)&amp;""=1""))&amp;""' ORDER BY Col6 DESC LIMIT ""&amp;QUERY('Global Variables'!$A:$B, ""SELECT Col2 WHERE Col1 = 'STA"&amp;"RTING_ROSTER_SIZE'"")),0))"),0.0)</f>
        <v>0</v>
      </c>
      <c r="CM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Col""&amp;COLUMN(CM$1)&amp;""=1""))&amp;""' ORDER BY Col6 DESC LIMIT ""&amp;QUERY('Global Variables'!$A:$B, ""SELECT Col2 WHERE Col1 = 'STA"&amp;"RTING_ROSTER_SIZE'"")),0))"),0.0)</f>
        <v>0</v>
      </c>
      <c r="CN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Col""&amp;COLUMN(CN$1)&amp;""=1""))&amp;""' ORDER BY Col6 DESC LIMIT ""&amp;QUERY('Global Variables'!$A:$B, ""SELECT Col2 WHERE Col1 = 'STA"&amp;"RTING_ROSTER_SIZE'"")),0))"),0.0)</f>
        <v>0</v>
      </c>
      <c r="CO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Col""&amp;COLUMN(CO$1)&amp;""=1""))&amp;""' ORDER BY Col6 DESC LIMIT ""&amp;QUERY('Global Variables'!$A:$B, ""SELECT Col2 WHERE Col1 = 'STA"&amp;"RTING_ROSTER_SIZE'"")),0))"),0.0)</f>
        <v>0</v>
      </c>
      <c r="CP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Col""&amp;COLUMN(CP$1)&amp;""=1""))&amp;""' ORDER BY Col6 DESC LIMIT ""&amp;QUERY('Global Variables'!$A:$B, ""SELECT Col2 WHERE Col1 = 'STA"&amp;"RTING_ROSTER_SIZE'"")),0))"),0.0)</f>
        <v>0</v>
      </c>
      <c r="CQ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Col""&amp;COLUMN(CQ$1)&amp;""=1""))&amp;""' ORDER BY Col6 DESC LIMIT ""&amp;QUERY('Global Variables'!$A:$B, ""SELECT Col2 WHERE Col1 = 'STA"&amp;"RTING_ROSTER_SIZE'"")),0))"),0.0)</f>
        <v>0</v>
      </c>
      <c r="CR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Col""&amp;COLUMN(CR$1)&amp;""=1""))&amp;""' ORDER BY Col6 DESC LIMIT ""&amp;QUERY('Global Variables'!$A:$B, ""SELECT Col2 WHERE Col1 = 'STA"&amp;"RTING_ROSTER_SIZE'"")),0))"),0.0)</f>
        <v>0</v>
      </c>
      <c r="CS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Col""&amp;COLUMN(CS$1)&amp;""=1""))&amp;""' ORDER BY Col6 DESC LIMIT ""&amp;QUERY('Global Variables'!$A:$B, ""SELECT Col2 WHERE Col1 = 'STA"&amp;"RTING_ROSTER_SIZE'"")),0))"),0.0)</f>
        <v>0</v>
      </c>
      <c r="CT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Col""&amp;COLUMN(CT$1)&amp;""=1""))&amp;""' ORDER BY Col6 DESC LIMIT ""&amp;QUERY('Global Variables'!$A:$B, ""SELECT Col2 WHERE Col1 = 'STA"&amp;"RTING_ROSTER_SIZE'"")),0))"),0.0)</f>
        <v>0</v>
      </c>
      <c r="CU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Col""&amp;COLUMN(CU$1)&amp;""=1""))&amp;""' ORDER BY Col6 DESC LIMIT ""&amp;QUERY('Global Variables'!$A:$B, ""SELECT Col2 WHERE Col1 = 'STA"&amp;"RTING_ROSTER_SIZE'"")),0))"),0.0)</f>
        <v>0</v>
      </c>
      <c r="CV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Col""&amp;COLUMN(CV$1)&amp;""=1""))&amp;""' ORDER BY Col6 DESC LIMIT ""&amp;QUERY('Global Variables'!$A:$B, ""SELECT Col2 WHERE Col1 = 'STA"&amp;"RTING_ROSTER_SIZE'"")),0))"),0.0)</f>
        <v>0</v>
      </c>
      <c r="CW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Col""&amp;COLUMN(CW$1)&amp;""=1""))&amp;""' ORDER BY Col6 DESC LIMIT ""&amp;QUERY('Global Variables'!$A:$B, ""SELECT Col2 WHERE Col1 = 'STA"&amp;"RTING_ROSTER_SIZE'"")),0))"),0.0)</f>
        <v>0</v>
      </c>
      <c r="CX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Col""&amp;COLUMN(CX$1)&amp;""=1""))&amp;""' ORDER BY Col6 DESC LIMIT ""&amp;QUERY('Global Variables'!$A:$B, ""SELECT Col2 WHERE Col1 = 'STA"&amp;"RTING_ROSTER_SIZE'"")),0))"),0.0)</f>
        <v>0</v>
      </c>
      <c r="CY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Col""&amp;COLUMN(CY$1)&amp;""=1""))&amp;""' ORDER BY Col6 DESC LIMIT ""&amp;QUERY('Global Variables'!$A:$B, ""SELECT Col2 WHERE Col1 = 'STA"&amp;"RTING_ROSTER_SIZE'"")),0))"),0.0)</f>
        <v>0</v>
      </c>
      <c r="CZ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Col""&amp;COLUMN(CZ$1)&amp;""=1""))&amp;""' ORDER BY Col6 DESC LIMIT ""&amp;QUERY('Global Variables'!$A:$B, ""SELECT Col2 WHERE Col1 = 'STA"&amp;"RTING_ROSTER_SIZE'"")),0))"),0.0)</f>
        <v>0</v>
      </c>
      <c r="DA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Col""&amp;COLUMN(DA$1)&amp;""=1""))&amp;""' ORDER BY Col6 DESC LIMIT ""&amp;QUERY('Global Variables'!$A:$B, ""SELECT Col2 WHERE Col1 = 'STA"&amp;"RTING_ROSTER_SIZE'"")),0))"),0.0)</f>
        <v>0</v>
      </c>
      <c r="DB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Col""&amp;COLUMN(DB$1)&amp;""=1""))&amp;""' ORDER BY Col6 DESC LIMIT ""&amp;QUERY('Global Variables'!$A:$B, ""SELECT Col2 WHERE Col1 = 'STA"&amp;"RTING_ROSTER_SIZE'"")),0))"),0.0)</f>
        <v>0</v>
      </c>
      <c r="DC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Col""&amp;COLUMN(DC$1)&amp;""=1""))&amp;""' ORDER BY Col6 DESC LIMIT ""&amp;QUERY('Global Variables'!$A:$B, ""SELECT Col2 WHERE Col1 = 'STA"&amp;"RTING_ROSTER_SIZE'"")),0))"),0.0)</f>
        <v>0</v>
      </c>
      <c r="DD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Col""&amp;COLUMN(DD$1)&amp;""=1""))&amp;""' ORDER BY Col6 DESC LIMIT ""&amp;QUERY('Global Variables'!$A:$B, ""SELECT Col2 WHERE Col1 = 'STA"&amp;"RTING_ROSTER_SIZE'"")),0))"),0.0)</f>
        <v>0</v>
      </c>
      <c r="DE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Col""&amp;COLUMN(DE$1)&amp;""=1""))&amp;""' ORDER BY Col6 DESC LIMIT ""&amp;QUERY('Global Variables'!$A:$B, ""SELECT Col2 WHERE Col1 = 'STA"&amp;"RTING_ROSTER_SIZE'"")),0))"),0.0)</f>
        <v>0</v>
      </c>
      <c r="DF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Col""&amp;COLUMN(DF$1)&amp;""=1""))&amp;""' ORDER BY Col6 DESC LIMIT ""&amp;QUERY('Global Variables'!$A:$B, ""SELECT Col2 WHERE Col1 = 'STA"&amp;"RTING_ROSTER_SIZE'"")),0))"),0.0)</f>
        <v>0</v>
      </c>
      <c r="DG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Col""&amp;COLUMN(DG$1)&amp;""=1""))&amp;""' ORDER BY Col6 DESC LIMIT ""&amp;QUERY('Global Variables'!$A:$B, ""SELECT Col2 WHERE Col1 = 'STA"&amp;"RTING_ROSTER_SIZE'"")),0))"),0.0)</f>
        <v>0</v>
      </c>
      <c r="DH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Col""&amp;COLUMN(DH$1)&amp;""=1""))&amp;""' ORDER BY Col6 DESC LIMIT ""&amp;QUERY('Global Variables'!$A:$B, ""SELECT Col2 WHERE Col1 = 'STA"&amp;"RTING_ROSTER_SIZE'"")),0))"),0.0)</f>
        <v>0</v>
      </c>
      <c r="DI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Col""&amp;COLUMN(DI$1)&amp;""=1""))&amp;""' ORDER BY Col6 DESC LIMIT ""&amp;QUERY('Global Variables'!$A:$B, ""SELECT Col2 WHERE Col1 = 'STA"&amp;"RTING_ROSTER_SIZE'"")),0))"),0.0)</f>
        <v>0</v>
      </c>
      <c r="DJ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Col""&amp;COLUMN(DJ$1)&amp;""=1""))&amp;""' ORDER BY Col6 DESC LIMIT ""&amp;QUERY('Global Variables'!$A:$B, ""SELECT Col2 WHERE Col1 = 'STA"&amp;"RTING_ROSTER_SIZE'"")),0))"),0.0)</f>
        <v>0</v>
      </c>
      <c r="DK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Col""&amp;COLUMN(DK$1)&amp;""=1""))&amp;""' ORDER BY Col6 DESC LIMIT ""&amp;QUERY('Global Variables'!$A:$B, ""SELECT Col2 WHERE Col1 = 'STA"&amp;"RTING_ROSTER_SIZE'"")),0))"),0.0)</f>
        <v>0</v>
      </c>
      <c r="DL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Col""&amp;COLUMN(DL$1)&amp;""=1""))&amp;""' ORDER BY Col6 DESC LIMIT ""&amp;QUERY('Global Variables'!$A:$B, ""SELECT Col2 WHERE Col1 = 'STA"&amp;"RTING_ROSTER_SIZE'"")),0))"),0.0)</f>
        <v>0</v>
      </c>
      <c r="DM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Col""&amp;COLUMN(DM$1)&amp;""=1""))&amp;""' ORDER BY Col6 DESC LIMIT ""&amp;QUERY('Global Variables'!$A:$B, ""SELECT Col2 WHERE Col1 = 'STA"&amp;"RTING_ROSTER_SIZE'"")),0))"),0.0)</f>
        <v>0</v>
      </c>
      <c r="DN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Col""&amp;COLUMN(DN$1)&amp;""=1""))&amp;""' ORDER BY Col6 DESC LIMIT ""&amp;QUERY('Global Variables'!$A:$B, ""SELECT Col2 WHERE Col1 = 'STA"&amp;"RTING_ROSTER_SIZE'"")),0))"),0.0)</f>
        <v>0</v>
      </c>
      <c r="DO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Col""&amp;COLUMN(DO$1)&amp;""=1""))&amp;""' ORDER BY Col6 DESC LIMIT ""&amp;QUERY('Global Variables'!$A:$B, ""SELECT Col2 WHERE Col1 = 'STA"&amp;"RTING_ROSTER_SIZE'"")),0))"),0.0)</f>
        <v>0</v>
      </c>
      <c r="DP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Col""&amp;COLUMN(DP$1)&amp;""=1""))&amp;""' ORDER BY Col6 DESC LIMIT ""&amp;QUERY('Global Variables'!$A:$B, ""SELECT Col2 WHERE Col1 = 'STA"&amp;"RTING_ROSTER_SIZE'"")),0))"),0.0)</f>
        <v>0</v>
      </c>
      <c r="DQ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Col""&amp;COLUMN(DQ$1)&amp;""=1""))&amp;""' ORDER BY Col6 DESC LIMIT ""&amp;QUERY('Global Variables'!$A:$B, ""SELECT Col2 WHERE Col1 = 'STA"&amp;"RTING_ROSTER_SIZE'"")),0))"),0.0)</f>
        <v>0</v>
      </c>
      <c r="DR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Col""&amp;COLUMN(DR$1)&amp;""=1""))&amp;""' ORDER BY Col6 DESC LIMIT ""&amp;QUERY('Global Variables'!$A:$B, ""SELECT Col2 WHERE Col1 = 'STA"&amp;"RTING_ROSTER_SIZE'"")),0))"),0.0)</f>
        <v>0</v>
      </c>
      <c r="DS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Col""&amp;COLUMN(DS$1)&amp;""=1""))&amp;""' ORDER BY Col6 DESC LIMIT ""&amp;QUERY('Global Variables'!$A:$B, ""SELECT Col2 WHERE Col1 = 'STA"&amp;"RTING_ROSTER_SIZE'"")),0))"),0.0)</f>
        <v>0</v>
      </c>
      <c r="DT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Col""&amp;COLUMN(DT$1)&amp;""=1""))&amp;""' ORDER BY Col6 DESC LIMIT ""&amp;QUERY('Global Variables'!$A:$B, ""SELECT Col2 WHERE Col1 = 'STA"&amp;"RTING_ROSTER_SIZE'"")),0))"),0.0)</f>
        <v>0</v>
      </c>
      <c r="DU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Col""&amp;COLUMN(DU$1)&amp;""=1""))&amp;""' ORDER BY Col6 DESC LIMIT ""&amp;QUERY('Global Variables'!$A:$B, ""SELECT Col2 WHERE Col1 = 'STA"&amp;"RTING_ROSTER_SIZE'"")),0))"),0.0)</f>
        <v>0</v>
      </c>
      <c r="DV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Col""&amp;COLUMN(DV$1)&amp;""=1""))&amp;""' ORDER BY Col6 DESC LIMIT ""&amp;QUERY('Global Variables'!$A:$B, ""SELECT Col2 WHERE Col1 = 'STA"&amp;"RTING_ROSTER_SIZE'"")),0))"),0.0)</f>
        <v>0</v>
      </c>
      <c r="DW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Col""&amp;COLUMN(DW$1)&amp;""=1""))&amp;""' ORDER BY Col6 DESC LIMIT ""&amp;QUERY('Global Variables'!$A:$B, ""SELECT Col2 WHERE Col1 = 'STA"&amp;"RTING_ROSTER_SIZE'"")),0))"),0.0)</f>
        <v>0</v>
      </c>
      <c r="DX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Col""&amp;COLUMN(DX$1)&amp;""=1""))&amp;""' ORDER BY Col6 DESC LIMIT ""&amp;QUERY('Global Variables'!$A:$B, ""SELECT Col2 WHERE Col1 = 'STA"&amp;"RTING_ROSTER_SIZE'"")),0))"),0.0)</f>
        <v>0</v>
      </c>
      <c r="DY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Col""&amp;COLUMN(DY$1)&amp;""=1""))&amp;""' ORDER BY Col6 DESC LIMIT ""&amp;QUERY('Global Variables'!$A:$B, ""SELECT Col2 WHERE Col1 = 'STA"&amp;"RTING_ROSTER_SIZE'"")),0))"),0.0)</f>
        <v>0</v>
      </c>
      <c r="DZ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Col""&amp;COLUMN(DZ$1)&amp;""=1""))&amp;""' ORDER BY Col6 DESC LIMIT ""&amp;QUERY('Global Variables'!$A:$B, ""SELECT Col2 WHERE Col1 = 'STA"&amp;"RTING_ROSTER_SIZE'"")),0))"),0.0)</f>
        <v>0</v>
      </c>
      <c r="EA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Col""&amp;COLUMN(EA$1)&amp;""=1""))&amp;""' ORDER BY Col6 DESC LIMIT ""&amp;QUERY('Global Variables'!$A:$B, ""SELECT Col2 WHERE Col1 = 'STA"&amp;"RTING_ROSTER_SIZE'"")),0))"),0.0)</f>
        <v>0</v>
      </c>
      <c r="EB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Col""&amp;COLUMN(EB$1)&amp;""=1""))&amp;""' ORDER BY Col6 DESC LIMIT ""&amp;QUERY('Global Variables'!$A:$B, ""SELECT Col2 WHERE Col1 = 'STA"&amp;"RTING_ROSTER_SIZE'"")),0))"),0.0)</f>
        <v>0</v>
      </c>
      <c r="EC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Col""&amp;COLUMN(EC$1)&amp;""=1""))&amp;""' ORDER BY Col6 DESC LIMIT ""&amp;QUERY('Global Variables'!$A:$B, ""SELECT Col2 WHERE Col1 = 'STA"&amp;"RTING_ROSTER_SIZE'"")),0))"),0.0)</f>
        <v>0</v>
      </c>
      <c r="ED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Col""&amp;COLUMN(ED$1)&amp;""=1""))&amp;""' ORDER BY Col6 DESC LIMIT ""&amp;QUERY('Global Variables'!$A:$B, ""SELECT Col2 WHERE Col1 = 'STA"&amp;"RTING_ROSTER_SIZE'"")),0))"),0.0)</f>
        <v>0</v>
      </c>
      <c r="EE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Col""&amp;COLUMN(EE$1)&amp;""=1""))&amp;""' ORDER BY Col6 DESC LIMIT ""&amp;QUERY('Global Variables'!$A:$B, ""SELECT Col2 WHERE Col1 = 'STA"&amp;"RTING_ROSTER_SIZE'"")),0))"),0.0)</f>
        <v>0</v>
      </c>
      <c r="EF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Col""&amp;COLUMN(EF$1)&amp;""=1""))&amp;""' ORDER BY Col6 DESC LIMIT ""&amp;QUERY('Global Variables'!$A:$B, ""SELECT Col2 WHERE Col1 = 'STA"&amp;"RTING_ROSTER_SIZE'"")),0))"),0.0)</f>
        <v>0</v>
      </c>
      <c r="EG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Col""&amp;COLUMN(EG$1)&amp;""=1""))&amp;""' ORDER BY Col6 DESC LIMIT ""&amp;QUERY('Global Variables'!$A:$B, ""SELECT Col2 WHERE Col1 = 'STA"&amp;"RTING_ROSTER_SIZE'"")),0))"),0.0)</f>
        <v>0</v>
      </c>
      <c r="EH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Col""&amp;COLUMN(EH$1)&amp;""=1""))&amp;""' ORDER BY Col6 DESC LIMIT ""&amp;QUERY('Global Variables'!$A:$B, ""SELECT Col2 WHERE Col1 = 'STA"&amp;"RTING_ROSTER_SIZE'"")),0))"),0.0)</f>
        <v>0</v>
      </c>
      <c r="EI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Col""&amp;COLUMN(EI$1)&amp;""=1""))&amp;""' ORDER BY Col6 DESC LIMIT ""&amp;QUERY('Global Variables'!$A:$B, ""SELECT Col2 WHERE Col1 = 'STA"&amp;"RTING_ROSTER_SIZE'"")),0))"),0.0)</f>
        <v>0</v>
      </c>
      <c r="EJ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Col""&amp;COLUMN(EJ$1)&amp;""=1""))&amp;""' ORDER BY Col6 DESC LIMIT ""&amp;QUERY('Global Variables'!$A:$B, ""SELECT Col2 WHERE Col1 = 'STA"&amp;"RTING_ROSTER_SIZE'"")),0))"),0.0)</f>
        <v>0</v>
      </c>
      <c r="EK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Col""&amp;COLUMN(EK$1)&amp;""=1""))&amp;""' ORDER BY Col6 DESC LIMIT ""&amp;QUERY('Global Variables'!$A:$B, ""SELECT Col2 WHERE Col1 = 'STA"&amp;"RTING_ROSTER_SIZE'"")),0))"),0.0)</f>
        <v>0</v>
      </c>
      <c r="EL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Col""&amp;COLUMN(EL$1)&amp;""=1""))&amp;""' ORDER BY Col6 DESC LIMIT ""&amp;QUERY('Global Variables'!$A:$B, ""SELECT Col2 WHERE Col1 = 'STA"&amp;"RTING_ROSTER_SIZE'"")),0))"),0.0)</f>
        <v>0</v>
      </c>
      <c r="EM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Col""&amp;COLUMN(EM$1)&amp;""=1""))&amp;""' ORDER BY Col6 DESC LIMIT ""&amp;QUERY('Global Variables'!$A:$B, ""SELECT Col2 WHERE Col1 = 'STA"&amp;"RTING_ROSTER_SIZE'"")),0))"),0.0)</f>
        <v>0</v>
      </c>
      <c r="EN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Col""&amp;COLUMN(EN$1)&amp;""=1""))&amp;""' ORDER BY Col6 DESC LIMIT ""&amp;QUERY('Global Variables'!$A:$B, ""SELECT Col2 WHERE Col1 = 'STA"&amp;"RTING_ROSTER_SIZE'"")),0))"),0.0)</f>
        <v>0</v>
      </c>
      <c r="EO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Col""&amp;COLUMN(EO$1)&amp;""=1""))&amp;""' ORDER BY Col6 DESC LIMIT ""&amp;QUERY('Global Variables'!$A:$B, ""SELECT Col2 WHERE Col1 = 'STA"&amp;"RTING_ROSTER_SIZE'"")),0))"),0.0)</f>
        <v>0</v>
      </c>
      <c r="EP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Col""&amp;COLUMN(EP$1)&amp;""=1""))&amp;""' ORDER BY Col6 DESC LIMIT ""&amp;QUERY('Global Variables'!$A:$B, ""SELECT Col2 WHERE Col1 = 'STA"&amp;"RTING_ROSTER_SIZE'"")),0))"),0.0)</f>
        <v>0</v>
      </c>
      <c r="EQ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Col""&amp;COLUMN(EQ$1)&amp;""=1""))&amp;""' ORDER BY Col6 DESC LIMIT ""&amp;QUERY('Global Variables'!$A:$B, ""SELECT Col2 WHERE Col1 = 'STA"&amp;"RTING_ROSTER_SIZE'"")),0))"),0.0)</f>
        <v>0</v>
      </c>
      <c r="ER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Col""&amp;COLUMN(ER$1)&amp;""=1""))&amp;""' ORDER BY Col6 DESC LIMIT ""&amp;QUERY('Global Variables'!$A:$B, ""SELECT Col2 WHERE Col1 = 'STA"&amp;"RTING_ROSTER_SIZE'"")),0))"),0.0)</f>
        <v>0</v>
      </c>
      <c r="ES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Col""&amp;COLUMN(ES$1)&amp;""=1""))&amp;""' ORDER BY Col6 DESC LIMIT ""&amp;QUERY('Global Variables'!$A:$B, ""SELECT Col2 WHERE Col1 = 'STA"&amp;"RTING_ROSTER_SIZE'"")),0))"),0.0)</f>
        <v>0</v>
      </c>
      <c r="ET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Col""&amp;COLUMN(ET$1)&amp;""=1""))&amp;""' ORDER BY Col6 DESC LIMIT ""&amp;QUERY('Global Variables'!$A:$B, ""SELECT Col2 WHERE Col1 = 'STA"&amp;"RTING_ROSTER_SIZE'"")),0))"),0.0)</f>
        <v>0</v>
      </c>
      <c r="EU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Col""&amp;COLUMN(EU$1)&amp;""=1""))&amp;""' ORDER BY Col6 DESC LIMIT ""&amp;QUERY('Global Variables'!$A:$B, ""SELECT Col2 WHERE Col1 = 'STA"&amp;"RTING_ROSTER_SIZE'"")),0))"),0.0)</f>
        <v>0</v>
      </c>
      <c r="EV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Col""&amp;COLUMN(EV$1)&amp;""=1""))&amp;""' ORDER BY Col6 DESC LIMIT ""&amp;QUERY('Global Variables'!$A:$B, ""SELECT Col2 WHERE Col1 = 'STA"&amp;"RTING_ROSTER_SIZE'"")),0))"),0.0)</f>
        <v>0</v>
      </c>
      <c r="EW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Col""&amp;COLUMN(EW$1)&amp;""=1""))&amp;""' ORDER BY Col6 DESC LIMIT ""&amp;QUERY('Global Variables'!$A:$B, ""SELECT Col2 WHERE Col1 = 'STA"&amp;"RTING_ROSTER_SIZE'"")),0))"),0.0)</f>
        <v>0</v>
      </c>
      <c r="EX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Col""&amp;COLUMN(EX$1)&amp;""=1""))&amp;""' ORDER BY Col6 DESC LIMIT ""&amp;QUERY('Global Variables'!$A:$B, ""SELECT Col2 WHERE Col1 = 'STA"&amp;"RTING_ROSTER_SIZE'"")),0))"),0.0)</f>
        <v>0</v>
      </c>
      <c r="EY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Col""&amp;COLUMN(EY$1)&amp;""=1""))&amp;""' ORDER BY Col6 DESC LIMIT ""&amp;QUERY('Global Variables'!$A:$B, ""SELECT Col2 WHERE Col1 = 'STA"&amp;"RTING_ROSTER_SIZE'"")),0))"),0.0)</f>
        <v>0</v>
      </c>
      <c r="EZ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Col""&amp;COLUMN(EZ$1)&amp;""=1""))&amp;""' ORDER BY Col6 DESC LIMIT ""&amp;QUERY('Global Variables'!$A:$B, ""SELECT Col2 WHERE Col1 = 'STA"&amp;"RTING_ROSTER_SIZE'"")),0))"),0.0)</f>
        <v>0</v>
      </c>
      <c r="FA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Col""&amp;COLUMN(FA$1)&amp;""=1""))&amp;""' ORDER BY Col6 DESC LIMIT ""&amp;QUERY('Global Variables'!$A:$B, ""SELECT Col2 WHERE Col1 = 'STA"&amp;"RTING_ROSTER_SIZE'"")),0))"),0.0)</f>
        <v>0</v>
      </c>
      <c r="FB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Col""&amp;COLUMN(FB$1)&amp;""=1""))&amp;""' ORDER BY Col6 DESC LIMIT ""&amp;QUERY('Global Variables'!$A:$B, ""SELECT Col2 WHERE Col1 = 'STA"&amp;"RTING_ROSTER_SIZE'"")),0))"),0.0)</f>
        <v>0</v>
      </c>
      <c r="FC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Col""&amp;COLUMN(FC$1)&amp;""=1""))&amp;""' ORDER BY Col6 DESC LIMIT ""&amp;QUERY('Global Variables'!$A:$B, ""SELECT Col2 WHERE Col1 = 'STA"&amp;"RTING_ROSTER_SIZE'"")),0))"),0.0)</f>
        <v>0</v>
      </c>
      <c r="FD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Col""&amp;COLUMN(FD$1)&amp;""=1""))&amp;""' ORDER BY Col6 DESC LIMIT ""&amp;QUERY('Global Variables'!$A:$B, ""SELECT Col2 WHERE Col1 = 'STA"&amp;"RTING_ROSTER_SIZE'"")),0))"),0.0)</f>
        <v>0</v>
      </c>
      <c r="FE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Col""&amp;COLUMN(FE$1)&amp;""=1""))&amp;""' ORDER BY Col6 DESC LIMIT ""&amp;QUERY('Global Variables'!$A:$B, ""SELECT Col2 WHERE Col1 = 'STA"&amp;"RTING_ROSTER_SIZE'"")),0))"),0.0)</f>
        <v>0</v>
      </c>
      <c r="FF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Col""&amp;COLUMN(FF$1)&amp;""=1""))&amp;""' ORDER BY Col6 DESC LIMIT ""&amp;QUERY('Global Variables'!$A:$B, ""SELECT Col2 WHERE Col1 = 'STA"&amp;"RTING_ROSTER_SIZE'"")),0))"),0.0)</f>
        <v>0</v>
      </c>
      <c r="FG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Col""&amp;COLUMN(FG$1)&amp;""=1""))&amp;""' ORDER BY Col6 DESC LIMIT ""&amp;QUERY('Global Variables'!$A:$B, ""SELECT Col2 WHERE Col1 = 'STA"&amp;"RTING_ROSTER_SIZE'"")),0))"),0.0)</f>
        <v>0</v>
      </c>
      <c r="FH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Col""&amp;COLUMN(FH$1)&amp;""=1""))&amp;""' ORDER BY Col6 DESC LIMIT ""&amp;QUERY('Global Variables'!$A:$B, ""SELECT Col2 WHERE Col1 = 'STA"&amp;"RTING_ROSTER_SIZE'"")),0))"),0.0)</f>
        <v>0</v>
      </c>
      <c r="FI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Col""&amp;COLUMN(FI$1)&amp;""=1""))&amp;""' ORDER BY Col6 DESC LIMIT ""&amp;QUERY('Global Variables'!$A:$B, ""SELECT Col2 WHERE Col1 = 'STA"&amp;"RTING_ROSTER_SIZE'"")),0))"),0.0)</f>
        <v>0</v>
      </c>
      <c r="FJ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Col""&amp;COLUMN(FJ$1)&amp;""=1""))&amp;""' ORDER BY Col6 DESC LIMIT ""&amp;QUERY('Global Variables'!$A:$B, ""SELECT Col2 WHERE Col1 = 'STA"&amp;"RTING_ROSTER_SIZE'"")),0))"),0.0)</f>
        <v>0</v>
      </c>
      <c r="FK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Col""&amp;COLUMN(FK$1)&amp;""=1""))&amp;""' ORDER BY Col6 DESC LIMIT ""&amp;QUERY('Global Variables'!$A:$B, ""SELECT Col2 WHERE Col1 = 'STA"&amp;"RTING_ROSTER_SIZE'"")),0))"),0.0)</f>
        <v>0</v>
      </c>
      <c r="FL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Col""&amp;COLUMN(FL$1)&amp;""=1""))&amp;""' ORDER BY Col6 DESC LIMIT ""&amp;QUERY('Global Variables'!$A:$B, ""SELECT Col2 WHERE Col1 = 'STA"&amp;"RTING_ROSTER_SIZE'"")),0))"),0.0)</f>
        <v>0</v>
      </c>
      <c r="FM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Col""&amp;COLUMN(FM$1)&amp;""=1""))&amp;""' ORDER BY Col6 DESC LIMIT ""&amp;QUERY('Global Variables'!$A:$B, ""SELECT Col2 WHERE Col1 = 'STA"&amp;"RTING_ROSTER_SIZE'"")),0))"),0.0)</f>
        <v>0</v>
      </c>
      <c r="FN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Col""&amp;COLUMN(FN$1)&amp;""=1""))&amp;""' ORDER BY Col6 DESC LIMIT ""&amp;QUERY('Global Variables'!$A:$B, ""SELECT Col2 WHERE Col1 = 'STA"&amp;"RTING_ROSTER_SIZE'"")),0))"),0.0)</f>
        <v>0</v>
      </c>
      <c r="FO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Col""&amp;COLUMN(FO$1)&amp;""=1""))&amp;""' ORDER BY Col6 DESC LIMIT ""&amp;QUERY('Global Variables'!$A:$B, ""SELECT Col2 WHERE Col1 = 'STA"&amp;"RTING_ROSTER_SIZE'"")),0))"),0.0)</f>
        <v>0</v>
      </c>
      <c r="FP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Col""&amp;COLUMN(FP$1)&amp;""=1""))&amp;""' ORDER BY Col6 DESC LIMIT ""&amp;QUERY('Global Variables'!$A:$B, ""SELECT Col2 WHERE Col1 = 'STA"&amp;"RTING_ROSTER_SIZE'"")),0))"),0.0)</f>
        <v>0</v>
      </c>
      <c r="FQ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Col""&amp;COLUMN(FQ$1)&amp;""=1""))&amp;""' ORDER BY Col6 DESC LIMIT ""&amp;QUERY('Global Variables'!$A:$B, ""SELECT Col2 WHERE Col1 = 'STA"&amp;"RTING_ROSTER_SIZE'"")),0))"),0.0)</f>
        <v>0</v>
      </c>
      <c r="FR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Col""&amp;COLUMN(FR$1)&amp;""=1""))&amp;""' ORDER BY Col6 DESC LIMIT ""&amp;QUERY('Global Variables'!$A:$B, ""SELECT Col2 WHERE Col1 = 'STA"&amp;"RTING_ROSTER_SIZE'"")),0))"),0.0)</f>
        <v>0</v>
      </c>
      <c r="FS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Col""&amp;COLUMN(FS$1)&amp;""=1""))&amp;""' ORDER BY Col6 DESC LIMIT ""&amp;QUERY('Global Variables'!$A:$B, ""SELECT Col2 WHERE Col1 = 'STA"&amp;"RTING_ROSTER_SIZE'"")),0))"),0.0)</f>
        <v>0</v>
      </c>
      <c r="FT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Col""&amp;COLUMN(FT$1)&amp;""=1""))&amp;""' ORDER BY Col6 DESC LIMIT ""&amp;QUERY('Global Variables'!$A:$B, ""SELECT Col2 WHERE Col1 = 'STA"&amp;"RTING_ROSTER_SIZE'"")),0))"),0.0)</f>
        <v>0</v>
      </c>
      <c r="FU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Col""&amp;COLUMN(FU$1)&amp;""=1""))&amp;""' ORDER BY Col6 DESC LIMIT ""&amp;QUERY('Global Variables'!$A:$B, ""SELECT Col2 WHERE Col1 = 'STA"&amp;"RTING_ROSTER_SIZE'"")),0))"),0.0)</f>
        <v>0</v>
      </c>
      <c r="FV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Col""&amp;COLUMN(FV$1)&amp;""=1""))&amp;""' ORDER BY Col6 DESC LIMIT ""&amp;QUERY('Global Variables'!$A:$B, ""SELECT Col2 WHERE Col1 = 'STA"&amp;"RTING_ROSTER_SIZE'"")),0))"),0.0)</f>
        <v>0</v>
      </c>
      <c r="FW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Col""&amp;COLUMN(FW$1)&amp;""=1""))&amp;""' ORDER BY Col6 DESC LIMIT ""&amp;QUERY('Global Variables'!$A:$B, ""SELECT Col2 WHERE Col1 = 'STA"&amp;"RTING_ROSTER_SIZE'"")),0))"),0.0)</f>
        <v>0</v>
      </c>
      <c r="FX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Col""&amp;COLUMN(FX$1)&amp;""=1""))&amp;""' ORDER BY Col6 DESC LIMIT ""&amp;QUERY('Global Variables'!$A:$B, ""SELECT Col2 WHERE Col1 = 'STA"&amp;"RTING_ROSTER_SIZE'"")),0))"),0.0)</f>
        <v>0</v>
      </c>
      <c r="FY4" s="9">
        <f>IFERROR(__xludf.DUMMYFUNCTION("SUM(
IFERROR(QUERY(
IFERROR(
OFFSET(Teams!$A$1,MATCH($A4,Teams!$A:$A,0),1,QUERY('Global Variables'!$A:$B, ""SELECT Col2 WHERE Col1 = '""&amp;IF($B$21,""TEAM_SIZE"",""ACTIVE_ROSTER_SIZE"")&amp;""'""),QUERY('Global Variables'!$A:$B, ""SELECT Col2 WHERE Col1 = 'TEAM"&amp;"_DATA_FIELD_COUNT'"")),
OFFSET(Teams!$K$1,MATCH($A4,Teams!$K:$K,0),1,QUERY('Global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Col""&amp;COLUMN(FY$1)&amp;""=1""))&amp;""' ORDER BY Col6 DESC LIMIT ""&amp;QUERY('Global Variables'!$A:$B, ""SELECT Col2 WHERE Col1 = 'STA"&amp;"RTING_ROSTER_SIZE'"")),0))"),0.0)</f>
        <v>0</v>
      </c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</row>
    <row r="5">
      <c r="A5" s="32" t="str">
        <f>'Weekly EDSA'!A4</f>
        <v>Bolick</v>
      </c>
      <c r="B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Col""&amp;COLUMN(B$1)&amp;""=1""))&amp;""' ORDER BY Col6 DESC LIMIT ""&amp;QUERY('Global Variables'!$A:$B, ""SELECT Col2 WHERE Col1 = 'STAR"&amp;"TING_ROSTER_SIZE'"")),0))"),0.0)</f>
        <v>0</v>
      </c>
      <c r="C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Col""&amp;COLUMN(C$1)&amp;""=1""))&amp;""' ORDER BY Col6 DESC LIMIT ""&amp;QUERY('Global Variables'!$A:$B, ""SELECT Col2 WHERE Col1 = 'STAR"&amp;"TING_ROSTER_SIZE'"")),0))"),0.0)</f>
        <v>0</v>
      </c>
      <c r="D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Col""&amp;COLUMN(D$1)&amp;""=1""))&amp;""' ORDER BY Col6 DESC LIMIT ""&amp;QUERY('Global Variables'!$A:$B, ""SELECT Col2 WHERE Col1 = 'STAR"&amp;"TING_ROSTER_SIZE'"")),0))"),0.0)</f>
        <v>0</v>
      </c>
      <c r="E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Col""&amp;COLUMN(E$1)&amp;""=1""))&amp;""' ORDER BY Col6 DESC LIMIT ""&amp;QUERY('Global Variables'!$A:$B, ""SELECT Col2 WHERE Col1 = 'STAR"&amp;"TING_ROSTER_SIZE'"")),0))"),0.0)</f>
        <v>0</v>
      </c>
      <c r="F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Col""&amp;COLUMN(F$1)&amp;""=1""))&amp;""' ORDER BY Col6 DESC LIMIT ""&amp;QUERY('Global Variables'!$A:$B, ""SELECT Col2 WHERE Col1 = 'STAR"&amp;"TING_ROSTER_SIZE'"")),0))"),0.0)</f>
        <v>0</v>
      </c>
      <c r="G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Col""&amp;COLUMN(G$1)&amp;""=1""))&amp;""' ORDER BY Col6 DESC LIMIT ""&amp;QUERY('Global Variables'!$A:$B, ""SELECT Col2 WHERE Col1 = 'STAR"&amp;"TING_ROSTER_SIZE'"")),0))"),0.0)</f>
        <v>0</v>
      </c>
      <c r="H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Col""&amp;COLUMN(H$1)&amp;""=1""))&amp;""' ORDER BY Col6 DESC LIMIT ""&amp;QUERY('Global Variables'!$A:$B, ""SELECT Col2 WHERE Col1 = 'STAR"&amp;"TING_ROSTER_SIZE'"")),0))"),0.0)</f>
        <v>0</v>
      </c>
      <c r="I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Col""&amp;COLUMN(I$1)&amp;""=1""))&amp;""' ORDER BY Col6 DESC LIMIT ""&amp;QUERY('Global Variables'!$A:$B, ""SELECT Col2 WHERE Col1 = 'STAR"&amp;"TING_ROSTER_SIZE'"")),0))"),0.0)</f>
        <v>0</v>
      </c>
      <c r="J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Col""&amp;COLUMN(J$1)&amp;""=1""))&amp;""' ORDER BY Col6 DESC LIMIT ""&amp;QUERY('Global Variables'!$A:$B, ""SELECT Col2 WHERE Col1 = 'STAR"&amp;"TING_ROSTER_SIZE'"")),0))"),0.0)</f>
        <v>0</v>
      </c>
      <c r="K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Col""&amp;COLUMN(K$1)&amp;""=1""))&amp;""' ORDER BY Col6 DESC LIMIT ""&amp;QUERY('Global Variables'!$A:$B, ""SELECT Col2 WHERE Col1 = 'STAR"&amp;"TING_ROSTER_SIZE'"")),0))"),0.0)</f>
        <v>0</v>
      </c>
      <c r="L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Col""&amp;COLUMN(L$1)&amp;""=1""))&amp;""' ORDER BY Col6 DESC LIMIT ""&amp;QUERY('Global Variables'!$A:$B, ""SELECT Col2 WHERE Col1 = 'STAR"&amp;"TING_ROSTER_SIZE'"")),0))"),0.0)</f>
        <v>0</v>
      </c>
      <c r="M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Col""&amp;COLUMN(M$1)&amp;""=1""))&amp;""' ORDER BY Col6 DESC LIMIT ""&amp;QUERY('Global Variables'!$A:$B, ""SELECT Col2 WHERE Col1 = 'STAR"&amp;"TING_ROSTER_SIZE'"")),0))"),0.0)</f>
        <v>0</v>
      </c>
      <c r="N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Col""&amp;COLUMN(N$1)&amp;""=1""))&amp;""' ORDER BY Col6 DESC LIMIT ""&amp;QUERY('Global Variables'!$A:$B, ""SELECT Col2 WHERE Col1 = 'STAR"&amp;"TING_ROSTER_SIZE'"")),0))"),0.0)</f>
        <v>0</v>
      </c>
      <c r="O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Col""&amp;COLUMN(O$1)&amp;""=1""))&amp;""' ORDER BY Col6 DESC LIMIT ""&amp;QUERY('Global Variables'!$A:$B, ""SELECT Col2 WHERE Col1 = 'STAR"&amp;"TING_ROSTER_SIZE'"")),0))"),0.0)</f>
        <v>0</v>
      </c>
      <c r="P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Col""&amp;COLUMN(P$1)&amp;""=1""))&amp;""' ORDER BY Col6 DESC LIMIT ""&amp;QUERY('Global Variables'!$A:$B, ""SELECT Col2 WHERE Col1 = 'STAR"&amp;"TING_ROSTER_SIZE'"")),0))"),0.0)</f>
        <v>0</v>
      </c>
      <c r="Q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Col""&amp;COLUMN(Q$1)&amp;""=1""))&amp;""' ORDER BY Col6 DESC LIMIT ""&amp;QUERY('Global Variables'!$A:$B, ""SELECT Col2 WHERE Col1 = 'STAR"&amp;"TING_ROSTER_SIZE'"")),0))"),0.0)</f>
        <v>0</v>
      </c>
      <c r="R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Col""&amp;COLUMN(R$1)&amp;""=1""))&amp;""' ORDER BY Col6 DESC LIMIT ""&amp;QUERY('Global Variables'!$A:$B, ""SELECT Col2 WHERE Col1 = 'STAR"&amp;"TING_ROSTER_SIZE'"")),0))"),0.0)</f>
        <v>0</v>
      </c>
      <c r="S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Col""&amp;COLUMN(S$1)&amp;""=1""))&amp;""' ORDER BY Col6 DESC LIMIT ""&amp;QUERY('Global Variables'!$A:$B, ""SELECT Col2 WHERE Col1 = 'STAR"&amp;"TING_ROSTER_SIZE'"")),0))"),0.0)</f>
        <v>0</v>
      </c>
      <c r="T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Col""&amp;COLUMN(T$1)&amp;""=1""))&amp;""' ORDER BY Col6 DESC LIMIT ""&amp;QUERY('Global Variables'!$A:$B, ""SELECT Col2 WHERE Col1 = 'STAR"&amp;"TING_ROSTER_SIZE'"")),0))"),0.0)</f>
        <v>0</v>
      </c>
      <c r="U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Col""&amp;COLUMN(U$1)&amp;""=1""))&amp;""' ORDER BY Col6 DESC LIMIT ""&amp;QUERY('Global Variables'!$A:$B, ""SELECT Col2 WHERE Col1 = 'STAR"&amp;"TING_ROSTER_SIZE'"")),0))"),0.0)</f>
        <v>0</v>
      </c>
      <c r="V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Col""&amp;COLUMN(V$1)&amp;""=1""))&amp;""' ORDER BY Col6 DESC LIMIT ""&amp;QUERY('Global Variables'!$A:$B, ""SELECT Col2 WHERE Col1 = 'STAR"&amp;"TING_ROSTER_SIZE'"")),0))"),0.0)</f>
        <v>0</v>
      </c>
      <c r="W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Col""&amp;COLUMN(W$1)&amp;""=1""))&amp;""' ORDER BY Col6 DESC LIMIT ""&amp;QUERY('Global Variables'!$A:$B, ""SELECT Col2 WHERE Col1 = 'STAR"&amp;"TING_ROSTER_SIZE'"")),0))"),0.0)</f>
        <v>0</v>
      </c>
      <c r="X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Col""&amp;COLUMN(X$1)&amp;""=1""))&amp;""' ORDER BY Col6 DESC LIMIT ""&amp;QUERY('Global Variables'!$A:$B, ""SELECT Col2 WHERE Col1 = 'STAR"&amp;"TING_ROSTER_SIZE'"")),0))"),0.0)</f>
        <v>0</v>
      </c>
      <c r="Y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Col""&amp;COLUMN(Y$1)&amp;""=1""))&amp;""' ORDER BY Col6 DESC LIMIT ""&amp;QUERY('Global Variables'!$A:$B, ""SELECT Col2 WHERE Col1 = 'STAR"&amp;"TING_ROSTER_SIZE'"")),0))"),0.0)</f>
        <v>0</v>
      </c>
      <c r="Z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Col""&amp;COLUMN(Z$1)&amp;""=1""))&amp;""' ORDER BY Col6 DESC LIMIT ""&amp;QUERY('Global Variables'!$A:$B, ""SELECT Col2 WHERE Col1 = 'STAR"&amp;"TING_ROSTER_SIZE'"")),0))"),0.0)</f>
        <v>0</v>
      </c>
      <c r="AA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Col""&amp;COLUMN(AA$1)&amp;""=1""))&amp;""' ORDER BY Col6 DESC LIMIT ""&amp;QUERY('Global Variables'!$A:$B, ""SELECT Col2 WHERE Col1 = 'STA"&amp;"RTING_ROSTER_SIZE'"")),0))"),0.0)</f>
        <v>0</v>
      </c>
      <c r="AB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Col""&amp;COLUMN(AB$1)&amp;""=1""))&amp;""' ORDER BY Col6 DESC LIMIT ""&amp;QUERY('Global Variables'!$A:$B, ""SELECT Col2 WHERE Col1 = 'STA"&amp;"RTING_ROSTER_SIZE'"")),0))"),0.0)</f>
        <v>0</v>
      </c>
      <c r="AC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Col""&amp;COLUMN(AC$1)&amp;""=1""))&amp;""' ORDER BY Col6 DESC LIMIT ""&amp;QUERY('Global Variables'!$A:$B, ""SELECT Col2 WHERE Col1 = 'STA"&amp;"RTING_ROSTER_SIZE'"")),0))"),0.0)</f>
        <v>0</v>
      </c>
      <c r="AD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Col""&amp;COLUMN(AD$1)&amp;""=1""))&amp;""' ORDER BY Col6 DESC LIMIT ""&amp;QUERY('Global Variables'!$A:$B, ""SELECT Col2 WHERE Col1 = 'STA"&amp;"RTING_ROSTER_SIZE'"")),0))"),0.0)</f>
        <v>0</v>
      </c>
      <c r="AE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Col""&amp;COLUMN(AE$1)&amp;""=1""))&amp;""' ORDER BY Col6 DESC LIMIT ""&amp;QUERY('Global Variables'!$A:$B, ""SELECT Col2 WHERE Col1 = 'STA"&amp;"RTING_ROSTER_SIZE'"")),0))"),0.0)</f>
        <v>0</v>
      </c>
      <c r="AF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Col""&amp;COLUMN(AF$1)&amp;""=1""))&amp;""' ORDER BY Col6 DESC LIMIT ""&amp;QUERY('Global Variables'!$A:$B, ""SELECT Col2 WHERE Col1 = 'STA"&amp;"RTING_ROSTER_SIZE'"")),0))"),0.0)</f>
        <v>0</v>
      </c>
      <c r="AG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Col""&amp;COLUMN(AG$1)&amp;""=1""))&amp;""' ORDER BY Col6 DESC LIMIT ""&amp;QUERY('Global Variables'!$A:$B, ""SELECT Col2 WHERE Col1 = 'STA"&amp;"RTING_ROSTER_SIZE'"")),0))"),0.0)</f>
        <v>0</v>
      </c>
      <c r="AH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Col""&amp;COLUMN(AH$1)&amp;""=1""))&amp;""' ORDER BY Col6 DESC LIMIT ""&amp;QUERY('Global Variables'!$A:$B, ""SELECT Col2 WHERE Col1 = 'STA"&amp;"RTING_ROSTER_SIZE'"")),0))"),0.0)</f>
        <v>0</v>
      </c>
      <c r="AI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Col""&amp;COLUMN(AI$1)&amp;""=1""))&amp;""' ORDER BY Col6 DESC LIMIT ""&amp;QUERY('Global Variables'!$A:$B, ""SELECT Col2 WHERE Col1 = 'STA"&amp;"RTING_ROSTER_SIZE'"")),0))"),0.0)</f>
        <v>0</v>
      </c>
      <c r="AJ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Col""&amp;COLUMN(AJ$1)&amp;""=1""))&amp;""' ORDER BY Col6 DESC LIMIT ""&amp;QUERY('Global Variables'!$A:$B, ""SELECT Col2 WHERE Col1 = 'STA"&amp;"RTING_ROSTER_SIZE'"")),0))"),0.0)</f>
        <v>0</v>
      </c>
      <c r="AK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Col""&amp;COLUMN(AK$1)&amp;""=1""))&amp;""' ORDER BY Col6 DESC LIMIT ""&amp;QUERY('Global Variables'!$A:$B, ""SELECT Col2 WHERE Col1 = 'STA"&amp;"RTING_ROSTER_SIZE'"")),0))"),0.0)</f>
        <v>0</v>
      </c>
      <c r="AL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Col""&amp;COLUMN(AL$1)&amp;""=1""))&amp;""' ORDER BY Col6 DESC LIMIT ""&amp;QUERY('Global Variables'!$A:$B, ""SELECT Col2 WHERE Col1 = 'STA"&amp;"RTING_ROSTER_SIZE'"")),0))"),0.0)</f>
        <v>0</v>
      </c>
      <c r="AM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Col""&amp;COLUMN(AM$1)&amp;""=1""))&amp;""' ORDER BY Col6 DESC LIMIT ""&amp;QUERY('Global Variables'!$A:$B, ""SELECT Col2 WHERE Col1 = 'STA"&amp;"RTING_ROSTER_SIZE'"")),0))"),0.0)</f>
        <v>0</v>
      </c>
      <c r="AN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Col""&amp;COLUMN(AN$1)&amp;""=1""))&amp;""' ORDER BY Col6 DESC LIMIT ""&amp;QUERY('Global Variables'!$A:$B, ""SELECT Col2 WHERE Col1 = 'STA"&amp;"RTING_ROSTER_SIZE'"")),0))"),0.0)</f>
        <v>0</v>
      </c>
      <c r="AO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Col""&amp;COLUMN(AO$1)&amp;""=1""))&amp;""' ORDER BY Col6 DESC LIMIT ""&amp;QUERY('Global Variables'!$A:$B, ""SELECT Col2 WHERE Col1 = 'STA"&amp;"RTING_ROSTER_SIZE'"")),0))"),0.0)</f>
        <v>0</v>
      </c>
      <c r="AP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Col""&amp;COLUMN(AP$1)&amp;""=1""))&amp;""' ORDER BY Col6 DESC LIMIT ""&amp;QUERY('Global Variables'!$A:$B, ""SELECT Col2 WHERE Col1 = 'STA"&amp;"RTING_ROSTER_SIZE'"")),0))"),0.0)</f>
        <v>0</v>
      </c>
      <c r="AQ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Col""&amp;COLUMN(AQ$1)&amp;""=1""))&amp;""' ORDER BY Col6 DESC LIMIT ""&amp;QUERY('Global Variables'!$A:$B, ""SELECT Col2 WHERE Col1 = 'STA"&amp;"RTING_ROSTER_SIZE'"")),0))"),0.0)</f>
        <v>0</v>
      </c>
      <c r="AR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Col""&amp;COLUMN(AR$1)&amp;""=1""))&amp;""' ORDER BY Col6 DESC LIMIT ""&amp;QUERY('Global Variables'!$A:$B, ""SELECT Col2 WHERE Col1 = 'STA"&amp;"RTING_ROSTER_SIZE'"")),0))"),0.0)</f>
        <v>0</v>
      </c>
      <c r="AS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Col""&amp;COLUMN(AS$1)&amp;""=1""))&amp;""' ORDER BY Col6 DESC LIMIT ""&amp;QUERY('Global Variables'!$A:$B, ""SELECT Col2 WHERE Col1 = 'STA"&amp;"RTING_ROSTER_SIZE'"")),0))"),0.0)</f>
        <v>0</v>
      </c>
      <c r="AT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Col""&amp;COLUMN(AT$1)&amp;""=1""))&amp;""' ORDER BY Col6 DESC LIMIT ""&amp;QUERY('Global Variables'!$A:$B, ""SELECT Col2 WHERE Col1 = 'STA"&amp;"RTING_ROSTER_SIZE'"")),0))"),0.0)</f>
        <v>0</v>
      </c>
      <c r="AU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Col""&amp;COLUMN(AU$1)&amp;""=1""))&amp;""' ORDER BY Col6 DESC LIMIT ""&amp;QUERY('Global Variables'!$A:$B, ""SELECT Col2 WHERE Col1 = 'STA"&amp;"RTING_ROSTER_SIZE'"")),0))"),0.0)</f>
        <v>0</v>
      </c>
      <c r="AV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Col""&amp;COLUMN(AV$1)&amp;""=1""))&amp;""' ORDER BY Col6 DESC LIMIT ""&amp;QUERY('Global Variables'!$A:$B, ""SELECT Col2 WHERE Col1 = 'STA"&amp;"RTING_ROSTER_SIZE'"")),0))"),0.0)</f>
        <v>0</v>
      </c>
      <c r="AW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Col""&amp;COLUMN(AW$1)&amp;""=1""))&amp;""' ORDER BY Col6 DESC LIMIT ""&amp;QUERY('Global Variables'!$A:$B, ""SELECT Col2 WHERE Col1 = 'STA"&amp;"RTING_ROSTER_SIZE'"")),0))"),0.0)</f>
        <v>0</v>
      </c>
      <c r="AX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Col""&amp;COLUMN(AX$1)&amp;""=1""))&amp;""' ORDER BY Col6 DESC LIMIT ""&amp;QUERY('Global Variables'!$A:$B, ""SELECT Col2 WHERE Col1 = 'STA"&amp;"RTING_ROSTER_SIZE'"")),0))"),0.0)</f>
        <v>0</v>
      </c>
      <c r="AY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Col""&amp;COLUMN(AY$1)&amp;""=1""))&amp;""' ORDER BY Col6 DESC LIMIT ""&amp;QUERY('Global Variables'!$A:$B, ""SELECT Col2 WHERE Col1 = 'STA"&amp;"RTING_ROSTER_SIZE'"")),0))"),0.0)</f>
        <v>0</v>
      </c>
      <c r="AZ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Col""&amp;COLUMN(AZ$1)&amp;""=1""))&amp;""' ORDER BY Col6 DESC LIMIT ""&amp;QUERY('Global Variables'!$A:$B, ""SELECT Col2 WHERE Col1 = 'STA"&amp;"RTING_ROSTER_SIZE'"")),0))"),0.0)</f>
        <v>0</v>
      </c>
      <c r="BA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Col""&amp;COLUMN(BA$1)&amp;""=1""))&amp;""' ORDER BY Col6 DESC LIMIT ""&amp;QUERY('Global Variables'!$A:$B, ""SELECT Col2 WHERE Col1 = 'STA"&amp;"RTING_ROSTER_SIZE'"")),0))"),0.0)</f>
        <v>0</v>
      </c>
      <c r="BB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Col""&amp;COLUMN(BB$1)&amp;""=1""))&amp;""' ORDER BY Col6 DESC LIMIT ""&amp;QUERY('Global Variables'!$A:$B, ""SELECT Col2 WHERE Col1 = 'STA"&amp;"RTING_ROSTER_SIZE'"")),0))"),0.0)</f>
        <v>0</v>
      </c>
      <c r="BC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Col""&amp;COLUMN(BC$1)&amp;""=1""))&amp;""' ORDER BY Col6 DESC LIMIT ""&amp;QUERY('Global Variables'!$A:$B, ""SELECT Col2 WHERE Col1 = 'STA"&amp;"RTING_ROSTER_SIZE'"")),0))"),0.0)</f>
        <v>0</v>
      </c>
      <c r="BD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Col""&amp;COLUMN(BD$1)&amp;""=1""))&amp;""' ORDER BY Col6 DESC LIMIT ""&amp;QUERY('Global Variables'!$A:$B, ""SELECT Col2 WHERE Col1 = 'STA"&amp;"RTING_ROSTER_SIZE'"")),0))"),0.0)</f>
        <v>0</v>
      </c>
      <c r="BE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Col""&amp;COLUMN(BE$1)&amp;""=1""))&amp;""' ORDER BY Col6 DESC LIMIT ""&amp;QUERY('Global Variables'!$A:$B, ""SELECT Col2 WHERE Col1 = 'STA"&amp;"RTING_ROSTER_SIZE'"")),0))"),0.0)</f>
        <v>0</v>
      </c>
      <c r="BF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Col""&amp;COLUMN(BF$1)&amp;""=1""))&amp;""' ORDER BY Col6 DESC LIMIT ""&amp;QUERY('Global Variables'!$A:$B, ""SELECT Col2 WHERE Col1 = 'STA"&amp;"RTING_ROSTER_SIZE'"")),0))"),0.0)</f>
        <v>0</v>
      </c>
      <c r="BG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Col""&amp;COLUMN(BG$1)&amp;""=1""))&amp;""' ORDER BY Col6 DESC LIMIT ""&amp;QUERY('Global Variables'!$A:$B, ""SELECT Col2 WHERE Col1 = 'STA"&amp;"RTING_ROSTER_SIZE'"")),0))"),0.0)</f>
        <v>0</v>
      </c>
      <c r="BH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Col""&amp;COLUMN(BH$1)&amp;""=1""))&amp;""' ORDER BY Col6 DESC LIMIT ""&amp;QUERY('Global Variables'!$A:$B, ""SELECT Col2 WHERE Col1 = 'STA"&amp;"RTING_ROSTER_SIZE'"")),0))"),0.0)</f>
        <v>0</v>
      </c>
      <c r="BI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Col""&amp;COLUMN(BI$1)&amp;""=1""))&amp;""' ORDER BY Col6 DESC LIMIT ""&amp;QUERY('Global Variables'!$A:$B, ""SELECT Col2 WHERE Col1 = 'STA"&amp;"RTING_ROSTER_SIZE'"")),0))"),0.0)</f>
        <v>0</v>
      </c>
      <c r="BJ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Col""&amp;COLUMN(BJ$1)&amp;""=1""))&amp;""' ORDER BY Col6 DESC LIMIT ""&amp;QUERY('Global Variables'!$A:$B, ""SELECT Col2 WHERE Col1 = 'STA"&amp;"RTING_ROSTER_SIZE'"")),0))"),0.0)</f>
        <v>0</v>
      </c>
      <c r="BK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Col""&amp;COLUMN(BK$1)&amp;""=1""))&amp;""' ORDER BY Col6 DESC LIMIT ""&amp;QUERY('Global Variables'!$A:$B, ""SELECT Col2 WHERE Col1 = 'STA"&amp;"RTING_ROSTER_SIZE'"")),0))"),0.0)</f>
        <v>0</v>
      </c>
      <c r="BL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Col""&amp;COLUMN(BL$1)&amp;""=1""))&amp;""' ORDER BY Col6 DESC LIMIT ""&amp;QUERY('Global Variables'!$A:$B, ""SELECT Col2 WHERE Col1 = 'STA"&amp;"RTING_ROSTER_SIZE'"")),0))"),0.0)</f>
        <v>0</v>
      </c>
      <c r="BM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Col""&amp;COLUMN(BM$1)&amp;""=1""))&amp;""' ORDER BY Col6 DESC LIMIT ""&amp;QUERY('Global Variables'!$A:$B, ""SELECT Col2 WHERE Col1 = 'STA"&amp;"RTING_ROSTER_SIZE'"")),0))"),0.0)</f>
        <v>0</v>
      </c>
      <c r="BN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Col""&amp;COLUMN(BN$1)&amp;""=1""))&amp;""' ORDER BY Col6 DESC LIMIT ""&amp;QUERY('Global Variables'!$A:$B, ""SELECT Col2 WHERE Col1 = 'STA"&amp;"RTING_ROSTER_SIZE'"")),0))"),0.0)</f>
        <v>0</v>
      </c>
      <c r="BO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Col""&amp;COLUMN(BO$1)&amp;""=1""))&amp;""' ORDER BY Col6 DESC LIMIT ""&amp;QUERY('Global Variables'!$A:$B, ""SELECT Col2 WHERE Col1 = 'STA"&amp;"RTING_ROSTER_SIZE'"")),0))"),0.0)</f>
        <v>0</v>
      </c>
      <c r="BP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Col""&amp;COLUMN(BP$1)&amp;""=1""))&amp;""' ORDER BY Col6 DESC LIMIT ""&amp;QUERY('Global Variables'!$A:$B, ""SELECT Col2 WHERE Col1 = 'STA"&amp;"RTING_ROSTER_SIZE'"")),0))"),0.0)</f>
        <v>0</v>
      </c>
      <c r="BQ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Col""&amp;COLUMN(BQ$1)&amp;""=1""))&amp;""' ORDER BY Col6 DESC LIMIT ""&amp;QUERY('Global Variables'!$A:$B, ""SELECT Col2 WHERE Col1 = 'STA"&amp;"RTING_ROSTER_SIZE'"")),0))"),0.0)</f>
        <v>0</v>
      </c>
      <c r="BR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Col""&amp;COLUMN(BR$1)&amp;""=1""))&amp;""' ORDER BY Col6 DESC LIMIT ""&amp;QUERY('Global Variables'!$A:$B, ""SELECT Col2 WHERE Col1 = 'STA"&amp;"RTING_ROSTER_SIZE'"")),0))"),0.0)</f>
        <v>0</v>
      </c>
      <c r="BS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Col""&amp;COLUMN(BS$1)&amp;""=1""))&amp;""' ORDER BY Col6 DESC LIMIT ""&amp;QUERY('Global Variables'!$A:$B, ""SELECT Col2 WHERE Col1 = 'STA"&amp;"RTING_ROSTER_SIZE'"")),0))"),0.0)</f>
        <v>0</v>
      </c>
      <c r="BT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Col""&amp;COLUMN(BT$1)&amp;""=1""))&amp;""' ORDER BY Col6 DESC LIMIT ""&amp;QUERY('Global Variables'!$A:$B, ""SELECT Col2 WHERE Col1 = 'STA"&amp;"RTING_ROSTER_SIZE'"")),0))"),0.0)</f>
        <v>0</v>
      </c>
      <c r="BU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Col""&amp;COLUMN(BU$1)&amp;""=1""))&amp;""' ORDER BY Col6 DESC LIMIT ""&amp;QUERY('Global Variables'!$A:$B, ""SELECT Col2 WHERE Col1 = 'STA"&amp;"RTING_ROSTER_SIZE'"")),0))"),0.0)</f>
        <v>0</v>
      </c>
      <c r="BV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Col""&amp;COLUMN(BV$1)&amp;""=1""))&amp;""' ORDER BY Col6 DESC LIMIT ""&amp;QUERY('Global Variables'!$A:$B, ""SELECT Col2 WHERE Col1 = 'STA"&amp;"RTING_ROSTER_SIZE'"")),0))"),0.0)</f>
        <v>0</v>
      </c>
      <c r="BW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Col""&amp;COLUMN(BW$1)&amp;""=1""))&amp;""' ORDER BY Col6 DESC LIMIT ""&amp;QUERY('Global Variables'!$A:$B, ""SELECT Col2 WHERE Col1 = 'STA"&amp;"RTING_ROSTER_SIZE'"")),0))"),0.0)</f>
        <v>0</v>
      </c>
      <c r="BX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Col""&amp;COLUMN(BX$1)&amp;""=1""))&amp;""' ORDER BY Col6 DESC LIMIT ""&amp;QUERY('Global Variables'!$A:$B, ""SELECT Col2 WHERE Col1 = 'STA"&amp;"RTING_ROSTER_SIZE'"")),0))"),0.0)</f>
        <v>0</v>
      </c>
      <c r="BY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Col""&amp;COLUMN(BY$1)&amp;""=1""))&amp;""' ORDER BY Col6 DESC LIMIT ""&amp;QUERY('Global Variables'!$A:$B, ""SELECT Col2 WHERE Col1 = 'STA"&amp;"RTING_ROSTER_SIZE'"")),0))"),0.0)</f>
        <v>0</v>
      </c>
      <c r="BZ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Col""&amp;COLUMN(BZ$1)&amp;""=1""))&amp;""' ORDER BY Col6 DESC LIMIT ""&amp;QUERY('Global Variables'!$A:$B, ""SELECT Col2 WHERE Col1 = 'STA"&amp;"RTING_ROSTER_SIZE'"")),0))"),0.0)</f>
        <v>0</v>
      </c>
      <c r="CA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Col""&amp;COLUMN(CA$1)&amp;""=1""))&amp;""' ORDER BY Col6 DESC LIMIT ""&amp;QUERY('Global Variables'!$A:$B, ""SELECT Col2 WHERE Col1 = 'STA"&amp;"RTING_ROSTER_SIZE'"")),0))"),0.0)</f>
        <v>0</v>
      </c>
      <c r="CB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Col""&amp;COLUMN(CB$1)&amp;""=1""))&amp;""' ORDER BY Col6 DESC LIMIT ""&amp;QUERY('Global Variables'!$A:$B, ""SELECT Col2 WHERE Col1 = 'STA"&amp;"RTING_ROSTER_SIZE'"")),0))"),0.0)</f>
        <v>0</v>
      </c>
      <c r="CC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Col""&amp;COLUMN(CC$1)&amp;""=1""))&amp;""' ORDER BY Col6 DESC LIMIT ""&amp;QUERY('Global Variables'!$A:$B, ""SELECT Col2 WHERE Col1 = 'STA"&amp;"RTING_ROSTER_SIZE'"")),0))"),0.0)</f>
        <v>0</v>
      </c>
      <c r="CD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Col""&amp;COLUMN(CD$1)&amp;""=1""))&amp;""' ORDER BY Col6 DESC LIMIT ""&amp;QUERY('Global Variables'!$A:$B, ""SELECT Col2 WHERE Col1 = 'STA"&amp;"RTING_ROSTER_SIZE'"")),0))"),0.0)</f>
        <v>0</v>
      </c>
      <c r="CE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Col""&amp;COLUMN(CE$1)&amp;""=1""))&amp;""' ORDER BY Col6 DESC LIMIT ""&amp;QUERY('Global Variables'!$A:$B, ""SELECT Col2 WHERE Col1 = 'STA"&amp;"RTING_ROSTER_SIZE'"")),0))"),0.0)</f>
        <v>0</v>
      </c>
      <c r="CF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Col""&amp;COLUMN(CF$1)&amp;""=1""))&amp;""' ORDER BY Col6 DESC LIMIT ""&amp;QUERY('Global Variables'!$A:$B, ""SELECT Col2 WHERE Col1 = 'STA"&amp;"RTING_ROSTER_SIZE'"")),0))"),0.0)</f>
        <v>0</v>
      </c>
      <c r="CG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Col""&amp;COLUMN(CG$1)&amp;""=1""))&amp;""' ORDER BY Col6 DESC LIMIT ""&amp;QUERY('Global Variables'!$A:$B, ""SELECT Col2 WHERE Col1 = 'STA"&amp;"RTING_ROSTER_SIZE'"")),0))"),0.0)</f>
        <v>0</v>
      </c>
      <c r="CH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Col""&amp;COLUMN(CH$1)&amp;""=1""))&amp;""' ORDER BY Col6 DESC LIMIT ""&amp;QUERY('Global Variables'!$A:$B, ""SELECT Col2 WHERE Col1 = 'STA"&amp;"RTING_ROSTER_SIZE'"")),0))"),0.0)</f>
        <v>0</v>
      </c>
      <c r="CI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Col""&amp;COLUMN(CI$1)&amp;""=1""))&amp;""' ORDER BY Col6 DESC LIMIT ""&amp;QUERY('Global Variables'!$A:$B, ""SELECT Col2 WHERE Col1 = 'STA"&amp;"RTING_ROSTER_SIZE'"")),0))"),0.0)</f>
        <v>0</v>
      </c>
      <c r="CJ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Col""&amp;COLUMN(CJ$1)&amp;""=1""))&amp;""' ORDER BY Col6 DESC LIMIT ""&amp;QUERY('Global Variables'!$A:$B, ""SELECT Col2 WHERE Col1 = 'STA"&amp;"RTING_ROSTER_SIZE'"")),0))"),0.0)</f>
        <v>0</v>
      </c>
      <c r="CK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Col""&amp;COLUMN(CK$1)&amp;""=1""))&amp;""' ORDER BY Col6 DESC LIMIT ""&amp;QUERY('Global Variables'!$A:$B, ""SELECT Col2 WHERE Col1 = 'STA"&amp;"RTING_ROSTER_SIZE'"")),0))"),0.0)</f>
        <v>0</v>
      </c>
      <c r="CL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Col""&amp;COLUMN(CL$1)&amp;""=1""))&amp;""' ORDER BY Col6 DESC LIMIT ""&amp;QUERY('Global Variables'!$A:$B, ""SELECT Col2 WHERE Col1 = 'STA"&amp;"RTING_ROSTER_SIZE'"")),0))"),0.0)</f>
        <v>0</v>
      </c>
      <c r="CM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Col""&amp;COLUMN(CM$1)&amp;""=1""))&amp;""' ORDER BY Col6 DESC LIMIT ""&amp;QUERY('Global Variables'!$A:$B, ""SELECT Col2 WHERE Col1 = 'STA"&amp;"RTING_ROSTER_SIZE'"")),0))"),0.0)</f>
        <v>0</v>
      </c>
      <c r="CN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Col""&amp;COLUMN(CN$1)&amp;""=1""))&amp;""' ORDER BY Col6 DESC LIMIT ""&amp;QUERY('Global Variables'!$A:$B, ""SELECT Col2 WHERE Col1 = 'STA"&amp;"RTING_ROSTER_SIZE'"")),0))"),0.0)</f>
        <v>0</v>
      </c>
      <c r="CO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Col""&amp;COLUMN(CO$1)&amp;""=1""))&amp;""' ORDER BY Col6 DESC LIMIT ""&amp;QUERY('Global Variables'!$A:$B, ""SELECT Col2 WHERE Col1 = 'STA"&amp;"RTING_ROSTER_SIZE'"")),0))"),0.0)</f>
        <v>0</v>
      </c>
      <c r="CP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Col""&amp;COLUMN(CP$1)&amp;""=1""))&amp;""' ORDER BY Col6 DESC LIMIT ""&amp;QUERY('Global Variables'!$A:$B, ""SELECT Col2 WHERE Col1 = 'STA"&amp;"RTING_ROSTER_SIZE'"")),0))"),0.0)</f>
        <v>0</v>
      </c>
      <c r="CQ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Col""&amp;COLUMN(CQ$1)&amp;""=1""))&amp;""' ORDER BY Col6 DESC LIMIT ""&amp;QUERY('Global Variables'!$A:$B, ""SELECT Col2 WHERE Col1 = 'STA"&amp;"RTING_ROSTER_SIZE'"")),0))"),0.0)</f>
        <v>0</v>
      </c>
      <c r="CR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Col""&amp;COLUMN(CR$1)&amp;""=1""))&amp;""' ORDER BY Col6 DESC LIMIT ""&amp;QUERY('Global Variables'!$A:$B, ""SELECT Col2 WHERE Col1 = 'STA"&amp;"RTING_ROSTER_SIZE'"")),0))"),0.0)</f>
        <v>0</v>
      </c>
      <c r="CS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Col""&amp;COLUMN(CS$1)&amp;""=1""))&amp;""' ORDER BY Col6 DESC LIMIT ""&amp;QUERY('Global Variables'!$A:$B, ""SELECT Col2 WHERE Col1 = 'STA"&amp;"RTING_ROSTER_SIZE'"")),0))"),0.0)</f>
        <v>0</v>
      </c>
      <c r="CT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Col""&amp;COLUMN(CT$1)&amp;""=1""))&amp;""' ORDER BY Col6 DESC LIMIT ""&amp;QUERY('Global Variables'!$A:$B, ""SELECT Col2 WHERE Col1 = 'STA"&amp;"RTING_ROSTER_SIZE'"")),0))"),0.0)</f>
        <v>0</v>
      </c>
      <c r="CU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Col""&amp;COLUMN(CU$1)&amp;""=1""))&amp;""' ORDER BY Col6 DESC LIMIT ""&amp;QUERY('Global Variables'!$A:$B, ""SELECT Col2 WHERE Col1 = 'STA"&amp;"RTING_ROSTER_SIZE'"")),0))"),0.0)</f>
        <v>0</v>
      </c>
      <c r="CV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Col""&amp;COLUMN(CV$1)&amp;""=1""))&amp;""' ORDER BY Col6 DESC LIMIT ""&amp;QUERY('Global Variables'!$A:$B, ""SELECT Col2 WHERE Col1 = 'STA"&amp;"RTING_ROSTER_SIZE'"")),0))"),0.0)</f>
        <v>0</v>
      </c>
      <c r="CW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Col""&amp;COLUMN(CW$1)&amp;""=1""))&amp;""' ORDER BY Col6 DESC LIMIT ""&amp;QUERY('Global Variables'!$A:$B, ""SELECT Col2 WHERE Col1 = 'STA"&amp;"RTING_ROSTER_SIZE'"")),0))"),0.0)</f>
        <v>0</v>
      </c>
      <c r="CX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Col""&amp;COLUMN(CX$1)&amp;""=1""))&amp;""' ORDER BY Col6 DESC LIMIT ""&amp;QUERY('Global Variables'!$A:$B, ""SELECT Col2 WHERE Col1 = 'STA"&amp;"RTING_ROSTER_SIZE'"")),0))"),0.0)</f>
        <v>0</v>
      </c>
      <c r="CY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Col""&amp;COLUMN(CY$1)&amp;""=1""))&amp;""' ORDER BY Col6 DESC LIMIT ""&amp;QUERY('Global Variables'!$A:$B, ""SELECT Col2 WHERE Col1 = 'STA"&amp;"RTING_ROSTER_SIZE'"")),0))"),0.0)</f>
        <v>0</v>
      </c>
      <c r="CZ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Col""&amp;COLUMN(CZ$1)&amp;""=1""))&amp;""' ORDER BY Col6 DESC LIMIT ""&amp;QUERY('Global Variables'!$A:$B, ""SELECT Col2 WHERE Col1 = 'STA"&amp;"RTING_ROSTER_SIZE'"")),0))"),0.0)</f>
        <v>0</v>
      </c>
      <c r="DA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Col""&amp;COLUMN(DA$1)&amp;""=1""))&amp;""' ORDER BY Col6 DESC LIMIT ""&amp;QUERY('Global Variables'!$A:$B, ""SELECT Col2 WHERE Col1 = 'STA"&amp;"RTING_ROSTER_SIZE'"")),0))"),0.0)</f>
        <v>0</v>
      </c>
      <c r="DB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Col""&amp;COLUMN(DB$1)&amp;""=1""))&amp;""' ORDER BY Col6 DESC LIMIT ""&amp;QUERY('Global Variables'!$A:$B, ""SELECT Col2 WHERE Col1 = 'STA"&amp;"RTING_ROSTER_SIZE'"")),0))"),0.0)</f>
        <v>0</v>
      </c>
      <c r="DC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Col""&amp;COLUMN(DC$1)&amp;""=1""))&amp;""' ORDER BY Col6 DESC LIMIT ""&amp;QUERY('Global Variables'!$A:$B, ""SELECT Col2 WHERE Col1 = 'STA"&amp;"RTING_ROSTER_SIZE'"")),0))"),0.0)</f>
        <v>0</v>
      </c>
      <c r="DD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Col""&amp;COLUMN(DD$1)&amp;""=1""))&amp;""' ORDER BY Col6 DESC LIMIT ""&amp;QUERY('Global Variables'!$A:$B, ""SELECT Col2 WHERE Col1 = 'STA"&amp;"RTING_ROSTER_SIZE'"")),0))"),0.0)</f>
        <v>0</v>
      </c>
      <c r="DE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Col""&amp;COLUMN(DE$1)&amp;""=1""))&amp;""' ORDER BY Col6 DESC LIMIT ""&amp;QUERY('Global Variables'!$A:$B, ""SELECT Col2 WHERE Col1 = 'STA"&amp;"RTING_ROSTER_SIZE'"")),0))"),0.0)</f>
        <v>0</v>
      </c>
      <c r="DF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Col""&amp;COLUMN(DF$1)&amp;""=1""))&amp;""' ORDER BY Col6 DESC LIMIT ""&amp;QUERY('Global Variables'!$A:$B, ""SELECT Col2 WHERE Col1 = 'STA"&amp;"RTING_ROSTER_SIZE'"")),0))"),0.0)</f>
        <v>0</v>
      </c>
      <c r="DG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Col""&amp;COLUMN(DG$1)&amp;""=1""))&amp;""' ORDER BY Col6 DESC LIMIT ""&amp;QUERY('Global Variables'!$A:$B, ""SELECT Col2 WHERE Col1 = 'STA"&amp;"RTING_ROSTER_SIZE'"")),0))"),0.0)</f>
        <v>0</v>
      </c>
      <c r="DH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Col""&amp;COLUMN(DH$1)&amp;""=1""))&amp;""' ORDER BY Col6 DESC LIMIT ""&amp;QUERY('Global Variables'!$A:$B, ""SELECT Col2 WHERE Col1 = 'STA"&amp;"RTING_ROSTER_SIZE'"")),0))"),0.0)</f>
        <v>0</v>
      </c>
      <c r="DI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Col""&amp;COLUMN(DI$1)&amp;""=1""))&amp;""' ORDER BY Col6 DESC LIMIT ""&amp;QUERY('Global Variables'!$A:$B, ""SELECT Col2 WHERE Col1 = 'STA"&amp;"RTING_ROSTER_SIZE'"")),0))"),0.0)</f>
        <v>0</v>
      </c>
      <c r="DJ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Col""&amp;COLUMN(DJ$1)&amp;""=1""))&amp;""' ORDER BY Col6 DESC LIMIT ""&amp;QUERY('Global Variables'!$A:$B, ""SELECT Col2 WHERE Col1 = 'STA"&amp;"RTING_ROSTER_SIZE'"")),0))"),0.0)</f>
        <v>0</v>
      </c>
      <c r="DK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Col""&amp;COLUMN(DK$1)&amp;""=1""))&amp;""' ORDER BY Col6 DESC LIMIT ""&amp;QUERY('Global Variables'!$A:$B, ""SELECT Col2 WHERE Col1 = 'STA"&amp;"RTING_ROSTER_SIZE'"")),0))"),0.0)</f>
        <v>0</v>
      </c>
      <c r="DL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Col""&amp;COLUMN(DL$1)&amp;""=1""))&amp;""' ORDER BY Col6 DESC LIMIT ""&amp;QUERY('Global Variables'!$A:$B, ""SELECT Col2 WHERE Col1 = 'STA"&amp;"RTING_ROSTER_SIZE'"")),0))"),0.0)</f>
        <v>0</v>
      </c>
      <c r="DM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Col""&amp;COLUMN(DM$1)&amp;""=1""))&amp;""' ORDER BY Col6 DESC LIMIT ""&amp;QUERY('Global Variables'!$A:$B, ""SELECT Col2 WHERE Col1 = 'STA"&amp;"RTING_ROSTER_SIZE'"")),0))"),0.0)</f>
        <v>0</v>
      </c>
      <c r="DN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Col""&amp;COLUMN(DN$1)&amp;""=1""))&amp;""' ORDER BY Col6 DESC LIMIT ""&amp;QUERY('Global Variables'!$A:$B, ""SELECT Col2 WHERE Col1 = 'STA"&amp;"RTING_ROSTER_SIZE'"")),0))"),0.0)</f>
        <v>0</v>
      </c>
      <c r="DO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Col""&amp;COLUMN(DO$1)&amp;""=1""))&amp;""' ORDER BY Col6 DESC LIMIT ""&amp;QUERY('Global Variables'!$A:$B, ""SELECT Col2 WHERE Col1 = 'STA"&amp;"RTING_ROSTER_SIZE'"")),0))"),0.0)</f>
        <v>0</v>
      </c>
      <c r="DP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Col""&amp;COLUMN(DP$1)&amp;""=1""))&amp;""' ORDER BY Col6 DESC LIMIT ""&amp;QUERY('Global Variables'!$A:$B, ""SELECT Col2 WHERE Col1 = 'STA"&amp;"RTING_ROSTER_SIZE'"")),0))"),0.0)</f>
        <v>0</v>
      </c>
      <c r="DQ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Col""&amp;COLUMN(DQ$1)&amp;""=1""))&amp;""' ORDER BY Col6 DESC LIMIT ""&amp;QUERY('Global Variables'!$A:$B, ""SELECT Col2 WHERE Col1 = 'STA"&amp;"RTING_ROSTER_SIZE'"")),0))"),0.0)</f>
        <v>0</v>
      </c>
      <c r="DR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Col""&amp;COLUMN(DR$1)&amp;""=1""))&amp;""' ORDER BY Col6 DESC LIMIT ""&amp;QUERY('Global Variables'!$A:$B, ""SELECT Col2 WHERE Col1 = 'STA"&amp;"RTING_ROSTER_SIZE'"")),0))"),0.0)</f>
        <v>0</v>
      </c>
      <c r="DS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Col""&amp;COLUMN(DS$1)&amp;""=1""))&amp;""' ORDER BY Col6 DESC LIMIT ""&amp;QUERY('Global Variables'!$A:$B, ""SELECT Col2 WHERE Col1 = 'STA"&amp;"RTING_ROSTER_SIZE'"")),0))"),0.0)</f>
        <v>0</v>
      </c>
      <c r="DT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Col""&amp;COLUMN(DT$1)&amp;""=1""))&amp;""' ORDER BY Col6 DESC LIMIT ""&amp;QUERY('Global Variables'!$A:$B, ""SELECT Col2 WHERE Col1 = 'STA"&amp;"RTING_ROSTER_SIZE'"")),0))"),0.0)</f>
        <v>0</v>
      </c>
      <c r="DU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Col""&amp;COLUMN(DU$1)&amp;""=1""))&amp;""' ORDER BY Col6 DESC LIMIT ""&amp;QUERY('Global Variables'!$A:$B, ""SELECT Col2 WHERE Col1 = 'STA"&amp;"RTING_ROSTER_SIZE'"")),0))"),0.0)</f>
        <v>0</v>
      </c>
      <c r="DV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Col""&amp;COLUMN(DV$1)&amp;""=1""))&amp;""' ORDER BY Col6 DESC LIMIT ""&amp;QUERY('Global Variables'!$A:$B, ""SELECT Col2 WHERE Col1 = 'STA"&amp;"RTING_ROSTER_SIZE'"")),0))"),0.0)</f>
        <v>0</v>
      </c>
      <c r="DW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Col""&amp;COLUMN(DW$1)&amp;""=1""))&amp;""' ORDER BY Col6 DESC LIMIT ""&amp;QUERY('Global Variables'!$A:$B, ""SELECT Col2 WHERE Col1 = 'STA"&amp;"RTING_ROSTER_SIZE'"")),0))"),0.0)</f>
        <v>0</v>
      </c>
      <c r="DX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Col""&amp;COLUMN(DX$1)&amp;""=1""))&amp;""' ORDER BY Col6 DESC LIMIT ""&amp;QUERY('Global Variables'!$A:$B, ""SELECT Col2 WHERE Col1 = 'STA"&amp;"RTING_ROSTER_SIZE'"")),0))"),0.0)</f>
        <v>0</v>
      </c>
      <c r="DY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Col""&amp;COLUMN(DY$1)&amp;""=1""))&amp;""' ORDER BY Col6 DESC LIMIT ""&amp;QUERY('Global Variables'!$A:$B, ""SELECT Col2 WHERE Col1 = 'STA"&amp;"RTING_ROSTER_SIZE'"")),0))"),0.0)</f>
        <v>0</v>
      </c>
      <c r="DZ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Col""&amp;COLUMN(DZ$1)&amp;""=1""))&amp;""' ORDER BY Col6 DESC LIMIT ""&amp;QUERY('Global Variables'!$A:$B, ""SELECT Col2 WHERE Col1 = 'STA"&amp;"RTING_ROSTER_SIZE'"")),0))"),0.0)</f>
        <v>0</v>
      </c>
      <c r="EA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Col""&amp;COLUMN(EA$1)&amp;""=1""))&amp;""' ORDER BY Col6 DESC LIMIT ""&amp;QUERY('Global Variables'!$A:$B, ""SELECT Col2 WHERE Col1 = 'STA"&amp;"RTING_ROSTER_SIZE'"")),0))"),0.0)</f>
        <v>0</v>
      </c>
      <c r="EB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Col""&amp;COLUMN(EB$1)&amp;""=1""))&amp;""' ORDER BY Col6 DESC LIMIT ""&amp;QUERY('Global Variables'!$A:$B, ""SELECT Col2 WHERE Col1 = 'STA"&amp;"RTING_ROSTER_SIZE'"")),0))"),0.0)</f>
        <v>0</v>
      </c>
      <c r="EC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Col""&amp;COLUMN(EC$1)&amp;""=1""))&amp;""' ORDER BY Col6 DESC LIMIT ""&amp;QUERY('Global Variables'!$A:$B, ""SELECT Col2 WHERE Col1 = 'STA"&amp;"RTING_ROSTER_SIZE'"")),0))"),0.0)</f>
        <v>0</v>
      </c>
      <c r="ED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Col""&amp;COLUMN(ED$1)&amp;""=1""))&amp;""' ORDER BY Col6 DESC LIMIT ""&amp;QUERY('Global Variables'!$A:$B, ""SELECT Col2 WHERE Col1 = 'STA"&amp;"RTING_ROSTER_SIZE'"")),0))"),0.0)</f>
        <v>0</v>
      </c>
      <c r="EE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Col""&amp;COLUMN(EE$1)&amp;""=1""))&amp;""' ORDER BY Col6 DESC LIMIT ""&amp;QUERY('Global Variables'!$A:$B, ""SELECT Col2 WHERE Col1 = 'STA"&amp;"RTING_ROSTER_SIZE'"")),0))"),0.0)</f>
        <v>0</v>
      </c>
      <c r="EF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Col""&amp;COLUMN(EF$1)&amp;""=1""))&amp;""' ORDER BY Col6 DESC LIMIT ""&amp;QUERY('Global Variables'!$A:$B, ""SELECT Col2 WHERE Col1 = 'STA"&amp;"RTING_ROSTER_SIZE'"")),0))"),0.0)</f>
        <v>0</v>
      </c>
      <c r="EG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Col""&amp;COLUMN(EG$1)&amp;""=1""))&amp;""' ORDER BY Col6 DESC LIMIT ""&amp;QUERY('Global Variables'!$A:$B, ""SELECT Col2 WHERE Col1 = 'STA"&amp;"RTING_ROSTER_SIZE'"")),0))"),0.0)</f>
        <v>0</v>
      </c>
      <c r="EH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Col""&amp;COLUMN(EH$1)&amp;""=1""))&amp;""' ORDER BY Col6 DESC LIMIT ""&amp;QUERY('Global Variables'!$A:$B, ""SELECT Col2 WHERE Col1 = 'STA"&amp;"RTING_ROSTER_SIZE'"")),0))"),0.0)</f>
        <v>0</v>
      </c>
      <c r="EI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Col""&amp;COLUMN(EI$1)&amp;""=1""))&amp;""' ORDER BY Col6 DESC LIMIT ""&amp;QUERY('Global Variables'!$A:$B, ""SELECT Col2 WHERE Col1 = 'STA"&amp;"RTING_ROSTER_SIZE'"")),0))"),0.0)</f>
        <v>0</v>
      </c>
      <c r="EJ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Col""&amp;COLUMN(EJ$1)&amp;""=1""))&amp;""' ORDER BY Col6 DESC LIMIT ""&amp;QUERY('Global Variables'!$A:$B, ""SELECT Col2 WHERE Col1 = 'STA"&amp;"RTING_ROSTER_SIZE'"")),0))"),0.0)</f>
        <v>0</v>
      </c>
      <c r="EK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Col""&amp;COLUMN(EK$1)&amp;""=1""))&amp;""' ORDER BY Col6 DESC LIMIT ""&amp;QUERY('Global Variables'!$A:$B, ""SELECT Col2 WHERE Col1 = 'STA"&amp;"RTING_ROSTER_SIZE'"")),0))"),0.0)</f>
        <v>0</v>
      </c>
      <c r="EL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Col""&amp;COLUMN(EL$1)&amp;""=1""))&amp;""' ORDER BY Col6 DESC LIMIT ""&amp;QUERY('Global Variables'!$A:$B, ""SELECT Col2 WHERE Col1 = 'STA"&amp;"RTING_ROSTER_SIZE'"")),0))"),0.0)</f>
        <v>0</v>
      </c>
      <c r="EM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Col""&amp;COLUMN(EM$1)&amp;""=1""))&amp;""' ORDER BY Col6 DESC LIMIT ""&amp;QUERY('Global Variables'!$A:$B, ""SELECT Col2 WHERE Col1 = 'STA"&amp;"RTING_ROSTER_SIZE'"")),0))"),0.0)</f>
        <v>0</v>
      </c>
      <c r="EN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Col""&amp;COLUMN(EN$1)&amp;""=1""))&amp;""' ORDER BY Col6 DESC LIMIT ""&amp;QUERY('Global Variables'!$A:$B, ""SELECT Col2 WHERE Col1 = 'STA"&amp;"RTING_ROSTER_SIZE'"")),0))"),0.0)</f>
        <v>0</v>
      </c>
      <c r="EO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Col""&amp;COLUMN(EO$1)&amp;""=1""))&amp;""' ORDER BY Col6 DESC LIMIT ""&amp;QUERY('Global Variables'!$A:$B, ""SELECT Col2 WHERE Col1 = 'STA"&amp;"RTING_ROSTER_SIZE'"")),0))"),0.0)</f>
        <v>0</v>
      </c>
      <c r="EP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Col""&amp;COLUMN(EP$1)&amp;""=1""))&amp;""' ORDER BY Col6 DESC LIMIT ""&amp;QUERY('Global Variables'!$A:$B, ""SELECT Col2 WHERE Col1 = 'STA"&amp;"RTING_ROSTER_SIZE'"")),0))"),0.0)</f>
        <v>0</v>
      </c>
      <c r="EQ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Col""&amp;COLUMN(EQ$1)&amp;""=1""))&amp;""' ORDER BY Col6 DESC LIMIT ""&amp;QUERY('Global Variables'!$A:$B, ""SELECT Col2 WHERE Col1 = 'STA"&amp;"RTING_ROSTER_SIZE'"")),0))"),0.0)</f>
        <v>0</v>
      </c>
      <c r="ER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Col""&amp;COLUMN(ER$1)&amp;""=1""))&amp;""' ORDER BY Col6 DESC LIMIT ""&amp;QUERY('Global Variables'!$A:$B, ""SELECT Col2 WHERE Col1 = 'STA"&amp;"RTING_ROSTER_SIZE'"")),0))"),0.0)</f>
        <v>0</v>
      </c>
      <c r="ES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Col""&amp;COLUMN(ES$1)&amp;""=1""))&amp;""' ORDER BY Col6 DESC LIMIT ""&amp;QUERY('Global Variables'!$A:$B, ""SELECT Col2 WHERE Col1 = 'STA"&amp;"RTING_ROSTER_SIZE'"")),0))"),0.0)</f>
        <v>0</v>
      </c>
      <c r="ET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Col""&amp;COLUMN(ET$1)&amp;""=1""))&amp;""' ORDER BY Col6 DESC LIMIT ""&amp;QUERY('Global Variables'!$A:$B, ""SELECT Col2 WHERE Col1 = 'STA"&amp;"RTING_ROSTER_SIZE'"")),0))"),0.0)</f>
        <v>0</v>
      </c>
      <c r="EU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Col""&amp;COLUMN(EU$1)&amp;""=1""))&amp;""' ORDER BY Col6 DESC LIMIT ""&amp;QUERY('Global Variables'!$A:$B, ""SELECT Col2 WHERE Col1 = 'STA"&amp;"RTING_ROSTER_SIZE'"")),0))"),0.0)</f>
        <v>0</v>
      </c>
      <c r="EV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Col""&amp;COLUMN(EV$1)&amp;""=1""))&amp;""' ORDER BY Col6 DESC LIMIT ""&amp;QUERY('Global Variables'!$A:$B, ""SELECT Col2 WHERE Col1 = 'STA"&amp;"RTING_ROSTER_SIZE'"")),0))"),0.0)</f>
        <v>0</v>
      </c>
      <c r="EW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Col""&amp;COLUMN(EW$1)&amp;""=1""))&amp;""' ORDER BY Col6 DESC LIMIT ""&amp;QUERY('Global Variables'!$A:$B, ""SELECT Col2 WHERE Col1 = 'STA"&amp;"RTING_ROSTER_SIZE'"")),0))"),0.0)</f>
        <v>0</v>
      </c>
      <c r="EX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Col""&amp;COLUMN(EX$1)&amp;""=1""))&amp;""' ORDER BY Col6 DESC LIMIT ""&amp;QUERY('Global Variables'!$A:$B, ""SELECT Col2 WHERE Col1 = 'STA"&amp;"RTING_ROSTER_SIZE'"")),0))"),0.0)</f>
        <v>0</v>
      </c>
      <c r="EY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Col""&amp;COLUMN(EY$1)&amp;""=1""))&amp;""' ORDER BY Col6 DESC LIMIT ""&amp;QUERY('Global Variables'!$A:$B, ""SELECT Col2 WHERE Col1 = 'STA"&amp;"RTING_ROSTER_SIZE'"")),0))"),0.0)</f>
        <v>0</v>
      </c>
      <c r="EZ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Col""&amp;COLUMN(EZ$1)&amp;""=1""))&amp;""' ORDER BY Col6 DESC LIMIT ""&amp;QUERY('Global Variables'!$A:$B, ""SELECT Col2 WHERE Col1 = 'STA"&amp;"RTING_ROSTER_SIZE'"")),0))"),0.0)</f>
        <v>0</v>
      </c>
      <c r="FA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Col""&amp;COLUMN(FA$1)&amp;""=1""))&amp;""' ORDER BY Col6 DESC LIMIT ""&amp;QUERY('Global Variables'!$A:$B, ""SELECT Col2 WHERE Col1 = 'STA"&amp;"RTING_ROSTER_SIZE'"")),0))"),0.0)</f>
        <v>0</v>
      </c>
      <c r="FB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Col""&amp;COLUMN(FB$1)&amp;""=1""))&amp;""' ORDER BY Col6 DESC LIMIT ""&amp;QUERY('Global Variables'!$A:$B, ""SELECT Col2 WHERE Col1 = 'STA"&amp;"RTING_ROSTER_SIZE'"")),0))"),0.0)</f>
        <v>0</v>
      </c>
      <c r="FC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Col""&amp;COLUMN(FC$1)&amp;""=1""))&amp;""' ORDER BY Col6 DESC LIMIT ""&amp;QUERY('Global Variables'!$A:$B, ""SELECT Col2 WHERE Col1 = 'STA"&amp;"RTING_ROSTER_SIZE'"")),0))"),0.0)</f>
        <v>0</v>
      </c>
      <c r="FD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Col""&amp;COLUMN(FD$1)&amp;""=1""))&amp;""' ORDER BY Col6 DESC LIMIT ""&amp;QUERY('Global Variables'!$A:$B, ""SELECT Col2 WHERE Col1 = 'STA"&amp;"RTING_ROSTER_SIZE'"")),0))"),0.0)</f>
        <v>0</v>
      </c>
      <c r="FE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Col""&amp;COLUMN(FE$1)&amp;""=1""))&amp;""' ORDER BY Col6 DESC LIMIT ""&amp;QUERY('Global Variables'!$A:$B, ""SELECT Col2 WHERE Col1 = 'STA"&amp;"RTING_ROSTER_SIZE'"")),0))"),0.0)</f>
        <v>0</v>
      </c>
      <c r="FF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Col""&amp;COLUMN(FF$1)&amp;""=1""))&amp;""' ORDER BY Col6 DESC LIMIT ""&amp;QUERY('Global Variables'!$A:$B, ""SELECT Col2 WHERE Col1 = 'STA"&amp;"RTING_ROSTER_SIZE'"")),0))"),0.0)</f>
        <v>0</v>
      </c>
      <c r="FG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Col""&amp;COLUMN(FG$1)&amp;""=1""))&amp;""' ORDER BY Col6 DESC LIMIT ""&amp;QUERY('Global Variables'!$A:$B, ""SELECT Col2 WHERE Col1 = 'STA"&amp;"RTING_ROSTER_SIZE'"")),0))"),0.0)</f>
        <v>0</v>
      </c>
      <c r="FH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Col""&amp;COLUMN(FH$1)&amp;""=1""))&amp;""' ORDER BY Col6 DESC LIMIT ""&amp;QUERY('Global Variables'!$A:$B, ""SELECT Col2 WHERE Col1 = 'STA"&amp;"RTING_ROSTER_SIZE'"")),0))"),0.0)</f>
        <v>0</v>
      </c>
      <c r="FI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Col""&amp;COLUMN(FI$1)&amp;""=1""))&amp;""' ORDER BY Col6 DESC LIMIT ""&amp;QUERY('Global Variables'!$A:$B, ""SELECT Col2 WHERE Col1 = 'STA"&amp;"RTING_ROSTER_SIZE'"")),0))"),0.0)</f>
        <v>0</v>
      </c>
      <c r="FJ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Col""&amp;COLUMN(FJ$1)&amp;""=1""))&amp;""' ORDER BY Col6 DESC LIMIT ""&amp;QUERY('Global Variables'!$A:$B, ""SELECT Col2 WHERE Col1 = 'STA"&amp;"RTING_ROSTER_SIZE'"")),0))"),0.0)</f>
        <v>0</v>
      </c>
      <c r="FK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Col""&amp;COLUMN(FK$1)&amp;""=1""))&amp;""' ORDER BY Col6 DESC LIMIT ""&amp;QUERY('Global Variables'!$A:$B, ""SELECT Col2 WHERE Col1 = 'STA"&amp;"RTING_ROSTER_SIZE'"")),0))"),0.0)</f>
        <v>0</v>
      </c>
      <c r="FL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Col""&amp;COLUMN(FL$1)&amp;""=1""))&amp;""' ORDER BY Col6 DESC LIMIT ""&amp;QUERY('Global Variables'!$A:$B, ""SELECT Col2 WHERE Col1 = 'STA"&amp;"RTING_ROSTER_SIZE'"")),0))"),0.0)</f>
        <v>0</v>
      </c>
      <c r="FM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Col""&amp;COLUMN(FM$1)&amp;""=1""))&amp;""' ORDER BY Col6 DESC LIMIT ""&amp;QUERY('Global Variables'!$A:$B, ""SELECT Col2 WHERE Col1 = 'STA"&amp;"RTING_ROSTER_SIZE'"")),0))"),0.0)</f>
        <v>0</v>
      </c>
      <c r="FN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Col""&amp;COLUMN(FN$1)&amp;""=1""))&amp;""' ORDER BY Col6 DESC LIMIT ""&amp;QUERY('Global Variables'!$A:$B, ""SELECT Col2 WHERE Col1 = 'STA"&amp;"RTING_ROSTER_SIZE'"")),0))"),0.0)</f>
        <v>0</v>
      </c>
      <c r="FO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Col""&amp;COLUMN(FO$1)&amp;""=1""))&amp;""' ORDER BY Col6 DESC LIMIT ""&amp;QUERY('Global Variables'!$A:$B, ""SELECT Col2 WHERE Col1 = 'STA"&amp;"RTING_ROSTER_SIZE'"")),0))"),0.0)</f>
        <v>0</v>
      </c>
      <c r="FP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Col""&amp;COLUMN(FP$1)&amp;""=1""))&amp;""' ORDER BY Col6 DESC LIMIT ""&amp;QUERY('Global Variables'!$A:$B, ""SELECT Col2 WHERE Col1 = 'STA"&amp;"RTING_ROSTER_SIZE'"")),0))"),0.0)</f>
        <v>0</v>
      </c>
      <c r="FQ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Col""&amp;COLUMN(FQ$1)&amp;""=1""))&amp;""' ORDER BY Col6 DESC LIMIT ""&amp;QUERY('Global Variables'!$A:$B, ""SELECT Col2 WHERE Col1 = 'STA"&amp;"RTING_ROSTER_SIZE'"")),0))"),0.0)</f>
        <v>0</v>
      </c>
      <c r="FR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Col""&amp;COLUMN(FR$1)&amp;""=1""))&amp;""' ORDER BY Col6 DESC LIMIT ""&amp;QUERY('Global Variables'!$A:$B, ""SELECT Col2 WHERE Col1 = 'STA"&amp;"RTING_ROSTER_SIZE'"")),0))"),0.0)</f>
        <v>0</v>
      </c>
      <c r="FS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Col""&amp;COLUMN(FS$1)&amp;""=1""))&amp;""' ORDER BY Col6 DESC LIMIT ""&amp;QUERY('Global Variables'!$A:$B, ""SELECT Col2 WHERE Col1 = 'STA"&amp;"RTING_ROSTER_SIZE'"")),0))"),0.0)</f>
        <v>0</v>
      </c>
      <c r="FT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Col""&amp;COLUMN(FT$1)&amp;""=1""))&amp;""' ORDER BY Col6 DESC LIMIT ""&amp;QUERY('Global Variables'!$A:$B, ""SELECT Col2 WHERE Col1 = 'STA"&amp;"RTING_ROSTER_SIZE'"")),0))"),0.0)</f>
        <v>0</v>
      </c>
      <c r="FU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Col""&amp;COLUMN(FU$1)&amp;""=1""))&amp;""' ORDER BY Col6 DESC LIMIT ""&amp;QUERY('Global Variables'!$A:$B, ""SELECT Col2 WHERE Col1 = 'STA"&amp;"RTING_ROSTER_SIZE'"")),0))"),0.0)</f>
        <v>0</v>
      </c>
      <c r="FV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Col""&amp;COLUMN(FV$1)&amp;""=1""))&amp;""' ORDER BY Col6 DESC LIMIT ""&amp;QUERY('Global Variables'!$A:$B, ""SELECT Col2 WHERE Col1 = 'STA"&amp;"RTING_ROSTER_SIZE'"")),0))"),0.0)</f>
        <v>0</v>
      </c>
      <c r="FW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Col""&amp;COLUMN(FW$1)&amp;""=1""))&amp;""' ORDER BY Col6 DESC LIMIT ""&amp;QUERY('Global Variables'!$A:$B, ""SELECT Col2 WHERE Col1 = 'STA"&amp;"RTING_ROSTER_SIZE'"")),0))"),0.0)</f>
        <v>0</v>
      </c>
      <c r="FX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Col""&amp;COLUMN(FX$1)&amp;""=1""))&amp;""' ORDER BY Col6 DESC LIMIT ""&amp;QUERY('Global Variables'!$A:$B, ""SELECT Col2 WHERE Col1 = 'STA"&amp;"RTING_ROSTER_SIZE'"")),0))"),0.0)</f>
        <v>0</v>
      </c>
      <c r="FY5" s="9">
        <f>IFERROR(__xludf.DUMMYFUNCTION("SUM(
IFERROR(QUERY(
IFERROR(
OFFSET(Teams!$A$1,MATCH($A5,Teams!$A:$A,0),1,QUERY('Global Variables'!$A:$B, ""SELECT Col2 WHERE Col1 = '""&amp;IF($B$21,""TEAM_SIZE"",""ACTIVE_ROSTER_SIZE"")&amp;""'""),QUERY('Global Variables'!$A:$B, ""SELECT Col2 WHERE Col1 = 'TEAM"&amp;"_DATA_FIELD_COUNT'"")),
OFFSET(Teams!$K$1,MATCH($A5,Teams!$K:$K,0),1,QUERY('Global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Col""&amp;COLUMN(FY$1)&amp;""=1""))&amp;""' ORDER BY Col6 DESC LIMIT ""&amp;QUERY('Global Variables'!$A:$B, ""SELECT Col2 WHERE Col1 = 'STA"&amp;"RTING_ROSTER_SIZE'"")),0))"),0.0)</f>
        <v>0</v>
      </c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</row>
    <row r="6">
      <c r="A6" s="32" t="str">
        <f>'Weekly EDSA'!A5</f>
        <v>Dean</v>
      </c>
      <c r="B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Col""&amp;COLUMN(B$1)&amp;""=1""))&amp;""' ORDER BY Col6 DESC LIMIT ""&amp;QUERY('Global Variables'!$A:$B, ""SELECT Col2 WHERE Col1 = 'STAR"&amp;"TING_ROSTER_SIZE'"")),0))"),0.0)</f>
        <v>0</v>
      </c>
      <c r="C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Col""&amp;COLUMN(C$1)&amp;""=1""))&amp;""' ORDER BY Col6 DESC LIMIT ""&amp;QUERY('Global Variables'!$A:$B, ""SELECT Col2 WHERE Col1 = 'STAR"&amp;"TING_ROSTER_SIZE'"")),0))"),0.0)</f>
        <v>0</v>
      </c>
      <c r="D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Col""&amp;COLUMN(D$1)&amp;""=1""))&amp;""' ORDER BY Col6 DESC LIMIT ""&amp;QUERY('Global Variables'!$A:$B, ""SELECT Col2 WHERE Col1 = 'STAR"&amp;"TING_ROSTER_SIZE'"")),0))"),0.0)</f>
        <v>0</v>
      </c>
      <c r="E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Col""&amp;COLUMN(E$1)&amp;""=1""))&amp;""' ORDER BY Col6 DESC LIMIT ""&amp;QUERY('Global Variables'!$A:$B, ""SELECT Col2 WHERE Col1 = 'STAR"&amp;"TING_ROSTER_SIZE'"")),0))"),0.0)</f>
        <v>0</v>
      </c>
      <c r="F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Col""&amp;COLUMN(F$1)&amp;""=1""))&amp;""' ORDER BY Col6 DESC LIMIT ""&amp;QUERY('Global Variables'!$A:$B, ""SELECT Col2 WHERE Col1 = 'STAR"&amp;"TING_ROSTER_SIZE'"")),0))"),0.0)</f>
        <v>0</v>
      </c>
      <c r="G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Col""&amp;COLUMN(G$1)&amp;""=1""))&amp;""' ORDER BY Col6 DESC LIMIT ""&amp;QUERY('Global Variables'!$A:$B, ""SELECT Col2 WHERE Col1 = 'STAR"&amp;"TING_ROSTER_SIZE'"")),0))"),0.0)</f>
        <v>0</v>
      </c>
      <c r="H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Col""&amp;COLUMN(H$1)&amp;""=1""))&amp;""' ORDER BY Col6 DESC LIMIT ""&amp;QUERY('Global Variables'!$A:$B, ""SELECT Col2 WHERE Col1 = 'STAR"&amp;"TING_ROSTER_SIZE'"")),0))"),0.0)</f>
        <v>0</v>
      </c>
      <c r="I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Col""&amp;COLUMN(I$1)&amp;""=1""))&amp;""' ORDER BY Col6 DESC LIMIT ""&amp;QUERY('Global Variables'!$A:$B, ""SELECT Col2 WHERE Col1 = 'STAR"&amp;"TING_ROSTER_SIZE'"")),0))"),0.0)</f>
        <v>0</v>
      </c>
      <c r="J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Col""&amp;COLUMN(J$1)&amp;""=1""))&amp;""' ORDER BY Col6 DESC LIMIT ""&amp;QUERY('Global Variables'!$A:$B, ""SELECT Col2 WHERE Col1 = 'STAR"&amp;"TING_ROSTER_SIZE'"")),0))"),0.0)</f>
        <v>0</v>
      </c>
      <c r="K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Col""&amp;COLUMN(K$1)&amp;""=1""))&amp;""' ORDER BY Col6 DESC LIMIT ""&amp;QUERY('Global Variables'!$A:$B, ""SELECT Col2 WHERE Col1 = 'STAR"&amp;"TING_ROSTER_SIZE'"")),0))"),0.0)</f>
        <v>0</v>
      </c>
      <c r="L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Col""&amp;COLUMN(L$1)&amp;""=1""))&amp;""' ORDER BY Col6 DESC LIMIT ""&amp;QUERY('Global Variables'!$A:$B, ""SELECT Col2 WHERE Col1 = 'STAR"&amp;"TING_ROSTER_SIZE'"")),0))"),0.0)</f>
        <v>0</v>
      </c>
      <c r="M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Col""&amp;COLUMN(M$1)&amp;""=1""))&amp;""' ORDER BY Col6 DESC LIMIT ""&amp;QUERY('Global Variables'!$A:$B, ""SELECT Col2 WHERE Col1 = 'STAR"&amp;"TING_ROSTER_SIZE'"")),0))"),0.0)</f>
        <v>0</v>
      </c>
      <c r="N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Col""&amp;COLUMN(N$1)&amp;""=1""))&amp;""' ORDER BY Col6 DESC LIMIT ""&amp;QUERY('Global Variables'!$A:$B, ""SELECT Col2 WHERE Col1 = 'STAR"&amp;"TING_ROSTER_SIZE'"")),0))"),0.0)</f>
        <v>0</v>
      </c>
      <c r="O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Col""&amp;COLUMN(O$1)&amp;""=1""))&amp;""' ORDER BY Col6 DESC LIMIT ""&amp;QUERY('Global Variables'!$A:$B, ""SELECT Col2 WHERE Col1 = 'STAR"&amp;"TING_ROSTER_SIZE'"")),0))"),0.0)</f>
        <v>0</v>
      </c>
      <c r="P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Col""&amp;COLUMN(P$1)&amp;""=1""))&amp;""' ORDER BY Col6 DESC LIMIT ""&amp;QUERY('Global Variables'!$A:$B, ""SELECT Col2 WHERE Col1 = 'STAR"&amp;"TING_ROSTER_SIZE'"")),0))"),0.0)</f>
        <v>0</v>
      </c>
      <c r="Q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Col""&amp;COLUMN(Q$1)&amp;""=1""))&amp;""' ORDER BY Col6 DESC LIMIT ""&amp;QUERY('Global Variables'!$A:$B, ""SELECT Col2 WHERE Col1 = 'STAR"&amp;"TING_ROSTER_SIZE'"")),0))"),0.0)</f>
        <v>0</v>
      </c>
      <c r="R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Col""&amp;COLUMN(R$1)&amp;""=1""))&amp;""' ORDER BY Col6 DESC LIMIT ""&amp;QUERY('Global Variables'!$A:$B, ""SELECT Col2 WHERE Col1 = 'STAR"&amp;"TING_ROSTER_SIZE'"")),0))"),0.0)</f>
        <v>0</v>
      </c>
      <c r="S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Col""&amp;COLUMN(S$1)&amp;""=1""))&amp;""' ORDER BY Col6 DESC LIMIT ""&amp;QUERY('Global Variables'!$A:$B, ""SELECT Col2 WHERE Col1 = 'STAR"&amp;"TING_ROSTER_SIZE'"")),0))"),0.0)</f>
        <v>0</v>
      </c>
      <c r="T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Col""&amp;COLUMN(T$1)&amp;""=1""))&amp;""' ORDER BY Col6 DESC LIMIT ""&amp;QUERY('Global Variables'!$A:$B, ""SELECT Col2 WHERE Col1 = 'STAR"&amp;"TING_ROSTER_SIZE'"")),0))"),0.0)</f>
        <v>0</v>
      </c>
      <c r="U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Col""&amp;COLUMN(U$1)&amp;""=1""))&amp;""' ORDER BY Col6 DESC LIMIT ""&amp;QUERY('Global Variables'!$A:$B, ""SELECT Col2 WHERE Col1 = 'STAR"&amp;"TING_ROSTER_SIZE'"")),0))"),0.0)</f>
        <v>0</v>
      </c>
      <c r="V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Col""&amp;COLUMN(V$1)&amp;""=1""))&amp;""' ORDER BY Col6 DESC LIMIT ""&amp;QUERY('Global Variables'!$A:$B, ""SELECT Col2 WHERE Col1 = 'STAR"&amp;"TING_ROSTER_SIZE'"")),0))"),0.0)</f>
        <v>0</v>
      </c>
      <c r="W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Col""&amp;COLUMN(W$1)&amp;""=1""))&amp;""' ORDER BY Col6 DESC LIMIT ""&amp;QUERY('Global Variables'!$A:$B, ""SELECT Col2 WHERE Col1 = 'STAR"&amp;"TING_ROSTER_SIZE'"")),0))"),0.0)</f>
        <v>0</v>
      </c>
      <c r="X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Col""&amp;COLUMN(X$1)&amp;""=1""))&amp;""' ORDER BY Col6 DESC LIMIT ""&amp;QUERY('Global Variables'!$A:$B, ""SELECT Col2 WHERE Col1 = 'STAR"&amp;"TING_ROSTER_SIZE'"")),0))"),0.0)</f>
        <v>0</v>
      </c>
      <c r="Y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Col""&amp;COLUMN(Y$1)&amp;""=1""))&amp;""' ORDER BY Col6 DESC LIMIT ""&amp;QUERY('Global Variables'!$A:$B, ""SELECT Col2 WHERE Col1 = 'STAR"&amp;"TING_ROSTER_SIZE'"")),0))"),0.0)</f>
        <v>0</v>
      </c>
      <c r="Z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Col""&amp;COLUMN(Z$1)&amp;""=1""))&amp;""' ORDER BY Col6 DESC LIMIT ""&amp;QUERY('Global Variables'!$A:$B, ""SELECT Col2 WHERE Col1 = 'STAR"&amp;"TING_ROSTER_SIZE'"")),0))"),0.0)</f>
        <v>0</v>
      </c>
      <c r="AA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Col""&amp;COLUMN(AA$1)&amp;""=1""))&amp;""' ORDER BY Col6 DESC LIMIT ""&amp;QUERY('Global Variables'!$A:$B, ""SELECT Col2 WHERE Col1 = 'STA"&amp;"RTING_ROSTER_SIZE'"")),0))"),0.0)</f>
        <v>0</v>
      </c>
      <c r="AB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Col""&amp;COLUMN(AB$1)&amp;""=1""))&amp;""' ORDER BY Col6 DESC LIMIT ""&amp;QUERY('Global Variables'!$A:$B, ""SELECT Col2 WHERE Col1 = 'STA"&amp;"RTING_ROSTER_SIZE'"")),0))"),0.0)</f>
        <v>0</v>
      </c>
      <c r="AC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Col""&amp;COLUMN(AC$1)&amp;""=1""))&amp;""' ORDER BY Col6 DESC LIMIT ""&amp;QUERY('Global Variables'!$A:$B, ""SELECT Col2 WHERE Col1 = 'STA"&amp;"RTING_ROSTER_SIZE'"")),0))"),0.0)</f>
        <v>0</v>
      </c>
      <c r="AD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Col""&amp;COLUMN(AD$1)&amp;""=1""))&amp;""' ORDER BY Col6 DESC LIMIT ""&amp;QUERY('Global Variables'!$A:$B, ""SELECT Col2 WHERE Col1 = 'STA"&amp;"RTING_ROSTER_SIZE'"")),0))"),0.0)</f>
        <v>0</v>
      </c>
      <c r="AE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Col""&amp;COLUMN(AE$1)&amp;""=1""))&amp;""' ORDER BY Col6 DESC LIMIT ""&amp;QUERY('Global Variables'!$A:$B, ""SELECT Col2 WHERE Col1 = 'STA"&amp;"RTING_ROSTER_SIZE'"")),0))"),0.0)</f>
        <v>0</v>
      </c>
      <c r="AF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Col""&amp;COLUMN(AF$1)&amp;""=1""))&amp;""' ORDER BY Col6 DESC LIMIT ""&amp;QUERY('Global Variables'!$A:$B, ""SELECT Col2 WHERE Col1 = 'STA"&amp;"RTING_ROSTER_SIZE'"")),0))"),0.0)</f>
        <v>0</v>
      </c>
      <c r="AG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Col""&amp;COLUMN(AG$1)&amp;""=1""))&amp;""' ORDER BY Col6 DESC LIMIT ""&amp;QUERY('Global Variables'!$A:$B, ""SELECT Col2 WHERE Col1 = 'STA"&amp;"RTING_ROSTER_SIZE'"")),0))"),0.0)</f>
        <v>0</v>
      </c>
      <c r="AH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Col""&amp;COLUMN(AH$1)&amp;""=1""))&amp;""' ORDER BY Col6 DESC LIMIT ""&amp;QUERY('Global Variables'!$A:$B, ""SELECT Col2 WHERE Col1 = 'STA"&amp;"RTING_ROSTER_SIZE'"")),0))"),0.0)</f>
        <v>0</v>
      </c>
      <c r="AI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Col""&amp;COLUMN(AI$1)&amp;""=1""))&amp;""' ORDER BY Col6 DESC LIMIT ""&amp;QUERY('Global Variables'!$A:$B, ""SELECT Col2 WHERE Col1 = 'STA"&amp;"RTING_ROSTER_SIZE'"")),0))"),0.0)</f>
        <v>0</v>
      </c>
      <c r="AJ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Col""&amp;COLUMN(AJ$1)&amp;""=1""))&amp;""' ORDER BY Col6 DESC LIMIT ""&amp;QUERY('Global Variables'!$A:$B, ""SELECT Col2 WHERE Col1 = 'STA"&amp;"RTING_ROSTER_SIZE'"")),0))"),0.0)</f>
        <v>0</v>
      </c>
      <c r="AK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Col""&amp;COLUMN(AK$1)&amp;""=1""))&amp;""' ORDER BY Col6 DESC LIMIT ""&amp;QUERY('Global Variables'!$A:$B, ""SELECT Col2 WHERE Col1 = 'STA"&amp;"RTING_ROSTER_SIZE'"")),0))"),0.0)</f>
        <v>0</v>
      </c>
      <c r="AL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Col""&amp;COLUMN(AL$1)&amp;""=1""))&amp;""' ORDER BY Col6 DESC LIMIT ""&amp;QUERY('Global Variables'!$A:$B, ""SELECT Col2 WHERE Col1 = 'STA"&amp;"RTING_ROSTER_SIZE'"")),0))"),0.0)</f>
        <v>0</v>
      </c>
      <c r="AM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Col""&amp;COLUMN(AM$1)&amp;""=1""))&amp;""' ORDER BY Col6 DESC LIMIT ""&amp;QUERY('Global Variables'!$A:$B, ""SELECT Col2 WHERE Col1 = 'STA"&amp;"RTING_ROSTER_SIZE'"")),0))"),0.0)</f>
        <v>0</v>
      </c>
      <c r="AN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Col""&amp;COLUMN(AN$1)&amp;""=1""))&amp;""' ORDER BY Col6 DESC LIMIT ""&amp;QUERY('Global Variables'!$A:$B, ""SELECT Col2 WHERE Col1 = 'STA"&amp;"RTING_ROSTER_SIZE'"")),0))"),0.0)</f>
        <v>0</v>
      </c>
      <c r="AO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Col""&amp;COLUMN(AO$1)&amp;""=1""))&amp;""' ORDER BY Col6 DESC LIMIT ""&amp;QUERY('Global Variables'!$A:$B, ""SELECT Col2 WHERE Col1 = 'STA"&amp;"RTING_ROSTER_SIZE'"")),0))"),0.0)</f>
        <v>0</v>
      </c>
      <c r="AP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Col""&amp;COLUMN(AP$1)&amp;""=1""))&amp;""' ORDER BY Col6 DESC LIMIT ""&amp;QUERY('Global Variables'!$A:$B, ""SELECT Col2 WHERE Col1 = 'STA"&amp;"RTING_ROSTER_SIZE'"")),0))"),0.0)</f>
        <v>0</v>
      </c>
      <c r="AQ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Col""&amp;COLUMN(AQ$1)&amp;""=1""))&amp;""' ORDER BY Col6 DESC LIMIT ""&amp;QUERY('Global Variables'!$A:$B, ""SELECT Col2 WHERE Col1 = 'STA"&amp;"RTING_ROSTER_SIZE'"")),0))"),0.0)</f>
        <v>0</v>
      </c>
      <c r="AR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Col""&amp;COLUMN(AR$1)&amp;""=1""))&amp;""' ORDER BY Col6 DESC LIMIT ""&amp;QUERY('Global Variables'!$A:$B, ""SELECT Col2 WHERE Col1 = 'STA"&amp;"RTING_ROSTER_SIZE'"")),0))"),0.0)</f>
        <v>0</v>
      </c>
      <c r="AS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Col""&amp;COLUMN(AS$1)&amp;""=1""))&amp;""' ORDER BY Col6 DESC LIMIT ""&amp;QUERY('Global Variables'!$A:$B, ""SELECT Col2 WHERE Col1 = 'STA"&amp;"RTING_ROSTER_SIZE'"")),0))"),0.0)</f>
        <v>0</v>
      </c>
      <c r="AT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Col""&amp;COLUMN(AT$1)&amp;""=1""))&amp;""' ORDER BY Col6 DESC LIMIT ""&amp;QUERY('Global Variables'!$A:$B, ""SELECT Col2 WHERE Col1 = 'STA"&amp;"RTING_ROSTER_SIZE'"")),0))"),0.0)</f>
        <v>0</v>
      </c>
      <c r="AU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Col""&amp;COLUMN(AU$1)&amp;""=1""))&amp;""' ORDER BY Col6 DESC LIMIT ""&amp;QUERY('Global Variables'!$A:$B, ""SELECT Col2 WHERE Col1 = 'STA"&amp;"RTING_ROSTER_SIZE'"")),0))"),0.0)</f>
        <v>0</v>
      </c>
      <c r="AV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Col""&amp;COLUMN(AV$1)&amp;""=1""))&amp;""' ORDER BY Col6 DESC LIMIT ""&amp;QUERY('Global Variables'!$A:$B, ""SELECT Col2 WHERE Col1 = 'STA"&amp;"RTING_ROSTER_SIZE'"")),0))"),0.0)</f>
        <v>0</v>
      </c>
      <c r="AW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Col""&amp;COLUMN(AW$1)&amp;""=1""))&amp;""' ORDER BY Col6 DESC LIMIT ""&amp;QUERY('Global Variables'!$A:$B, ""SELECT Col2 WHERE Col1 = 'STA"&amp;"RTING_ROSTER_SIZE'"")),0))"),0.0)</f>
        <v>0</v>
      </c>
      <c r="AX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Col""&amp;COLUMN(AX$1)&amp;""=1""))&amp;""' ORDER BY Col6 DESC LIMIT ""&amp;QUERY('Global Variables'!$A:$B, ""SELECT Col2 WHERE Col1 = 'STA"&amp;"RTING_ROSTER_SIZE'"")),0))"),0.0)</f>
        <v>0</v>
      </c>
      <c r="AY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Col""&amp;COLUMN(AY$1)&amp;""=1""))&amp;""' ORDER BY Col6 DESC LIMIT ""&amp;QUERY('Global Variables'!$A:$B, ""SELECT Col2 WHERE Col1 = 'STA"&amp;"RTING_ROSTER_SIZE'"")),0))"),0.0)</f>
        <v>0</v>
      </c>
      <c r="AZ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Col""&amp;COLUMN(AZ$1)&amp;""=1""))&amp;""' ORDER BY Col6 DESC LIMIT ""&amp;QUERY('Global Variables'!$A:$B, ""SELECT Col2 WHERE Col1 = 'STA"&amp;"RTING_ROSTER_SIZE'"")),0))"),0.0)</f>
        <v>0</v>
      </c>
      <c r="BA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Col""&amp;COLUMN(BA$1)&amp;""=1""))&amp;""' ORDER BY Col6 DESC LIMIT ""&amp;QUERY('Global Variables'!$A:$B, ""SELECT Col2 WHERE Col1 = 'STA"&amp;"RTING_ROSTER_SIZE'"")),0))"),0.0)</f>
        <v>0</v>
      </c>
      <c r="BB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Col""&amp;COLUMN(BB$1)&amp;""=1""))&amp;""' ORDER BY Col6 DESC LIMIT ""&amp;QUERY('Global Variables'!$A:$B, ""SELECT Col2 WHERE Col1 = 'STA"&amp;"RTING_ROSTER_SIZE'"")),0))"),0.0)</f>
        <v>0</v>
      </c>
      <c r="BC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Col""&amp;COLUMN(BC$1)&amp;""=1""))&amp;""' ORDER BY Col6 DESC LIMIT ""&amp;QUERY('Global Variables'!$A:$B, ""SELECT Col2 WHERE Col1 = 'STA"&amp;"RTING_ROSTER_SIZE'"")),0))"),0.0)</f>
        <v>0</v>
      </c>
      <c r="BD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Col""&amp;COLUMN(BD$1)&amp;""=1""))&amp;""' ORDER BY Col6 DESC LIMIT ""&amp;QUERY('Global Variables'!$A:$B, ""SELECT Col2 WHERE Col1 = 'STA"&amp;"RTING_ROSTER_SIZE'"")),0))"),0.0)</f>
        <v>0</v>
      </c>
      <c r="BE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Col""&amp;COLUMN(BE$1)&amp;""=1""))&amp;""' ORDER BY Col6 DESC LIMIT ""&amp;QUERY('Global Variables'!$A:$B, ""SELECT Col2 WHERE Col1 = 'STA"&amp;"RTING_ROSTER_SIZE'"")),0))"),0.0)</f>
        <v>0</v>
      </c>
      <c r="BF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Col""&amp;COLUMN(BF$1)&amp;""=1""))&amp;""' ORDER BY Col6 DESC LIMIT ""&amp;QUERY('Global Variables'!$A:$B, ""SELECT Col2 WHERE Col1 = 'STA"&amp;"RTING_ROSTER_SIZE'"")),0))"),0.0)</f>
        <v>0</v>
      </c>
      <c r="BG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Col""&amp;COLUMN(BG$1)&amp;""=1""))&amp;""' ORDER BY Col6 DESC LIMIT ""&amp;QUERY('Global Variables'!$A:$B, ""SELECT Col2 WHERE Col1 = 'STA"&amp;"RTING_ROSTER_SIZE'"")),0))"),0.0)</f>
        <v>0</v>
      </c>
      <c r="BH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Col""&amp;COLUMN(BH$1)&amp;""=1""))&amp;""' ORDER BY Col6 DESC LIMIT ""&amp;QUERY('Global Variables'!$A:$B, ""SELECT Col2 WHERE Col1 = 'STA"&amp;"RTING_ROSTER_SIZE'"")),0))"),0.0)</f>
        <v>0</v>
      </c>
      <c r="BI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Col""&amp;COLUMN(BI$1)&amp;""=1""))&amp;""' ORDER BY Col6 DESC LIMIT ""&amp;QUERY('Global Variables'!$A:$B, ""SELECT Col2 WHERE Col1 = 'STA"&amp;"RTING_ROSTER_SIZE'"")),0))"),0.0)</f>
        <v>0</v>
      </c>
      <c r="BJ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Col""&amp;COLUMN(BJ$1)&amp;""=1""))&amp;""' ORDER BY Col6 DESC LIMIT ""&amp;QUERY('Global Variables'!$A:$B, ""SELECT Col2 WHERE Col1 = 'STA"&amp;"RTING_ROSTER_SIZE'"")),0))"),0.0)</f>
        <v>0</v>
      </c>
      <c r="BK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Col""&amp;COLUMN(BK$1)&amp;""=1""))&amp;""' ORDER BY Col6 DESC LIMIT ""&amp;QUERY('Global Variables'!$A:$B, ""SELECT Col2 WHERE Col1 = 'STA"&amp;"RTING_ROSTER_SIZE'"")),0))"),0.0)</f>
        <v>0</v>
      </c>
      <c r="BL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Col""&amp;COLUMN(BL$1)&amp;""=1""))&amp;""' ORDER BY Col6 DESC LIMIT ""&amp;QUERY('Global Variables'!$A:$B, ""SELECT Col2 WHERE Col1 = 'STA"&amp;"RTING_ROSTER_SIZE'"")),0))"),0.0)</f>
        <v>0</v>
      </c>
      <c r="BM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Col""&amp;COLUMN(BM$1)&amp;""=1""))&amp;""' ORDER BY Col6 DESC LIMIT ""&amp;QUERY('Global Variables'!$A:$B, ""SELECT Col2 WHERE Col1 = 'STA"&amp;"RTING_ROSTER_SIZE'"")),0))"),0.0)</f>
        <v>0</v>
      </c>
      <c r="BN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Col""&amp;COLUMN(BN$1)&amp;""=1""))&amp;""' ORDER BY Col6 DESC LIMIT ""&amp;QUERY('Global Variables'!$A:$B, ""SELECT Col2 WHERE Col1 = 'STA"&amp;"RTING_ROSTER_SIZE'"")),0))"),0.0)</f>
        <v>0</v>
      </c>
      <c r="BO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Col""&amp;COLUMN(BO$1)&amp;""=1""))&amp;""' ORDER BY Col6 DESC LIMIT ""&amp;QUERY('Global Variables'!$A:$B, ""SELECT Col2 WHERE Col1 = 'STA"&amp;"RTING_ROSTER_SIZE'"")),0))"),0.0)</f>
        <v>0</v>
      </c>
      <c r="BP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Col""&amp;COLUMN(BP$1)&amp;""=1""))&amp;""' ORDER BY Col6 DESC LIMIT ""&amp;QUERY('Global Variables'!$A:$B, ""SELECT Col2 WHERE Col1 = 'STA"&amp;"RTING_ROSTER_SIZE'"")),0))"),0.0)</f>
        <v>0</v>
      </c>
      <c r="BQ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Col""&amp;COLUMN(BQ$1)&amp;""=1""))&amp;""' ORDER BY Col6 DESC LIMIT ""&amp;QUERY('Global Variables'!$A:$B, ""SELECT Col2 WHERE Col1 = 'STA"&amp;"RTING_ROSTER_SIZE'"")),0))"),0.0)</f>
        <v>0</v>
      </c>
      <c r="BR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Col""&amp;COLUMN(BR$1)&amp;""=1""))&amp;""' ORDER BY Col6 DESC LIMIT ""&amp;QUERY('Global Variables'!$A:$B, ""SELECT Col2 WHERE Col1 = 'STA"&amp;"RTING_ROSTER_SIZE'"")),0))"),0.0)</f>
        <v>0</v>
      </c>
      <c r="BS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Col""&amp;COLUMN(BS$1)&amp;""=1""))&amp;""' ORDER BY Col6 DESC LIMIT ""&amp;QUERY('Global Variables'!$A:$B, ""SELECT Col2 WHERE Col1 = 'STA"&amp;"RTING_ROSTER_SIZE'"")),0))"),0.0)</f>
        <v>0</v>
      </c>
      <c r="BT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Col""&amp;COLUMN(BT$1)&amp;""=1""))&amp;""' ORDER BY Col6 DESC LIMIT ""&amp;QUERY('Global Variables'!$A:$B, ""SELECT Col2 WHERE Col1 = 'STA"&amp;"RTING_ROSTER_SIZE'"")),0))"),0.0)</f>
        <v>0</v>
      </c>
      <c r="BU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Col""&amp;COLUMN(BU$1)&amp;""=1""))&amp;""' ORDER BY Col6 DESC LIMIT ""&amp;QUERY('Global Variables'!$A:$B, ""SELECT Col2 WHERE Col1 = 'STA"&amp;"RTING_ROSTER_SIZE'"")),0))"),0.0)</f>
        <v>0</v>
      </c>
      <c r="BV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Col""&amp;COLUMN(BV$1)&amp;""=1""))&amp;""' ORDER BY Col6 DESC LIMIT ""&amp;QUERY('Global Variables'!$A:$B, ""SELECT Col2 WHERE Col1 = 'STA"&amp;"RTING_ROSTER_SIZE'"")),0))"),0.0)</f>
        <v>0</v>
      </c>
      <c r="BW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Col""&amp;COLUMN(BW$1)&amp;""=1""))&amp;""' ORDER BY Col6 DESC LIMIT ""&amp;QUERY('Global Variables'!$A:$B, ""SELECT Col2 WHERE Col1 = 'STA"&amp;"RTING_ROSTER_SIZE'"")),0))"),0.0)</f>
        <v>0</v>
      </c>
      <c r="BX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Col""&amp;COLUMN(BX$1)&amp;""=1""))&amp;""' ORDER BY Col6 DESC LIMIT ""&amp;QUERY('Global Variables'!$A:$B, ""SELECT Col2 WHERE Col1 = 'STA"&amp;"RTING_ROSTER_SIZE'"")),0))"),0.0)</f>
        <v>0</v>
      </c>
      <c r="BY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Col""&amp;COLUMN(BY$1)&amp;""=1""))&amp;""' ORDER BY Col6 DESC LIMIT ""&amp;QUERY('Global Variables'!$A:$B, ""SELECT Col2 WHERE Col1 = 'STA"&amp;"RTING_ROSTER_SIZE'"")),0))"),0.0)</f>
        <v>0</v>
      </c>
      <c r="BZ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Col""&amp;COLUMN(BZ$1)&amp;""=1""))&amp;""' ORDER BY Col6 DESC LIMIT ""&amp;QUERY('Global Variables'!$A:$B, ""SELECT Col2 WHERE Col1 = 'STA"&amp;"RTING_ROSTER_SIZE'"")),0))"),0.0)</f>
        <v>0</v>
      </c>
      <c r="CA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Col""&amp;COLUMN(CA$1)&amp;""=1""))&amp;""' ORDER BY Col6 DESC LIMIT ""&amp;QUERY('Global Variables'!$A:$B, ""SELECT Col2 WHERE Col1 = 'STA"&amp;"RTING_ROSTER_SIZE'"")),0))"),0.0)</f>
        <v>0</v>
      </c>
      <c r="CB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Col""&amp;COLUMN(CB$1)&amp;""=1""))&amp;""' ORDER BY Col6 DESC LIMIT ""&amp;QUERY('Global Variables'!$A:$B, ""SELECT Col2 WHERE Col1 = 'STA"&amp;"RTING_ROSTER_SIZE'"")),0))"),0.0)</f>
        <v>0</v>
      </c>
      <c r="CC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Col""&amp;COLUMN(CC$1)&amp;""=1""))&amp;""' ORDER BY Col6 DESC LIMIT ""&amp;QUERY('Global Variables'!$A:$B, ""SELECT Col2 WHERE Col1 = 'STA"&amp;"RTING_ROSTER_SIZE'"")),0))"),0.0)</f>
        <v>0</v>
      </c>
      <c r="CD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Col""&amp;COLUMN(CD$1)&amp;""=1""))&amp;""' ORDER BY Col6 DESC LIMIT ""&amp;QUERY('Global Variables'!$A:$B, ""SELECT Col2 WHERE Col1 = 'STA"&amp;"RTING_ROSTER_SIZE'"")),0))"),0.0)</f>
        <v>0</v>
      </c>
      <c r="CE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Col""&amp;COLUMN(CE$1)&amp;""=1""))&amp;""' ORDER BY Col6 DESC LIMIT ""&amp;QUERY('Global Variables'!$A:$B, ""SELECT Col2 WHERE Col1 = 'STA"&amp;"RTING_ROSTER_SIZE'"")),0))"),0.0)</f>
        <v>0</v>
      </c>
      <c r="CF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Col""&amp;COLUMN(CF$1)&amp;""=1""))&amp;""' ORDER BY Col6 DESC LIMIT ""&amp;QUERY('Global Variables'!$A:$B, ""SELECT Col2 WHERE Col1 = 'STA"&amp;"RTING_ROSTER_SIZE'"")),0))"),0.0)</f>
        <v>0</v>
      </c>
      <c r="CG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Col""&amp;COLUMN(CG$1)&amp;""=1""))&amp;""' ORDER BY Col6 DESC LIMIT ""&amp;QUERY('Global Variables'!$A:$B, ""SELECT Col2 WHERE Col1 = 'STA"&amp;"RTING_ROSTER_SIZE'"")),0))"),0.0)</f>
        <v>0</v>
      </c>
      <c r="CH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Col""&amp;COLUMN(CH$1)&amp;""=1""))&amp;""' ORDER BY Col6 DESC LIMIT ""&amp;QUERY('Global Variables'!$A:$B, ""SELECT Col2 WHERE Col1 = 'STA"&amp;"RTING_ROSTER_SIZE'"")),0))"),0.0)</f>
        <v>0</v>
      </c>
      <c r="CI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Col""&amp;COLUMN(CI$1)&amp;""=1""))&amp;""' ORDER BY Col6 DESC LIMIT ""&amp;QUERY('Global Variables'!$A:$B, ""SELECT Col2 WHERE Col1 = 'STA"&amp;"RTING_ROSTER_SIZE'"")),0))"),0.0)</f>
        <v>0</v>
      </c>
      <c r="CJ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Col""&amp;COLUMN(CJ$1)&amp;""=1""))&amp;""' ORDER BY Col6 DESC LIMIT ""&amp;QUERY('Global Variables'!$A:$B, ""SELECT Col2 WHERE Col1 = 'STA"&amp;"RTING_ROSTER_SIZE'"")),0))"),0.0)</f>
        <v>0</v>
      </c>
      <c r="CK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Col""&amp;COLUMN(CK$1)&amp;""=1""))&amp;""' ORDER BY Col6 DESC LIMIT ""&amp;QUERY('Global Variables'!$A:$B, ""SELECT Col2 WHERE Col1 = 'STA"&amp;"RTING_ROSTER_SIZE'"")),0))"),0.0)</f>
        <v>0</v>
      </c>
      <c r="CL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Col""&amp;COLUMN(CL$1)&amp;""=1""))&amp;""' ORDER BY Col6 DESC LIMIT ""&amp;QUERY('Global Variables'!$A:$B, ""SELECT Col2 WHERE Col1 = 'STA"&amp;"RTING_ROSTER_SIZE'"")),0))"),0.0)</f>
        <v>0</v>
      </c>
      <c r="CM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Col""&amp;COLUMN(CM$1)&amp;""=1""))&amp;""' ORDER BY Col6 DESC LIMIT ""&amp;QUERY('Global Variables'!$A:$B, ""SELECT Col2 WHERE Col1 = 'STA"&amp;"RTING_ROSTER_SIZE'"")),0))"),0.0)</f>
        <v>0</v>
      </c>
      <c r="CN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Col""&amp;COLUMN(CN$1)&amp;""=1""))&amp;""' ORDER BY Col6 DESC LIMIT ""&amp;QUERY('Global Variables'!$A:$B, ""SELECT Col2 WHERE Col1 = 'STA"&amp;"RTING_ROSTER_SIZE'"")),0))"),0.0)</f>
        <v>0</v>
      </c>
      <c r="CO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Col""&amp;COLUMN(CO$1)&amp;""=1""))&amp;""' ORDER BY Col6 DESC LIMIT ""&amp;QUERY('Global Variables'!$A:$B, ""SELECT Col2 WHERE Col1 = 'STA"&amp;"RTING_ROSTER_SIZE'"")),0))"),0.0)</f>
        <v>0</v>
      </c>
      <c r="CP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Col""&amp;COLUMN(CP$1)&amp;""=1""))&amp;""' ORDER BY Col6 DESC LIMIT ""&amp;QUERY('Global Variables'!$A:$B, ""SELECT Col2 WHERE Col1 = 'STA"&amp;"RTING_ROSTER_SIZE'"")),0))"),0.0)</f>
        <v>0</v>
      </c>
      <c r="CQ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Col""&amp;COLUMN(CQ$1)&amp;""=1""))&amp;""' ORDER BY Col6 DESC LIMIT ""&amp;QUERY('Global Variables'!$A:$B, ""SELECT Col2 WHERE Col1 = 'STA"&amp;"RTING_ROSTER_SIZE'"")),0))"),0.0)</f>
        <v>0</v>
      </c>
      <c r="CR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Col""&amp;COLUMN(CR$1)&amp;""=1""))&amp;""' ORDER BY Col6 DESC LIMIT ""&amp;QUERY('Global Variables'!$A:$B, ""SELECT Col2 WHERE Col1 = 'STA"&amp;"RTING_ROSTER_SIZE'"")),0))"),0.0)</f>
        <v>0</v>
      </c>
      <c r="CS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Col""&amp;COLUMN(CS$1)&amp;""=1""))&amp;""' ORDER BY Col6 DESC LIMIT ""&amp;QUERY('Global Variables'!$A:$B, ""SELECT Col2 WHERE Col1 = 'STA"&amp;"RTING_ROSTER_SIZE'"")),0))"),0.0)</f>
        <v>0</v>
      </c>
      <c r="CT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Col""&amp;COLUMN(CT$1)&amp;""=1""))&amp;""' ORDER BY Col6 DESC LIMIT ""&amp;QUERY('Global Variables'!$A:$B, ""SELECT Col2 WHERE Col1 = 'STA"&amp;"RTING_ROSTER_SIZE'"")),0))"),0.0)</f>
        <v>0</v>
      </c>
      <c r="CU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Col""&amp;COLUMN(CU$1)&amp;""=1""))&amp;""' ORDER BY Col6 DESC LIMIT ""&amp;QUERY('Global Variables'!$A:$B, ""SELECT Col2 WHERE Col1 = 'STA"&amp;"RTING_ROSTER_SIZE'"")),0))"),0.0)</f>
        <v>0</v>
      </c>
      <c r="CV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Col""&amp;COLUMN(CV$1)&amp;""=1""))&amp;""' ORDER BY Col6 DESC LIMIT ""&amp;QUERY('Global Variables'!$A:$B, ""SELECT Col2 WHERE Col1 = 'STA"&amp;"RTING_ROSTER_SIZE'"")),0))"),0.0)</f>
        <v>0</v>
      </c>
      <c r="CW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Col""&amp;COLUMN(CW$1)&amp;""=1""))&amp;""' ORDER BY Col6 DESC LIMIT ""&amp;QUERY('Global Variables'!$A:$B, ""SELECT Col2 WHERE Col1 = 'STA"&amp;"RTING_ROSTER_SIZE'"")),0))"),0.0)</f>
        <v>0</v>
      </c>
      <c r="CX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Col""&amp;COLUMN(CX$1)&amp;""=1""))&amp;""' ORDER BY Col6 DESC LIMIT ""&amp;QUERY('Global Variables'!$A:$B, ""SELECT Col2 WHERE Col1 = 'STA"&amp;"RTING_ROSTER_SIZE'"")),0))"),0.0)</f>
        <v>0</v>
      </c>
      <c r="CY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Col""&amp;COLUMN(CY$1)&amp;""=1""))&amp;""' ORDER BY Col6 DESC LIMIT ""&amp;QUERY('Global Variables'!$A:$B, ""SELECT Col2 WHERE Col1 = 'STA"&amp;"RTING_ROSTER_SIZE'"")),0))"),0.0)</f>
        <v>0</v>
      </c>
      <c r="CZ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Col""&amp;COLUMN(CZ$1)&amp;""=1""))&amp;""' ORDER BY Col6 DESC LIMIT ""&amp;QUERY('Global Variables'!$A:$B, ""SELECT Col2 WHERE Col1 = 'STA"&amp;"RTING_ROSTER_SIZE'"")),0))"),0.0)</f>
        <v>0</v>
      </c>
      <c r="DA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Col""&amp;COLUMN(DA$1)&amp;""=1""))&amp;""' ORDER BY Col6 DESC LIMIT ""&amp;QUERY('Global Variables'!$A:$B, ""SELECT Col2 WHERE Col1 = 'STA"&amp;"RTING_ROSTER_SIZE'"")),0))"),0.0)</f>
        <v>0</v>
      </c>
      <c r="DB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Col""&amp;COLUMN(DB$1)&amp;""=1""))&amp;""' ORDER BY Col6 DESC LIMIT ""&amp;QUERY('Global Variables'!$A:$B, ""SELECT Col2 WHERE Col1 = 'STA"&amp;"RTING_ROSTER_SIZE'"")),0))"),0.0)</f>
        <v>0</v>
      </c>
      <c r="DC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Col""&amp;COLUMN(DC$1)&amp;""=1""))&amp;""' ORDER BY Col6 DESC LIMIT ""&amp;QUERY('Global Variables'!$A:$B, ""SELECT Col2 WHERE Col1 = 'STA"&amp;"RTING_ROSTER_SIZE'"")),0))"),0.0)</f>
        <v>0</v>
      </c>
      <c r="DD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Col""&amp;COLUMN(DD$1)&amp;""=1""))&amp;""' ORDER BY Col6 DESC LIMIT ""&amp;QUERY('Global Variables'!$A:$B, ""SELECT Col2 WHERE Col1 = 'STA"&amp;"RTING_ROSTER_SIZE'"")),0))"),0.0)</f>
        <v>0</v>
      </c>
      <c r="DE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Col""&amp;COLUMN(DE$1)&amp;""=1""))&amp;""' ORDER BY Col6 DESC LIMIT ""&amp;QUERY('Global Variables'!$A:$B, ""SELECT Col2 WHERE Col1 = 'STA"&amp;"RTING_ROSTER_SIZE'"")),0))"),0.0)</f>
        <v>0</v>
      </c>
      <c r="DF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Col""&amp;COLUMN(DF$1)&amp;""=1""))&amp;""' ORDER BY Col6 DESC LIMIT ""&amp;QUERY('Global Variables'!$A:$B, ""SELECT Col2 WHERE Col1 = 'STA"&amp;"RTING_ROSTER_SIZE'"")),0))"),0.0)</f>
        <v>0</v>
      </c>
      <c r="DG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Col""&amp;COLUMN(DG$1)&amp;""=1""))&amp;""' ORDER BY Col6 DESC LIMIT ""&amp;QUERY('Global Variables'!$A:$B, ""SELECT Col2 WHERE Col1 = 'STA"&amp;"RTING_ROSTER_SIZE'"")),0))"),0.0)</f>
        <v>0</v>
      </c>
      <c r="DH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Col""&amp;COLUMN(DH$1)&amp;""=1""))&amp;""' ORDER BY Col6 DESC LIMIT ""&amp;QUERY('Global Variables'!$A:$B, ""SELECT Col2 WHERE Col1 = 'STA"&amp;"RTING_ROSTER_SIZE'"")),0))"),0.0)</f>
        <v>0</v>
      </c>
      <c r="DI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Col""&amp;COLUMN(DI$1)&amp;""=1""))&amp;""' ORDER BY Col6 DESC LIMIT ""&amp;QUERY('Global Variables'!$A:$B, ""SELECT Col2 WHERE Col1 = 'STA"&amp;"RTING_ROSTER_SIZE'"")),0))"),0.0)</f>
        <v>0</v>
      </c>
      <c r="DJ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Col""&amp;COLUMN(DJ$1)&amp;""=1""))&amp;""' ORDER BY Col6 DESC LIMIT ""&amp;QUERY('Global Variables'!$A:$B, ""SELECT Col2 WHERE Col1 = 'STA"&amp;"RTING_ROSTER_SIZE'"")),0))"),0.0)</f>
        <v>0</v>
      </c>
      <c r="DK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Col""&amp;COLUMN(DK$1)&amp;""=1""))&amp;""' ORDER BY Col6 DESC LIMIT ""&amp;QUERY('Global Variables'!$A:$B, ""SELECT Col2 WHERE Col1 = 'STA"&amp;"RTING_ROSTER_SIZE'"")),0))"),0.0)</f>
        <v>0</v>
      </c>
      <c r="DL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Col""&amp;COLUMN(DL$1)&amp;""=1""))&amp;""' ORDER BY Col6 DESC LIMIT ""&amp;QUERY('Global Variables'!$A:$B, ""SELECT Col2 WHERE Col1 = 'STA"&amp;"RTING_ROSTER_SIZE'"")),0))"),0.0)</f>
        <v>0</v>
      </c>
      <c r="DM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Col""&amp;COLUMN(DM$1)&amp;""=1""))&amp;""' ORDER BY Col6 DESC LIMIT ""&amp;QUERY('Global Variables'!$A:$B, ""SELECT Col2 WHERE Col1 = 'STA"&amp;"RTING_ROSTER_SIZE'"")),0))"),0.0)</f>
        <v>0</v>
      </c>
      <c r="DN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Col""&amp;COLUMN(DN$1)&amp;""=1""))&amp;""' ORDER BY Col6 DESC LIMIT ""&amp;QUERY('Global Variables'!$A:$B, ""SELECT Col2 WHERE Col1 = 'STA"&amp;"RTING_ROSTER_SIZE'"")),0))"),0.0)</f>
        <v>0</v>
      </c>
      <c r="DO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Col""&amp;COLUMN(DO$1)&amp;""=1""))&amp;""' ORDER BY Col6 DESC LIMIT ""&amp;QUERY('Global Variables'!$A:$B, ""SELECT Col2 WHERE Col1 = 'STA"&amp;"RTING_ROSTER_SIZE'"")),0))"),0.0)</f>
        <v>0</v>
      </c>
      <c r="DP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Col""&amp;COLUMN(DP$1)&amp;""=1""))&amp;""' ORDER BY Col6 DESC LIMIT ""&amp;QUERY('Global Variables'!$A:$B, ""SELECT Col2 WHERE Col1 = 'STA"&amp;"RTING_ROSTER_SIZE'"")),0))"),0.0)</f>
        <v>0</v>
      </c>
      <c r="DQ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Col""&amp;COLUMN(DQ$1)&amp;""=1""))&amp;""' ORDER BY Col6 DESC LIMIT ""&amp;QUERY('Global Variables'!$A:$B, ""SELECT Col2 WHERE Col1 = 'STA"&amp;"RTING_ROSTER_SIZE'"")),0))"),0.0)</f>
        <v>0</v>
      </c>
      <c r="DR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Col""&amp;COLUMN(DR$1)&amp;""=1""))&amp;""' ORDER BY Col6 DESC LIMIT ""&amp;QUERY('Global Variables'!$A:$B, ""SELECT Col2 WHERE Col1 = 'STA"&amp;"RTING_ROSTER_SIZE'"")),0))"),0.0)</f>
        <v>0</v>
      </c>
      <c r="DS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Col""&amp;COLUMN(DS$1)&amp;""=1""))&amp;""' ORDER BY Col6 DESC LIMIT ""&amp;QUERY('Global Variables'!$A:$B, ""SELECT Col2 WHERE Col1 = 'STA"&amp;"RTING_ROSTER_SIZE'"")),0))"),0.0)</f>
        <v>0</v>
      </c>
      <c r="DT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Col""&amp;COLUMN(DT$1)&amp;""=1""))&amp;""' ORDER BY Col6 DESC LIMIT ""&amp;QUERY('Global Variables'!$A:$B, ""SELECT Col2 WHERE Col1 = 'STA"&amp;"RTING_ROSTER_SIZE'"")),0))"),0.0)</f>
        <v>0</v>
      </c>
      <c r="DU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Col""&amp;COLUMN(DU$1)&amp;""=1""))&amp;""' ORDER BY Col6 DESC LIMIT ""&amp;QUERY('Global Variables'!$A:$B, ""SELECT Col2 WHERE Col1 = 'STA"&amp;"RTING_ROSTER_SIZE'"")),0))"),0.0)</f>
        <v>0</v>
      </c>
      <c r="DV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Col""&amp;COLUMN(DV$1)&amp;""=1""))&amp;""' ORDER BY Col6 DESC LIMIT ""&amp;QUERY('Global Variables'!$A:$B, ""SELECT Col2 WHERE Col1 = 'STA"&amp;"RTING_ROSTER_SIZE'"")),0))"),0.0)</f>
        <v>0</v>
      </c>
      <c r="DW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Col""&amp;COLUMN(DW$1)&amp;""=1""))&amp;""' ORDER BY Col6 DESC LIMIT ""&amp;QUERY('Global Variables'!$A:$B, ""SELECT Col2 WHERE Col1 = 'STA"&amp;"RTING_ROSTER_SIZE'"")),0))"),0.0)</f>
        <v>0</v>
      </c>
      <c r="DX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Col""&amp;COLUMN(DX$1)&amp;""=1""))&amp;""' ORDER BY Col6 DESC LIMIT ""&amp;QUERY('Global Variables'!$A:$B, ""SELECT Col2 WHERE Col1 = 'STA"&amp;"RTING_ROSTER_SIZE'"")),0))"),0.0)</f>
        <v>0</v>
      </c>
      <c r="DY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Col""&amp;COLUMN(DY$1)&amp;""=1""))&amp;""' ORDER BY Col6 DESC LIMIT ""&amp;QUERY('Global Variables'!$A:$B, ""SELECT Col2 WHERE Col1 = 'STA"&amp;"RTING_ROSTER_SIZE'"")),0))"),0.0)</f>
        <v>0</v>
      </c>
      <c r="DZ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Col""&amp;COLUMN(DZ$1)&amp;""=1""))&amp;""' ORDER BY Col6 DESC LIMIT ""&amp;QUERY('Global Variables'!$A:$B, ""SELECT Col2 WHERE Col1 = 'STA"&amp;"RTING_ROSTER_SIZE'"")),0))"),0.0)</f>
        <v>0</v>
      </c>
      <c r="EA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Col""&amp;COLUMN(EA$1)&amp;""=1""))&amp;""' ORDER BY Col6 DESC LIMIT ""&amp;QUERY('Global Variables'!$A:$B, ""SELECT Col2 WHERE Col1 = 'STA"&amp;"RTING_ROSTER_SIZE'"")),0))"),0.0)</f>
        <v>0</v>
      </c>
      <c r="EB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Col""&amp;COLUMN(EB$1)&amp;""=1""))&amp;""' ORDER BY Col6 DESC LIMIT ""&amp;QUERY('Global Variables'!$A:$B, ""SELECT Col2 WHERE Col1 = 'STA"&amp;"RTING_ROSTER_SIZE'"")),0))"),0.0)</f>
        <v>0</v>
      </c>
      <c r="EC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Col""&amp;COLUMN(EC$1)&amp;""=1""))&amp;""' ORDER BY Col6 DESC LIMIT ""&amp;QUERY('Global Variables'!$A:$B, ""SELECT Col2 WHERE Col1 = 'STA"&amp;"RTING_ROSTER_SIZE'"")),0))"),0.0)</f>
        <v>0</v>
      </c>
      <c r="ED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Col""&amp;COLUMN(ED$1)&amp;""=1""))&amp;""' ORDER BY Col6 DESC LIMIT ""&amp;QUERY('Global Variables'!$A:$B, ""SELECT Col2 WHERE Col1 = 'STA"&amp;"RTING_ROSTER_SIZE'"")),0))"),0.0)</f>
        <v>0</v>
      </c>
      <c r="EE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Col""&amp;COLUMN(EE$1)&amp;""=1""))&amp;""' ORDER BY Col6 DESC LIMIT ""&amp;QUERY('Global Variables'!$A:$B, ""SELECT Col2 WHERE Col1 = 'STA"&amp;"RTING_ROSTER_SIZE'"")),0))"),0.0)</f>
        <v>0</v>
      </c>
      <c r="EF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Col""&amp;COLUMN(EF$1)&amp;""=1""))&amp;""' ORDER BY Col6 DESC LIMIT ""&amp;QUERY('Global Variables'!$A:$B, ""SELECT Col2 WHERE Col1 = 'STA"&amp;"RTING_ROSTER_SIZE'"")),0))"),0.0)</f>
        <v>0</v>
      </c>
      <c r="EG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Col""&amp;COLUMN(EG$1)&amp;""=1""))&amp;""' ORDER BY Col6 DESC LIMIT ""&amp;QUERY('Global Variables'!$A:$B, ""SELECT Col2 WHERE Col1 = 'STA"&amp;"RTING_ROSTER_SIZE'"")),0))"),0.0)</f>
        <v>0</v>
      </c>
      <c r="EH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Col""&amp;COLUMN(EH$1)&amp;""=1""))&amp;""' ORDER BY Col6 DESC LIMIT ""&amp;QUERY('Global Variables'!$A:$B, ""SELECT Col2 WHERE Col1 = 'STA"&amp;"RTING_ROSTER_SIZE'"")),0))"),0.0)</f>
        <v>0</v>
      </c>
      <c r="EI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Col""&amp;COLUMN(EI$1)&amp;""=1""))&amp;""' ORDER BY Col6 DESC LIMIT ""&amp;QUERY('Global Variables'!$A:$B, ""SELECT Col2 WHERE Col1 = 'STA"&amp;"RTING_ROSTER_SIZE'"")),0))"),0.0)</f>
        <v>0</v>
      </c>
      <c r="EJ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Col""&amp;COLUMN(EJ$1)&amp;""=1""))&amp;""' ORDER BY Col6 DESC LIMIT ""&amp;QUERY('Global Variables'!$A:$B, ""SELECT Col2 WHERE Col1 = 'STA"&amp;"RTING_ROSTER_SIZE'"")),0))"),0.0)</f>
        <v>0</v>
      </c>
      <c r="EK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Col""&amp;COLUMN(EK$1)&amp;""=1""))&amp;""' ORDER BY Col6 DESC LIMIT ""&amp;QUERY('Global Variables'!$A:$B, ""SELECT Col2 WHERE Col1 = 'STA"&amp;"RTING_ROSTER_SIZE'"")),0))"),0.0)</f>
        <v>0</v>
      </c>
      <c r="EL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Col""&amp;COLUMN(EL$1)&amp;""=1""))&amp;""' ORDER BY Col6 DESC LIMIT ""&amp;QUERY('Global Variables'!$A:$B, ""SELECT Col2 WHERE Col1 = 'STA"&amp;"RTING_ROSTER_SIZE'"")),0))"),0.0)</f>
        <v>0</v>
      </c>
      <c r="EM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Col""&amp;COLUMN(EM$1)&amp;""=1""))&amp;""' ORDER BY Col6 DESC LIMIT ""&amp;QUERY('Global Variables'!$A:$B, ""SELECT Col2 WHERE Col1 = 'STA"&amp;"RTING_ROSTER_SIZE'"")),0))"),0.0)</f>
        <v>0</v>
      </c>
      <c r="EN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Col""&amp;COLUMN(EN$1)&amp;""=1""))&amp;""' ORDER BY Col6 DESC LIMIT ""&amp;QUERY('Global Variables'!$A:$B, ""SELECT Col2 WHERE Col1 = 'STA"&amp;"RTING_ROSTER_SIZE'"")),0))"),0.0)</f>
        <v>0</v>
      </c>
      <c r="EO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Col""&amp;COLUMN(EO$1)&amp;""=1""))&amp;""' ORDER BY Col6 DESC LIMIT ""&amp;QUERY('Global Variables'!$A:$B, ""SELECT Col2 WHERE Col1 = 'STA"&amp;"RTING_ROSTER_SIZE'"")),0))"),0.0)</f>
        <v>0</v>
      </c>
      <c r="EP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Col""&amp;COLUMN(EP$1)&amp;""=1""))&amp;""' ORDER BY Col6 DESC LIMIT ""&amp;QUERY('Global Variables'!$A:$B, ""SELECT Col2 WHERE Col1 = 'STA"&amp;"RTING_ROSTER_SIZE'"")),0))"),0.0)</f>
        <v>0</v>
      </c>
      <c r="EQ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Col""&amp;COLUMN(EQ$1)&amp;""=1""))&amp;""' ORDER BY Col6 DESC LIMIT ""&amp;QUERY('Global Variables'!$A:$B, ""SELECT Col2 WHERE Col1 = 'STA"&amp;"RTING_ROSTER_SIZE'"")),0))"),0.0)</f>
        <v>0</v>
      </c>
      <c r="ER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Col""&amp;COLUMN(ER$1)&amp;""=1""))&amp;""' ORDER BY Col6 DESC LIMIT ""&amp;QUERY('Global Variables'!$A:$B, ""SELECT Col2 WHERE Col1 = 'STA"&amp;"RTING_ROSTER_SIZE'"")),0))"),0.0)</f>
        <v>0</v>
      </c>
      <c r="ES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Col""&amp;COLUMN(ES$1)&amp;""=1""))&amp;""' ORDER BY Col6 DESC LIMIT ""&amp;QUERY('Global Variables'!$A:$B, ""SELECT Col2 WHERE Col1 = 'STA"&amp;"RTING_ROSTER_SIZE'"")),0))"),0.0)</f>
        <v>0</v>
      </c>
      <c r="ET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Col""&amp;COLUMN(ET$1)&amp;""=1""))&amp;""' ORDER BY Col6 DESC LIMIT ""&amp;QUERY('Global Variables'!$A:$B, ""SELECT Col2 WHERE Col1 = 'STA"&amp;"RTING_ROSTER_SIZE'"")),0))"),0.0)</f>
        <v>0</v>
      </c>
      <c r="EU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Col""&amp;COLUMN(EU$1)&amp;""=1""))&amp;""' ORDER BY Col6 DESC LIMIT ""&amp;QUERY('Global Variables'!$A:$B, ""SELECT Col2 WHERE Col1 = 'STA"&amp;"RTING_ROSTER_SIZE'"")),0))"),0.0)</f>
        <v>0</v>
      </c>
      <c r="EV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Col""&amp;COLUMN(EV$1)&amp;""=1""))&amp;""' ORDER BY Col6 DESC LIMIT ""&amp;QUERY('Global Variables'!$A:$B, ""SELECT Col2 WHERE Col1 = 'STA"&amp;"RTING_ROSTER_SIZE'"")),0))"),0.0)</f>
        <v>0</v>
      </c>
      <c r="EW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Col""&amp;COLUMN(EW$1)&amp;""=1""))&amp;""' ORDER BY Col6 DESC LIMIT ""&amp;QUERY('Global Variables'!$A:$B, ""SELECT Col2 WHERE Col1 = 'STA"&amp;"RTING_ROSTER_SIZE'"")),0))"),0.0)</f>
        <v>0</v>
      </c>
      <c r="EX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Col""&amp;COLUMN(EX$1)&amp;""=1""))&amp;""' ORDER BY Col6 DESC LIMIT ""&amp;QUERY('Global Variables'!$A:$B, ""SELECT Col2 WHERE Col1 = 'STA"&amp;"RTING_ROSTER_SIZE'"")),0))"),0.0)</f>
        <v>0</v>
      </c>
      <c r="EY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Col""&amp;COLUMN(EY$1)&amp;""=1""))&amp;""' ORDER BY Col6 DESC LIMIT ""&amp;QUERY('Global Variables'!$A:$B, ""SELECT Col2 WHERE Col1 = 'STA"&amp;"RTING_ROSTER_SIZE'"")),0))"),0.0)</f>
        <v>0</v>
      </c>
      <c r="EZ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Col""&amp;COLUMN(EZ$1)&amp;""=1""))&amp;""' ORDER BY Col6 DESC LIMIT ""&amp;QUERY('Global Variables'!$A:$B, ""SELECT Col2 WHERE Col1 = 'STA"&amp;"RTING_ROSTER_SIZE'"")),0))"),0.0)</f>
        <v>0</v>
      </c>
      <c r="FA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Col""&amp;COLUMN(FA$1)&amp;""=1""))&amp;""' ORDER BY Col6 DESC LIMIT ""&amp;QUERY('Global Variables'!$A:$B, ""SELECT Col2 WHERE Col1 = 'STA"&amp;"RTING_ROSTER_SIZE'"")),0))"),0.0)</f>
        <v>0</v>
      </c>
      <c r="FB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Col""&amp;COLUMN(FB$1)&amp;""=1""))&amp;""' ORDER BY Col6 DESC LIMIT ""&amp;QUERY('Global Variables'!$A:$B, ""SELECT Col2 WHERE Col1 = 'STA"&amp;"RTING_ROSTER_SIZE'"")),0))"),0.0)</f>
        <v>0</v>
      </c>
      <c r="FC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Col""&amp;COLUMN(FC$1)&amp;""=1""))&amp;""' ORDER BY Col6 DESC LIMIT ""&amp;QUERY('Global Variables'!$A:$B, ""SELECT Col2 WHERE Col1 = 'STA"&amp;"RTING_ROSTER_SIZE'"")),0))"),0.0)</f>
        <v>0</v>
      </c>
      <c r="FD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Col""&amp;COLUMN(FD$1)&amp;""=1""))&amp;""' ORDER BY Col6 DESC LIMIT ""&amp;QUERY('Global Variables'!$A:$B, ""SELECT Col2 WHERE Col1 = 'STA"&amp;"RTING_ROSTER_SIZE'"")),0))"),0.0)</f>
        <v>0</v>
      </c>
      <c r="FE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Col""&amp;COLUMN(FE$1)&amp;""=1""))&amp;""' ORDER BY Col6 DESC LIMIT ""&amp;QUERY('Global Variables'!$A:$B, ""SELECT Col2 WHERE Col1 = 'STA"&amp;"RTING_ROSTER_SIZE'"")),0))"),0.0)</f>
        <v>0</v>
      </c>
      <c r="FF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Col""&amp;COLUMN(FF$1)&amp;""=1""))&amp;""' ORDER BY Col6 DESC LIMIT ""&amp;QUERY('Global Variables'!$A:$B, ""SELECT Col2 WHERE Col1 = 'STA"&amp;"RTING_ROSTER_SIZE'"")),0))"),0.0)</f>
        <v>0</v>
      </c>
      <c r="FG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Col""&amp;COLUMN(FG$1)&amp;""=1""))&amp;""' ORDER BY Col6 DESC LIMIT ""&amp;QUERY('Global Variables'!$A:$B, ""SELECT Col2 WHERE Col1 = 'STA"&amp;"RTING_ROSTER_SIZE'"")),0))"),0.0)</f>
        <v>0</v>
      </c>
      <c r="FH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Col""&amp;COLUMN(FH$1)&amp;""=1""))&amp;""' ORDER BY Col6 DESC LIMIT ""&amp;QUERY('Global Variables'!$A:$B, ""SELECT Col2 WHERE Col1 = 'STA"&amp;"RTING_ROSTER_SIZE'"")),0))"),0.0)</f>
        <v>0</v>
      </c>
      <c r="FI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Col""&amp;COLUMN(FI$1)&amp;""=1""))&amp;""' ORDER BY Col6 DESC LIMIT ""&amp;QUERY('Global Variables'!$A:$B, ""SELECT Col2 WHERE Col1 = 'STA"&amp;"RTING_ROSTER_SIZE'"")),0))"),0.0)</f>
        <v>0</v>
      </c>
      <c r="FJ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Col""&amp;COLUMN(FJ$1)&amp;""=1""))&amp;""' ORDER BY Col6 DESC LIMIT ""&amp;QUERY('Global Variables'!$A:$B, ""SELECT Col2 WHERE Col1 = 'STA"&amp;"RTING_ROSTER_SIZE'"")),0))"),0.0)</f>
        <v>0</v>
      </c>
      <c r="FK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Col""&amp;COLUMN(FK$1)&amp;""=1""))&amp;""' ORDER BY Col6 DESC LIMIT ""&amp;QUERY('Global Variables'!$A:$B, ""SELECT Col2 WHERE Col1 = 'STA"&amp;"RTING_ROSTER_SIZE'"")),0))"),0.0)</f>
        <v>0</v>
      </c>
      <c r="FL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Col""&amp;COLUMN(FL$1)&amp;""=1""))&amp;""' ORDER BY Col6 DESC LIMIT ""&amp;QUERY('Global Variables'!$A:$B, ""SELECT Col2 WHERE Col1 = 'STA"&amp;"RTING_ROSTER_SIZE'"")),0))"),0.0)</f>
        <v>0</v>
      </c>
      <c r="FM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Col""&amp;COLUMN(FM$1)&amp;""=1""))&amp;""' ORDER BY Col6 DESC LIMIT ""&amp;QUERY('Global Variables'!$A:$B, ""SELECT Col2 WHERE Col1 = 'STA"&amp;"RTING_ROSTER_SIZE'"")),0))"),0.0)</f>
        <v>0</v>
      </c>
      <c r="FN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Col""&amp;COLUMN(FN$1)&amp;""=1""))&amp;""' ORDER BY Col6 DESC LIMIT ""&amp;QUERY('Global Variables'!$A:$B, ""SELECT Col2 WHERE Col1 = 'STA"&amp;"RTING_ROSTER_SIZE'"")),0))"),0.0)</f>
        <v>0</v>
      </c>
      <c r="FO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Col""&amp;COLUMN(FO$1)&amp;""=1""))&amp;""' ORDER BY Col6 DESC LIMIT ""&amp;QUERY('Global Variables'!$A:$B, ""SELECT Col2 WHERE Col1 = 'STA"&amp;"RTING_ROSTER_SIZE'"")),0))"),0.0)</f>
        <v>0</v>
      </c>
      <c r="FP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Col""&amp;COLUMN(FP$1)&amp;""=1""))&amp;""' ORDER BY Col6 DESC LIMIT ""&amp;QUERY('Global Variables'!$A:$B, ""SELECT Col2 WHERE Col1 = 'STA"&amp;"RTING_ROSTER_SIZE'"")),0))"),0.0)</f>
        <v>0</v>
      </c>
      <c r="FQ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Col""&amp;COLUMN(FQ$1)&amp;""=1""))&amp;""' ORDER BY Col6 DESC LIMIT ""&amp;QUERY('Global Variables'!$A:$B, ""SELECT Col2 WHERE Col1 = 'STA"&amp;"RTING_ROSTER_SIZE'"")),0))"),0.0)</f>
        <v>0</v>
      </c>
      <c r="FR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Col""&amp;COLUMN(FR$1)&amp;""=1""))&amp;""' ORDER BY Col6 DESC LIMIT ""&amp;QUERY('Global Variables'!$A:$B, ""SELECT Col2 WHERE Col1 = 'STA"&amp;"RTING_ROSTER_SIZE'"")),0))"),0.0)</f>
        <v>0</v>
      </c>
      <c r="FS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Col""&amp;COLUMN(FS$1)&amp;""=1""))&amp;""' ORDER BY Col6 DESC LIMIT ""&amp;QUERY('Global Variables'!$A:$B, ""SELECT Col2 WHERE Col1 = 'STA"&amp;"RTING_ROSTER_SIZE'"")),0))"),0.0)</f>
        <v>0</v>
      </c>
      <c r="FT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Col""&amp;COLUMN(FT$1)&amp;""=1""))&amp;""' ORDER BY Col6 DESC LIMIT ""&amp;QUERY('Global Variables'!$A:$B, ""SELECT Col2 WHERE Col1 = 'STA"&amp;"RTING_ROSTER_SIZE'"")),0))"),0.0)</f>
        <v>0</v>
      </c>
      <c r="FU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Col""&amp;COLUMN(FU$1)&amp;""=1""))&amp;""' ORDER BY Col6 DESC LIMIT ""&amp;QUERY('Global Variables'!$A:$B, ""SELECT Col2 WHERE Col1 = 'STA"&amp;"RTING_ROSTER_SIZE'"")),0))"),0.0)</f>
        <v>0</v>
      </c>
      <c r="FV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Col""&amp;COLUMN(FV$1)&amp;""=1""))&amp;""' ORDER BY Col6 DESC LIMIT ""&amp;QUERY('Global Variables'!$A:$B, ""SELECT Col2 WHERE Col1 = 'STA"&amp;"RTING_ROSTER_SIZE'"")),0))"),0.0)</f>
        <v>0</v>
      </c>
      <c r="FW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Col""&amp;COLUMN(FW$1)&amp;""=1""))&amp;""' ORDER BY Col6 DESC LIMIT ""&amp;QUERY('Global Variables'!$A:$B, ""SELECT Col2 WHERE Col1 = 'STA"&amp;"RTING_ROSTER_SIZE'"")),0))"),0.0)</f>
        <v>0</v>
      </c>
      <c r="FX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Col""&amp;COLUMN(FX$1)&amp;""=1""))&amp;""' ORDER BY Col6 DESC LIMIT ""&amp;QUERY('Global Variables'!$A:$B, ""SELECT Col2 WHERE Col1 = 'STA"&amp;"RTING_ROSTER_SIZE'"")),0))"),0.0)</f>
        <v>0</v>
      </c>
      <c r="FY6" s="9">
        <f>IFERROR(__xludf.DUMMYFUNCTION("SUM(
IFERROR(QUERY(
IFERROR(
OFFSET(Teams!$A$1,MATCH($A6,Teams!$A:$A,0),1,QUERY('Global Variables'!$A:$B, ""SELECT Col2 WHERE Col1 = '""&amp;IF($B$21,""TEAM_SIZE"",""ACTIVE_ROSTER_SIZE"")&amp;""'""),QUERY('Global Variables'!$A:$B, ""SELECT Col2 WHERE Col1 = 'TEAM"&amp;"_DATA_FIELD_COUNT'"")),
OFFSET(Teams!$K$1,MATCH($A6,Teams!$K:$K,0),1,QUERY('Global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Col""&amp;COLUMN(FY$1)&amp;""=1""))&amp;""' ORDER BY Col6 DESC LIMIT ""&amp;QUERY('Global Variables'!$A:$B, ""SELECT Col2 WHERE Col1 = 'STA"&amp;"RTING_ROSTER_SIZE'"")),0))"),0.0)</f>
        <v>0</v>
      </c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</row>
    <row r="7">
      <c r="A7" s="32" t="str">
        <f>'Weekly EDSA'!A6</f>
        <v>Farley</v>
      </c>
      <c r="B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Col""&amp;COLUMN(B$1)&amp;""=1""))&amp;""' ORDER BY Col6 DESC LIMIT ""&amp;QUERY('Global Variables'!$A:$B, ""SELECT Col2 WHERE Col1 = 'STAR"&amp;"TING_ROSTER_SIZE'"")),0))"),0.0)</f>
        <v>0</v>
      </c>
      <c r="C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Col""&amp;COLUMN(C$1)&amp;""=1""))&amp;""' ORDER BY Col6 DESC LIMIT ""&amp;QUERY('Global Variables'!$A:$B, ""SELECT Col2 WHERE Col1 = 'STAR"&amp;"TING_ROSTER_SIZE'"")),0))"),0.0)</f>
        <v>0</v>
      </c>
      <c r="D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Col""&amp;COLUMN(D$1)&amp;""=1""))&amp;""' ORDER BY Col6 DESC LIMIT ""&amp;QUERY('Global Variables'!$A:$B, ""SELECT Col2 WHERE Col1 = 'STAR"&amp;"TING_ROSTER_SIZE'"")),0))"),0.0)</f>
        <v>0</v>
      </c>
      <c r="E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Col""&amp;COLUMN(E$1)&amp;""=1""))&amp;""' ORDER BY Col6 DESC LIMIT ""&amp;QUERY('Global Variables'!$A:$B, ""SELECT Col2 WHERE Col1 = 'STAR"&amp;"TING_ROSTER_SIZE'"")),0))"),0.0)</f>
        <v>0</v>
      </c>
      <c r="F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Col""&amp;COLUMN(F$1)&amp;""=1""))&amp;""' ORDER BY Col6 DESC LIMIT ""&amp;QUERY('Global Variables'!$A:$B, ""SELECT Col2 WHERE Col1 = 'STAR"&amp;"TING_ROSTER_SIZE'"")),0))"),0.0)</f>
        <v>0</v>
      </c>
      <c r="G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Col""&amp;COLUMN(G$1)&amp;""=1""))&amp;""' ORDER BY Col6 DESC LIMIT ""&amp;QUERY('Global Variables'!$A:$B, ""SELECT Col2 WHERE Col1 = 'STAR"&amp;"TING_ROSTER_SIZE'"")),0))"),0.0)</f>
        <v>0</v>
      </c>
      <c r="H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Col""&amp;COLUMN(H$1)&amp;""=1""))&amp;""' ORDER BY Col6 DESC LIMIT ""&amp;QUERY('Global Variables'!$A:$B, ""SELECT Col2 WHERE Col1 = 'STAR"&amp;"TING_ROSTER_SIZE'"")),0))"),0.0)</f>
        <v>0</v>
      </c>
      <c r="I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Col""&amp;COLUMN(I$1)&amp;""=1""))&amp;""' ORDER BY Col6 DESC LIMIT ""&amp;QUERY('Global Variables'!$A:$B, ""SELECT Col2 WHERE Col1 = 'STAR"&amp;"TING_ROSTER_SIZE'"")),0))"),0.0)</f>
        <v>0</v>
      </c>
      <c r="J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Col""&amp;COLUMN(J$1)&amp;""=1""))&amp;""' ORDER BY Col6 DESC LIMIT ""&amp;QUERY('Global Variables'!$A:$B, ""SELECT Col2 WHERE Col1 = 'STAR"&amp;"TING_ROSTER_SIZE'"")),0))"),0.0)</f>
        <v>0</v>
      </c>
      <c r="K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Col""&amp;COLUMN(K$1)&amp;""=1""))&amp;""' ORDER BY Col6 DESC LIMIT ""&amp;QUERY('Global Variables'!$A:$B, ""SELECT Col2 WHERE Col1 = 'STAR"&amp;"TING_ROSTER_SIZE'"")),0))"),0.0)</f>
        <v>0</v>
      </c>
      <c r="L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Col""&amp;COLUMN(L$1)&amp;""=1""))&amp;""' ORDER BY Col6 DESC LIMIT ""&amp;QUERY('Global Variables'!$A:$B, ""SELECT Col2 WHERE Col1 = 'STAR"&amp;"TING_ROSTER_SIZE'"")),0))"),0.0)</f>
        <v>0</v>
      </c>
      <c r="M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Col""&amp;COLUMN(M$1)&amp;""=1""))&amp;""' ORDER BY Col6 DESC LIMIT ""&amp;QUERY('Global Variables'!$A:$B, ""SELECT Col2 WHERE Col1 = 'STAR"&amp;"TING_ROSTER_SIZE'"")),0))"),0.0)</f>
        <v>0</v>
      </c>
      <c r="N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Col""&amp;COLUMN(N$1)&amp;""=1""))&amp;""' ORDER BY Col6 DESC LIMIT ""&amp;QUERY('Global Variables'!$A:$B, ""SELECT Col2 WHERE Col1 = 'STAR"&amp;"TING_ROSTER_SIZE'"")),0))"),0.0)</f>
        <v>0</v>
      </c>
      <c r="O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Col""&amp;COLUMN(O$1)&amp;""=1""))&amp;""' ORDER BY Col6 DESC LIMIT ""&amp;QUERY('Global Variables'!$A:$B, ""SELECT Col2 WHERE Col1 = 'STAR"&amp;"TING_ROSTER_SIZE'"")),0))"),0.0)</f>
        <v>0</v>
      </c>
      <c r="P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Col""&amp;COLUMN(P$1)&amp;""=1""))&amp;""' ORDER BY Col6 DESC LIMIT ""&amp;QUERY('Global Variables'!$A:$B, ""SELECT Col2 WHERE Col1 = 'STAR"&amp;"TING_ROSTER_SIZE'"")),0))"),0.0)</f>
        <v>0</v>
      </c>
      <c r="Q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Col""&amp;COLUMN(Q$1)&amp;""=1""))&amp;""' ORDER BY Col6 DESC LIMIT ""&amp;QUERY('Global Variables'!$A:$B, ""SELECT Col2 WHERE Col1 = 'STAR"&amp;"TING_ROSTER_SIZE'"")),0))"),0.0)</f>
        <v>0</v>
      </c>
      <c r="R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Col""&amp;COLUMN(R$1)&amp;""=1""))&amp;""' ORDER BY Col6 DESC LIMIT ""&amp;QUERY('Global Variables'!$A:$B, ""SELECT Col2 WHERE Col1 = 'STAR"&amp;"TING_ROSTER_SIZE'"")),0))"),0.0)</f>
        <v>0</v>
      </c>
      <c r="S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Col""&amp;COLUMN(S$1)&amp;""=1""))&amp;""' ORDER BY Col6 DESC LIMIT ""&amp;QUERY('Global Variables'!$A:$B, ""SELECT Col2 WHERE Col1 = 'STAR"&amp;"TING_ROSTER_SIZE'"")),0))"),0.0)</f>
        <v>0</v>
      </c>
      <c r="T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Col""&amp;COLUMN(T$1)&amp;""=1""))&amp;""' ORDER BY Col6 DESC LIMIT ""&amp;QUERY('Global Variables'!$A:$B, ""SELECT Col2 WHERE Col1 = 'STAR"&amp;"TING_ROSTER_SIZE'"")),0))"),0.0)</f>
        <v>0</v>
      </c>
      <c r="U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Col""&amp;COLUMN(U$1)&amp;""=1""))&amp;""' ORDER BY Col6 DESC LIMIT ""&amp;QUERY('Global Variables'!$A:$B, ""SELECT Col2 WHERE Col1 = 'STAR"&amp;"TING_ROSTER_SIZE'"")),0))"),0.0)</f>
        <v>0</v>
      </c>
      <c r="V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Col""&amp;COLUMN(V$1)&amp;""=1""))&amp;""' ORDER BY Col6 DESC LIMIT ""&amp;QUERY('Global Variables'!$A:$B, ""SELECT Col2 WHERE Col1 = 'STAR"&amp;"TING_ROSTER_SIZE'"")),0))"),0.0)</f>
        <v>0</v>
      </c>
      <c r="W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Col""&amp;COLUMN(W$1)&amp;""=1""))&amp;""' ORDER BY Col6 DESC LIMIT ""&amp;QUERY('Global Variables'!$A:$B, ""SELECT Col2 WHERE Col1 = 'STAR"&amp;"TING_ROSTER_SIZE'"")),0))"),0.0)</f>
        <v>0</v>
      </c>
      <c r="X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Col""&amp;COLUMN(X$1)&amp;""=1""))&amp;""' ORDER BY Col6 DESC LIMIT ""&amp;QUERY('Global Variables'!$A:$B, ""SELECT Col2 WHERE Col1 = 'STAR"&amp;"TING_ROSTER_SIZE'"")),0))"),0.0)</f>
        <v>0</v>
      </c>
      <c r="Y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Col""&amp;COLUMN(Y$1)&amp;""=1""))&amp;""' ORDER BY Col6 DESC LIMIT ""&amp;QUERY('Global Variables'!$A:$B, ""SELECT Col2 WHERE Col1 = 'STAR"&amp;"TING_ROSTER_SIZE'"")),0))"),0.0)</f>
        <v>0</v>
      </c>
      <c r="Z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Col""&amp;COLUMN(Z$1)&amp;""=1""))&amp;""' ORDER BY Col6 DESC LIMIT ""&amp;QUERY('Global Variables'!$A:$B, ""SELECT Col2 WHERE Col1 = 'STAR"&amp;"TING_ROSTER_SIZE'"")),0))"),0.0)</f>
        <v>0</v>
      </c>
      <c r="AA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Col""&amp;COLUMN(AA$1)&amp;""=1""))&amp;""' ORDER BY Col6 DESC LIMIT ""&amp;QUERY('Global Variables'!$A:$B, ""SELECT Col2 WHERE Col1 = 'STA"&amp;"RTING_ROSTER_SIZE'"")),0))"),0.0)</f>
        <v>0</v>
      </c>
      <c r="AB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Col""&amp;COLUMN(AB$1)&amp;""=1""))&amp;""' ORDER BY Col6 DESC LIMIT ""&amp;QUERY('Global Variables'!$A:$B, ""SELECT Col2 WHERE Col1 = 'STA"&amp;"RTING_ROSTER_SIZE'"")),0))"),0.0)</f>
        <v>0</v>
      </c>
      <c r="AC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Col""&amp;COLUMN(AC$1)&amp;""=1""))&amp;""' ORDER BY Col6 DESC LIMIT ""&amp;QUERY('Global Variables'!$A:$B, ""SELECT Col2 WHERE Col1 = 'STA"&amp;"RTING_ROSTER_SIZE'"")),0))"),0.0)</f>
        <v>0</v>
      </c>
      <c r="AD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Col""&amp;COLUMN(AD$1)&amp;""=1""))&amp;""' ORDER BY Col6 DESC LIMIT ""&amp;QUERY('Global Variables'!$A:$B, ""SELECT Col2 WHERE Col1 = 'STA"&amp;"RTING_ROSTER_SIZE'"")),0))"),0.0)</f>
        <v>0</v>
      </c>
      <c r="AE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Col""&amp;COLUMN(AE$1)&amp;""=1""))&amp;""' ORDER BY Col6 DESC LIMIT ""&amp;QUERY('Global Variables'!$A:$B, ""SELECT Col2 WHERE Col1 = 'STA"&amp;"RTING_ROSTER_SIZE'"")),0))"),0.0)</f>
        <v>0</v>
      </c>
      <c r="AF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Col""&amp;COLUMN(AF$1)&amp;""=1""))&amp;""' ORDER BY Col6 DESC LIMIT ""&amp;QUERY('Global Variables'!$A:$B, ""SELECT Col2 WHERE Col1 = 'STA"&amp;"RTING_ROSTER_SIZE'"")),0))"),0.0)</f>
        <v>0</v>
      </c>
      <c r="AG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Col""&amp;COLUMN(AG$1)&amp;""=1""))&amp;""' ORDER BY Col6 DESC LIMIT ""&amp;QUERY('Global Variables'!$A:$B, ""SELECT Col2 WHERE Col1 = 'STA"&amp;"RTING_ROSTER_SIZE'"")),0))"),0.0)</f>
        <v>0</v>
      </c>
      <c r="AH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Col""&amp;COLUMN(AH$1)&amp;""=1""))&amp;""' ORDER BY Col6 DESC LIMIT ""&amp;QUERY('Global Variables'!$A:$B, ""SELECT Col2 WHERE Col1 = 'STA"&amp;"RTING_ROSTER_SIZE'"")),0))"),0.0)</f>
        <v>0</v>
      </c>
      <c r="AI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Col""&amp;COLUMN(AI$1)&amp;""=1""))&amp;""' ORDER BY Col6 DESC LIMIT ""&amp;QUERY('Global Variables'!$A:$B, ""SELECT Col2 WHERE Col1 = 'STA"&amp;"RTING_ROSTER_SIZE'"")),0))"),0.0)</f>
        <v>0</v>
      </c>
      <c r="AJ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Col""&amp;COLUMN(AJ$1)&amp;""=1""))&amp;""' ORDER BY Col6 DESC LIMIT ""&amp;QUERY('Global Variables'!$A:$B, ""SELECT Col2 WHERE Col1 = 'STA"&amp;"RTING_ROSTER_SIZE'"")),0))"),0.0)</f>
        <v>0</v>
      </c>
      <c r="AK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Col""&amp;COLUMN(AK$1)&amp;""=1""))&amp;""' ORDER BY Col6 DESC LIMIT ""&amp;QUERY('Global Variables'!$A:$B, ""SELECT Col2 WHERE Col1 = 'STA"&amp;"RTING_ROSTER_SIZE'"")),0))"),0.0)</f>
        <v>0</v>
      </c>
      <c r="AL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Col""&amp;COLUMN(AL$1)&amp;""=1""))&amp;""' ORDER BY Col6 DESC LIMIT ""&amp;QUERY('Global Variables'!$A:$B, ""SELECT Col2 WHERE Col1 = 'STA"&amp;"RTING_ROSTER_SIZE'"")),0))"),0.0)</f>
        <v>0</v>
      </c>
      <c r="AM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Col""&amp;COLUMN(AM$1)&amp;""=1""))&amp;""' ORDER BY Col6 DESC LIMIT ""&amp;QUERY('Global Variables'!$A:$B, ""SELECT Col2 WHERE Col1 = 'STA"&amp;"RTING_ROSTER_SIZE'"")),0))"),0.0)</f>
        <v>0</v>
      </c>
      <c r="AN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Col""&amp;COLUMN(AN$1)&amp;""=1""))&amp;""' ORDER BY Col6 DESC LIMIT ""&amp;QUERY('Global Variables'!$A:$B, ""SELECT Col2 WHERE Col1 = 'STA"&amp;"RTING_ROSTER_SIZE'"")),0))"),0.0)</f>
        <v>0</v>
      </c>
      <c r="AO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Col""&amp;COLUMN(AO$1)&amp;""=1""))&amp;""' ORDER BY Col6 DESC LIMIT ""&amp;QUERY('Global Variables'!$A:$B, ""SELECT Col2 WHERE Col1 = 'STA"&amp;"RTING_ROSTER_SIZE'"")),0))"),0.0)</f>
        <v>0</v>
      </c>
      <c r="AP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Col""&amp;COLUMN(AP$1)&amp;""=1""))&amp;""' ORDER BY Col6 DESC LIMIT ""&amp;QUERY('Global Variables'!$A:$B, ""SELECT Col2 WHERE Col1 = 'STA"&amp;"RTING_ROSTER_SIZE'"")),0))"),0.0)</f>
        <v>0</v>
      </c>
      <c r="AQ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Col""&amp;COLUMN(AQ$1)&amp;""=1""))&amp;""' ORDER BY Col6 DESC LIMIT ""&amp;QUERY('Global Variables'!$A:$B, ""SELECT Col2 WHERE Col1 = 'STA"&amp;"RTING_ROSTER_SIZE'"")),0))"),0.0)</f>
        <v>0</v>
      </c>
      <c r="AR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Col""&amp;COLUMN(AR$1)&amp;""=1""))&amp;""' ORDER BY Col6 DESC LIMIT ""&amp;QUERY('Global Variables'!$A:$B, ""SELECT Col2 WHERE Col1 = 'STA"&amp;"RTING_ROSTER_SIZE'"")),0))"),0.0)</f>
        <v>0</v>
      </c>
      <c r="AS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Col""&amp;COLUMN(AS$1)&amp;""=1""))&amp;""' ORDER BY Col6 DESC LIMIT ""&amp;QUERY('Global Variables'!$A:$B, ""SELECT Col2 WHERE Col1 = 'STA"&amp;"RTING_ROSTER_SIZE'"")),0))"),0.0)</f>
        <v>0</v>
      </c>
      <c r="AT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Col""&amp;COLUMN(AT$1)&amp;""=1""))&amp;""' ORDER BY Col6 DESC LIMIT ""&amp;QUERY('Global Variables'!$A:$B, ""SELECT Col2 WHERE Col1 = 'STA"&amp;"RTING_ROSTER_SIZE'"")),0))"),0.0)</f>
        <v>0</v>
      </c>
      <c r="AU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Col""&amp;COLUMN(AU$1)&amp;""=1""))&amp;""' ORDER BY Col6 DESC LIMIT ""&amp;QUERY('Global Variables'!$A:$B, ""SELECT Col2 WHERE Col1 = 'STA"&amp;"RTING_ROSTER_SIZE'"")),0))"),0.0)</f>
        <v>0</v>
      </c>
      <c r="AV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Col""&amp;COLUMN(AV$1)&amp;""=1""))&amp;""' ORDER BY Col6 DESC LIMIT ""&amp;QUERY('Global Variables'!$A:$B, ""SELECT Col2 WHERE Col1 = 'STA"&amp;"RTING_ROSTER_SIZE'"")),0))"),0.0)</f>
        <v>0</v>
      </c>
      <c r="AW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Col""&amp;COLUMN(AW$1)&amp;""=1""))&amp;""' ORDER BY Col6 DESC LIMIT ""&amp;QUERY('Global Variables'!$A:$B, ""SELECT Col2 WHERE Col1 = 'STA"&amp;"RTING_ROSTER_SIZE'"")),0))"),0.0)</f>
        <v>0</v>
      </c>
      <c r="AX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Col""&amp;COLUMN(AX$1)&amp;""=1""))&amp;""' ORDER BY Col6 DESC LIMIT ""&amp;QUERY('Global Variables'!$A:$B, ""SELECT Col2 WHERE Col1 = 'STA"&amp;"RTING_ROSTER_SIZE'"")),0))"),0.0)</f>
        <v>0</v>
      </c>
      <c r="AY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Col""&amp;COLUMN(AY$1)&amp;""=1""))&amp;""' ORDER BY Col6 DESC LIMIT ""&amp;QUERY('Global Variables'!$A:$B, ""SELECT Col2 WHERE Col1 = 'STA"&amp;"RTING_ROSTER_SIZE'"")),0))"),0.0)</f>
        <v>0</v>
      </c>
      <c r="AZ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Col""&amp;COLUMN(AZ$1)&amp;""=1""))&amp;""' ORDER BY Col6 DESC LIMIT ""&amp;QUERY('Global Variables'!$A:$B, ""SELECT Col2 WHERE Col1 = 'STA"&amp;"RTING_ROSTER_SIZE'"")),0))"),0.0)</f>
        <v>0</v>
      </c>
      <c r="BA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Col""&amp;COLUMN(BA$1)&amp;""=1""))&amp;""' ORDER BY Col6 DESC LIMIT ""&amp;QUERY('Global Variables'!$A:$B, ""SELECT Col2 WHERE Col1 = 'STA"&amp;"RTING_ROSTER_SIZE'"")),0))"),0.0)</f>
        <v>0</v>
      </c>
      <c r="BB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Col""&amp;COLUMN(BB$1)&amp;""=1""))&amp;""' ORDER BY Col6 DESC LIMIT ""&amp;QUERY('Global Variables'!$A:$B, ""SELECT Col2 WHERE Col1 = 'STA"&amp;"RTING_ROSTER_SIZE'"")),0))"),0.0)</f>
        <v>0</v>
      </c>
      <c r="BC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Col""&amp;COLUMN(BC$1)&amp;""=1""))&amp;""' ORDER BY Col6 DESC LIMIT ""&amp;QUERY('Global Variables'!$A:$B, ""SELECT Col2 WHERE Col1 = 'STA"&amp;"RTING_ROSTER_SIZE'"")),0))"),0.0)</f>
        <v>0</v>
      </c>
      <c r="BD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Col""&amp;COLUMN(BD$1)&amp;""=1""))&amp;""' ORDER BY Col6 DESC LIMIT ""&amp;QUERY('Global Variables'!$A:$B, ""SELECT Col2 WHERE Col1 = 'STA"&amp;"RTING_ROSTER_SIZE'"")),0))"),0.0)</f>
        <v>0</v>
      </c>
      <c r="BE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Col""&amp;COLUMN(BE$1)&amp;""=1""))&amp;""' ORDER BY Col6 DESC LIMIT ""&amp;QUERY('Global Variables'!$A:$B, ""SELECT Col2 WHERE Col1 = 'STA"&amp;"RTING_ROSTER_SIZE'"")),0))"),0.0)</f>
        <v>0</v>
      </c>
      <c r="BF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Col""&amp;COLUMN(BF$1)&amp;""=1""))&amp;""' ORDER BY Col6 DESC LIMIT ""&amp;QUERY('Global Variables'!$A:$B, ""SELECT Col2 WHERE Col1 = 'STA"&amp;"RTING_ROSTER_SIZE'"")),0))"),0.0)</f>
        <v>0</v>
      </c>
      <c r="BG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Col""&amp;COLUMN(BG$1)&amp;""=1""))&amp;""' ORDER BY Col6 DESC LIMIT ""&amp;QUERY('Global Variables'!$A:$B, ""SELECT Col2 WHERE Col1 = 'STA"&amp;"RTING_ROSTER_SIZE'"")),0))"),0.0)</f>
        <v>0</v>
      </c>
      <c r="BH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Col""&amp;COLUMN(BH$1)&amp;""=1""))&amp;""' ORDER BY Col6 DESC LIMIT ""&amp;QUERY('Global Variables'!$A:$B, ""SELECT Col2 WHERE Col1 = 'STA"&amp;"RTING_ROSTER_SIZE'"")),0))"),0.0)</f>
        <v>0</v>
      </c>
      <c r="BI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Col""&amp;COLUMN(BI$1)&amp;""=1""))&amp;""' ORDER BY Col6 DESC LIMIT ""&amp;QUERY('Global Variables'!$A:$B, ""SELECT Col2 WHERE Col1 = 'STA"&amp;"RTING_ROSTER_SIZE'"")),0))"),0.0)</f>
        <v>0</v>
      </c>
      <c r="BJ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Col""&amp;COLUMN(BJ$1)&amp;""=1""))&amp;""' ORDER BY Col6 DESC LIMIT ""&amp;QUERY('Global Variables'!$A:$B, ""SELECT Col2 WHERE Col1 = 'STA"&amp;"RTING_ROSTER_SIZE'"")),0))"),0.0)</f>
        <v>0</v>
      </c>
      <c r="BK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Col""&amp;COLUMN(BK$1)&amp;""=1""))&amp;""' ORDER BY Col6 DESC LIMIT ""&amp;QUERY('Global Variables'!$A:$B, ""SELECT Col2 WHERE Col1 = 'STA"&amp;"RTING_ROSTER_SIZE'"")),0))"),0.0)</f>
        <v>0</v>
      </c>
      <c r="BL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Col""&amp;COLUMN(BL$1)&amp;""=1""))&amp;""' ORDER BY Col6 DESC LIMIT ""&amp;QUERY('Global Variables'!$A:$B, ""SELECT Col2 WHERE Col1 = 'STA"&amp;"RTING_ROSTER_SIZE'"")),0))"),0.0)</f>
        <v>0</v>
      </c>
      <c r="BM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Col""&amp;COLUMN(BM$1)&amp;""=1""))&amp;""' ORDER BY Col6 DESC LIMIT ""&amp;QUERY('Global Variables'!$A:$B, ""SELECT Col2 WHERE Col1 = 'STA"&amp;"RTING_ROSTER_SIZE'"")),0))"),0.0)</f>
        <v>0</v>
      </c>
      <c r="BN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Col""&amp;COLUMN(BN$1)&amp;""=1""))&amp;""' ORDER BY Col6 DESC LIMIT ""&amp;QUERY('Global Variables'!$A:$B, ""SELECT Col2 WHERE Col1 = 'STA"&amp;"RTING_ROSTER_SIZE'"")),0))"),0.0)</f>
        <v>0</v>
      </c>
      <c r="BO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Col""&amp;COLUMN(BO$1)&amp;""=1""))&amp;""' ORDER BY Col6 DESC LIMIT ""&amp;QUERY('Global Variables'!$A:$B, ""SELECT Col2 WHERE Col1 = 'STA"&amp;"RTING_ROSTER_SIZE'"")),0))"),0.0)</f>
        <v>0</v>
      </c>
      <c r="BP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Col""&amp;COLUMN(BP$1)&amp;""=1""))&amp;""' ORDER BY Col6 DESC LIMIT ""&amp;QUERY('Global Variables'!$A:$B, ""SELECT Col2 WHERE Col1 = 'STA"&amp;"RTING_ROSTER_SIZE'"")),0))"),0.0)</f>
        <v>0</v>
      </c>
      <c r="BQ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Col""&amp;COLUMN(BQ$1)&amp;""=1""))&amp;""' ORDER BY Col6 DESC LIMIT ""&amp;QUERY('Global Variables'!$A:$B, ""SELECT Col2 WHERE Col1 = 'STA"&amp;"RTING_ROSTER_SIZE'"")),0))"),0.0)</f>
        <v>0</v>
      </c>
      <c r="BR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Col""&amp;COLUMN(BR$1)&amp;""=1""))&amp;""' ORDER BY Col6 DESC LIMIT ""&amp;QUERY('Global Variables'!$A:$B, ""SELECT Col2 WHERE Col1 = 'STA"&amp;"RTING_ROSTER_SIZE'"")),0))"),0.0)</f>
        <v>0</v>
      </c>
      <c r="BS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Col""&amp;COLUMN(BS$1)&amp;""=1""))&amp;""' ORDER BY Col6 DESC LIMIT ""&amp;QUERY('Global Variables'!$A:$B, ""SELECT Col2 WHERE Col1 = 'STA"&amp;"RTING_ROSTER_SIZE'"")),0))"),0.0)</f>
        <v>0</v>
      </c>
      <c r="BT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Col""&amp;COLUMN(BT$1)&amp;""=1""))&amp;""' ORDER BY Col6 DESC LIMIT ""&amp;QUERY('Global Variables'!$A:$B, ""SELECT Col2 WHERE Col1 = 'STA"&amp;"RTING_ROSTER_SIZE'"")),0))"),0.0)</f>
        <v>0</v>
      </c>
      <c r="BU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Col""&amp;COLUMN(BU$1)&amp;""=1""))&amp;""' ORDER BY Col6 DESC LIMIT ""&amp;QUERY('Global Variables'!$A:$B, ""SELECT Col2 WHERE Col1 = 'STA"&amp;"RTING_ROSTER_SIZE'"")),0))"),0.0)</f>
        <v>0</v>
      </c>
      <c r="BV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Col""&amp;COLUMN(BV$1)&amp;""=1""))&amp;""' ORDER BY Col6 DESC LIMIT ""&amp;QUERY('Global Variables'!$A:$B, ""SELECT Col2 WHERE Col1 = 'STA"&amp;"RTING_ROSTER_SIZE'"")),0))"),0.0)</f>
        <v>0</v>
      </c>
      <c r="BW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Col""&amp;COLUMN(BW$1)&amp;""=1""))&amp;""' ORDER BY Col6 DESC LIMIT ""&amp;QUERY('Global Variables'!$A:$B, ""SELECT Col2 WHERE Col1 = 'STA"&amp;"RTING_ROSTER_SIZE'"")),0))"),0.0)</f>
        <v>0</v>
      </c>
      <c r="BX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Col""&amp;COLUMN(BX$1)&amp;""=1""))&amp;""' ORDER BY Col6 DESC LIMIT ""&amp;QUERY('Global Variables'!$A:$B, ""SELECT Col2 WHERE Col1 = 'STA"&amp;"RTING_ROSTER_SIZE'"")),0))"),0.0)</f>
        <v>0</v>
      </c>
      <c r="BY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Col""&amp;COLUMN(BY$1)&amp;""=1""))&amp;""' ORDER BY Col6 DESC LIMIT ""&amp;QUERY('Global Variables'!$A:$B, ""SELECT Col2 WHERE Col1 = 'STA"&amp;"RTING_ROSTER_SIZE'"")),0))"),0.0)</f>
        <v>0</v>
      </c>
      <c r="BZ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Col""&amp;COLUMN(BZ$1)&amp;""=1""))&amp;""' ORDER BY Col6 DESC LIMIT ""&amp;QUERY('Global Variables'!$A:$B, ""SELECT Col2 WHERE Col1 = 'STA"&amp;"RTING_ROSTER_SIZE'"")),0))"),0.0)</f>
        <v>0</v>
      </c>
      <c r="CA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Col""&amp;COLUMN(CA$1)&amp;""=1""))&amp;""' ORDER BY Col6 DESC LIMIT ""&amp;QUERY('Global Variables'!$A:$B, ""SELECT Col2 WHERE Col1 = 'STA"&amp;"RTING_ROSTER_SIZE'"")),0))"),0.0)</f>
        <v>0</v>
      </c>
      <c r="CB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Col""&amp;COLUMN(CB$1)&amp;""=1""))&amp;""' ORDER BY Col6 DESC LIMIT ""&amp;QUERY('Global Variables'!$A:$B, ""SELECT Col2 WHERE Col1 = 'STA"&amp;"RTING_ROSTER_SIZE'"")),0))"),0.0)</f>
        <v>0</v>
      </c>
      <c r="CC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Col""&amp;COLUMN(CC$1)&amp;""=1""))&amp;""' ORDER BY Col6 DESC LIMIT ""&amp;QUERY('Global Variables'!$A:$B, ""SELECT Col2 WHERE Col1 = 'STA"&amp;"RTING_ROSTER_SIZE'"")),0))"),0.0)</f>
        <v>0</v>
      </c>
      <c r="CD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Col""&amp;COLUMN(CD$1)&amp;""=1""))&amp;""' ORDER BY Col6 DESC LIMIT ""&amp;QUERY('Global Variables'!$A:$B, ""SELECT Col2 WHERE Col1 = 'STA"&amp;"RTING_ROSTER_SIZE'"")),0))"),0.0)</f>
        <v>0</v>
      </c>
      <c r="CE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Col""&amp;COLUMN(CE$1)&amp;""=1""))&amp;""' ORDER BY Col6 DESC LIMIT ""&amp;QUERY('Global Variables'!$A:$B, ""SELECT Col2 WHERE Col1 = 'STA"&amp;"RTING_ROSTER_SIZE'"")),0))"),0.0)</f>
        <v>0</v>
      </c>
      <c r="CF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Col""&amp;COLUMN(CF$1)&amp;""=1""))&amp;""' ORDER BY Col6 DESC LIMIT ""&amp;QUERY('Global Variables'!$A:$B, ""SELECT Col2 WHERE Col1 = 'STA"&amp;"RTING_ROSTER_SIZE'"")),0))"),0.0)</f>
        <v>0</v>
      </c>
      <c r="CG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Col""&amp;COLUMN(CG$1)&amp;""=1""))&amp;""' ORDER BY Col6 DESC LIMIT ""&amp;QUERY('Global Variables'!$A:$B, ""SELECT Col2 WHERE Col1 = 'STA"&amp;"RTING_ROSTER_SIZE'"")),0))"),0.0)</f>
        <v>0</v>
      </c>
      <c r="CH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Col""&amp;COLUMN(CH$1)&amp;""=1""))&amp;""' ORDER BY Col6 DESC LIMIT ""&amp;QUERY('Global Variables'!$A:$B, ""SELECT Col2 WHERE Col1 = 'STA"&amp;"RTING_ROSTER_SIZE'"")),0))"),0.0)</f>
        <v>0</v>
      </c>
      <c r="CI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Col""&amp;COLUMN(CI$1)&amp;""=1""))&amp;""' ORDER BY Col6 DESC LIMIT ""&amp;QUERY('Global Variables'!$A:$B, ""SELECT Col2 WHERE Col1 = 'STA"&amp;"RTING_ROSTER_SIZE'"")),0))"),0.0)</f>
        <v>0</v>
      </c>
      <c r="CJ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Col""&amp;COLUMN(CJ$1)&amp;""=1""))&amp;""' ORDER BY Col6 DESC LIMIT ""&amp;QUERY('Global Variables'!$A:$B, ""SELECT Col2 WHERE Col1 = 'STA"&amp;"RTING_ROSTER_SIZE'"")),0))"),0.0)</f>
        <v>0</v>
      </c>
      <c r="CK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Col""&amp;COLUMN(CK$1)&amp;""=1""))&amp;""' ORDER BY Col6 DESC LIMIT ""&amp;QUERY('Global Variables'!$A:$B, ""SELECT Col2 WHERE Col1 = 'STA"&amp;"RTING_ROSTER_SIZE'"")),0))"),0.0)</f>
        <v>0</v>
      </c>
      <c r="CL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Col""&amp;COLUMN(CL$1)&amp;""=1""))&amp;""' ORDER BY Col6 DESC LIMIT ""&amp;QUERY('Global Variables'!$A:$B, ""SELECT Col2 WHERE Col1 = 'STA"&amp;"RTING_ROSTER_SIZE'"")),0))"),0.0)</f>
        <v>0</v>
      </c>
      <c r="CM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Col""&amp;COLUMN(CM$1)&amp;""=1""))&amp;""' ORDER BY Col6 DESC LIMIT ""&amp;QUERY('Global Variables'!$A:$B, ""SELECT Col2 WHERE Col1 = 'STA"&amp;"RTING_ROSTER_SIZE'"")),0))"),0.0)</f>
        <v>0</v>
      </c>
      <c r="CN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Col""&amp;COLUMN(CN$1)&amp;""=1""))&amp;""' ORDER BY Col6 DESC LIMIT ""&amp;QUERY('Global Variables'!$A:$B, ""SELECT Col2 WHERE Col1 = 'STA"&amp;"RTING_ROSTER_SIZE'"")),0))"),0.0)</f>
        <v>0</v>
      </c>
      <c r="CO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Col""&amp;COLUMN(CO$1)&amp;""=1""))&amp;""' ORDER BY Col6 DESC LIMIT ""&amp;QUERY('Global Variables'!$A:$B, ""SELECT Col2 WHERE Col1 = 'STA"&amp;"RTING_ROSTER_SIZE'"")),0))"),0.0)</f>
        <v>0</v>
      </c>
      <c r="CP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Col""&amp;COLUMN(CP$1)&amp;""=1""))&amp;""' ORDER BY Col6 DESC LIMIT ""&amp;QUERY('Global Variables'!$A:$B, ""SELECT Col2 WHERE Col1 = 'STA"&amp;"RTING_ROSTER_SIZE'"")),0))"),0.0)</f>
        <v>0</v>
      </c>
      <c r="CQ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Col""&amp;COLUMN(CQ$1)&amp;""=1""))&amp;""' ORDER BY Col6 DESC LIMIT ""&amp;QUERY('Global Variables'!$A:$B, ""SELECT Col2 WHERE Col1 = 'STA"&amp;"RTING_ROSTER_SIZE'"")),0))"),0.0)</f>
        <v>0</v>
      </c>
      <c r="CR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Col""&amp;COLUMN(CR$1)&amp;""=1""))&amp;""' ORDER BY Col6 DESC LIMIT ""&amp;QUERY('Global Variables'!$A:$B, ""SELECT Col2 WHERE Col1 = 'STA"&amp;"RTING_ROSTER_SIZE'"")),0))"),0.0)</f>
        <v>0</v>
      </c>
      <c r="CS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Col""&amp;COLUMN(CS$1)&amp;""=1""))&amp;""' ORDER BY Col6 DESC LIMIT ""&amp;QUERY('Global Variables'!$A:$B, ""SELECT Col2 WHERE Col1 = 'STA"&amp;"RTING_ROSTER_SIZE'"")),0))"),0.0)</f>
        <v>0</v>
      </c>
      <c r="CT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Col""&amp;COLUMN(CT$1)&amp;""=1""))&amp;""' ORDER BY Col6 DESC LIMIT ""&amp;QUERY('Global Variables'!$A:$B, ""SELECT Col2 WHERE Col1 = 'STA"&amp;"RTING_ROSTER_SIZE'"")),0))"),0.0)</f>
        <v>0</v>
      </c>
      <c r="CU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Col""&amp;COLUMN(CU$1)&amp;""=1""))&amp;""' ORDER BY Col6 DESC LIMIT ""&amp;QUERY('Global Variables'!$A:$B, ""SELECT Col2 WHERE Col1 = 'STA"&amp;"RTING_ROSTER_SIZE'"")),0))"),0.0)</f>
        <v>0</v>
      </c>
      <c r="CV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Col""&amp;COLUMN(CV$1)&amp;""=1""))&amp;""' ORDER BY Col6 DESC LIMIT ""&amp;QUERY('Global Variables'!$A:$B, ""SELECT Col2 WHERE Col1 = 'STA"&amp;"RTING_ROSTER_SIZE'"")),0))"),0.0)</f>
        <v>0</v>
      </c>
      <c r="CW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Col""&amp;COLUMN(CW$1)&amp;""=1""))&amp;""' ORDER BY Col6 DESC LIMIT ""&amp;QUERY('Global Variables'!$A:$B, ""SELECT Col2 WHERE Col1 = 'STA"&amp;"RTING_ROSTER_SIZE'"")),0))"),0.0)</f>
        <v>0</v>
      </c>
      <c r="CX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Col""&amp;COLUMN(CX$1)&amp;""=1""))&amp;""' ORDER BY Col6 DESC LIMIT ""&amp;QUERY('Global Variables'!$A:$B, ""SELECT Col2 WHERE Col1 = 'STA"&amp;"RTING_ROSTER_SIZE'"")),0))"),0.0)</f>
        <v>0</v>
      </c>
      <c r="CY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Col""&amp;COLUMN(CY$1)&amp;""=1""))&amp;""' ORDER BY Col6 DESC LIMIT ""&amp;QUERY('Global Variables'!$A:$B, ""SELECT Col2 WHERE Col1 = 'STA"&amp;"RTING_ROSTER_SIZE'"")),0))"),0.0)</f>
        <v>0</v>
      </c>
      <c r="CZ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Col""&amp;COLUMN(CZ$1)&amp;""=1""))&amp;""' ORDER BY Col6 DESC LIMIT ""&amp;QUERY('Global Variables'!$A:$B, ""SELECT Col2 WHERE Col1 = 'STA"&amp;"RTING_ROSTER_SIZE'"")),0))"),0.0)</f>
        <v>0</v>
      </c>
      <c r="DA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Col""&amp;COLUMN(DA$1)&amp;""=1""))&amp;""' ORDER BY Col6 DESC LIMIT ""&amp;QUERY('Global Variables'!$A:$B, ""SELECT Col2 WHERE Col1 = 'STA"&amp;"RTING_ROSTER_SIZE'"")),0))"),0.0)</f>
        <v>0</v>
      </c>
      <c r="DB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Col""&amp;COLUMN(DB$1)&amp;""=1""))&amp;""' ORDER BY Col6 DESC LIMIT ""&amp;QUERY('Global Variables'!$A:$B, ""SELECT Col2 WHERE Col1 = 'STA"&amp;"RTING_ROSTER_SIZE'"")),0))"),0.0)</f>
        <v>0</v>
      </c>
      <c r="DC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Col""&amp;COLUMN(DC$1)&amp;""=1""))&amp;""' ORDER BY Col6 DESC LIMIT ""&amp;QUERY('Global Variables'!$A:$B, ""SELECT Col2 WHERE Col1 = 'STA"&amp;"RTING_ROSTER_SIZE'"")),0))"),0.0)</f>
        <v>0</v>
      </c>
      <c r="DD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Col""&amp;COLUMN(DD$1)&amp;""=1""))&amp;""' ORDER BY Col6 DESC LIMIT ""&amp;QUERY('Global Variables'!$A:$B, ""SELECT Col2 WHERE Col1 = 'STA"&amp;"RTING_ROSTER_SIZE'"")),0))"),0.0)</f>
        <v>0</v>
      </c>
      <c r="DE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Col""&amp;COLUMN(DE$1)&amp;""=1""))&amp;""' ORDER BY Col6 DESC LIMIT ""&amp;QUERY('Global Variables'!$A:$B, ""SELECT Col2 WHERE Col1 = 'STA"&amp;"RTING_ROSTER_SIZE'"")),0))"),0.0)</f>
        <v>0</v>
      </c>
      <c r="DF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Col""&amp;COLUMN(DF$1)&amp;""=1""))&amp;""' ORDER BY Col6 DESC LIMIT ""&amp;QUERY('Global Variables'!$A:$B, ""SELECT Col2 WHERE Col1 = 'STA"&amp;"RTING_ROSTER_SIZE'"")),0))"),0.0)</f>
        <v>0</v>
      </c>
      <c r="DG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Col""&amp;COLUMN(DG$1)&amp;""=1""))&amp;""' ORDER BY Col6 DESC LIMIT ""&amp;QUERY('Global Variables'!$A:$B, ""SELECT Col2 WHERE Col1 = 'STA"&amp;"RTING_ROSTER_SIZE'"")),0))"),0.0)</f>
        <v>0</v>
      </c>
      <c r="DH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Col""&amp;COLUMN(DH$1)&amp;""=1""))&amp;""' ORDER BY Col6 DESC LIMIT ""&amp;QUERY('Global Variables'!$A:$B, ""SELECT Col2 WHERE Col1 = 'STA"&amp;"RTING_ROSTER_SIZE'"")),0))"),0.0)</f>
        <v>0</v>
      </c>
      <c r="DI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Col""&amp;COLUMN(DI$1)&amp;""=1""))&amp;""' ORDER BY Col6 DESC LIMIT ""&amp;QUERY('Global Variables'!$A:$B, ""SELECT Col2 WHERE Col1 = 'STA"&amp;"RTING_ROSTER_SIZE'"")),0))"),0.0)</f>
        <v>0</v>
      </c>
      <c r="DJ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Col""&amp;COLUMN(DJ$1)&amp;""=1""))&amp;""' ORDER BY Col6 DESC LIMIT ""&amp;QUERY('Global Variables'!$A:$B, ""SELECT Col2 WHERE Col1 = 'STA"&amp;"RTING_ROSTER_SIZE'"")),0))"),0.0)</f>
        <v>0</v>
      </c>
      <c r="DK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Col""&amp;COLUMN(DK$1)&amp;""=1""))&amp;""' ORDER BY Col6 DESC LIMIT ""&amp;QUERY('Global Variables'!$A:$B, ""SELECT Col2 WHERE Col1 = 'STA"&amp;"RTING_ROSTER_SIZE'"")),0))"),0.0)</f>
        <v>0</v>
      </c>
      <c r="DL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Col""&amp;COLUMN(DL$1)&amp;""=1""))&amp;""' ORDER BY Col6 DESC LIMIT ""&amp;QUERY('Global Variables'!$A:$B, ""SELECT Col2 WHERE Col1 = 'STA"&amp;"RTING_ROSTER_SIZE'"")),0))"),0.0)</f>
        <v>0</v>
      </c>
      <c r="DM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Col""&amp;COLUMN(DM$1)&amp;""=1""))&amp;""' ORDER BY Col6 DESC LIMIT ""&amp;QUERY('Global Variables'!$A:$B, ""SELECT Col2 WHERE Col1 = 'STA"&amp;"RTING_ROSTER_SIZE'"")),0))"),0.0)</f>
        <v>0</v>
      </c>
      <c r="DN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Col""&amp;COLUMN(DN$1)&amp;""=1""))&amp;""' ORDER BY Col6 DESC LIMIT ""&amp;QUERY('Global Variables'!$A:$B, ""SELECT Col2 WHERE Col1 = 'STA"&amp;"RTING_ROSTER_SIZE'"")),0))"),0.0)</f>
        <v>0</v>
      </c>
      <c r="DO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Col""&amp;COLUMN(DO$1)&amp;""=1""))&amp;""' ORDER BY Col6 DESC LIMIT ""&amp;QUERY('Global Variables'!$A:$B, ""SELECT Col2 WHERE Col1 = 'STA"&amp;"RTING_ROSTER_SIZE'"")),0))"),0.0)</f>
        <v>0</v>
      </c>
      <c r="DP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Col""&amp;COLUMN(DP$1)&amp;""=1""))&amp;""' ORDER BY Col6 DESC LIMIT ""&amp;QUERY('Global Variables'!$A:$B, ""SELECT Col2 WHERE Col1 = 'STA"&amp;"RTING_ROSTER_SIZE'"")),0))"),0.0)</f>
        <v>0</v>
      </c>
      <c r="DQ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Col""&amp;COLUMN(DQ$1)&amp;""=1""))&amp;""' ORDER BY Col6 DESC LIMIT ""&amp;QUERY('Global Variables'!$A:$B, ""SELECT Col2 WHERE Col1 = 'STA"&amp;"RTING_ROSTER_SIZE'"")),0))"),0.0)</f>
        <v>0</v>
      </c>
      <c r="DR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Col""&amp;COLUMN(DR$1)&amp;""=1""))&amp;""' ORDER BY Col6 DESC LIMIT ""&amp;QUERY('Global Variables'!$A:$B, ""SELECT Col2 WHERE Col1 = 'STA"&amp;"RTING_ROSTER_SIZE'"")),0))"),0.0)</f>
        <v>0</v>
      </c>
      <c r="DS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Col""&amp;COLUMN(DS$1)&amp;""=1""))&amp;""' ORDER BY Col6 DESC LIMIT ""&amp;QUERY('Global Variables'!$A:$B, ""SELECT Col2 WHERE Col1 = 'STA"&amp;"RTING_ROSTER_SIZE'"")),0))"),0.0)</f>
        <v>0</v>
      </c>
      <c r="DT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Col""&amp;COLUMN(DT$1)&amp;""=1""))&amp;""' ORDER BY Col6 DESC LIMIT ""&amp;QUERY('Global Variables'!$A:$B, ""SELECT Col2 WHERE Col1 = 'STA"&amp;"RTING_ROSTER_SIZE'"")),0))"),0.0)</f>
        <v>0</v>
      </c>
      <c r="DU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Col""&amp;COLUMN(DU$1)&amp;""=1""))&amp;""' ORDER BY Col6 DESC LIMIT ""&amp;QUERY('Global Variables'!$A:$B, ""SELECT Col2 WHERE Col1 = 'STA"&amp;"RTING_ROSTER_SIZE'"")),0))"),0.0)</f>
        <v>0</v>
      </c>
      <c r="DV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Col""&amp;COLUMN(DV$1)&amp;""=1""))&amp;""' ORDER BY Col6 DESC LIMIT ""&amp;QUERY('Global Variables'!$A:$B, ""SELECT Col2 WHERE Col1 = 'STA"&amp;"RTING_ROSTER_SIZE'"")),0))"),0.0)</f>
        <v>0</v>
      </c>
      <c r="DW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Col""&amp;COLUMN(DW$1)&amp;""=1""))&amp;""' ORDER BY Col6 DESC LIMIT ""&amp;QUERY('Global Variables'!$A:$B, ""SELECT Col2 WHERE Col1 = 'STA"&amp;"RTING_ROSTER_SIZE'"")),0))"),0.0)</f>
        <v>0</v>
      </c>
      <c r="DX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Col""&amp;COLUMN(DX$1)&amp;""=1""))&amp;""' ORDER BY Col6 DESC LIMIT ""&amp;QUERY('Global Variables'!$A:$B, ""SELECT Col2 WHERE Col1 = 'STA"&amp;"RTING_ROSTER_SIZE'"")),0))"),0.0)</f>
        <v>0</v>
      </c>
      <c r="DY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Col""&amp;COLUMN(DY$1)&amp;""=1""))&amp;""' ORDER BY Col6 DESC LIMIT ""&amp;QUERY('Global Variables'!$A:$B, ""SELECT Col2 WHERE Col1 = 'STA"&amp;"RTING_ROSTER_SIZE'"")),0))"),0.0)</f>
        <v>0</v>
      </c>
      <c r="DZ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Col""&amp;COLUMN(DZ$1)&amp;""=1""))&amp;""' ORDER BY Col6 DESC LIMIT ""&amp;QUERY('Global Variables'!$A:$B, ""SELECT Col2 WHERE Col1 = 'STA"&amp;"RTING_ROSTER_SIZE'"")),0))"),0.0)</f>
        <v>0</v>
      </c>
      <c r="EA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Col""&amp;COLUMN(EA$1)&amp;""=1""))&amp;""' ORDER BY Col6 DESC LIMIT ""&amp;QUERY('Global Variables'!$A:$B, ""SELECT Col2 WHERE Col1 = 'STA"&amp;"RTING_ROSTER_SIZE'"")),0))"),0.0)</f>
        <v>0</v>
      </c>
      <c r="EB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Col""&amp;COLUMN(EB$1)&amp;""=1""))&amp;""' ORDER BY Col6 DESC LIMIT ""&amp;QUERY('Global Variables'!$A:$B, ""SELECT Col2 WHERE Col1 = 'STA"&amp;"RTING_ROSTER_SIZE'"")),0))"),0.0)</f>
        <v>0</v>
      </c>
      <c r="EC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Col""&amp;COLUMN(EC$1)&amp;""=1""))&amp;""' ORDER BY Col6 DESC LIMIT ""&amp;QUERY('Global Variables'!$A:$B, ""SELECT Col2 WHERE Col1 = 'STA"&amp;"RTING_ROSTER_SIZE'"")),0))"),0.0)</f>
        <v>0</v>
      </c>
      <c r="ED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Col""&amp;COLUMN(ED$1)&amp;""=1""))&amp;""' ORDER BY Col6 DESC LIMIT ""&amp;QUERY('Global Variables'!$A:$B, ""SELECT Col2 WHERE Col1 = 'STA"&amp;"RTING_ROSTER_SIZE'"")),0))"),0.0)</f>
        <v>0</v>
      </c>
      <c r="EE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Col""&amp;COLUMN(EE$1)&amp;""=1""))&amp;""' ORDER BY Col6 DESC LIMIT ""&amp;QUERY('Global Variables'!$A:$B, ""SELECT Col2 WHERE Col1 = 'STA"&amp;"RTING_ROSTER_SIZE'"")),0))"),0.0)</f>
        <v>0</v>
      </c>
      <c r="EF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Col""&amp;COLUMN(EF$1)&amp;""=1""))&amp;""' ORDER BY Col6 DESC LIMIT ""&amp;QUERY('Global Variables'!$A:$B, ""SELECT Col2 WHERE Col1 = 'STA"&amp;"RTING_ROSTER_SIZE'"")),0))"),0.0)</f>
        <v>0</v>
      </c>
      <c r="EG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Col""&amp;COLUMN(EG$1)&amp;""=1""))&amp;""' ORDER BY Col6 DESC LIMIT ""&amp;QUERY('Global Variables'!$A:$B, ""SELECT Col2 WHERE Col1 = 'STA"&amp;"RTING_ROSTER_SIZE'"")),0))"),0.0)</f>
        <v>0</v>
      </c>
      <c r="EH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Col""&amp;COLUMN(EH$1)&amp;""=1""))&amp;""' ORDER BY Col6 DESC LIMIT ""&amp;QUERY('Global Variables'!$A:$B, ""SELECT Col2 WHERE Col1 = 'STA"&amp;"RTING_ROSTER_SIZE'"")),0))"),0.0)</f>
        <v>0</v>
      </c>
      <c r="EI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Col""&amp;COLUMN(EI$1)&amp;""=1""))&amp;""' ORDER BY Col6 DESC LIMIT ""&amp;QUERY('Global Variables'!$A:$B, ""SELECT Col2 WHERE Col1 = 'STA"&amp;"RTING_ROSTER_SIZE'"")),0))"),0.0)</f>
        <v>0</v>
      </c>
      <c r="EJ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Col""&amp;COLUMN(EJ$1)&amp;""=1""))&amp;""' ORDER BY Col6 DESC LIMIT ""&amp;QUERY('Global Variables'!$A:$B, ""SELECT Col2 WHERE Col1 = 'STA"&amp;"RTING_ROSTER_SIZE'"")),0))"),0.0)</f>
        <v>0</v>
      </c>
      <c r="EK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Col""&amp;COLUMN(EK$1)&amp;""=1""))&amp;""' ORDER BY Col6 DESC LIMIT ""&amp;QUERY('Global Variables'!$A:$B, ""SELECT Col2 WHERE Col1 = 'STA"&amp;"RTING_ROSTER_SIZE'"")),0))"),0.0)</f>
        <v>0</v>
      </c>
      <c r="EL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Col""&amp;COLUMN(EL$1)&amp;""=1""))&amp;""' ORDER BY Col6 DESC LIMIT ""&amp;QUERY('Global Variables'!$A:$B, ""SELECT Col2 WHERE Col1 = 'STA"&amp;"RTING_ROSTER_SIZE'"")),0))"),0.0)</f>
        <v>0</v>
      </c>
      <c r="EM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Col""&amp;COLUMN(EM$1)&amp;""=1""))&amp;""' ORDER BY Col6 DESC LIMIT ""&amp;QUERY('Global Variables'!$A:$B, ""SELECT Col2 WHERE Col1 = 'STA"&amp;"RTING_ROSTER_SIZE'"")),0))"),0.0)</f>
        <v>0</v>
      </c>
      <c r="EN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Col""&amp;COLUMN(EN$1)&amp;""=1""))&amp;""' ORDER BY Col6 DESC LIMIT ""&amp;QUERY('Global Variables'!$A:$B, ""SELECT Col2 WHERE Col1 = 'STA"&amp;"RTING_ROSTER_SIZE'"")),0))"),0.0)</f>
        <v>0</v>
      </c>
      <c r="EO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Col""&amp;COLUMN(EO$1)&amp;""=1""))&amp;""' ORDER BY Col6 DESC LIMIT ""&amp;QUERY('Global Variables'!$A:$B, ""SELECT Col2 WHERE Col1 = 'STA"&amp;"RTING_ROSTER_SIZE'"")),0))"),0.0)</f>
        <v>0</v>
      </c>
      <c r="EP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Col""&amp;COLUMN(EP$1)&amp;""=1""))&amp;""' ORDER BY Col6 DESC LIMIT ""&amp;QUERY('Global Variables'!$A:$B, ""SELECT Col2 WHERE Col1 = 'STA"&amp;"RTING_ROSTER_SIZE'"")),0))"),0.0)</f>
        <v>0</v>
      </c>
      <c r="EQ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Col""&amp;COLUMN(EQ$1)&amp;""=1""))&amp;""' ORDER BY Col6 DESC LIMIT ""&amp;QUERY('Global Variables'!$A:$B, ""SELECT Col2 WHERE Col1 = 'STA"&amp;"RTING_ROSTER_SIZE'"")),0))"),0.0)</f>
        <v>0</v>
      </c>
      <c r="ER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Col""&amp;COLUMN(ER$1)&amp;""=1""))&amp;""' ORDER BY Col6 DESC LIMIT ""&amp;QUERY('Global Variables'!$A:$B, ""SELECT Col2 WHERE Col1 = 'STA"&amp;"RTING_ROSTER_SIZE'"")),0))"),0.0)</f>
        <v>0</v>
      </c>
      <c r="ES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Col""&amp;COLUMN(ES$1)&amp;""=1""))&amp;""' ORDER BY Col6 DESC LIMIT ""&amp;QUERY('Global Variables'!$A:$B, ""SELECT Col2 WHERE Col1 = 'STA"&amp;"RTING_ROSTER_SIZE'"")),0))"),0.0)</f>
        <v>0</v>
      </c>
      <c r="ET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Col""&amp;COLUMN(ET$1)&amp;""=1""))&amp;""' ORDER BY Col6 DESC LIMIT ""&amp;QUERY('Global Variables'!$A:$B, ""SELECT Col2 WHERE Col1 = 'STA"&amp;"RTING_ROSTER_SIZE'"")),0))"),0.0)</f>
        <v>0</v>
      </c>
      <c r="EU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Col""&amp;COLUMN(EU$1)&amp;""=1""))&amp;""' ORDER BY Col6 DESC LIMIT ""&amp;QUERY('Global Variables'!$A:$B, ""SELECT Col2 WHERE Col1 = 'STA"&amp;"RTING_ROSTER_SIZE'"")),0))"),0.0)</f>
        <v>0</v>
      </c>
      <c r="EV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Col""&amp;COLUMN(EV$1)&amp;""=1""))&amp;""' ORDER BY Col6 DESC LIMIT ""&amp;QUERY('Global Variables'!$A:$B, ""SELECT Col2 WHERE Col1 = 'STA"&amp;"RTING_ROSTER_SIZE'"")),0))"),0.0)</f>
        <v>0</v>
      </c>
      <c r="EW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Col""&amp;COLUMN(EW$1)&amp;""=1""))&amp;""' ORDER BY Col6 DESC LIMIT ""&amp;QUERY('Global Variables'!$A:$B, ""SELECT Col2 WHERE Col1 = 'STA"&amp;"RTING_ROSTER_SIZE'"")),0))"),0.0)</f>
        <v>0</v>
      </c>
      <c r="EX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Col""&amp;COLUMN(EX$1)&amp;""=1""))&amp;""' ORDER BY Col6 DESC LIMIT ""&amp;QUERY('Global Variables'!$A:$B, ""SELECT Col2 WHERE Col1 = 'STA"&amp;"RTING_ROSTER_SIZE'"")),0))"),0.0)</f>
        <v>0</v>
      </c>
      <c r="EY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Col""&amp;COLUMN(EY$1)&amp;""=1""))&amp;""' ORDER BY Col6 DESC LIMIT ""&amp;QUERY('Global Variables'!$A:$B, ""SELECT Col2 WHERE Col1 = 'STA"&amp;"RTING_ROSTER_SIZE'"")),0))"),0.0)</f>
        <v>0</v>
      </c>
      <c r="EZ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Col""&amp;COLUMN(EZ$1)&amp;""=1""))&amp;""' ORDER BY Col6 DESC LIMIT ""&amp;QUERY('Global Variables'!$A:$B, ""SELECT Col2 WHERE Col1 = 'STA"&amp;"RTING_ROSTER_SIZE'"")),0))"),0.0)</f>
        <v>0</v>
      </c>
      <c r="FA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Col""&amp;COLUMN(FA$1)&amp;""=1""))&amp;""' ORDER BY Col6 DESC LIMIT ""&amp;QUERY('Global Variables'!$A:$B, ""SELECT Col2 WHERE Col1 = 'STA"&amp;"RTING_ROSTER_SIZE'"")),0))"),0.0)</f>
        <v>0</v>
      </c>
      <c r="FB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Col""&amp;COLUMN(FB$1)&amp;""=1""))&amp;""' ORDER BY Col6 DESC LIMIT ""&amp;QUERY('Global Variables'!$A:$B, ""SELECT Col2 WHERE Col1 = 'STA"&amp;"RTING_ROSTER_SIZE'"")),0))"),0.0)</f>
        <v>0</v>
      </c>
      <c r="FC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Col""&amp;COLUMN(FC$1)&amp;""=1""))&amp;""' ORDER BY Col6 DESC LIMIT ""&amp;QUERY('Global Variables'!$A:$B, ""SELECT Col2 WHERE Col1 = 'STA"&amp;"RTING_ROSTER_SIZE'"")),0))"),0.0)</f>
        <v>0</v>
      </c>
      <c r="FD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Col""&amp;COLUMN(FD$1)&amp;""=1""))&amp;""' ORDER BY Col6 DESC LIMIT ""&amp;QUERY('Global Variables'!$A:$B, ""SELECT Col2 WHERE Col1 = 'STA"&amp;"RTING_ROSTER_SIZE'"")),0))"),0.0)</f>
        <v>0</v>
      </c>
      <c r="FE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Col""&amp;COLUMN(FE$1)&amp;""=1""))&amp;""' ORDER BY Col6 DESC LIMIT ""&amp;QUERY('Global Variables'!$A:$B, ""SELECT Col2 WHERE Col1 = 'STA"&amp;"RTING_ROSTER_SIZE'"")),0))"),0.0)</f>
        <v>0</v>
      </c>
      <c r="FF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Col""&amp;COLUMN(FF$1)&amp;""=1""))&amp;""' ORDER BY Col6 DESC LIMIT ""&amp;QUERY('Global Variables'!$A:$B, ""SELECT Col2 WHERE Col1 = 'STA"&amp;"RTING_ROSTER_SIZE'"")),0))"),0.0)</f>
        <v>0</v>
      </c>
      <c r="FG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Col""&amp;COLUMN(FG$1)&amp;""=1""))&amp;""' ORDER BY Col6 DESC LIMIT ""&amp;QUERY('Global Variables'!$A:$B, ""SELECT Col2 WHERE Col1 = 'STA"&amp;"RTING_ROSTER_SIZE'"")),0))"),0.0)</f>
        <v>0</v>
      </c>
      <c r="FH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Col""&amp;COLUMN(FH$1)&amp;""=1""))&amp;""' ORDER BY Col6 DESC LIMIT ""&amp;QUERY('Global Variables'!$A:$B, ""SELECT Col2 WHERE Col1 = 'STA"&amp;"RTING_ROSTER_SIZE'"")),0))"),0.0)</f>
        <v>0</v>
      </c>
      <c r="FI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Col""&amp;COLUMN(FI$1)&amp;""=1""))&amp;""' ORDER BY Col6 DESC LIMIT ""&amp;QUERY('Global Variables'!$A:$B, ""SELECT Col2 WHERE Col1 = 'STA"&amp;"RTING_ROSTER_SIZE'"")),0))"),0.0)</f>
        <v>0</v>
      </c>
      <c r="FJ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Col""&amp;COLUMN(FJ$1)&amp;""=1""))&amp;""' ORDER BY Col6 DESC LIMIT ""&amp;QUERY('Global Variables'!$A:$B, ""SELECT Col2 WHERE Col1 = 'STA"&amp;"RTING_ROSTER_SIZE'"")),0))"),0.0)</f>
        <v>0</v>
      </c>
      <c r="FK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Col""&amp;COLUMN(FK$1)&amp;""=1""))&amp;""' ORDER BY Col6 DESC LIMIT ""&amp;QUERY('Global Variables'!$A:$B, ""SELECT Col2 WHERE Col1 = 'STA"&amp;"RTING_ROSTER_SIZE'"")),0))"),0.0)</f>
        <v>0</v>
      </c>
      <c r="FL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Col""&amp;COLUMN(FL$1)&amp;""=1""))&amp;""' ORDER BY Col6 DESC LIMIT ""&amp;QUERY('Global Variables'!$A:$B, ""SELECT Col2 WHERE Col1 = 'STA"&amp;"RTING_ROSTER_SIZE'"")),0))"),0.0)</f>
        <v>0</v>
      </c>
      <c r="FM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Col""&amp;COLUMN(FM$1)&amp;""=1""))&amp;""' ORDER BY Col6 DESC LIMIT ""&amp;QUERY('Global Variables'!$A:$B, ""SELECT Col2 WHERE Col1 = 'STA"&amp;"RTING_ROSTER_SIZE'"")),0))"),0.0)</f>
        <v>0</v>
      </c>
      <c r="FN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Col""&amp;COLUMN(FN$1)&amp;""=1""))&amp;""' ORDER BY Col6 DESC LIMIT ""&amp;QUERY('Global Variables'!$A:$B, ""SELECT Col2 WHERE Col1 = 'STA"&amp;"RTING_ROSTER_SIZE'"")),0))"),0.0)</f>
        <v>0</v>
      </c>
      <c r="FO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Col""&amp;COLUMN(FO$1)&amp;""=1""))&amp;""' ORDER BY Col6 DESC LIMIT ""&amp;QUERY('Global Variables'!$A:$B, ""SELECT Col2 WHERE Col1 = 'STA"&amp;"RTING_ROSTER_SIZE'"")),0))"),0.0)</f>
        <v>0</v>
      </c>
      <c r="FP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Col""&amp;COLUMN(FP$1)&amp;""=1""))&amp;""' ORDER BY Col6 DESC LIMIT ""&amp;QUERY('Global Variables'!$A:$B, ""SELECT Col2 WHERE Col1 = 'STA"&amp;"RTING_ROSTER_SIZE'"")),0))"),0.0)</f>
        <v>0</v>
      </c>
      <c r="FQ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Col""&amp;COLUMN(FQ$1)&amp;""=1""))&amp;""' ORDER BY Col6 DESC LIMIT ""&amp;QUERY('Global Variables'!$A:$B, ""SELECT Col2 WHERE Col1 = 'STA"&amp;"RTING_ROSTER_SIZE'"")),0))"),0.0)</f>
        <v>0</v>
      </c>
      <c r="FR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Col""&amp;COLUMN(FR$1)&amp;""=1""))&amp;""' ORDER BY Col6 DESC LIMIT ""&amp;QUERY('Global Variables'!$A:$B, ""SELECT Col2 WHERE Col1 = 'STA"&amp;"RTING_ROSTER_SIZE'"")),0))"),0.0)</f>
        <v>0</v>
      </c>
      <c r="FS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Col""&amp;COLUMN(FS$1)&amp;""=1""))&amp;""' ORDER BY Col6 DESC LIMIT ""&amp;QUERY('Global Variables'!$A:$B, ""SELECT Col2 WHERE Col1 = 'STA"&amp;"RTING_ROSTER_SIZE'"")),0))"),0.0)</f>
        <v>0</v>
      </c>
      <c r="FT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Col""&amp;COLUMN(FT$1)&amp;""=1""))&amp;""' ORDER BY Col6 DESC LIMIT ""&amp;QUERY('Global Variables'!$A:$B, ""SELECT Col2 WHERE Col1 = 'STA"&amp;"RTING_ROSTER_SIZE'"")),0))"),0.0)</f>
        <v>0</v>
      </c>
      <c r="FU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Col""&amp;COLUMN(FU$1)&amp;""=1""))&amp;""' ORDER BY Col6 DESC LIMIT ""&amp;QUERY('Global Variables'!$A:$B, ""SELECT Col2 WHERE Col1 = 'STA"&amp;"RTING_ROSTER_SIZE'"")),0))"),0.0)</f>
        <v>0</v>
      </c>
      <c r="FV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Col""&amp;COLUMN(FV$1)&amp;""=1""))&amp;""' ORDER BY Col6 DESC LIMIT ""&amp;QUERY('Global Variables'!$A:$B, ""SELECT Col2 WHERE Col1 = 'STA"&amp;"RTING_ROSTER_SIZE'"")),0))"),0.0)</f>
        <v>0</v>
      </c>
      <c r="FW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Col""&amp;COLUMN(FW$1)&amp;""=1""))&amp;""' ORDER BY Col6 DESC LIMIT ""&amp;QUERY('Global Variables'!$A:$B, ""SELECT Col2 WHERE Col1 = 'STA"&amp;"RTING_ROSTER_SIZE'"")),0))"),0.0)</f>
        <v>0</v>
      </c>
      <c r="FX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Col""&amp;COLUMN(FX$1)&amp;""=1""))&amp;""' ORDER BY Col6 DESC LIMIT ""&amp;QUERY('Global Variables'!$A:$B, ""SELECT Col2 WHERE Col1 = 'STA"&amp;"RTING_ROSTER_SIZE'"")),0))"),0.0)</f>
        <v>0</v>
      </c>
      <c r="FY7" s="9">
        <f>IFERROR(__xludf.DUMMYFUNCTION("SUM(
IFERROR(QUERY(
IFERROR(
OFFSET(Teams!$A$1,MATCH($A7,Teams!$A:$A,0),1,QUERY('Global Variables'!$A:$B, ""SELECT Col2 WHERE Col1 = '""&amp;IF($B$21,""TEAM_SIZE"",""ACTIVE_ROSTER_SIZE"")&amp;""'""),QUERY('Global Variables'!$A:$B, ""SELECT Col2 WHERE Col1 = 'TEAM"&amp;"_DATA_FIELD_COUNT'"")),
OFFSET(Teams!$K$1,MATCH($A7,Teams!$K:$K,0),1,QUERY('Global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Col""&amp;COLUMN(FY$1)&amp;""=1""))&amp;""' ORDER BY Col6 DESC LIMIT ""&amp;QUERY('Global Variables'!$A:$B, ""SELECT Col2 WHERE Col1 = 'STA"&amp;"RTING_ROSTER_SIZE'"")),0))"),0.0)</f>
        <v>0</v>
      </c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</row>
    <row r="8">
      <c r="A8" s="32" t="str">
        <f>'Weekly EDSA'!A7</f>
        <v>Parkinson</v>
      </c>
      <c r="B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Col""&amp;COLUMN(B$1)&amp;""=1""))&amp;""' ORDER BY Col6 DESC LIMIT ""&amp;QUERY('Global Variables'!$A:$B, ""SELECT Col2 WHERE Col1 = 'STAR"&amp;"TING_ROSTER_SIZE'"")),0))"),0.0)</f>
        <v>0</v>
      </c>
      <c r="C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Col""&amp;COLUMN(C$1)&amp;""=1""))&amp;""' ORDER BY Col6 DESC LIMIT ""&amp;QUERY('Global Variables'!$A:$B, ""SELECT Col2 WHERE Col1 = 'STAR"&amp;"TING_ROSTER_SIZE'"")),0))"),0.0)</f>
        <v>0</v>
      </c>
      <c r="D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Col""&amp;COLUMN(D$1)&amp;""=1""))&amp;""' ORDER BY Col6 DESC LIMIT ""&amp;QUERY('Global Variables'!$A:$B, ""SELECT Col2 WHERE Col1 = 'STAR"&amp;"TING_ROSTER_SIZE'"")),0))"),0.0)</f>
        <v>0</v>
      </c>
      <c r="E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Col""&amp;COLUMN(E$1)&amp;""=1""))&amp;""' ORDER BY Col6 DESC LIMIT ""&amp;QUERY('Global Variables'!$A:$B, ""SELECT Col2 WHERE Col1 = 'STAR"&amp;"TING_ROSTER_SIZE'"")),0))"),0.0)</f>
        <v>0</v>
      </c>
      <c r="F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Col""&amp;COLUMN(F$1)&amp;""=1""))&amp;""' ORDER BY Col6 DESC LIMIT ""&amp;QUERY('Global Variables'!$A:$B, ""SELECT Col2 WHERE Col1 = 'STAR"&amp;"TING_ROSTER_SIZE'"")),0))"),0.0)</f>
        <v>0</v>
      </c>
      <c r="G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Col""&amp;COLUMN(G$1)&amp;""=1""))&amp;""' ORDER BY Col6 DESC LIMIT ""&amp;QUERY('Global Variables'!$A:$B, ""SELECT Col2 WHERE Col1 = 'STAR"&amp;"TING_ROSTER_SIZE'"")),0))"),0.0)</f>
        <v>0</v>
      </c>
      <c r="H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Col""&amp;COLUMN(H$1)&amp;""=1""))&amp;""' ORDER BY Col6 DESC LIMIT ""&amp;QUERY('Global Variables'!$A:$B, ""SELECT Col2 WHERE Col1 = 'STAR"&amp;"TING_ROSTER_SIZE'"")),0))"),0.0)</f>
        <v>0</v>
      </c>
      <c r="I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Col""&amp;COLUMN(I$1)&amp;""=1""))&amp;""' ORDER BY Col6 DESC LIMIT ""&amp;QUERY('Global Variables'!$A:$B, ""SELECT Col2 WHERE Col1 = 'STAR"&amp;"TING_ROSTER_SIZE'"")),0))"),0.0)</f>
        <v>0</v>
      </c>
      <c r="J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Col""&amp;COLUMN(J$1)&amp;""=1""))&amp;""' ORDER BY Col6 DESC LIMIT ""&amp;QUERY('Global Variables'!$A:$B, ""SELECT Col2 WHERE Col1 = 'STAR"&amp;"TING_ROSTER_SIZE'"")),0))"),0.0)</f>
        <v>0</v>
      </c>
      <c r="K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Col""&amp;COLUMN(K$1)&amp;""=1""))&amp;""' ORDER BY Col6 DESC LIMIT ""&amp;QUERY('Global Variables'!$A:$B, ""SELECT Col2 WHERE Col1 = 'STAR"&amp;"TING_ROSTER_SIZE'"")),0))"),0.0)</f>
        <v>0</v>
      </c>
      <c r="L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Col""&amp;COLUMN(L$1)&amp;""=1""))&amp;""' ORDER BY Col6 DESC LIMIT ""&amp;QUERY('Global Variables'!$A:$B, ""SELECT Col2 WHERE Col1 = 'STAR"&amp;"TING_ROSTER_SIZE'"")),0))"),0.0)</f>
        <v>0</v>
      </c>
      <c r="M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Col""&amp;COLUMN(M$1)&amp;""=1""))&amp;""' ORDER BY Col6 DESC LIMIT ""&amp;QUERY('Global Variables'!$A:$B, ""SELECT Col2 WHERE Col1 = 'STAR"&amp;"TING_ROSTER_SIZE'"")),0))"),0.0)</f>
        <v>0</v>
      </c>
      <c r="N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Col""&amp;COLUMN(N$1)&amp;""=1""))&amp;""' ORDER BY Col6 DESC LIMIT ""&amp;QUERY('Global Variables'!$A:$B, ""SELECT Col2 WHERE Col1 = 'STAR"&amp;"TING_ROSTER_SIZE'"")),0))"),0.0)</f>
        <v>0</v>
      </c>
      <c r="O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Col""&amp;COLUMN(O$1)&amp;""=1""))&amp;""' ORDER BY Col6 DESC LIMIT ""&amp;QUERY('Global Variables'!$A:$B, ""SELECT Col2 WHERE Col1 = 'STAR"&amp;"TING_ROSTER_SIZE'"")),0))"),0.0)</f>
        <v>0</v>
      </c>
      <c r="P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Col""&amp;COLUMN(P$1)&amp;""=1""))&amp;""' ORDER BY Col6 DESC LIMIT ""&amp;QUERY('Global Variables'!$A:$B, ""SELECT Col2 WHERE Col1 = 'STAR"&amp;"TING_ROSTER_SIZE'"")),0))"),0.0)</f>
        <v>0</v>
      </c>
      <c r="Q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Col""&amp;COLUMN(Q$1)&amp;""=1""))&amp;""' ORDER BY Col6 DESC LIMIT ""&amp;QUERY('Global Variables'!$A:$B, ""SELECT Col2 WHERE Col1 = 'STAR"&amp;"TING_ROSTER_SIZE'"")),0))"),0.0)</f>
        <v>0</v>
      </c>
      <c r="R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Col""&amp;COLUMN(R$1)&amp;""=1""))&amp;""' ORDER BY Col6 DESC LIMIT ""&amp;QUERY('Global Variables'!$A:$B, ""SELECT Col2 WHERE Col1 = 'STAR"&amp;"TING_ROSTER_SIZE'"")),0))"),0.0)</f>
        <v>0</v>
      </c>
      <c r="S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Col""&amp;COLUMN(S$1)&amp;""=1""))&amp;""' ORDER BY Col6 DESC LIMIT ""&amp;QUERY('Global Variables'!$A:$B, ""SELECT Col2 WHERE Col1 = 'STAR"&amp;"TING_ROSTER_SIZE'"")),0))"),0.0)</f>
        <v>0</v>
      </c>
      <c r="T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Col""&amp;COLUMN(T$1)&amp;""=1""))&amp;""' ORDER BY Col6 DESC LIMIT ""&amp;QUERY('Global Variables'!$A:$B, ""SELECT Col2 WHERE Col1 = 'STAR"&amp;"TING_ROSTER_SIZE'"")),0))"),0.0)</f>
        <v>0</v>
      </c>
      <c r="U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Col""&amp;COLUMN(U$1)&amp;""=1""))&amp;""' ORDER BY Col6 DESC LIMIT ""&amp;QUERY('Global Variables'!$A:$B, ""SELECT Col2 WHERE Col1 = 'STAR"&amp;"TING_ROSTER_SIZE'"")),0))"),0.0)</f>
        <v>0</v>
      </c>
      <c r="V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Col""&amp;COLUMN(V$1)&amp;""=1""))&amp;""' ORDER BY Col6 DESC LIMIT ""&amp;QUERY('Global Variables'!$A:$B, ""SELECT Col2 WHERE Col1 = 'STAR"&amp;"TING_ROSTER_SIZE'"")),0))"),0.0)</f>
        <v>0</v>
      </c>
      <c r="W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Col""&amp;COLUMN(W$1)&amp;""=1""))&amp;""' ORDER BY Col6 DESC LIMIT ""&amp;QUERY('Global Variables'!$A:$B, ""SELECT Col2 WHERE Col1 = 'STAR"&amp;"TING_ROSTER_SIZE'"")),0))"),0.0)</f>
        <v>0</v>
      </c>
      <c r="X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Col""&amp;COLUMN(X$1)&amp;""=1""))&amp;""' ORDER BY Col6 DESC LIMIT ""&amp;QUERY('Global Variables'!$A:$B, ""SELECT Col2 WHERE Col1 = 'STAR"&amp;"TING_ROSTER_SIZE'"")),0))"),0.0)</f>
        <v>0</v>
      </c>
      <c r="Y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Col""&amp;COLUMN(Y$1)&amp;""=1""))&amp;""' ORDER BY Col6 DESC LIMIT ""&amp;QUERY('Global Variables'!$A:$B, ""SELECT Col2 WHERE Col1 = 'STAR"&amp;"TING_ROSTER_SIZE'"")),0))"),0.0)</f>
        <v>0</v>
      </c>
      <c r="Z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Col""&amp;COLUMN(Z$1)&amp;""=1""))&amp;""' ORDER BY Col6 DESC LIMIT ""&amp;QUERY('Global Variables'!$A:$B, ""SELECT Col2 WHERE Col1 = 'STAR"&amp;"TING_ROSTER_SIZE'"")),0))"),0.0)</f>
        <v>0</v>
      </c>
      <c r="AA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Col""&amp;COLUMN(AA$1)&amp;""=1""))&amp;""' ORDER BY Col6 DESC LIMIT ""&amp;QUERY('Global Variables'!$A:$B, ""SELECT Col2 WHERE Col1 = 'STA"&amp;"RTING_ROSTER_SIZE'"")),0))"),0.0)</f>
        <v>0</v>
      </c>
      <c r="AB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Col""&amp;COLUMN(AB$1)&amp;""=1""))&amp;""' ORDER BY Col6 DESC LIMIT ""&amp;QUERY('Global Variables'!$A:$B, ""SELECT Col2 WHERE Col1 = 'STA"&amp;"RTING_ROSTER_SIZE'"")),0))"),0.0)</f>
        <v>0</v>
      </c>
      <c r="AC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Col""&amp;COLUMN(AC$1)&amp;""=1""))&amp;""' ORDER BY Col6 DESC LIMIT ""&amp;QUERY('Global Variables'!$A:$B, ""SELECT Col2 WHERE Col1 = 'STA"&amp;"RTING_ROSTER_SIZE'"")),0))"),0.0)</f>
        <v>0</v>
      </c>
      <c r="AD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Col""&amp;COLUMN(AD$1)&amp;""=1""))&amp;""' ORDER BY Col6 DESC LIMIT ""&amp;QUERY('Global Variables'!$A:$B, ""SELECT Col2 WHERE Col1 = 'STA"&amp;"RTING_ROSTER_SIZE'"")),0))"),0.0)</f>
        <v>0</v>
      </c>
      <c r="AE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Col""&amp;COLUMN(AE$1)&amp;""=1""))&amp;""' ORDER BY Col6 DESC LIMIT ""&amp;QUERY('Global Variables'!$A:$B, ""SELECT Col2 WHERE Col1 = 'STA"&amp;"RTING_ROSTER_SIZE'"")),0))"),0.0)</f>
        <v>0</v>
      </c>
      <c r="AF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Col""&amp;COLUMN(AF$1)&amp;""=1""))&amp;""' ORDER BY Col6 DESC LIMIT ""&amp;QUERY('Global Variables'!$A:$B, ""SELECT Col2 WHERE Col1 = 'STA"&amp;"RTING_ROSTER_SIZE'"")),0))"),0.0)</f>
        <v>0</v>
      </c>
      <c r="AG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Col""&amp;COLUMN(AG$1)&amp;""=1""))&amp;""' ORDER BY Col6 DESC LIMIT ""&amp;QUERY('Global Variables'!$A:$B, ""SELECT Col2 WHERE Col1 = 'STA"&amp;"RTING_ROSTER_SIZE'"")),0))"),0.0)</f>
        <v>0</v>
      </c>
      <c r="AH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Col""&amp;COLUMN(AH$1)&amp;""=1""))&amp;""' ORDER BY Col6 DESC LIMIT ""&amp;QUERY('Global Variables'!$A:$B, ""SELECT Col2 WHERE Col1 = 'STA"&amp;"RTING_ROSTER_SIZE'"")),0))"),0.0)</f>
        <v>0</v>
      </c>
      <c r="AI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Col""&amp;COLUMN(AI$1)&amp;""=1""))&amp;""' ORDER BY Col6 DESC LIMIT ""&amp;QUERY('Global Variables'!$A:$B, ""SELECT Col2 WHERE Col1 = 'STA"&amp;"RTING_ROSTER_SIZE'"")),0))"),0.0)</f>
        <v>0</v>
      </c>
      <c r="AJ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Col""&amp;COLUMN(AJ$1)&amp;""=1""))&amp;""' ORDER BY Col6 DESC LIMIT ""&amp;QUERY('Global Variables'!$A:$B, ""SELECT Col2 WHERE Col1 = 'STA"&amp;"RTING_ROSTER_SIZE'"")),0))"),0.0)</f>
        <v>0</v>
      </c>
      <c r="AK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Col""&amp;COLUMN(AK$1)&amp;""=1""))&amp;""' ORDER BY Col6 DESC LIMIT ""&amp;QUERY('Global Variables'!$A:$B, ""SELECT Col2 WHERE Col1 = 'STA"&amp;"RTING_ROSTER_SIZE'"")),0))"),0.0)</f>
        <v>0</v>
      </c>
      <c r="AL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Col""&amp;COLUMN(AL$1)&amp;""=1""))&amp;""' ORDER BY Col6 DESC LIMIT ""&amp;QUERY('Global Variables'!$A:$B, ""SELECT Col2 WHERE Col1 = 'STA"&amp;"RTING_ROSTER_SIZE'"")),0))"),0.0)</f>
        <v>0</v>
      </c>
      <c r="AM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Col""&amp;COLUMN(AM$1)&amp;""=1""))&amp;""' ORDER BY Col6 DESC LIMIT ""&amp;QUERY('Global Variables'!$A:$B, ""SELECT Col2 WHERE Col1 = 'STA"&amp;"RTING_ROSTER_SIZE'"")),0))"),0.0)</f>
        <v>0</v>
      </c>
      <c r="AN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Col""&amp;COLUMN(AN$1)&amp;""=1""))&amp;""' ORDER BY Col6 DESC LIMIT ""&amp;QUERY('Global Variables'!$A:$B, ""SELECT Col2 WHERE Col1 = 'STA"&amp;"RTING_ROSTER_SIZE'"")),0))"),0.0)</f>
        <v>0</v>
      </c>
      <c r="AO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Col""&amp;COLUMN(AO$1)&amp;""=1""))&amp;""' ORDER BY Col6 DESC LIMIT ""&amp;QUERY('Global Variables'!$A:$B, ""SELECT Col2 WHERE Col1 = 'STA"&amp;"RTING_ROSTER_SIZE'"")),0))"),0.0)</f>
        <v>0</v>
      </c>
      <c r="AP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Col""&amp;COLUMN(AP$1)&amp;""=1""))&amp;""' ORDER BY Col6 DESC LIMIT ""&amp;QUERY('Global Variables'!$A:$B, ""SELECT Col2 WHERE Col1 = 'STA"&amp;"RTING_ROSTER_SIZE'"")),0))"),0.0)</f>
        <v>0</v>
      </c>
      <c r="AQ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Col""&amp;COLUMN(AQ$1)&amp;""=1""))&amp;""' ORDER BY Col6 DESC LIMIT ""&amp;QUERY('Global Variables'!$A:$B, ""SELECT Col2 WHERE Col1 = 'STA"&amp;"RTING_ROSTER_SIZE'"")),0))"),0.0)</f>
        <v>0</v>
      </c>
      <c r="AR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Col""&amp;COLUMN(AR$1)&amp;""=1""))&amp;""' ORDER BY Col6 DESC LIMIT ""&amp;QUERY('Global Variables'!$A:$B, ""SELECT Col2 WHERE Col1 = 'STA"&amp;"RTING_ROSTER_SIZE'"")),0))"),0.0)</f>
        <v>0</v>
      </c>
      <c r="AS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Col""&amp;COLUMN(AS$1)&amp;""=1""))&amp;""' ORDER BY Col6 DESC LIMIT ""&amp;QUERY('Global Variables'!$A:$B, ""SELECT Col2 WHERE Col1 = 'STA"&amp;"RTING_ROSTER_SIZE'"")),0))"),0.0)</f>
        <v>0</v>
      </c>
      <c r="AT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Col""&amp;COLUMN(AT$1)&amp;""=1""))&amp;""' ORDER BY Col6 DESC LIMIT ""&amp;QUERY('Global Variables'!$A:$B, ""SELECT Col2 WHERE Col1 = 'STA"&amp;"RTING_ROSTER_SIZE'"")),0))"),0.0)</f>
        <v>0</v>
      </c>
      <c r="AU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Col""&amp;COLUMN(AU$1)&amp;""=1""))&amp;""' ORDER BY Col6 DESC LIMIT ""&amp;QUERY('Global Variables'!$A:$B, ""SELECT Col2 WHERE Col1 = 'STA"&amp;"RTING_ROSTER_SIZE'"")),0))"),0.0)</f>
        <v>0</v>
      </c>
      <c r="AV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Col""&amp;COLUMN(AV$1)&amp;""=1""))&amp;""' ORDER BY Col6 DESC LIMIT ""&amp;QUERY('Global Variables'!$A:$B, ""SELECT Col2 WHERE Col1 = 'STA"&amp;"RTING_ROSTER_SIZE'"")),0))"),0.0)</f>
        <v>0</v>
      </c>
      <c r="AW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Col""&amp;COLUMN(AW$1)&amp;""=1""))&amp;""' ORDER BY Col6 DESC LIMIT ""&amp;QUERY('Global Variables'!$A:$B, ""SELECT Col2 WHERE Col1 = 'STA"&amp;"RTING_ROSTER_SIZE'"")),0))"),0.0)</f>
        <v>0</v>
      </c>
      <c r="AX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Col""&amp;COLUMN(AX$1)&amp;""=1""))&amp;""' ORDER BY Col6 DESC LIMIT ""&amp;QUERY('Global Variables'!$A:$B, ""SELECT Col2 WHERE Col1 = 'STA"&amp;"RTING_ROSTER_SIZE'"")),0))"),0.0)</f>
        <v>0</v>
      </c>
      <c r="AY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Col""&amp;COLUMN(AY$1)&amp;""=1""))&amp;""' ORDER BY Col6 DESC LIMIT ""&amp;QUERY('Global Variables'!$A:$B, ""SELECT Col2 WHERE Col1 = 'STA"&amp;"RTING_ROSTER_SIZE'"")),0))"),0.0)</f>
        <v>0</v>
      </c>
      <c r="AZ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Col""&amp;COLUMN(AZ$1)&amp;""=1""))&amp;""' ORDER BY Col6 DESC LIMIT ""&amp;QUERY('Global Variables'!$A:$B, ""SELECT Col2 WHERE Col1 = 'STA"&amp;"RTING_ROSTER_SIZE'"")),0))"),0.0)</f>
        <v>0</v>
      </c>
      <c r="BA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Col""&amp;COLUMN(BA$1)&amp;""=1""))&amp;""' ORDER BY Col6 DESC LIMIT ""&amp;QUERY('Global Variables'!$A:$B, ""SELECT Col2 WHERE Col1 = 'STA"&amp;"RTING_ROSTER_SIZE'"")),0))"),0.0)</f>
        <v>0</v>
      </c>
      <c r="BB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Col""&amp;COLUMN(BB$1)&amp;""=1""))&amp;""' ORDER BY Col6 DESC LIMIT ""&amp;QUERY('Global Variables'!$A:$B, ""SELECT Col2 WHERE Col1 = 'STA"&amp;"RTING_ROSTER_SIZE'"")),0))"),0.0)</f>
        <v>0</v>
      </c>
      <c r="BC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Col""&amp;COLUMN(BC$1)&amp;""=1""))&amp;""' ORDER BY Col6 DESC LIMIT ""&amp;QUERY('Global Variables'!$A:$B, ""SELECT Col2 WHERE Col1 = 'STA"&amp;"RTING_ROSTER_SIZE'"")),0))"),0.0)</f>
        <v>0</v>
      </c>
      <c r="BD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Col""&amp;COLUMN(BD$1)&amp;""=1""))&amp;""' ORDER BY Col6 DESC LIMIT ""&amp;QUERY('Global Variables'!$A:$B, ""SELECT Col2 WHERE Col1 = 'STA"&amp;"RTING_ROSTER_SIZE'"")),0))"),0.0)</f>
        <v>0</v>
      </c>
      <c r="BE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Col""&amp;COLUMN(BE$1)&amp;""=1""))&amp;""' ORDER BY Col6 DESC LIMIT ""&amp;QUERY('Global Variables'!$A:$B, ""SELECT Col2 WHERE Col1 = 'STA"&amp;"RTING_ROSTER_SIZE'"")),0))"),0.0)</f>
        <v>0</v>
      </c>
      <c r="BF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Col""&amp;COLUMN(BF$1)&amp;""=1""))&amp;""' ORDER BY Col6 DESC LIMIT ""&amp;QUERY('Global Variables'!$A:$B, ""SELECT Col2 WHERE Col1 = 'STA"&amp;"RTING_ROSTER_SIZE'"")),0))"),0.0)</f>
        <v>0</v>
      </c>
      <c r="BG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Col""&amp;COLUMN(BG$1)&amp;""=1""))&amp;""' ORDER BY Col6 DESC LIMIT ""&amp;QUERY('Global Variables'!$A:$B, ""SELECT Col2 WHERE Col1 = 'STA"&amp;"RTING_ROSTER_SIZE'"")),0))"),0.0)</f>
        <v>0</v>
      </c>
      <c r="BH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Col""&amp;COLUMN(BH$1)&amp;""=1""))&amp;""' ORDER BY Col6 DESC LIMIT ""&amp;QUERY('Global Variables'!$A:$B, ""SELECT Col2 WHERE Col1 = 'STA"&amp;"RTING_ROSTER_SIZE'"")),0))"),0.0)</f>
        <v>0</v>
      </c>
      <c r="BI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Col""&amp;COLUMN(BI$1)&amp;""=1""))&amp;""' ORDER BY Col6 DESC LIMIT ""&amp;QUERY('Global Variables'!$A:$B, ""SELECT Col2 WHERE Col1 = 'STA"&amp;"RTING_ROSTER_SIZE'"")),0))"),0.0)</f>
        <v>0</v>
      </c>
      <c r="BJ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Col""&amp;COLUMN(BJ$1)&amp;""=1""))&amp;""' ORDER BY Col6 DESC LIMIT ""&amp;QUERY('Global Variables'!$A:$B, ""SELECT Col2 WHERE Col1 = 'STA"&amp;"RTING_ROSTER_SIZE'"")),0))"),0.0)</f>
        <v>0</v>
      </c>
      <c r="BK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Col""&amp;COLUMN(BK$1)&amp;""=1""))&amp;""' ORDER BY Col6 DESC LIMIT ""&amp;QUERY('Global Variables'!$A:$B, ""SELECT Col2 WHERE Col1 = 'STA"&amp;"RTING_ROSTER_SIZE'"")),0))"),0.0)</f>
        <v>0</v>
      </c>
      <c r="BL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Col""&amp;COLUMN(BL$1)&amp;""=1""))&amp;""' ORDER BY Col6 DESC LIMIT ""&amp;QUERY('Global Variables'!$A:$B, ""SELECT Col2 WHERE Col1 = 'STA"&amp;"RTING_ROSTER_SIZE'"")),0))"),0.0)</f>
        <v>0</v>
      </c>
      <c r="BM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Col""&amp;COLUMN(BM$1)&amp;""=1""))&amp;""' ORDER BY Col6 DESC LIMIT ""&amp;QUERY('Global Variables'!$A:$B, ""SELECT Col2 WHERE Col1 = 'STA"&amp;"RTING_ROSTER_SIZE'"")),0))"),0.0)</f>
        <v>0</v>
      </c>
      <c r="BN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Col""&amp;COLUMN(BN$1)&amp;""=1""))&amp;""' ORDER BY Col6 DESC LIMIT ""&amp;QUERY('Global Variables'!$A:$B, ""SELECT Col2 WHERE Col1 = 'STA"&amp;"RTING_ROSTER_SIZE'"")),0))"),0.0)</f>
        <v>0</v>
      </c>
      <c r="BO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Col""&amp;COLUMN(BO$1)&amp;""=1""))&amp;""' ORDER BY Col6 DESC LIMIT ""&amp;QUERY('Global Variables'!$A:$B, ""SELECT Col2 WHERE Col1 = 'STA"&amp;"RTING_ROSTER_SIZE'"")),0))"),0.0)</f>
        <v>0</v>
      </c>
      <c r="BP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Col""&amp;COLUMN(BP$1)&amp;""=1""))&amp;""' ORDER BY Col6 DESC LIMIT ""&amp;QUERY('Global Variables'!$A:$B, ""SELECT Col2 WHERE Col1 = 'STA"&amp;"RTING_ROSTER_SIZE'"")),0))"),0.0)</f>
        <v>0</v>
      </c>
      <c r="BQ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Col""&amp;COLUMN(BQ$1)&amp;""=1""))&amp;""' ORDER BY Col6 DESC LIMIT ""&amp;QUERY('Global Variables'!$A:$B, ""SELECT Col2 WHERE Col1 = 'STA"&amp;"RTING_ROSTER_SIZE'"")),0))"),0.0)</f>
        <v>0</v>
      </c>
      <c r="BR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Col""&amp;COLUMN(BR$1)&amp;""=1""))&amp;""' ORDER BY Col6 DESC LIMIT ""&amp;QUERY('Global Variables'!$A:$B, ""SELECT Col2 WHERE Col1 = 'STA"&amp;"RTING_ROSTER_SIZE'"")),0))"),0.0)</f>
        <v>0</v>
      </c>
      <c r="BS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Col""&amp;COLUMN(BS$1)&amp;""=1""))&amp;""' ORDER BY Col6 DESC LIMIT ""&amp;QUERY('Global Variables'!$A:$B, ""SELECT Col2 WHERE Col1 = 'STA"&amp;"RTING_ROSTER_SIZE'"")),0))"),0.0)</f>
        <v>0</v>
      </c>
      <c r="BT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Col""&amp;COLUMN(BT$1)&amp;""=1""))&amp;""' ORDER BY Col6 DESC LIMIT ""&amp;QUERY('Global Variables'!$A:$B, ""SELECT Col2 WHERE Col1 = 'STA"&amp;"RTING_ROSTER_SIZE'"")),0))"),0.0)</f>
        <v>0</v>
      </c>
      <c r="BU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Col""&amp;COLUMN(BU$1)&amp;""=1""))&amp;""' ORDER BY Col6 DESC LIMIT ""&amp;QUERY('Global Variables'!$A:$B, ""SELECT Col2 WHERE Col1 = 'STA"&amp;"RTING_ROSTER_SIZE'"")),0))"),0.0)</f>
        <v>0</v>
      </c>
      <c r="BV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Col""&amp;COLUMN(BV$1)&amp;""=1""))&amp;""' ORDER BY Col6 DESC LIMIT ""&amp;QUERY('Global Variables'!$A:$B, ""SELECT Col2 WHERE Col1 = 'STA"&amp;"RTING_ROSTER_SIZE'"")),0))"),0.0)</f>
        <v>0</v>
      </c>
      <c r="BW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Col""&amp;COLUMN(BW$1)&amp;""=1""))&amp;""' ORDER BY Col6 DESC LIMIT ""&amp;QUERY('Global Variables'!$A:$B, ""SELECT Col2 WHERE Col1 = 'STA"&amp;"RTING_ROSTER_SIZE'"")),0))"),0.0)</f>
        <v>0</v>
      </c>
      <c r="BX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Col""&amp;COLUMN(BX$1)&amp;""=1""))&amp;""' ORDER BY Col6 DESC LIMIT ""&amp;QUERY('Global Variables'!$A:$B, ""SELECT Col2 WHERE Col1 = 'STA"&amp;"RTING_ROSTER_SIZE'"")),0))"),0.0)</f>
        <v>0</v>
      </c>
      <c r="BY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Col""&amp;COLUMN(BY$1)&amp;""=1""))&amp;""' ORDER BY Col6 DESC LIMIT ""&amp;QUERY('Global Variables'!$A:$B, ""SELECT Col2 WHERE Col1 = 'STA"&amp;"RTING_ROSTER_SIZE'"")),0))"),0.0)</f>
        <v>0</v>
      </c>
      <c r="BZ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Col""&amp;COLUMN(BZ$1)&amp;""=1""))&amp;""' ORDER BY Col6 DESC LIMIT ""&amp;QUERY('Global Variables'!$A:$B, ""SELECT Col2 WHERE Col1 = 'STA"&amp;"RTING_ROSTER_SIZE'"")),0))"),0.0)</f>
        <v>0</v>
      </c>
      <c r="CA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Col""&amp;COLUMN(CA$1)&amp;""=1""))&amp;""' ORDER BY Col6 DESC LIMIT ""&amp;QUERY('Global Variables'!$A:$B, ""SELECT Col2 WHERE Col1 = 'STA"&amp;"RTING_ROSTER_SIZE'"")),0))"),0.0)</f>
        <v>0</v>
      </c>
      <c r="CB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Col""&amp;COLUMN(CB$1)&amp;""=1""))&amp;""' ORDER BY Col6 DESC LIMIT ""&amp;QUERY('Global Variables'!$A:$B, ""SELECT Col2 WHERE Col1 = 'STA"&amp;"RTING_ROSTER_SIZE'"")),0))"),0.0)</f>
        <v>0</v>
      </c>
      <c r="CC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Col""&amp;COLUMN(CC$1)&amp;""=1""))&amp;""' ORDER BY Col6 DESC LIMIT ""&amp;QUERY('Global Variables'!$A:$B, ""SELECT Col2 WHERE Col1 = 'STA"&amp;"RTING_ROSTER_SIZE'"")),0))"),0.0)</f>
        <v>0</v>
      </c>
      <c r="CD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Col""&amp;COLUMN(CD$1)&amp;""=1""))&amp;""' ORDER BY Col6 DESC LIMIT ""&amp;QUERY('Global Variables'!$A:$B, ""SELECT Col2 WHERE Col1 = 'STA"&amp;"RTING_ROSTER_SIZE'"")),0))"),0.0)</f>
        <v>0</v>
      </c>
      <c r="CE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Col""&amp;COLUMN(CE$1)&amp;""=1""))&amp;""' ORDER BY Col6 DESC LIMIT ""&amp;QUERY('Global Variables'!$A:$B, ""SELECT Col2 WHERE Col1 = 'STA"&amp;"RTING_ROSTER_SIZE'"")),0))"),0.0)</f>
        <v>0</v>
      </c>
      <c r="CF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Col""&amp;COLUMN(CF$1)&amp;""=1""))&amp;""' ORDER BY Col6 DESC LIMIT ""&amp;QUERY('Global Variables'!$A:$B, ""SELECT Col2 WHERE Col1 = 'STA"&amp;"RTING_ROSTER_SIZE'"")),0))"),0.0)</f>
        <v>0</v>
      </c>
      <c r="CG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Col""&amp;COLUMN(CG$1)&amp;""=1""))&amp;""' ORDER BY Col6 DESC LIMIT ""&amp;QUERY('Global Variables'!$A:$B, ""SELECT Col2 WHERE Col1 = 'STA"&amp;"RTING_ROSTER_SIZE'"")),0))"),0.0)</f>
        <v>0</v>
      </c>
      <c r="CH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Col""&amp;COLUMN(CH$1)&amp;""=1""))&amp;""' ORDER BY Col6 DESC LIMIT ""&amp;QUERY('Global Variables'!$A:$B, ""SELECT Col2 WHERE Col1 = 'STA"&amp;"RTING_ROSTER_SIZE'"")),0))"),0.0)</f>
        <v>0</v>
      </c>
      <c r="CI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Col""&amp;COLUMN(CI$1)&amp;""=1""))&amp;""' ORDER BY Col6 DESC LIMIT ""&amp;QUERY('Global Variables'!$A:$B, ""SELECT Col2 WHERE Col1 = 'STA"&amp;"RTING_ROSTER_SIZE'"")),0))"),0.0)</f>
        <v>0</v>
      </c>
      <c r="CJ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Col""&amp;COLUMN(CJ$1)&amp;""=1""))&amp;""' ORDER BY Col6 DESC LIMIT ""&amp;QUERY('Global Variables'!$A:$B, ""SELECT Col2 WHERE Col1 = 'STA"&amp;"RTING_ROSTER_SIZE'"")),0))"),0.0)</f>
        <v>0</v>
      </c>
      <c r="CK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Col""&amp;COLUMN(CK$1)&amp;""=1""))&amp;""' ORDER BY Col6 DESC LIMIT ""&amp;QUERY('Global Variables'!$A:$B, ""SELECT Col2 WHERE Col1 = 'STA"&amp;"RTING_ROSTER_SIZE'"")),0))"),0.0)</f>
        <v>0</v>
      </c>
      <c r="CL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Col""&amp;COLUMN(CL$1)&amp;""=1""))&amp;""' ORDER BY Col6 DESC LIMIT ""&amp;QUERY('Global Variables'!$A:$B, ""SELECT Col2 WHERE Col1 = 'STA"&amp;"RTING_ROSTER_SIZE'"")),0))"),0.0)</f>
        <v>0</v>
      </c>
      <c r="CM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Col""&amp;COLUMN(CM$1)&amp;""=1""))&amp;""' ORDER BY Col6 DESC LIMIT ""&amp;QUERY('Global Variables'!$A:$B, ""SELECT Col2 WHERE Col1 = 'STA"&amp;"RTING_ROSTER_SIZE'"")),0))"),0.0)</f>
        <v>0</v>
      </c>
      <c r="CN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Col""&amp;COLUMN(CN$1)&amp;""=1""))&amp;""' ORDER BY Col6 DESC LIMIT ""&amp;QUERY('Global Variables'!$A:$B, ""SELECT Col2 WHERE Col1 = 'STA"&amp;"RTING_ROSTER_SIZE'"")),0))"),0.0)</f>
        <v>0</v>
      </c>
      <c r="CO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Col""&amp;COLUMN(CO$1)&amp;""=1""))&amp;""' ORDER BY Col6 DESC LIMIT ""&amp;QUERY('Global Variables'!$A:$B, ""SELECT Col2 WHERE Col1 = 'STA"&amp;"RTING_ROSTER_SIZE'"")),0))"),0.0)</f>
        <v>0</v>
      </c>
      <c r="CP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Col""&amp;COLUMN(CP$1)&amp;""=1""))&amp;""' ORDER BY Col6 DESC LIMIT ""&amp;QUERY('Global Variables'!$A:$B, ""SELECT Col2 WHERE Col1 = 'STA"&amp;"RTING_ROSTER_SIZE'"")),0))"),0.0)</f>
        <v>0</v>
      </c>
      <c r="CQ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Col""&amp;COLUMN(CQ$1)&amp;""=1""))&amp;""' ORDER BY Col6 DESC LIMIT ""&amp;QUERY('Global Variables'!$A:$B, ""SELECT Col2 WHERE Col1 = 'STA"&amp;"RTING_ROSTER_SIZE'"")),0))"),0.0)</f>
        <v>0</v>
      </c>
      <c r="CR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Col""&amp;COLUMN(CR$1)&amp;""=1""))&amp;""' ORDER BY Col6 DESC LIMIT ""&amp;QUERY('Global Variables'!$A:$B, ""SELECT Col2 WHERE Col1 = 'STA"&amp;"RTING_ROSTER_SIZE'"")),0))"),0.0)</f>
        <v>0</v>
      </c>
      <c r="CS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Col""&amp;COLUMN(CS$1)&amp;""=1""))&amp;""' ORDER BY Col6 DESC LIMIT ""&amp;QUERY('Global Variables'!$A:$B, ""SELECT Col2 WHERE Col1 = 'STA"&amp;"RTING_ROSTER_SIZE'"")),0))"),0.0)</f>
        <v>0</v>
      </c>
      <c r="CT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Col""&amp;COLUMN(CT$1)&amp;""=1""))&amp;""' ORDER BY Col6 DESC LIMIT ""&amp;QUERY('Global Variables'!$A:$B, ""SELECT Col2 WHERE Col1 = 'STA"&amp;"RTING_ROSTER_SIZE'"")),0))"),0.0)</f>
        <v>0</v>
      </c>
      <c r="CU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Col""&amp;COLUMN(CU$1)&amp;""=1""))&amp;""' ORDER BY Col6 DESC LIMIT ""&amp;QUERY('Global Variables'!$A:$B, ""SELECT Col2 WHERE Col1 = 'STA"&amp;"RTING_ROSTER_SIZE'"")),0))"),0.0)</f>
        <v>0</v>
      </c>
      <c r="CV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Col""&amp;COLUMN(CV$1)&amp;""=1""))&amp;""' ORDER BY Col6 DESC LIMIT ""&amp;QUERY('Global Variables'!$A:$B, ""SELECT Col2 WHERE Col1 = 'STA"&amp;"RTING_ROSTER_SIZE'"")),0))"),0.0)</f>
        <v>0</v>
      </c>
      <c r="CW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Col""&amp;COLUMN(CW$1)&amp;""=1""))&amp;""' ORDER BY Col6 DESC LIMIT ""&amp;QUERY('Global Variables'!$A:$B, ""SELECT Col2 WHERE Col1 = 'STA"&amp;"RTING_ROSTER_SIZE'"")),0))"),0.0)</f>
        <v>0</v>
      </c>
      <c r="CX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Col""&amp;COLUMN(CX$1)&amp;""=1""))&amp;""' ORDER BY Col6 DESC LIMIT ""&amp;QUERY('Global Variables'!$A:$B, ""SELECT Col2 WHERE Col1 = 'STA"&amp;"RTING_ROSTER_SIZE'"")),0))"),0.0)</f>
        <v>0</v>
      </c>
      <c r="CY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Col""&amp;COLUMN(CY$1)&amp;""=1""))&amp;""' ORDER BY Col6 DESC LIMIT ""&amp;QUERY('Global Variables'!$A:$B, ""SELECT Col2 WHERE Col1 = 'STA"&amp;"RTING_ROSTER_SIZE'"")),0))"),0.0)</f>
        <v>0</v>
      </c>
      <c r="CZ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Col""&amp;COLUMN(CZ$1)&amp;""=1""))&amp;""' ORDER BY Col6 DESC LIMIT ""&amp;QUERY('Global Variables'!$A:$B, ""SELECT Col2 WHERE Col1 = 'STA"&amp;"RTING_ROSTER_SIZE'"")),0))"),0.0)</f>
        <v>0</v>
      </c>
      <c r="DA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Col""&amp;COLUMN(DA$1)&amp;""=1""))&amp;""' ORDER BY Col6 DESC LIMIT ""&amp;QUERY('Global Variables'!$A:$B, ""SELECT Col2 WHERE Col1 = 'STA"&amp;"RTING_ROSTER_SIZE'"")),0))"),0.0)</f>
        <v>0</v>
      </c>
      <c r="DB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Col""&amp;COLUMN(DB$1)&amp;""=1""))&amp;""' ORDER BY Col6 DESC LIMIT ""&amp;QUERY('Global Variables'!$A:$B, ""SELECT Col2 WHERE Col1 = 'STA"&amp;"RTING_ROSTER_SIZE'"")),0))"),0.0)</f>
        <v>0</v>
      </c>
      <c r="DC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Col""&amp;COLUMN(DC$1)&amp;""=1""))&amp;""' ORDER BY Col6 DESC LIMIT ""&amp;QUERY('Global Variables'!$A:$B, ""SELECT Col2 WHERE Col1 = 'STA"&amp;"RTING_ROSTER_SIZE'"")),0))"),0.0)</f>
        <v>0</v>
      </c>
      <c r="DD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Col""&amp;COLUMN(DD$1)&amp;""=1""))&amp;""' ORDER BY Col6 DESC LIMIT ""&amp;QUERY('Global Variables'!$A:$B, ""SELECT Col2 WHERE Col1 = 'STA"&amp;"RTING_ROSTER_SIZE'"")),0))"),0.0)</f>
        <v>0</v>
      </c>
      <c r="DE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Col""&amp;COLUMN(DE$1)&amp;""=1""))&amp;""' ORDER BY Col6 DESC LIMIT ""&amp;QUERY('Global Variables'!$A:$B, ""SELECT Col2 WHERE Col1 = 'STA"&amp;"RTING_ROSTER_SIZE'"")),0))"),0.0)</f>
        <v>0</v>
      </c>
      <c r="DF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Col""&amp;COLUMN(DF$1)&amp;""=1""))&amp;""' ORDER BY Col6 DESC LIMIT ""&amp;QUERY('Global Variables'!$A:$B, ""SELECT Col2 WHERE Col1 = 'STA"&amp;"RTING_ROSTER_SIZE'"")),0))"),0.0)</f>
        <v>0</v>
      </c>
      <c r="DG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Col""&amp;COLUMN(DG$1)&amp;""=1""))&amp;""' ORDER BY Col6 DESC LIMIT ""&amp;QUERY('Global Variables'!$A:$B, ""SELECT Col2 WHERE Col1 = 'STA"&amp;"RTING_ROSTER_SIZE'"")),0))"),0.0)</f>
        <v>0</v>
      </c>
      <c r="DH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Col""&amp;COLUMN(DH$1)&amp;""=1""))&amp;""' ORDER BY Col6 DESC LIMIT ""&amp;QUERY('Global Variables'!$A:$B, ""SELECT Col2 WHERE Col1 = 'STA"&amp;"RTING_ROSTER_SIZE'"")),0))"),0.0)</f>
        <v>0</v>
      </c>
      <c r="DI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Col""&amp;COLUMN(DI$1)&amp;""=1""))&amp;""' ORDER BY Col6 DESC LIMIT ""&amp;QUERY('Global Variables'!$A:$B, ""SELECT Col2 WHERE Col1 = 'STA"&amp;"RTING_ROSTER_SIZE'"")),0))"),0.0)</f>
        <v>0</v>
      </c>
      <c r="DJ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Col""&amp;COLUMN(DJ$1)&amp;""=1""))&amp;""' ORDER BY Col6 DESC LIMIT ""&amp;QUERY('Global Variables'!$A:$B, ""SELECT Col2 WHERE Col1 = 'STA"&amp;"RTING_ROSTER_SIZE'"")),0))"),0.0)</f>
        <v>0</v>
      </c>
      <c r="DK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Col""&amp;COLUMN(DK$1)&amp;""=1""))&amp;""' ORDER BY Col6 DESC LIMIT ""&amp;QUERY('Global Variables'!$A:$B, ""SELECT Col2 WHERE Col1 = 'STA"&amp;"RTING_ROSTER_SIZE'"")),0))"),0.0)</f>
        <v>0</v>
      </c>
      <c r="DL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Col""&amp;COLUMN(DL$1)&amp;""=1""))&amp;""' ORDER BY Col6 DESC LIMIT ""&amp;QUERY('Global Variables'!$A:$B, ""SELECT Col2 WHERE Col1 = 'STA"&amp;"RTING_ROSTER_SIZE'"")),0))"),0.0)</f>
        <v>0</v>
      </c>
      <c r="DM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Col""&amp;COLUMN(DM$1)&amp;""=1""))&amp;""' ORDER BY Col6 DESC LIMIT ""&amp;QUERY('Global Variables'!$A:$B, ""SELECT Col2 WHERE Col1 = 'STA"&amp;"RTING_ROSTER_SIZE'"")),0))"),0.0)</f>
        <v>0</v>
      </c>
      <c r="DN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Col""&amp;COLUMN(DN$1)&amp;""=1""))&amp;""' ORDER BY Col6 DESC LIMIT ""&amp;QUERY('Global Variables'!$A:$B, ""SELECT Col2 WHERE Col1 = 'STA"&amp;"RTING_ROSTER_SIZE'"")),0))"),0.0)</f>
        <v>0</v>
      </c>
      <c r="DO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Col""&amp;COLUMN(DO$1)&amp;""=1""))&amp;""' ORDER BY Col6 DESC LIMIT ""&amp;QUERY('Global Variables'!$A:$B, ""SELECT Col2 WHERE Col1 = 'STA"&amp;"RTING_ROSTER_SIZE'"")),0))"),0.0)</f>
        <v>0</v>
      </c>
      <c r="DP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Col""&amp;COLUMN(DP$1)&amp;""=1""))&amp;""' ORDER BY Col6 DESC LIMIT ""&amp;QUERY('Global Variables'!$A:$B, ""SELECT Col2 WHERE Col1 = 'STA"&amp;"RTING_ROSTER_SIZE'"")),0))"),0.0)</f>
        <v>0</v>
      </c>
      <c r="DQ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Col""&amp;COLUMN(DQ$1)&amp;""=1""))&amp;""' ORDER BY Col6 DESC LIMIT ""&amp;QUERY('Global Variables'!$A:$B, ""SELECT Col2 WHERE Col1 = 'STA"&amp;"RTING_ROSTER_SIZE'"")),0))"),0.0)</f>
        <v>0</v>
      </c>
      <c r="DR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Col""&amp;COLUMN(DR$1)&amp;""=1""))&amp;""' ORDER BY Col6 DESC LIMIT ""&amp;QUERY('Global Variables'!$A:$B, ""SELECT Col2 WHERE Col1 = 'STA"&amp;"RTING_ROSTER_SIZE'"")),0))"),0.0)</f>
        <v>0</v>
      </c>
      <c r="DS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Col""&amp;COLUMN(DS$1)&amp;""=1""))&amp;""' ORDER BY Col6 DESC LIMIT ""&amp;QUERY('Global Variables'!$A:$B, ""SELECT Col2 WHERE Col1 = 'STA"&amp;"RTING_ROSTER_SIZE'"")),0))"),0.0)</f>
        <v>0</v>
      </c>
      <c r="DT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Col""&amp;COLUMN(DT$1)&amp;""=1""))&amp;""' ORDER BY Col6 DESC LIMIT ""&amp;QUERY('Global Variables'!$A:$B, ""SELECT Col2 WHERE Col1 = 'STA"&amp;"RTING_ROSTER_SIZE'"")),0))"),0.0)</f>
        <v>0</v>
      </c>
      <c r="DU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Col""&amp;COLUMN(DU$1)&amp;""=1""))&amp;""' ORDER BY Col6 DESC LIMIT ""&amp;QUERY('Global Variables'!$A:$B, ""SELECT Col2 WHERE Col1 = 'STA"&amp;"RTING_ROSTER_SIZE'"")),0))"),0.0)</f>
        <v>0</v>
      </c>
      <c r="DV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Col""&amp;COLUMN(DV$1)&amp;""=1""))&amp;""' ORDER BY Col6 DESC LIMIT ""&amp;QUERY('Global Variables'!$A:$B, ""SELECT Col2 WHERE Col1 = 'STA"&amp;"RTING_ROSTER_SIZE'"")),0))"),0.0)</f>
        <v>0</v>
      </c>
      <c r="DW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Col""&amp;COLUMN(DW$1)&amp;""=1""))&amp;""' ORDER BY Col6 DESC LIMIT ""&amp;QUERY('Global Variables'!$A:$B, ""SELECT Col2 WHERE Col1 = 'STA"&amp;"RTING_ROSTER_SIZE'"")),0))"),0.0)</f>
        <v>0</v>
      </c>
      <c r="DX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Col""&amp;COLUMN(DX$1)&amp;""=1""))&amp;""' ORDER BY Col6 DESC LIMIT ""&amp;QUERY('Global Variables'!$A:$B, ""SELECT Col2 WHERE Col1 = 'STA"&amp;"RTING_ROSTER_SIZE'"")),0))"),0.0)</f>
        <v>0</v>
      </c>
      <c r="DY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Col""&amp;COLUMN(DY$1)&amp;""=1""))&amp;""' ORDER BY Col6 DESC LIMIT ""&amp;QUERY('Global Variables'!$A:$B, ""SELECT Col2 WHERE Col1 = 'STA"&amp;"RTING_ROSTER_SIZE'"")),0))"),0.0)</f>
        <v>0</v>
      </c>
      <c r="DZ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Col""&amp;COLUMN(DZ$1)&amp;""=1""))&amp;""' ORDER BY Col6 DESC LIMIT ""&amp;QUERY('Global Variables'!$A:$B, ""SELECT Col2 WHERE Col1 = 'STA"&amp;"RTING_ROSTER_SIZE'"")),0))"),0.0)</f>
        <v>0</v>
      </c>
      <c r="EA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Col""&amp;COLUMN(EA$1)&amp;""=1""))&amp;""' ORDER BY Col6 DESC LIMIT ""&amp;QUERY('Global Variables'!$A:$B, ""SELECT Col2 WHERE Col1 = 'STA"&amp;"RTING_ROSTER_SIZE'"")),0))"),0.0)</f>
        <v>0</v>
      </c>
      <c r="EB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Col""&amp;COLUMN(EB$1)&amp;""=1""))&amp;""' ORDER BY Col6 DESC LIMIT ""&amp;QUERY('Global Variables'!$A:$B, ""SELECT Col2 WHERE Col1 = 'STA"&amp;"RTING_ROSTER_SIZE'"")),0))"),0.0)</f>
        <v>0</v>
      </c>
      <c r="EC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Col""&amp;COLUMN(EC$1)&amp;""=1""))&amp;""' ORDER BY Col6 DESC LIMIT ""&amp;QUERY('Global Variables'!$A:$B, ""SELECT Col2 WHERE Col1 = 'STA"&amp;"RTING_ROSTER_SIZE'"")),0))"),0.0)</f>
        <v>0</v>
      </c>
      <c r="ED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Col""&amp;COLUMN(ED$1)&amp;""=1""))&amp;""' ORDER BY Col6 DESC LIMIT ""&amp;QUERY('Global Variables'!$A:$B, ""SELECT Col2 WHERE Col1 = 'STA"&amp;"RTING_ROSTER_SIZE'"")),0))"),0.0)</f>
        <v>0</v>
      </c>
      <c r="EE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Col""&amp;COLUMN(EE$1)&amp;""=1""))&amp;""' ORDER BY Col6 DESC LIMIT ""&amp;QUERY('Global Variables'!$A:$B, ""SELECT Col2 WHERE Col1 = 'STA"&amp;"RTING_ROSTER_SIZE'"")),0))"),0.0)</f>
        <v>0</v>
      </c>
      <c r="EF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Col""&amp;COLUMN(EF$1)&amp;""=1""))&amp;""' ORDER BY Col6 DESC LIMIT ""&amp;QUERY('Global Variables'!$A:$B, ""SELECT Col2 WHERE Col1 = 'STA"&amp;"RTING_ROSTER_SIZE'"")),0))"),0.0)</f>
        <v>0</v>
      </c>
      <c r="EG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Col""&amp;COLUMN(EG$1)&amp;""=1""))&amp;""' ORDER BY Col6 DESC LIMIT ""&amp;QUERY('Global Variables'!$A:$B, ""SELECT Col2 WHERE Col1 = 'STA"&amp;"RTING_ROSTER_SIZE'"")),0))"),0.0)</f>
        <v>0</v>
      </c>
      <c r="EH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Col""&amp;COLUMN(EH$1)&amp;""=1""))&amp;""' ORDER BY Col6 DESC LIMIT ""&amp;QUERY('Global Variables'!$A:$B, ""SELECT Col2 WHERE Col1 = 'STA"&amp;"RTING_ROSTER_SIZE'"")),0))"),0.0)</f>
        <v>0</v>
      </c>
      <c r="EI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Col""&amp;COLUMN(EI$1)&amp;""=1""))&amp;""' ORDER BY Col6 DESC LIMIT ""&amp;QUERY('Global Variables'!$A:$B, ""SELECT Col2 WHERE Col1 = 'STA"&amp;"RTING_ROSTER_SIZE'"")),0))"),0.0)</f>
        <v>0</v>
      </c>
      <c r="EJ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Col""&amp;COLUMN(EJ$1)&amp;""=1""))&amp;""' ORDER BY Col6 DESC LIMIT ""&amp;QUERY('Global Variables'!$A:$B, ""SELECT Col2 WHERE Col1 = 'STA"&amp;"RTING_ROSTER_SIZE'"")),0))"),0.0)</f>
        <v>0</v>
      </c>
      <c r="EK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Col""&amp;COLUMN(EK$1)&amp;""=1""))&amp;""' ORDER BY Col6 DESC LIMIT ""&amp;QUERY('Global Variables'!$A:$B, ""SELECT Col2 WHERE Col1 = 'STA"&amp;"RTING_ROSTER_SIZE'"")),0))"),0.0)</f>
        <v>0</v>
      </c>
      <c r="EL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Col""&amp;COLUMN(EL$1)&amp;""=1""))&amp;""' ORDER BY Col6 DESC LIMIT ""&amp;QUERY('Global Variables'!$A:$B, ""SELECT Col2 WHERE Col1 = 'STA"&amp;"RTING_ROSTER_SIZE'"")),0))"),0.0)</f>
        <v>0</v>
      </c>
      <c r="EM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Col""&amp;COLUMN(EM$1)&amp;""=1""))&amp;""' ORDER BY Col6 DESC LIMIT ""&amp;QUERY('Global Variables'!$A:$B, ""SELECT Col2 WHERE Col1 = 'STA"&amp;"RTING_ROSTER_SIZE'"")),0))"),0.0)</f>
        <v>0</v>
      </c>
      <c r="EN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Col""&amp;COLUMN(EN$1)&amp;""=1""))&amp;""' ORDER BY Col6 DESC LIMIT ""&amp;QUERY('Global Variables'!$A:$B, ""SELECT Col2 WHERE Col1 = 'STA"&amp;"RTING_ROSTER_SIZE'"")),0))"),0.0)</f>
        <v>0</v>
      </c>
      <c r="EO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Col""&amp;COLUMN(EO$1)&amp;""=1""))&amp;""' ORDER BY Col6 DESC LIMIT ""&amp;QUERY('Global Variables'!$A:$B, ""SELECT Col2 WHERE Col1 = 'STA"&amp;"RTING_ROSTER_SIZE'"")),0))"),0.0)</f>
        <v>0</v>
      </c>
      <c r="EP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Col""&amp;COLUMN(EP$1)&amp;""=1""))&amp;""' ORDER BY Col6 DESC LIMIT ""&amp;QUERY('Global Variables'!$A:$B, ""SELECT Col2 WHERE Col1 = 'STA"&amp;"RTING_ROSTER_SIZE'"")),0))"),0.0)</f>
        <v>0</v>
      </c>
      <c r="EQ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Col""&amp;COLUMN(EQ$1)&amp;""=1""))&amp;""' ORDER BY Col6 DESC LIMIT ""&amp;QUERY('Global Variables'!$A:$B, ""SELECT Col2 WHERE Col1 = 'STA"&amp;"RTING_ROSTER_SIZE'"")),0))"),0.0)</f>
        <v>0</v>
      </c>
      <c r="ER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Col""&amp;COLUMN(ER$1)&amp;""=1""))&amp;""' ORDER BY Col6 DESC LIMIT ""&amp;QUERY('Global Variables'!$A:$B, ""SELECT Col2 WHERE Col1 = 'STA"&amp;"RTING_ROSTER_SIZE'"")),0))"),0.0)</f>
        <v>0</v>
      </c>
      <c r="ES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Col""&amp;COLUMN(ES$1)&amp;""=1""))&amp;""' ORDER BY Col6 DESC LIMIT ""&amp;QUERY('Global Variables'!$A:$B, ""SELECT Col2 WHERE Col1 = 'STA"&amp;"RTING_ROSTER_SIZE'"")),0))"),0.0)</f>
        <v>0</v>
      </c>
      <c r="ET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Col""&amp;COLUMN(ET$1)&amp;""=1""))&amp;""' ORDER BY Col6 DESC LIMIT ""&amp;QUERY('Global Variables'!$A:$B, ""SELECT Col2 WHERE Col1 = 'STA"&amp;"RTING_ROSTER_SIZE'"")),0))"),0.0)</f>
        <v>0</v>
      </c>
      <c r="EU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Col""&amp;COLUMN(EU$1)&amp;""=1""))&amp;""' ORDER BY Col6 DESC LIMIT ""&amp;QUERY('Global Variables'!$A:$B, ""SELECT Col2 WHERE Col1 = 'STA"&amp;"RTING_ROSTER_SIZE'"")),0))"),0.0)</f>
        <v>0</v>
      </c>
      <c r="EV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Col""&amp;COLUMN(EV$1)&amp;""=1""))&amp;""' ORDER BY Col6 DESC LIMIT ""&amp;QUERY('Global Variables'!$A:$B, ""SELECT Col2 WHERE Col1 = 'STA"&amp;"RTING_ROSTER_SIZE'"")),0))"),0.0)</f>
        <v>0</v>
      </c>
      <c r="EW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Col""&amp;COLUMN(EW$1)&amp;""=1""))&amp;""' ORDER BY Col6 DESC LIMIT ""&amp;QUERY('Global Variables'!$A:$B, ""SELECT Col2 WHERE Col1 = 'STA"&amp;"RTING_ROSTER_SIZE'"")),0))"),0.0)</f>
        <v>0</v>
      </c>
      <c r="EX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Col""&amp;COLUMN(EX$1)&amp;""=1""))&amp;""' ORDER BY Col6 DESC LIMIT ""&amp;QUERY('Global Variables'!$A:$B, ""SELECT Col2 WHERE Col1 = 'STA"&amp;"RTING_ROSTER_SIZE'"")),0))"),0.0)</f>
        <v>0</v>
      </c>
      <c r="EY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Col""&amp;COLUMN(EY$1)&amp;""=1""))&amp;""' ORDER BY Col6 DESC LIMIT ""&amp;QUERY('Global Variables'!$A:$B, ""SELECT Col2 WHERE Col1 = 'STA"&amp;"RTING_ROSTER_SIZE'"")),0))"),0.0)</f>
        <v>0</v>
      </c>
      <c r="EZ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Col""&amp;COLUMN(EZ$1)&amp;""=1""))&amp;""' ORDER BY Col6 DESC LIMIT ""&amp;QUERY('Global Variables'!$A:$B, ""SELECT Col2 WHERE Col1 = 'STA"&amp;"RTING_ROSTER_SIZE'"")),0))"),0.0)</f>
        <v>0</v>
      </c>
      <c r="FA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Col""&amp;COLUMN(FA$1)&amp;""=1""))&amp;""' ORDER BY Col6 DESC LIMIT ""&amp;QUERY('Global Variables'!$A:$B, ""SELECT Col2 WHERE Col1 = 'STA"&amp;"RTING_ROSTER_SIZE'"")),0))"),0.0)</f>
        <v>0</v>
      </c>
      <c r="FB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Col""&amp;COLUMN(FB$1)&amp;""=1""))&amp;""' ORDER BY Col6 DESC LIMIT ""&amp;QUERY('Global Variables'!$A:$B, ""SELECT Col2 WHERE Col1 = 'STA"&amp;"RTING_ROSTER_SIZE'"")),0))"),0.0)</f>
        <v>0</v>
      </c>
      <c r="FC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Col""&amp;COLUMN(FC$1)&amp;""=1""))&amp;""' ORDER BY Col6 DESC LIMIT ""&amp;QUERY('Global Variables'!$A:$B, ""SELECT Col2 WHERE Col1 = 'STA"&amp;"RTING_ROSTER_SIZE'"")),0))"),0.0)</f>
        <v>0</v>
      </c>
      <c r="FD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Col""&amp;COLUMN(FD$1)&amp;""=1""))&amp;""' ORDER BY Col6 DESC LIMIT ""&amp;QUERY('Global Variables'!$A:$B, ""SELECT Col2 WHERE Col1 = 'STA"&amp;"RTING_ROSTER_SIZE'"")),0))"),0.0)</f>
        <v>0</v>
      </c>
      <c r="FE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Col""&amp;COLUMN(FE$1)&amp;""=1""))&amp;""' ORDER BY Col6 DESC LIMIT ""&amp;QUERY('Global Variables'!$A:$B, ""SELECT Col2 WHERE Col1 = 'STA"&amp;"RTING_ROSTER_SIZE'"")),0))"),0.0)</f>
        <v>0</v>
      </c>
      <c r="FF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Col""&amp;COLUMN(FF$1)&amp;""=1""))&amp;""' ORDER BY Col6 DESC LIMIT ""&amp;QUERY('Global Variables'!$A:$B, ""SELECT Col2 WHERE Col1 = 'STA"&amp;"RTING_ROSTER_SIZE'"")),0))"),0.0)</f>
        <v>0</v>
      </c>
      <c r="FG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Col""&amp;COLUMN(FG$1)&amp;""=1""))&amp;""' ORDER BY Col6 DESC LIMIT ""&amp;QUERY('Global Variables'!$A:$B, ""SELECT Col2 WHERE Col1 = 'STA"&amp;"RTING_ROSTER_SIZE'"")),0))"),0.0)</f>
        <v>0</v>
      </c>
      <c r="FH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Col""&amp;COLUMN(FH$1)&amp;""=1""))&amp;""' ORDER BY Col6 DESC LIMIT ""&amp;QUERY('Global Variables'!$A:$B, ""SELECT Col2 WHERE Col1 = 'STA"&amp;"RTING_ROSTER_SIZE'"")),0))"),0.0)</f>
        <v>0</v>
      </c>
      <c r="FI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Col""&amp;COLUMN(FI$1)&amp;""=1""))&amp;""' ORDER BY Col6 DESC LIMIT ""&amp;QUERY('Global Variables'!$A:$B, ""SELECT Col2 WHERE Col1 = 'STA"&amp;"RTING_ROSTER_SIZE'"")),0))"),0.0)</f>
        <v>0</v>
      </c>
      <c r="FJ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Col""&amp;COLUMN(FJ$1)&amp;""=1""))&amp;""' ORDER BY Col6 DESC LIMIT ""&amp;QUERY('Global Variables'!$A:$B, ""SELECT Col2 WHERE Col1 = 'STA"&amp;"RTING_ROSTER_SIZE'"")),0))"),0.0)</f>
        <v>0</v>
      </c>
      <c r="FK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Col""&amp;COLUMN(FK$1)&amp;""=1""))&amp;""' ORDER BY Col6 DESC LIMIT ""&amp;QUERY('Global Variables'!$A:$B, ""SELECT Col2 WHERE Col1 = 'STA"&amp;"RTING_ROSTER_SIZE'"")),0))"),0.0)</f>
        <v>0</v>
      </c>
      <c r="FL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Col""&amp;COLUMN(FL$1)&amp;""=1""))&amp;""' ORDER BY Col6 DESC LIMIT ""&amp;QUERY('Global Variables'!$A:$B, ""SELECT Col2 WHERE Col1 = 'STA"&amp;"RTING_ROSTER_SIZE'"")),0))"),0.0)</f>
        <v>0</v>
      </c>
      <c r="FM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Col""&amp;COLUMN(FM$1)&amp;""=1""))&amp;""' ORDER BY Col6 DESC LIMIT ""&amp;QUERY('Global Variables'!$A:$B, ""SELECT Col2 WHERE Col1 = 'STA"&amp;"RTING_ROSTER_SIZE'"")),0))"),0.0)</f>
        <v>0</v>
      </c>
      <c r="FN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Col""&amp;COLUMN(FN$1)&amp;""=1""))&amp;""' ORDER BY Col6 DESC LIMIT ""&amp;QUERY('Global Variables'!$A:$B, ""SELECT Col2 WHERE Col1 = 'STA"&amp;"RTING_ROSTER_SIZE'"")),0))"),0.0)</f>
        <v>0</v>
      </c>
      <c r="FO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Col""&amp;COLUMN(FO$1)&amp;""=1""))&amp;""' ORDER BY Col6 DESC LIMIT ""&amp;QUERY('Global Variables'!$A:$B, ""SELECT Col2 WHERE Col1 = 'STA"&amp;"RTING_ROSTER_SIZE'"")),0))"),0.0)</f>
        <v>0</v>
      </c>
      <c r="FP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Col""&amp;COLUMN(FP$1)&amp;""=1""))&amp;""' ORDER BY Col6 DESC LIMIT ""&amp;QUERY('Global Variables'!$A:$B, ""SELECT Col2 WHERE Col1 = 'STA"&amp;"RTING_ROSTER_SIZE'"")),0))"),0.0)</f>
        <v>0</v>
      </c>
      <c r="FQ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Col""&amp;COLUMN(FQ$1)&amp;""=1""))&amp;""' ORDER BY Col6 DESC LIMIT ""&amp;QUERY('Global Variables'!$A:$B, ""SELECT Col2 WHERE Col1 = 'STA"&amp;"RTING_ROSTER_SIZE'"")),0))"),0.0)</f>
        <v>0</v>
      </c>
      <c r="FR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Col""&amp;COLUMN(FR$1)&amp;""=1""))&amp;""' ORDER BY Col6 DESC LIMIT ""&amp;QUERY('Global Variables'!$A:$B, ""SELECT Col2 WHERE Col1 = 'STA"&amp;"RTING_ROSTER_SIZE'"")),0))"),0.0)</f>
        <v>0</v>
      </c>
      <c r="FS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Col""&amp;COLUMN(FS$1)&amp;""=1""))&amp;""' ORDER BY Col6 DESC LIMIT ""&amp;QUERY('Global Variables'!$A:$B, ""SELECT Col2 WHERE Col1 = 'STA"&amp;"RTING_ROSTER_SIZE'"")),0))"),0.0)</f>
        <v>0</v>
      </c>
      <c r="FT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Col""&amp;COLUMN(FT$1)&amp;""=1""))&amp;""' ORDER BY Col6 DESC LIMIT ""&amp;QUERY('Global Variables'!$A:$B, ""SELECT Col2 WHERE Col1 = 'STA"&amp;"RTING_ROSTER_SIZE'"")),0))"),0.0)</f>
        <v>0</v>
      </c>
      <c r="FU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Col""&amp;COLUMN(FU$1)&amp;""=1""))&amp;""' ORDER BY Col6 DESC LIMIT ""&amp;QUERY('Global Variables'!$A:$B, ""SELECT Col2 WHERE Col1 = 'STA"&amp;"RTING_ROSTER_SIZE'"")),0))"),0.0)</f>
        <v>0</v>
      </c>
      <c r="FV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Col""&amp;COLUMN(FV$1)&amp;""=1""))&amp;""' ORDER BY Col6 DESC LIMIT ""&amp;QUERY('Global Variables'!$A:$B, ""SELECT Col2 WHERE Col1 = 'STA"&amp;"RTING_ROSTER_SIZE'"")),0))"),0.0)</f>
        <v>0</v>
      </c>
      <c r="FW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Col""&amp;COLUMN(FW$1)&amp;""=1""))&amp;""' ORDER BY Col6 DESC LIMIT ""&amp;QUERY('Global Variables'!$A:$B, ""SELECT Col2 WHERE Col1 = 'STA"&amp;"RTING_ROSTER_SIZE'"")),0))"),0.0)</f>
        <v>0</v>
      </c>
      <c r="FX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Col""&amp;COLUMN(FX$1)&amp;""=1""))&amp;""' ORDER BY Col6 DESC LIMIT ""&amp;QUERY('Global Variables'!$A:$B, ""SELECT Col2 WHERE Col1 = 'STA"&amp;"RTING_ROSTER_SIZE'"")),0))"),0.0)</f>
        <v>0</v>
      </c>
      <c r="FY8" s="9">
        <f>IFERROR(__xludf.DUMMYFUNCTION("SUM(
IFERROR(QUERY(
IFERROR(
OFFSET(Teams!$A$1,MATCH($A8,Teams!$A:$A,0),1,QUERY('Global Variables'!$A:$B, ""SELECT Col2 WHERE Col1 = '""&amp;IF($B$21,""TEAM_SIZE"",""ACTIVE_ROSTER_SIZE"")&amp;""'""),QUERY('Global Variables'!$A:$B, ""SELECT Col2 WHERE Col1 = 'TEAM"&amp;"_DATA_FIELD_COUNT'"")),
OFFSET(Teams!$K$1,MATCH($A8,Teams!$K:$K,0),1,QUERY('Global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Col""&amp;COLUMN(FY$1)&amp;""=1""))&amp;""' ORDER BY Col6 DESC LIMIT ""&amp;QUERY('Global Variables'!$A:$B, ""SELECT Col2 WHERE Col1 = 'STA"&amp;"RTING_ROSTER_SIZE'"")),0))"),0.0)</f>
        <v>0</v>
      </c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</row>
    <row r="9">
      <c r="A9" s="32" t="str">
        <f>'Weekly EDSA'!A8</f>
        <v>Sullivan</v>
      </c>
      <c r="B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Col""&amp;COLUMN(B$1)&amp;""=1""))&amp;""' ORDER BY Col6 DESC LIMIT ""&amp;QUERY('Global Variables'!$A:$B, ""SELECT Col2 WHERE Col1 = 'STAR"&amp;"TING_ROSTER_SIZE'"")),0))"),0.0)</f>
        <v>0</v>
      </c>
      <c r="C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Col""&amp;COLUMN(C$1)&amp;""=1""))&amp;""' ORDER BY Col6 DESC LIMIT ""&amp;QUERY('Global Variables'!$A:$B, ""SELECT Col2 WHERE Col1 = 'STAR"&amp;"TING_ROSTER_SIZE'"")),0))"),0.0)</f>
        <v>0</v>
      </c>
      <c r="D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Col""&amp;COLUMN(D$1)&amp;""=1""))&amp;""' ORDER BY Col6 DESC LIMIT ""&amp;QUERY('Global Variables'!$A:$B, ""SELECT Col2 WHERE Col1 = 'STAR"&amp;"TING_ROSTER_SIZE'"")),0))"),0.0)</f>
        <v>0</v>
      </c>
      <c r="E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Col""&amp;COLUMN(E$1)&amp;""=1""))&amp;""' ORDER BY Col6 DESC LIMIT ""&amp;QUERY('Global Variables'!$A:$B, ""SELECT Col2 WHERE Col1 = 'STAR"&amp;"TING_ROSTER_SIZE'"")),0))"),0.0)</f>
        <v>0</v>
      </c>
      <c r="F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Col""&amp;COLUMN(F$1)&amp;""=1""))&amp;""' ORDER BY Col6 DESC LIMIT ""&amp;QUERY('Global Variables'!$A:$B, ""SELECT Col2 WHERE Col1 = 'STAR"&amp;"TING_ROSTER_SIZE'"")),0))"),0.0)</f>
        <v>0</v>
      </c>
      <c r="G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Col""&amp;COLUMN(G$1)&amp;""=1""))&amp;""' ORDER BY Col6 DESC LIMIT ""&amp;QUERY('Global Variables'!$A:$B, ""SELECT Col2 WHERE Col1 = 'STAR"&amp;"TING_ROSTER_SIZE'"")),0))"),0.0)</f>
        <v>0</v>
      </c>
      <c r="H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Col""&amp;COLUMN(H$1)&amp;""=1""))&amp;""' ORDER BY Col6 DESC LIMIT ""&amp;QUERY('Global Variables'!$A:$B, ""SELECT Col2 WHERE Col1 = 'STAR"&amp;"TING_ROSTER_SIZE'"")),0))"),0.0)</f>
        <v>0</v>
      </c>
      <c r="I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Col""&amp;COLUMN(I$1)&amp;""=1""))&amp;""' ORDER BY Col6 DESC LIMIT ""&amp;QUERY('Global Variables'!$A:$B, ""SELECT Col2 WHERE Col1 = 'STAR"&amp;"TING_ROSTER_SIZE'"")),0))"),0.0)</f>
        <v>0</v>
      </c>
      <c r="J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Col""&amp;COLUMN(J$1)&amp;""=1""))&amp;""' ORDER BY Col6 DESC LIMIT ""&amp;QUERY('Global Variables'!$A:$B, ""SELECT Col2 WHERE Col1 = 'STAR"&amp;"TING_ROSTER_SIZE'"")),0))"),0.0)</f>
        <v>0</v>
      </c>
      <c r="K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Col""&amp;COLUMN(K$1)&amp;""=1""))&amp;""' ORDER BY Col6 DESC LIMIT ""&amp;QUERY('Global Variables'!$A:$B, ""SELECT Col2 WHERE Col1 = 'STAR"&amp;"TING_ROSTER_SIZE'"")),0))"),0.0)</f>
        <v>0</v>
      </c>
      <c r="L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Col""&amp;COLUMN(L$1)&amp;""=1""))&amp;""' ORDER BY Col6 DESC LIMIT ""&amp;QUERY('Global Variables'!$A:$B, ""SELECT Col2 WHERE Col1 = 'STAR"&amp;"TING_ROSTER_SIZE'"")),0))"),0.0)</f>
        <v>0</v>
      </c>
      <c r="M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Col""&amp;COLUMN(M$1)&amp;""=1""))&amp;""' ORDER BY Col6 DESC LIMIT ""&amp;QUERY('Global Variables'!$A:$B, ""SELECT Col2 WHERE Col1 = 'STAR"&amp;"TING_ROSTER_SIZE'"")),0))"),0.0)</f>
        <v>0</v>
      </c>
      <c r="N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Col""&amp;COLUMN(N$1)&amp;""=1""))&amp;""' ORDER BY Col6 DESC LIMIT ""&amp;QUERY('Global Variables'!$A:$B, ""SELECT Col2 WHERE Col1 = 'STAR"&amp;"TING_ROSTER_SIZE'"")),0))"),0.0)</f>
        <v>0</v>
      </c>
      <c r="O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Col""&amp;COLUMN(O$1)&amp;""=1""))&amp;""' ORDER BY Col6 DESC LIMIT ""&amp;QUERY('Global Variables'!$A:$B, ""SELECT Col2 WHERE Col1 = 'STAR"&amp;"TING_ROSTER_SIZE'"")),0))"),0.0)</f>
        <v>0</v>
      </c>
      <c r="P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Col""&amp;COLUMN(P$1)&amp;""=1""))&amp;""' ORDER BY Col6 DESC LIMIT ""&amp;QUERY('Global Variables'!$A:$B, ""SELECT Col2 WHERE Col1 = 'STAR"&amp;"TING_ROSTER_SIZE'"")),0))"),0.0)</f>
        <v>0</v>
      </c>
      <c r="Q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Col""&amp;COLUMN(Q$1)&amp;""=1""))&amp;""' ORDER BY Col6 DESC LIMIT ""&amp;QUERY('Global Variables'!$A:$B, ""SELECT Col2 WHERE Col1 = 'STAR"&amp;"TING_ROSTER_SIZE'"")),0))"),0.0)</f>
        <v>0</v>
      </c>
      <c r="R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Col""&amp;COLUMN(R$1)&amp;""=1""))&amp;""' ORDER BY Col6 DESC LIMIT ""&amp;QUERY('Global Variables'!$A:$B, ""SELECT Col2 WHERE Col1 = 'STAR"&amp;"TING_ROSTER_SIZE'"")),0))"),0.0)</f>
        <v>0</v>
      </c>
      <c r="S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Col""&amp;COLUMN(S$1)&amp;""=1""))&amp;""' ORDER BY Col6 DESC LIMIT ""&amp;QUERY('Global Variables'!$A:$B, ""SELECT Col2 WHERE Col1 = 'STAR"&amp;"TING_ROSTER_SIZE'"")),0))"),0.0)</f>
        <v>0</v>
      </c>
      <c r="T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Col""&amp;COLUMN(T$1)&amp;""=1""))&amp;""' ORDER BY Col6 DESC LIMIT ""&amp;QUERY('Global Variables'!$A:$B, ""SELECT Col2 WHERE Col1 = 'STAR"&amp;"TING_ROSTER_SIZE'"")),0))"),0.0)</f>
        <v>0</v>
      </c>
      <c r="U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Col""&amp;COLUMN(U$1)&amp;""=1""))&amp;""' ORDER BY Col6 DESC LIMIT ""&amp;QUERY('Global Variables'!$A:$B, ""SELECT Col2 WHERE Col1 = 'STAR"&amp;"TING_ROSTER_SIZE'"")),0))"),0.0)</f>
        <v>0</v>
      </c>
      <c r="V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Col""&amp;COLUMN(V$1)&amp;""=1""))&amp;""' ORDER BY Col6 DESC LIMIT ""&amp;QUERY('Global Variables'!$A:$B, ""SELECT Col2 WHERE Col1 = 'STAR"&amp;"TING_ROSTER_SIZE'"")),0))"),0.0)</f>
        <v>0</v>
      </c>
      <c r="W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Col""&amp;COLUMN(W$1)&amp;""=1""))&amp;""' ORDER BY Col6 DESC LIMIT ""&amp;QUERY('Global Variables'!$A:$B, ""SELECT Col2 WHERE Col1 = 'STAR"&amp;"TING_ROSTER_SIZE'"")),0))"),0.0)</f>
        <v>0</v>
      </c>
      <c r="X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Col""&amp;COLUMN(X$1)&amp;""=1""))&amp;""' ORDER BY Col6 DESC LIMIT ""&amp;QUERY('Global Variables'!$A:$B, ""SELECT Col2 WHERE Col1 = 'STAR"&amp;"TING_ROSTER_SIZE'"")),0))"),0.0)</f>
        <v>0</v>
      </c>
      <c r="Y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Col""&amp;COLUMN(Y$1)&amp;""=1""))&amp;""' ORDER BY Col6 DESC LIMIT ""&amp;QUERY('Global Variables'!$A:$B, ""SELECT Col2 WHERE Col1 = 'STAR"&amp;"TING_ROSTER_SIZE'"")),0))"),0.0)</f>
        <v>0</v>
      </c>
      <c r="Z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Col""&amp;COLUMN(Z$1)&amp;""=1""))&amp;""' ORDER BY Col6 DESC LIMIT ""&amp;QUERY('Global Variables'!$A:$B, ""SELECT Col2 WHERE Col1 = 'STAR"&amp;"TING_ROSTER_SIZE'"")),0))"),0.0)</f>
        <v>0</v>
      </c>
      <c r="AA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Col""&amp;COLUMN(AA$1)&amp;""=1""))&amp;""' ORDER BY Col6 DESC LIMIT ""&amp;QUERY('Global Variables'!$A:$B, ""SELECT Col2 WHERE Col1 = 'STA"&amp;"RTING_ROSTER_SIZE'"")),0))"),0.0)</f>
        <v>0</v>
      </c>
      <c r="AB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Col""&amp;COLUMN(AB$1)&amp;""=1""))&amp;""' ORDER BY Col6 DESC LIMIT ""&amp;QUERY('Global Variables'!$A:$B, ""SELECT Col2 WHERE Col1 = 'STA"&amp;"RTING_ROSTER_SIZE'"")),0))"),0.0)</f>
        <v>0</v>
      </c>
      <c r="AC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Col""&amp;COLUMN(AC$1)&amp;""=1""))&amp;""' ORDER BY Col6 DESC LIMIT ""&amp;QUERY('Global Variables'!$A:$B, ""SELECT Col2 WHERE Col1 = 'STA"&amp;"RTING_ROSTER_SIZE'"")),0))"),0.0)</f>
        <v>0</v>
      </c>
      <c r="AD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Col""&amp;COLUMN(AD$1)&amp;""=1""))&amp;""' ORDER BY Col6 DESC LIMIT ""&amp;QUERY('Global Variables'!$A:$B, ""SELECT Col2 WHERE Col1 = 'STA"&amp;"RTING_ROSTER_SIZE'"")),0))"),0.0)</f>
        <v>0</v>
      </c>
      <c r="AE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Col""&amp;COLUMN(AE$1)&amp;""=1""))&amp;""' ORDER BY Col6 DESC LIMIT ""&amp;QUERY('Global Variables'!$A:$B, ""SELECT Col2 WHERE Col1 = 'STA"&amp;"RTING_ROSTER_SIZE'"")),0))"),0.0)</f>
        <v>0</v>
      </c>
      <c r="AF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Col""&amp;COLUMN(AF$1)&amp;""=1""))&amp;""' ORDER BY Col6 DESC LIMIT ""&amp;QUERY('Global Variables'!$A:$B, ""SELECT Col2 WHERE Col1 = 'STA"&amp;"RTING_ROSTER_SIZE'"")),0))"),0.0)</f>
        <v>0</v>
      </c>
      <c r="AG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Col""&amp;COLUMN(AG$1)&amp;""=1""))&amp;""' ORDER BY Col6 DESC LIMIT ""&amp;QUERY('Global Variables'!$A:$B, ""SELECT Col2 WHERE Col1 = 'STA"&amp;"RTING_ROSTER_SIZE'"")),0))"),0.0)</f>
        <v>0</v>
      </c>
      <c r="AH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Col""&amp;COLUMN(AH$1)&amp;""=1""))&amp;""' ORDER BY Col6 DESC LIMIT ""&amp;QUERY('Global Variables'!$A:$B, ""SELECT Col2 WHERE Col1 = 'STA"&amp;"RTING_ROSTER_SIZE'"")),0))"),0.0)</f>
        <v>0</v>
      </c>
      <c r="AI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Col""&amp;COLUMN(AI$1)&amp;""=1""))&amp;""' ORDER BY Col6 DESC LIMIT ""&amp;QUERY('Global Variables'!$A:$B, ""SELECT Col2 WHERE Col1 = 'STA"&amp;"RTING_ROSTER_SIZE'"")),0))"),0.0)</f>
        <v>0</v>
      </c>
      <c r="AJ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Col""&amp;COLUMN(AJ$1)&amp;""=1""))&amp;""' ORDER BY Col6 DESC LIMIT ""&amp;QUERY('Global Variables'!$A:$B, ""SELECT Col2 WHERE Col1 = 'STA"&amp;"RTING_ROSTER_SIZE'"")),0))"),0.0)</f>
        <v>0</v>
      </c>
      <c r="AK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Col""&amp;COLUMN(AK$1)&amp;""=1""))&amp;""' ORDER BY Col6 DESC LIMIT ""&amp;QUERY('Global Variables'!$A:$B, ""SELECT Col2 WHERE Col1 = 'STA"&amp;"RTING_ROSTER_SIZE'"")),0))"),0.0)</f>
        <v>0</v>
      </c>
      <c r="AL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Col""&amp;COLUMN(AL$1)&amp;""=1""))&amp;""' ORDER BY Col6 DESC LIMIT ""&amp;QUERY('Global Variables'!$A:$B, ""SELECT Col2 WHERE Col1 = 'STA"&amp;"RTING_ROSTER_SIZE'"")),0))"),0.0)</f>
        <v>0</v>
      </c>
      <c r="AM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Col""&amp;COLUMN(AM$1)&amp;""=1""))&amp;""' ORDER BY Col6 DESC LIMIT ""&amp;QUERY('Global Variables'!$A:$B, ""SELECT Col2 WHERE Col1 = 'STA"&amp;"RTING_ROSTER_SIZE'"")),0))"),0.0)</f>
        <v>0</v>
      </c>
      <c r="AN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Col""&amp;COLUMN(AN$1)&amp;""=1""))&amp;""' ORDER BY Col6 DESC LIMIT ""&amp;QUERY('Global Variables'!$A:$B, ""SELECT Col2 WHERE Col1 = 'STA"&amp;"RTING_ROSTER_SIZE'"")),0))"),0.0)</f>
        <v>0</v>
      </c>
      <c r="AO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Col""&amp;COLUMN(AO$1)&amp;""=1""))&amp;""' ORDER BY Col6 DESC LIMIT ""&amp;QUERY('Global Variables'!$A:$B, ""SELECT Col2 WHERE Col1 = 'STA"&amp;"RTING_ROSTER_SIZE'"")),0))"),0.0)</f>
        <v>0</v>
      </c>
      <c r="AP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Col""&amp;COLUMN(AP$1)&amp;""=1""))&amp;""' ORDER BY Col6 DESC LIMIT ""&amp;QUERY('Global Variables'!$A:$B, ""SELECT Col2 WHERE Col1 = 'STA"&amp;"RTING_ROSTER_SIZE'"")),0))"),0.0)</f>
        <v>0</v>
      </c>
      <c r="AQ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Col""&amp;COLUMN(AQ$1)&amp;""=1""))&amp;""' ORDER BY Col6 DESC LIMIT ""&amp;QUERY('Global Variables'!$A:$B, ""SELECT Col2 WHERE Col1 = 'STA"&amp;"RTING_ROSTER_SIZE'"")),0))"),0.0)</f>
        <v>0</v>
      </c>
      <c r="AR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Col""&amp;COLUMN(AR$1)&amp;""=1""))&amp;""' ORDER BY Col6 DESC LIMIT ""&amp;QUERY('Global Variables'!$A:$B, ""SELECT Col2 WHERE Col1 = 'STA"&amp;"RTING_ROSTER_SIZE'"")),0))"),0.0)</f>
        <v>0</v>
      </c>
      <c r="AS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Col""&amp;COLUMN(AS$1)&amp;""=1""))&amp;""' ORDER BY Col6 DESC LIMIT ""&amp;QUERY('Global Variables'!$A:$B, ""SELECT Col2 WHERE Col1 = 'STA"&amp;"RTING_ROSTER_SIZE'"")),0))"),0.0)</f>
        <v>0</v>
      </c>
      <c r="AT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Col""&amp;COLUMN(AT$1)&amp;""=1""))&amp;""' ORDER BY Col6 DESC LIMIT ""&amp;QUERY('Global Variables'!$A:$B, ""SELECT Col2 WHERE Col1 = 'STA"&amp;"RTING_ROSTER_SIZE'"")),0))"),0.0)</f>
        <v>0</v>
      </c>
      <c r="AU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Col""&amp;COLUMN(AU$1)&amp;""=1""))&amp;""' ORDER BY Col6 DESC LIMIT ""&amp;QUERY('Global Variables'!$A:$B, ""SELECT Col2 WHERE Col1 = 'STA"&amp;"RTING_ROSTER_SIZE'"")),0))"),0.0)</f>
        <v>0</v>
      </c>
      <c r="AV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Col""&amp;COLUMN(AV$1)&amp;""=1""))&amp;""' ORDER BY Col6 DESC LIMIT ""&amp;QUERY('Global Variables'!$A:$B, ""SELECT Col2 WHERE Col1 = 'STA"&amp;"RTING_ROSTER_SIZE'"")),0))"),0.0)</f>
        <v>0</v>
      </c>
      <c r="AW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Col""&amp;COLUMN(AW$1)&amp;""=1""))&amp;""' ORDER BY Col6 DESC LIMIT ""&amp;QUERY('Global Variables'!$A:$B, ""SELECT Col2 WHERE Col1 = 'STA"&amp;"RTING_ROSTER_SIZE'"")),0))"),0.0)</f>
        <v>0</v>
      </c>
      <c r="AX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Col""&amp;COLUMN(AX$1)&amp;""=1""))&amp;""' ORDER BY Col6 DESC LIMIT ""&amp;QUERY('Global Variables'!$A:$B, ""SELECT Col2 WHERE Col1 = 'STA"&amp;"RTING_ROSTER_SIZE'"")),0))"),0.0)</f>
        <v>0</v>
      </c>
      <c r="AY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Col""&amp;COLUMN(AY$1)&amp;""=1""))&amp;""' ORDER BY Col6 DESC LIMIT ""&amp;QUERY('Global Variables'!$A:$B, ""SELECT Col2 WHERE Col1 = 'STA"&amp;"RTING_ROSTER_SIZE'"")),0))"),0.0)</f>
        <v>0</v>
      </c>
      <c r="AZ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Col""&amp;COLUMN(AZ$1)&amp;""=1""))&amp;""' ORDER BY Col6 DESC LIMIT ""&amp;QUERY('Global Variables'!$A:$B, ""SELECT Col2 WHERE Col1 = 'STA"&amp;"RTING_ROSTER_SIZE'"")),0))"),0.0)</f>
        <v>0</v>
      </c>
      <c r="BA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Col""&amp;COLUMN(BA$1)&amp;""=1""))&amp;""' ORDER BY Col6 DESC LIMIT ""&amp;QUERY('Global Variables'!$A:$B, ""SELECT Col2 WHERE Col1 = 'STA"&amp;"RTING_ROSTER_SIZE'"")),0))"),0.0)</f>
        <v>0</v>
      </c>
      <c r="BB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Col""&amp;COLUMN(BB$1)&amp;""=1""))&amp;""' ORDER BY Col6 DESC LIMIT ""&amp;QUERY('Global Variables'!$A:$B, ""SELECT Col2 WHERE Col1 = 'STA"&amp;"RTING_ROSTER_SIZE'"")),0))"),0.0)</f>
        <v>0</v>
      </c>
      <c r="BC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Col""&amp;COLUMN(BC$1)&amp;""=1""))&amp;""' ORDER BY Col6 DESC LIMIT ""&amp;QUERY('Global Variables'!$A:$B, ""SELECT Col2 WHERE Col1 = 'STA"&amp;"RTING_ROSTER_SIZE'"")),0))"),0.0)</f>
        <v>0</v>
      </c>
      <c r="BD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Col""&amp;COLUMN(BD$1)&amp;""=1""))&amp;""' ORDER BY Col6 DESC LIMIT ""&amp;QUERY('Global Variables'!$A:$B, ""SELECT Col2 WHERE Col1 = 'STA"&amp;"RTING_ROSTER_SIZE'"")),0))"),0.0)</f>
        <v>0</v>
      </c>
      <c r="BE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Col""&amp;COLUMN(BE$1)&amp;""=1""))&amp;""' ORDER BY Col6 DESC LIMIT ""&amp;QUERY('Global Variables'!$A:$B, ""SELECT Col2 WHERE Col1 = 'STA"&amp;"RTING_ROSTER_SIZE'"")),0))"),0.0)</f>
        <v>0</v>
      </c>
      <c r="BF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Col""&amp;COLUMN(BF$1)&amp;""=1""))&amp;""' ORDER BY Col6 DESC LIMIT ""&amp;QUERY('Global Variables'!$A:$B, ""SELECT Col2 WHERE Col1 = 'STA"&amp;"RTING_ROSTER_SIZE'"")),0))"),0.0)</f>
        <v>0</v>
      </c>
      <c r="BG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Col""&amp;COLUMN(BG$1)&amp;""=1""))&amp;""' ORDER BY Col6 DESC LIMIT ""&amp;QUERY('Global Variables'!$A:$B, ""SELECT Col2 WHERE Col1 = 'STA"&amp;"RTING_ROSTER_SIZE'"")),0))"),0.0)</f>
        <v>0</v>
      </c>
      <c r="BH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Col""&amp;COLUMN(BH$1)&amp;""=1""))&amp;""' ORDER BY Col6 DESC LIMIT ""&amp;QUERY('Global Variables'!$A:$B, ""SELECT Col2 WHERE Col1 = 'STA"&amp;"RTING_ROSTER_SIZE'"")),0))"),0.0)</f>
        <v>0</v>
      </c>
      <c r="BI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Col""&amp;COLUMN(BI$1)&amp;""=1""))&amp;""' ORDER BY Col6 DESC LIMIT ""&amp;QUERY('Global Variables'!$A:$B, ""SELECT Col2 WHERE Col1 = 'STA"&amp;"RTING_ROSTER_SIZE'"")),0))"),0.0)</f>
        <v>0</v>
      </c>
      <c r="BJ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Col""&amp;COLUMN(BJ$1)&amp;""=1""))&amp;""' ORDER BY Col6 DESC LIMIT ""&amp;QUERY('Global Variables'!$A:$B, ""SELECT Col2 WHERE Col1 = 'STA"&amp;"RTING_ROSTER_SIZE'"")),0))"),0.0)</f>
        <v>0</v>
      </c>
      <c r="BK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Col""&amp;COLUMN(BK$1)&amp;""=1""))&amp;""' ORDER BY Col6 DESC LIMIT ""&amp;QUERY('Global Variables'!$A:$B, ""SELECT Col2 WHERE Col1 = 'STA"&amp;"RTING_ROSTER_SIZE'"")),0))"),0.0)</f>
        <v>0</v>
      </c>
      <c r="BL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Col""&amp;COLUMN(BL$1)&amp;""=1""))&amp;""' ORDER BY Col6 DESC LIMIT ""&amp;QUERY('Global Variables'!$A:$B, ""SELECT Col2 WHERE Col1 = 'STA"&amp;"RTING_ROSTER_SIZE'"")),0))"),0.0)</f>
        <v>0</v>
      </c>
      <c r="BM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Col""&amp;COLUMN(BM$1)&amp;""=1""))&amp;""' ORDER BY Col6 DESC LIMIT ""&amp;QUERY('Global Variables'!$A:$B, ""SELECT Col2 WHERE Col1 = 'STA"&amp;"RTING_ROSTER_SIZE'"")),0))"),0.0)</f>
        <v>0</v>
      </c>
      <c r="BN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Col""&amp;COLUMN(BN$1)&amp;""=1""))&amp;""' ORDER BY Col6 DESC LIMIT ""&amp;QUERY('Global Variables'!$A:$B, ""SELECT Col2 WHERE Col1 = 'STA"&amp;"RTING_ROSTER_SIZE'"")),0))"),0.0)</f>
        <v>0</v>
      </c>
      <c r="BO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Col""&amp;COLUMN(BO$1)&amp;""=1""))&amp;""' ORDER BY Col6 DESC LIMIT ""&amp;QUERY('Global Variables'!$A:$B, ""SELECT Col2 WHERE Col1 = 'STA"&amp;"RTING_ROSTER_SIZE'"")),0))"),0.0)</f>
        <v>0</v>
      </c>
      <c r="BP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Col""&amp;COLUMN(BP$1)&amp;""=1""))&amp;""' ORDER BY Col6 DESC LIMIT ""&amp;QUERY('Global Variables'!$A:$B, ""SELECT Col2 WHERE Col1 = 'STA"&amp;"RTING_ROSTER_SIZE'"")),0))"),0.0)</f>
        <v>0</v>
      </c>
      <c r="BQ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Col""&amp;COLUMN(BQ$1)&amp;""=1""))&amp;""' ORDER BY Col6 DESC LIMIT ""&amp;QUERY('Global Variables'!$A:$B, ""SELECT Col2 WHERE Col1 = 'STA"&amp;"RTING_ROSTER_SIZE'"")),0))"),0.0)</f>
        <v>0</v>
      </c>
      <c r="BR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Col""&amp;COLUMN(BR$1)&amp;""=1""))&amp;""' ORDER BY Col6 DESC LIMIT ""&amp;QUERY('Global Variables'!$A:$B, ""SELECT Col2 WHERE Col1 = 'STA"&amp;"RTING_ROSTER_SIZE'"")),0))"),0.0)</f>
        <v>0</v>
      </c>
      <c r="BS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Col""&amp;COLUMN(BS$1)&amp;""=1""))&amp;""' ORDER BY Col6 DESC LIMIT ""&amp;QUERY('Global Variables'!$A:$B, ""SELECT Col2 WHERE Col1 = 'STA"&amp;"RTING_ROSTER_SIZE'"")),0))"),0.0)</f>
        <v>0</v>
      </c>
      <c r="BT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Col""&amp;COLUMN(BT$1)&amp;""=1""))&amp;""' ORDER BY Col6 DESC LIMIT ""&amp;QUERY('Global Variables'!$A:$B, ""SELECT Col2 WHERE Col1 = 'STA"&amp;"RTING_ROSTER_SIZE'"")),0))"),0.0)</f>
        <v>0</v>
      </c>
      <c r="BU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Col""&amp;COLUMN(BU$1)&amp;""=1""))&amp;""' ORDER BY Col6 DESC LIMIT ""&amp;QUERY('Global Variables'!$A:$B, ""SELECT Col2 WHERE Col1 = 'STA"&amp;"RTING_ROSTER_SIZE'"")),0))"),0.0)</f>
        <v>0</v>
      </c>
      <c r="BV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Col""&amp;COLUMN(BV$1)&amp;""=1""))&amp;""' ORDER BY Col6 DESC LIMIT ""&amp;QUERY('Global Variables'!$A:$B, ""SELECT Col2 WHERE Col1 = 'STA"&amp;"RTING_ROSTER_SIZE'"")),0))"),0.0)</f>
        <v>0</v>
      </c>
      <c r="BW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Col""&amp;COLUMN(BW$1)&amp;""=1""))&amp;""' ORDER BY Col6 DESC LIMIT ""&amp;QUERY('Global Variables'!$A:$B, ""SELECT Col2 WHERE Col1 = 'STA"&amp;"RTING_ROSTER_SIZE'"")),0))"),0.0)</f>
        <v>0</v>
      </c>
      <c r="BX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Col""&amp;COLUMN(BX$1)&amp;""=1""))&amp;""' ORDER BY Col6 DESC LIMIT ""&amp;QUERY('Global Variables'!$A:$B, ""SELECT Col2 WHERE Col1 = 'STA"&amp;"RTING_ROSTER_SIZE'"")),0))"),0.0)</f>
        <v>0</v>
      </c>
      <c r="BY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Col""&amp;COLUMN(BY$1)&amp;""=1""))&amp;""' ORDER BY Col6 DESC LIMIT ""&amp;QUERY('Global Variables'!$A:$B, ""SELECT Col2 WHERE Col1 = 'STA"&amp;"RTING_ROSTER_SIZE'"")),0))"),0.0)</f>
        <v>0</v>
      </c>
      <c r="BZ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Col""&amp;COLUMN(BZ$1)&amp;""=1""))&amp;""' ORDER BY Col6 DESC LIMIT ""&amp;QUERY('Global Variables'!$A:$B, ""SELECT Col2 WHERE Col1 = 'STA"&amp;"RTING_ROSTER_SIZE'"")),0))"),0.0)</f>
        <v>0</v>
      </c>
      <c r="CA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Col""&amp;COLUMN(CA$1)&amp;""=1""))&amp;""' ORDER BY Col6 DESC LIMIT ""&amp;QUERY('Global Variables'!$A:$B, ""SELECT Col2 WHERE Col1 = 'STA"&amp;"RTING_ROSTER_SIZE'"")),0))"),0.0)</f>
        <v>0</v>
      </c>
      <c r="CB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Col""&amp;COLUMN(CB$1)&amp;""=1""))&amp;""' ORDER BY Col6 DESC LIMIT ""&amp;QUERY('Global Variables'!$A:$B, ""SELECT Col2 WHERE Col1 = 'STA"&amp;"RTING_ROSTER_SIZE'"")),0))"),0.0)</f>
        <v>0</v>
      </c>
      <c r="CC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Col""&amp;COLUMN(CC$1)&amp;""=1""))&amp;""' ORDER BY Col6 DESC LIMIT ""&amp;QUERY('Global Variables'!$A:$B, ""SELECT Col2 WHERE Col1 = 'STA"&amp;"RTING_ROSTER_SIZE'"")),0))"),0.0)</f>
        <v>0</v>
      </c>
      <c r="CD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Col""&amp;COLUMN(CD$1)&amp;""=1""))&amp;""' ORDER BY Col6 DESC LIMIT ""&amp;QUERY('Global Variables'!$A:$B, ""SELECT Col2 WHERE Col1 = 'STA"&amp;"RTING_ROSTER_SIZE'"")),0))"),0.0)</f>
        <v>0</v>
      </c>
      <c r="CE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Col""&amp;COLUMN(CE$1)&amp;""=1""))&amp;""' ORDER BY Col6 DESC LIMIT ""&amp;QUERY('Global Variables'!$A:$B, ""SELECT Col2 WHERE Col1 = 'STA"&amp;"RTING_ROSTER_SIZE'"")),0))"),0.0)</f>
        <v>0</v>
      </c>
      <c r="CF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Col""&amp;COLUMN(CF$1)&amp;""=1""))&amp;""' ORDER BY Col6 DESC LIMIT ""&amp;QUERY('Global Variables'!$A:$B, ""SELECT Col2 WHERE Col1 = 'STA"&amp;"RTING_ROSTER_SIZE'"")),0))"),0.0)</f>
        <v>0</v>
      </c>
      <c r="CG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Col""&amp;COLUMN(CG$1)&amp;""=1""))&amp;""' ORDER BY Col6 DESC LIMIT ""&amp;QUERY('Global Variables'!$A:$B, ""SELECT Col2 WHERE Col1 = 'STA"&amp;"RTING_ROSTER_SIZE'"")),0))"),0.0)</f>
        <v>0</v>
      </c>
      <c r="CH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Col""&amp;COLUMN(CH$1)&amp;""=1""))&amp;""' ORDER BY Col6 DESC LIMIT ""&amp;QUERY('Global Variables'!$A:$B, ""SELECT Col2 WHERE Col1 = 'STA"&amp;"RTING_ROSTER_SIZE'"")),0))"),0.0)</f>
        <v>0</v>
      </c>
      <c r="CI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Col""&amp;COLUMN(CI$1)&amp;""=1""))&amp;""' ORDER BY Col6 DESC LIMIT ""&amp;QUERY('Global Variables'!$A:$B, ""SELECT Col2 WHERE Col1 = 'STA"&amp;"RTING_ROSTER_SIZE'"")),0))"),0.0)</f>
        <v>0</v>
      </c>
      <c r="CJ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Col""&amp;COLUMN(CJ$1)&amp;""=1""))&amp;""' ORDER BY Col6 DESC LIMIT ""&amp;QUERY('Global Variables'!$A:$B, ""SELECT Col2 WHERE Col1 = 'STA"&amp;"RTING_ROSTER_SIZE'"")),0))"),0.0)</f>
        <v>0</v>
      </c>
      <c r="CK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Col""&amp;COLUMN(CK$1)&amp;""=1""))&amp;""' ORDER BY Col6 DESC LIMIT ""&amp;QUERY('Global Variables'!$A:$B, ""SELECT Col2 WHERE Col1 = 'STA"&amp;"RTING_ROSTER_SIZE'"")),0))"),0.0)</f>
        <v>0</v>
      </c>
      <c r="CL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Col""&amp;COLUMN(CL$1)&amp;""=1""))&amp;""' ORDER BY Col6 DESC LIMIT ""&amp;QUERY('Global Variables'!$A:$B, ""SELECT Col2 WHERE Col1 = 'STA"&amp;"RTING_ROSTER_SIZE'"")),0))"),0.0)</f>
        <v>0</v>
      </c>
      <c r="CM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Col""&amp;COLUMN(CM$1)&amp;""=1""))&amp;""' ORDER BY Col6 DESC LIMIT ""&amp;QUERY('Global Variables'!$A:$B, ""SELECT Col2 WHERE Col1 = 'STA"&amp;"RTING_ROSTER_SIZE'"")),0))"),0.0)</f>
        <v>0</v>
      </c>
      <c r="CN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Col""&amp;COLUMN(CN$1)&amp;""=1""))&amp;""' ORDER BY Col6 DESC LIMIT ""&amp;QUERY('Global Variables'!$A:$B, ""SELECT Col2 WHERE Col1 = 'STA"&amp;"RTING_ROSTER_SIZE'"")),0))"),0.0)</f>
        <v>0</v>
      </c>
      <c r="CO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Col""&amp;COLUMN(CO$1)&amp;""=1""))&amp;""' ORDER BY Col6 DESC LIMIT ""&amp;QUERY('Global Variables'!$A:$B, ""SELECT Col2 WHERE Col1 = 'STA"&amp;"RTING_ROSTER_SIZE'"")),0))"),0.0)</f>
        <v>0</v>
      </c>
      <c r="CP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Col""&amp;COLUMN(CP$1)&amp;""=1""))&amp;""' ORDER BY Col6 DESC LIMIT ""&amp;QUERY('Global Variables'!$A:$B, ""SELECT Col2 WHERE Col1 = 'STA"&amp;"RTING_ROSTER_SIZE'"")),0))"),0.0)</f>
        <v>0</v>
      </c>
      <c r="CQ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Col""&amp;COLUMN(CQ$1)&amp;""=1""))&amp;""' ORDER BY Col6 DESC LIMIT ""&amp;QUERY('Global Variables'!$A:$B, ""SELECT Col2 WHERE Col1 = 'STA"&amp;"RTING_ROSTER_SIZE'"")),0))"),0.0)</f>
        <v>0</v>
      </c>
      <c r="CR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Col""&amp;COLUMN(CR$1)&amp;""=1""))&amp;""' ORDER BY Col6 DESC LIMIT ""&amp;QUERY('Global Variables'!$A:$B, ""SELECT Col2 WHERE Col1 = 'STA"&amp;"RTING_ROSTER_SIZE'"")),0))"),0.0)</f>
        <v>0</v>
      </c>
      <c r="CS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Col""&amp;COLUMN(CS$1)&amp;""=1""))&amp;""' ORDER BY Col6 DESC LIMIT ""&amp;QUERY('Global Variables'!$A:$B, ""SELECT Col2 WHERE Col1 = 'STA"&amp;"RTING_ROSTER_SIZE'"")),0))"),0.0)</f>
        <v>0</v>
      </c>
      <c r="CT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Col""&amp;COLUMN(CT$1)&amp;""=1""))&amp;""' ORDER BY Col6 DESC LIMIT ""&amp;QUERY('Global Variables'!$A:$B, ""SELECT Col2 WHERE Col1 = 'STA"&amp;"RTING_ROSTER_SIZE'"")),0))"),0.0)</f>
        <v>0</v>
      </c>
      <c r="CU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Col""&amp;COLUMN(CU$1)&amp;""=1""))&amp;""' ORDER BY Col6 DESC LIMIT ""&amp;QUERY('Global Variables'!$A:$B, ""SELECT Col2 WHERE Col1 = 'STA"&amp;"RTING_ROSTER_SIZE'"")),0))"),0.0)</f>
        <v>0</v>
      </c>
      <c r="CV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Col""&amp;COLUMN(CV$1)&amp;""=1""))&amp;""' ORDER BY Col6 DESC LIMIT ""&amp;QUERY('Global Variables'!$A:$B, ""SELECT Col2 WHERE Col1 = 'STA"&amp;"RTING_ROSTER_SIZE'"")),0))"),0.0)</f>
        <v>0</v>
      </c>
      <c r="CW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Col""&amp;COLUMN(CW$1)&amp;""=1""))&amp;""' ORDER BY Col6 DESC LIMIT ""&amp;QUERY('Global Variables'!$A:$B, ""SELECT Col2 WHERE Col1 = 'STA"&amp;"RTING_ROSTER_SIZE'"")),0))"),0.0)</f>
        <v>0</v>
      </c>
      <c r="CX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Col""&amp;COLUMN(CX$1)&amp;""=1""))&amp;""' ORDER BY Col6 DESC LIMIT ""&amp;QUERY('Global Variables'!$A:$B, ""SELECT Col2 WHERE Col1 = 'STA"&amp;"RTING_ROSTER_SIZE'"")),0))"),0.0)</f>
        <v>0</v>
      </c>
      <c r="CY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Col""&amp;COLUMN(CY$1)&amp;""=1""))&amp;""' ORDER BY Col6 DESC LIMIT ""&amp;QUERY('Global Variables'!$A:$B, ""SELECT Col2 WHERE Col1 = 'STA"&amp;"RTING_ROSTER_SIZE'"")),0))"),0.0)</f>
        <v>0</v>
      </c>
      <c r="CZ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Col""&amp;COLUMN(CZ$1)&amp;""=1""))&amp;""' ORDER BY Col6 DESC LIMIT ""&amp;QUERY('Global Variables'!$A:$B, ""SELECT Col2 WHERE Col1 = 'STA"&amp;"RTING_ROSTER_SIZE'"")),0))"),0.0)</f>
        <v>0</v>
      </c>
      <c r="DA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Col""&amp;COLUMN(DA$1)&amp;""=1""))&amp;""' ORDER BY Col6 DESC LIMIT ""&amp;QUERY('Global Variables'!$A:$B, ""SELECT Col2 WHERE Col1 = 'STA"&amp;"RTING_ROSTER_SIZE'"")),0))"),0.0)</f>
        <v>0</v>
      </c>
      <c r="DB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Col""&amp;COLUMN(DB$1)&amp;""=1""))&amp;""' ORDER BY Col6 DESC LIMIT ""&amp;QUERY('Global Variables'!$A:$B, ""SELECT Col2 WHERE Col1 = 'STA"&amp;"RTING_ROSTER_SIZE'"")),0))"),0.0)</f>
        <v>0</v>
      </c>
      <c r="DC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Col""&amp;COLUMN(DC$1)&amp;""=1""))&amp;""' ORDER BY Col6 DESC LIMIT ""&amp;QUERY('Global Variables'!$A:$B, ""SELECT Col2 WHERE Col1 = 'STA"&amp;"RTING_ROSTER_SIZE'"")),0))"),0.0)</f>
        <v>0</v>
      </c>
      <c r="DD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Col""&amp;COLUMN(DD$1)&amp;""=1""))&amp;""' ORDER BY Col6 DESC LIMIT ""&amp;QUERY('Global Variables'!$A:$B, ""SELECT Col2 WHERE Col1 = 'STA"&amp;"RTING_ROSTER_SIZE'"")),0))"),0.0)</f>
        <v>0</v>
      </c>
      <c r="DE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Col""&amp;COLUMN(DE$1)&amp;""=1""))&amp;""' ORDER BY Col6 DESC LIMIT ""&amp;QUERY('Global Variables'!$A:$B, ""SELECT Col2 WHERE Col1 = 'STA"&amp;"RTING_ROSTER_SIZE'"")),0))"),0.0)</f>
        <v>0</v>
      </c>
      <c r="DF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Col""&amp;COLUMN(DF$1)&amp;""=1""))&amp;""' ORDER BY Col6 DESC LIMIT ""&amp;QUERY('Global Variables'!$A:$B, ""SELECT Col2 WHERE Col1 = 'STA"&amp;"RTING_ROSTER_SIZE'"")),0))"),0.0)</f>
        <v>0</v>
      </c>
      <c r="DG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Col""&amp;COLUMN(DG$1)&amp;""=1""))&amp;""' ORDER BY Col6 DESC LIMIT ""&amp;QUERY('Global Variables'!$A:$B, ""SELECT Col2 WHERE Col1 = 'STA"&amp;"RTING_ROSTER_SIZE'"")),0))"),0.0)</f>
        <v>0</v>
      </c>
      <c r="DH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Col""&amp;COLUMN(DH$1)&amp;""=1""))&amp;""' ORDER BY Col6 DESC LIMIT ""&amp;QUERY('Global Variables'!$A:$B, ""SELECT Col2 WHERE Col1 = 'STA"&amp;"RTING_ROSTER_SIZE'"")),0))"),0.0)</f>
        <v>0</v>
      </c>
      <c r="DI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Col""&amp;COLUMN(DI$1)&amp;""=1""))&amp;""' ORDER BY Col6 DESC LIMIT ""&amp;QUERY('Global Variables'!$A:$B, ""SELECT Col2 WHERE Col1 = 'STA"&amp;"RTING_ROSTER_SIZE'"")),0))"),0.0)</f>
        <v>0</v>
      </c>
      <c r="DJ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Col""&amp;COLUMN(DJ$1)&amp;""=1""))&amp;""' ORDER BY Col6 DESC LIMIT ""&amp;QUERY('Global Variables'!$A:$B, ""SELECT Col2 WHERE Col1 = 'STA"&amp;"RTING_ROSTER_SIZE'"")),0))"),0.0)</f>
        <v>0</v>
      </c>
      <c r="DK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Col""&amp;COLUMN(DK$1)&amp;""=1""))&amp;""' ORDER BY Col6 DESC LIMIT ""&amp;QUERY('Global Variables'!$A:$B, ""SELECT Col2 WHERE Col1 = 'STA"&amp;"RTING_ROSTER_SIZE'"")),0))"),0.0)</f>
        <v>0</v>
      </c>
      <c r="DL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Col""&amp;COLUMN(DL$1)&amp;""=1""))&amp;""' ORDER BY Col6 DESC LIMIT ""&amp;QUERY('Global Variables'!$A:$B, ""SELECT Col2 WHERE Col1 = 'STA"&amp;"RTING_ROSTER_SIZE'"")),0))"),0.0)</f>
        <v>0</v>
      </c>
      <c r="DM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Col""&amp;COLUMN(DM$1)&amp;""=1""))&amp;""' ORDER BY Col6 DESC LIMIT ""&amp;QUERY('Global Variables'!$A:$B, ""SELECT Col2 WHERE Col1 = 'STA"&amp;"RTING_ROSTER_SIZE'"")),0))"),0.0)</f>
        <v>0</v>
      </c>
      <c r="DN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Col""&amp;COLUMN(DN$1)&amp;""=1""))&amp;""' ORDER BY Col6 DESC LIMIT ""&amp;QUERY('Global Variables'!$A:$B, ""SELECT Col2 WHERE Col1 = 'STA"&amp;"RTING_ROSTER_SIZE'"")),0))"),0.0)</f>
        <v>0</v>
      </c>
      <c r="DO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Col""&amp;COLUMN(DO$1)&amp;""=1""))&amp;""' ORDER BY Col6 DESC LIMIT ""&amp;QUERY('Global Variables'!$A:$B, ""SELECT Col2 WHERE Col1 = 'STA"&amp;"RTING_ROSTER_SIZE'"")),0))"),0.0)</f>
        <v>0</v>
      </c>
      <c r="DP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Col""&amp;COLUMN(DP$1)&amp;""=1""))&amp;""' ORDER BY Col6 DESC LIMIT ""&amp;QUERY('Global Variables'!$A:$B, ""SELECT Col2 WHERE Col1 = 'STA"&amp;"RTING_ROSTER_SIZE'"")),0))"),0.0)</f>
        <v>0</v>
      </c>
      <c r="DQ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Col""&amp;COLUMN(DQ$1)&amp;""=1""))&amp;""' ORDER BY Col6 DESC LIMIT ""&amp;QUERY('Global Variables'!$A:$B, ""SELECT Col2 WHERE Col1 = 'STA"&amp;"RTING_ROSTER_SIZE'"")),0))"),0.0)</f>
        <v>0</v>
      </c>
      <c r="DR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Col""&amp;COLUMN(DR$1)&amp;""=1""))&amp;""' ORDER BY Col6 DESC LIMIT ""&amp;QUERY('Global Variables'!$A:$B, ""SELECT Col2 WHERE Col1 = 'STA"&amp;"RTING_ROSTER_SIZE'"")),0))"),0.0)</f>
        <v>0</v>
      </c>
      <c r="DS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Col""&amp;COLUMN(DS$1)&amp;""=1""))&amp;""' ORDER BY Col6 DESC LIMIT ""&amp;QUERY('Global Variables'!$A:$B, ""SELECT Col2 WHERE Col1 = 'STA"&amp;"RTING_ROSTER_SIZE'"")),0))"),0.0)</f>
        <v>0</v>
      </c>
      <c r="DT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Col""&amp;COLUMN(DT$1)&amp;""=1""))&amp;""' ORDER BY Col6 DESC LIMIT ""&amp;QUERY('Global Variables'!$A:$B, ""SELECT Col2 WHERE Col1 = 'STA"&amp;"RTING_ROSTER_SIZE'"")),0))"),0.0)</f>
        <v>0</v>
      </c>
      <c r="DU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Col""&amp;COLUMN(DU$1)&amp;""=1""))&amp;""' ORDER BY Col6 DESC LIMIT ""&amp;QUERY('Global Variables'!$A:$B, ""SELECT Col2 WHERE Col1 = 'STA"&amp;"RTING_ROSTER_SIZE'"")),0))"),0.0)</f>
        <v>0</v>
      </c>
      <c r="DV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Col""&amp;COLUMN(DV$1)&amp;""=1""))&amp;""' ORDER BY Col6 DESC LIMIT ""&amp;QUERY('Global Variables'!$A:$B, ""SELECT Col2 WHERE Col1 = 'STA"&amp;"RTING_ROSTER_SIZE'"")),0))"),0.0)</f>
        <v>0</v>
      </c>
      <c r="DW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Col""&amp;COLUMN(DW$1)&amp;""=1""))&amp;""' ORDER BY Col6 DESC LIMIT ""&amp;QUERY('Global Variables'!$A:$B, ""SELECT Col2 WHERE Col1 = 'STA"&amp;"RTING_ROSTER_SIZE'"")),0))"),0.0)</f>
        <v>0</v>
      </c>
      <c r="DX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Col""&amp;COLUMN(DX$1)&amp;""=1""))&amp;""' ORDER BY Col6 DESC LIMIT ""&amp;QUERY('Global Variables'!$A:$B, ""SELECT Col2 WHERE Col1 = 'STA"&amp;"RTING_ROSTER_SIZE'"")),0))"),0.0)</f>
        <v>0</v>
      </c>
      <c r="DY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Col""&amp;COLUMN(DY$1)&amp;""=1""))&amp;""' ORDER BY Col6 DESC LIMIT ""&amp;QUERY('Global Variables'!$A:$B, ""SELECT Col2 WHERE Col1 = 'STA"&amp;"RTING_ROSTER_SIZE'"")),0))"),0.0)</f>
        <v>0</v>
      </c>
      <c r="DZ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Col""&amp;COLUMN(DZ$1)&amp;""=1""))&amp;""' ORDER BY Col6 DESC LIMIT ""&amp;QUERY('Global Variables'!$A:$B, ""SELECT Col2 WHERE Col1 = 'STA"&amp;"RTING_ROSTER_SIZE'"")),0))"),0.0)</f>
        <v>0</v>
      </c>
      <c r="EA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Col""&amp;COLUMN(EA$1)&amp;""=1""))&amp;""' ORDER BY Col6 DESC LIMIT ""&amp;QUERY('Global Variables'!$A:$B, ""SELECT Col2 WHERE Col1 = 'STA"&amp;"RTING_ROSTER_SIZE'"")),0))"),0.0)</f>
        <v>0</v>
      </c>
      <c r="EB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Col""&amp;COLUMN(EB$1)&amp;""=1""))&amp;""' ORDER BY Col6 DESC LIMIT ""&amp;QUERY('Global Variables'!$A:$B, ""SELECT Col2 WHERE Col1 = 'STA"&amp;"RTING_ROSTER_SIZE'"")),0))"),0.0)</f>
        <v>0</v>
      </c>
      <c r="EC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Col""&amp;COLUMN(EC$1)&amp;""=1""))&amp;""' ORDER BY Col6 DESC LIMIT ""&amp;QUERY('Global Variables'!$A:$B, ""SELECT Col2 WHERE Col1 = 'STA"&amp;"RTING_ROSTER_SIZE'"")),0))"),0.0)</f>
        <v>0</v>
      </c>
      <c r="ED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Col""&amp;COLUMN(ED$1)&amp;""=1""))&amp;""' ORDER BY Col6 DESC LIMIT ""&amp;QUERY('Global Variables'!$A:$B, ""SELECT Col2 WHERE Col1 = 'STA"&amp;"RTING_ROSTER_SIZE'"")),0))"),0.0)</f>
        <v>0</v>
      </c>
      <c r="EE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Col""&amp;COLUMN(EE$1)&amp;""=1""))&amp;""' ORDER BY Col6 DESC LIMIT ""&amp;QUERY('Global Variables'!$A:$B, ""SELECT Col2 WHERE Col1 = 'STA"&amp;"RTING_ROSTER_SIZE'"")),0))"),0.0)</f>
        <v>0</v>
      </c>
      <c r="EF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Col""&amp;COLUMN(EF$1)&amp;""=1""))&amp;""' ORDER BY Col6 DESC LIMIT ""&amp;QUERY('Global Variables'!$A:$B, ""SELECT Col2 WHERE Col1 = 'STA"&amp;"RTING_ROSTER_SIZE'"")),0))"),0.0)</f>
        <v>0</v>
      </c>
      <c r="EG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Col""&amp;COLUMN(EG$1)&amp;""=1""))&amp;""' ORDER BY Col6 DESC LIMIT ""&amp;QUERY('Global Variables'!$A:$B, ""SELECT Col2 WHERE Col1 = 'STA"&amp;"RTING_ROSTER_SIZE'"")),0))"),0.0)</f>
        <v>0</v>
      </c>
      <c r="EH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Col""&amp;COLUMN(EH$1)&amp;""=1""))&amp;""' ORDER BY Col6 DESC LIMIT ""&amp;QUERY('Global Variables'!$A:$B, ""SELECT Col2 WHERE Col1 = 'STA"&amp;"RTING_ROSTER_SIZE'"")),0))"),0.0)</f>
        <v>0</v>
      </c>
      <c r="EI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Col""&amp;COLUMN(EI$1)&amp;""=1""))&amp;""' ORDER BY Col6 DESC LIMIT ""&amp;QUERY('Global Variables'!$A:$B, ""SELECT Col2 WHERE Col1 = 'STA"&amp;"RTING_ROSTER_SIZE'"")),0))"),0.0)</f>
        <v>0</v>
      </c>
      <c r="EJ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Col""&amp;COLUMN(EJ$1)&amp;""=1""))&amp;""' ORDER BY Col6 DESC LIMIT ""&amp;QUERY('Global Variables'!$A:$B, ""SELECT Col2 WHERE Col1 = 'STA"&amp;"RTING_ROSTER_SIZE'"")),0))"),0.0)</f>
        <v>0</v>
      </c>
      <c r="EK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Col""&amp;COLUMN(EK$1)&amp;""=1""))&amp;""' ORDER BY Col6 DESC LIMIT ""&amp;QUERY('Global Variables'!$A:$B, ""SELECT Col2 WHERE Col1 = 'STA"&amp;"RTING_ROSTER_SIZE'"")),0))"),0.0)</f>
        <v>0</v>
      </c>
      <c r="EL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Col""&amp;COLUMN(EL$1)&amp;""=1""))&amp;""' ORDER BY Col6 DESC LIMIT ""&amp;QUERY('Global Variables'!$A:$B, ""SELECT Col2 WHERE Col1 = 'STA"&amp;"RTING_ROSTER_SIZE'"")),0))"),0.0)</f>
        <v>0</v>
      </c>
      <c r="EM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Col""&amp;COLUMN(EM$1)&amp;""=1""))&amp;""' ORDER BY Col6 DESC LIMIT ""&amp;QUERY('Global Variables'!$A:$B, ""SELECT Col2 WHERE Col1 = 'STA"&amp;"RTING_ROSTER_SIZE'"")),0))"),0.0)</f>
        <v>0</v>
      </c>
      <c r="EN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Col""&amp;COLUMN(EN$1)&amp;""=1""))&amp;""' ORDER BY Col6 DESC LIMIT ""&amp;QUERY('Global Variables'!$A:$B, ""SELECT Col2 WHERE Col1 = 'STA"&amp;"RTING_ROSTER_SIZE'"")),0))"),0.0)</f>
        <v>0</v>
      </c>
      <c r="EO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Col""&amp;COLUMN(EO$1)&amp;""=1""))&amp;""' ORDER BY Col6 DESC LIMIT ""&amp;QUERY('Global Variables'!$A:$B, ""SELECT Col2 WHERE Col1 = 'STA"&amp;"RTING_ROSTER_SIZE'"")),0))"),0.0)</f>
        <v>0</v>
      </c>
      <c r="EP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Col""&amp;COLUMN(EP$1)&amp;""=1""))&amp;""' ORDER BY Col6 DESC LIMIT ""&amp;QUERY('Global Variables'!$A:$B, ""SELECT Col2 WHERE Col1 = 'STA"&amp;"RTING_ROSTER_SIZE'"")),0))"),0.0)</f>
        <v>0</v>
      </c>
      <c r="EQ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Col""&amp;COLUMN(EQ$1)&amp;""=1""))&amp;""' ORDER BY Col6 DESC LIMIT ""&amp;QUERY('Global Variables'!$A:$B, ""SELECT Col2 WHERE Col1 = 'STA"&amp;"RTING_ROSTER_SIZE'"")),0))"),0.0)</f>
        <v>0</v>
      </c>
      <c r="ER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Col""&amp;COLUMN(ER$1)&amp;""=1""))&amp;""' ORDER BY Col6 DESC LIMIT ""&amp;QUERY('Global Variables'!$A:$B, ""SELECT Col2 WHERE Col1 = 'STA"&amp;"RTING_ROSTER_SIZE'"")),0))"),0.0)</f>
        <v>0</v>
      </c>
      <c r="ES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Col""&amp;COLUMN(ES$1)&amp;""=1""))&amp;""' ORDER BY Col6 DESC LIMIT ""&amp;QUERY('Global Variables'!$A:$B, ""SELECT Col2 WHERE Col1 = 'STA"&amp;"RTING_ROSTER_SIZE'"")),0))"),0.0)</f>
        <v>0</v>
      </c>
      <c r="ET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Col""&amp;COLUMN(ET$1)&amp;""=1""))&amp;""' ORDER BY Col6 DESC LIMIT ""&amp;QUERY('Global Variables'!$A:$B, ""SELECT Col2 WHERE Col1 = 'STA"&amp;"RTING_ROSTER_SIZE'"")),0))"),0.0)</f>
        <v>0</v>
      </c>
      <c r="EU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Col""&amp;COLUMN(EU$1)&amp;""=1""))&amp;""' ORDER BY Col6 DESC LIMIT ""&amp;QUERY('Global Variables'!$A:$B, ""SELECT Col2 WHERE Col1 = 'STA"&amp;"RTING_ROSTER_SIZE'"")),0))"),0.0)</f>
        <v>0</v>
      </c>
      <c r="EV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Col""&amp;COLUMN(EV$1)&amp;""=1""))&amp;""' ORDER BY Col6 DESC LIMIT ""&amp;QUERY('Global Variables'!$A:$B, ""SELECT Col2 WHERE Col1 = 'STA"&amp;"RTING_ROSTER_SIZE'"")),0))"),0.0)</f>
        <v>0</v>
      </c>
      <c r="EW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Col""&amp;COLUMN(EW$1)&amp;""=1""))&amp;""' ORDER BY Col6 DESC LIMIT ""&amp;QUERY('Global Variables'!$A:$B, ""SELECT Col2 WHERE Col1 = 'STA"&amp;"RTING_ROSTER_SIZE'"")),0))"),0.0)</f>
        <v>0</v>
      </c>
      <c r="EX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Col""&amp;COLUMN(EX$1)&amp;""=1""))&amp;""' ORDER BY Col6 DESC LIMIT ""&amp;QUERY('Global Variables'!$A:$B, ""SELECT Col2 WHERE Col1 = 'STA"&amp;"RTING_ROSTER_SIZE'"")),0))"),0.0)</f>
        <v>0</v>
      </c>
      <c r="EY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Col""&amp;COLUMN(EY$1)&amp;""=1""))&amp;""' ORDER BY Col6 DESC LIMIT ""&amp;QUERY('Global Variables'!$A:$B, ""SELECT Col2 WHERE Col1 = 'STA"&amp;"RTING_ROSTER_SIZE'"")),0))"),0.0)</f>
        <v>0</v>
      </c>
      <c r="EZ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Col""&amp;COLUMN(EZ$1)&amp;""=1""))&amp;""' ORDER BY Col6 DESC LIMIT ""&amp;QUERY('Global Variables'!$A:$B, ""SELECT Col2 WHERE Col1 = 'STA"&amp;"RTING_ROSTER_SIZE'"")),0))"),0.0)</f>
        <v>0</v>
      </c>
      <c r="FA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Col""&amp;COLUMN(FA$1)&amp;""=1""))&amp;""' ORDER BY Col6 DESC LIMIT ""&amp;QUERY('Global Variables'!$A:$B, ""SELECT Col2 WHERE Col1 = 'STA"&amp;"RTING_ROSTER_SIZE'"")),0))"),0.0)</f>
        <v>0</v>
      </c>
      <c r="FB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Col""&amp;COLUMN(FB$1)&amp;""=1""))&amp;""' ORDER BY Col6 DESC LIMIT ""&amp;QUERY('Global Variables'!$A:$B, ""SELECT Col2 WHERE Col1 = 'STA"&amp;"RTING_ROSTER_SIZE'"")),0))"),0.0)</f>
        <v>0</v>
      </c>
      <c r="FC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Col""&amp;COLUMN(FC$1)&amp;""=1""))&amp;""' ORDER BY Col6 DESC LIMIT ""&amp;QUERY('Global Variables'!$A:$B, ""SELECT Col2 WHERE Col1 = 'STA"&amp;"RTING_ROSTER_SIZE'"")),0))"),0.0)</f>
        <v>0</v>
      </c>
      <c r="FD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Col""&amp;COLUMN(FD$1)&amp;""=1""))&amp;""' ORDER BY Col6 DESC LIMIT ""&amp;QUERY('Global Variables'!$A:$B, ""SELECT Col2 WHERE Col1 = 'STA"&amp;"RTING_ROSTER_SIZE'"")),0))"),0.0)</f>
        <v>0</v>
      </c>
      <c r="FE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Col""&amp;COLUMN(FE$1)&amp;""=1""))&amp;""' ORDER BY Col6 DESC LIMIT ""&amp;QUERY('Global Variables'!$A:$B, ""SELECT Col2 WHERE Col1 = 'STA"&amp;"RTING_ROSTER_SIZE'"")),0))"),0.0)</f>
        <v>0</v>
      </c>
      <c r="FF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Col""&amp;COLUMN(FF$1)&amp;""=1""))&amp;""' ORDER BY Col6 DESC LIMIT ""&amp;QUERY('Global Variables'!$A:$B, ""SELECT Col2 WHERE Col1 = 'STA"&amp;"RTING_ROSTER_SIZE'"")),0))"),0.0)</f>
        <v>0</v>
      </c>
      <c r="FG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Col""&amp;COLUMN(FG$1)&amp;""=1""))&amp;""' ORDER BY Col6 DESC LIMIT ""&amp;QUERY('Global Variables'!$A:$B, ""SELECT Col2 WHERE Col1 = 'STA"&amp;"RTING_ROSTER_SIZE'"")),0))"),0.0)</f>
        <v>0</v>
      </c>
      <c r="FH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Col""&amp;COLUMN(FH$1)&amp;""=1""))&amp;""' ORDER BY Col6 DESC LIMIT ""&amp;QUERY('Global Variables'!$A:$B, ""SELECT Col2 WHERE Col1 = 'STA"&amp;"RTING_ROSTER_SIZE'"")),0))"),0.0)</f>
        <v>0</v>
      </c>
      <c r="FI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Col""&amp;COLUMN(FI$1)&amp;""=1""))&amp;""' ORDER BY Col6 DESC LIMIT ""&amp;QUERY('Global Variables'!$A:$B, ""SELECT Col2 WHERE Col1 = 'STA"&amp;"RTING_ROSTER_SIZE'"")),0))"),0.0)</f>
        <v>0</v>
      </c>
      <c r="FJ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Col""&amp;COLUMN(FJ$1)&amp;""=1""))&amp;""' ORDER BY Col6 DESC LIMIT ""&amp;QUERY('Global Variables'!$A:$B, ""SELECT Col2 WHERE Col1 = 'STA"&amp;"RTING_ROSTER_SIZE'"")),0))"),0.0)</f>
        <v>0</v>
      </c>
      <c r="FK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Col""&amp;COLUMN(FK$1)&amp;""=1""))&amp;""' ORDER BY Col6 DESC LIMIT ""&amp;QUERY('Global Variables'!$A:$B, ""SELECT Col2 WHERE Col1 = 'STA"&amp;"RTING_ROSTER_SIZE'"")),0))"),0.0)</f>
        <v>0</v>
      </c>
      <c r="FL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Col""&amp;COLUMN(FL$1)&amp;""=1""))&amp;""' ORDER BY Col6 DESC LIMIT ""&amp;QUERY('Global Variables'!$A:$B, ""SELECT Col2 WHERE Col1 = 'STA"&amp;"RTING_ROSTER_SIZE'"")),0))"),0.0)</f>
        <v>0</v>
      </c>
      <c r="FM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Col""&amp;COLUMN(FM$1)&amp;""=1""))&amp;""' ORDER BY Col6 DESC LIMIT ""&amp;QUERY('Global Variables'!$A:$B, ""SELECT Col2 WHERE Col1 = 'STA"&amp;"RTING_ROSTER_SIZE'"")),0))"),0.0)</f>
        <v>0</v>
      </c>
      <c r="FN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Col""&amp;COLUMN(FN$1)&amp;""=1""))&amp;""' ORDER BY Col6 DESC LIMIT ""&amp;QUERY('Global Variables'!$A:$B, ""SELECT Col2 WHERE Col1 = 'STA"&amp;"RTING_ROSTER_SIZE'"")),0))"),0.0)</f>
        <v>0</v>
      </c>
      <c r="FO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Col""&amp;COLUMN(FO$1)&amp;""=1""))&amp;""' ORDER BY Col6 DESC LIMIT ""&amp;QUERY('Global Variables'!$A:$B, ""SELECT Col2 WHERE Col1 = 'STA"&amp;"RTING_ROSTER_SIZE'"")),0))"),0.0)</f>
        <v>0</v>
      </c>
      <c r="FP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Col""&amp;COLUMN(FP$1)&amp;""=1""))&amp;""' ORDER BY Col6 DESC LIMIT ""&amp;QUERY('Global Variables'!$A:$B, ""SELECT Col2 WHERE Col1 = 'STA"&amp;"RTING_ROSTER_SIZE'"")),0))"),0.0)</f>
        <v>0</v>
      </c>
      <c r="FQ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Col""&amp;COLUMN(FQ$1)&amp;""=1""))&amp;""' ORDER BY Col6 DESC LIMIT ""&amp;QUERY('Global Variables'!$A:$B, ""SELECT Col2 WHERE Col1 = 'STA"&amp;"RTING_ROSTER_SIZE'"")),0))"),0.0)</f>
        <v>0</v>
      </c>
      <c r="FR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Col""&amp;COLUMN(FR$1)&amp;""=1""))&amp;""' ORDER BY Col6 DESC LIMIT ""&amp;QUERY('Global Variables'!$A:$B, ""SELECT Col2 WHERE Col1 = 'STA"&amp;"RTING_ROSTER_SIZE'"")),0))"),0.0)</f>
        <v>0</v>
      </c>
      <c r="FS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Col""&amp;COLUMN(FS$1)&amp;""=1""))&amp;""' ORDER BY Col6 DESC LIMIT ""&amp;QUERY('Global Variables'!$A:$B, ""SELECT Col2 WHERE Col1 = 'STA"&amp;"RTING_ROSTER_SIZE'"")),0))"),0.0)</f>
        <v>0</v>
      </c>
      <c r="FT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Col""&amp;COLUMN(FT$1)&amp;""=1""))&amp;""' ORDER BY Col6 DESC LIMIT ""&amp;QUERY('Global Variables'!$A:$B, ""SELECT Col2 WHERE Col1 = 'STA"&amp;"RTING_ROSTER_SIZE'"")),0))"),0.0)</f>
        <v>0</v>
      </c>
      <c r="FU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Col""&amp;COLUMN(FU$1)&amp;""=1""))&amp;""' ORDER BY Col6 DESC LIMIT ""&amp;QUERY('Global Variables'!$A:$B, ""SELECT Col2 WHERE Col1 = 'STA"&amp;"RTING_ROSTER_SIZE'"")),0))"),0.0)</f>
        <v>0</v>
      </c>
      <c r="FV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Col""&amp;COLUMN(FV$1)&amp;""=1""))&amp;""' ORDER BY Col6 DESC LIMIT ""&amp;QUERY('Global Variables'!$A:$B, ""SELECT Col2 WHERE Col1 = 'STA"&amp;"RTING_ROSTER_SIZE'"")),0))"),0.0)</f>
        <v>0</v>
      </c>
      <c r="FW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Col""&amp;COLUMN(FW$1)&amp;""=1""))&amp;""' ORDER BY Col6 DESC LIMIT ""&amp;QUERY('Global Variables'!$A:$B, ""SELECT Col2 WHERE Col1 = 'STA"&amp;"RTING_ROSTER_SIZE'"")),0))"),0.0)</f>
        <v>0</v>
      </c>
      <c r="FX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Col""&amp;COLUMN(FX$1)&amp;""=1""))&amp;""' ORDER BY Col6 DESC LIMIT ""&amp;QUERY('Global Variables'!$A:$B, ""SELECT Col2 WHERE Col1 = 'STA"&amp;"RTING_ROSTER_SIZE'"")),0))"),0.0)</f>
        <v>0</v>
      </c>
      <c r="FY9" s="9">
        <f>IFERROR(__xludf.DUMMYFUNCTION("SUM(
IFERROR(QUERY(
IFERROR(
OFFSET(Teams!$A$1,MATCH($A9,Teams!$A:$A,0),1,QUERY('Global Variables'!$A:$B, ""SELECT Col2 WHERE Col1 = '""&amp;IF($B$21,""TEAM_SIZE"",""ACTIVE_ROSTER_SIZE"")&amp;""'""),QUERY('Global Variables'!$A:$B, ""SELECT Col2 WHERE Col1 = 'TEAM"&amp;"_DATA_FIELD_COUNT'"")),
OFFSET(Teams!$K$1,MATCH($A9,Teams!$K:$K,0),1,QUERY('Global Variables'!$A:$B, ""SELECT Col2 WHERE Col1 = '""&amp;IF($B$21,""TEAM_SIZE"",""ACTIVE_ROSTER_SIZE"")&amp;""'""),QUERY('Global Variables'!$A:$B, ""SELECT Col2 WHERE Col1 = 'TEAM_DATA"&amp;"_FIELD_COUNT'""))),
 ""SELECT Col6 WHERE Col4 MATCHES '""&amp;JOIN(""|"",QUERY(TRANSPOSE('Schedule Daily'!$1:$1000),""SELECT Col1 WHERE Col""&amp;COLUMN(FY$1)&amp;""=1""))&amp;""' ORDER BY Col6 DESC LIMIT ""&amp;QUERY('Global Variables'!$A:$B, ""SELECT Col2 WHERE Col1 = 'STA"&amp;"RTING_ROSTER_SIZE'"")),0))"),0.0)</f>
        <v>0</v>
      </c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</row>
    <row r="10">
      <c r="A10" s="32" t="str">
        <f>'Weekly EDSA'!A9</f>
        <v>Maguire</v>
      </c>
      <c r="B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Col""&amp;COLUMN(B$1)&amp;""=1""))&amp;""' ORDER BY Col6 DESC LIMIT ""&amp;QUERY('Global Variables'!$A:$B, ""SELECT Col2 WHERE Col1 = 'ST"&amp;"ARTING_ROSTER_SIZE'"")),0))"),0.0)</f>
        <v>0</v>
      </c>
      <c r="C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Col""&amp;COLUMN(C$1)&amp;""=1""))&amp;""' ORDER BY Col6 DESC LIMIT ""&amp;QUERY('Global Variables'!$A:$B, ""SELECT Col2 WHERE Col1 = 'ST"&amp;"ARTING_ROSTER_SIZE'"")),0))"),0.0)</f>
        <v>0</v>
      </c>
      <c r="D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Col""&amp;COLUMN(D$1)&amp;""=1""))&amp;""' ORDER BY Col6 DESC LIMIT ""&amp;QUERY('Global Variables'!$A:$B, ""SELECT Col2 WHERE Col1 = 'ST"&amp;"ARTING_ROSTER_SIZE'"")),0))"),0.0)</f>
        <v>0</v>
      </c>
      <c r="E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Col""&amp;COLUMN(E$1)&amp;""=1""))&amp;""' ORDER BY Col6 DESC LIMIT ""&amp;QUERY('Global Variables'!$A:$B, ""SELECT Col2 WHERE Col1 = 'ST"&amp;"ARTING_ROSTER_SIZE'"")),0))"),0.0)</f>
        <v>0</v>
      </c>
      <c r="F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Col""&amp;COLUMN(F$1)&amp;""=1""))&amp;""' ORDER BY Col6 DESC LIMIT ""&amp;QUERY('Global Variables'!$A:$B, ""SELECT Col2 WHERE Col1 = 'ST"&amp;"ARTING_ROSTER_SIZE'"")),0))"),0.0)</f>
        <v>0</v>
      </c>
      <c r="G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Col""&amp;COLUMN(G$1)&amp;""=1""))&amp;""' ORDER BY Col6 DESC LIMIT ""&amp;QUERY('Global Variables'!$A:$B, ""SELECT Col2 WHERE Col1 = 'ST"&amp;"ARTING_ROSTER_SIZE'"")),0))"),0.0)</f>
        <v>0</v>
      </c>
      <c r="H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Col""&amp;COLUMN(H$1)&amp;""=1""))&amp;""' ORDER BY Col6 DESC LIMIT ""&amp;QUERY('Global Variables'!$A:$B, ""SELECT Col2 WHERE Col1 = 'ST"&amp;"ARTING_ROSTER_SIZE'"")),0))"),0.0)</f>
        <v>0</v>
      </c>
      <c r="I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Col""&amp;COLUMN(I$1)&amp;""=1""))&amp;""' ORDER BY Col6 DESC LIMIT ""&amp;QUERY('Global Variables'!$A:$B, ""SELECT Col2 WHERE Col1 = 'ST"&amp;"ARTING_ROSTER_SIZE'"")),0))"),0.0)</f>
        <v>0</v>
      </c>
      <c r="J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Col""&amp;COLUMN(J$1)&amp;""=1""))&amp;""' ORDER BY Col6 DESC LIMIT ""&amp;QUERY('Global Variables'!$A:$B, ""SELECT Col2 WHERE Col1 = 'ST"&amp;"ARTING_ROSTER_SIZE'"")),0))"),0.0)</f>
        <v>0</v>
      </c>
      <c r="K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Col""&amp;COLUMN(K$1)&amp;""=1""))&amp;""' ORDER BY Col6 DESC LIMIT ""&amp;QUERY('Global Variables'!$A:$B, ""SELECT Col2 WHERE Col1 = 'ST"&amp;"ARTING_ROSTER_SIZE'"")),0))"),0.0)</f>
        <v>0</v>
      </c>
      <c r="L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Col""&amp;COLUMN(L$1)&amp;""=1""))&amp;""' ORDER BY Col6 DESC LIMIT ""&amp;QUERY('Global Variables'!$A:$B, ""SELECT Col2 WHERE Col1 = 'ST"&amp;"ARTING_ROSTER_SIZE'"")),0))"),0.0)</f>
        <v>0</v>
      </c>
      <c r="M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Col""&amp;COLUMN(M$1)&amp;""=1""))&amp;""' ORDER BY Col6 DESC LIMIT ""&amp;QUERY('Global Variables'!$A:$B, ""SELECT Col2 WHERE Col1 = 'ST"&amp;"ARTING_ROSTER_SIZE'"")),0))"),0.0)</f>
        <v>0</v>
      </c>
      <c r="N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Col""&amp;COLUMN(N$1)&amp;""=1""))&amp;""' ORDER BY Col6 DESC LIMIT ""&amp;QUERY('Global Variables'!$A:$B, ""SELECT Col2 WHERE Col1 = 'ST"&amp;"ARTING_ROSTER_SIZE'"")),0))"),0.0)</f>
        <v>0</v>
      </c>
      <c r="O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Col""&amp;COLUMN(O$1)&amp;""=1""))&amp;""' ORDER BY Col6 DESC LIMIT ""&amp;QUERY('Global Variables'!$A:$B, ""SELECT Col2 WHERE Col1 = 'ST"&amp;"ARTING_ROSTER_SIZE'"")),0))"),0.0)</f>
        <v>0</v>
      </c>
      <c r="P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Col""&amp;COLUMN(P$1)&amp;""=1""))&amp;""' ORDER BY Col6 DESC LIMIT ""&amp;QUERY('Global Variables'!$A:$B, ""SELECT Col2 WHERE Col1 = 'ST"&amp;"ARTING_ROSTER_SIZE'"")),0))"),0.0)</f>
        <v>0</v>
      </c>
      <c r="Q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Col""&amp;COLUMN(Q$1)&amp;""=1""))&amp;""' ORDER BY Col6 DESC LIMIT ""&amp;QUERY('Global Variables'!$A:$B, ""SELECT Col2 WHERE Col1 = 'ST"&amp;"ARTING_ROSTER_SIZE'"")),0))"),0.0)</f>
        <v>0</v>
      </c>
      <c r="R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Col""&amp;COLUMN(R$1)&amp;""=1""))&amp;""' ORDER BY Col6 DESC LIMIT ""&amp;QUERY('Global Variables'!$A:$B, ""SELECT Col2 WHERE Col1 = 'ST"&amp;"ARTING_ROSTER_SIZE'"")),0))"),0.0)</f>
        <v>0</v>
      </c>
      <c r="S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Col""&amp;COLUMN(S$1)&amp;""=1""))&amp;""' ORDER BY Col6 DESC LIMIT ""&amp;QUERY('Global Variables'!$A:$B, ""SELECT Col2 WHERE Col1 = 'ST"&amp;"ARTING_ROSTER_SIZE'"")),0))"),0.0)</f>
        <v>0</v>
      </c>
      <c r="T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Col""&amp;COLUMN(T$1)&amp;""=1""))&amp;""' ORDER BY Col6 DESC LIMIT ""&amp;QUERY('Global Variables'!$A:$B, ""SELECT Col2 WHERE Col1 = 'ST"&amp;"ARTING_ROSTER_SIZE'"")),0))"),0.0)</f>
        <v>0</v>
      </c>
      <c r="U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Col""&amp;COLUMN(U$1)&amp;""=1""))&amp;""' ORDER BY Col6 DESC LIMIT ""&amp;QUERY('Global Variables'!$A:$B, ""SELECT Col2 WHERE Col1 = 'ST"&amp;"ARTING_ROSTER_SIZE'"")),0))"),0.0)</f>
        <v>0</v>
      </c>
      <c r="V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Col""&amp;COLUMN(V$1)&amp;""=1""))&amp;""' ORDER BY Col6 DESC LIMIT ""&amp;QUERY('Global Variables'!$A:$B, ""SELECT Col2 WHERE Col1 = 'ST"&amp;"ARTING_ROSTER_SIZE'"")),0))"),0.0)</f>
        <v>0</v>
      </c>
      <c r="W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Col""&amp;COLUMN(W$1)&amp;""=1""))&amp;""' ORDER BY Col6 DESC LIMIT ""&amp;QUERY('Global Variables'!$A:$B, ""SELECT Col2 WHERE Col1 = 'ST"&amp;"ARTING_ROSTER_SIZE'"")),0))"),0.0)</f>
        <v>0</v>
      </c>
      <c r="X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Col""&amp;COLUMN(X$1)&amp;""=1""))&amp;""' ORDER BY Col6 DESC LIMIT ""&amp;QUERY('Global Variables'!$A:$B, ""SELECT Col2 WHERE Col1 = 'ST"&amp;"ARTING_ROSTER_SIZE'"")),0))"),0.0)</f>
        <v>0</v>
      </c>
      <c r="Y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Col""&amp;COLUMN(Y$1)&amp;""=1""))&amp;""' ORDER BY Col6 DESC LIMIT ""&amp;QUERY('Global Variables'!$A:$B, ""SELECT Col2 WHERE Col1 = 'ST"&amp;"ARTING_ROSTER_SIZE'"")),0))"),0.0)</f>
        <v>0</v>
      </c>
      <c r="Z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Col""&amp;COLUMN(Z$1)&amp;""=1""))&amp;""' ORDER BY Col6 DESC LIMIT ""&amp;QUERY('Global Variables'!$A:$B, ""SELECT Col2 WHERE Col1 = 'ST"&amp;"ARTING_ROSTER_SIZE'"")),0))"),0.0)</f>
        <v>0</v>
      </c>
      <c r="AA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Col""&amp;COLUMN(AA$1)&amp;""=1""))&amp;""' ORDER BY Col6 DESC LIMIT ""&amp;QUERY('Global Variables'!$A:$B, ""SELECT Col2 WHERE Col1 = 'S"&amp;"TARTING_ROSTER_SIZE'"")),0))"),0.0)</f>
        <v>0</v>
      </c>
      <c r="AB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Col""&amp;COLUMN(AB$1)&amp;""=1""))&amp;""' ORDER BY Col6 DESC LIMIT ""&amp;QUERY('Global Variables'!$A:$B, ""SELECT Col2 WHERE Col1 = 'S"&amp;"TARTING_ROSTER_SIZE'"")),0))"),0.0)</f>
        <v>0</v>
      </c>
      <c r="AC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Col""&amp;COLUMN(AC$1)&amp;""=1""))&amp;""' ORDER BY Col6 DESC LIMIT ""&amp;QUERY('Global Variables'!$A:$B, ""SELECT Col2 WHERE Col1 = 'S"&amp;"TARTING_ROSTER_SIZE'"")),0))"),0.0)</f>
        <v>0</v>
      </c>
      <c r="AD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Col""&amp;COLUMN(AD$1)&amp;""=1""))&amp;""' ORDER BY Col6 DESC LIMIT ""&amp;QUERY('Global Variables'!$A:$B, ""SELECT Col2 WHERE Col1 = 'S"&amp;"TARTING_ROSTER_SIZE'"")),0))"),0.0)</f>
        <v>0</v>
      </c>
      <c r="AE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Col""&amp;COLUMN(AE$1)&amp;""=1""))&amp;""' ORDER BY Col6 DESC LIMIT ""&amp;QUERY('Global Variables'!$A:$B, ""SELECT Col2 WHERE Col1 = 'S"&amp;"TARTING_ROSTER_SIZE'"")),0))"),0.0)</f>
        <v>0</v>
      </c>
      <c r="AF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Col""&amp;COLUMN(AF$1)&amp;""=1""))&amp;""' ORDER BY Col6 DESC LIMIT ""&amp;QUERY('Global Variables'!$A:$B, ""SELECT Col2 WHERE Col1 = 'S"&amp;"TARTING_ROSTER_SIZE'"")),0))"),0.0)</f>
        <v>0</v>
      </c>
      <c r="AG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Col""&amp;COLUMN(AG$1)&amp;""=1""))&amp;""' ORDER BY Col6 DESC LIMIT ""&amp;QUERY('Global Variables'!$A:$B, ""SELECT Col2 WHERE Col1 = 'S"&amp;"TARTING_ROSTER_SIZE'"")),0))"),0.0)</f>
        <v>0</v>
      </c>
      <c r="AH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Col""&amp;COLUMN(AH$1)&amp;""=1""))&amp;""' ORDER BY Col6 DESC LIMIT ""&amp;QUERY('Global Variables'!$A:$B, ""SELECT Col2 WHERE Col1 = 'S"&amp;"TARTING_ROSTER_SIZE'"")),0))"),0.0)</f>
        <v>0</v>
      </c>
      <c r="AI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Col""&amp;COLUMN(AI$1)&amp;""=1""))&amp;""' ORDER BY Col6 DESC LIMIT ""&amp;QUERY('Global Variables'!$A:$B, ""SELECT Col2 WHERE Col1 = 'S"&amp;"TARTING_ROSTER_SIZE'"")),0))"),0.0)</f>
        <v>0</v>
      </c>
      <c r="AJ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Col""&amp;COLUMN(AJ$1)&amp;""=1""))&amp;""' ORDER BY Col6 DESC LIMIT ""&amp;QUERY('Global Variables'!$A:$B, ""SELECT Col2 WHERE Col1 = 'S"&amp;"TARTING_ROSTER_SIZE'"")),0))"),0.0)</f>
        <v>0</v>
      </c>
      <c r="AK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Col""&amp;COLUMN(AK$1)&amp;""=1""))&amp;""' ORDER BY Col6 DESC LIMIT ""&amp;QUERY('Global Variables'!$A:$B, ""SELECT Col2 WHERE Col1 = 'S"&amp;"TARTING_ROSTER_SIZE'"")),0))"),0.0)</f>
        <v>0</v>
      </c>
      <c r="AL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Col""&amp;COLUMN(AL$1)&amp;""=1""))&amp;""' ORDER BY Col6 DESC LIMIT ""&amp;QUERY('Global Variables'!$A:$B, ""SELECT Col2 WHERE Col1 = 'S"&amp;"TARTING_ROSTER_SIZE'"")),0))"),0.0)</f>
        <v>0</v>
      </c>
      <c r="AM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Col""&amp;COLUMN(AM$1)&amp;""=1""))&amp;""' ORDER BY Col6 DESC LIMIT ""&amp;QUERY('Global Variables'!$A:$B, ""SELECT Col2 WHERE Col1 = 'S"&amp;"TARTING_ROSTER_SIZE'"")),0))"),0.0)</f>
        <v>0</v>
      </c>
      <c r="AN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Col""&amp;COLUMN(AN$1)&amp;""=1""))&amp;""' ORDER BY Col6 DESC LIMIT ""&amp;QUERY('Global Variables'!$A:$B, ""SELECT Col2 WHERE Col1 = 'S"&amp;"TARTING_ROSTER_SIZE'"")),0))"),0.0)</f>
        <v>0</v>
      </c>
      <c r="AO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Col""&amp;COLUMN(AO$1)&amp;""=1""))&amp;""' ORDER BY Col6 DESC LIMIT ""&amp;QUERY('Global Variables'!$A:$B, ""SELECT Col2 WHERE Col1 = 'S"&amp;"TARTING_ROSTER_SIZE'"")),0))"),0.0)</f>
        <v>0</v>
      </c>
      <c r="AP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Col""&amp;COLUMN(AP$1)&amp;""=1""))&amp;""' ORDER BY Col6 DESC LIMIT ""&amp;QUERY('Global Variables'!$A:$B, ""SELECT Col2 WHERE Col1 = 'S"&amp;"TARTING_ROSTER_SIZE'"")),0))"),0.0)</f>
        <v>0</v>
      </c>
      <c r="AQ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Col""&amp;COLUMN(AQ$1)&amp;""=1""))&amp;""' ORDER BY Col6 DESC LIMIT ""&amp;QUERY('Global Variables'!$A:$B, ""SELECT Col2 WHERE Col1 = 'S"&amp;"TARTING_ROSTER_SIZE'"")),0))"),0.0)</f>
        <v>0</v>
      </c>
      <c r="AR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Col""&amp;COLUMN(AR$1)&amp;""=1""))&amp;""' ORDER BY Col6 DESC LIMIT ""&amp;QUERY('Global Variables'!$A:$B, ""SELECT Col2 WHERE Col1 = 'S"&amp;"TARTING_ROSTER_SIZE'"")),0))"),0.0)</f>
        <v>0</v>
      </c>
      <c r="AS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Col""&amp;COLUMN(AS$1)&amp;""=1""))&amp;""' ORDER BY Col6 DESC LIMIT ""&amp;QUERY('Global Variables'!$A:$B, ""SELECT Col2 WHERE Col1 = 'S"&amp;"TARTING_ROSTER_SIZE'"")),0))"),0.0)</f>
        <v>0</v>
      </c>
      <c r="AT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Col""&amp;COLUMN(AT$1)&amp;""=1""))&amp;""' ORDER BY Col6 DESC LIMIT ""&amp;QUERY('Global Variables'!$A:$B, ""SELECT Col2 WHERE Col1 = 'S"&amp;"TARTING_ROSTER_SIZE'"")),0))"),0.0)</f>
        <v>0</v>
      </c>
      <c r="AU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Col""&amp;COLUMN(AU$1)&amp;""=1""))&amp;""' ORDER BY Col6 DESC LIMIT ""&amp;QUERY('Global Variables'!$A:$B, ""SELECT Col2 WHERE Col1 = 'S"&amp;"TARTING_ROSTER_SIZE'"")),0))"),0.0)</f>
        <v>0</v>
      </c>
      <c r="AV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Col""&amp;COLUMN(AV$1)&amp;""=1""))&amp;""' ORDER BY Col6 DESC LIMIT ""&amp;QUERY('Global Variables'!$A:$B, ""SELECT Col2 WHERE Col1 = 'S"&amp;"TARTING_ROSTER_SIZE'"")),0))"),0.0)</f>
        <v>0</v>
      </c>
      <c r="AW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Col""&amp;COLUMN(AW$1)&amp;""=1""))&amp;""' ORDER BY Col6 DESC LIMIT ""&amp;QUERY('Global Variables'!$A:$B, ""SELECT Col2 WHERE Col1 = 'S"&amp;"TARTING_ROSTER_SIZE'"")),0))"),0.0)</f>
        <v>0</v>
      </c>
      <c r="AX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Col""&amp;COLUMN(AX$1)&amp;""=1""))&amp;""' ORDER BY Col6 DESC LIMIT ""&amp;QUERY('Global Variables'!$A:$B, ""SELECT Col2 WHERE Col1 = 'S"&amp;"TARTING_ROSTER_SIZE'"")),0))"),0.0)</f>
        <v>0</v>
      </c>
      <c r="AY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Col""&amp;COLUMN(AY$1)&amp;""=1""))&amp;""' ORDER BY Col6 DESC LIMIT ""&amp;QUERY('Global Variables'!$A:$B, ""SELECT Col2 WHERE Col1 = 'S"&amp;"TARTING_ROSTER_SIZE'"")),0))"),0.0)</f>
        <v>0</v>
      </c>
      <c r="AZ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Col""&amp;COLUMN(AZ$1)&amp;""=1""))&amp;""' ORDER BY Col6 DESC LIMIT ""&amp;QUERY('Global Variables'!$A:$B, ""SELECT Col2 WHERE Col1 = 'S"&amp;"TARTING_ROSTER_SIZE'"")),0))"),0.0)</f>
        <v>0</v>
      </c>
      <c r="BA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Col""&amp;COLUMN(BA$1)&amp;""=1""))&amp;""' ORDER BY Col6 DESC LIMIT ""&amp;QUERY('Global Variables'!$A:$B, ""SELECT Col2 WHERE Col1 = 'S"&amp;"TARTING_ROSTER_SIZE'"")),0))"),0.0)</f>
        <v>0</v>
      </c>
      <c r="BB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Col""&amp;COLUMN(BB$1)&amp;""=1""))&amp;""' ORDER BY Col6 DESC LIMIT ""&amp;QUERY('Global Variables'!$A:$B, ""SELECT Col2 WHERE Col1 = 'S"&amp;"TARTING_ROSTER_SIZE'"")),0))"),0.0)</f>
        <v>0</v>
      </c>
      <c r="BC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Col""&amp;COLUMN(BC$1)&amp;""=1""))&amp;""' ORDER BY Col6 DESC LIMIT ""&amp;QUERY('Global Variables'!$A:$B, ""SELECT Col2 WHERE Col1 = 'S"&amp;"TARTING_ROSTER_SIZE'"")),0))"),0.0)</f>
        <v>0</v>
      </c>
      <c r="BD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Col""&amp;COLUMN(BD$1)&amp;""=1""))&amp;""' ORDER BY Col6 DESC LIMIT ""&amp;QUERY('Global Variables'!$A:$B, ""SELECT Col2 WHERE Col1 = 'S"&amp;"TARTING_ROSTER_SIZE'"")),0))"),0.0)</f>
        <v>0</v>
      </c>
      <c r="BE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Col""&amp;COLUMN(BE$1)&amp;""=1""))&amp;""' ORDER BY Col6 DESC LIMIT ""&amp;QUERY('Global Variables'!$A:$B, ""SELECT Col2 WHERE Col1 = 'S"&amp;"TARTING_ROSTER_SIZE'"")),0))"),0.0)</f>
        <v>0</v>
      </c>
      <c r="BF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Col""&amp;COLUMN(BF$1)&amp;""=1""))&amp;""' ORDER BY Col6 DESC LIMIT ""&amp;QUERY('Global Variables'!$A:$B, ""SELECT Col2 WHERE Col1 = 'S"&amp;"TARTING_ROSTER_SIZE'"")),0))"),0.0)</f>
        <v>0</v>
      </c>
      <c r="BG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Col""&amp;COLUMN(BG$1)&amp;""=1""))&amp;""' ORDER BY Col6 DESC LIMIT ""&amp;QUERY('Global Variables'!$A:$B, ""SELECT Col2 WHERE Col1 = 'S"&amp;"TARTING_ROSTER_SIZE'"")),0))"),0.0)</f>
        <v>0</v>
      </c>
      <c r="BH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Col""&amp;COLUMN(BH$1)&amp;""=1""))&amp;""' ORDER BY Col6 DESC LIMIT ""&amp;QUERY('Global Variables'!$A:$B, ""SELECT Col2 WHERE Col1 = 'S"&amp;"TARTING_ROSTER_SIZE'"")),0))"),0.0)</f>
        <v>0</v>
      </c>
      <c r="BI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Col""&amp;COLUMN(BI$1)&amp;""=1""))&amp;""' ORDER BY Col6 DESC LIMIT ""&amp;QUERY('Global Variables'!$A:$B, ""SELECT Col2 WHERE Col1 = 'S"&amp;"TARTING_ROSTER_SIZE'"")),0))"),0.0)</f>
        <v>0</v>
      </c>
      <c r="BJ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Col""&amp;COLUMN(BJ$1)&amp;""=1""))&amp;""' ORDER BY Col6 DESC LIMIT ""&amp;QUERY('Global Variables'!$A:$B, ""SELECT Col2 WHERE Col1 = 'S"&amp;"TARTING_ROSTER_SIZE'"")),0))"),0.0)</f>
        <v>0</v>
      </c>
      <c r="BK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Col""&amp;COLUMN(BK$1)&amp;""=1""))&amp;""' ORDER BY Col6 DESC LIMIT ""&amp;QUERY('Global Variables'!$A:$B, ""SELECT Col2 WHERE Col1 = 'S"&amp;"TARTING_ROSTER_SIZE'"")),0))"),0.0)</f>
        <v>0</v>
      </c>
      <c r="BL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Col""&amp;COLUMN(BL$1)&amp;""=1""))&amp;""' ORDER BY Col6 DESC LIMIT ""&amp;QUERY('Global Variables'!$A:$B, ""SELECT Col2 WHERE Col1 = 'S"&amp;"TARTING_ROSTER_SIZE'"")),0))"),0.0)</f>
        <v>0</v>
      </c>
      <c r="BM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Col""&amp;COLUMN(BM$1)&amp;""=1""))&amp;""' ORDER BY Col6 DESC LIMIT ""&amp;QUERY('Global Variables'!$A:$B, ""SELECT Col2 WHERE Col1 = 'S"&amp;"TARTING_ROSTER_SIZE'"")),0))"),0.0)</f>
        <v>0</v>
      </c>
      <c r="BN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Col""&amp;COLUMN(BN$1)&amp;""=1""))&amp;""' ORDER BY Col6 DESC LIMIT ""&amp;QUERY('Global Variables'!$A:$B, ""SELECT Col2 WHERE Col1 = 'S"&amp;"TARTING_ROSTER_SIZE'"")),0))"),0.0)</f>
        <v>0</v>
      </c>
      <c r="BO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Col""&amp;COLUMN(BO$1)&amp;""=1""))&amp;""' ORDER BY Col6 DESC LIMIT ""&amp;QUERY('Global Variables'!$A:$B, ""SELECT Col2 WHERE Col1 = 'S"&amp;"TARTING_ROSTER_SIZE'"")),0))"),0.0)</f>
        <v>0</v>
      </c>
      <c r="BP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Col""&amp;COLUMN(BP$1)&amp;""=1""))&amp;""' ORDER BY Col6 DESC LIMIT ""&amp;QUERY('Global Variables'!$A:$B, ""SELECT Col2 WHERE Col1 = 'S"&amp;"TARTING_ROSTER_SIZE'"")),0))"),0.0)</f>
        <v>0</v>
      </c>
      <c r="BQ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Col""&amp;COLUMN(BQ$1)&amp;""=1""))&amp;""' ORDER BY Col6 DESC LIMIT ""&amp;QUERY('Global Variables'!$A:$B, ""SELECT Col2 WHERE Col1 = 'S"&amp;"TARTING_ROSTER_SIZE'"")),0))"),0.0)</f>
        <v>0</v>
      </c>
      <c r="BR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Col""&amp;COLUMN(BR$1)&amp;""=1""))&amp;""' ORDER BY Col6 DESC LIMIT ""&amp;QUERY('Global Variables'!$A:$B, ""SELECT Col2 WHERE Col1 = 'S"&amp;"TARTING_ROSTER_SIZE'"")),0))"),0.0)</f>
        <v>0</v>
      </c>
      <c r="BS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Col""&amp;COLUMN(BS$1)&amp;""=1""))&amp;""' ORDER BY Col6 DESC LIMIT ""&amp;QUERY('Global Variables'!$A:$B, ""SELECT Col2 WHERE Col1 = 'S"&amp;"TARTING_ROSTER_SIZE'"")),0))"),0.0)</f>
        <v>0</v>
      </c>
      <c r="BT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Col""&amp;COLUMN(BT$1)&amp;""=1""))&amp;""' ORDER BY Col6 DESC LIMIT ""&amp;QUERY('Global Variables'!$A:$B, ""SELECT Col2 WHERE Col1 = 'S"&amp;"TARTING_ROSTER_SIZE'"")),0))"),0.0)</f>
        <v>0</v>
      </c>
      <c r="BU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Col""&amp;COLUMN(BU$1)&amp;""=1""))&amp;""' ORDER BY Col6 DESC LIMIT ""&amp;QUERY('Global Variables'!$A:$B, ""SELECT Col2 WHERE Col1 = 'S"&amp;"TARTING_ROSTER_SIZE'"")),0))"),0.0)</f>
        <v>0</v>
      </c>
      <c r="BV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Col""&amp;COLUMN(BV$1)&amp;""=1""))&amp;""' ORDER BY Col6 DESC LIMIT ""&amp;QUERY('Global Variables'!$A:$B, ""SELECT Col2 WHERE Col1 = 'S"&amp;"TARTING_ROSTER_SIZE'"")),0))"),0.0)</f>
        <v>0</v>
      </c>
      <c r="BW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Col""&amp;COLUMN(BW$1)&amp;""=1""))&amp;""' ORDER BY Col6 DESC LIMIT ""&amp;QUERY('Global Variables'!$A:$B, ""SELECT Col2 WHERE Col1 = 'S"&amp;"TARTING_ROSTER_SIZE'"")),0))"),0.0)</f>
        <v>0</v>
      </c>
      <c r="BX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Col""&amp;COLUMN(BX$1)&amp;""=1""))&amp;""' ORDER BY Col6 DESC LIMIT ""&amp;QUERY('Global Variables'!$A:$B, ""SELECT Col2 WHERE Col1 = 'S"&amp;"TARTING_ROSTER_SIZE'"")),0))"),0.0)</f>
        <v>0</v>
      </c>
      <c r="BY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Col""&amp;COLUMN(BY$1)&amp;""=1""))&amp;""' ORDER BY Col6 DESC LIMIT ""&amp;QUERY('Global Variables'!$A:$B, ""SELECT Col2 WHERE Col1 = 'S"&amp;"TARTING_ROSTER_SIZE'"")),0))"),0.0)</f>
        <v>0</v>
      </c>
      <c r="BZ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Col""&amp;COLUMN(BZ$1)&amp;""=1""))&amp;""' ORDER BY Col6 DESC LIMIT ""&amp;QUERY('Global Variables'!$A:$B, ""SELECT Col2 WHERE Col1 = 'S"&amp;"TARTING_ROSTER_SIZE'"")),0))"),0.0)</f>
        <v>0</v>
      </c>
      <c r="CA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Col""&amp;COLUMN(CA$1)&amp;""=1""))&amp;""' ORDER BY Col6 DESC LIMIT ""&amp;QUERY('Global Variables'!$A:$B, ""SELECT Col2 WHERE Col1 = 'S"&amp;"TARTING_ROSTER_SIZE'"")),0))"),0.0)</f>
        <v>0</v>
      </c>
      <c r="CB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Col""&amp;COLUMN(CB$1)&amp;""=1""))&amp;""' ORDER BY Col6 DESC LIMIT ""&amp;QUERY('Global Variables'!$A:$B, ""SELECT Col2 WHERE Col1 = 'S"&amp;"TARTING_ROSTER_SIZE'"")),0))"),0.0)</f>
        <v>0</v>
      </c>
      <c r="CC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Col""&amp;COLUMN(CC$1)&amp;""=1""))&amp;""' ORDER BY Col6 DESC LIMIT ""&amp;QUERY('Global Variables'!$A:$B, ""SELECT Col2 WHERE Col1 = 'S"&amp;"TARTING_ROSTER_SIZE'"")),0))"),0.0)</f>
        <v>0</v>
      </c>
      <c r="CD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Col""&amp;COLUMN(CD$1)&amp;""=1""))&amp;""' ORDER BY Col6 DESC LIMIT ""&amp;QUERY('Global Variables'!$A:$B, ""SELECT Col2 WHERE Col1 = 'S"&amp;"TARTING_ROSTER_SIZE'"")),0))"),0.0)</f>
        <v>0</v>
      </c>
      <c r="CE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Col""&amp;COLUMN(CE$1)&amp;""=1""))&amp;""' ORDER BY Col6 DESC LIMIT ""&amp;QUERY('Global Variables'!$A:$B, ""SELECT Col2 WHERE Col1 = 'S"&amp;"TARTING_ROSTER_SIZE'"")),0))"),0.0)</f>
        <v>0</v>
      </c>
      <c r="CF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Col""&amp;COLUMN(CF$1)&amp;""=1""))&amp;""' ORDER BY Col6 DESC LIMIT ""&amp;QUERY('Global Variables'!$A:$B, ""SELECT Col2 WHERE Col1 = 'S"&amp;"TARTING_ROSTER_SIZE'"")),0))"),0.0)</f>
        <v>0</v>
      </c>
      <c r="CG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Col""&amp;COLUMN(CG$1)&amp;""=1""))&amp;""' ORDER BY Col6 DESC LIMIT ""&amp;QUERY('Global Variables'!$A:$B, ""SELECT Col2 WHERE Col1 = 'S"&amp;"TARTING_ROSTER_SIZE'"")),0))"),0.0)</f>
        <v>0</v>
      </c>
      <c r="CH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Col""&amp;COLUMN(CH$1)&amp;""=1""))&amp;""' ORDER BY Col6 DESC LIMIT ""&amp;QUERY('Global Variables'!$A:$B, ""SELECT Col2 WHERE Col1 = 'S"&amp;"TARTING_ROSTER_SIZE'"")),0))"),0.0)</f>
        <v>0</v>
      </c>
      <c r="CI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Col""&amp;COLUMN(CI$1)&amp;""=1""))&amp;""' ORDER BY Col6 DESC LIMIT ""&amp;QUERY('Global Variables'!$A:$B, ""SELECT Col2 WHERE Col1 = 'S"&amp;"TARTING_ROSTER_SIZE'"")),0))"),0.0)</f>
        <v>0</v>
      </c>
      <c r="CJ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Col""&amp;COLUMN(CJ$1)&amp;""=1""))&amp;""' ORDER BY Col6 DESC LIMIT ""&amp;QUERY('Global Variables'!$A:$B, ""SELECT Col2 WHERE Col1 = 'S"&amp;"TARTING_ROSTER_SIZE'"")),0))"),0.0)</f>
        <v>0</v>
      </c>
      <c r="CK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Col""&amp;COLUMN(CK$1)&amp;""=1""))&amp;""' ORDER BY Col6 DESC LIMIT ""&amp;QUERY('Global Variables'!$A:$B, ""SELECT Col2 WHERE Col1 = 'S"&amp;"TARTING_ROSTER_SIZE'"")),0))"),0.0)</f>
        <v>0</v>
      </c>
      <c r="CL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Col""&amp;COLUMN(CL$1)&amp;""=1""))&amp;""' ORDER BY Col6 DESC LIMIT ""&amp;QUERY('Global Variables'!$A:$B, ""SELECT Col2 WHERE Col1 = 'S"&amp;"TARTING_ROSTER_SIZE'"")),0))"),0.0)</f>
        <v>0</v>
      </c>
      <c r="CM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Col""&amp;COLUMN(CM$1)&amp;""=1""))&amp;""' ORDER BY Col6 DESC LIMIT ""&amp;QUERY('Global Variables'!$A:$B, ""SELECT Col2 WHERE Col1 = 'S"&amp;"TARTING_ROSTER_SIZE'"")),0))"),0.0)</f>
        <v>0</v>
      </c>
      <c r="CN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Col""&amp;COLUMN(CN$1)&amp;""=1""))&amp;""' ORDER BY Col6 DESC LIMIT ""&amp;QUERY('Global Variables'!$A:$B, ""SELECT Col2 WHERE Col1 = 'S"&amp;"TARTING_ROSTER_SIZE'"")),0))"),0.0)</f>
        <v>0</v>
      </c>
      <c r="CO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Col""&amp;COLUMN(CO$1)&amp;""=1""))&amp;""' ORDER BY Col6 DESC LIMIT ""&amp;QUERY('Global Variables'!$A:$B, ""SELECT Col2 WHERE Col1 = 'S"&amp;"TARTING_ROSTER_SIZE'"")),0))"),0.0)</f>
        <v>0</v>
      </c>
      <c r="CP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Col""&amp;COLUMN(CP$1)&amp;""=1""))&amp;""' ORDER BY Col6 DESC LIMIT ""&amp;QUERY('Global Variables'!$A:$B, ""SELECT Col2 WHERE Col1 = 'S"&amp;"TARTING_ROSTER_SIZE'"")),0))"),0.0)</f>
        <v>0</v>
      </c>
      <c r="CQ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Col""&amp;COLUMN(CQ$1)&amp;""=1""))&amp;""' ORDER BY Col6 DESC LIMIT ""&amp;QUERY('Global Variables'!$A:$B, ""SELECT Col2 WHERE Col1 = 'S"&amp;"TARTING_ROSTER_SIZE'"")),0))"),0.0)</f>
        <v>0</v>
      </c>
      <c r="CR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Col""&amp;COLUMN(CR$1)&amp;""=1""))&amp;""' ORDER BY Col6 DESC LIMIT ""&amp;QUERY('Global Variables'!$A:$B, ""SELECT Col2 WHERE Col1 = 'S"&amp;"TARTING_ROSTER_SIZE'"")),0))"),0.0)</f>
        <v>0</v>
      </c>
      <c r="CS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Col""&amp;COLUMN(CS$1)&amp;""=1""))&amp;""' ORDER BY Col6 DESC LIMIT ""&amp;QUERY('Global Variables'!$A:$B, ""SELECT Col2 WHERE Col1 = 'S"&amp;"TARTING_ROSTER_SIZE'"")),0))"),0.0)</f>
        <v>0</v>
      </c>
      <c r="CT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Col""&amp;COLUMN(CT$1)&amp;""=1""))&amp;""' ORDER BY Col6 DESC LIMIT ""&amp;QUERY('Global Variables'!$A:$B, ""SELECT Col2 WHERE Col1 = 'S"&amp;"TARTING_ROSTER_SIZE'"")),0))"),0.0)</f>
        <v>0</v>
      </c>
      <c r="CU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Col""&amp;COLUMN(CU$1)&amp;""=1""))&amp;""' ORDER BY Col6 DESC LIMIT ""&amp;QUERY('Global Variables'!$A:$B, ""SELECT Col2 WHERE Col1 = 'S"&amp;"TARTING_ROSTER_SIZE'"")),0))"),0.0)</f>
        <v>0</v>
      </c>
      <c r="CV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Col""&amp;COLUMN(CV$1)&amp;""=1""))&amp;""' ORDER BY Col6 DESC LIMIT ""&amp;QUERY('Global Variables'!$A:$B, ""SELECT Col2 WHERE Col1 = 'S"&amp;"TARTING_ROSTER_SIZE'"")),0))"),0.0)</f>
        <v>0</v>
      </c>
      <c r="CW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Col""&amp;COLUMN(CW$1)&amp;""=1""))&amp;""' ORDER BY Col6 DESC LIMIT ""&amp;QUERY('Global Variables'!$A:$B, ""SELECT Col2 WHERE Col1 = 'S"&amp;"TARTING_ROSTER_SIZE'"")),0))"),0.0)</f>
        <v>0</v>
      </c>
      <c r="CX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Col""&amp;COLUMN(CX$1)&amp;""=1""))&amp;""' ORDER BY Col6 DESC LIMIT ""&amp;QUERY('Global Variables'!$A:$B, ""SELECT Col2 WHERE Col1 = 'S"&amp;"TARTING_ROSTER_SIZE'"")),0))"),0.0)</f>
        <v>0</v>
      </c>
      <c r="CY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Col""&amp;COLUMN(CY$1)&amp;""=1""))&amp;""' ORDER BY Col6 DESC LIMIT ""&amp;QUERY('Global Variables'!$A:$B, ""SELECT Col2 WHERE Col1 = 'S"&amp;"TARTING_ROSTER_SIZE'"")),0))"),0.0)</f>
        <v>0</v>
      </c>
      <c r="CZ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Col""&amp;COLUMN(CZ$1)&amp;""=1""))&amp;""' ORDER BY Col6 DESC LIMIT ""&amp;QUERY('Global Variables'!$A:$B, ""SELECT Col2 WHERE Col1 = 'S"&amp;"TARTING_ROSTER_SIZE'"")),0))"),0.0)</f>
        <v>0</v>
      </c>
      <c r="DA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Col""&amp;COLUMN(DA$1)&amp;""=1""))&amp;""' ORDER BY Col6 DESC LIMIT ""&amp;QUERY('Global Variables'!$A:$B, ""SELECT Col2 WHERE Col1 = 'S"&amp;"TARTING_ROSTER_SIZE'"")),0))"),0.0)</f>
        <v>0</v>
      </c>
      <c r="DB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Col""&amp;COLUMN(DB$1)&amp;""=1""))&amp;""' ORDER BY Col6 DESC LIMIT ""&amp;QUERY('Global Variables'!$A:$B, ""SELECT Col2 WHERE Col1 = 'S"&amp;"TARTING_ROSTER_SIZE'"")),0))"),0.0)</f>
        <v>0</v>
      </c>
      <c r="DC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Col""&amp;COLUMN(DC$1)&amp;""=1""))&amp;""' ORDER BY Col6 DESC LIMIT ""&amp;QUERY('Global Variables'!$A:$B, ""SELECT Col2 WHERE Col1 = 'S"&amp;"TARTING_ROSTER_SIZE'"")),0))"),0.0)</f>
        <v>0</v>
      </c>
      <c r="DD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Col""&amp;COLUMN(DD$1)&amp;""=1""))&amp;""' ORDER BY Col6 DESC LIMIT ""&amp;QUERY('Global Variables'!$A:$B, ""SELECT Col2 WHERE Col1 = 'S"&amp;"TARTING_ROSTER_SIZE'"")),0))"),0.0)</f>
        <v>0</v>
      </c>
      <c r="DE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Col""&amp;COLUMN(DE$1)&amp;""=1""))&amp;""' ORDER BY Col6 DESC LIMIT ""&amp;QUERY('Global Variables'!$A:$B, ""SELECT Col2 WHERE Col1 = 'S"&amp;"TARTING_ROSTER_SIZE'"")),0))"),0.0)</f>
        <v>0</v>
      </c>
      <c r="DF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Col""&amp;COLUMN(DF$1)&amp;""=1""))&amp;""' ORDER BY Col6 DESC LIMIT ""&amp;QUERY('Global Variables'!$A:$B, ""SELECT Col2 WHERE Col1 = 'S"&amp;"TARTING_ROSTER_SIZE'"")),0))"),0.0)</f>
        <v>0</v>
      </c>
      <c r="DG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Col""&amp;COLUMN(DG$1)&amp;""=1""))&amp;""' ORDER BY Col6 DESC LIMIT ""&amp;QUERY('Global Variables'!$A:$B, ""SELECT Col2 WHERE Col1 = 'S"&amp;"TARTING_ROSTER_SIZE'"")),0))"),0.0)</f>
        <v>0</v>
      </c>
      <c r="DH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Col""&amp;COLUMN(DH$1)&amp;""=1""))&amp;""' ORDER BY Col6 DESC LIMIT ""&amp;QUERY('Global Variables'!$A:$B, ""SELECT Col2 WHERE Col1 = 'S"&amp;"TARTING_ROSTER_SIZE'"")),0))"),0.0)</f>
        <v>0</v>
      </c>
      <c r="DI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Col""&amp;COLUMN(DI$1)&amp;""=1""))&amp;""' ORDER BY Col6 DESC LIMIT ""&amp;QUERY('Global Variables'!$A:$B, ""SELECT Col2 WHERE Col1 = 'S"&amp;"TARTING_ROSTER_SIZE'"")),0))"),0.0)</f>
        <v>0</v>
      </c>
      <c r="DJ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Col""&amp;COLUMN(DJ$1)&amp;""=1""))&amp;""' ORDER BY Col6 DESC LIMIT ""&amp;QUERY('Global Variables'!$A:$B, ""SELECT Col2 WHERE Col1 = 'S"&amp;"TARTING_ROSTER_SIZE'"")),0))"),0.0)</f>
        <v>0</v>
      </c>
      <c r="DK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Col""&amp;COLUMN(DK$1)&amp;""=1""))&amp;""' ORDER BY Col6 DESC LIMIT ""&amp;QUERY('Global Variables'!$A:$B, ""SELECT Col2 WHERE Col1 = 'S"&amp;"TARTING_ROSTER_SIZE'"")),0))"),0.0)</f>
        <v>0</v>
      </c>
      <c r="DL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Col""&amp;COLUMN(DL$1)&amp;""=1""))&amp;""' ORDER BY Col6 DESC LIMIT ""&amp;QUERY('Global Variables'!$A:$B, ""SELECT Col2 WHERE Col1 = 'S"&amp;"TARTING_ROSTER_SIZE'"")),0))"),0.0)</f>
        <v>0</v>
      </c>
      <c r="DM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Col""&amp;COLUMN(DM$1)&amp;""=1""))&amp;""' ORDER BY Col6 DESC LIMIT ""&amp;QUERY('Global Variables'!$A:$B, ""SELECT Col2 WHERE Col1 = 'S"&amp;"TARTING_ROSTER_SIZE'"")),0))"),0.0)</f>
        <v>0</v>
      </c>
      <c r="DN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Col""&amp;COLUMN(DN$1)&amp;""=1""))&amp;""' ORDER BY Col6 DESC LIMIT ""&amp;QUERY('Global Variables'!$A:$B, ""SELECT Col2 WHERE Col1 = 'S"&amp;"TARTING_ROSTER_SIZE'"")),0))"),0.0)</f>
        <v>0</v>
      </c>
      <c r="DO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Col""&amp;COLUMN(DO$1)&amp;""=1""))&amp;""' ORDER BY Col6 DESC LIMIT ""&amp;QUERY('Global Variables'!$A:$B, ""SELECT Col2 WHERE Col1 = 'S"&amp;"TARTING_ROSTER_SIZE'"")),0))"),0.0)</f>
        <v>0</v>
      </c>
      <c r="DP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Col""&amp;COLUMN(DP$1)&amp;""=1""))&amp;""' ORDER BY Col6 DESC LIMIT ""&amp;QUERY('Global Variables'!$A:$B, ""SELECT Col2 WHERE Col1 = 'S"&amp;"TARTING_ROSTER_SIZE'"")),0))"),0.0)</f>
        <v>0</v>
      </c>
      <c r="DQ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Col""&amp;COLUMN(DQ$1)&amp;""=1""))&amp;""' ORDER BY Col6 DESC LIMIT ""&amp;QUERY('Global Variables'!$A:$B, ""SELECT Col2 WHERE Col1 = 'S"&amp;"TARTING_ROSTER_SIZE'"")),0))"),0.0)</f>
        <v>0</v>
      </c>
      <c r="DR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Col""&amp;COLUMN(DR$1)&amp;""=1""))&amp;""' ORDER BY Col6 DESC LIMIT ""&amp;QUERY('Global Variables'!$A:$B, ""SELECT Col2 WHERE Col1 = 'S"&amp;"TARTING_ROSTER_SIZE'"")),0))"),0.0)</f>
        <v>0</v>
      </c>
      <c r="DS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Col""&amp;COLUMN(DS$1)&amp;""=1""))&amp;""' ORDER BY Col6 DESC LIMIT ""&amp;QUERY('Global Variables'!$A:$B, ""SELECT Col2 WHERE Col1 = 'S"&amp;"TARTING_ROSTER_SIZE'"")),0))"),0.0)</f>
        <v>0</v>
      </c>
      <c r="DT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Col""&amp;COLUMN(DT$1)&amp;""=1""))&amp;""' ORDER BY Col6 DESC LIMIT ""&amp;QUERY('Global Variables'!$A:$B, ""SELECT Col2 WHERE Col1 = 'S"&amp;"TARTING_ROSTER_SIZE'"")),0))"),0.0)</f>
        <v>0</v>
      </c>
      <c r="DU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Col""&amp;COLUMN(DU$1)&amp;""=1""))&amp;""' ORDER BY Col6 DESC LIMIT ""&amp;QUERY('Global Variables'!$A:$B, ""SELECT Col2 WHERE Col1 = 'S"&amp;"TARTING_ROSTER_SIZE'"")),0))"),0.0)</f>
        <v>0</v>
      </c>
      <c r="DV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Col""&amp;COLUMN(DV$1)&amp;""=1""))&amp;""' ORDER BY Col6 DESC LIMIT ""&amp;QUERY('Global Variables'!$A:$B, ""SELECT Col2 WHERE Col1 = 'S"&amp;"TARTING_ROSTER_SIZE'"")),0))"),0.0)</f>
        <v>0</v>
      </c>
      <c r="DW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Col""&amp;COLUMN(DW$1)&amp;""=1""))&amp;""' ORDER BY Col6 DESC LIMIT ""&amp;QUERY('Global Variables'!$A:$B, ""SELECT Col2 WHERE Col1 = 'S"&amp;"TARTING_ROSTER_SIZE'"")),0))"),0.0)</f>
        <v>0</v>
      </c>
      <c r="DX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Col""&amp;COLUMN(DX$1)&amp;""=1""))&amp;""' ORDER BY Col6 DESC LIMIT ""&amp;QUERY('Global Variables'!$A:$B, ""SELECT Col2 WHERE Col1 = 'S"&amp;"TARTING_ROSTER_SIZE'"")),0))"),0.0)</f>
        <v>0</v>
      </c>
      <c r="DY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Col""&amp;COLUMN(DY$1)&amp;""=1""))&amp;""' ORDER BY Col6 DESC LIMIT ""&amp;QUERY('Global Variables'!$A:$B, ""SELECT Col2 WHERE Col1 = 'S"&amp;"TARTING_ROSTER_SIZE'"")),0))"),0.0)</f>
        <v>0</v>
      </c>
      <c r="DZ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Col""&amp;COLUMN(DZ$1)&amp;""=1""))&amp;""' ORDER BY Col6 DESC LIMIT ""&amp;QUERY('Global Variables'!$A:$B, ""SELECT Col2 WHERE Col1 = 'S"&amp;"TARTING_ROSTER_SIZE'"")),0))"),0.0)</f>
        <v>0</v>
      </c>
      <c r="EA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Col""&amp;COLUMN(EA$1)&amp;""=1""))&amp;""' ORDER BY Col6 DESC LIMIT ""&amp;QUERY('Global Variables'!$A:$B, ""SELECT Col2 WHERE Col1 = 'S"&amp;"TARTING_ROSTER_SIZE'"")),0))"),0.0)</f>
        <v>0</v>
      </c>
      <c r="EB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Col""&amp;COLUMN(EB$1)&amp;""=1""))&amp;""' ORDER BY Col6 DESC LIMIT ""&amp;QUERY('Global Variables'!$A:$B, ""SELECT Col2 WHERE Col1 = 'S"&amp;"TARTING_ROSTER_SIZE'"")),0))"),0.0)</f>
        <v>0</v>
      </c>
      <c r="EC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Col""&amp;COLUMN(EC$1)&amp;""=1""))&amp;""' ORDER BY Col6 DESC LIMIT ""&amp;QUERY('Global Variables'!$A:$B, ""SELECT Col2 WHERE Col1 = 'S"&amp;"TARTING_ROSTER_SIZE'"")),0))"),0.0)</f>
        <v>0</v>
      </c>
      <c r="ED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Col""&amp;COLUMN(ED$1)&amp;""=1""))&amp;""' ORDER BY Col6 DESC LIMIT ""&amp;QUERY('Global Variables'!$A:$B, ""SELECT Col2 WHERE Col1 = 'S"&amp;"TARTING_ROSTER_SIZE'"")),0))"),0.0)</f>
        <v>0</v>
      </c>
      <c r="EE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Col""&amp;COLUMN(EE$1)&amp;""=1""))&amp;""' ORDER BY Col6 DESC LIMIT ""&amp;QUERY('Global Variables'!$A:$B, ""SELECT Col2 WHERE Col1 = 'S"&amp;"TARTING_ROSTER_SIZE'"")),0))"),0.0)</f>
        <v>0</v>
      </c>
      <c r="EF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Col""&amp;COLUMN(EF$1)&amp;""=1""))&amp;""' ORDER BY Col6 DESC LIMIT ""&amp;QUERY('Global Variables'!$A:$B, ""SELECT Col2 WHERE Col1 = 'S"&amp;"TARTING_ROSTER_SIZE'"")),0))"),0.0)</f>
        <v>0</v>
      </c>
      <c r="EG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Col""&amp;COLUMN(EG$1)&amp;""=1""))&amp;""' ORDER BY Col6 DESC LIMIT ""&amp;QUERY('Global Variables'!$A:$B, ""SELECT Col2 WHERE Col1 = 'S"&amp;"TARTING_ROSTER_SIZE'"")),0))"),0.0)</f>
        <v>0</v>
      </c>
      <c r="EH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Col""&amp;COLUMN(EH$1)&amp;""=1""))&amp;""' ORDER BY Col6 DESC LIMIT ""&amp;QUERY('Global Variables'!$A:$B, ""SELECT Col2 WHERE Col1 = 'S"&amp;"TARTING_ROSTER_SIZE'"")),0))"),0.0)</f>
        <v>0</v>
      </c>
      <c r="EI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Col""&amp;COLUMN(EI$1)&amp;""=1""))&amp;""' ORDER BY Col6 DESC LIMIT ""&amp;QUERY('Global Variables'!$A:$B, ""SELECT Col2 WHERE Col1 = 'S"&amp;"TARTING_ROSTER_SIZE'"")),0))"),0.0)</f>
        <v>0</v>
      </c>
      <c r="EJ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Col""&amp;COLUMN(EJ$1)&amp;""=1""))&amp;""' ORDER BY Col6 DESC LIMIT ""&amp;QUERY('Global Variables'!$A:$B, ""SELECT Col2 WHERE Col1 = 'S"&amp;"TARTING_ROSTER_SIZE'"")),0))"),0.0)</f>
        <v>0</v>
      </c>
      <c r="EK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Col""&amp;COLUMN(EK$1)&amp;""=1""))&amp;""' ORDER BY Col6 DESC LIMIT ""&amp;QUERY('Global Variables'!$A:$B, ""SELECT Col2 WHERE Col1 = 'S"&amp;"TARTING_ROSTER_SIZE'"")),0))"),0.0)</f>
        <v>0</v>
      </c>
      <c r="EL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Col""&amp;COLUMN(EL$1)&amp;""=1""))&amp;""' ORDER BY Col6 DESC LIMIT ""&amp;QUERY('Global Variables'!$A:$B, ""SELECT Col2 WHERE Col1 = 'S"&amp;"TARTING_ROSTER_SIZE'"")),0))"),0.0)</f>
        <v>0</v>
      </c>
      <c r="EM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Col""&amp;COLUMN(EM$1)&amp;""=1""))&amp;""' ORDER BY Col6 DESC LIMIT ""&amp;QUERY('Global Variables'!$A:$B, ""SELECT Col2 WHERE Col1 = 'S"&amp;"TARTING_ROSTER_SIZE'"")),0))"),0.0)</f>
        <v>0</v>
      </c>
      <c r="EN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Col""&amp;COLUMN(EN$1)&amp;""=1""))&amp;""' ORDER BY Col6 DESC LIMIT ""&amp;QUERY('Global Variables'!$A:$B, ""SELECT Col2 WHERE Col1 = 'S"&amp;"TARTING_ROSTER_SIZE'"")),0))"),0.0)</f>
        <v>0</v>
      </c>
      <c r="EO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Col""&amp;COLUMN(EO$1)&amp;""=1""))&amp;""' ORDER BY Col6 DESC LIMIT ""&amp;QUERY('Global Variables'!$A:$B, ""SELECT Col2 WHERE Col1 = 'S"&amp;"TARTING_ROSTER_SIZE'"")),0))"),0.0)</f>
        <v>0</v>
      </c>
      <c r="EP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Col""&amp;COLUMN(EP$1)&amp;""=1""))&amp;""' ORDER BY Col6 DESC LIMIT ""&amp;QUERY('Global Variables'!$A:$B, ""SELECT Col2 WHERE Col1 = 'S"&amp;"TARTING_ROSTER_SIZE'"")),0))"),0.0)</f>
        <v>0</v>
      </c>
      <c r="EQ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Col""&amp;COLUMN(EQ$1)&amp;""=1""))&amp;""' ORDER BY Col6 DESC LIMIT ""&amp;QUERY('Global Variables'!$A:$B, ""SELECT Col2 WHERE Col1 = 'S"&amp;"TARTING_ROSTER_SIZE'"")),0))"),0.0)</f>
        <v>0</v>
      </c>
      <c r="ER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Col""&amp;COLUMN(ER$1)&amp;""=1""))&amp;""' ORDER BY Col6 DESC LIMIT ""&amp;QUERY('Global Variables'!$A:$B, ""SELECT Col2 WHERE Col1 = 'S"&amp;"TARTING_ROSTER_SIZE'"")),0))"),0.0)</f>
        <v>0</v>
      </c>
      <c r="ES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Col""&amp;COLUMN(ES$1)&amp;""=1""))&amp;""' ORDER BY Col6 DESC LIMIT ""&amp;QUERY('Global Variables'!$A:$B, ""SELECT Col2 WHERE Col1 = 'S"&amp;"TARTING_ROSTER_SIZE'"")),0))"),0.0)</f>
        <v>0</v>
      </c>
      <c r="ET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Col""&amp;COLUMN(ET$1)&amp;""=1""))&amp;""' ORDER BY Col6 DESC LIMIT ""&amp;QUERY('Global Variables'!$A:$B, ""SELECT Col2 WHERE Col1 = 'S"&amp;"TARTING_ROSTER_SIZE'"")),0))"),0.0)</f>
        <v>0</v>
      </c>
      <c r="EU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Col""&amp;COLUMN(EU$1)&amp;""=1""))&amp;""' ORDER BY Col6 DESC LIMIT ""&amp;QUERY('Global Variables'!$A:$B, ""SELECT Col2 WHERE Col1 = 'S"&amp;"TARTING_ROSTER_SIZE'"")),0))"),0.0)</f>
        <v>0</v>
      </c>
      <c r="EV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Col""&amp;COLUMN(EV$1)&amp;""=1""))&amp;""' ORDER BY Col6 DESC LIMIT ""&amp;QUERY('Global Variables'!$A:$B, ""SELECT Col2 WHERE Col1 = 'S"&amp;"TARTING_ROSTER_SIZE'"")),0))"),0.0)</f>
        <v>0</v>
      </c>
      <c r="EW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Col""&amp;COLUMN(EW$1)&amp;""=1""))&amp;""' ORDER BY Col6 DESC LIMIT ""&amp;QUERY('Global Variables'!$A:$B, ""SELECT Col2 WHERE Col1 = 'S"&amp;"TARTING_ROSTER_SIZE'"")),0))"),0.0)</f>
        <v>0</v>
      </c>
      <c r="EX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Col""&amp;COLUMN(EX$1)&amp;""=1""))&amp;""' ORDER BY Col6 DESC LIMIT ""&amp;QUERY('Global Variables'!$A:$B, ""SELECT Col2 WHERE Col1 = 'S"&amp;"TARTING_ROSTER_SIZE'"")),0))"),0.0)</f>
        <v>0</v>
      </c>
      <c r="EY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Col""&amp;COLUMN(EY$1)&amp;""=1""))&amp;""' ORDER BY Col6 DESC LIMIT ""&amp;QUERY('Global Variables'!$A:$B, ""SELECT Col2 WHERE Col1 = 'S"&amp;"TARTING_ROSTER_SIZE'"")),0))"),0.0)</f>
        <v>0</v>
      </c>
      <c r="EZ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Col""&amp;COLUMN(EZ$1)&amp;""=1""))&amp;""' ORDER BY Col6 DESC LIMIT ""&amp;QUERY('Global Variables'!$A:$B, ""SELECT Col2 WHERE Col1 = 'S"&amp;"TARTING_ROSTER_SIZE'"")),0))"),0.0)</f>
        <v>0</v>
      </c>
      <c r="FA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Col""&amp;COLUMN(FA$1)&amp;""=1""))&amp;""' ORDER BY Col6 DESC LIMIT ""&amp;QUERY('Global Variables'!$A:$B, ""SELECT Col2 WHERE Col1 = 'S"&amp;"TARTING_ROSTER_SIZE'"")),0))"),0.0)</f>
        <v>0</v>
      </c>
      <c r="FB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Col""&amp;COLUMN(FB$1)&amp;""=1""))&amp;""' ORDER BY Col6 DESC LIMIT ""&amp;QUERY('Global Variables'!$A:$B, ""SELECT Col2 WHERE Col1 = 'S"&amp;"TARTING_ROSTER_SIZE'"")),0))"),0.0)</f>
        <v>0</v>
      </c>
      <c r="FC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Col""&amp;COLUMN(FC$1)&amp;""=1""))&amp;""' ORDER BY Col6 DESC LIMIT ""&amp;QUERY('Global Variables'!$A:$B, ""SELECT Col2 WHERE Col1 = 'S"&amp;"TARTING_ROSTER_SIZE'"")),0))"),0.0)</f>
        <v>0</v>
      </c>
      <c r="FD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Col""&amp;COLUMN(FD$1)&amp;""=1""))&amp;""' ORDER BY Col6 DESC LIMIT ""&amp;QUERY('Global Variables'!$A:$B, ""SELECT Col2 WHERE Col1 = 'S"&amp;"TARTING_ROSTER_SIZE'"")),0))"),0.0)</f>
        <v>0</v>
      </c>
      <c r="FE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Col""&amp;COLUMN(FE$1)&amp;""=1""))&amp;""' ORDER BY Col6 DESC LIMIT ""&amp;QUERY('Global Variables'!$A:$B, ""SELECT Col2 WHERE Col1 = 'S"&amp;"TARTING_ROSTER_SIZE'"")),0))"),0.0)</f>
        <v>0</v>
      </c>
      <c r="FF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Col""&amp;COLUMN(FF$1)&amp;""=1""))&amp;""' ORDER BY Col6 DESC LIMIT ""&amp;QUERY('Global Variables'!$A:$B, ""SELECT Col2 WHERE Col1 = 'S"&amp;"TARTING_ROSTER_SIZE'"")),0))"),0.0)</f>
        <v>0</v>
      </c>
      <c r="FG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Col""&amp;COLUMN(FG$1)&amp;""=1""))&amp;""' ORDER BY Col6 DESC LIMIT ""&amp;QUERY('Global Variables'!$A:$B, ""SELECT Col2 WHERE Col1 = 'S"&amp;"TARTING_ROSTER_SIZE'"")),0))"),0.0)</f>
        <v>0</v>
      </c>
      <c r="FH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Col""&amp;COLUMN(FH$1)&amp;""=1""))&amp;""' ORDER BY Col6 DESC LIMIT ""&amp;QUERY('Global Variables'!$A:$B, ""SELECT Col2 WHERE Col1 = 'S"&amp;"TARTING_ROSTER_SIZE'"")),0))"),0.0)</f>
        <v>0</v>
      </c>
      <c r="FI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Col""&amp;COLUMN(FI$1)&amp;""=1""))&amp;""' ORDER BY Col6 DESC LIMIT ""&amp;QUERY('Global Variables'!$A:$B, ""SELECT Col2 WHERE Col1 = 'S"&amp;"TARTING_ROSTER_SIZE'"")),0))"),0.0)</f>
        <v>0</v>
      </c>
      <c r="FJ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Col""&amp;COLUMN(FJ$1)&amp;""=1""))&amp;""' ORDER BY Col6 DESC LIMIT ""&amp;QUERY('Global Variables'!$A:$B, ""SELECT Col2 WHERE Col1 = 'S"&amp;"TARTING_ROSTER_SIZE'"")),0))"),0.0)</f>
        <v>0</v>
      </c>
      <c r="FK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Col""&amp;COLUMN(FK$1)&amp;""=1""))&amp;""' ORDER BY Col6 DESC LIMIT ""&amp;QUERY('Global Variables'!$A:$B, ""SELECT Col2 WHERE Col1 = 'S"&amp;"TARTING_ROSTER_SIZE'"")),0))"),0.0)</f>
        <v>0</v>
      </c>
      <c r="FL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Col""&amp;COLUMN(FL$1)&amp;""=1""))&amp;""' ORDER BY Col6 DESC LIMIT ""&amp;QUERY('Global Variables'!$A:$B, ""SELECT Col2 WHERE Col1 = 'S"&amp;"TARTING_ROSTER_SIZE'"")),0))"),0.0)</f>
        <v>0</v>
      </c>
      <c r="FM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Col""&amp;COLUMN(FM$1)&amp;""=1""))&amp;""' ORDER BY Col6 DESC LIMIT ""&amp;QUERY('Global Variables'!$A:$B, ""SELECT Col2 WHERE Col1 = 'S"&amp;"TARTING_ROSTER_SIZE'"")),0))"),0.0)</f>
        <v>0</v>
      </c>
      <c r="FN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Col""&amp;COLUMN(FN$1)&amp;""=1""))&amp;""' ORDER BY Col6 DESC LIMIT ""&amp;QUERY('Global Variables'!$A:$B, ""SELECT Col2 WHERE Col1 = 'S"&amp;"TARTING_ROSTER_SIZE'"")),0))"),0.0)</f>
        <v>0</v>
      </c>
      <c r="FO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Col""&amp;COLUMN(FO$1)&amp;""=1""))&amp;""' ORDER BY Col6 DESC LIMIT ""&amp;QUERY('Global Variables'!$A:$B, ""SELECT Col2 WHERE Col1 = 'S"&amp;"TARTING_ROSTER_SIZE'"")),0))"),0.0)</f>
        <v>0</v>
      </c>
      <c r="FP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Col""&amp;COLUMN(FP$1)&amp;""=1""))&amp;""' ORDER BY Col6 DESC LIMIT ""&amp;QUERY('Global Variables'!$A:$B, ""SELECT Col2 WHERE Col1 = 'S"&amp;"TARTING_ROSTER_SIZE'"")),0))"),0.0)</f>
        <v>0</v>
      </c>
      <c r="FQ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Col""&amp;COLUMN(FQ$1)&amp;""=1""))&amp;""' ORDER BY Col6 DESC LIMIT ""&amp;QUERY('Global Variables'!$A:$B, ""SELECT Col2 WHERE Col1 = 'S"&amp;"TARTING_ROSTER_SIZE'"")),0))"),0.0)</f>
        <v>0</v>
      </c>
      <c r="FR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Col""&amp;COLUMN(FR$1)&amp;""=1""))&amp;""' ORDER BY Col6 DESC LIMIT ""&amp;QUERY('Global Variables'!$A:$B, ""SELECT Col2 WHERE Col1 = 'S"&amp;"TARTING_ROSTER_SIZE'"")),0))"),0.0)</f>
        <v>0</v>
      </c>
      <c r="FS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Col""&amp;COLUMN(FS$1)&amp;""=1""))&amp;""' ORDER BY Col6 DESC LIMIT ""&amp;QUERY('Global Variables'!$A:$B, ""SELECT Col2 WHERE Col1 = 'S"&amp;"TARTING_ROSTER_SIZE'"")),0))"),0.0)</f>
        <v>0</v>
      </c>
      <c r="FT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Col""&amp;COLUMN(FT$1)&amp;""=1""))&amp;""' ORDER BY Col6 DESC LIMIT ""&amp;QUERY('Global Variables'!$A:$B, ""SELECT Col2 WHERE Col1 = 'S"&amp;"TARTING_ROSTER_SIZE'"")),0))"),0.0)</f>
        <v>0</v>
      </c>
      <c r="FU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Col""&amp;COLUMN(FU$1)&amp;""=1""))&amp;""' ORDER BY Col6 DESC LIMIT ""&amp;QUERY('Global Variables'!$A:$B, ""SELECT Col2 WHERE Col1 = 'S"&amp;"TARTING_ROSTER_SIZE'"")),0))"),0.0)</f>
        <v>0</v>
      </c>
      <c r="FV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Col""&amp;COLUMN(FV$1)&amp;""=1""))&amp;""' ORDER BY Col6 DESC LIMIT ""&amp;QUERY('Global Variables'!$A:$B, ""SELECT Col2 WHERE Col1 = 'S"&amp;"TARTING_ROSTER_SIZE'"")),0))"),0.0)</f>
        <v>0</v>
      </c>
      <c r="FW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Col""&amp;COLUMN(FW$1)&amp;""=1""))&amp;""' ORDER BY Col6 DESC LIMIT ""&amp;QUERY('Global Variables'!$A:$B, ""SELECT Col2 WHERE Col1 = 'S"&amp;"TARTING_ROSTER_SIZE'"")),0))"),0.0)</f>
        <v>0</v>
      </c>
      <c r="FX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Col""&amp;COLUMN(FX$1)&amp;""=1""))&amp;""' ORDER BY Col6 DESC LIMIT ""&amp;QUERY('Global Variables'!$A:$B, ""SELECT Col2 WHERE Col1 = 'S"&amp;"TARTING_ROSTER_SIZE'"")),0))"),0.0)</f>
        <v>0</v>
      </c>
      <c r="FY10" s="9">
        <f>IFERROR(__xludf.DUMMYFUNCTION("SUM(
IFERROR(QUERY(
IFERROR(
OFFSET(Teams!$A$1,MATCH($A10,Teams!$A:$A,0),1,QUERY('Global Variables'!$A:$B, ""SELECT Col2 WHERE Col1 = '""&amp;IF($B$21,""TEAM_SIZE"",""ACTIVE_ROSTER_SIZE"")&amp;""'""),QUERY('Global Variables'!$A:$B, ""SELECT Col2 WHERE Col1 = 'TEA"&amp;"M_DATA_FIELD_COUNT'"")),
OFFSET(Teams!$K$1,MATCH($A10,Teams!$K:$K,0),1,QUERY('Global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Col""&amp;COLUMN(FY$1)&amp;""=1""))&amp;""' ORDER BY Col6 DESC LIMIT ""&amp;QUERY('Global Variables'!$A:$B, ""SELECT Col2 WHERE Col1 = 'S"&amp;"TARTING_ROSTER_SIZE'"")),0))"),0.0)</f>
        <v>0</v>
      </c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</row>
    <row r="11">
      <c r="A11" s="32" t="str">
        <f>'Weekly EDSA'!A10</f>
        <v>Biales</v>
      </c>
      <c r="B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Col""&amp;COLUMN(B$1)&amp;""=1""))&amp;""' ORDER BY Col6 DESC LIMIT ""&amp;QUERY('Global Variables'!$A:$B, ""SELECT Col2 WHERE Col1 = 'ST"&amp;"ARTING_ROSTER_SIZE'"")),0))"),0.0)</f>
        <v>0</v>
      </c>
      <c r="C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Col""&amp;COLUMN(C$1)&amp;""=1""))&amp;""' ORDER BY Col6 DESC LIMIT ""&amp;QUERY('Global Variables'!$A:$B, ""SELECT Col2 WHERE Col1 = 'ST"&amp;"ARTING_ROSTER_SIZE'"")),0))"),0.0)</f>
        <v>0</v>
      </c>
      <c r="D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Col""&amp;COLUMN(D$1)&amp;""=1""))&amp;""' ORDER BY Col6 DESC LIMIT ""&amp;QUERY('Global Variables'!$A:$B, ""SELECT Col2 WHERE Col1 = 'ST"&amp;"ARTING_ROSTER_SIZE'"")),0))"),0.0)</f>
        <v>0</v>
      </c>
      <c r="E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Col""&amp;COLUMN(E$1)&amp;""=1""))&amp;""' ORDER BY Col6 DESC LIMIT ""&amp;QUERY('Global Variables'!$A:$B, ""SELECT Col2 WHERE Col1 = 'ST"&amp;"ARTING_ROSTER_SIZE'"")),0))"),0.0)</f>
        <v>0</v>
      </c>
      <c r="F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Col""&amp;COLUMN(F$1)&amp;""=1""))&amp;""' ORDER BY Col6 DESC LIMIT ""&amp;QUERY('Global Variables'!$A:$B, ""SELECT Col2 WHERE Col1 = 'ST"&amp;"ARTING_ROSTER_SIZE'"")),0))"),0.0)</f>
        <v>0</v>
      </c>
      <c r="G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Col""&amp;COLUMN(G$1)&amp;""=1""))&amp;""' ORDER BY Col6 DESC LIMIT ""&amp;QUERY('Global Variables'!$A:$B, ""SELECT Col2 WHERE Col1 = 'ST"&amp;"ARTING_ROSTER_SIZE'"")),0))"),0.0)</f>
        <v>0</v>
      </c>
      <c r="H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Col""&amp;COLUMN(H$1)&amp;""=1""))&amp;""' ORDER BY Col6 DESC LIMIT ""&amp;QUERY('Global Variables'!$A:$B, ""SELECT Col2 WHERE Col1 = 'ST"&amp;"ARTING_ROSTER_SIZE'"")),0))"),0.0)</f>
        <v>0</v>
      </c>
      <c r="I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Col""&amp;COLUMN(I$1)&amp;""=1""))&amp;""' ORDER BY Col6 DESC LIMIT ""&amp;QUERY('Global Variables'!$A:$B, ""SELECT Col2 WHERE Col1 = 'ST"&amp;"ARTING_ROSTER_SIZE'"")),0))"),0.0)</f>
        <v>0</v>
      </c>
      <c r="J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Col""&amp;COLUMN(J$1)&amp;""=1""))&amp;""' ORDER BY Col6 DESC LIMIT ""&amp;QUERY('Global Variables'!$A:$B, ""SELECT Col2 WHERE Col1 = 'ST"&amp;"ARTING_ROSTER_SIZE'"")),0))"),0.0)</f>
        <v>0</v>
      </c>
      <c r="K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Col""&amp;COLUMN(K$1)&amp;""=1""))&amp;""' ORDER BY Col6 DESC LIMIT ""&amp;QUERY('Global Variables'!$A:$B, ""SELECT Col2 WHERE Col1 = 'ST"&amp;"ARTING_ROSTER_SIZE'"")),0))"),0.0)</f>
        <v>0</v>
      </c>
      <c r="L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Col""&amp;COLUMN(L$1)&amp;""=1""))&amp;""' ORDER BY Col6 DESC LIMIT ""&amp;QUERY('Global Variables'!$A:$B, ""SELECT Col2 WHERE Col1 = 'ST"&amp;"ARTING_ROSTER_SIZE'"")),0))"),0.0)</f>
        <v>0</v>
      </c>
      <c r="M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Col""&amp;COLUMN(M$1)&amp;""=1""))&amp;""' ORDER BY Col6 DESC LIMIT ""&amp;QUERY('Global Variables'!$A:$B, ""SELECT Col2 WHERE Col1 = 'ST"&amp;"ARTING_ROSTER_SIZE'"")),0))"),0.0)</f>
        <v>0</v>
      </c>
      <c r="N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Col""&amp;COLUMN(N$1)&amp;""=1""))&amp;""' ORDER BY Col6 DESC LIMIT ""&amp;QUERY('Global Variables'!$A:$B, ""SELECT Col2 WHERE Col1 = 'ST"&amp;"ARTING_ROSTER_SIZE'"")),0))"),0.0)</f>
        <v>0</v>
      </c>
      <c r="O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Col""&amp;COLUMN(O$1)&amp;""=1""))&amp;""' ORDER BY Col6 DESC LIMIT ""&amp;QUERY('Global Variables'!$A:$B, ""SELECT Col2 WHERE Col1 = 'ST"&amp;"ARTING_ROSTER_SIZE'"")),0))"),0.0)</f>
        <v>0</v>
      </c>
      <c r="P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Col""&amp;COLUMN(P$1)&amp;""=1""))&amp;""' ORDER BY Col6 DESC LIMIT ""&amp;QUERY('Global Variables'!$A:$B, ""SELECT Col2 WHERE Col1 = 'ST"&amp;"ARTING_ROSTER_SIZE'"")),0))"),0.0)</f>
        <v>0</v>
      </c>
      <c r="Q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Col""&amp;COLUMN(Q$1)&amp;""=1""))&amp;""' ORDER BY Col6 DESC LIMIT ""&amp;QUERY('Global Variables'!$A:$B, ""SELECT Col2 WHERE Col1 = 'ST"&amp;"ARTING_ROSTER_SIZE'"")),0))"),0.0)</f>
        <v>0</v>
      </c>
      <c r="R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Col""&amp;COLUMN(R$1)&amp;""=1""))&amp;""' ORDER BY Col6 DESC LIMIT ""&amp;QUERY('Global Variables'!$A:$B, ""SELECT Col2 WHERE Col1 = 'ST"&amp;"ARTING_ROSTER_SIZE'"")),0))"),0.0)</f>
        <v>0</v>
      </c>
      <c r="S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Col""&amp;COLUMN(S$1)&amp;""=1""))&amp;""' ORDER BY Col6 DESC LIMIT ""&amp;QUERY('Global Variables'!$A:$B, ""SELECT Col2 WHERE Col1 = 'ST"&amp;"ARTING_ROSTER_SIZE'"")),0))"),0.0)</f>
        <v>0</v>
      </c>
      <c r="T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Col""&amp;COLUMN(T$1)&amp;""=1""))&amp;""' ORDER BY Col6 DESC LIMIT ""&amp;QUERY('Global Variables'!$A:$B, ""SELECT Col2 WHERE Col1 = 'ST"&amp;"ARTING_ROSTER_SIZE'"")),0))"),0.0)</f>
        <v>0</v>
      </c>
      <c r="U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Col""&amp;COLUMN(U$1)&amp;""=1""))&amp;""' ORDER BY Col6 DESC LIMIT ""&amp;QUERY('Global Variables'!$A:$B, ""SELECT Col2 WHERE Col1 = 'ST"&amp;"ARTING_ROSTER_SIZE'"")),0))"),0.0)</f>
        <v>0</v>
      </c>
      <c r="V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Col""&amp;COLUMN(V$1)&amp;""=1""))&amp;""' ORDER BY Col6 DESC LIMIT ""&amp;QUERY('Global Variables'!$A:$B, ""SELECT Col2 WHERE Col1 = 'ST"&amp;"ARTING_ROSTER_SIZE'"")),0))"),0.0)</f>
        <v>0</v>
      </c>
      <c r="W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Col""&amp;COLUMN(W$1)&amp;""=1""))&amp;""' ORDER BY Col6 DESC LIMIT ""&amp;QUERY('Global Variables'!$A:$B, ""SELECT Col2 WHERE Col1 = 'ST"&amp;"ARTING_ROSTER_SIZE'"")),0))"),0.0)</f>
        <v>0</v>
      </c>
      <c r="X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Col""&amp;COLUMN(X$1)&amp;""=1""))&amp;""' ORDER BY Col6 DESC LIMIT ""&amp;QUERY('Global Variables'!$A:$B, ""SELECT Col2 WHERE Col1 = 'ST"&amp;"ARTING_ROSTER_SIZE'"")),0))"),0.0)</f>
        <v>0</v>
      </c>
      <c r="Y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Col""&amp;COLUMN(Y$1)&amp;""=1""))&amp;""' ORDER BY Col6 DESC LIMIT ""&amp;QUERY('Global Variables'!$A:$B, ""SELECT Col2 WHERE Col1 = 'ST"&amp;"ARTING_ROSTER_SIZE'"")),0))"),0.0)</f>
        <v>0</v>
      </c>
      <c r="Z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Col""&amp;COLUMN(Z$1)&amp;""=1""))&amp;""' ORDER BY Col6 DESC LIMIT ""&amp;QUERY('Global Variables'!$A:$B, ""SELECT Col2 WHERE Col1 = 'ST"&amp;"ARTING_ROSTER_SIZE'"")),0))"),0.0)</f>
        <v>0</v>
      </c>
      <c r="AA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Col""&amp;COLUMN(AA$1)&amp;""=1""))&amp;""' ORDER BY Col6 DESC LIMIT ""&amp;QUERY('Global Variables'!$A:$B, ""SELECT Col2 WHERE Col1 = 'S"&amp;"TARTING_ROSTER_SIZE'"")),0))"),0.0)</f>
        <v>0</v>
      </c>
      <c r="AB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Col""&amp;COLUMN(AB$1)&amp;""=1""))&amp;""' ORDER BY Col6 DESC LIMIT ""&amp;QUERY('Global Variables'!$A:$B, ""SELECT Col2 WHERE Col1 = 'S"&amp;"TARTING_ROSTER_SIZE'"")),0))"),0.0)</f>
        <v>0</v>
      </c>
      <c r="AC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Col""&amp;COLUMN(AC$1)&amp;""=1""))&amp;""' ORDER BY Col6 DESC LIMIT ""&amp;QUERY('Global Variables'!$A:$B, ""SELECT Col2 WHERE Col1 = 'S"&amp;"TARTING_ROSTER_SIZE'"")),0))"),0.0)</f>
        <v>0</v>
      </c>
      <c r="AD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Col""&amp;COLUMN(AD$1)&amp;""=1""))&amp;""' ORDER BY Col6 DESC LIMIT ""&amp;QUERY('Global Variables'!$A:$B, ""SELECT Col2 WHERE Col1 = 'S"&amp;"TARTING_ROSTER_SIZE'"")),0))"),0.0)</f>
        <v>0</v>
      </c>
      <c r="AE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Col""&amp;COLUMN(AE$1)&amp;""=1""))&amp;""' ORDER BY Col6 DESC LIMIT ""&amp;QUERY('Global Variables'!$A:$B, ""SELECT Col2 WHERE Col1 = 'S"&amp;"TARTING_ROSTER_SIZE'"")),0))"),0.0)</f>
        <v>0</v>
      </c>
      <c r="AF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Col""&amp;COLUMN(AF$1)&amp;""=1""))&amp;""' ORDER BY Col6 DESC LIMIT ""&amp;QUERY('Global Variables'!$A:$B, ""SELECT Col2 WHERE Col1 = 'S"&amp;"TARTING_ROSTER_SIZE'"")),0))"),0.0)</f>
        <v>0</v>
      </c>
      <c r="AG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Col""&amp;COLUMN(AG$1)&amp;""=1""))&amp;""' ORDER BY Col6 DESC LIMIT ""&amp;QUERY('Global Variables'!$A:$B, ""SELECT Col2 WHERE Col1 = 'S"&amp;"TARTING_ROSTER_SIZE'"")),0))"),0.0)</f>
        <v>0</v>
      </c>
      <c r="AH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Col""&amp;COLUMN(AH$1)&amp;""=1""))&amp;""' ORDER BY Col6 DESC LIMIT ""&amp;QUERY('Global Variables'!$A:$B, ""SELECT Col2 WHERE Col1 = 'S"&amp;"TARTING_ROSTER_SIZE'"")),0))"),0.0)</f>
        <v>0</v>
      </c>
      <c r="AI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Col""&amp;COLUMN(AI$1)&amp;""=1""))&amp;""' ORDER BY Col6 DESC LIMIT ""&amp;QUERY('Global Variables'!$A:$B, ""SELECT Col2 WHERE Col1 = 'S"&amp;"TARTING_ROSTER_SIZE'"")),0))"),0.0)</f>
        <v>0</v>
      </c>
      <c r="AJ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Col""&amp;COLUMN(AJ$1)&amp;""=1""))&amp;""' ORDER BY Col6 DESC LIMIT ""&amp;QUERY('Global Variables'!$A:$B, ""SELECT Col2 WHERE Col1 = 'S"&amp;"TARTING_ROSTER_SIZE'"")),0))"),0.0)</f>
        <v>0</v>
      </c>
      <c r="AK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Col""&amp;COLUMN(AK$1)&amp;""=1""))&amp;""' ORDER BY Col6 DESC LIMIT ""&amp;QUERY('Global Variables'!$A:$B, ""SELECT Col2 WHERE Col1 = 'S"&amp;"TARTING_ROSTER_SIZE'"")),0))"),0.0)</f>
        <v>0</v>
      </c>
      <c r="AL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Col""&amp;COLUMN(AL$1)&amp;""=1""))&amp;""' ORDER BY Col6 DESC LIMIT ""&amp;QUERY('Global Variables'!$A:$B, ""SELECT Col2 WHERE Col1 = 'S"&amp;"TARTING_ROSTER_SIZE'"")),0))"),0.0)</f>
        <v>0</v>
      </c>
      <c r="AM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Col""&amp;COLUMN(AM$1)&amp;""=1""))&amp;""' ORDER BY Col6 DESC LIMIT ""&amp;QUERY('Global Variables'!$A:$B, ""SELECT Col2 WHERE Col1 = 'S"&amp;"TARTING_ROSTER_SIZE'"")),0))"),0.0)</f>
        <v>0</v>
      </c>
      <c r="AN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Col""&amp;COLUMN(AN$1)&amp;""=1""))&amp;""' ORDER BY Col6 DESC LIMIT ""&amp;QUERY('Global Variables'!$A:$B, ""SELECT Col2 WHERE Col1 = 'S"&amp;"TARTING_ROSTER_SIZE'"")),0))"),0.0)</f>
        <v>0</v>
      </c>
      <c r="AO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Col""&amp;COLUMN(AO$1)&amp;""=1""))&amp;""' ORDER BY Col6 DESC LIMIT ""&amp;QUERY('Global Variables'!$A:$B, ""SELECT Col2 WHERE Col1 = 'S"&amp;"TARTING_ROSTER_SIZE'"")),0))"),0.0)</f>
        <v>0</v>
      </c>
      <c r="AP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Col""&amp;COLUMN(AP$1)&amp;""=1""))&amp;""' ORDER BY Col6 DESC LIMIT ""&amp;QUERY('Global Variables'!$A:$B, ""SELECT Col2 WHERE Col1 = 'S"&amp;"TARTING_ROSTER_SIZE'"")),0))"),0.0)</f>
        <v>0</v>
      </c>
      <c r="AQ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Col""&amp;COLUMN(AQ$1)&amp;""=1""))&amp;""' ORDER BY Col6 DESC LIMIT ""&amp;QUERY('Global Variables'!$A:$B, ""SELECT Col2 WHERE Col1 = 'S"&amp;"TARTING_ROSTER_SIZE'"")),0))"),0.0)</f>
        <v>0</v>
      </c>
      <c r="AR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Col""&amp;COLUMN(AR$1)&amp;""=1""))&amp;""' ORDER BY Col6 DESC LIMIT ""&amp;QUERY('Global Variables'!$A:$B, ""SELECT Col2 WHERE Col1 = 'S"&amp;"TARTING_ROSTER_SIZE'"")),0))"),0.0)</f>
        <v>0</v>
      </c>
      <c r="AS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Col""&amp;COLUMN(AS$1)&amp;""=1""))&amp;""' ORDER BY Col6 DESC LIMIT ""&amp;QUERY('Global Variables'!$A:$B, ""SELECT Col2 WHERE Col1 = 'S"&amp;"TARTING_ROSTER_SIZE'"")),0))"),0.0)</f>
        <v>0</v>
      </c>
      <c r="AT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Col""&amp;COLUMN(AT$1)&amp;""=1""))&amp;""' ORDER BY Col6 DESC LIMIT ""&amp;QUERY('Global Variables'!$A:$B, ""SELECT Col2 WHERE Col1 = 'S"&amp;"TARTING_ROSTER_SIZE'"")),0))"),0.0)</f>
        <v>0</v>
      </c>
      <c r="AU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Col""&amp;COLUMN(AU$1)&amp;""=1""))&amp;""' ORDER BY Col6 DESC LIMIT ""&amp;QUERY('Global Variables'!$A:$B, ""SELECT Col2 WHERE Col1 = 'S"&amp;"TARTING_ROSTER_SIZE'"")),0))"),0.0)</f>
        <v>0</v>
      </c>
      <c r="AV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Col""&amp;COLUMN(AV$1)&amp;""=1""))&amp;""' ORDER BY Col6 DESC LIMIT ""&amp;QUERY('Global Variables'!$A:$B, ""SELECT Col2 WHERE Col1 = 'S"&amp;"TARTING_ROSTER_SIZE'"")),0))"),0.0)</f>
        <v>0</v>
      </c>
      <c r="AW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Col""&amp;COLUMN(AW$1)&amp;""=1""))&amp;""' ORDER BY Col6 DESC LIMIT ""&amp;QUERY('Global Variables'!$A:$B, ""SELECT Col2 WHERE Col1 = 'S"&amp;"TARTING_ROSTER_SIZE'"")),0))"),0.0)</f>
        <v>0</v>
      </c>
      <c r="AX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Col""&amp;COLUMN(AX$1)&amp;""=1""))&amp;""' ORDER BY Col6 DESC LIMIT ""&amp;QUERY('Global Variables'!$A:$B, ""SELECT Col2 WHERE Col1 = 'S"&amp;"TARTING_ROSTER_SIZE'"")),0))"),0.0)</f>
        <v>0</v>
      </c>
      <c r="AY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Col""&amp;COLUMN(AY$1)&amp;""=1""))&amp;""' ORDER BY Col6 DESC LIMIT ""&amp;QUERY('Global Variables'!$A:$B, ""SELECT Col2 WHERE Col1 = 'S"&amp;"TARTING_ROSTER_SIZE'"")),0))"),0.0)</f>
        <v>0</v>
      </c>
      <c r="AZ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Col""&amp;COLUMN(AZ$1)&amp;""=1""))&amp;""' ORDER BY Col6 DESC LIMIT ""&amp;QUERY('Global Variables'!$A:$B, ""SELECT Col2 WHERE Col1 = 'S"&amp;"TARTING_ROSTER_SIZE'"")),0))"),0.0)</f>
        <v>0</v>
      </c>
      <c r="BA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Col""&amp;COLUMN(BA$1)&amp;""=1""))&amp;""' ORDER BY Col6 DESC LIMIT ""&amp;QUERY('Global Variables'!$A:$B, ""SELECT Col2 WHERE Col1 = 'S"&amp;"TARTING_ROSTER_SIZE'"")),0))"),0.0)</f>
        <v>0</v>
      </c>
      <c r="BB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Col""&amp;COLUMN(BB$1)&amp;""=1""))&amp;""' ORDER BY Col6 DESC LIMIT ""&amp;QUERY('Global Variables'!$A:$B, ""SELECT Col2 WHERE Col1 = 'S"&amp;"TARTING_ROSTER_SIZE'"")),0))"),0.0)</f>
        <v>0</v>
      </c>
      <c r="BC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Col""&amp;COLUMN(BC$1)&amp;""=1""))&amp;""' ORDER BY Col6 DESC LIMIT ""&amp;QUERY('Global Variables'!$A:$B, ""SELECT Col2 WHERE Col1 = 'S"&amp;"TARTING_ROSTER_SIZE'"")),0))"),0.0)</f>
        <v>0</v>
      </c>
      <c r="BD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Col""&amp;COLUMN(BD$1)&amp;""=1""))&amp;""' ORDER BY Col6 DESC LIMIT ""&amp;QUERY('Global Variables'!$A:$B, ""SELECT Col2 WHERE Col1 = 'S"&amp;"TARTING_ROSTER_SIZE'"")),0))"),0.0)</f>
        <v>0</v>
      </c>
      <c r="BE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Col""&amp;COLUMN(BE$1)&amp;""=1""))&amp;""' ORDER BY Col6 DESC LIMIT ""&amp;QUERY('Global Variables'!$A:$B, ""SELECT Col2 WHERE Col1 = 'S"&amp;"TARTING_ROSTER_SIZE'"")),0))"),0.0)</f>
        <v>0</v>
      </c>
      <c r="BF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Col""&amp;COLUMN(BF$1)&amp;""=1""))&amp;""' ORDER BY Col6 DESC LIMIT ""&amp;QUERY('Global Variables'!$A:$B, ""SELECT Col2 WHERE Col1 = 'S"&amp;"TARTING_ROSTER_SIZE'"")),0))"),0.0)</f>
        <v>0</v>
      </c>
      <c r="BG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Col""&amp;COLUMN(BG$1)&amp;""=1""))&amp;""' ORDER BY Col6 DESC LIMIT ""&amp;QUERY('Global Variables'!$A:$B, ""SELECT Col2 WHERE Col1 = 'S"&amp;"TARTING_ROSTER_SIZE'"")),0))"),0.0)</f>
        <v>0</v>
      </c>
      <c r="BH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Col""&amp;COLUMN(BH$1)&amp;""=1""))&amp;""' ORDER BY Col6 DESC LIMIT ""&amp;QUERY('Global Variables'!$A:$B, ""SELECT Col2 WHERE Col1 = 'S"&amp;"TARTING_ROSTER_SIZE'"")),0))"),0.0)</f>
        <v>0</v>
      </c>
      <c r="BI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Col""&amp;COLUMN(BI$1)&amp;""=1""))&amp;""' ORDER BY Col6 DESC LIMIT ""&amp;QUERY('Global Variables'!$A:$B, ""SELECT Col2 WHERE Col1 = 'S"&amp;"TARTING_ROSTER_SIZE'"")),0))"),0.0)</f>
        <v>0</v>
      </c>
      <c r="BJ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Col""&amp;COLUMN(BJ$1)&amp;""=1""))&amp;""' ORDER BY Col6 DESC LIMIT ""&amp;QUERY('Global Variables'!$A:$B, ""SELECT Col2 WHERE Col1 = 'S"&amp;"TARTING_ROSTER_SIZE'"")),0))"),0.0)</f>
        <v>0</v>
      </c>
      <c r="BK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Col""&amp;COLUMN(BK$1)&amp;""=1""))&amp;""' ORDER BY Col6 DESC LIMIT ""&amp;QUERY('Global Variables'!$A:$B, ""SELECT Col2 WHERE Col1 = 'S"&amp;"TARTING_ROSTER_SIZE'"")),0))"),0.0)</f>
        <v>0</v>
      </c>
      <c r="BL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Col""&amp;COLUMN(BL$1)&amp;""=1""))&amp;""' ORDER BY Col6 DESC LIMIT ""&amp;QUERY('Global Variables'!$A:$B, ""SELECT Col2 WHERE Col1 = 'S"&amp;"TARTING_ROSTER_SIZE'"")),0))"),0.0)</f>
        <v>0</v>
      </c>
      <c r="BM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Col""&amp;COLUMN(BM$1)&amp;""=1""))&amp;""' ORDER BY Col6 DESC LIMIT ""&amp;QUERY('Global Variables'!$A:$B, ""SELECT Col2 WHERE Col1 = 'S"&amp;"TARTING_ROSTER_SIZE'"")),0))"),0.0)</f>
        <v>0</v>
      </c>
      <c r="BN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Col""&amp;COLUMN(BN$1)&amp;""=1""))&amp;""' ORDER BY Col6 DESC LIMIT ""&amp;QUERY('Global Variables'!$A:$B, ""SELECT Col2 WHERE Col1 = 'S"&amp;"TARTING_ROSTER_SIZE'"")),0))"),0.0)</f>
        <v>0</v>
      </c>
      <c r="BO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Col""&amp;COLUMN(BO$1)&amp;""=1""))&amp;""' ORDER BY Col6 DESC LIMIT ""&amp;QUERY('Global Variables'!$A:$B, ""SELECT Col2 WHERE Col1 = 'S"&amp;"TARTING_ROSTER_SIZE'"")),0))"),0.0)</f>
        <v>0</v>
      </c>
      <c r="BP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Col""&amp;COLUMN(BP$1)&amp;""=1""))&amp;""' ORDER BY Col6 DESC LIMIT ""&amp;QUERY('Global Variables'!$A:$B, ""SELECT Col2 WHERE Col1 = 'S"&amp;"TARTING_ROSTER_SIZE'"")),0))"),0.0)</f>
        <v>0</v>
      </c>
      <c r="BQ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Col""&amp;COLUMN(BQ$1)&amp;""=1""))&amp;""' ORDER BY Col6 DESC LIMIT ""&amp;QUERY('Global Variables'!$A:$B, ""SELECT Col2 WHERE Col1 = 'S"&amp;"TARTING_ROSTER_SIZE'"")),0))"),0.0)</f>
        <v>0</v>
      </c>
      <c r="BR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Col""&amp;COLUMN(BR$1)&amp;""=1""))&amp;""' ORDER BY Col6 DESC LIMIT ""&amp;QUERY('Global Variables'!$A:$B, ""SELECT Col2 WHERE Col1 = 'S"&amp;"TARTING_ROSTER_SIZE'"")),0))"),0.0)</f>
        <v>0</v>
      </c>
      <c r="BS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Col""&amp;COLUMN(BS$1)&amp;""=1""))&amp;""' ORDER BY Col6 DESC LIMIT ""&amp;QUERY('Global Variables'!$A:$B, ""SELECT Col2 WHERE Col1 = 'S"&amp;"TARTING_ROSTER_SIZE'"")),0))"),0.0)</f>
        <v>0</v>
      </c>
      <c r="BT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Col""&amp;COLUMN(BT$1)&amp;""=1""))&amp;""' ORDER BY Col6 DESC LIMIT ""&amp;QUERY('Global Variables'!$A:$B, ""SELECT Col2 WHERE Col1 = 'S"&amp;"TARTING_ROSTER_SIZE'"")),0))"),0.0)</f>
        <v>0</v>
      </c>
      <c r="BU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Col""&amp;COLUMN(BU$1)&amp;""=1""))&amp;""' ORDER BY Col6 DESC LIMIT ""&amp;QUERY('Global Variables'!$A:$B, ""SELECT Col2 WHERE Col1 = 'S"&amp;"TARTING_ROSTER_SIZE'"")),0))"),0.0)</f>
        <v>0</v>
      </c>
      <c r="BV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Col""&amp;COLUMN(BV$1)&amp;""=1""))&amp;""' ORDER BY Col6 DESC LIMIT ""&amp;QUERY('Global Variables'!$A:$B, ""SELECT Col2 WHERE Col1 = 'S"&amp;"TARTING_ROSTER_SIZE'"")),0))"),0.0)</f>
        <v>0</v>
      </c>
      <c r="BW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Col""&amp;COLUMN(BW$1)&amp;""=1""))&amp;""' ORDER BY Col6 DESC LIMIT ""&amp;QUERY('Global Variables'!$A:$B, ""SELECT Col2 WHERE Col1 = 'S"&amp;"TARTING_ROSTER_SIZE'"")),0))"),0.0)</f>
        <v>0</v>
      </c>
      <c r="BX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Col""&amp;COLUMN(BX$1)&amp;""=1""))&amp;""' ORDER BY Col6 DESC LIMIT ""&amp;QUERY('Global Variables'!$A:$B, ""SELECT Col2 WHERE Col1 = 'S"&amp;"TARTING_ROSTER_SIZE'"")),0))"),0.0)</f>
        <v>0</v>
      </c>
      <c r="BY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Col""&amp;COLUMN(BY$1)&amp;""=1""))&amp;""' ORDER BY Col6 DESC LIMIT ""&amp;QUERY('Global Variables'!$A:$B, ""SELECT Col2 WHERE Col1 = 'S"&amp;"TARTING_ROSTER_SIZE'"")),0))"),0.0)</f>
        <v>0</v>
      </c>
      <c r="BZ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Col""&amp;COLUMN(BZ$1)&amp;""=1""))&amp;""' ORDER BY Col6 DESC LIMIT ""&amp;QUERY('Global Variables'!$A:$B, ""SELECT Col2 WHERE Col1 = 'S"&amp;"TARTING_ROSTER_SIZE'"")),0))"),0.0)</f>
        <v>0</v>
      </c>
      <c r="CA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Col""&amp;COLUMN(CA$1)&amp;""=1""))&amp;""' ORDER BY Col6 DESC LIMIT ""&amp;QUERY('Global Variables'!$A:$B, ""SELECT Col2 WHERE Col1 = 'S"&amp;"TARTING_ROSTER_SIZE'"")),0))"),0.0)</f>
        <v>0</v>
      </c>
      <c r="CB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Col""&amp;COLUMN(CB$1)&amp;""=1""))&amp;""' ORDER BY Col6 DESC LIMIT ""&amp;QUERY('Global Variables'!$A:$B, ""SELECT Col2 WHERE Col1 = 'S"&amp;"TARTING_ROSTER_SIZE'"")),0))"),0.0)</f>
        <v>0</v>
      </c>
      <c r="CC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Col""&amp;COLUMN(CC$1)&amp;""=1""))&amp;""' ORDER BY Col6 DESC LIMIT ""&amp;QUERY('Global Variables'!$A:$B, ""SELECT Col2 WHERE Col1 = 'S"&amp;"TARTING_ROSTER_SIZE'"")),0))"),0.0)</f>
        <v>0</v>
      </c>
      <c r="CD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Col""&amp;COLUMN(CD$1)&amp;""=1""))&amp;""' ORDER BY Col6 DESC LIMIT ""&amp;QUERY('Global Variables'!$A:$B, ""SELECT Col2 WHERE Col1 = 'S"&amp;"TARTING_ROSTER_SIZE'"")),0))"),0.0)</f>
        <v>0</v>
      </c>
      <c r="CE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Col""&amp;COLUMN(CE$1)&amp;""=1""))&amp;""' ORDER BY Col6 DESC LIMIT ""&amp;QUERY('Global Variables'!$A:$B, ""SELECT Col2 WHERE Col1 = 'S"&amp;"TARTING_ROSTER_SIZE'"")),0))"),0.0)</f>
        <v>0</v>
      </c>
      <c r="CF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Col""&amp;COLUMN(CF$1)&amp;""=1""))&amp;""' ORDER BY Col6 DESC LIMIT ""&amp;QUERY('Global Variables'!$A:$B, ""SELECT Col2 WHERE Col1 = 'S"&amp;"TARTING_ROSTER_SIZE'"")),0))"),0.0)</f>
        <v>0</v>
      </c>
      <c r="CG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Col""&amp;COLUMN(CG$1)&amp;""=1""))&amp;""' ORDER BY Col6 DESC LIMIT ""&amp;QUERY('Global Variables'!$A:$B, ""SELECT Col2 WHERE Col1 = 'S"&amp;"TARTING_ROSTER_SIZE'"")),0))"),0.0)</f>
        <v>0</v>
      </c>
      <c r="CH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Col""&amp;COLUMN(CH$1)&amp;""=1""))&amp;""' ORDER BY Col6 DESC LIMIT ""&amp;QUERY('Global Variables'!$A:$B, ""SELECT Col2 WHERE Col1 = 'S"&amp;"TARTING_ROSTER_SIZE'"")),0))"),0.0)</f>
        <v>0</v>
      </c>
      <c r="CI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Col""&amp;COLUMN(CI$1)&amp;""=1""))&amp;""' ORDER BY Col6 DESC LIMIT ""&amp;QUERY('Global Variables'!$A:$B, ""SELECT Col2 WHERE Col1 = 'S"&amp;"TARTING_ROSTER_SIZE'"")),0))"),0.0)</f>
        <v>0</v>
      </c>
      <c r="CJ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Col""&amp;COLUMN(CJ$1)&amp;""=1""))&amp;""' ORDER BY Col6 DESC LIMIT ""&amp;QUERY('Global Variables'!$A:$B, ""SELECT Col2 WHERE Col1 = 'S"&amp;"TARTING_ROSTER_SIZE'"")),0))"),0.0)</f>
        <v>0</v>
      </c>
      <c r="CK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Col""&amp;COLUMN(CK$1)&amp;""=1""))&amp;""' ORDER BY Col6 DESC LIMIT ""&amp;QUERY('Global Variables'!$A:$B, ""SELECT Col2 WHERE Col1 = 'S"&amp;"TARTING_ROSTER_SIZE'"")),0))"),0.0)</f>
        <v>0</v>
      </c>
      <c r="CL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Col""&amp;COLUMN(CL$1)&amp;""=1""))&amp;""' ORDER BY Col6 DESC LIMIT ""&amp;QUERY('Global Variables'!$A:$B, ""SELECT Col2 WHERE Col1 = 'S"&amp;"TARTING_ROSTER_SIZE'"")),0))"),0.0)</f>
        <v>0</v>
      </c>
      <c r="CM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Col""&amp;COLUMN(CM$1)&amp;""=1""))&amp;""' ORDER BY Col6 DESC LIMIT ""&amp;QUERY('Global Variables'!$A:$B, ""SELECT Col2 WHERE Col1 = 'S"&amp;"TARTING_ROSTER_SIZE'"")),0))"),0.0)</f>
        <v>0</v>
      </c>
      <c r="CN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Col""&amp;COLUMN(CN$1)&amp;""=1""))&amp;""' ORDER BY Col6 DESC LIMIT ""&amp;QUERY('Global Variables'!$A:$B, ""SELECT Col2 WHERE Col1 = 'S"&amp;"TARTING_ROSTER_SIZE'"")),0))"),0.0)</f>
        <v>0</v>
      </c>
      <c r="CO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Col""&amp;COLUMN(CO$1)&amp;""=1""))&amp;""' ORDER BY Col6 DESC LIMIT ""&amp;QUERY('Global Variables'!$A:$B, ""SELECT Col2 WHERE Col1 = 'S"&amp;"TARTING_ROSTER_SIZE'"")),0))"),0.0)</f>
        <v>0</v>
      </c>
      <c r="CP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Col""&amp;COLUMN(CP$1)&amp;""=1""))&amp;""' ORDER BY Col6 DESC LIMIT ""&amp;QUERY('Global Variables'!$A:$B, ""SELECT Col2 WHERE Col1 = 'S"&amp;"TARTING_ROSTER_SIZE'"")),0))"),0.0)</f>
        <v>0</v>
      </c>
      <c r="CQ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Col""&amp;COLUMN(CQ$1)&amp;""=1""))&amp;""' ORDER BY Col6 DESC LIMIT ""&amp;QUERY('Global Variables'!$A:$B, ""SELECT Col2 WHERE Col1 = 'S"&amp;"TARTING_ROSTER_SIZE'"")),0))"),0.0)</f>
        <v>0</v>
      </c>
      <c r="CR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Col""&amp;COLUMN(CR$1)&amp;""=1""))&amp;""' ORDER BY Col6 DESC LIMIT ""&amp;QUERY('Global Variables'!$A:$B, ""SELECT Col2 WHERE Col1 = 'S"&amp;"TARTING_ROSTER_SIZE'"")),0))"),0.0)</f>
        <v>0</v>
      </c>
      <c r="CS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Col""&amp;COLUMN(CS$1)&amp;""=1""))&amp;""' ORDER BY Col6 DESC LIMIT ""&amp;QUERY('Global Variables'!$A:$B, ""SELECT Col2 WHERE Col1 = 'S"&amp;"TARTING_ROSTER_SIZE'"")),0))"),0.0)</f>
        <v>0</v>
      </c>
      <c r="CT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Col""&amp;COLUMN(CT$1)&amp;""=1""))&amp;""' ORDER BY Col6 DESC LIMIT ""&amp;QUERY('Global Variables'!$A:$B, ""SELECT Col2 WHERE Col1 = 'S"&amp;"TARTING_ROSTER_SIZE'"")),0))"),0.0)</f>
        <v>0</v>
      </c>
      <c r="CU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Col""&amp;COLUMN(CU$1)&amp;""=1""))&amp;""' ORDER BY Col6 DESC LIMIT ""&amp;QUERY('Global Variables'!$A:$B, ""SELECT Col2 WHERE Col1 = 'S"&amp;"TARTING_ROSTER_SIZE'"")),0))"),0.0)</f>
        <v>0</v>
      </c>
      <c r="CV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Col""&amp;COLUMN(CV$1)&amp;""=1""))&amp;""' ORDER BY Col6 DESC LIMIT ""&amp;QUERY('Global Variables'!$A:$B, ""SELECT Col2 WHERE Col1 = 'S"&amp;"TARTING_ROSTER_SIZE'"")),0))"),0.0)</f>
        <v>0</v>
      </c>
      <c r="CW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Col""&amp;COLUMN(CW$1)&amp;""=1""))&amp;""' ORDER BY Col6 DESC LIMIT ""&amp;QUERY('Global Variables'!$A:$B, ""SELECT Col2 WHERE Col1 = 'S"&amp;"TARTING_ROSTER_SIZE'"")),0))"),0.0)</f>
        <v>0</v>
      </c>
      <c r="CX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Col""&amp;COLUMN(CX$1)&amp;""=1""))&amp;""' ORDER BY Col6 DESC LIMIT ""&amp;QUERY('Global Variables'!$A:$B, ""SELECT Col2 WHERE Col1 = 'S"&amp;"TARTING_ROSTER_SIZE'"")),0))"),0.0)</f>
        <v>0</v>
      </c>
      <c r="CY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Col""&amp;COLUMN(CY$1)&amp;""=1""))&amp;""' ORDER BY Col6 DESC LIMIT ""&amp;QUERY('Global Variables'!$A:$B, ""SELECT Col2 WHERE Col1 = 'S"&amp;"TARTING_ROSTER_SIZE'"")),0))"),0.0)</f>
        <v>0</v>
      </c>
      <c r="CZ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Col""&amp;COLUMN(CZ$1)&amp;""=1""))&amp;""' ORDER BY Col6 DESC LIMIT ""&amp;QUERY('Global Variables'!$A:$B, ""SELECT Col2 WHERE Col1 = 'S"&amp;"TARTING_ROSTER_SIZE'"")),0))"),0.0)</f>
        <v>0</v>
      </c>
      <c r="DA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Col""&amp;COLUMN(DA$1)&amp;""=1""))&amp;""' ORDER BY Col6 DESC LIMIT ""&amp;QUERY('Global Variables'!$A:$B, ""SELECT Col2 WHERE Col1 = 'S"&amp;"TARTING_ROSTER_SIZE'"")),0))"),0.0)</f>
        <v>0</v>
      </c>
      <c r="DB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Col""&amp;COLUMN(DB$1)&amp;""=1""))&amp;""' ORDER BY Col6 DESC LIMIT ""&amp;QUERY('Global Variables'!$A:$B, ""SELECT Col2 WHERE Col1 = 'S"&amp;"TARTING_ROSTER_SIZE'"")),0))"),0.0)</f>
        <v>0</v>
      </c>
      <c r="DC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Col""&amp;COLUMN(DC$1)&amp;""=1""))&amp;""' ORDER BY Col6 DESC LIMIT ""&amp;QUERY('Global Variables'!$A:$B, ""SELECT Col2 WHERE Col1 = 'S"&amp;"TARTING_ROSTER_SIZE'"")),0))"),0.0)</f>
        <v>0</v>
      </c>
      <c r="DD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Col""&amp;COLUMN(DD$1)&amp;""=1""))&amp;""' ORDER BY Col6 DESC LIMIT ""&amp;QUERY('Global Variables'!$A:$B, ""SELECT Col2 WHERE Col1 = 'S"&amp;"TARTING_ROSTER_SIZE'"")),0))"),0.0)</f>
        <v>0</v>
      </c>
      <c r="DE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Col""&amp;COLUMN(DE$1)&amp;""=1""))&amp;""' ORDER BY Col6 DESC LIMIT ""&amp;QUERY('Global Variables'!$A:$B, ""SELECT Col2 WHERE Col1 = 'S"&amp;"TARTING_ROSTER_SIZE'"")),0))"),0.0)</f>
        <v>0</v>
      </c>
      <c r="DF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Col""&amp;COLUMN(DF$1)&amp;""=1""))&amp;""' ORDER BY Col6 DESC LIMIT ""&amp;QUERY('Global Variables'!$A:$B, ""SELECT Col2 WHERE Col1 = 'S"&amp;"TARTING_ROSTER_SIZE'"")),0))"),0.0)</f>
        <v>0</v>
      </c>
      <c r="DG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Col""&amp;COLUMN(DG$1)&amp;""=1""))&amp;""' ORDER BY Col6 DESC LIMIT ""&amp;QUERY('Global Variables'!$A:$B, ""SELECT Col2 WHERE Col1 = 'S"&amp;"TARTING_ROSTER_SIZE'"")),0))"),0.0)</f>
        <v>0</v>
      </c>
      <c r="DH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Col""&amp;COLUMN(DH$1)&amp;""=1""))&amp;""' ORDER BY Col6 DESC LIMIT ""&amp;QUERY('Global Variables'!$A:$B, ""SELECT Col2 WHERE Col1 = 'S"&amp;"TARTING_ROSTER_SIZE'"")),0))"),0.0)</f>
        <v>0</v>
      </c>
      <c r="DI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Col""&amp;COLUMN(DI$1)&amp;""=1""))&amp;""' ORDER BY Col6 DESC LIMIT ""&amp;QUERY('Global Variables'!$A:$B, ""SELECT Col2 WHERE Col1 = 'S"&amp;"TARTING_ROSTER_SIZE'"")),0))"),0.0)</f>
        <v>0</v>
      </c>
      <c r="DJ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Col""&amp;COLUMN(DJ$1)&amp;""=1""))&amp;""' ORDER BY Col6 DESC LIMIT ""&amp;QUERY('Global Variables'!$A:$B, ""SELECT Col2 WHERE Col1 = 'S"&amp;"TARTING_ROSTER_SIZE'"")),0))"),0.0)</f>
        <v>0</v>
      </c>
      <c r="DK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Col""&amp;COLUMN(DK$1)&amp;""=1""))&amp;""' ORDER BY Col6 DESC LIMIT ""&amp;QUERY('Global Variables'!$A:$B, ""SELECT Col2 WHERE Col1 = 'S"&amp;"TARTING_ROSTER_SIZE'"")),0))"),0.0)</f>
        <v>0</v>
      </c>
      <c r="DL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Col""&amp;COLUMN(DL$1)&amp;""=1""))&amp;""' ORDER BY Col6 DESC LIMIT ""&amp;QUERY('Global Variables'!$A:$B, ""SELECT Col2 WHERE Col1 = 'S"&amp;"TARTING_ROSTER_SIZE'"")),0))"),0.0)</f>
        <v>0</v>
      </c>
      <c r="DM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Col""&amp;COLUMN(DM$1)&amp;""=1""))&amp;""' ORDER BY Col6 DESC LIMIT ""&amp;QUERY('Global Variables'!$A:$B, ""SELECT Col2 WHERE Col1 = 'S"&amp;"TARTING_ROSTER_SIZE'"")),0))"),0.0)</f>
        <v>0</v>
      </c>
      <c r="DN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Col""&amp;COLUMN(DN$1)&amp;""=1""))&amp;""' ORDER BY Col6 DESC LIMIT ""&amp;QUERY('Global Variables'!$A:$B, ""SELECT Col2 WHERE Col1 = 'S"&amp;"TARTING_ROSTER_SIZE'"")),0))"),0.0)</f>
        <v>0</v>
      </c>
      <c r="DO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Col""&amp;COLUMN(DO$1)&amp;""=1""))&amp;""' ORDER BY Col6 DESC LIMIT ""&amp;QUERY('Global Variables'!$A:$B, ""SELECT Col2 WHERE Col1 = 'S"&amp;"TARTING_ROSTER_SIZE'"")),0))"),0.0)</f>
        <v>0</v>
      </c>
      <c r="DP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Col""&amp;COLUMN(DP$1)&amp;""=1""))&amp;""' ORDER BY Col6 DESC LIMIT ""&amp;QUERY('Global Variables'!$A:$B, ""SELECT Col2 WHERE Col1 = 'S"&amp;"TARTING_ROSTER_SIZE'"")),0))"),0.0)</f>
        <v>0</v>
      </c>
      <c r="DQ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Col""&amp;COLUMN(DQ$1)&amp;""=1""))&amp;""' ORDER BY Col6 DESC LIMIT ""&amp;QUERY('Global Variables'!$A:$B, ""SELECT Col2 WHERE Col1 = 'S"&amp;"TARTING_ROSTER_SIZE'"")),0))"),0.0)</f>
        <v>0</v>
      </c>
      <c r="DR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Col""&amp;COLUMN(DR$1)&amp;""=1""))&amp;""' ORDER BY Col6 DESC LIMIT ""&amp;QUERY('Global Variables'!$A:$B, ""SELECT Col2 WHERE Col1 = 'S"&amp;"TARTING_ROSTER_SIZE'"")),0))"),0.0)</f>
        <v>0</v>
      </c>
      <c r="DS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Col""&amp;COLUMN(DS$1)&amp;""=1""))&amp;""' ORDER BY Col6 DESC LIMIT ""&amp;QUERY('Global Variables'!$A:$B, ""SELECT Col2 WHERE Col1 = 'S"&amp;"TARTING_ROSTER_SIZE'"")),0))"),0.0)</f>
        <v>0</v>
      </c>
      <c r="DT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Col""&amp;COLUMN(DT$1)&amp;""=1""))&amp;""' ORDER BY Col6 DESC LIMIT ""&amp;QUERY('Global Variables'!$A:$B, ""SELECT Col2 WHERE Col1 = 'S"&amp;"TARTING_ROSTER_SIZE'"")),0))"),0.0)</f>
        <v>0</v>
      </c>
      <c r="DU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Col""&amp;COLUMN(DU$1)&amp;""=1""))&amp;""' ORDER BY Col6 DESC LIMIT ""&amp;QUERY('Global Variables'!$A:$B, ""SELECT Col2 WHERE Col1 = 'S"&amp;"TARTING_ROSTER_SIZE'"")),0))"),0.0)</f>
        <v>0</v>
      </c>
      <c r="DV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Col""&amp;COLUMN(DV$1)&amp;""=1""))&amp;""' ORDER BY Col6 DESC LIMIT ""&amp;QUERY('Global Variables'!$A:$B, ""SELECT Col2 WHERE Col1 = 'S"&amp;"TARTING_ROSTER_SIZE'"")),0))"),0.0)</f>
        <v>0</v>
      </c>
      <c r="DW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Col""&amp;COLUMN(DW$1)&amp;""=1""))&amp;""' ORDER BY Col6 DESC LIMIT ""&amp;QUERY('Global Variables'!$A:$B, ""SELECT Col2 WHERE Col1 = 'S"&amp;"TARTING_ROSTER_SIZE'"")),0))"),0.0)</f>
        <v>0</v>
      </c>
      <c r="DX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Col""&amp;COLUMN(DX$1)&amp;""=1""))&amp;""' ORDER BY Col6 DESC LIMIT ""&amp;QUERY('Global Variables'!$A:$B, ""SELECT Col2 WHERE Col1 = 'S"&amp;"TARTING_ROSTER_SIZE'"")),0))"),0.0)</f>
        <v>0</v>
      </c>
      <c r="DY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Col""&amp;COLUMN(DY$1)&amp;""=1""))&amp;""' ORDER BY Col6 DESC LIMIT ""&amp;QUERY('Global Variables'!$A:$B, ""SELECT Col2 WHERE Col1 = 'S"&amp;"TARTING_ROSTER_SIZE'"")),0))"),0.0)</f>
        <v>0</v>
      </c>
      <c r="DZ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Col""&amp;COLUMN(DZ$1)&amp;""=1""))&amp;""' ORDER BY Col6 DESC LIMIT ""&amp;QUERY('Global Variables'!$A:$B, ""SELECT Col2 WHERE Col1 = 'S"&amp;"TARTING_ROSTER_SIZE'"")),0))"),0.0)</f>
        <v>0</v>
      </c>
      <c r="EA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Col""&amp;COLUMN(EA$1)&amp;""=1""))&amp;""' ORDER BY Col6 DESC LIMIT ""&amp;QUERY('Global Variables'!$A:$B, ""SELECT Col2 WHERE Col1 = 'S"&amp;"TARTING_ROSTER_SIZE'"")),0))"),0.0)</f>
        <v>0</v>
      </c>
      <c r="EB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Col""&amp;COLUMN(EB$1)&amp;""=1""))&amp;""' ORDER BY Col6 DESC LIMIT ""&amp;QUERY('Global Variables'!$A:$B, ""SELECT Col2 WHERE Col1 = 'S"&amp;"TARTING_ROSTER_SIZE'"")),0))"),0.0)</f>
        <v>0</v>
      </c>
      <c r="EC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Col""&amp;COLUMN(EC$1)&amp;""=1""))&amp;""' ORDER BY Col6 DESC LIMIT ""&amp;QUERY('Global Variables'!$A:$B, ""SELECT Col2 WHERE Col1 = 'S"&amp;"TARTING_ROSTER_SIZE'"")),0))"),0.0)</f>
        <v>0</v>
      </c>
      <c r="ED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Col""&amp;COLUMN(ED$1)&amp;""=1""))&amp;""' ORDER BY Col6 DESC LIMIT ""&amp;QUERY('Global Variables'!$A:$B, ""SELECT Col2 WHERE Col1 = 'S"&amp;"TARTING_ROSTER_SIZE'"")),0))"),0.0)</f>
        <v>0</v>
      </c>
      <c r="EE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Col""&amp;COLUMN(EE$1)&amp;""=1""))&amp;""' ORDER BY Col6 DESC LIMIT ""&amp;QUERY('Global Variables'!$A:$B, ""SELECT Col2 WHERE Col1 = 'S"&amp;"TARTING_ROSTER_SIZE'"")),0))"),0.0)</f>
        <v>0</v>
      </c>
      <c r="EF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Col""&amp;COLUMN(EF$1)&amp;""=1""))&amp;""' ORDER BY Col6 DESC LIMIT ""&amp;QUERY('Global Variables'!$A:$B, ""SELECT Col2 WHERE Col1 = 'S"&amp;"TARTING_ROSTER_SIZE'"")),0))"),0.0)</f>
        <v>0</v>
      </c>
      <c r="EG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Col""&amp;COLUMN(EG$1)&amp;""=1""))&amp;""' ORDER BY Col6 DESC LIMIT ""&amp;QUERY('Global Variables'!$A:$B, ""SELECT Col2 WHERE Col1 = 'S"&amp;"TARTING_ROSTER_SIZE'"")),0))"),0.0)</f>
        <v>0</v>
      </c>
      <c r="EH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Col""&amp;COLUMN(EH$1)&amp;""=1""))&amp;""' ORDER BY Col6 DESC LIMIT ""&amp;QUERY('Global Variables'!$A:$B, ""SELECT Col2 WHERE Col1 = 'S"&amp;"TARTING_ROSTER_SIZE'"")),0))"),0.0)</f>
        <v>0</v>
      </c>
      <c r="EI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Col""&amp;COLUMN(EI$1)&amp;""=1""))&amp;""' ORDER BY Col6 DESC LIMIT ""&amp;QUERY('Global Variables'!$A:$B, ""SELECT Col2 WHERE Col1 = 'S"&amp;"TARTING_ROSTER_SIZE'"")),0))"),0.0)</f>
        <v>0</v>
      </c>
      <c r="EJ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Col""&amp;COLUMN(EJ$1)&amp;""=1""))&amp;""' ORDER BY Col6 DESC LIMIT ""&amp;QUERY('Global Variables'!$A:$B, ""SELECT Col2 WHERE Col1 = 'S"&amp;"TARTING_ROSTER_SIZE'"")),0))"),0.0)</f>
        <v>0</v>
      </c>
      <c r="EK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Col""&amp;COLUMN(EK$1)&amp;""=1""))&amp;""' ORDER BY Col6 DESC LIMIT ""&amp;QUERY('Global Variables'!$A:$B, ""SELECT Col2 WHERE Col1 = 'S"&amp;"TARTING_ROSTER_SIZE'"")),0))"),0.0)</f>
        <v>0</v>
      </c>
      <c r="EL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Col""&amp;COLUMN(EL$1)&amp;""=1""))&amp;""' ORDER BY Col6 DESC LIMIT ""&amp;QUERY('Global Variables'!$A:$B, ""SELECT Col2 WHERE Col1 = 'S"&amp;"TARTING_ROSTER_SIZE'"")),0))"),0.0)</f>
        <v>0</v>
      </c>
      <c r="EM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Col""&amp;COLUMN(EM$1)&amp;""=1""))&amp;""' ORDER BY Col6 DESC LIMIT ""&amp;QUERY('Global Variables'!$A:$B, ""SELECT Col2 WHERE Col1 = 'S"&amp;"TARTING_ROSTER_SIZE'"")),0))"),0.0)</f>
        <v>0</v>
      </c>
      <c r="EN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Col""&amp;COLUMN(EN$1)&amp;""=1""))&amp;""' ORDER BY Col6 DESC LIMIT ""&amp;QUERY('Global Variables'!$A:$B, ""SELECT Col2 WHERE Col1 = 'S"&amp;"TARTING_ROSTER_SIZE'"")),0))"),0.0)</f>
        <v>0</v>
      </c>
      <c r="EO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Col""&amp;COLUMN(EO$1)&amp;""=1""))&amp;""' ORDER BY Col6 DESC LIMIT ""&amp;QUERY('Global Variables'!$A:$B, ""SELECT Col2 WHERE Col1 = 'S"&amp;"TARTING_ROSTER_SIZE'"")),0))"),0.0)</f>
        <v>0</v>
      </c>
      <c r="EP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Col""&amp;COLUMN(EP$1)&amp;""=1""))&amp;""' ORDER BY Col6 DESC LIMIT ""&amp;QUERY('Global Variables'!$A:$B, ""SELECT Col2 WHERE Col1 = 'S"&amp;"TARTING_ROSTER_SIZE'"")),0))"),0.0)</f>
        <v>0</v>
      </c>
      <c r="EQ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Col""&amp;COLUMN(EQ$1)&amp;""=1""))&amp;""' ORDER BY Col6 DESC LIMIT ""&amp;QUERY('Global Variables'!$A:$B, ""SELECT Col2 WHERE Col1 = 'S"&amp;"TARTING_ROSTER_SIZE'"")),0))"),0.0)</f>
        <v>0</v>
      </c>
      <c r="ER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Col""&amp;COLUMN(ER$1)&amp;""=1""))&amp;""' ORDER BY Col6 DESC LIMIT ""&amp;QUERY('Global Variables'!$A:$B, ""SELECT Col2 WHERE Col1 = 'S"&amp;"TARTING_ROSTER_SIZE'"")),0))"),0.0)</f>
        <v>0</v>
      </c>
      <c r="ES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Col""&amp;COLUMN(ES$1)&amp;""=1""))&amp;""' ORDER BY Col6 DESC LIMIT ""&amp;QUERY('Global Variables'!$A:$B, ""SELECT Col2 WHERE Col1 = 'S"&amp;"TARTING_ROSTER_SIZE'"")),0))"),0.0)</f>
        <v>0</v>
      </c>
      <c r="ET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Col""&amp;COLUMN(ET$1)&amp;""=1""))&amp;""' ORDER BY Col6 DESC LIMIT ""&amp;QUERY('Global Variables'!$A:$B, ""SELECT Col2 WHERE Col1 = 'S"&amp;"TARTING_ROSTER_SIZE'"")),0))"),0.0)</f>
        <v>0</v>
      </c>
      <c r="EU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Col""&amp;COLUMN(EU$1)&amp;""=1""))&amp;""' ORDER BY Col6 DESC LIMIT ""&amp;QUERY('Global Variables'!$A:$B, ""SELECT Col2 WHERE Col1 = 'S"&amp;"TARTING_ROSTER_SIZE'"")),0))"),0.0)</f>
        <v>0</v>
      </c>
      <c r="EV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Col""&amp;COLUMN(EV$1)&amp;""=1""))&amp;""' ORDER BY Col6 DESC LIMIT ""&amp;QUERY('Global Variables'!$A:$B, ""SELECT Col2 WHERE Col1 = 'S"&amp;"TARTING_ROSTER_SIZE'"")),0))"),0.0)</f>
        <v>0</v>
      </c>
      <c r="EW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Col""&amp;COLUMN(EW$1)&amp;""=1""))&amp;""' ORDER BY Col6 DESC LIMIT ""&amp;QUERY('Global Variables'!$A:$B, ""SELECT Col2 WHERE Col1 = 'S"&amp;"TARTING_ROSTER_SIZE'"")),0))"),0.0)</f>
        <v>0</v>
      </c>
      <c r="EX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Col""&amp;COLUMN(EX$1)&amp;""=1""))&amp;""' ORDER BY Col6 DESC LIMIT ""&amp;QUERY('Global Variables'!$A:$B, ""SELECT Col2 WHERE Col1 = 'S"&amp;"TARTING_ROSTER_SIZE'"")),0))"),0.0)</f>
        <v>0</v>
      </c>
      <c r="EY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Col""&amp;COLUMN(EY$1)&amp;""=1""))&amp;""' ORDER BY Col6 DESC LIMIT ""&amp;QUERY('Global Variables'!$A:$B, ""SELECT Col2 WHERE Col1 = 'S"&amp;"TARTING_ROSTER_SIZE'"")),0))"),0.0)</f>
        <v>0</v>
      </c>
      <c r="EZ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Col""&amp;COLUMN(EZ$1)&amp;""=1""))&amp;""' ORDER BY Col6 DESC LIMIT ""&amp;QUERY('Global Variables'!$A:$B, ""SELECT Col2 WHERE Col1 = 'S"&amp;"TARTING_ROSTER_SIZE'"")),0))"),0.0)</f>
        <v>0</v>
      </c>
      <c r="FA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Col""&amp;COLUMN(FA$1)&amp;""=1""))&amp;""' ORDER BY Col6 DESC LIMIT ""&amp;QUERY('Global Variables'!$A:$B, ""SELECT Col2 WHERE Col1 = 'S"&amp;"TARTING_ROSTER_SIZE'"")),0))"),0.0)</f>
        <v>0</v>
      </c>
      <c r="FB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Col""&amp;COLUMN(FB$1)&amp;""=1""))&amp;""' ORDER BY Col6 DESC LIMIT ""&amp;QUERY('Global Variables'!$A:$B, ""SELECT Col2 WHERE Col1 = 'S"&amp;"TARTING_ROSTER_SIZE'"")),0))"),0.0)</f>
        <v>0</v>
      </c>
      <c r="FC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Col""&amp;COLUMN(FC$1)&amp;""=1""))&amp;""' ORDER BY Col6 DESC LIMIT ""&amp;QUERY('Global Variables'!$A:$B, ""SELECT Col2 WHERE Col1 = 'S"&amp;"TARTING_ROSTER_SIZE'"")),0))"),0.0)</f>
        <v>0</v>
      </c>
      <c r="FD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Col""&amp;COLUMN(FD$1)&amp;""=1""))&amp;""' ORDER BY Col6 DESC LIMIT ""&amp;QUERY('Global Variables'!$A:$B, ""SELECT Col2 WHERE Col1 = 'S"&amp;"TARTING_ROSTER_SIZE'"")),0))"),0.0)</f>
        <v>0</v>
      </c>
      <c r="FE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Col""&amp;COLUMN(FE$1)&amp;""=1""))&amp;""' ORDER BY Col6 DESC LIMIT ""&amp;QUERY('Global Variables'!$A:$B, ""SELECT Col2 WHERE Col1 = 'S"&amp;"TARTING_ROSTER_SIZE'"")),0))"),0.0)</f>
        <v>0</v>
      </c>
      <c r="FF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Col""&amp;COLUMN(FF$1)&amp;""=1""))&amp;""' ORDER BY Col6 DESC LIMIT ""&amp;QUERY('Global Variables'!$A:$B, ""SELECT Col2 WHERE Col1 = 'S"&amp;"TARTING_ROSTER_SIZE'"")),0))"),0.0)</f>
        <v>0</v>
      </c>
      <c r="FG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Col""&amp;COLUMN(FG$1)&amp;""=1""))&amp;""' ORDER BY Col6 DESC LIMIT ""&amp;QUERY('Global Variables'!$A:$B, ""SELECT Col2 WHERE Col1 = 'S"&amp;"TARTING_ROSTER_SIZE'"")),0))"),0.0)</f>
        <v>0</v>
      </c>
      <c r="FH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Col""&amp;COLUMN(FH$1)&amp;""=1""))&amp;""' ORDER BY Col6 DESC LIMIT ""&amp;QUERY('Global Variables'!$A:$B, ""SELECT Col2 WHERE Col1 = 'S"&amp;"TARTING_ROSTER_SIZE'"")),0))"),0.0)</f>
        <v>0</v>
      </c>
      <c r="FI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Col""&amp;COLUMN(FI$1)&amp;""=1""))&amp;""' ORDER BY Col6 DESC LIMIT ""&amp;QUERY('Global Variables'!$A:$B, ""SELECT Col2 WHERE Col1 = 'S"&amp;"TARTING_ROSTER_SIZE'"")),0))"),0.0)</f>
        <v>0</v>
      </c>
      <c r="FJ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Col""&amp;COLUMN(FJ$1)&amp;""=1""))&amp;""' ORDER BY Col6 DESC LIMIT ""&amp;QUERY('Global Variables'!$A:$B, ""SELECT Col2 WHERE Col1 = 'S"&amp;"TARTING_ROSTER_SIZE'"")),0))"),0.0)</f>
        <v>0</v>
      </c>
      <c r="FK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Col""&amp;COLUMN(FK$1)&amp;""=1""))&amp;""' ORDER BY Col6 DESC LIMIT ""&amp;QUERY('Global Variables'!$A:$B, ""SELECT Col2 WHERE Col1 = 'S"&amp;"TARTING_ROSTER_SIZE'"")),0))"),0.0)</f>
        <v>0</v>
      </c>
      <c r="FL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Col""&amp;COLUMN(FL$1)&amp;""=1""))&amp;""' ORDER BY Col6 DESC LIMIT ""&amp;QUERY('Global Variables'!$A:$B, ""SELECT Col2 WHERE Col1 = 'S"&amp;"TARTING_ROSTER_SIZE'"")),0))"),0.0)</f>
        <v>0</v>
      </c>
      <c r="FM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Col""&amp;COLUMN(FM$1)&amp;""=1""))&amp;""' ORDER BY Col6 DESC LIMIT ""&amp;QUERY('Global Variables'!$A:$B, ""SELECT Col2 WHERE Col1 = 'S"&amp;"TARTING_ROSTER_SIZE'"")),0))"),0.0)</f>
        <v>0</v>
      </c>
      <c r="FN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Col""&amp;COLUMN(FN$1)&amp;""=1""))&amp;""' ORDER BY Col6 DESC LIMIT ""&amp;QUERY('Global Variables'!$A:$B, ""SELECT Col2 WHERE Col1 = 'S"&amp;"TARTING_ROSTER_SIZE'"")),0))"),0.0)</f>
        <v>0</v>
      </c>
      <c r="FO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Col""&amp;COLUMN(FO$1)&amp;""=1""))&amp;""' ORDER BY Col6 DESC LIMIT ""&amp;QUERY('Global Variables'!$A:$B, ""SELECT Col2 WHERE Col1 = 'S"&amp;"TARTING_ROSTER_SIZE'"")),0))"),0.0)</f>
        <v>0</v>
      </c>
      <c r="FP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Col""&amp;COLUMN(FP$1)&amp;""=1""))&amp;""' ORDER BY Col6 DESC LIMIT ""&amp;QUERY('Global Variables'!$A:$B, ""SELECT Col2 WHERE Col1 = 'S"&amp;"TARTING_ROSTER_SIZE'"")),0))"),0.0)</f>
        <v>0</v>
      </c>
      <c r="FQ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Col""&amp;COLUMN(FQ$1)&amp;""=1""))&amp;""' ORDER BY Col6 DESC LIMIT ""&amp;QUERY('Global Variables'!$A:$B, ""SELECT Col2 WHERE Col1 = 'S"&amp;"TARTING_ROSTER_SIZE'"")),0))"),0.0)</f>
        <v>0</v>
      </c>
      <c r="FR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Col""&amp;COLUMN(FR$1)&amp;""=1""))&amp;""' ORDER BY Col6 DESC LIMIT ""&amp;QUERY('Global Variables'!$A:$B, ""SELECT Col2 WHERE Col1 = 'S"&amp;"TARTING_ROSTER_SIZE'"")),0))"),0.0)</f>
        <v>0</v>
      </c>
      <c r="FS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Col""&amp;COLUMN(FS$1)&amp;""=1""))&amp;""' ORDER BY Col6 DESC LIMIT ""&amp;QUERY('Global Variables'!$A:$B, ""SELECT Col2 WHERE Col1 = 'S"&amp;"TARTING_ROSTER_SIZE'"")),0))"),0.0)</f>
        <v>0</v>
      </c>
      <c r="FT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Col""&amp;COLUMN(FT$1)&amp;""=1""))&amp;""' ORDER BY Col6 DESC LIMIT ""&amp;QUERY('Global Variables'!$A:$B, ""SELECT Col2 WHERE Col1 = 'S"&amp;"TARTING_ROSTER_SIZE'"")),0))"),0.0)</f>
        <v>0</v>
      </c>
      <c r="FU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Col""&amp;COLUMN(FU$1)&amp;""=1""))&amp;""' ORDER BY Col6 DESC LIMIT ""&amp;QUERY('Global Variables'!$A:$B, ""SELECT Col2 WHERE Col1 = 'S"&amp;"TARTING_ROSTER_SIZE'"")),0))"),0.0)</f>
        <v>0</v>
      </c>
      <c r="FV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Col""&amp;COLUMN(FV$1)&amp;""=1""))&amp;""' ORDER BY Col6 DESC LIMIT ""&amp;QUERY('Global Variables'!$A:$B, ""SELECT Col2 WHERE Col1 = 'S"&amp;"TARTING_ROSTER_SIZE'"")),0))"),0.0)</f>
        <v>0</v>
      </c>
      <c r="FW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Col""&amp;COLUMN(FW$1)&amp;""=1""))&amp;""' ORDER BY Col6 DESC LIMIT ""&amp;QUERY('Global Variables'!$A:$B, ""SELECT Col2 WHERE Col1 = 'S"&amp;"TARTING_ROSTER_SIZE'"")),0))"),0.0)</f>
        <v>0</v>
      </c>
      <c r="FX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Col""&amp;COLUMN(FX$1)&amp;""=1""))&amp;""' ORDER BY Col6 DESC LIMIT ""&amp;QUERY('Global Variables'!$A:$B, ""SELECT Col2 WHERE Col1 = 'S"&amp;"TARTING_ROSTER_SIZE'"")),0))"),0.0)</f>
        <v>0</v>
      </c>
      <c r="FY11" s="9">
        <f>IFERROR(__xludf.DUMMYFUNCTION("SUM(
IFERROR(QUERY(
IFERROR(
OFFSET(Teams!$A$1,MATCH($A11,Teams!$A:$A,0),1,QUERY('Global Variables'!$A:$B, ""SELECT Col2 WHERE Col1 = '""&amp;IF($B$21,""TEAM_SIZE"",""ACTIVE_ROSTER_SIZE"")&amp;""'""),QUERY('Global Variables'!$A:$B, ""SELECT Col2 WHERE Col1 = 'TEA"&amp;"M_DATA_FIELD_COUNT'"")),
OFFSET(Teams!$K$1,MATCH($A11,Teams!$K:$K,0),1,QUERY('Global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Col""&amp;COLUMN(FY$1)&amp;""=1""))&amp;""' ORDER BY Col6 DESC LIMIT ""&amp;QUERY('Global Variables'!$A:$B, ""SELECT Col2 WHERE Col1 = 'S"&amp;"TARTING_ROSTER_SIZE'"")),0))"),0.0)</f>
        <v>0</v>
      </c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</row>
    <row r="12">
      <c r="A12" s="32" t="str">
        <f>'Weekly EDSA'!A11</f>
        <v>Trueb</v>
      </c>
      <c r="B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Col""&amp;COLUMN(B$1)&amp;""=1""))&amp;""' ORDER BY Col6 DESC LIMIT ""&amp;QUERY('Global Variables'!$A:$B, ""SELECT Col2 WHERE Col1 = 'ST"&amp;"ARTING_ROSTER_SIZE'"")),0))"),0.0)</f>
        <v>0</v>
      </c>
      <c r="C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Col""&amp;COLUMN(C$1)&amp;""=1""))&amp;""' ORDER BY Col6 DESC LIMIT ""&amp;QUERY('Global Variables'!$A:$B, ""SELECT Col2 WHERE Col1 = 'ST"&amp;"ARTING_ROSTER_SIZE'"")),0))"),0.0)</f>
        <v>0</v>
      </c>
      <c r="D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Col""&amp;COLUMN(D$1)&amp;""=1""))&amp;""' ORDER BY Col6 DESC LIMIT ""&amp;QUERY('Global Variables'!$A:$B, ""SELECT Col2 WHERE Col1 = 'ST"&amp;"ARTING_ROSTER_SIZE'"")),0))"),0.0)</f>
        <v>0</v>
      </c>
      <c r="E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Col""&amp;COLUMN(E$1)&amp;""=1""))&amp;""' ORDER BY Col6 DESC LIMIT ""&amp;QUERY('Global Variables'!$A:$B, ""SELECT Col2 WHERE Col1 = 'ST"&amp;"ARTING_ROSTER_SIZE'"")),0))"),0.0)</f>
        <v>0</v>
      </c>
      <c r="F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Col""&amp;COLUMN(F$1)&amp;""=1""))&amp;""' ORDER BY Col6 DESC LIMIT ""&amp;QUERY('Global Variables'!$A:$B, ""SELECT Col2 WHERE Col1 = 'ST"&amp;"ARTING_ROSTER_SIZE'"")),0))"),0.0)</f>
        <v>0</v>
      </c>
      <c r="G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Col""&amp;COLUMN(G$1)&amp;""=1""))&amp;""' ORDER BY Col6 DESC LIMIT ""&amp;QUERY('Global Variables'!$A:$B, ""SELECT Col2 WHERE Col1 = 'ST"&amp;"ARTING_ROSTER_SIZE'"")),0))"),0.0)</f>
        <v>0</v>
      </c>
      <c r="H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Col""&amp;COLUMN(H$1)&amp;""=1""))&amp;""' ORDER BY Col6 DESC LIMIT ""&amp;QUERY('Global Variables'!$A:$B, ""SELECT Col2 WHERE Col1 = 'ST"&amp;"ARTING_ROSTER_SIZE'"")),0))"),0.0)</f>
        <v>0</v>
      </c>
      <c r="I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Col""&amp;COLUMN(I$1)&amp;""=1""))&amp;""' ORDER BY Col6 DESC LIMIT ""&amp;QUERY('Global Variables'!$A:$B, ""SELECT Col2 WHERE Col1 = 'ST"&amp;"ARTING_ROSTER_SIZE'"")),0))"),0.0)</f>
        <v>0</v>
      </c>
      <c r="J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Col""&amp;COLUMN(J$1)&amp;""=1""))&amp;""' ORDER BY Col6 DESC LIMIT ""&amp;QUERY('Global Variables'!$A:$B, ""SELECT Col2 WHERE Col1 = 'ST"&amp;"ARTING_ROSTER_SIZE'"")),0))"),0.0)</f>
        <v>0</v>
      </c>
      <c r="K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Col""&amp;COLUMN(K$1)&amp;""=1""))&amp;""' ORDER BY Col6 DESC LIMIT ""&amp;QUERY('Global Variables'!$A:$B, ""SELECT Col2 WHERE Col1 = 'ST"&amp;"ARTING_ROSTER_SIZE'"")),0))"),0.0)</f>
        <v>0</v>
      </c>
      <c r="L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Col""&amp;COLUMN(L$1)&amp;""=1""))&amp;""' ORDER BY Col6 DESC LIMIT ""&amp;QUERY('Global Variables'!$A:$B, ""SELECT Col2 WHERE Col1 = 'ST"&amp;"ARTING_ROSTER_SIZE'"")),0))"),0.0)</f>
        <v>0</v>
      </c>
      <c r="M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Col""&amp;COLUMN(M$1)&amp;""=1""))&amp;""' ORDER BY Col6 DESC LIMIT ""&amp;QUERY('Global Variables'!$A:$B, ""SELECT Col2 WHERE Col1 = 'ST"&amp;"ARTING_ROSTER_SIZE'"")),0))"),0.0)</f>
        <v>0</v>
      </c>
      <c r="N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Col""&amp;COLUMN(N$1)&amp;""=1""))&amp;""' ORDER BY Col6 DESC LIMIT ""&amp;QUERY('Global Variables'!$A:$B, ""SELECT Col2 WHERE Col1 = 'ST"&amp;"ARTING_ROSTER_SIZE'"")),0))"),0.0)</f>
        <v>0</v>
      </c>
      <c r="O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Col""&amp;COLUMN(O$1)&amp;""=1""))&amp;""' ORDER BY Col6 DESC LIMIT ""&amp;QUERY('Global Variables'!$A:$B, ""SELECT Col2 WHERE Col1 = 'ST"&amp;"ARTING_ROSTER_SIZE'"")),0))"),0.0)</f>
        <v>0</v>
      </c>
      <c r="P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Col""&amp;COLUMN(P$1)&amp;""=1""))&amp;""' ORDER BY Col6 DESC LIMIT ""&amp;QUERY('Global Variables'!$A:$B, ""SELECT Col2 WHERE Col1 = 'ST"&amp;"ARTING_ROSTER_SIZE'"")),0))"),0.0)</f>
        <v>0</v>
      </c>
      <c r="Q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Col""&amp;COLUMN(Q$1)&amp;""=1""))&amp;""' ORDER BY Col6 DESC LIMIT ""&amp;QUERY('Global Variables'!$A:$B, ""SELECT Col2 WHERE Col1 = 'ST"&amp;"ARTING_ROSTER_SIZE'"")),0))"),0.0)</f>
        <v>0</v>
      </c>
      <c r="R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Col""&amp;COLUMN(R$1)&amp;""=1""))&amp;""' ORDER BY Col6 DESC LIMIT ""&amp;QUERY('Global Variables'!$A:$B, ""SELECT Col2 WHERE Col1 = 'ST"&amp;"ARTING_ROSTER_SIZE'"")),0))"),0.0)</f>
        <v>0</v>
      </c>
      <c r="S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Col""&amp;COLUMN(S$1)&amp;""=1""))&amp;""' ORDER BY Col6 DESC LIMIT ""&amp;QUERY('Global Variables'!$A:$B, ""SELECT Col2 WHERE Col1 = 'ST"&amp;"ARTING_ROSTER_SIZE'"")),0))"),0.0)</f>
        <v>0</v>
      </c>
      <c r="T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Col""&amp;COLUMN(T$1)&amp;""=1""))&amp;""' ORDER BY Col6 DESC LIMIT ""&amp;QUERY('Global Variables'!$A:$B, ""SELECT Col2 WHERE Col1 = 'ST"&amp;"ARTING_ROSTER_SIZE'"")),0))"),0.0)</f>
        <v>0</v>
      </c>
      <c r="U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Col""&amp;COLUMN(U$1)&amp;""=1""))&amp;""' ORDER BY Col6 DESC LIMIT ""&amp;QUERY('Global Variables'!$A:$B, ""SELECT Col2 WHERE Col1 = 'ST"&amp;"ARTING_ROSTER_SIZE'"")),0))"),0.0)</f>
        <v>0</v>
      </c>
      <c r="V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Col""&amp;COLUMN(V$1)&amp;""=1""))&amp;""' ORDER BY Col6 DESC LIMIT ""&amp;QUERY('Global Variables'!$A:$B, ""SELECT Col2 WHERE Col1 = 'ST"&amp;"ARTING_ROSTER_SIZE'"")),0))"),0.0)</f>
        <v>0</v>
      </c>
      <c r="W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Col""&amp;COLUMN(W$1)&amp;""=1""))&amp;""' ORDER BY Col6 DESC LIMIT ""&amp;QUERY('Global Variables'!$A:$B, ""SELECT Col2 WHERE Col1 = 'ST"&amp;"ARTING_ROSTER_SIZE'"")),0))"),0.0)</f>
        <v>0</v>
      </c>
      <c r="X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Col""&amp;COLUMN(X$1)&amp;""=1""))&amp;""' ORDER BY Col6 DESC LIMIT ""&amp;QUERY('Global Variables'!$A:$B, ""SELECT Col2 WHERE Col1 = 'ST"&amp;"ARTING_ROSTER_SIZE'"")),0))"),0.0)</f>
        <v>0</v>
      </c>
      <c r="Y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Col""&amp;COLUMN(Y$1)&amp;""=1""))&amp;""' ORDER BY Col6 DESC LIMIT ""&amp;QUERY('Global Variables'!$A:$B, ""SELECT Col2 WHERE Col1 = 'ST"&amp;"ARTING_ROSTER_SIZE'"")),0))"),0.0)</f>
        <v>0</v>
      </c>
      <c r="Z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Col""&amp;COLUMN(Z$1)&amp;""=1""))&amp;""' ORDER BY Col6 DESC LIMIT ""&amp;QUERY('Global Variables'!$A:$B, ""SELECT Col2 WHERE Col1 = 'ST"&amp;"ARTING_ROSTER_SIZE'"")),0))"),0.0)</f>
        <v>0</v>
      </c>
      <c r="AA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Col""&amp;COLUMN(AA$1)&amp;""=1""))&amp;""' ORDER BY Col6 DESC LIMIT ""&amp;QUERY('Global Variables'!$A:$B, ""SELECT Col2 WHERE Col1 = 'S"&amp;"TARTING_ROSTER_SIZE'"")),0))"),0.0)</f>
        <v>0</v>
      </c>
      <c r="AB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Col""&amp;COLUMN(AB$1)&amp;""=1""))&amp;""' ORDER BY Col6 DESC LIMIT ""&amp;QUERY('Global Variables'!$A:$B, ""SELECT Col2 WHERE Col1 = 'S"&amp;"TARTING_ROSTER_SIZE'"")),0))"),0.0)</f>
        <v>0</v>
      </c>
      <c r="AC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Col""&amp;COLUMN(AC$1)&amp;""=1""))&amp;""' ORDER BY Col6 DESC LIMIT ""&amp;QUERY('Global Variables'!$A:$B, ""SELECT Col2 WHERE Col1 = 'S"&amp;"TARTING_ROSTER_SIZE'"")),0))"),0.0)</f>
        <v>0</v>
      </c>
      <c r="AD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Col""&amp;COLUMN(AD$1)&amp;""=1""))&amp;""' ORDER BY Col6 DESC LIMIT ""&amp;QUERY('Global Variables'!$A:$B, ""SELECT Col2 WHERE Col1 = 'S"&amp;"TARTING_ROSTER_SIZE'"")),0))"),0.0)</f>
        <v>0</v>
      </c>
      <c r="AE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Col""&amp;COLUMN(AE$1)&amp;""=1""))&amp;""' ORDER BY Col6 DESC LIMIT ""&amp;QUERY('Global Variables'!$A:$B, ""SELECT Col2 WHERE Col1 = 'S"&amp;"TARTING_ROSTER_SIZE'"")),0))"),0.0)</f>
        <v>0</v>
      </c>
      <c r="AF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Col""&amp;COLUMN(AF$1)&amp;""=1""))&amp;""' ORDER BY Col6 DESC LIMIT ""&amp;QUERY('Global Variables'!$A:$B, ""SELECT Col2 WHERE Col1 = 'S"&amp;"TARTING_ROSTER_SIZE'"")),0))"),0.0)</f>
        <v>0</v>
      </c>
      <c r="AG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Col""&amp;COLUMN(AG$1)&amp;""=1""))&amp;""' ORDER BY Col6 DESC LIMIT ""&amp;QUERY('Global Variables'!$A:$B, ""SELECT Col2 WHERE Col1 = 'S"&amp;"TARTING_ROSTER_SIZE'"")),0))"),0.0)</f>
        <v>0</v>
      </c>
      <c r="AH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Col""&amp;COLUMN(AH$1)&amp;""=1""))&amp;""' ORDER BY Col6 DESC LIMIT ""&amp;QUERY('Global Variables'!$A:$B, ""SELECT Col2 WHERE Col1 = 'S"&amp;"TARTING_ROSTER_SIZE'"")),0))"),0.0)</f>
        <v>0</v>
      </c>
      <c r="AI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Col""&amp;COLUMN(AI$1)&amp;""=1""))&amp;""' ORDER BY Col6 DESC LIMIT ""&amp;QUERY('Global Variables'!$A:$B, ""SELECT Col2 WHERE Col1 = 'S"&amp;"TARTING_ROSTER_SIZE'"")),0))"),0.0)</f>
        <v>0</v>
      </c>
      <c r="AJ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Col""&amp;COLUMN(AJ$1)&amp;""=1""))&amp;""' ORDER BY Col6 DESC LIMIT ""&amp;QUERY('Global Variables'!$A:$B, ""SELECT Col2 WHERE Col1 = 'S"&amp;"TARTING_ROSTER_SIZE'"")),0))"),0.0)</f>
        <v>0</v>
      </c>
      <c r="AK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Col""&amp;COLUMN(AK$1)&amp;""=1""))&amp;""' ORDER BY Col6 DESC LIMIT ""&amp;QUERY('Global Variables'!$A:$B, ""SELECT Col2 WHERE Col1 = 'S"&amp;"TARTING_ROSTER_SIZE'"")),0))"),0.0)</f>
        <v>0</v>
      </c>
      <c r="AL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Col""&amp;COLUMN(AL$1)&amp;""=1""))&amp;""' ORDER BY Col6 DESC LIMIT ""&amp;QUERY('Global Variables'!$A:$B, ""SELECT Col2 WHERE Col1 = 'S"&amp;"TARTING_ROSTER_SIZE'"")),0))"),0.0)</f>
        <v>0</v>
      </c>
      <c r="AM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Col""&amp;COLUMN(AM$1)&amp;""=1""))&amp;""' ORDER BY Col6 DESC LIMIT ""&amp;QUERY('Global Variables'!$A:$B, ""SELECT Col2 WHERE Col1 = 'S"&amp;"TARTING_ROSTER_SIZE'"")),0))"),0.0)</f>
        <v>0</v>
      </c>
      <c r="AN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Col""&amp;COLUMN(AN$1)&amp;""=1""))&amp;""' ORDER BY Col6 DESC LIMIT ""&amp;QUERY('Global Variables'!$A:$B, ""SELECT Col2 WHERE Col1 = 'S"&amp;"TARTING_ROSTER_SIZE'"")),0))"),0.0)</f>
        <v>0</v>
      </c>
      <c r="AO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Col""&amp;COLUMN(AO$1)&amp;""=1""))&amp;""' ORDER BY Col6 DESC LIMIT ""&amp;QUERY('Global Variables'!$A:$B, ""SELECT Col2 WHERE Col1 = 'S"&amp;"TARTING_ROSTER_SIZE'"")),0))"),0.0)</f>
        <v>0</v>
      </c>
      <c r="AP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Col""&amp;COLUMN(AP$1)&amp;""=1""))&amp;""' ORDER BY Col6 DESC LIMIT ""&amp;QUERY('Global Variables'!$A:$B, ""SELECT Col2 WHERE Col1 = 'S"&amp;"TARTING_ROSTER_SIZE'"")),0))"),0.0)</f>
        <v>0</v>
      </c>
      <c r="AQ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Col""&amp;COLUMN(AQ$1)&amp;""=1""))&amp;""' ORDER BY Col6 DESC LIMIT ""&amp;QUERY('Global Variables'!$A:$B, ""SELECT Col2 WHERE Col1 = 'S"&amp;"TARTING_ROSTER_SIZE'"")),0))"),0.0)</f>
        <v>0</v>
      </c>
      <c r="AR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Col""&amp;COLUMN(AR$1)&amp;""=1""))&amp;""' ORDER BY Col6 DESC LIMIT ""&amp;QUERY('Global Variables'!$A:$B, ""SELECT Col2 WHERE Col1 = 'S"&amp;"TARTING_ROSTER_SIZE'"")),0))"),0.0)</f>
        <v>0</v>
      </c>
      <c r="AS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Col""&amp;COLUMN(AS$1)&amp;""=1""))&amp;""' ORDER BY Col6 DESC LIMIT ""&amp;QUERY('Global Variables'!$A:$B, ""SELECT Col2 WHERE Col1 = 'S"&amp;"TARTING_ROSTER_SIZE'"")),0))"),0.0)</f>
        <v>0</v>
      </c>
      <c r="AT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Col""&amp;COLUMN(AT$1)&amp;""=1""))&amp;""' ORDER BY Col6 DESC LIMIT ""&amp;QUERY('Global Variables'!$A:$B, ""SELECT Col2 WHERE Col1 = 'S"&amp;"TARTING_ROSTER_SIZE'"")),0))"),0.0)</f>
        <v>0</v>
      </c>
      <c r="AU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Col""&amp;COLUMN(AU$1)&amp;""=1""))&amp;""' ORDER BY Col6 DESC LIMIT ""&amp;QUERY('Global Variables'!$A:$B, ""SELECT Col2 WHERE Col1 = 'S"&amp;"TARTING_ROSTER_SIZE'"")),0))"),0.0)</f>
        <v>0</v>
      </c>
      <c r="AV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Col""&amp;COLUMN(AV$1)&amp;""=1""))&amp;""' ORDER BY Col6 DESC LIMIT ""&amp;QUERY('Global Variables'!$A:$B, ""SELECT Col2 WHERE Col1 = 'S"&amp;"TARTING_ROSTER_SIZE'"")),0))"),0.0)</f>
        <v>0</v>
      </c>
      <c r="AW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Col""&amp;COLUMN(AW$1)&amp;""=1""))&amp;""' ORDER BY Col6 DESC LIMIT ""&amp;QUERY('Global Variables'!$A:$B, ""SELECT Col2 WHERE Col1 = 'S"&amp;"TARTING_ROSTER_SIZE'"")),0))"),0.0)</f>
        <v>0</v>
      </c>
      <c r="AX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Col""&amp;COLUMN(AX$1)&amp;""=1""))&amp;""' ORDER BY Col6 DESC LIMIT ""&amp;QUERY('Global Variables'!$A:$B, ""SELECT Col2 WHERE Col1 = 'S"&amp;"TARTING_ROSTER_SIZE'"")),0))"),0.0)</f>
        <v>0</v>
      </c>
      <c r="AY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Col""&amp;COLUMN(AY$1)&amp;""=1""))&amp;""' ORDER BY Col6 DESC LIMIT ""&amp;QUERY('Global Variables'!$A:$B, ""SELECT Col2 WHERE Col1 = 'S"&amp;"TARTING_ROSTER_SIZE'"")),0))"),0.0)</f>
        <v>0</v>
      </c>
      <c r="AZ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Col""&amp;COLUMN(AZ$1)&amp;""=1""))&amp;""' ORDER BY Col6 DESC LIMIT ""&amp;QUERY('Global Variables'!$A:$B, ""SELECT Col2 WHERE Col1 = 'S"&amp;"TARTING_ROSTER_SIZE'"")),0))"),0.0)</f>
        <v>0</v>
      </c>
      <c r="BA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Col""&amp;COLUMN(BA$1)&amp;""=1""))&amp;""' ORDER BY Col6 DESC LIMIT ""&amp;QUERY('Global Variables'!$A:$B, ""SELECT Col2 WHERE Col1 = 'S"&amp;"TARTING_ROSTER_SIZE'"")),0))"),0.0)</f>
        <v>0</v>
      </c>
      <c r="BB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Col""&amp;COLUMN(BB$1)&amp;""=1""))&amp;""' ORDER BY Col6 DESC LIMIT ""&amp;QUERY('Global Variables'!$A:$B, ""SELECT Col2 WHERE Col1 = 'S"&amp;"TARTING_ROSTER_SIZE'"")),0))"),0.0)</f>
        <v>0</v>
      </c>
      <c r="BC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Col""&amp;COLUMN(BC$1)&amp;""=1""))&amp;""' ORDER BY Col6 DESC LIMIT ""&amp;QUERY('Global Variables'!$A:$B, ""SELECT Col2 WHERE Col1 = 'S"&amp;"TARTING_ROSTER_SIZE'"")),0))"),0.0)</f>
        <v>0</v>
      </c>
      <c r="BD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Col""&amp;COLUMN(BD$1)&amp;""=1""))&amp;""' ORDER BY Col6 DESC LIMIT ""&amp;QUERY('Global Variables'!$A:$B, ""SELECT Col2 WHERE Col1 = 'S"&amp;"TARTING_ROSTER_SIZE'"")),0))"),0.0)</f>
        <v>0</v>
      </c>
      <c r="BE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Col""&amp;COLUMN(BE$1)&amp;""=1""))&amp;""' ORDER BY Col6 DESC LIMIT ""&amp;QUERY('Global Variables'!$A:$B, ""SELECT Col2 WHERE Col1 = 'S"&amp;"TARTING_ROSTER_SIZE'"")),0))"),0.0)</f>
        <v>0</v>
      </c>
      <c r="BF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Col""&amp;COLUMN(BF$1)&amp;""=1""))&amp;""' ORDER BY Col6 DESC LIMIT ""&amp;QUERY('Global Variables'!$A:$B, ""SELECT Col2 WHERE Col1 = 'S"&amp;"TARTING_ROSTER_SIZE'"")),0))"),0.0)</f>
        <v>0</v>
      </c>
      <c r="BG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Col""&amp;COLUMN(BG$1)&amp;""=1""))&amp;""' ORDER BY Col6 DESC LIMIT ""&amp;QUERY('Global Variables'!$A:$B, ""SELECT Col2 WHERE Col1 = 'S"&amp;"TARTING_ROSTER_SIZE'"")),0))"),0.0)</f>
        <v>0</v>
      </c>
      <c r="BH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Col""&amp;COLUMN(BH$1)&amp;""=1""))&amp;""' ORDER BY Col6 DESC LIMIT ""&amp;QUERY('Global Variables'!$A:$B, ""SELECT Col2 WHERE Col1 = 'S"&amp;"TARTING_ROSTER_SIZE'"")),0))"),0.0)</f>
        <v>0</v>
      </c>
      <c r="BI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Col""&amp;COLUMN(BI$1)&amp;""=1""))&amp;""' ORDER BY Col6 DESC LIMIT ""&amp;QUERY('Global Variables'!$A:$B, ""SELECT Col2 WHERE Col1 = 'S"&amp;"TARTING_ROSTER_SIZE'"")),0))"),0.0)</f>
        <v>0</v>
      </c>
      <c r="BJ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Col""&amp;COLUMN(BJ$1)&amp;""=1""))&amp;""' ORDER BY Col6 DESC LIMIT ""&amp;QUERY('Global Variables'!$A:$B, ""SELECT Col2 WHERE Col1 = 'S"&amp;"TARTING_ROSTER_SIZE'"")),0))"),0.0)</f>
        <v>0</v>
      </c>
      <c r="BK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Col""&amp;COLUMN(BK$1)&amp;""=1""))&amp;""' ORDER BY Col6 DESC LIMIT ""&amp;QUERY('Global Variables'!$A:$B, ""SELECT Col2 WHERE Col1 = 'S"&amp;"TARTING_ROSTER_SIZE'"")),0))"),0.0)</f>
        <v>0</v>
      </c>
      <c r="BL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Col""&amp;COLUMN(BL$1)&amp;""=1""))&amp;""' ORDER BY Col6 DESC LIMIT ""&amp;QUERY('Global Variables'!$A:$B, ""SELECT Col2 WHERE Col1 = 'S"&amp;"TARTING_ROSTER_SIZE'"")),0))"),0.0)</f>
        <v>0</v>
      </c>
      <c r="BM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Col""&amp;COLUMN(BM$1)&amp;""=1""))&amp;""' ORDER BY Col6 DESC LIMIT ""&amp;QUERY('Global Variables'!$A:$B, ""SELECT Col2 WHERE Col1 = 'S"&amp;"TARTING_ROSTER_SIZE'"")),0))"),0.0)</f>
        <v>0</v>
      </c>
      <c r="BN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Col""&amp;COLUMN(BN$1)&amp;""=1""))&amp;""' ORDER BY Col6 DESC LIMIT ""&amp;QUERY('Global Variables'!$A:$B, ""SELECT Col2 WHERE Col1 = 'S"&amp;"TARTING_ROSTER_SIZE'"")),0))"),0.0)</f>
        <v>0</v>
      </c>
      <c r="BO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Col""&amp;COLUMN(BO$1)&amp;""=1""))&amp;""' ORDER BY Col6 DESC LIMIT ""&amp;QUERY('Global Variables'!$A:$B, ""SELECT Col2 WHERE Col1 = 'S"&amp;"TARTING_ROSTER_SIZE'"")),0))"),0.0)</f>
        <v>0</v>
      </c>
      <c r="BP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Col""&amp;COLUMN(BP$1)&amp;""=1""))&amp;""' ORDER BY Col6 DESC LIMIT ""&amp;QUERY('Global Variables'!$A:$B, ""SELECT Col2 WHERE Col1 = 'S"&amp;"TARTING_ROSTER_SIZE'"")),0))"),0.0)</f>
        <v>0</v>
      </c>
      <c r="BQ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Col""&amp;COLUMN(BQ$1)&amp;""=1""))&amp;""' ORDER BY Col6 DESC LIMIT ""&amp;QUERY('Global Variables'!$A:$B, ""SELECT Col2 WHERE Col1 = 'S"&amp;"TARTING_ROSTER_SIZE'"")),0))"),0.0)</f>
        <v>0</v>
      </c>
      <c r="BR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Col""&amp;COLUMN(BR$1)&amp;""=1""))&amp;""' ORDER BY Col6 DESC LIMIT ""&amp;QUERY('Global Variables'!$A:$B, ""SELECT Col2 WHERE Col1 = 'S"&amp;"TARTING_ROSTER_SIZE'"")),0))"),0.0)</f>
        <v>0</v>
      </c>
      <c r="BS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Col""&amp;COLUMN(BS$1)&amp;""=1""))&amp;""' ORDER BY Col6 DESC LIMIT ""&amp;QUERY('Global Variables'!$A:$B, ""SELECT Col2 WHERE Col1 = 'S"&amp;"TARTING_ROSTER_SIZE'"")),0))"),0.0)</f>
        <v>0</v>
      </c>
      <c r="BT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Col""&amp;COLUMN(BT$1)&amp;""=1""))&amp;""' ORDER BY Col6 DESC LIMIT ""&amp;QUERY('Global Variables'!$A:$B, ""SELECT Col2 WHERE Col1 = 'S"&amp;"TARTING_ROSTER_SIZE'"")),0))"),0.0)</f>
        <v>0</v>
      </c>
      <c r="BU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Col""&amp;COLUMN(BU$1)&amp;""=1""))&amp;""' ORDER BY Col6 DESC LIMIT ""&amp;QUERY('Global Variables'!$A:$B, ""SELECT Col2 WHERE Col1 = 'S"&amp;"TARTING_ROSTER_SIZE'"")),0))"),0.0)</f>
        <v>0</v>
      </c>
      <c r="BV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Col""&amp;COLUMN(BV$1)&amp;""=1""))&amp;""' ORDER BY Col6 DESC LIMIT ""&amp;QUERY('Global Variables'!$A:$B, ""SELECT Col2 WHERE Col1 = 'S"&amp;"TARTING_ROSTER_SIZE'"")),0))"),0.0)</f>
        <v>0</v>
      </c>
      <c r="BW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Col""&amp;COLUMN(BW$1)&amp;""=1""))&amp;""' ORDER BY Col6 DESC LIMIT ""&amp;QUERY('Global Variables'!$A:$B, ""SELECT Col2 WHERE Col1 = 'S"&amp;"TARTING_ROSTER_SIZE'"")),0))"),0.0)</f>
        <v>0</v>
      </c>
      <c r="BX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Col""&amp;COLUMN(BX$1)&amp;""=1""))&amp;""' ORDER BY Col6 DESC LIMIT ""&amp;QUERY('Global Variables'!$A:$B, ""SELECT Col2 WHERE Col1 = 'S"&amp;"TARTING_ROSTER_SIZE'"")),0))"),0.0)</f>
        <v>0</v>
      </c>
      <c r="BY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Col""&amp;COLUMN(BY$1)&amp;""=1""))&amp;""' ORDER BY Col6 DESC LIMIT ""&amp;QUERY('Global Variables'!$A:$B, ""SELECT Col2 WHERE Col1 = 'S"&amp;"TARTING_ROSTER_SIZE'"")),0))"),0.0)</f>
        <v>0</v>
      </c>
      <c r="BZ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Col""&amp;COLUMN(BZ$1)&amp;""=1""))&amp;""' ORDER BY Col6 DESC LIMIT ""&amp;QUERY('Global Variables'!$A:$B, ""SELECT Col2 WHERE Col1 = 'S"&amp;"TARTING_ROSTER_SIZE'"")),0))"),0.0)</f>
        <v>0</v>
      </c>
      <c r="CA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Col""&amp;COLUMN(CA$1)&amp;""=1""))&amp;""' ORDER BY Col6 DESC LIMIT ""&amp;QUERY('Global Variables'!$A:$B, ""SELECT Col2 WHERE Col1 = 'S"&amp;"TARTING_ROSTER_SIZE'"")),0))"),0.0)</f>
        <v>0</v>
      </c>
      <c r="CB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Col""&amp;COLUMN(CB$1)&amp;""=1""))&amp;""' ORDER BY Col6 DESC LIMIT ""&amp;QUERY('Global Variables'!$A:$B, ""SELECT Col2 WHERE Col1 = 'S"&amp;"TARTING_ROSTER_SIZE'"")),0))"),0.0)</f>
        <v>0</v>
      </c>
      <c r="CC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Col""&amp;COLUMN(CC$1)&amp;""=1""))&amp;""' ORDER BY Col6 DESC LIMIT ""&amp;QUERY('Global Variables'!$A:$B, ""SELECT Col2 WHERE Col1 = 'S"&amp;"TARTING_ROSTER_SIZE'"")),0))"),0.0)</f>
        <v>0</v>
      </c>
      <c r="CD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Col""&amp;COLUMN(CD$1)&amp;""=1""))&amp;""' ORDER BY Col6 DESC LIMIT ""&amp;QUERY('Global Variables'!$A:$B, ""SELECT Col2 WHERE Col1 = 'S"&amp;"TARTING_ROSTER_SIZE'"")),0))"),0.0)</f>
        <v>0</v>
      </c>
      <c r="CE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Col""&amp;COLUMN(CE$1)&amp;""=1""))&amp;""' ORDER BY Col6 DESC LIMIT ""&amp;QUERY('Global Variables'!$A:$B, ""SELECT Col2 WHERE Col1 = 'S"&amp;"TARTING_ROSTER_SIZE'"")),0))"),0.0)</f>
        <v>0</v>
      </c>
      <c r="CF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Col""&amp;COLUMN(CF$1)&amp;""=1""))&amp;""' ORDER BY Col6 DESC LIMIT ""&amp;QUERY('Global Variables'!$A:$B, ""SELECT Col2 WHERE Col1 = 'S"&amp;"TARTING_ROSTER_SIZE'"")),0))"),0.0)</f>
        <v>0</v>
      </c>
      <c r="CG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Col""&amp;COLUMN(CG$1)&amp;""=1""))&amp;""' ORDER BY Col6 DESC LIMIT ""&amp;QUERY('Global Variables'!$A:$B, ""SELECT Col2 WHERE Col1 = 'S"&amp;"TARTING_ROSTER_SIZE'"")),0))"),0.0)</f>
        <v>0</v>
      </c>
      <c r="CH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Col""&amp;COLUMN(CH$1)&amp;""=1""))&amp;""' ORDER BY Col6 DESC LIMIT ""&amp;QUERY('Global Variables'!$A:$B, ""SELECT Col2 WHERE Col1 = 'S"&amp;"TARTING_ROSTER_SIZE'"")),0))"),0.0)</f>
        <v>0</v>
      </c>
      <c r="CI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Col""&amp;COLUMN(CI$1)&amp;""=1""))&amp;""' ORDER BY Col6 DESC LIMIT ""&amp;QUERY('Global Variables'!$A:$B, ""SELECT Col2 WHERE Col1 = 'S"&amp;"TARTING_ROSTER_SIZE'"")),0))"),0.0)</f>
        <v>0</v>
      </c>
      <c r="CJ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Col""&amp;COLUMN(CJ$1)&amp;""=1""))&amp;""' ORDER BY Col6 DESC LIMIT ""&amp;QUERY('Global Variables'!$A:$B, ""SELECT Col2 WHERE Col1 = 'S"&amp;"TARTING_ROSTER_SIZE'"")),0))"),0.0)</f>
        <v>0</v>
      </c>
      <c r="CK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Col""&amp;COLUMN(CK$1)&amp;""=1""))&amp;""' ORDER BY Col6 DESC LIMIT ""&amp;QUERY('Global Variables'!$A:$B, ""SELECT Col2 WHERE Col1 = 'S"&amp;"TARTING_ROSTER_SIZE'"")),0))"),0.0)</f>
        <v>0</v>
      </c>
      <c r="CL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Col""&amp;COLUMN(CL$1)&amp;""=1""))&amp;""' ORDER BY Col6 DESC LIMIT ""&amp;QUERY('Global Variables'!$A:$B, ""SELECT Col2 WHERE Col1 = 'S"&amp;"TARTING_ROSTER_SIZE'"")),0))"),0.0)</f>
        <v>0</v>
      </c>
      <c r="CM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Col""&amp;COLUMN(CM$1)&amp;""=1""))&amp;""' ORDER BY Col6 DESC LIMIT ""&amp;QUERY('Global Variables'!$A:$B, ""SELECT Col2 WHERE Col1 = 'S"&amp;"TARTING_ROSTER_SIZE'"")),0))"),0.0)</f>
        <v>0</v>
      </c>
      <c r="CN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Col""&amp;COLUMN(CN$1)&amp;""=1""))&amp;""' ORDER BY Col6 DESC LIMIT ""&amp;QUERY('Global Variables'!$A:$B, ""SELECT Col2 WHERE Col1 = 'S"&amp;"TARTING_ROSTER_SIZE'"")),0))"),0.0)</f>
        <v>0</v>
      </c>
      <c r="CO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Col""&amp;COLUMN(CO$1)&amp;""=1""))&amp;""' ORDER BY Col6 DESC LIMIT ""&amp;QUERY('Global Variables'!$A:$B, ""SELECT Col2 WHERE Col1 = 'S"&amp;"TARTING_ROSTER_SIZE'"")),0))"),0.0)</f>
        <v>0</v>
      </c>
      <c r="CP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Col""&amp;COLUMN(CP$1)&amp;""=1""))&amp;""' ORDER BY Col6 DESC LIMIT ""&amp;QUERY('Global Variables'!$A:$B, ""SELECT Col2 WHERE Col1 = 'S"&amp;"TARTING_ROSTER_SIZE'"")),0))"),0.0)</f>
        <v>0</v>
      </c>
      <c r="CQ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Col""&amp;COLUMN(CQ$1)&amp;""=1""))&amp;""' ORDER BY Col6 DESC LIMIT ""&amp;QUERY('Global Variables'!$A:$B, ""SELECT Col2 WHERE Col1 = 'S"&amp;"TARTING_ROSTER_SIZE'"")),0))"),0.0)</f>
        <v>0</v>
      </c>
      <c r="CR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Col""&amp;COLUMN(CR$1)&amp;""=1""))&amp;""' ORDER BY Col6 DESC LIMIT ""&amp;QUERY('Global Variables'!$A:$B, ""SELECT Col2 WHERE Col1 = 'S"&amp;"TARTING_ROSTER_SIZE'"")),0))"),0.0)</f>
        <v>0</v>
      </c>
      <c r="CS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Col""&amp;COLUMN(CS$1)&amp;""=1""))&amp;""' ORDER BY Col6 DESC LIMIT ""&amp;QUERY('Global Variables'!$A:$B, ""SELECT Col2 WHERE Col1 = 'S"&amp;"TARTING_ROSTER_SIZE'"")),0))"),0.0)</f>
        <v>0</v>
      </c>
      <c r="CT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Col""&amp;COLUMN(CT$1)&amp;""=1""))&amp;""' ORDER BY Col6 DESC LIMIT ""&amp;QUERY('Global Variables'!$A:$B, ""SELECT Col2 WHERE Col1 = 'S"&amp;"TARTING_ROSTER_SIZE'"")),0))"),0.0)</f>
        <v>0</v>
      </c>
      <c r="CU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Col""&amp;COLUMN(CU$1)&amp;""=1""))&amp;""' ORDER BY Col6 DESC LIMIT ""&amp;QUERY('Global Variables'!$A:$B, ""SELECT Col2 WHERE Col1 = 'S"&amp;"TARTING_ROSTER_SIZE'"")),0))"),0.0)</f>
        <v>0</v>
      </c>
      <c r="CV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Col""&amp;COLUMN(CV$1)&amp;""=1""))&amp;""' ORDER BY Col6 DESC LIMIT ""&amp;QUERY('Global Variables'!$A:$B, ""SELECT Col2 WHERE Col1 = 'S"&amp;"TARTING_ROSTER_SIZE'"")),0))"),0.0)</f>
        <v>0</v>
      </c>
      <c r="CW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Col""&amp;COLUMN(CW$1)&amp;""=1""))&amp;""' ORDER BY Col6 DESC LIMIT ""&amp;QUERY('Global Variables'!$A:$B, ""SELECT Col2 WHERE Col1 = 'S"&amp;"TARTING_ROSTER_SIZE'"")),0))"),0.0)</f>
        <v>0</v>
      </c>
      <c r="CX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Col""&amp;COLUMN(CX$1)&amp;""=1""))&amp;""' ORDER BY Col6 DESC LIMIT ""&amp;QUERY('Global Variables'!$A:$B, ""SELECT Col2 WHERE Col1 = 'S"&amp;"TARTING_ROSTER_SIZE'"")),0))"),0.0)</f>
        <v>0</v>
      </c>
      <c r="CY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Col""&amp;COLUMN(CY$1)&amp;""=1""))&amp;""' ORDER BY Col6 DESC LIMIT ""&amp;QUERY('Global Variables'!$A:$B, ""SELECT Col2 WHERE Col1 = 'S"&amp;"TARTING_ROSTER_SIZE'"")),0))"),0.0)</f>
        <v>0</v>
      </c>
      <c r="CZ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Col""&amp;COLUMN(CZ$1)&amp;""=1""))&amp;""' ORDER BY Col6 DESC LIMIT ""&amp;QUERY('Global Variables'!$A:$B, ""SELECT Col2 WHERE Col1 = 'S"&amp;"TARTING_ROSTER_SIZE'"")),0))"),0.0)</f>
        <v>0</v>
      </c>
      <c r="DA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Col""&amp;COLUMN(DA$1)&amp;""=1""))&amp;""' ORDER BY Col6 DESC LIMIT ""&amp;QUERY('Global Variables'!$A:$B, ""SELECT Col2 WHERE Col1 = 'S"&amp;"TARTING_ROSTER_SIZE'"")),0))"),0.0)</f>
        <v>0</v>
      </c>
      <c r="DB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Col""&amp;COLUMN(DB$1)&amp;""=1""))&amp;""' ORDER BY Col6 DESC LIMIT ""&amp;QUERY('Global Variables'!$A:$B, ""SELECT Col2 WHERE Col1 = 'S"&amp;"TARTING_ROSTER_SIZE'"")),0))"),0.0)</f>
        <v>0</v>
      </c>
      <c r="DC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Col""&amp;COLUMN(DC$1)&amp;""=1""))&amp;""' ORDER BY Col6 DESC LIMIT ""&amp;QUERY('Global Variables'!$A:$B, ""SELECT Col2 WHERE Col1 = 'S"&amp;"TARTING_ROSTER_SIZE'"")),0))"),0.0)</f>
        <v>0</v>
      </c>
      <c r="DD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Col""&amp;COLUMN(DD$1)&amp;""=1""))&amp;""' ORDER BY Col6 DESC LIMIT ""&amp;QUERY('Global Variables'!$A:$B, ""SELECT Col2 WHERE Col1 = 'S"&amp;"TARTING_ROSTER_SIZE'"")),0))"),0.0)</f>
        <v>0</v>
      </c>
      <c r="DE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Col""&amp;COLUMN(DE$1)&amp;""=1""))&amp;""' ORDER BY Col6 DESC LIMIT ""&amp;QUERY('Global Variables'!$A:$B, ""SELECT Col2 WHERE Col1 = 'S"&amp;"TARTING_ROSTER_SIZE'"")),0))"),0.0)</f>
        <v>0</v>
      </c>
      <c r="DF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Col""&amp;COLUMN(DF$1)&amp;""=1""))&amp;""' ORDER BY Col6 DESC LIMIT ""&amp;QUERY('Global Variables'!$A:$B, ""SELECT Col2 WHERE Col1 = 'S"&amp;"TARTING_ROSTER_SIZE'"")),0))"),0.0)</f>
        <v>0</v>
      </c>
      <c r="DG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Col""&amp;COLUMN(DG$1)&amp;""=1""))&amp;""' ORDER BY Col6 DESC LIMIT ""&amp;QUERY('Global Variables'!$A:$B, ""SELECT Col2 WHERE Col1 = 'S"&amp;"TARTING_ROSTER_SIZE'"")),0))"),0.0)</f>
        <v>0</v>
      </c>
      <c r="DH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Col""&amp;COLUMN(DH$1)&amp;""=1""))&amp;""' ORDER BY Col6 DESC LIMIT ""&amp;QUERY('Global Variables'!$A:$B, ""SELECT Col2 WHERE Col1 = 'S"&amp;"TARTING_ROSTER_SIZE'"")),0))"),0.0)</f>
        <v>0</v>
      </c>
      <c r="DI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Col""&amp;COLUMN(DI$1)&amp;""=1""))&amp;""' ORDER BY Col6 DESC LIMIT ""&amp;QUERY('Global Variables'!$A:$B, ""SELECT Col2 WHERE Col1 = 'S"&amp;"TARTING_ROSTER_SIZE'"")),0))"),0.0)</f>
        <v>0</v>
      </c>
      <c r="DJ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Col""&amp;COLUMN(DJ$1)&amp;""=1""))&amp;""' ORDER BY Col6 DESC LIMIT ""&amp;QUERY('Global Variables'!$A:$B, ""SELECT Col2 WHERE Col1 = 'S"&amp;"TARTING_ROSTER_SIZE'"")),0))"),0.0)</f>
        <v>0</v>
      </c>
      <c r="DK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Col""&amp;COLUMN(DK$1)&amp;""=1""))&amp;""' ORDER BY Col6 DESC LIMIT ""&amp;QUERY('Global Variables'!$A:$B, ""SELECT Col2 WHERE Col1 = 'S"&amp;"TARTING_ROSTER_SIZE'"")),0))"),0.0)</f>
        <v>0</v>
      </c>
      <c r="DL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Col""&amp;COLUMN(DL$1)&amp;""=1""))&amp;""' ORDER BY Col6 DESC LIMIT ""&amp;QUERY('Global Variables'!$A:$B, ""SELECT Col2 WHERE Col1 = 'S"&amp;"TARTING_ROSTER_SIZE'"")),0))"),0.0)</f>
        <v>0</v>
      </c>
      <c r="DM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Col""&amp;COLUMN(DM$1)&amp;""=1""))&amp;""' ORDER BY Col6 DESC LIMIT ""&amp;QUERY('Global Variables'!$A:$B, ""SELECT Col2 WHERE Col1 = 'S"&amp;"TARTING_ROSTER_SIZE'"")),0))"),0.0)</f>
        <v>0</v>
      </c>
      <c r="DN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Col""&amp;COLUMN(DN$1)&amp;""=1""))&amp;""' ORDER BY Col6 DESC LIMIT ""&amp;QUERY('Global Variables'!$A:$B, ""SELECT Col2 WHERE Col1 = 'S"&amp;"TARTING_ROSTER_SIZE'"")),0))"),0.0)</f>
        <v>0</v>
      </c>
      <c r="DO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Col""&amp;COLUMN(DO$1)&amp;""=1""))&amp;""' ORDER BY Col6 DESC LIMIT ""&amp;QUERY('Global Variables'!$A:$B, ""SELECT Col2 WHERE Col1 = 'S"&amp;"TARTING_ROSTER_SIZE'"")),0))"),0.0)</f>
        <v>0</v>
      </c>
      <c r="DP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Col""&amp;COLUMN(DP$1)&amp;""=1""))&amp;""' ORDER BY Col6 DESC LIMIT ""&amp;QUERY('Global Variables'!$A:$B, ""SELECT Col2 WHERE Col1 = 'S"&amp;"TARTING_ROSTER_SIZE'"")),0))"),0.0)</f>
        <v>0</v>
      </c>
      <c r="DQ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Col""&amp;COLUMN(DQ$1)&amp;""=1""))&amp;""' ORDER BY Col6 DESC LIMIT ""&amp;QUERY('Global Variables'!$A:$B, ""SELECT Col2 WHERE Col1 = 'S"&amp;"TARTING_ROSTER_SIZE'"")),0))"),0.0)</f>
        <v>0</v>
      </c>
      <c r="DR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Col""&amp;COLUMN(DR$1)&amp;""=1""))&amp;""' ORDER BY Col6 DESC LIMIT ""&amp;QUERY('Global Variables'!$A:$B, ""SELECT Col2 WHERE Col1 = 'S"&amp;"TARTING_ROSTER_SIZE'"")),0))"),0.0)</f>
        <v>0</v>
      </c>
      <c r="DS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Col""&amp;COLUMN(DS$1)&amp;""=1""))&amp;""' ORDER BY Col6 DESC LIMIT ""&amp;QUERY('Global Variables'!$A:$B, ""SELECT Col2 WHERE Col1 = 'S"&amp;"TARTING_ROSTER_SIZE'"")),0))"),0.0)</f>
        <v>0</v>
      </c>
      <c r="DT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Col""&amp;COLUMN(DT$1)&amp;""=1""))&amp;""' ORDER BY Col6 DESC LIMIT ""&amp;QUERY('Global Variables'!$A:$B, ""SELECT Col2 WHERE Col1 = 'S"&amp;"TARTING_ROSTER_SIZE'"")),0))"),0.0)</f>
        <v>0</v>
      </c>
      <c r="DU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Col""&amp;COLUMN(DU$1)&amp;""=1""))&amp;""' ORDER BY Col6 DESC LIMIT ""&amp;QUERY('Global Variables'!$A:$B, ""SELECT Col2 WHERE Col1 = 'S"&amp;"TARTING_ROSTER_SIZE'"")),0))"),0.0)</f>
        <v>0</v>
      </c>
      <c r="DV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Col""&amp;COLUMN(DV$1)&amp;""=1""))&amp;""' ORDER BY Col6 DESC LIMIT ""&amp;QUERY('Global Variables'!$A:$B, ""SELECT Col2 WHERE Col1 = 'S"&amp;"TARTING_ROSTER_SIZE'"")),0))"),0.0)</f>
        <v>0</v>
      </c>
      <c r="DW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Col""&amp;COLUMN(DW$1)&amp;""=1""))&amp;""' ORDER BY Col6 DESC LIMIT ""&amp;QUERY('Global Variables'!$A:$B, ""SELECT Col2 WHERE Col1 = 'S"&amp;"TARTING_ROSTER_SIZE'"")),0))"),0.0)</f>
        <v>0</v>
      </c>
      <c r="DX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Col""&amp;COLUMN(DX$1)&amp;""=1""))&amp;""' ORDER BY Col6 DESC LIMIT ""&amp;QUERY('Global Variables'!$A:$B, ""SELECT Col2 WHERE Col1 = 'S"&amp;"TARTING_ROSTER_SIZE'"")),0))"),0.0)</f>
        <v>0</v>
      </c>
      <c r="DY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Col""&amp;COLUMN(DY$1)&amp;""=1""))&amp;""' ORDER BY Col6 DESC LIMIT ""&amp;QUERY('Global Variables'!$A:$B, ""SELECT Col2 WHERE Col1 = 'S"&amp;"TARTING_ROSTER_SIZE'"")),0))"),0.0)</f>
        <v>0</v>
      </c>
      <c r="DZ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Col""&amp;COLUMN(DZ$1)&amp;""=1""))&amp;""' ORDER BY Col6 DESC LIMIT ""&amp;QUERY('Global Variables'!$A:$B, ""SELECT Col2 WHERE Col1 = 'S"&amp;"TARTING_ROSTER_SIZE'"")),0))"),0.0)</f>
        <v>0</v>
      </c>
      <c r="EA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Col""&amp;COLUMN(EA$1)&amp;""=1""))&amp;""' ORDER BY Col6 DESC LIMIT ""&amp;QUERY('Global Variables'!$A:$B, ""SELECT Col2 WHERE Col1 = 'S"&amp;"TARTING_ROSTER_SIZE'"")),0))"),0.0)</f>
        <v>0</v>
      </c>
      <c r="EB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Col""&amp;COLUMN(EB$1)&amp;""=1""))&amp;""' ORDER BY Col6 DESC LIMIT ""&amp;QUERY('Global Variables'!$A:$B, ""SELECT Col2 WHERE Col1 = 'S"&amp;"TARTING_ROSTER_SIZE'"")),0))"),0.0)</f>
        <v>0</v>
      </c>
      <c r="EC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Col""&amp;COLUMN(EC$1)&amp;""=1""))&amp;""' ORDER BY Col6 DESC LIMIT ""&amp;QUERY('Global Variables'!$A:$B, ""SELECT Col2 WHERE Col1 = 'S"&amp;"TARTING_ROSTER_SIZE'"")),0))"),0.0)</f>
        <v>0</v>
      </c>
      <c r="ED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Col""&amp;COLUMN(ED$1)&amp;""=1""))&amp;""' ORDER BY Col6 DESC LIMIT ""&amp;QUERY('Global Variables'!$A:$B, ""SELECT Col2 WHERE Col1 = 'S"&amp;"TARTING_ROSTER_SIZE'"")),0))"),0.0)</f>
        <v>0</v>
      </c>
      <c r="EE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Col""&amp;COLUMN(EE$1)&amp;""=1""))&amp;""' ORDER BY Col6 DESC LIMIT ""&amp;QUERY('Global Variables'!$A:$B, ""SELECT Col2 WHERE Col1 = 'S"&amp;"TARTING_ROSTER_SIZE'"")),0))"),0.0)</f>
        <v>0</v>
      </c>
      <c r="EF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Col""&amp;COLUMN(EF$1)&amp;""=1""))&amp;""' ORDER BY Col6 DESC LIMIT ""&amp;QUERY('Global Variables'!$A:$B, ""SELECT Col2 WHERE Col1 = 'S"&amp;"TARTING_ROSTER_SIZE'"")),0))"),0.0)</f>
        <v>0</v>
      </c>
      <c r="EG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Col""&amp;COLUMN(EG$1)&amp;""=1""))&amp;""' ORDER BY Col6 DESC LIMIT ""&amp;QUERY('Global Variables'!$A:$B, ""SELECT Col2 WHERE Col1 = 'S"&amp;"TARTING_ROSTER_SIZE'"")),0))"),0.0)</f>
        <v>0</v>
      </c>
      <c r="EH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Col""&amp;COLUMN(EH$1)&amp;""=1""))&amp;""' ORDER BY Col6 DESC LIMIT ""&amp;QUERY('Global Variables'!$A:$B, ""SELECT Col2 WHERE Col1 = 'S"&amp;"TARTING_ROSTER_SIZE'"")),0))"),0.0)</f>
        <v>0</v>
      </c>
      <c r="EI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Col""&amp;COLUMN(EI$1)&amp;""=1""))&amp;""' ORDER BY Col6 DESC LIMIT ""&amp;QUERY('Global Variables'!$A:$B, ""SELECT Col2 WHERE Col1 = 'S"&amp;"TARTING_ROSTER_SIZE'"")),0))"),0.0)</f>
        <v>0</v>
      </c>
      <c r="EJ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Col""&amp;COLUMN(EJ$1)&amp;""=1""))&amp;""' ORDER BY Col6 DESC LIMIT ""&amp;QUERY('Global Variables'!$A:$B, ""SELECT Col2 WHERE Col1 = 'S"&amp;"TARTING_ROSTER_SIZE'"")),0))"),0.0)</f>
        <v>0</v>
      </c>
      <c r="EK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Col""&amp;COLUMN(EK$1)&amp;""=1""))&amp;""' ORDER BY Col6 DESC LIMIT ""&amp;QUERY('Global Variables'!$A:$B, ""SELECT Col2 WHERE Col1 = 'S"&amp;"TARTING_ROSTER_SIZE'"")),0))"),0.0)</f>
        <v>0</v>
      </c>
      <c r="EL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Col""&amp;COLUMN(EL$1)&amp;""=1""))&amp;""' ORDER BY Col6 DESC LIMIT ""&amp;QUERY('Global Variables'!$A:$B, ""SELECT Col2 WHERE Col1 = 'S"&amp;"TARTING_ROSTER_SIZE'"")),0))"),0.0)</f>
        <v>0</v>
      </c>
      <c r="EM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Col""&amp;COLUMN(EM$1)&amp;""=1""))&amp;""' ORDER BY Col6 DESC LIMIT ""&amp;QUERY('Global Variables'!$A:$B, ""SELECT Col2 WHERE Col1 = 'S"&amp;"TARTING_ROSTER_SIZE'"")),0))"),0.0)</f>
        <v>0</v>
      </c>
      <c r="EN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Col""&amp;COLUMN(EN$1)&amp;""=1""))&amp;""' ORDER BY Col6 DESC LIMIT ""&amp;QUERY('Global Variables'!$A:$B, ""SELECT Col2 WHERE Col1 = 'S"&amp;"TARTING_ROSTER_SIZE'"")),0))"),0.0)</f>
        <v>0</v>
      </c>
      <c r="EO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Col""&amp;COLUMN(EO$1)&amp;""=1""))&amp;""' ORDER BY Col6 DESC LIMIT ""&amp;QUERY('Global Variables'!$A:$B, ""SELECT Col2 WHERE Col1 = 'S"&amp;"TARTING_ROSTER_SIZE'"")),0))"),0.0)</f>
        <v>0</v>
      </c>
      <c r="EP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Col""&amp;COLUMN(EP$1)&amp;""=1""))&amp;""' ORDER BY Col6 DESC LIMIT ""&amp;QUERY('Global Variables'!$A:$B, ""SELECT Col2 WHERE Col1 = 'S"&amp;"TARTING_ROSTER_SIZE'"")),0))"),0.0)</f>
        <v>0</v>
      </c>
      <c r="EQ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Col""&amp;COLUMN(EQ$1)&amp;""=1""))&amp;""' ORDER BY Col6 DESC LIMIT ""&amp;QUERY('Global Variables'!$A:$B, ""SELECT Col2 WHERE Col1 = 'S"&amp;"TARTING_ROSTER_SIZE'"")),0))"),0.0)</f>
        <v>0</v>
      </c>
      <c r="ER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Col""&amp;COLUMN(ER$1)&amp;""=1""))&amp;""' ORDER BY Col6 DESC LIMIT ""&amp;QUERY('Global Variables'!$A:$B, ""SELECT Col2 WHERE Col1 = 'S"&amp;"TARTING_ROSTER_SIZE'"")),0))"),0.0)</f>
        <v>0</v>
      </c>
      <c r="ES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Col""&amp;COLUMN(ES$1)&amp;""=1""))&amp;""' ORDER BY Col6 DESC LIMIT ""&amp;QUERY('Global Variables'!$A:$B, ""SELECT Col2 WHERE Col1 = 'S"&amp;"TARTING_ROSTER_SIZE'"")),0))"),0.0)</f>
        <v>0</v>
      </c>
      <c r="ET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Col""&amp;COLUMN(ET$1)&amp;""=1""))&amp;""' ORDER BY Col6 DESC LIMIT ""&amp;QUERY('Global Variables'!$A:$B, ""SELECT Col2 WHERE Col1 = 'S"&amp;"TARTING_ROSTER_SIZE'"")),0))"),0.0)</f>
        <v>0</v>
      </c>
      <c r="EU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Col""&amp;COLUMN(EU$1)&amp;""=1""))&amp;""' ORDER BY Col6 DESC LIMIT ""&amp;QUERY('Global Variables'!$A:$B, ""SELECT Col2 WHERE Col1 = 'S"&amp;"TARTING_ROSTER_SIZE'"")),0))"),0.0)</f>
        <v>0</v>
      </c>
      <c r="EV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Col""&amp;COLUMN(EV$1)&amp;""=1""))&amp;""' ORDER BY Col6 DESC LIMIT ""&amp;QUERY('Global Variables'!$A:$B, ""SELECT Col2 WHERE Col1 = 'S"&amp;"TARTING_ROSTER_SIZE'"")),0))"),0.0)</f>
        <v>0</v>
      </c>
      <c r="EW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Col""&amp;COLUMN(EW$1)&amp;""=1""))&amp;""' ORDER BY Col6 DESC LIMIT ""&amp;QUERY('Global Variables'!$A:$B, ""SELECT Col2 WHERE Col1 = 'S"&amp;"TARTING_ROSTER_SIZE'"")),0))"),0.0)</f>
        <v>0</v>
      </c>
      <c r="EX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Col""&amp;COLUMN(EX$1)&amp;""=1""))&amp;""' ORDER BY Col6 DESC LIMIT ""&amp;QUERY('Global Variables'!$A:$B, ""SELECT Col2 WHERE Col1 = 'S"&amp;"TARTING_ROSTER_SIZE'"")),0))"),0.0)</f>
        <v>0</v>
      </c>
      <c r="EY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Col""&amp;COLUMN(EY$1)&amp;""=1""))&amp;""' ORDER BY Col6 DESC LIMIT ""&amp;QUERY('Global Variables'!$A:$B, ""SELECT Col2 WHERE Col1 = 'S"&amp;"TARTING_ROSTER_SIZE'"")),0))"),0.0)</f>
        <v>0</v>
      </c>
      <c r="EZ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Col""&amp;COLUMN(EZ$1)&amp;""=1""))&amp;""' ORDER BY Col6 DESC LIMIT ""&amp;QUERY('Global Variables'!$A:$B, ""SELECT Col2 WHERE Col1 = 'S"&amp;"TARTING_ROSTER_SIZE'"")),0))"),0.0)</f>
        <v>0</v>
      </c>
      <c r="FA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Col""&amp;COLUMN(FA$1)&amp;""=1""))&amp;""' ORDER BY Col6 DESC LIMIT ""&amp;QUERY('Global Variables'!$A:$B, ""SELECT Col2 WHERE Col1 = 'S"&amp;"TARTING_ROSTER_SIZE'"")),0))"),0.0)</f>
        <v>0</v>
      </c>
      <c r="FB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Col""&amp;COLUMN(FB$1)&amp;""=1""))&amp;""' ORDER BY Col6 DESC LIMIT ""&amp;QUERY('Global Variables'!$A:$B, ""SELECT Col2 WHERE Col1 = 'S"&amp;"TARTING_ROSTER_SIZE'"")),0))"),0.0)</f>
        <v>0</v>
      </c>
      <c r="FC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Col""&amp;COLUMN(FC$1)&amp;""=1""))&amp;""' ORDER BY Col6 DESC LIMIT ""&amp;QUERY('Global Variables'!$A:$B, ""SELECT Col2 WHERE Col1 = 'S"&amp;"TARTING_ROSTER_SIZE'"")),0))"),0.0)</f>
        <v>0</v>
      </c>
      <c r="FD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Col""&amp;COLUMN(FD$1)&amp;""=1""))&amp;""' ORDER BY Col6 DESC LIMIT ""&amp;QUERY('Global Variables'!$A:$B, ""SELECT Col2 WHERE Col1 = 'S"&amp;"TARTING_ROSTER_SIZE'"")),0))"),0.0)</f>
        <v>0</v>
      </c>
      <c r="FE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Col""&amp;COLUMN(FE$1)&amp;""=1""))&amp;""' ORDER BY Col6 DESC LIMIT ""&amp;QUERY('Global Variables'!$A:$B, ""SELECT Col2 WHERE Col1 = 'S"&amp;"TARTING_ROSTER_SIZE'"")),0))"),0.0)</f>
        <v>0</v>
      </c>
      <c r="FF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Col""&amp;COLUMN(FF$1)&amp;""=1""))&amp;""' ORDER BY Col6 DESC LIMIT ""&amp;QUERY('Global Variables'!$A:$B, ""SELECT Col2 WHERE Col1 = 'S"&amp;"TARTING_ROSTER_SIZE'"")),0))"),0.0)</f>
        <v>0</v>
      </c>
      <c r="FG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Col""&amp;COLUMN(FG$1)&amp;""=1""))&amp;""' ORDER BY Col6 DESC LIMIT ""&amp;QUERY('Global Variables'!$A:$B, ""SELECT Col2 WHERE Col1 = 'S"&amp;"TARTING_ROSTER_SIZE'"")),0))"),0.0)</f>
        <v>0</v>
      </c>
      <c r="FH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Col""&amp;COLUMN(FH$1)&amp;""=1""))&amp;""' ORDER BY Col6 DESC LIMIT ""&amp;QUERY('Global Variables'!$A:$B, ""SELECT Col2 WHERE Col1 = 'S"&amp;"TARTING_ROSTER_SIZE'"")),0))"),0.0)</f>
        <v>0</v>
      </c>
      <c r="FI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Col""&amp;COLUMN(FI$1)&amp;""=1""))&amp;""' ORDER BY Col6 DESC LIMIT ""&amp;QUERY('Global Variables'!$A:$B, ""SELECT Col2 WHERE Col1 = 'S"&amp;"TARTING_ROSTER_SIZE'"")),0))"),0.0)</f>
        <v>0</v>
      </c>
      <c r="FJ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Col""&amp;COLUMN(FJ$1)&amp;""=1""))&amp;""' ORDER BY Col6 DESC LIMIT ""&amp;QUERY('Global Variables'!$A:$B, ""SELECT Col2 WHERE Col1 = 'S"&amp;"TARTING_ROSTER_SIZE'"")),0))"),0.0)</f>
        <v>0</v>
      </c>
      <c r="FK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Col""&amp;COLUMN(FK$1)&amp;""=1""))&amp;""' ORDER BY Col6 DESC LIMIT ""&amp;QUERY('Global Variables'!$A:$B, ""SELECT Col2 WHERE Col1 = 'S"&amp;"TARTING_ROSTER_SIZE'"")),0))"),0.0)</f>
        <v>0</v>
      </c>
      <c r="FL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Col""&amp;COLUMN(FL$1)&amp;""=1""))&amp;""' ORDER BY Col6 DESC LIMIT ""&amp;QUERY('Global Variables'!$A:$B, ""SELECT Col2 WHERE Col1 = 'S"&amp;"TARTING_ROSTER_SIZE'"")),0))"),0.0)</f>
        <v>0</v>
      </c>
      <c r="FM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Col""&amp;COLUMN(FM$1)&amp;""=1""))&amp;""' ORDER BY Col6 DESC LIMIT ""&amp;QUERY('Global Variables'!$A:$B, ""SELECT Col2 WHERE Col1 = 'S"&amp;"TARTING_ROSTER_SIZE'"")),0))"),0.0)</f>
        <v>0</v>
      </c>
      <c r="FN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Col""&amp;COLUMN(FN$1)&amp;""=1""))&amp;""' ORDER BY Col6 DESC LIMIT ""&amp;QUERY('Global Variables'!$A:$B, ""SELECT Col2 WHERE Col1 = 'S"&amp;"TARTING_ROSTER_SIZE'"")),0))"),0.0)</f>
        <v>0</v>
      </c>
      <c r="FO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Col""&amp;COLUMN(FO$1)&amp;""=1""))&amp;""' ORDER BY Col6 DESC LIMIT ""&amp;QUERY('Global Variables'!$A:$B, ""SELECT Col2 WHERE Col1 = 'S"&amp;"TARTING_ROSTER_SIZE'"")),0))"),0.0)</f>
        <v>0</v>
      </c>
      <c r="FP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Col""&amp;COLUMN(FP$1)&amp;""=1""))&amp;""' ORDER BY Col6 DESC LIMIT ""&amp;QUERY('Global Variables'!$A:$B, ""SELECT Col2 WHERE Col1 = 'S"&amp;"TARTING_ROSTER_SIZE'"")),0))"),0.0)</f>
        <v>0</v>
      </c>
      <c r="FQ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Col""&amp;COLUMN(FQ$1)&amp;""=1""))&amp;""' ORDER BY Col6 DESC LIMIT ""&amp;QUERY('Global Variables'!$A:$B, ""SELECT Col2 WHERE Col1 = 'S"&amp;"TARTING_ROSTER_SIZE'"")),0))"),0.0)</f>
        <v>0</v>
      </c>
      <c r="FR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Col""&amp;COLUMN(FR$1)&amp;""=1""))&amp;""' ORDER BY Col6 DESC LIMIT ""&amp;QUERY('Global Variables'!$A:$B, ""SELECT Col2 WHERE Col1 = 'S"&amp;"TARTING_ROSTER_SIZE'"")),0))"),0.0)</f>
        <v>0</v>
      </c>
      <c r="FS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Col""&amp;COLUMN(FS$1)&amp;""=1""))&amp;""' ORDER BY Col6 DESC LIMIT ""&amp;QUERY('Global Variables'!$A:$B, ""SELECT Col2 WHERE Col1 = 'S"&amp;"TARTING_ROSTER_SIZE'"")),0))"),0.0)</f>
        <v>0</v>
      </c>
      <c r="FT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Col""&amp;COLUMN(FT$1)&amp;""=1""))&amp;""' ORDER BY Col6 DESC LIMIT ""&amp;QUERY('Global Variables'!$A:$B, ""SELECT Col2 WHERE Col1 = 'S"&amp;"TARTING_ROSTER_SIZE'"")),0))"),0.0)</f>
        <v>0</v>
      </c>
      <c r="FU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Col""&amp;COLUMN(FU$1)&amp;""=1""))&amp;""' ORDER BY Col6 DESC LIMIT ""&amp;QUERY('Global Variables'!$A:$B, ""SELECT Col2 WHERE Col1 = 'S"&amp;"TARTING_ROSTER_SIZE'"")),0))"),0.0)</f>
        <v>0</v>
      </c>
      <c r="FV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Col""&amp;COLUMN(FV$1)&amp;""=1""))&amp;""' ORDER BY Col6 DESC LIMIT ""&amp;QUERY('Global Variables'!$A:$B, ""SELECT Col2 WHERE Col1 = 'S"&amp;"TARTING_ROSTER_SIZE'"")),0))"),0.0)</f>
        <v>0</v>
      </c>
      <c r="FW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Col""&amp;COLUMN(FW$1)&amp;""=1""))&amp;""' ORDER BY Col6 DESC LIMIT ""&amp;QUERY('Global Variables'!$A:$B, ""SELECT Col2 WHERE Col1 = 'S"&amp;"TARTING_ROSTER_SIZE'"")),0))"),0.0)</f>
        <v>0</v>
      </c>
      <c r="FX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Col""&amp;COLUMN(FX$1)&amp;""=1""))&amp;""' ORDER BY Col6 DESC LIMIT ""&amp;QUERY('Global Variables'!$A:$B, ""SELECT Col2 WHERE Col1 = 'S"&amp;"TARTING_ROSTER_SIZE'"")),0))"),0.0)</f>
        <v>0</v>
      </c>
      <c r="FY12" s="9">
        <f>IFERROR(__xludf.DUMMYFUNCTION("SUM(
IFERROR(QUERY(
IFERROR(
OFFSET(Teams!$A$1,MATCH($A12,Teams!$A:$A,0),1,QUERY('Global Variables'!$A:$B, ""SELECT Col2 WHERE Col1 = '""&amp;IF($B$21,""TEAM_SIZE"",""ACTIVE_ROSTER_SIZE"")&amp;""'""),QUERY('Global Variables'!$A:$B, ""SELECT Col2 WHERE Col1 = 'TEA"&amp;"M_DATA_FIELD_COUNT'"")),
OFFSET(Teams!$K$1,MATCH($A12,Teams!$K:$K,0),1,QUERY('Global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Col""&amp;COLUMN(FY$1)&amp;""=1""))&amp;""' ORDER BY Col6 DESC LIMIT ""&amp;QUERY('Global Variables'!$A:$B, ""SELECT Col2 WHERE Col1 = 'S"&amp;"TARTING_ROSTER_SIZE'"")),0))"),0.0)</f>
        <v>0</v>
      </c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</row>
    <row r="13">
      <c r="A13" s="32" t="str">
        <f>'Weekly EDSA'!A12</f>
        <v>Aceto</v>
      </c>
      <c r="B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Col""&amp;COLUMN(B$1)&amp;""=1""))&amp;""' ORDER BY Col6 DESC LIMIT ""&amp;QUERY('Global Variables'!$A:$B, ""SELECT Col2 WHERE Col1 = 'ST"&amp;"ARTING_ROSTER_SIZE'"")),0))"),0.0)</f>
        <v>0</v>
      </c>
      <c r="C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Col""&amp;COLUMN(C$1)&amp;""=1""))&amp;""' ORDER BY Col6 DESC LIMIT ""&amp;QUERY('Global Variables'!$A:$B, ""SELECT Col2 WHERE Col1 = 'ST"&amp;"ARTING_ROSTER_SIZE'"")),0))"),0.0)</f>
        <v>0</v>
      </c>
      <c r="D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Col""&amp;COLUMN(D$1)&amp;""=1""))&amp;""' ORDER BY Col6 DESC LIMIT ""&amp;QUERY('Global Variables'!$A:$B, ""SELECT Col2 WHERE Col1 = 'ST"&amp;"ARTING_ROSTER_SIZE'"")),0))"),0.0)</f>
        <v>0</v>
      </c>
      <c r="E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Col""&amp;COLUMN(E$1)&amp;""=1""))&amp;""' ORDER BY Col6 DESC LIMIT ""&amp;QUERY('Global Variables'!$A:$B, ""SELECT Col2 WHERE Col1 = 'ST"&amp;"ARTING_ROSTER_SIZE'"")),0))"),0.0)</f>
        <v>0</v>
      </c>
      <c r="F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Col""&amp;COLUMN(F$1)&amp;""=1""))&amp;""' ORDER BY Col6 DESC LIMIT ""&amp;QUERY('Global Variables'!$A:$B, ""SELECT Col2 WHERE Col1 = 'ST"&amp;"ARTING_ROSTER_SIZE'"")),0))"),0.0)</f>
        <v>0</v>
      </c>
      <c r="G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Col""&amp;COLUMN(G$1)&amp;""=1""))&amp;""' ORDER BY Col6 DESC LIMIT ""&amp;QUERY('Global Variables'!$A:$B, ""SELECT Col2 WHERE Col1 = 'ST"&amp;"ARTING_ROSTER_SIZE'"")),0))"),0.0)</f>
        <v>0</v>
      </c>
      <c r="H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Col""&amp;COLUMN(H$1)&amp;""=1""))&amp;""' ORDER BY Col6 DESC LIMIT ""&amp;QUERY('Global Variables'!$A:$B, ""SELECT Col2 WHERE Col1 = 'ST"&amp;"ARTING_ROSTER_SIZE'"")),0))"),0.0)</f>
        <v>0</v>
      </c>
      <c r="I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Col""&amp;COLUMN(I$1)&amp;""=1""))&amp;""' ORDER BY Col6 DESC LIMIT ""&amp;QUERY('Global Variables'!$A:$B, ""SELECT Col2 WHERE Col1 = 'ST"&amp;"ARTING_ROSTER_SIZE'"")),0))"),0.0)</f>
        <v>0</v>
      </c>
      <c r="J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Col""&amp;COLUMN(J$1)&amp;""=1""))&amp;""' ORDER BY Col6 DESC LIMIT ""&amp;QUERY('Global Variables'!$A:$B, ""SELECT Col2 WHERE Col1 = 'ST"&amp;"ARTING_ROSTER_SIZE'"")),0))"),0.0)</f>
        <v>0</v>
      </c>
      <c r="K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Col""&amp;COLUMN(K$1)&amp;""=1""))&amp;""' ORDER BY Col6 DESC LIMIT ""&amp;QUERY('Global Variables'!$A:$B, ""SELECT Col2 WHERE Col1 = 'ST"&amp;"ARTING_ROSTER_SIZE'"")),0))"),0.0)</f>
        <v>0</v>
      </c>
      <c r="L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Col""&amp;COLUMN(L$1)&amp;""=1""))&amp;""' ORDER BY Col6 DESC LIMIT ""&amp;QUERY('Global Variables'!$A:$B, ""SELECT Col2 WHERE Col1 = 'ST"&amp;"ARTING_ROSTER_SIZE'"")),0))"),0.0)</f>
        <v>0</v>
      </c>
      <c r="M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Col""&amp;COLUMN(M$1)&amp;""=1""))&amp;""' ORDER BY Col6 DESC LIMIT ""&amp;QUERY('Global Variables'!$A:$B, ""SELECT Col2 WHERE Col1 = 'ST"&amp;"ARTING_ROSTER_SIZE'"")),0))"),0.0)</f>
        <v>0</v>
      </c>
      <c r="N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Col""&amp;COLUMN(N$1)&amp;""=1""))&amp;""' ORDER BY Col6 DESC LIMIT ""&amp;QUERY('Global Variables'!$A:$B, ""SELECT Col2 WHERE Col1 = 'ST"&amp;"ARTING_ROSTER_SIZE'"")),0))"),0.0)</f>
        <v>0</v>
      </c>
      <c r="O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Col""&amp;COLUMN(O$1)&amp;""=1""))&amp;""' ORDER BY Col6 DESC LIMIT ""&amp;QUERY('Global Variables'!$A:$B, ""SELECT Col2 WHERE Col1 = 'ST"&amp;"ARTING_ROSTER_SIZE'"")),0))"),0.0)</f>
        <v>0</v>
      </c>
      <c r="P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Col""&amp;COLUMN(P$1)&amp;""=1""))&amp;""' ORDER BY Col6 DESC LIMIT ""&amp;QUERY('Global Variables'!$A:$B, ""SELECT Col2 WHERE Col1 = 'ST"&amp;"ARTING_ROSTER_SIZE'"")),0))"),0.0)</f>
        <v>0</v>
      </c>
      <c r="Q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Col""&amp;COLUMN(Q$1)&amp;""=1""))&amp;""' ORDER BY Col6 DESC LIMIT ""&amp;QUERY('Global Variables'!$A:$B, ""SELECT Col2 WHERE Col1 = 'ST"&amp;"ARTING_ROSTER_SIZE'"")),0))"),0.0)</f>
        <v>0</v>
      </c>
      <c r="R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Col""&amp;COLUMN(R$1)&amp;""=1""))&amp;""' ORDER BY Col6 DESC LIMIT ""&amp;QUERY('Global Variables'!$A:$B, ""SELECT Col2 WHERE Col1 = 'ST"&amp;"ARTING_ROSTER_SIZE'"")),0))"),0.0)</f>
        <v>0</v>
      </c>
      <c r="S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Col""&amp;COLUMN(S$1)&amp;""=1""))&amp;""' ORDER BY Col6 DESC LIMIT ""&amp;QUERY('Global Variables'!$A:$B, ""SELECT Col2 WHERE Col1 = 'ST"&amp;"ARTING_ROSTER_SIZE'"")),0))"),0.0)</f>
        <v>0</v>
      </c>
      <c r="T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Col""&amp;COLUMN(T$1)&amp;""=1""))&amp;""' ORDER BY Col6 DESC LIMIT ""&amp;QUERY('Global Variables'!$A:$B, ""SELECT Col2 WHERE Col1 = 'ST"&amp;"ARTING_ROSTER_SIZE'"")),0))"),0.0)</f>
        <v>0</v>
      </c>
      <c r="U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Col""&amp;COLUMN(U$1)&amp;""=1""))&amp;""' ORDER BY Col6 DESC LIMIT ""&amp;QUERY('Global Variables'!$A:$B, ""SELECT Col2 WHERE Col1 = 'ST"&amp;"ARTING_ROSTER_SIZE'"")),0))"),0.0)</f>
        <v>0</v>
      </c>
      <c r="V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Col""&amp;COLUMN(V$1)&amp;""=1""))&amp;""' ORDER BY Col6 DESC LIMIT ""&amp;QUERY('Global Variables'!$A:$B, ""SELECT Col2 WHERE Col1 = 'ST"&amp;"ARTING_ROSTER_SIZE'"")),0))"),0.0)</f>
        <v>0</v>
      </c>
      <c r="W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Col""&amp;COLUMN(W$1)&amp;""=1""))&amp;""' ORDER BY Col6 DESC LIMIT ""&amp;QUERY('Global Variables'!$A:$B, ""SELECT Col2 WHERE Col1 = 'ST"&amp;"ARTING_ROSTER_SIZE'"")),0))"),0.0)</f>
        <v>0</v>
      </c>
      <c r="X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Col""&amp;COLUMN(X$1)&amp;""=1""))&amp;""' ORDER BY Col6 DESC LIMIT ""&amp;QUERY('Global Variables'!$A:$B, ""SELECT Col2 WHERE Col1 = 'ST"&amp;"ARTING_ROSTER_SIZE'"")),0))"),0.0)</f>
        <v>0</v>
      </c>
      <c r="Y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Col""&amp;COLUMN(Y$1)&amp;""=1""))&amp;""' ORDER BY Col6 DESC LIMIT ""&amp;QUERY('Global Variables'!$A:$B, ""SELECT Col2 WHERE Col1 = 'ST"&amp;"ARTING_ROSTER_SIZE'"")),0))"),0.0)</f>
        <v>0</v>
      </c>
      <c r="Z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Col""&amp;COLUMN(Z$1)&amp;""=1""))&amp;""' ORDER BY Col6 DESC LIMIT ""&amp;QUERY('Global Variables'!$A:$B, ""SELECT Col2 WHERE Col1 = 'ST"&amp;"ARTING_ROSTER_SIZE'"")),0))"),0.0)</f>
        <v>0</v>
      </c>
      <c r="AA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Col""&amp;COLUMN(AA$1)&amp;""=1""))&amp;""' ORDER BY Col6 DESC LIMIT ""&amp;QUERY('Global Variables'!$A:$B, ""SELECT Col2 WHERE Col1 = 'S"&amp;"TARTING_ROSTER_SIZE'"")),0))"),0.0)</f>
        <v>0</v>
      </c>
      <c r="AB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Col""&amp;COLUMN(AB$1)&amp;""=1""))&amp;""' ORDER BY Col6 DESC LIMIT ""&amp;QUERY('Global Variables'!$A:$B, ""SELECT Col2 WHERE Col1 = 'S"&amp;"TARTING_ROSTER_SIZE'"")),0))"),0.0)</f>
        <v>0</v>
      </c>
      <c r="AC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Col""&amp;COLUMN(AC$1)&amp;""=1""))&amp;""' ORDER BY Col6 DESC LIMIT ""&amp;QUERY('Global Variables'!$A:$B, ""SELECT Col2 WHERE Col1 = 'S"&amp;"TARTING_ROSTER_SIZE'"")),0))"),0.0)</f>
        <v>0</v>
      </c>
      <c r="AD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Col""&amp;COLUMN(AD$1)&amp;""=1""))&amp;""' ORDER BY Col6 DESC LIMIT ""&amp;QUERY('Global Variables'!$A:$B, ""SELECT Col2 WHERE Col1 = 'S"&amp;"TARTING_ROSTER_SIZE'"")),0))"),0.0)</f>
        <v>0</v>
      </c>
      <c r="AE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Col""&amp;COLUMN(AE$1)&amp;""=1""))&amp;""' ORDER BY Col6 DESC LIMIT ""&amp;QUERY('Global Variables'!$A:$B, ""SELECT Col2 WHERE Col1 = 'S"&amp;"TARTING_ROSTER_SIZE'"")),0))"),0.0)</f>
        <v>0</v>
      </c>
      <c r="AF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Col""&amp;COLUMN(AF$1)&amp;""=1""))&amp;""' ORDER BY Col6 DESC LIMIT ""&amp;QUERY('Global Variables'!$A:$B, ""SELECT Col2 WHERE Col1 = 'S"&amp;"TARTING_ROSTER_SIZE'"")),0))"),0.0)</f>
        <v>0</v>
      </c>
      <c r="AG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Col""&amp;COLUMN(AG$1)&amp;""=1""))&amp;""' ORDER BY Col6 DESC LIMIT ""&amp;QUERY('Global Variables'!$A:$B, ""SELECT Col2 WHERE Col1 = 'S"&amp;"TARTING_ROSTER_SIZE'"")),0))"),0.0)</f>
        <v>0</v>
      </c>
      <c r="AH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Col""&amp;COLUMN(AH$1)&amp;""=1""))&amp;""' ORDER BY Col6 DESC LIMIT ""&amp;QUERY('Global Variables'!$A:$B, ""SELECT Col2 WHERE Col1 = 'S"&amp;"TARTING_ROSTER_SIZE'"")),0))"),0.0)</f>
        <v>0</v>
      </c>
      <c r="AI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Col""&amp;COLUMN(AI$1)&amp;""=1""))&amp;""' ORDER BY Col6 DESC LIMIT ""&amp;QUERY('Global Variables'!$A:$B, ""SELECT Col2 WHERE Col1 = 'S"&amp;"TARTING_ROSTER_SIZE'"")),0))"),0.0)</f>
        <v>0</v>
      </c>
      <c r="AJ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Col""&amp;COLUMN(AJ$1)&amp;""=1""))&amp;""' ORDER BY Col6 DESC LIMIT ""&amp;QUERY('Global Variables'!$A:$B, ""SELECT Col2 WHERE Col1 = 'S"&amp;"TARTING_ROSTER_SIZE'"")),0))"),0.0)</f>
        <v>0</v>
      </c>
      <c r="AK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Col""&amp;COLUMN(AK$1)&amp;""=1""))&amp;""' ORDER BY Col6 DESC LIMIT ""&amp;QUERY('Global Variables'!$A:$B, ""SELECT Col2 WHERE Col1 = 'S"&amp;"TARTING_ROSTER_SIZE'"")),0))"),0.0)</f>
        <v>0</v>
      </c>
      <c r="AL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Col""&amp;COLUMN(AL$1)&amp;""=1""))&amp;""' ORDER BY Col6 DESC LIMIT ""&amp;QUERY('Global Variables'!$A:$B, ""SELECT Col2 WHERE Col1 = 'S"&amp;"TARTING_ROSTER_SIZE'"")),0))"),0.0)</f>
        <v>0</v>
      </c>
      <c r="AM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Col""&amp;COLUMN(AM$1)&amp;""=1""))&amp;""' ORDER BY Col6 DESC LIMIT ""&amp;QUERY('Global Variables'!$A:$B, ""SELECT Col2 WHERE Col1 = 'S"&amp;"TARTING_ROSTER_SIZE'"")),0))"),0.0)</f>
        <v>0</v>
      </c>
      <c r="AN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Col""&amp;COLUMN(AN$1)&amp;""=1""))&amp;""' ORDER BY Col6 DESC LIMIT ""&amp;QUERY('Global Variables'!$A:$B, ""SELECT Col2 WHERE Col1 = 'S"&amp;"TARTING_ROSTER_SIZE'"")),0))"),0.0)</f>
        <v>0</v>
      </c>
      <c r="AO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Col""&amp;COLUMN(AO$1)&amp;""=1""))&amp;""' ORDER BY Col6 DESC LIMIT ""&amp;QUERY('Global Variables'!$A:$B, ""SELECT Col2 WHERE Col1 = 'S"&amp;"TARTING_ROSTER_SIZE'"")),0))"),0.0)</f>
        <v>0</v>
      </c>
      <c r="AP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Col""&amp;COLUMN(AP$1)&amp;""=1""))&amp;""' ORDER BY Col6 DESC LIMIT ""&amp;QUERY('Global Variables'!$A:$B, ""SELECT Col2 WHERE Col1 = 'S"&amp;"TARTING_ROSTER_SIZE'"")),0))"),0.0)</f>
        <v>0</v>
      </c>
      <c r="AQ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Col""&amp;COLUMN(AQ$1)&amp;""=1""))&amp;""' ORDER BY Col6 DESC LIMIT ""&amp;QUERY('Global Variables'!$A:$B, ""SELECT Col2 WHERE Col1 = 'S"&amp;"TARTING_ROSTER_SIZE'"")),0))"),0.0)</f>
        <v>0</v>
      </c>
      <c r="AR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Col""&amp;COLUMN(AR$1)&amp;""=1""))&amp;""' ORDER BY Col6 DESC LIMIT ""&amp;QUERY('Global Variables'!$A:$B, ""SELECT Col2 WHERE Col1 = 'S"&amp;"TARTING_ROSTER_SIZE'"")),0))"),0.0)</f>
        <v>0</v>
      </c>
      <c r="AS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Col""&amp;COLUMN(AS$1)&amp;""=1""))&amp;""' ORDER BY Col6 DESC LIMIT ""&amp;QUERY('Global Variables'!$A:$B, ""SELECT Col2 WHERE Col1 = 'S"&amp;"TARTING_ROSTER_SIZE'"")),0))"),0.0)</f>
        <v>0</v>
      </c>
      <c r="AT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Col""&amp;COLUMN(AT$1)&amp;""=1""))&amp;""' ORDER BY Col6 DESC LIMIT ""&amp;QUERY('Global Variables'!$A:$B, ""SELECT Col2 WHERE Col1 = 'S"&amp;"TARTING_ROSTER_SIZE'"")),0))"),0.0)</f>
        <v>0</v>
      </c>
      <c r="AU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Col""&amp;COLUMN(AU$1)&amp;""=1""))&amp;""' ORDER BY Col6 DESC LIMIT ""&amp;QUERY('Global Variables'!$A:$B, ""SELECT Col2 WHERE Col1 = 'S"&amp;"TARTING_ROSTER_SIZE'"")),0))"),0.0)</f>
        <v>0</v>
      </c>
      <c r="AV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Col""&amp;COLUMN(AV$1)&amp;""=1""))&amp;""' ORDER BY Col6 DESC LIMIT ""&amp;QUERY('Global Variables'!$A:$B, ""SELECT Col2 WHERE Col1 = 'S"&amp;"TARTING_ROSTER_SIZE'"")),0))"),0.0)</f>
        <v>0</v>
      </c>
      <c r="AW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Col""&amp;COLUMN(AW$1)&amp;""=1""))&amp;""' ORDER BY Col6 DESC LIMIT ""&amp;QUERY('Global Variables'!$A:$B, ""SELECT Col2 WHERE Col1 = 'S"&amp;"TARTING_ROSTER_SIZE'"")),0))"),0.0)</f>
        <v>0</v>
      </c>
      <c r="AX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Col""&amp;COLUMN(AX$1)&amp;""=1""))&amp;""' ORDER BY Col6 DESC LIMIT ""&amp;QUERY('Global Variables'!$A:$B, ""SELECT Col2 WHERE Col1 = 'S"&amp;"TARTING_ROSTER_SIZE'"")),0))"),0.0)</f>
        <v>0</v>
      </c>
      <c r="AY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Col""&amp;COLUMN(AY$1)&amp;""=1""))&amp;""' ORDER BY Col6 DESC LIMIT ""&amp;QUERY('Global Variables'!$A:$B, ""SELECT Col2 WHERE Col1 = 'S"&amp;"TARTING_ROSTER_SIZE'"")),0))"),0.0)</f>
        <v>0</v>
      </c>
      <c r="AZ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Col""&amp;COLUMN(AZ$1)&amp;""=1""))&amp;""' ORDER BY Col6 DESC LIMIT ""&amp;QUERY('Global Variables'!$A:$B, ""SELECT Col2 WHERE Col1 = 'S"&amp;"TARTING_ROSTER_SIZE'"")),0))"),0.0)</f>
        <v>0</v>
      </c>
      <c r="BA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Col""&amp;COLUMN(BA$1)&amp;""=1""))&amp;""' ORDER BY Col6 DESC LIMIT ""&amp;QUERY('Global Variables'!$A:$B, ""SELECT Col2 WHERE Col1 = 'S"&amp;"TARTING_ROSTER_SIZE'"")),0))"),0.0)</f>
        <v>0</v>
      </c>
      <c r="BB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Col""&amp;COLUMN(BB$1)&amp;""=1""))&amp;""' ORDER BY Col6 DESC LIMIT ""&amp;QUERY('Global Variables'!$A:$B, ""SELECT Col2 WHERE Col1 = 'S"&amp;"TARTING_ROSTER_SIZE'"")),0))"),0.0)</f>
        <v>0</v>
      </c>
      <c r="BC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Col""&amp;COLUMN(BC$1)&amp;""=1""))&amp;""' ORDER BY Col6 DESC LIMIT ""&amp;QUERY('Global Variables'!$A:$B, ""SELECT Col2 WHERE Col1 = 'S"&amp;"TARTING_ROSTER_SIZE'"")),0))"),0.0)</f>
        <v>0</v>
      </c>
      <c r="BD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Col""&amp;COLUMN(BD$1)&amp;""=1""))&amp;""' ORDER BY Col6 DESC LIMIT ""&amp;QUERY('Global Variables'!$A:$B, ""SELECT Col2 WHERE Col1 = 'S"&amp;"TARTING_ROSTER_SIZE'"")),0))"),0.0)</f>
        <v>0</v>
      </c>
      <c r="BE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Col""&amp;COLUMN(BE$1)&amp;""=1""))&amp;""' ORDER BY Col6 DESC LIMIT ""&amp;QUERY('Global Variables'!$A:$B, ""SELECT Col2 WHERE Col1 = 'S"&amp;"TARTING_ROSTER_SIZE'"")),0))"),0.0)</f>
        <v>0</v>
      </c>
      <c r="BF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Col""&amp;COLUMN(BF$1)&amp;""=1""))&amp;""' ORDER BY Col6 DESC LIMIT ""&amp;QUERY('Global Variables'!$A:$B, ""SELECT Col2 WHERE Col1 = 'S"&amp;"TARTING_ROSTER_SIZE'"")),0))"),0.0)</f>
        <v>0</v>
      </c>
      <c r="BG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Col""&amp;COLUMN(BG$1)&amp;""=1""))&amp;""' ORDER BY Col6 DESC LIMIT ""&amp;QUERY('Global Variables'!$A:$B, ""SELECT Col2 WHERE Col1 = 'S"&amp;"TARTING_ROSTER_SIZE'"")),0))"),0.0)</f>
        <v>0</v>
      </c>
      <c r="BH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Col""&amp;COLUMN(BH$1)&amp;""=1""))&amp;""' ORDER BY Col6 DESC LIMIT ""&amp;QUERY('Global Variables'!$A:$B, ""SELECT Col2 WHERE Col1 = 'S"&amp;"TARTING_ROSTER_SIZE'"")),0))"),0.0)</f>
        <v>0</v>
      </c>
      <c r="BI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Col""&amp;COLUMN(BI$1)&amp;""=1""))&amp;""' ORDER BY Col6 DESC LIMIT ""&amp;QUERY('Global Variables'!$A:$B, ""SELECT Col2 WHERE Col1 = 'S"&amp;"TARTING_ROSTER_SIZE'"")),0))"),0.0)</f>
        <v>0</v>
      </c>
      <c r="BJ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Col""&amp;COLUMN(BJ$1)&amp;""=1""))&amp;""' ORDER BY Col6 DESC LIMIT ""&amp;QUERY('Global Variables'!$A:$B, ""SELECT Col2 WHERE Col1 = 'S"&amp;"TARTING_ROSTER_SIZE'"")),0))"),0.0)</f>
        <v>0</v>
      </c>
      <c r="BK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Col""&amp;COLUMN(BK$1)&amp;""=1""))&amp;""' ORDER BY Col6 DESC LIMIT ""&amp;QUERY('Global Variables'!$A:$B, ""SELECT Col2 WHERE Col1 = 'S"&amp;"TARTING_ROSTER_SIZE'"")),0))"),0.0)</f>
        <v>0</v>
      </c>
      <c r="BL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Col""&amp;COLUMN(BL$1)&amp;""=1""))&amp;""' ORDER BY Col6 DESC LIMIT ""&amp;QUERY('Global Variables'!$A:$B, ""SELECT Col2 WHERE Col1 = 'S"&amp;"TARTING_ROSTER_SIZE'"")),0))"),0.0)</f>
        <v>0</v>
      </c>
      <c r="BM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Col""&amp;COLUMN(BM$1)&amp;""=1""))&amp;""' ORDER BY Col6 DESC LIMIT ""&amp;QUERY('Global Variables'!$A:$B, ""SELECT Col2 WHERE Col1 = 'S"&amp;"TARTING_ROSTER_SIZE'"")),0))"),0.0)</f>
        <v>0</v>
      </c>
      <c r="BN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Col""&amp;COLUMN(BN$1)&amp;""=1""))&amp;""' ORDER BY Col6 DESC LIMIT ""&amp;QUERY('Global Variables'!$A:$B, ""SELECT Col2 WHERE Col1 = 'S"&amp;"TARTING_ROSTER_SIZE'"")),0))"),0.0)</f>
        <v>0</v>
      </c>
      <c r="BO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Col""&amp;COLUMN(BO$1)&amp;""=1""))&amp;""' ORDER BY Col6 DESC LIMIT ""&amp;QUERY('Global Variables'!$A:$B, ""SELECT Col2 WHERE Col1 = 'S"&amp;"TARTING_ROSTER_SIZE'"")),0))"),0.0)</f>
        <v>0</v>
      </c>
      <c r="BP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Col""&amp;COLUMN(BP$1)&amp;""=1""))&amp;""' ORDER BY Col6 DESC LIMIT ""&amp;QUERY('Global Variables'!$A:$B, ""SELECT Col2 WHERE Col1 = 'S"&amp;"TARTING_ROSTER_SIZE'"")),0))"),0.0)</f>
        <v>0</v>
      </c>
      <c r="BQ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Col""&amp;COLUMN(BQ$1)&amp;""=1""))&amp;""' ORDER BY Col6 DESC LIMIT ""&amp;QUERY('Global Variables'!$A:$B, ""SELECT Col2 WHERE Col1 = 'S"&amp;"TARTING_ROSTER_SIZE'"")),0))"),0.0)</f>
        <v>0</v>
      </c>
      <c r="BR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Col""&amp;COLUMN(BR$1)&amp;""=1""))&amp;""' ORDER BY Col6 DESC LIMIT ""&amp;QUERY('Global Variables'!$A:$B, ""SELECT Col2 WHERE Col1 = 'S"&amp;"TARTING_ROSTER_SIZE'"")),0))"),0.0)</f>
        <v>0</v>
      </c>
      <c r="BS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Col""&amp;COLUMN(BS$1)&amp;""=1""))&amp;""' ORDER BY Col6 DESC LIMIT ""&amp;QUERY('Global Variables'!$A:$B, ""SELECT Col2 WHERE Col1 = 'S"&amp;"TARTING_ROSTER_SIZE'"")),0))"),0.0)</f>
        <v>0</v>
      </c>
      <c r="BT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Col""&amp;COLUMN(BT$1)&amp;""=1""))&amp;""' ORDER BY Col6 DESC LIMIT ""&amp;QUERY('Global Variables'!$A:$B, ""SELECT Col2 WHERE Col1 = 'S"&amp;"TARTING_ROSTER_SIZE'"")),0))"),0.0)</f>
        <v>0</v>
      </c>
      <c r="BU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Col""&amp;COLUMN(BU$1)&amp;""=1""))&amp;""' ORDER BY Col6 DESC LIMIT ""&amp;QUERY('Global Variables'!$A:$B, ""SELECT Col2 WHERE Col1 = 'S"&amp;"TARTING_ROSTER_SIZE'"")),0))"),0.0)</f>
        <v>0</v>
      </c>
      <c r="BV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Col""&amp;COLUMN(BV$1)&amp;""=1""))&amp;""' ORDER BY Col6 DESC LIMIT ""&amp;QUERY('Global Variables'!$A:$B, ""SELECT Col2 WHERE Col1 = 'S"&amp;"TARTING_ROSTER_SIZE'"")),0))"),0.0)</f>
        <v>0</v>
      </c>
      <c r="BW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Col""&amp;COLUMN(BW$1)&amp;""=1""))&amp;""' ORDER BY Col6 DESC LIMIT ""&amp;QUERY('Global Variables'!$A:$B, ""SELECT Col2 WHERE Col1 = 'S"&amp;"TARTING_ROSTER_SIZE'"")),0))"),0.0)</f>
        <v>0</v>
      </c>
      <c r="BX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Col""&amp;COLUMN(BX$1)&amp;""=1""))&amp;""' ORDER BY Col6 DESC LIMIT ""&amp;QUERY('Global Variables'!$A:$B, ""SELECT Col2 WHERE Col1 = 'S"&amp;"TARTING_ROSTER_SIZE'"")),0))"),0.0)</f>
        <v>0</v>
      </c>
      <c r="BY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Col""&amp;COLUMN(BY$1)&amp;""=1""))&amp;""' ORDER BY Col6 DESC LIMIT ""&amp;QUERY('Global Variables'!$A:$B, ""SELECT Col2 WHERE Col1 = 'S"&amp;"TARTING_ROSTER_SIZE'"")),0))"),0.0)</f>
        <v>0</v>
      </c>
      <c r="BZ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Col""&amp;COLUMN(BZ$1)&amp;""=1""))&amp;""' ORDER BY Col6 DESC LIMIT ""&amp;QUERY('Global Variables'!$A:$B, ""SELECT Col2 WHERE Col1 = 'S"&amp;"TARTING_ROSTER_SIZE'"")),0))"),0.0)</f>
        <v>0</v>
      </c>
      <c r="CA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Col""&amp;COLUMN(CA$1)&amp;""=1""))&amp;""' ORDER BY Col6 DESC LIMIT ""&amp;QUERY('Global Variables'!$A:$B, ""SELECT Col2 WHERE Col1 = 'S"&amp;"TARTING_ROSTER_SIZE'"")),0))"),0.0)</f>
        <v>0</v>
      </c>
      <c r="CB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Col""&amp;COLUMN(CB$1)&amp;""=1""))&amp;""' ORDER BY Col6 DESC LIMIT ""&amp;QUERY('Global Variables'!$A:$B, ""SELECT Col2 WHERE Col1 = 'S"&amp;"TARTING_ROSTER_SIZE'"")),0))"),0.0)</f>
        <v>0</v>
      </c>
      <c r="CC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Col""&amp;COLUMN(CC$1)&amp;""=1""))&amp;""' ORDER BY Col6 DESC LIMIT ""&amp;QUERY('Global Variables'!$A:$B, ""SELECT Col2 WHERE Col1 = 'S"&amp;"TARTING_ROSTER_SIZE'"")),0))"),0.0)</f>
        <v>0</v>
      </c>
      <c r="CD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Col""&amp;COLUMN(CD$1)&amp;""=1""))&amp;""' ORDER BY Col6 DESC LIMIT ""&amp;QUERY('Global Variables'!$A:$B, ""SELECT Col2 WHERE Col1 = 'S"&amp;"TARTING_ROSTER_SIZE'"")),0))"),0.0)</f>
        <v>0</v>
      </c>
      <c r="CE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Col""&amp;COLUMN(CE$1)&amp;""=1""))&amp;""' ORDER BY Col6 DESC LIMIT ""&amp;QUERY('Global Variables'!$A:$B, ""SELECT Col2 WHERE Col1 = 'S"&amp;"TARTING_ROSTER_SIZE'"")),0))"),0.0)</f>
        <v>0</v>
      </c>
      <c r="CF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Col""&amp;COLUMN(CF$1)&amp;""=1""))&amp;""' ORDER BY Col6 DESC LIMIT ""&amp;QUERY('Global Variables'!$A:$B, ""SELECT Col2 WHERE Col1 = 'S"&amp;"TARTING_ROSTER_SIZE'"")),0))"),0.0)</f>
        <v>0</v>
      </c>
      <c r="CG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Col""&amp;COLUMN(CG$1)&amp;""=1""))&amp;""' ORDER BY Col6 DESC LIMIT ""&amp;QUERY('Global Variables'!$A:$B, ""SELECT Col2 WHERE Col1 = 'S"&amp;"TARTING_ROSTER_SIZE'"")),0))"),0.0)</f>
        <v>0</v>
      </c>
      <c r="CH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Col""&amp;COLUMN(CH$1)&amp;""=1""))&amp;""' ORDER BY Col6 DESC LIMIT ""&amp;QUERY('Global Variables'!$A:$B, ""SELECT Col2 WHERE Col1 = 'S"&amp;"TARTING_ROSTER_SIZE'"")),0))"),0.0)</f>
        <v>0</v>
      </c>
      <c r="CI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Col""&amp;COLUMN(CI$1)&amp;""=1""))&amp;""' ORDER BY Col6 DESC LIMIT ""&amp;QUERY('Global Variables'!$A:$B, ""SELECT Col2 WHERE Col1 = 'S"&amp;"TARTING_ROSTER_SIZE'"")),0))"),0.0)</f>
        <v>0</v>
      </c>
      <c r="CJ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Col""&amp;COLUMN(CJ$1)&amp;""=1""))&amp;""' ORDER BY Col6 DESC LIMIT ""&amp;QUERY('Global Variables'!$A:$B, ""SELECT Col2 WHERE Col1 = 'S"&amp;"TARTING_ROSTER_SIZE'"")),0))"),0.0)</f>
        <v>0</v>
      </c>
      <c r="CK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Col""&amp;COLUMN(CK$1)&amp;""=1""))&amp;""' ORDER BY Col6 DESC LIMIT ""&amp;QUERY('Global Variables'!$A:$B, ""SELECT Col2 WHERE Col1 = 'S"&amp;"TARTING_ROSTER_SIZE'"")),0))"),0.0)</f>
        <v>0</v>
      </c>
      <c r="CL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Col""&amp;COLUMN(CL$1)&amp;""=1""))&amp;""' ORDER BY Col6 DESC LIMIT ""&amp;QUERY('Global Variables'!$A:$B, ""SELECT Col2 WHERE Col1 = 'S"&amp;"TARTING_ROSTER_SIZE'"")),0))"),0.0)</f>
        <v>0</v>
      </c>
      <c r="CM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Col""&amp;COLUMN(CM$1)&amp;""=1""))&amp;""' ORDER BY Col6 DESC LIMIT ""&amp;QUERY('Global Variables'!$A:$B, ""SELECT Col2 WHERE Col1 = 'S"&amp;"TARTING_ROSTER_SIZE'"")),0))"),0.0)</f>
        <v>0</v>
      </c>
      <c r="CN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Col""&amp;COLUMN(CN$1)&amp;""=1""))&amp;""' ORDER BY Col6 DESC LIMIT ""&amp;QUERY('Global Variables'!$A:$B, ""SELECT Col2 WHERE Col1 = 'S"&amp;"TARTING_ROSTER_SIZE'"")),0))"),0.0)</f>
        <v>0</v>
      </c>
      <c r="CO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Col""&amp;COLUMN(CO$1)&amp;""=1""))&amp;""' ORDER BY Col6 DESC LIMIT ""&amp;QUERY('Global Variables'!$A:$B, ""SELECT Col2 WHERE Col1 = 'S"&amp;"TARTING_ROSTER_SIZE'"")),0))"),0.0)</f>
        <v>0</v>
      </c>
      <c r="CP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Col""&amp;COLUMN(CP$1)&amp;""=1""))&amp;""' ORDER BY Col6 DESC LIMIT ""&amp;QUERY('Global Variables'!$A:$B, ""SELECT Col2 WHERE Col1 = 'S"&amp;"TARTING_ROSTER_SIZE'"")),0))"),0.0)</f>
        <v>0</v>
      </c>
      <c r="CQ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Col""&amp;COLUMN(CQ$1)&amp;""=1""))&amp;""' ORDER BY Col6 DESC LIMIT ""&amp;QUERY('Global Variables'!$A:$B, ""SELECT Col2 WHERE Col1 = 'S"&amp;"TARTING_ROSTER_SIZE'"")),0))"),0.0)</f>
        <v>0</v>
      </c>
      <c r="CR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Col""&amp;COLUMN(CR$1)&amp;""=1""))&amp;""' ORDER BY Col6 DESC LIMIT ""&amp;QUERY('Global Variables'!$A:$B, ""SELECT Col2 WHERE Col1 = 'S"&amp;"TARTING_ROSTER_SIZE'"")),0))"),0.0)</f>
        <v>0</v>
      </c>
      <c r="CS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Col""&amp;COLUMN(CS$1)&amp;""=1""))&amp;""' ORDER BY Col6 DESC LIMIT ""&amp;QUERY('Global Variables'!$A:$B, ""SELECT Col2 WHERE Col1 = 'S"&amp;"TARTING_ROSTER_SIZE'"")),0))"),0.0)</f>
        <v>0</v>
      </c>
      <c r="CT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Col""&amp;COLUMN(CT$1)&amp;""=1""))&amp;""' ORDER BY Col6 DESC LIMIT ""&amp;QUERY('Global Variables'!$A:$B, ""SELECT Col2 WHERE Col1 = 'S"&amp;"TARTING_ROSTER_SIZE'"")),0))"),0.0)</f>
        <v>0</v>
      </c>
      <c r="CU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Col""&amp;COLUMN(CU$1)&amp;""=1""))&amp;""' ORDER BY Col6 DESC LIMIT ""&amp;QUERY('Global Variables'!$A:$B, ""SELECT Col2 WHERE Col1 = 'S"&amp;"TARTING_ROSTER_SIZE'"")),0))"),0.0)</f>
        <v>0</v>
      </c>
      <c r="CV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Col""&amp;COLUMN(CV$1)&amp;""=1""))&amp;""' ORDER BY Col6 DESC LIMIT ""&amp;QUERY('Global Variables'!$A:$B, ""SELECT Col2 WHERE Col1 = 'S"&amp;"TARTING_ROSTER_SIZE'"")),0))"),0.0)</f>
        <v>0</v>
      </c>
      <c r="CW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Col""&amp;COLUMN(CW$1)&amp;""=1""))&amp;""' ORDER BY Col6 DESC LIMIT ""&amp;QUERY('Global Variables'!$A:$B, ""SELECT Col2 WHERE Col1 = 'S"&amp;"TARTING_ROSTER_SIZE'"")),0))"),0.0)</f>
        <v>0</v>
      </c>
      <c r="CX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Col""&amp;COLUMN(CX$1)&amp;""=1""))&amp;""' ORDER BY Col6 DESC LIMIT ""&amp;QUERY('Global Variables'!$A:$B, ""SELECT Col2 WHERE Col1 = 'S"&amp;"TARTING_ROSTER_SIZE'"")),0))"),0.0)</f>
        <v>0</v>
      </c>
      <c r="CY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Col""&amp;COLUMN(CY$1)&amp;""=1""))&amp;""' ORDER BY Col6 DESC LIMIT ""&amp;QUERY('Global Variables'!$A:$B, ""SELECT Col2 WHERE Col1 = 'S"&amp;"TARTING_ROSTER_SIZE'"")),0))"),0.0)</f>
        <v>0</v>
      </c>
      <c r="CZ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Col""&amp;COLUMN(CZ$1)&amp;""=1""))&amp;""' ORDER BY Col6 DESC LIMIT ""&amp;QUERY('Global Variables'!$A:$B, ""SELECT Col2 WHERE Col1 = 'S"&amp;"TARTING_ROSTER_SIZE'"")),0))"),0.0)</f>
        <v>0</v>
      </c>
      <c r="DA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Col""&amp;COLUMN(DA$1)&amp;""=1""))&amp;""' ORDER BY Col6 DESC LIMIT ""&amp;QUERY('Global Variables'!$A:$B, ""SELECT Col2 WHERE Col1 = 'S"&amp;"TARTING_ROSTER_SIZE'"")),0))"),0.0)</f>
        <v>0</v>
      </c>
      <c r="DB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Col""&amp;COLUMN(DB$1)&amp;""=1""))&amp;""' ORDER BY Col6 DESC LIMIT ""&amp;QUERY('Global Variables'!$A:$B, ""SELECT Col2 WHERE Col1 = 'S"&amp;"TARTING_ROSTER_SIZE'"")),0))"),0.0)</f>
        <v>0</v>
      </c>
      <c r="DC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Col""&amp;COLUMN(DC$1)&amp;""=1""))&amp;""' ORDER BY Col6 DESC LIMIT ""&amp;QUERY('Global Variables'!$A:$B, ""SELECT Col2 WHERE Col1 = 'S"&amp;"TARTING_ROSTER_SIZE'"")),0))"),0.0)</f>
        <v>0</v>
      </c>
      <c r="DD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Col""&amp;COLUMN(DD$1)&amp;""=1""))&amp;""' ORDER BY Col6 DESC LIMIT ""&amp;QUERY('Global Variables'!$A:$B, ""SELECT Col2 WHERE Col1 = 'S"&amp;"TARTING_ROSTER_SIZE'"")),0))"),0.0)</f>
        <v>0</v>
      </c>
      <c r="DE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Col""&amp;COLUMN(DE$1)&amp;""=1""))&amp;""' ORDER BY Col6 DESC LIMIT ""&amp;QUERY('Global Variables'!$A:$B, ""SELECT Col2 WHERE Col1 = 'S"&amp;"TARTING_ROSTER_SIZE'"")),0))"),0.0)</f>
        <v>0</v>
      </c>
      <c r="DF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Col""&amp;COLUMN(DF$1)&amp;""=1""))&amp;""' ORDER BY Col6 DESC LIMIT ""&amp;QUERY('Global Variables'!$A:$B, ""SELECT Col2 WHERE Col1 = 'S"&amp;"TARTING_ROSTER_SIZE'"")),0))"),0.0)</f>
        <v>0</v>
      </c>
      <c r="DG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Col""&amp;COLUMN(DG$1)&amp;""=1""))&amp;""' ORDER BY Col6 DESC LIMIT ""&amp;QUERY('Global Variables'!$A:$B, ""SELECT Col2 WHERE Col1 = 'S"&amp;"TARTING_ROSTER_SIZE'"")),0))"),0.0)</f>
        <v>0</v>
      </c>
      <c r="DH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Col""&amp;COLUMN(DH$1)&amp;""=1""))&amp;""' ORDER BY Col6 DESC LIMIT ""&amp;QUERY('Global Variables'!$A:$B, ""SELECT Col2 WHERE Col1 = 'S"&amp;"TARTING_ROSTER_SIZE'"")),0))"),0.0)</f>
        <v>0</v>
      </c>
      <c r="DI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Col""&amp;COLUMN(DI$1)&amp;""=1""))&amp;""' ORDER BY Col6 DESC LIMIT ""&amp;QUERY('Global Variables'!$A:$B, ""SELECT Col2 WHERE Col1 = 'S"&amp;"TARTING_ROSTER_SIZE'"")),0))"),0.0)</f>
        <v>0</v>
      </c>
      <c r="DJ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Col""&amp;COLUMN(DJ$1)&amp;""=1""))&amp;""' ORDER BY Col6 DESC LIMIT ""&amp;QUERY('Global Variables'!$A:$B, ""SELECT Col2 WHERE Col1 = 'S"&amp;"TARTING_ROSTER_SIZE'"")),0))"),0.0)</f>
        <v>0</v>
      </c>
      <c r="DK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Col""&amp;COLUMN(DK$1)&amp;""=1""))&amp;""' ORDER BY Col6 DESC LIMIT ""&amp;QUERY('Global Variables'!$A:$B, ""SELECT Col2 WHERE Col1 = 'S"&amp;"TARTING_ROSTER_SIZE'"")),0))"),0.0)</f>
        <v>0</v>
      </c>
      <c r="DL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Col""&amp;COLUMN(DL$1)&amp;""=1""))&amp;""' ORDER BY Col6 DESC LIMIT ""&amp;QUERY('Global Variables'!$A:$B, ""SELECT Col2 WHERE Col1 = 'S"&amp;"TARTING_ROSTER_SIZE'"")),0))"),0.0)</f>
        <v>0</v>
      </c>
      <c r="DM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Col""&amp;COLUMN(DM$1)&amp;""=1""))&amp;""' ORDER BY Col6 DESC LIMIT ""&amp;QUERY('Global Variables'!$A:$B, ""SELECT Col2 WHERE Col1 = 'S"&amp;"TARTING_ROSTER_SIZE'"")),0))"),0.0)</f>
        <v>0</v>
      </c>
      <c r="DN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Col""&amp;COLUMN(DN$1)&amp;""=1""))&amp;""' ORDER BY Col6 DESC LIMIT ""&amp;QUERY('Global Variables'!$A:$B, ""SELECT Col2 WHERE Col1 = 'S"&amp;"TARTING_ROSTER_SIZE'"")),0))"),0.0)</f>
        <v>0</v>
      </c>
      <c r="DO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Col""&amp;COLUMN(DO$1)&amp;""=1""))&amp;""' ORDER BY Col6 DESC LIMIT ""&amp;QUERY('Global Variables'!$A:$B, ""SELECT Col2 WHERE Col1 = 'S"&amp;"TARTING_ROSTER_SIZE'"")),0))"),0.0)</f>
        <v>0</v>
      </c>
      <c r="DP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Col""&amp;COLUMN(DP$1)&amp;""=1""))&amp;""' ORDER BY Col6 DESC LIMIT ""&amp;QUERY('Global Variables'!$A:$B, ""SELECT Col2 WHERE Col1 = 'S"&amp;"TARTING_ROSTER_SIZE'"")),0))"),0.0)</f>
        <v>0</v>
      </c>
      <c r="DQ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Col""&amp;COLUMN(DQ$1)&amp;""=1""))&amp;""' ORDER BY Col6 DESC LIMIT ""&amp;QUERY('Global Variables'!$A:$B, ""SELECT Col2 WHERE Col1 = 'S"&amp;"TARTING_ROSTER_SIZE'"")),0))"),0.0)</f>
        <v>0</v>
      </c>
      <c r="DR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Col""&amp;COLUMN(DR$1)&amp;""=1""))&amp;""' ORDER BY Col6 DESC LIMIT ""&amp;QUERY('Global Variables'!$A:$B, ""SELECT Col2 WHERE Col1 = 'S"&amp;"TARTING_ROSTER_SIZE'"")),0))"),0.0)</f>
        <v>0</v>
      </c>
      <c r="DS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Col""&amp;COLUMN(DS$1)&amp;""=1""))&amp;""' ORDER BY Col6 DESC LIMIT ""&amp;QUERY('Global Variables'!$A:$B, ""SELECT Col2 WHERE Col1 = 'S"&amp;"TARTING_ROSTER_SIZE'"")),0))"),0.0)</f>
        <v>0</v>
      </c>
      <c r="DT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Col""&amp;COLUMN(DT$1)&amp;""=1""))&amp;""' ORDER BY Col6 DESC LIMIT ""&amp;QUERY('Global Variables'!$A:$B, ""SELECT Col2 WHERE Col1 = 'S"&amp;"TARTING_ROSTER_SIZE'"")),0))"),0.0)</f>
        <v>0</v>
      </c>
      <c r="DU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Col""&amp;COLUMN(DU$1)&amp;""=1""))&amp;""' ORDER BY Col6 DESC LIMIT ""&amp;QUERY('Global Variables'!$A:$B, ""SELECT Col2 WHERE Col1 = 'S"&amp;"TARTING_ROSTER_SIZE'"")),0))"),0.0)</f>
        <v>0</v>
      </c>
      <c r="DV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Col""&amp;COLUMN(DV$1)&amp;""=1""))&amp;""' ORDER BY Col6 DESC LIMIT ""&amp;QUERY('Global Variables'!$A:$B, ""SELECT Col2 WHERE Col1 = 'S"&amp;"TARTING_ROSTER_SIZE'"")),0))"),0.0)</f>
        <v>0</v>
      </c>
      <c r="DW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Col""&amp;COLUMN(DW$1)&amp;""=1""))&amp;""' ORDER BY Col6 DESC LIMIT ""&amp;QUERY('Global Variables'!$A:$B, ""SELECT Col2 WHERE Col1 = 'S"&amp;"TARTING_ROSTER_SIZE'"")),0))"),0.0)</f>
        <v>0</v>
      </c>
      <c r="DX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Col""&amp;COLUMN(DX$1)&amp;""=1""))&amp;""' ORDER BY Col6 DESC LIMIT ""&amp;QUERY('Global Variables'!$A:$B, ""SELECT Col2 WHERE Col1 = 'S"&amp;"TARTING_ROSTER_SIZE'"")),0))"),0.0)</f>
        <v>0</v>
      </c>
      <c r="DY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Col""&amp;COLUMN(DY$1)&amp;""=1""))&amp;""' ORDER BY Col6 DESC LIMIT ""&amp;QUERY('Global Variables'!$A:$B, ""SELECT Col2 WHERE Col1 = 'S"&amp;"TARTING_ROSTER_SIZE'"")),0))"),0.0)</f>
        <v>0</v>
      </c>
      <c r="DZ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Col""&amp;COLUMN(DZ$1)&amp;""=1""))&amp;""' ORDER BY Col6 DESC LIMIT ""&amp;QUERY('Global Variables'!$A:$B, ""SELECT Col2 WHERE Col1 = 'S"&amp;"TARTING_ROSTER_SIZE'"")),0))"),0.0)</f>
        <v>0</v>
      </c>
      <c r="EA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Col""&amp;COLUMN(EA$1)&amp;""=1""))&amp;""' ORDER BY Col6 DESC LIMIT ""&amp;QUERY('Global Variables'!$A:$B, ""SELECT Col2 WHERE Col1 = 'S"&amp;"TARTING_ROSTER_SIZE'"")),0))"),0.0)</f>
        <v>0</v>
      </c>
      <c r="EB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Col""&amp;COLUMN(EB$1)&amp;""=1""))&amp;""' ORDER BY Col6 DESC LIMIT ""&amp;QUERY('Global Variables'!$A:$B, ""SELECT Col2 WHERE Col1 = 'S"&amp;"TARTING_ROSTER_SIZE'"")),0))"),0.0)</f>
        <v>0</v>
      </c>
      <c r="EC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Col""&amp;COLUMN(EC$1)&amp;""=1""))&amp;""' ORDER BY Col6 DESC LIMIT ""&amp;QUERY('Global Variables'!$A:$B, ""SELECT Col2 WHERE Col1 = 'S"&amp;"TARTING_ROSTER_SIZE'"")),0))"),0.0)</f>
        <v>0</v>
      </c>
      <c r="ED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Col""&amp;COLUMN(ED$1)&amp;""=1""))&amp;""' ORDER BY Col6 DESC LIMIT ""&amp;QUERY('Global Variables'!$A:$B, ""SELECT Col2 WHERE Col1 = 'S"&amp;"TARTING_ROSTER_SIZE'"")),0))"),0.0)</f>
        <v>0</v>
      </c>
      <c r="EE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Col""&amp;COLUMN(EE$1)&amp;""=1""))&amp;""' ORDER BY Col6 DESC LIMIT ""&amp;QUERY('Global Variables'!$A:$B, ""SELECT Col2 WHERE Col1 = 'S"&amp;"TARTING_ROSTER_SIZE'"")),0))"),0.0)</f>
        <v>0</v>
      </c>
      <c r="EF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Col""&amp;COLUMN(EF$1)&amp;""=1""))&amp;""' ORDER BY Col6 DESC LIMIT ""&amp;QUERY('Global Variables'!$A:$B, ""SELECT Col2 WHERE Col1 = 'S"&amp;"TARTING_ROSTER_SIZE'"")),0))"),0.0)</f>
        <v>0</v>
      </c>
      <c r="EG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Col""&amp;COLUMN(EG$1)&amp;""=1""))&amp;""' ORDER BY Col6 DESC LIMIT ""&amp;QUERY('Global Variables'!$A:$B, ""SELECT Col2 WHERE Col1 = 'S"&amp;"TARTING_ROSTER_SIZE'"")),0))"),0.0)</f>
        <v>0</v>
      </c>
      <c r="EH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Col""&amp;COLUMN(EH$1)&amp;""=1""))&amp;""' ORDER BY Col6 DESC LIMIT ""&amp;QUERY('Global Variables'!$A:$B, ""SELECT Col2 WHERE Col1 = 'S"&amp;"TARTING_ROSTER_SIZE'"")),0))"),0.0)</f>
        <v>0</v>
      </c>
      <c r="EI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Col""&amp;COLUMN(EI$1)&amp;""=1""))&amp;""' ORDER BY Col6 DESC LIMIT ""&amp;QUERY('Global Variables'!$A:$B, ""SELECT Col2 WHERE Col1 = 'S"&amp;"TARTING_ROSTER_SIZE'"")),0))"),0.0)</f>
        <v>0</v>
      </c>
      <c r="EJ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Col""&amp;COLUMN(EJ$1)&amp;""=1""))&amp;""' ORDER BY Col6 DESC LIMIT ""&amp;QUERY('Global Variables'!$A:$B, ""SELECT Col2 WHERE Col1 = 'S"&amp;"TARTING_ROSTER_SIZE'"")),0))"),0.0)</f>
        <v>0</v>
      </c>
      <c r="EK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Col""&amp;COLUMN(EK$1)&amp;""=1""))&amp;""' ORDER BY Col6 DESC LIMIT ""&amp;QUERY('Global Variables'!$A:$B, ""SELECT Col2 WHERE Col1 = 'S"&amp;"TARTING_ROSTER_SIZE'"")),0))"),0.0)</f>
        <v>0</v>
      </c>
      <c r="EL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Col""&amp;COLUMN(EL$1)&amp;""=1""))&amp;""' ORDER BY Col6 DESC LIMIT ""&amp;QUERY('Global Variables'!$A:$B, ""SELECT Col2 WHERE Col1 = 'S"&amp;"TARTING_ROSTER_SIZE'"")),0))"),0.0)</f>
        <v>0</v>
      </c>
      <c r="EM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Col""&amp;COLUMN(EM$1)&amp;""=1""))&amp;""' ORDER BY Col6 DESC LIMIT ""&amp;QUERY('Global Variables'!$A:$B, ""SELECT Col2 WHERE Col1 = 'S"&amp;"TARTING_ROSTER_SIZE'"")),0))"),0.0)</f>
        <v>0</v>
      </c>
      <c r="EN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Col""&amp;COLUMN(EN$1)&amp;""=1""))&amp;""' ORDER BY Col6 DESC LIMIT ""&amp;QUERY('Global Variables'!$A:$B, ""SELECT Col2 WHERE Col1 = 'S"&amp;"TARTING_ROSTER_SIZE'"")),0))"),0.0)</f>
        <v>0</v>
      </c>
      <c r="EO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Col""&amp;COLUMN(EO$1)&amp;""=1""))&amp;""' ORDER BY Col6 DESC LIMIT ""&amp;QUERY('Global Variables'!$A:$B, ""SELECT Col2 WHERE Col1 = 'S"&amp;"TARTING_ROSTER_SIZE'"")),0))"),0.0)</f>
        <v>0</v>
      </c>
      <c r="EP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Col""&amp;COLUMN(EP$1)&amp;""=1""))&amp;""' ORDER BY Col6 DESC LIMIT ""&amp;QUERY('Global Variables'!$A:$B, ""SELECT Col2 WHERE Col1 = 'S"&amp;"TARTING_ROSTER_SIZE'"")),0))"),0.0)</f>
        <v>0</v>
      </c>
      <c r="EQ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Col""&amp;COLUMN(EQ$1)&amp;""=1""))&amp;""' ORDER BY Col6 DESC LIMIT ""&amp;QUERY('Global Variables'!$A:$B, ""SELECT Col2 WHERE Col1 = 'S"&amp;"TARTING_ROSTER_SIZE'"")),0))"),0.0)</f>
        <v>0</v>
      </c>
      <c r="ER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Col""&amp;COLUMN(ER$1)&amp;""=1""))&amp;""' ORDER BY Col6 DESC LIMIT ""&amp;QUERY('Global Variables'!$A:$B, ""SELECT Col2 WHERE Col1 = 'S"&amp;"TARTING_ROSTER_SIZE'"")),0))"),0.0)</f>
        <v>0</v>
      </c>
      <c r="ES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Col""&amp;COLUMN(ES$1)&amp;""=1""))&amp;""' ORDER BY Col6 DESC LIMIT ""&amp;QUERY('Global Variables'!$A:$B, ""SELECT Col2 WHERE Col1 = 'S"&amp;"TARTING_ROSTER_SIZE'"")),0))"),0.0)</f>
        <v>0</v>
      </c>
      <c r="ET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Col""&amp;COLUMN(ET$1)&amp;""=1""))&amp;""' ORDER BY Col6 DESC LIMIT ""&amp;QUERY('Global Variables'!$A:$B, ""SELECT Col2 WHERE Col1 = 'S"&amp;"TARTING_ROSTER_SIZE'"")),0))"),0.0)</f>
        <v>0</v>
      </c>
      <c r="EU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Col""&amp;COLUMN(EU$1)&amp;""=1""))&amp;""' ORDER BY Col6 DESC LIMIT ""&amp;QUERY('Global Variables'!$A:$B, ""SELECT Col2 WHERE Col1 = 'S"&amp;"TARTING_ROSTER_SIZE'"")),0))"),0.0)</f>
        <v>0</v>
      </c>
      <c r="EV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Col""&amp;COLUMN(EV$1)&amp;""=1""))&amp;""' ORDER BY Col6 DESC LIMIT ""&amp;QUERY('Global Variables'!$A:$B, ""SELECT Col2 WHERE Col1 = 'S"&amp;"TARTING_ROSTER_SIZE'"")),0))"),0.0)</f>
        <v>0</v>
      </c>
      <c r="EW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Col""&amp;COLUMN(EW$1)&amp;""=1""))&amp;""' ORDER BY Col6 DESC LIMIT ""&amp;QUERY('Global Variables'!$A:$B, ""SELECT Col2 WHERE Col1 = 'S"&amp;"TARTING_ROSTER_SIZE'"")),0))"),0.0)</f>
        <v>0</v>
      </c>
      <c r="EX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Col""&amp;COLUMN(EX$1)&amp;""=1""))&amp;""' ORDER BY Col6 DESC LIMIT ""&amp;QUERY('Global Variables'!$A:$B, ""SELECT Col2 WHERE Col1 = 'S"&amp;"TARTING_ROSTER_SIZE'"")),0))"),0.0)</f>
        <v>0</v>
      </c>
      <c r="EY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Col""&amp;COLUMN(EY$1)&amp;""=1""))&amp;""' ORDER BY Col6 DESC LIMIT ""&amp;QUERY('Global Variables'!$A:$B, ""SELECT Col2 WHERE Col1 = 'S"&amp;"TARTING_ROSTER_SIZE'"")),0))"),0.0)</f>
        <v>0</v>
      </c>
      <c r="EZ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Col""&amp;COLUMN(EZ$1)&amp;""=1""))&amp;""' ORDER BY Col6 DESC LIMIT ""&amp;QUERY('Global Variables'!$A:$B, ""SELECT Col2 WHERE Col1 = 'S"&amp;"TARTING_ROSTER_SIZE'"")),0))"),0.0)</f>
        <v>0</v>
      </c>
      <c r="FA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Col""&amp;COLUMN(FA$1)&amp;""=1""))&amp;""' ORDER BY Col6 DESC LIMIT ""&amp;QUERY('Global Variables'!$A:$B, ""SELECT Col2 WHERE Col1 = 'S"&amp;"TARTING_ROSTER_SIZE'"")),0))"),0.0)</f>
        <v>0</v>
      </c>
      <c r="FB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Col""&amp;COLUMN(FB$1)&amp;""=1""))&amp;""' ORDER BY Col6 DESC LIMIT ""&amp;QUERY('Global Variables'!$A:$B, ""SELECT Col2 WHERE Col1 = 'S"&amp;"TARTING_ROSTER_SIZE'"")),0))"),0.0)</f>
        <v>0</v>
      </c>
      <c r="FC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Col""&amp;COLUMN(FC$1)&amp;""=1""))&amp;""' ORDER BY Col6 DESC LIMIT ""&amp;QUERY('Global Variables'!$A:$B, ""SELECT Col2 WHERE Col1 = 'S"&amp;"TARTING_ROSTER_SIZE'"")),0))"),0.0)</f>
        <v>0</v>
      </c>
      <c r="FD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Col""&amp;COLUMN(FD$1)&amp;""=1""))&amp;""' ORDER BY Col6 DESC LIMIT ""&amp;QUERY('Global Variables'!$A:$B, ""SELECT Col2 WHERE Col1 = 'S"&amp;"TARTING_ROSTER_SIZE'"")),0))"),0.0)</f>
        <v>0</v>
      </c>
      <c r="FE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Col""&amp;COLUMN(FE$1)&amp;""=1""))&amp;""' ORDER BY Col6 DESC LIMIT ""&amp;QUERY('Global Variables'!$A:$B, ""SELECT Col2 WHERE Col1 = 'S"&amp;"TARTING_ROSTER_SIZE'"")),0))"),0.0)</f>
        <v>0</v>
      </c>
      <c r="FF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Col""&amp;COLUMN(FF$1)&amp;""=1""))&amp;""' ORDER BY Col6 DESC LIMIT ""&amp;QUERY('Global Variables'!$A:$B, ""SELECT Col2 WHERE Col1 = 'S"&amp;"TARTING_ROSTER_SIZE'"")),0))"),0.0)</f>
        <v>0</v>
      </c>
      <c r="FG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Col""&amp;COLUMN(FG$1)&amp;""=1""))&amp;""' ORDER BY Col6 DESC LIMIT ""&amp;QUERY('Global Variables'!$A:$B, ""SELECT Col2 WHERE Col1 = 'S"&amp;"TARTING_ROSTER_SIZE'"")),0))"),0.0)</f>
        <v>0</v>
      </c>
      <c r="FH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Col""&amp;COLUMN(FH$1)&amp;""=1""))&amp;""' ORDER BY Col6 DESC LIMIT ""&amp;QUERY('Global Variables'!$A:$B, ""SELECT Col2 WHERE Col1 = 'S"&amp;"TARTING_ROSTER_SIZE'"")),0))"),0.0)</f>
        <v>0</v>
      </c>
      <c r="FI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Col""&amp;COLUMN(FI$1)&amp;""=1""))&amp;""' ORDER BY Col6 DESC LIMIT ""&amp;QUERY('Global Variables'!$A:$B, ""SELECT Col2 WHERE Col1 = 'S"&amp;"TARTING_ROSTER_SIZE'"")),0))"),0.0)</f>
        <v>0</v>
      </c>
      <c r="FJ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Col""&amp;COLUMN(FJ$1)&amp;""=1""))&amp;""' ORDER BY Col6 DESC LIMIT ""&amp;QUERY('Global Variables'!$A:$B, ""SELECT Col2 WHERE Col1 = 'S"&amp;"TARTING_ROSTER_SIZE'"")),0))"),0.0)</f>
        <v>0</v>
      </c>
      <c r="FK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Col""&amp;COLUMN(FK$1)&amp;""=1""))&amp;""' ORDER BY Col6 DESC LIMIT ""&amp;QUERY('Global Variables'!$A:$B, ""SELECT Col2 WHERE Col1 = 'S"&amp;"TARTING_ROSTER_SIZE'"")),0))"),0.0)</f>
        <v>0</v>
      </c>
      <c r="FL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Col""&amp;COLUMN(FL$1)&amp;""=1""))&amp;""' ORDER BY Col6 DESC LIMIT ""&amp;QUERY('Global Variables'!$A:$B, ""SELECT Col2 WHERE Col1 = 'S"&amp;"TARTING_ROSTER_SIZE'"")),0))"),0.0)</f>
        <v>0</v>
      </c>
      <c r="FM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Col""&amp;COLUMN(FM$1)&amp;""=1""))&amp;""' ORDER BY Col6 DESC LIMIT ""&amp;QUERY('Global Variables'!$A:$B, ""SELECT Col2 WHERE Col1 = 'S"&amp;"TARTING_ROSTER_SIZE'"")),0))"),0.0)</f>
        <v>0</v>
      </c>
      <c r="FN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Col""&amp;COLUMN(FN$1)&amp;""=1""))&amp;""' ORDER BY Col6 DESC LIMIT ""&amp;QUERY('Global Variables'!$A:$B, ""SELECT Col2 WHERE Col1 = 'S"&amp;"TARTING_ROSTER_SIZE'"")),0))"),0.0)</f>
        <v>0</v>
      </c>
      <c r="FO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Col""&amp;COLUMN(FO$1)&amp;""=1""))&amp;""' ORDER BY Col6 DESC LIMIT ""&amp;QUERY('Global Variables'!$A:$B, ""SELECT Col2 WHERE Col1 = 'S"&amp;"TARTING_ROSTER_SIZE'"")),0))"),0.0)</f>
        <v>0</v>
      </c>
      <c r="FP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Col""&amp;COLUMN(FP$1)&amp;""=1""))&amp;""' ORDER BY Col6 DESC LIMIT ""&amp;QUERY('Global Variables'!$A:$B, ""SELECT Col2 WHERE Col1 = 'S"&amp;"TARTING_ROSTER_SIZE'"")),0))"),0.0)</f>
        <v>0</v>
      </c>
      <c r="FQ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Col""&amp;COLUMN(FQ$1)&amp;""=1""))&amp;""' ORDER BY Col6 DESC LIMIT ""&amp;QUERY('Global Variables'!$A:$B, ""SELECT Col2 WHERE Col1 = 'S"&amp;"TARTING_ROSTER_SIZE'"")),0))"),0.0)</f>
        <v>0</v>
      </c>
      <c r="FR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Col""&amp;COLUMN(FR$1)&amp;""=1""))&amp;""' ORDER BY Col6 DESC LIMIT ""&amp;QUERY('Global Variables'!$A:$B, ""SELECT Col2 WHERE Col1 = 'S"&amp;"TARTING_ROSTER_SIZE'"")),0))"),0.0)</f>
        <v>0</v>
      </c>
      <c r="FS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Col""&amp;COLUMN(FS$1)&amp;""=1""))&amp;""' ORDER BY Col6 DESC LIMIT ""&amp;QUERY('Global Variables'!$A:$B, ""SELECT Col2 WHERE Col1 = 'S"&amp;"TARTING_ROSTER_SIZE'"")),0))"),0.0)</f>
        <v>0</v>
      </c>
      <c r="FT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Col""&amp;COLUMN(FT$1)&amp;""=1""))&amp;""' ORDER BY Col6 DESC LIMIT ""&amp;QUERY('Global Variables'!$A:$B, ""SELECT Col2 WHERE Col1 = 'S"&amp;"TARTING_ROSTER_SIZE'"")),0))"),0.0)</f>
        <v>0</v>
      </c>
      <c r="FU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Col""&amp;COLUMN(FU$1)&amp;""=1""))&amp;""' ORDER BY Col6 DESC LIMIT ""&amp;QUERY('Global Variables'!$A:$B, ""SELECT Col2 WHERE Col1 = 'S"&amp;"TARTING_ROSTER_SIZE'"")),0))"),0.0)</f>
        <v>0</v>
      </c>
      <c r="FV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Col""&amp;COLUMN(FV$1)&amp;""=1""))&amp;""' ORDER BY Col6 DESC LIMIT ""&amp;QUERY('Global Variables'!$A:$B, ""SELECT Col2 WHERE Col1 = 'S"&amp;"TARTING_ROSTER_SIZE'"")),0))"),0.0)</f>
        <v>0</v>
      </c>
      <c r="FW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Col""&amp;COLUMN(FW$1)&amp;""=1""))&amp;""' ORDER BY Col6 DESC LIMIT ""&amp;QUERY('Global Variables'!$A:$B, ""SELECT Col2 WHERE Col1 = 'S"&amp;"TARTING_ROSTER_SIZE'"")),0))"),0.0)</f>
        <v>0</v>
      </c>
      <c r="FX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Col""&amp;COLUMN(FX$1)&amp;""=1""))&amp;""' ORDER BY Col6 DESC LIMIT ""&amp;QUERY('Global Variables'!$A:$B, ""SELECT Col2 WHERE Col1 = 'S"&amp;"TARTING_ROSTER_SIZE'"")),0))"),0.0)</f>
        <v>0</v>
      </c>
      <c r="FY13" s="9">
        <f>IFERROR(__xludf.DUMMYFUNCTION("SUM(
IFERROR(QUERY(
IFERROR(
OFFSET(Teams!$A$1,MATCH($A13,Teams!$A:$A,0),1,QUERY('Global Variables'!$A:$B, ""SELECT Col2 WHERE Col1 = '""&amp;IF($B$21,""TEAM_SIZE"",""ACTIVE_ROSTER_SIZE"")&amp;""'""),QUERY('Global Variables'!$A:$B, ""SELECT Col2 WHERE Col1 = 'TEA"&amp;"M_DATA_FIELD_COUNT'"")),
OFFSET(Teams!$K$1,MATCH($A13,Teams!$K:$K,0),1,QUERY('Global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Col""&amp;COLUMN(FY$1)&amp;""=1""))&amp;""' ORDER BY Col6 DESC LIMIT ""&amp;QUERY('Global Variables'!$A:$B, ""SELECT Col2 WHERE Col1 = 'S"&amp;"TARTING_ROSTER_SIZE'"")),0))"),0.0)</f>
        <v>0</v>
      </c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</row>
    <row r="14">
      <c r="A14" s="32" t="str">
        <f>'Weekly EDSA'!A13</f>
        <v>Higgins</v>
      </c>
      <c r="B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Col""&amp;COLUMN(B$1)&amp;""=1""))&amp;""' ORDER BY Col6 DESC LIMIT ""&amp;QUERY('Global Variables'!$A:$B, ""SELECT Col2 WHERE Col1 = 'ST"&amp;"ARTING_ROSTER_SIZE'"")),0))"),0.0)</f>
        <v>0</v>
      </c>
      <c r="C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Col""&amp;COLUMN(C$1)&amp;""=1""))&amp;""' ORDER BY Col6 DESC LIMIT ""&amp;QUERY('Global Variables'!$A:$B, ""SELECT Col2 WHERE Col1 = 'ST"&amp;"ARTING_ROSTER_SIZE'"")),0))"),0.0)</f>
        <v>0</v>
      </c>
      <c r="D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Col""&amp;COLUMN(D$1)&amp;""=1""))&amp;""' ORDER BY Col6 DESC LIMIT ""&amp;QUERY('Global Variables'!$A:$B, ""SELECT Col2 WHERE Col1 = 'ST"&amp;"ARTING_ROSTER_SIZE'"")),0))"),0.0)</f>
        <v>0</v>
      </c>
      <c r="E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Col""&amp;COLUMN(E$1)&amp;""=1""))&amp;""' ORDER BY Col6 DESC LIMIT ""&amp;QUERY('Global Variables'!$A:$B, ""SELECT Col2 WHERE Col1 = 'ST"&amp;"ARTING_ROSTER_SIZE'"")),0))"),0.0)</f>
        <v>0</v>
      </c>
      <c r="F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Col""&amp;COLUMN(F$1)&amp;""=1""))&amp;""' ORDER BY Col6 DESC LIMIT ""&amp;QUERY('Global Variables'!$A:$B, ""SELECT Col2 WHERE Col1 = 'ST"&amp;"ARTING_ROSTER_SIZE'"")),0))"),0.0)</f>
        <v>0</v>
      </c>
      <c r="G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Col""&amp;COLUMN(G$1)&amp;""=1""))&amp;""' ORDER BY Col6 DESC LIMIT ""&amp;QUERY('Global Variables'!$A:$B, ""SELECT Col2 WHERE Col1 = 'ST"&amp;"ARTING_ROSTER_SIZE'"")),0))"),0.0)</f>
        <v>0</v>
      </c>
      <c r="H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Col""&amp;COLUMN(H$1)&amp;""=1""))&amp;""' ORDER BY Col6 DESC LIMIT ""&amp;QUERY('Global Variables'!$A:$B, ""SELECT Col2 WHERE Col1 = 'ST"&amp;"ARTING_ROSTER_SIZE'"")),0))"),0.0)</f>
        <v>0</v>
      </c>
      <c r="I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Col""&amp;COLUMN(I$1)&amp;""=1""))&amp;""' ORDER BY Col6 DESC LIMIT ""&amp;QUERY('Global Variables'!$A:$B, ""SELECT Col2 WHERE Col1 = 'ST"&amp;"ARTING_ROSTER_SIZE'"")),0))"),0.0)</f>
        <v>0</v>
      </c>
      <c r="J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Col""&amp;COLUMN(J$1)&amp;""=1""))&amp;""' ORDER BY Col6 DESC LIMIT ""&amp;QUERY('Global Variables'!$A:$B, ""SELECT Col2 WHERE Col1 = 'ST"&amp;"ARTING_ROSTER_SIZE'"")),0))"),0.0)</f>
        <v>0</v>
      </c>
      <c r="K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Col""&amp;COLUMN(K$1)&amp;""=1""))&amp;""' ORDER BY Col6 DESC LIMIT ""&amp;QUERY('Global Variables'!$A:$B, ""SELECT Col2 WHERE Col1 = 'ST"&amp;"ARTING_ROSTER_SIZE'"")),0))"),0.0)</f>
        <v>0</v>
      </c>
      <c r="L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Col""&amp;COLUMN(L$1)&amp;""=1""))&amp;""' ORDER BY Col6 DESC LIMIT ""&amp;QUERY('Global Variables'!$A:$B, ""SELECT Col2 WHERE Col1 = 'ST"&amp;"ARTING_ROSTER_SIZE'"")),0))"),0.0)</f>
        <v>0</v>
      </c>
      <c r="M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Col""&amp;COLUMN(M$1)&amp;""=1""))&amp;""' ORDER BY Col6 DESC LIMIT ""&amp;QUERY('Global Variables'!$A:$B, ""SELECT Col2 WHERE Col1 = 'ST"&amp;"ARTING_ROSTER_SIZE'"")),0))"),0.0)</f>
        <v>0</v>
      </c>
      <c r="N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Col""&amp;COLUMN(N$1)&amp;""=1""))&amp;""' ORDER BY Col6 DESC LIMIT ""&amp;QUERY('Global Variables'!$A:$B, ""SELECT Col2 WHERE Col1 = 'ST"&amp;"ARTING_ROSTER_SIZE'"")),0))"),0.0)</f>
        <v>0</v>
      </c>
      <c r="O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Col""&amp;COLUMN(O$1)&amp;""=1""))&amp;""' ORDER BY Col6 DESC LIMIT ""&amp;QUERY('Global Variables'!$A:$B, ""SELECT Col2 WHERE Col1 = 'ST"&amp;"ARTING_ROSTER_SIZE'"")),0))"),0.0)</f>
        <v>0</v>
      </c>
      <c r="P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Col""&amp;COLUMN(P$1)&amp;""=1""))&amp;""' ORDER BY Col6 DESC LIMIT ""&amp;QUERY('Global Variables'!$A:$B, ""SELECT Col2 WHERE Col1 = 'ST"&amp;"ARTING_ROSTER_SIZE'"")),0))"),0.0)</f>
        <v>0</v>
      </c>
      <c r="Q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Col""&amp;COLUMN(Q$1)&amp;""=1""))&amp;""' ORDER BY Col6 DESC LIMIT ""&amp;QUERY('Global Variables'!$A:$B, ""SELECT Col2 WHERE Col1 = 'ST"&amp;"ARTING_ROSTER_SIZE'"")),0))"),0.0)</f>
        <v>0</v>
      </c>
      <c r="R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Col""&amp;COLUMN(R$1)&amp;""=1""))&amp;""' ORDER BY Col6 DESC LIMIT ""&amp;QUERY('Global Variables'!$A:$B, ""SELECT Col2 WHERE Col1 = 'ST"&amp;"ARTING_ROSTER_SIZE'"")),0))"),0.0)</f>
        <v>0</v>
      </c>
      <c r="S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Col""&amp;COLUMN(S$1)&amp;""=1""))&amp;""' ORDER BY Col6 DESC LIMIT ""&amp;QUERY('Global Variables'!$A:$B, ""SELECT Col2 WHERE Col1 = 'ST"&amp;"ARTING_ROSTER_SIZE'"")),0))"),0.0)</f>
        <v>0</v>
      </c>
      <c r="T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Col""&amp;COLUMN(T$1)&amp;""=1""))&amp;""' ORDER BY Col6 DESC LIMIT ""&amp;QUERY('Global Variables'!$A:$B, ""SELECT Col2 WHERE Col1 = 'ST"&amp;"ARTING_ROSTER_SIZE'"")),0))"),0.0)</f>
        <v>0</v>
      </c>
      <c r="U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Col""&amp;COLUMN(U$1)&amp;""=1""))&amp;""' ORDER BY Col6 DESC LIMIT ""&amp;QUERY('Global Variables'!$A:$B, ""SELECT Col2 WHERE Col1 = 'ST"&amp;"ARTING_ROSTER_SIZE'"")),0))"),0.0)</f>
        <v>0</v>
      </c>
      <c r="V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Col""&amp;COLUMN(V$1)&amp;""=1""))&amp;""' ORDER BY Col6 DESC LIMIT ""&amp;QUERY('Global Variables'!$A:$B, ""SELECT Col2 WHERE Col1 = 'ST"&amp;"ARTING_ROSTER_SIZE'"")),0))"),0.0)</f>
        <v>0</v>
      </c>
      <c r="W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Col""&amp;COLUMN(W$1)&amp;""=1""))&amp;""' ORDER BY Col6 DESC LIMIT ""&amp;QUERY('Global Variables'!$A:$B, ""SELECT Col2 WHERE Col1 = 'ST"&amp;"ARTING_ROSTER_SIZE'"")),0))"),0.0)</f>
        <v>0</v>
      </c>
      <c r="X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Col""&amp;COLUMN(X$1)&amp;""=1""))&amp;""' ORDER BY Col6 DESC LIMIT ""&amp;QUERY('Global Variables'!$A:$B, ""SELECT Col2 WHERE Col1 = 'ST"&amp;"ARTING_ROSTER_SIZE'"")),0))"),0.0)</f>
        <v>0</v>
      </c>
      <c r="Y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Col""&amp;COLUMN(Y$1)&amp;""=1""))&amp;""' ORDER BY Col6 DESC LIMIT ""&amp;QUERY('Global Variables'!$A:$B, ""SELECT Col2 WHERE Col1 = 'ST"&amp;"ARTING_ROSTER_SIZE'"")),0))"),0.0)</f>
        <v>0</v>
      </c>
      <c r="Z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Col""&amp;COLUMN(Z$1)&amp;""=1""))&amp;""' ORDER BY Col6 DESC LIMIT ""&amp;QUERY('Global Variables'!$A:$B, ""SELECT Col2 WHERE Col1 = 'ST"&amp;"ARTING_ROSTER_SIZE'"")),0))"),0.0)</f>
        <v>0</v>
      </c>
      <c r="AA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Col""&amp;COLUMN(AA$1)&amp;""=1""))&amp;""' ORDER BY Col6 DESC LIMIT ""&amp;QUERY('Global Variables'!$A:$B, ""SELECT Col2 WHERE Col1 = 'S"&amp;"TARTING_ROSTER_SIZE'"")),0))"),0.0)</f>
        <v>0</v>
      </c>
      <c r="AB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Col""&amp;COLUMN(AB$1)&amp;""=1""))&amp;""' ORDER BY Col6 DESC LIMIT ""&amp;QUERY('Global Variables'!$A:$B, ""SELECT Col2 WHERE Col1 = 'S"&amp;"TARTING_ROSTER_SIZE'"")),0))"),0.0)</f>
        <v>0</v>
      </c>
      <c r="AC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Col""&amp;COLUMN(AC$1)&amp;""=1""))&amp;""' ORDER BY Col6 DESC LIMIT ""&amp;QUERY('Global Variables'!$A:$B, ""SELECT Col2 WHERE Col1 = 'S"&amp;"TARTING_ROSTER_SIZE'"")),0))"),0.0)</f>
        <v>0</v>
      </c>
      <c r="AD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Col""&amp;COLUMN(AD$1)&amp;""=1""))&amp;""' ORDER BY Col6 DESC LIMIT ""&amp;QUERY('Global Variables'!$A:$B, ""SELECT Col2 WHERE Col1 = 'S"&amp;"TARTING_ROSTER_SIZE'"")),0))"),0.0)</f>
        <v>0</v>
      </c>
      <c r="AE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Col""&amp;COLUMN(AE$1)&amp;""=1""))&amp;""' ORDER BY Col6 DESC LIMIT ""&amp;QUERY('Global Variables'!$A:$B, ""SELECT Col2 WHERE Col1 = 'S"&amp;"TARTING_ROSTER_SIZE'"")),0))"),0.0)</f>
        <v>0</v>
      </c>
      <c r="AF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Col""&amp;COLUMN(AF$1)&amp;""=1""))&amp;""' ORDER BY Col6 DESC LIMIT ""&amp;QUERY('Global Variables'!$A:$B, ""SELECT Col2 WHERE Col1 = 'S"&amp;"TARTING_ROSTER_SIZE'"")),0))"),0.0)</f>
        <v>0</v>
      </c>
      <c r="AG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Col""&amp;COLUMN(AG$1)&amp;""=1""))&amp;""' ORDER BY Col6 DESC LIMIT ""&amp;QUERY('Global Variables'!$A:$B, ""SELECT Col2 WHERE Col1 = 'S"&amp;"TARTING_ROSTER_SIZE'"")),0))"),0.0)</f>
        <v>0</v>
      </c>
      <c r="AH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Col""&amp;COLUMN(AH$1)&amp;""=1""))&amp;""' ORDER BY Col6 DESC LIMIT ""&amp;QUERY('Global Variables'!$A:$B, ""SELECT Col2 WHERE Col1 = 'S"&amp;"TARTING_ROSTER_SIZE'"")),0))"),0.0)</f>
        <v>0</v>
      </c>
      <c r="AI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Col""&amp;COLUMN(AI$1)&amp;""=1""))&amp;""' ORDER BY Col6 DESC LIMIT ""&amp;QUERY('Global Variables'!$A:$B, ""SELECT Col2 WHERE Col1 = 'S"&amp;"TARTING_ROSTER_SIZE'"")),0))"),0.0)</f>
        <v>0</v>
      </c>
      <c r="AJ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Col""&amp;COLUMN(AJ$1)&amp;""=1""))&amp;""' ORDER BY Col6 DESC LIMIT ""&amp;QUERY('Global Variables'!$A:$B, ""SELECT Col2 WHERE Col1 = 'S"&amp;"TARTING_ROSTER_SIZE'"")),0))"),0.0)</f>
        <v>0</v>
      </c>
      <c r="AK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Col""&amp;COLUMN(AK$1)&amp;""=1""))&amp;""' ORDER BY Col6 DESC LIMIT ""&amp;QUERY('Global Variables'!$A:$B, ""SELECT Col2 WHERE Col1 = 'S"&amp;"TARTING_ROSTER_SIZE'"")),0))"),0.0)</f>
        <v>0</v>
      </c>
      <c r="AL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Col""&amp;COLUMN(AL$1)&amp;""=1""))&amp;""' ORDER BY Col6 DESC LIMIT ""&amp;QUERY('Global Variables'!$A:$B, ""SELECT Col2 WHERE Col1 = 'S"&amp;"TARTING_ROSTER_SIZE'"")),0))"),0.0)</f>
        <v>0</v>
      </c>
      <c r="AM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Col""&amp;COLUMN(AM$1)&amp;""=1""))&amp;""' ORDER BY Col6 DESC LIMIT ""&amp;QUERY('Global Variables'!$A:$B, ""SELECT Col2 WHERE Col1 = 'S"&amp;"TARTING_ROSTER_SIZE'"")),0))"),0.0)</f>
        <v>0</v>
      </c>
      <c r="AN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Col""&amp;COLUMN(AN$1)&amp;""=1""))&amp;""' ORDER BY Col6 DESC LIMIT ""&amp;QUERY('Global Variables'!$A:$B, ""SELECT Col2 WHERE Col1 = 'S"&amp;"TARTING_ROSTER_SIZE'"")),0))"),0.0)</f>
        <v>0</v>
      </c>
      <c r="AO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Col""&amp;COLUMN(AO$1)&amp;""=1""))&amp;""' ORDER BY Col6 DESC LIMIT ""&amp;QUERY('Global Variables'!$A:$B, ""SELECT Col2 WHERE Col1 = 'S"&amp;"TARTING_ROSTER_SIZE'"")),0))"),0.0)</f>
        <v>0</v>
      </c>
      <c r="AP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Col""&amp;COLUMN(AP$1)&amp;""=1""))&amp;""' ORDER BY Col6 DESC LIMIT ""&amp;QUERY('Global Variables'!$A:$B, ""SELECT Col2 WHERE Col1 = 'S"&amp;"TARTING_ROSTER_SIZE'"")),0))"),0.0)</f>
        <v>0</v>
      </c>
      <c r="AQ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Col""&amp;COLUMN(AQ$1)&amp;""=1""))&amp;""' ORDER BY Col6 DESC LIMIT ""&amp;QUERY('Global Variables'!$A:$B, ""SELECT Col2 WHERE Col1 = 'S"&amp;"TARTING_ROSTER_SIZE'"")),0))"),0.0)</f>
        <v>0</v>
      </c>
      <c r="AR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Col""&amp;COLUMN(AR$1)&amp;""=1""))&amp;""' ORDER BY Col6 DESC LIMIT ""&amp;QUERY('Global Variables'!$A:$B, ""SELECT Col2 WHERE Col1 = 'S"&amp;"TARTING_ROSTER_SIZE'"")),0))"),0.0)</f>
        <v>0</v>
      </c>
      <c r="AS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Col""&amp;COLUMN(AS$1)&amp;""=1""))&amp;""' ORDER BY Col6 DESC LIMIT ""&amp;QUERY('Global Variables'!$A:$B, ""SELECT Col2 WHERE Col1 = 'S"&amp;"TARTING_ROSTER_SIZE'"")),0))"),0.0)</f>
        <v>0</v>
      </c>
      <c r="AT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Col""&amp;COLUMN(AT$1)&amp;""=1""))&amp;""' ORDER BY Col6 DESC LIMIT ""&amp;QUERY('Global Variables'!$A:$B, ""SELECT Col2 WHERE Col1 = 'S"&amp;"TARTING_ROSTER_SIZE'"")),0))"),0.0)</f>
        <v>0</v>
      </c>
      <c r="AU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Col""&amp;COLUMN(AU$1)&amp;""=1""))&amp;""' ORDER BY Col6 DESC LIMIT ""&amp;QUERY('Global Variables'!$A:$B, ""SELECT Col2 WHERE Col1 = 'S"&amp;"TARTING_ROSTER_SIZE'"")),0))"),0.0)</f>
        <v>0</v>
      </c>
      <c r="AV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Col""&amp;COLUMN(AV$1)&amp;""=1""))&amp;""' ORDER BY Col6 DESC LIMIT ""&amp;QUERY('Global Variables'!$A:$B, ""SELECT Col2 WHERE Col1 = 'S"&amp;"TARTING_ROSTER_SIZE'"")),0))"),0.0)</f>
        <v>0</v>
      </c>
      <c r="AW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Col""&amp;COLUMN(AW$1)&amp;""=1""))&amp;""' ORDER BY Col6 DESC LIMIT ""&amp;QUERY('Global Variables'!$A:$B, ""SELECT Col2 WHERE Col1 = 'S"&amp;"TARTING_ROSTER_SIZE'"")),0))"),0.0)</f>
        <v>0</v>
      </c>
      <c r="AX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Col""&amp;COLUMN(AX$1)&amp;""=1""))&amp;""' ORDER BY Col6 DESC LIMIT ""&amp;QUERY('Global Variables'!$A:$B, ""SELECT Col2 WHERE Col1 = 'S"&amp;"TARTING_ROSTER_SIZE'"")),0))"),0.0)</f>
        <v>0</v>
      </c>
      <c r="AY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Col""&amp;COLUMN(AY$1)&amp;""=1""))&amp;""' ORDER BY Col6 DESC LIMIT ""&amp;QUERY('Global Variables'!$A:$B, ""SELECT Col2 WHERE Col1 = 'S"&amp;"TARTING_ROSTER_SIZE'"")),0))"),0.0)</f>
        <v>0</v>
      </c>
      <c r="AZ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Col""&amp;COLUMN(AZ$1)&amp;""=1""))&amp;""' ORDER BY Col6 DESC LIMIT ""&amp;QUERY('Global Variables'!$A:$B, ""SELECT Col2 WHERE Col1 = 'S"&amp;"TARTING_ROSTER_SIZE'"")),0))"),0.0)</f>
        <v>0</v>
      </c>
      <c r="BA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Col""&amp;COLUMN(BA$1)&amp;""=1""))&amp;""' ORDER BY Col6 DESC LIMIT ""&amp;QUERY('Global Variables'!$A:$B, ""SELECT Col2 WHERE Col1 = 'S"&amp;"TARTING_ROSTER_SIZE'"")),0))"),0.0)</f>
        <v>0</v>
      </c>
      <c r="BB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Col""&amp;COLUMN(BB$1)&amp;""=1""))&amp;""' ORDER BY Col6 DESC LIMIT ""&amp;QUERY('Global Variables'!$A:$B, ""SELECT Col2 WHERE Col1 = 'S"&amp;"TARTING_ROSTER_SIZE'"")),0))"),0.0)</f>
        <v>0</v>
      </c>
      <c r="BC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Col""&amp;COLUMN(BC$1)&amp;""=1""))&amp;""' ORDER BY Col6 DESC LIMIT ""&amp;QUERY('Global Variables'!$A:$B, ""SELECT Col2 WHERE Col1 = 'S"&amp;"TARTING_ROSTER_SIZE'"")),0))"),0.0)</f>
        <v>0</v>
      </c>
      <c r="BD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Col""&amp;COLUMN(BD$1)&amp;""=1""))&amp;""' ORDER BY Col6 DESC LIMIT ""&amp;QUERY('Global Variables'!$A:$B, ""SELECT Col2 WHERE Col1 = 'S"&amp;"TARTING_ROSTER_SIZE'"")),0))"),0.0)</f>
        <v>0</v>
      </c>
      <c r="BE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Col""&amp;COLUMN(BE$1)&amp;""=1""))&amp;""' ORDER BY Col6 DESC LIMIT ""&amp;QUERY('Global Variables'!$A:$B, ""SELECT Col2 WHERE Col1 = 'S"&amp;"TARTING_ROSTER_SIZE'"")),0))"),0.0)</f>
        <v>0</v>
      </c>
      <c r="BF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Col""&amp;COLUMN(BF$1)&amp;""=1""))&amp;""' ORDER BY Col6 DESC LIMIT ""&amp;QUERY('Global Variables'!$A:$B, ""SELECT Col2 WHERE Col1 = 'S"&amp;"TARTING_ROSTER_SIZE'"")),0))"),0.0)</f>
        <v>0</v>
      </c>
      <c r="BG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Col""&amp;COLUMN(BG$1)&amp;""=1""))&amp;""' ORDER BY Col6 DESC LIMIT ""&amp;QUERY('Global Variables'!$A:$B, ""SELECT Col2 WHERE Col1 = 'S"&amp;"TARTING_ROSTER_SIZE'"")),0))"),0.0)</f>
        <v>0</v>
      </c>
      <c r="BH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Col""&amp;COLUMN(BH$1)&amp;""=1""))&amp;""' ORDER BY Col6 DESC LIMIT ""&amp;QUERY('Global Variables'!$A:$B, ""SELECT Col2 WHERE Col1 = 'S"&amp;"TARTING_ROSTER_SIZE'"")),0))"),0.0)</f>
        <v>0</v>
      </c>
      <c r="BI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Col""&amp;COLUMN(BI$1)&amp;""=1""))&amp;""' ORDER BY Col6 DESC LIMIT ""&amp;QUERY('Global Variables'!$A:$B, ""SELECT Col2 WHERE Col1 = 'S"&amp;"TARTING_ROSTER_SIZE'"")),0))"),0.0)</f>
        <v>0</v>
      </c>
      <c r="BJ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Col""&amp;COLUMN(BJ$1)&amp;""=1""))&amp;""' ORDER BY Col6 DESC LIMIT ""&amp;QUERY('Global Variables'!$A:$B, ""SELECT Col2 WHERE Col1 = 'S"&amp;"TARTING_ROSTER_SIZE'"")),0))"),0.0)</f>
        <v>0</v>
      </c>
      <c r="BK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Col""&amp;COLUMN(BK$1)&amp;""=1""))&amp;""' ORDER BY Col6 DESC LIMIT ""&amp;QUERY('Global Variables'!$A:$B, ""SELECT Col2 WHERE Col1 = 'S"&amp;"TARTING_ROSTER_SIZE'"")),0))"),0.0)</f>
        <v>0</v>
      </c>
      <c r="BL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Col""&amp;COLUMN(BL$1)&amp;""=1""))&amp;""' ORDER BY Col6 DESC LIMIT ""&amp;QUERY('Global Variables'!$A:$B, ""SELECT Col2 WHERE Col1 = 'S"&amp;"TARTING_ROSTER_SIZE'"")),0))"),0.0)</f>
        <v>0</v>
      </c>
      <c r="BM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Col""&amp;COLUMN(BM$1)&amp;""=1""))&amp;""' ORDER BY Col6 DESC LIMIT ""&amp;QUERY('Global Variables'!$A:$B, ""SELECT Col2 WHERE Col1 = 'S"&amp;"TARTING_ROSTER_SIZE'"")),0))"),0.0)</f>
        <v>0</v>
      </c>
      <c r="BN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Col""&amp;COLUMN(BN$1)&amp;""=1""))&amp;""' ORDER BY Col6 DESC LIMIT ""&amp;QUERY('Global Variables'!$A:$B, ""SELECT Col2 WHERE Col1 = 'S"&amp;"TARTING_ROSTER_SIZE'"")),0))"),0.0)</f>
        <v>0</v>
      </c>
      <c r="BO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Col""&amp;COLUMN(BO$1)&amp;""=1""))&amp;""' ORDER BY Col6 DESC LIMIT ""&amp;QUERY('Global Variables'!$A:$B, ""SELECT Col2 WHERE Col1 = 'S"&amp;"TARTING_ROSTER_SIZE'"")),0))"),0.0)</f>
        <v>0</v>
      </c>
      <c r="BP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Col""&amp;COLUMN(BP$1)&amp;""=1""))&amp;""' ORDER BY Col6 DESC LIMIT ""&amp;QUERY('Global Variables'!$A:$B, ""SELECT Col2 WHERE Col1 = 'S"&amp;"TARTING_ROSTER_SIZE'"")),0))"),0.0)</f>
        <v>0</v>
      </c>
      <c r="BQ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Col""&amp;COLUMN(BQ$1)&amp;""=1""))&amp;""' ORDER BY Col6 DESC LIMIT ""&amp;QUERY('Global Variables'!$A:$B, ""SELECT Col2 WHERE Col1 = 'S"&amp;"TARTING_ROSTER_SIZE'"")),0))"),0.0)</f>
        <v>0</v>
      </c>
      <c r="BR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Col""&amp;COLUMN(BR$1)&amp;""=1""))&amp;""' ORDER BY Col6 DESC LIMIT ""&amp;QUERY('Global Variables'!$A:$B, ""SELECT Col2 WHERE Col1 = 'S"&amp;"TARTING_ROSTER_SIZE'"")),0))"),0.0)</f>
        <v>0</v>
      </c>
      <c r="BS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Col""&amp;COLUMN(BS$1)&amp;""=1""))&amp;""' ORDER BY Col6 DESC LIMIT ""&amp;QUERY('Global Variables'!$A:$B, ""SELECT Col2 WHERE Col1 = 'S"&amp;"TARTING_ROSTER_SIZE'"")),0))"),0.0)</f>
        <v>0</v>
      </c>
      <c r="BT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Col""&amp;COLUMN(BT$1)&amp;""=1""))&amp;""' ORDER BY Col6 DESC LIMIT ""&amp;QUERY('Global Variables'!$A:$B, ""SELECT Col2 WHERE Col1 = 'S"&amp;"TARTING_ROSTER_SIZE'"")),0))"),0.0)</f>
        <v>0</v>
      </c>
      <c r="BU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Col""&amp;COLUMN(BU$1)&amp;""=1""))&amp;""' ORDER BY Col6 DESC LIMIT ""&amp;QUERY('Global Variables'!$A:$B, ""SELECT Col2 WHERE Col1 = 'S"&amp;"TARTING_ROSTER_SIZE'"")),0))"),0.0)</f>
        <v>0</v>
      </c>
      <c r="BV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Col""&amp;COLUMN(BV$1)&amp;""=1""))&amp;""' ORDER BY Col6 DESC LIMIT ""&amp;QUERY('Global Variables'!$A:$B, ""SELECT Col2 WHERE Col1 = 'S"&amp;"TARTING_ROSTER_SIZE'"")),0))"),0.0)</f>
        <v>0</v>
      </c>
      <c r="BW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Col""&amp;COLUMN(BW$1)&amp;""=1""))&amp;""' ORDER BY Col6 DESC LIMIT ""&amp;QUERY('Global Variables'!$A:$B, ""SELECT Col2 WHERE Col1 = 'S"&amp;"TARTING_ROSTER_SIZE'"")),0))"),0.0)</f>
        <v>0</v>
      </c>
      <c r="BX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Col""&amp;COLUMN(BX$1)&amp;""=1""))&amp;""' ORDER BY Col6 DESC LIMIT ""&amp;QUERY('Global Variables'!$A:$B, ""SELECT Col2 WHERE Col1 = 'S"&amp;"TARTING_ROSTER_SIZE'"")),0))"),0.0)</f>
        <v>0</v>
      </c>
      <c r="BY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Col""&amp;COLUMN(BY$1)&amp;""=1""))&amp;""' ORDER BY Col6 DESC LIMIT ""&amp;QUERY('Global Variables'!$A:$B, ""SELECT Col2 WHERE Col1 = 'S"&amp;"TARTING_ROSTER_SIZE'"")),0))"),0.0)</f>
        <v>0</v>
      </c>
      <c r="BZ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Col""&amp;COLUMN(BZ$1)&amp;""=1""))&amp;""' ORDER BY Col6 DESC LIMIT ""&amp;QUERY('Global Variables'!$A:$B, ""SELECT Col2 WHERE Col1 = 'S"&amp;"TARTING_ROSTER_SIZE'"")),0))"),0.0)</f>
        <v>0</v>
      </c>
      <c r="CA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Col""&amp;COLUMN(CA$1)&amp;""=1""))&amp;""' ORDER BY Col6 DESC LIMIT ""&amp;QUERY('Global Variables'!$A:$B, ""SELECT Col2 WHERE Col1 = 'S"&amp;"TARTING_ROSTER_SIZE'"")),0))"),0.0)</f>
        <v>0</v>
      </c>
      <c r="CB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Col""&amp;COLUMN(CB$1)&amp;""=1""))&amp;""' ORDER BY Col6 DESC LIMIT ""&amp;QUERY('Global Variables'!$A:$B, ""SELECT Col2 WHERE Col1 = 'S"&amp;"TARTING_ROSTER_SIZE'"")),0))"),0.0)</f>
        <v>0</v>
      </c>
      <c r="CC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Col""&amp;COLUMN(CC$1)&amp;""=1""))&amp;""' ORDER BY Col6 DESC LIMIT ""&amp;QUERY('Global Variables'!$A:$B, ""SELECT Col2 WHERE Col1 = 'S"&amp;"TARTING_ROSTER_SIZE'"")),0))"),0.0)</f>
        <v>0</v>
      </c>
      <c r="CD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Col""&amp;COLUMN(CD$1)&amp;""=1""))&amp;""' ORDER BY Col6 DESC LIMIT ""&amp;QUERY('Global Variables'!$A:$B, ""SELECT Col2 WHERE Col1 = 'S"&amp;"TARTING_ROSTER_SIZE'"")),0))"),0.0)</f>
        <v>0</v>
      </c>
      <c r="CE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Col""&amp;COLUMN(CE$1)&amp;""=1""))&amp;""' ORDER BY Col6 DESC LIMIT ""&amp;QUERY('Global Variables'!$A:$B, ""SELECT Col2 WHERE Col1 = 'S"&amp;"TARTING_ROSTER_SIZE'"")),0))"),0.0)</f>
        <v>0</v>
      </c>
      <c r="CF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Col""&amp;COLUMN(CF$1)&amp;""=1""))&amp;""' ORDER BY Col6 DESC LIMIT ""&amp;QUERY('Global Variables'!$A:$B, ""SELECT Col2 WHERE Col1 = 'S"&amp;"TARTING_ROSTER_SIZE'"")),0))"),0.0)</f>
        <v>0</v>
      </c>
      <c r="CG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Col""&amp;COLUMN(CG$1)&amp;""=1""))&amp;""' ORDER BY Col6 DESC LIMIT ""&amp;QUERY('Global Variables'!$A:$B, ""SELECT Col2 WHERE Col1 = 'S"&amp;"TARTING_ROSTER_SIZE'"")),0))"),0.0)</f>
        <v>0</v>
      </c>
      <c r="CH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Col""&amp;COLUMN(CH$1)&amp;""=1""))&amp;""' ORDER BY Col6 DESC LIMIT ""&amp;QUERY('Global Variables'!$A:$B, ""SELECT Col2 WHERE Col1 = 'S"&amp;"TARTING_ROSTER_SIZE'"")),0))"),0.0)</f>
        <v>0</v>
      </c>
      <c r="CI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Col""&amp;COLUMN(CI$1)&amp;""=1""))&amp;""' ORDER BY Col6 DESC LIMIT ""&amp;QUERY('Global Variables'!$A:$B, ""SELECT Col2 WHERE Col1 = 'S"&amp;"TARTING_ROSTER_SIZE'"")),0))"),0.0)</f>
        <v>0</v>
      </c>
      <c r="CJ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Col""&amp;COLUMN(CJ$1)&amp;""=1""))&amp;""' ORDER BY Col6 DESC LIMIT ""&amp;QUERY('Global Variables'!$A:$B, ""SELECT Col2 WHERE Col1 = 'S"&amp;"TARTING_ROSTER_SIZE'"")),0))"),0.0)</f>
        <v>0</v>
      </c>
      <c r="CK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Col""&amp;COLUMN(CK$1)&amp;""=1""))&amp;""' ORDER BY Col6 DESC LIMIT ""&amp;QUERY('Global Variables'!$A:$B, ""SELECT Col2 WHERE Col1 = 'S"&amp;"TARTING_ROSTER_SIZE'"")),0))"),0.0)</f>
        <v>0</v>
      </c>
      <c r="CL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Col""&amp;COLUMN(CL$1)&amp;""=1""))&amp;""' ORDER BY Col6 DESC LIMIT ""&amp;QUERY('Global Variables'!$A:$B, ""SELECT Col2 WHERE Col1 = 'S"&amp;"TARTING_ROSTER_SIZE'"")),0))"),0.0)</f>
        <v>0</v>
      </c>
      <c r="CM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Col""&amp;COLUMN(CM$1)&amp;""=1""))&amp;""' ORDER BY Col6 DESC LIMIT ""&amp;QUERY('Global Variables'!$A:$B, ""SELECT Col2 WHERE Col1 = 'S"&amp;"TARTING_ROSTER_SIZE'"")),0))"),0.0)</f>
        <v>0</v>
      </c>
      <c r="CN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Col""&amp;COLUMN(CN$1)&amp;""=1""))&amp;""' ORDER BY Col6 DESC LIMIT ""&amp;QUERY('Global Variables'!$A:$B, ""SELECT Col2 WHERE Col1 = 'S"&amp;"TARTING_ROSTER_SIZE'"")),0))"),0.0)</f>
        <v>0</v>
      </c>
      <c r="CO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Col""&amp;COLUMN(CO$1)&amp;""=1""))&amp;""' ORDER BY Col6 DESC LIMIT ""&amp;QUERY('Global Variables'!$A:$B, ""SELECT Col2 WHERE Col1 = 'S"&amp;"TARTING_ROSTER_SIZE'"")),0))"),0.0)</f>
        <v>0</v>
      </c>
      <c r="CP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Col""&amp;COLUMN(CP$1)&amp;""=1""))&amp;""' ORDER BY Col6 DESC LIMIT ""&amp;QUERY('Global Variables'!$A:$B, ""SELECT Col2 WHERE Col1 = 'S"&amp;"TARTING_ROSTER_SIZE'"")),0))"),0.0)</f>
        <v>0</v>
      </c>
      <c r="CQ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Col""&amp;COLUMN(CQ$1)&amp;""=1""))&amp;""' ORDER BY Col6 DESC LIMIT ""&amp;QUERY('Global Variables'!$A:$B, ""SELECT Col2 WHERE Col1 = 'S"&amp;"TARTING_ROSTER_SIZE'"")),0))"),0.0)</f>
        <v>0</v>
      </c>
      <c r="CR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Col""&amp;COLUMN(CR$1)&amp;""=1""))&amp;""' ORDER BY Col6 DESC LIMIT ""&amp;QUERY('Global Variables'!$A:$B, ""SELECT Col2 WHERE Col1 = 'S"&amp;"TARTING_ROSTER_SIZE'"")),0))"),0.0)</f>
        <v>0</v>
      </c>
      <c r="CS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Col""&amp;COLUMN(CS$1)&amp;""=1""))&amp;""' ORDER BY Col6 DESC LIMIT ""&amp;QUERY('Global Variables'!$A:$B, ""SELECT Col2 WHERE Col1 = 'S"&amp;"TARTING_ROSTER_SIZE'"")),0))"),0.0)</f>
        <v>0</v>
      </c>
      <c r="CT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Col""&amp;COLUMN(CT$1)&amp;""=1""))&amp;""' ORDER BY Col6 DESC LIMIT ""&amp;QUERY('Global Variables'!$A:$B, ""SELECT Col2 WHERE Col1 = 'S"&amp;"TARTING_ROSTER_SIZE'"")),0))"),0.0)</f>
        <v>0</v>
      </c>
      <c r="CU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Col""&amp;COLUMN(CU$1)&amp;""=1""))&amp;""' ORDER BY Col6 DESC LIMIT ""&amp;QUERY('Global Variables'!$A:$B, ""SELECT Col2 WHERE Col1 = 'S"&amp;"TARTING_ROSTER_SIZE'"")),0))"),0.0)</f>
        <v>0</v>
      </c>
      <c r="CV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Col""&amp;COLUMN(CV$1)&amp;""=1""))&amp;""' ORDER BY Col6 DESC LIMIT ""&amp;QUERY('Global Variables'!$A:$B, ""SELECT Col2 WHERE Col1 = 'S"&amp;"TARTING_ROSTER_SIZE'"")),0))"),0.0)</f>
        <v>0</v>
      </c>
      <c r="CW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Col""&amp;COLUMN(CW$1)&amp;""=1""))&amp;""' ORDER BY Col6 DESC LIMIT ""&amp;QUERY('Global Variables'!$A:$B, ""SELECT Col2 WHERE Col1 = 'S"&amp;"TARTING_ROSTER_SIZE'"")),0))"),0.0)</f>
        <v>0</v>
      </c>
      <c r="CX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Col""&amp;COLUMN(CX$1)&amp;""=1""))&amp;""' ORDER BY Col6 DESC LIMIT ""&amp;QUERY('Global Variables'!$A:$B, ""SELECT Col2 WHERE Col1 = 'S"&amp;"TARTING_ROSTER_SIZE'"")),0))"),0.0)</f>
        <v>0</v>
      </c>
      <c r="CY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Col""&amp;COLUMN(CY$1)&amp;""=1""))&amp;""' ORDER BY Col6 DESC LIMIT ""&amp;QUERY('Global Variables'!$A:$B, ""SELECT Col2 WHERE Col1 = 'S"&amp;"TARTING_ROSTER_SIZE'"")),0))"),0.0)</f>
        <v>0</v>
      </c>
      <c r="CZ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Col""&amp;COLUMN(CZ$1)&amp;""=1""))&amp;""' ORDER BY Col6 DESC LIMIT ""&amp;QUERY('Global Variables'!$A:$B, ""SELECT Col2 WHERE Col1 = 'S"&amp;"TARTING_ROSTER_SIZE'"")),0))"),0.0)</f>
        <v>0</v>
      </c>
      <c r="DA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Col""&amp;COLUMN(DA$1)&amp;""=1""))&amp;""' ORDER BY Col6 DESC LIMIT ""&amp;QUERY('Global Variables'!$A:$B, ""SELECT Col2 WHERE Col1 = 'S"&amp;"TARTING_ROSTER_SIZE'"")),0))"),0.0)</f>
        <v>0</v>
      </c>
      <c r="DB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Col""&amp;COLUMN(DB$1)&amp;""=1""))&amp;""' ORDER BY Col6 DESC LIMIT ""&amp;QUERY('Global Variables'!$A:$B, ""SELECT Col2 WHERE Col1 = 'S"&amp;"TARTING_ROSTER_SIZE'"")),0))"),0.0)</f>
        <v>0</v>
      </c>
      <c r="DC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Col""&amp;COLUMN(DC$1)&amp;""=1""))&amp;""' ORDER BY Col6 DESC LIMIT ""&amp;QUERY('Global Variables'!$A:$B, ""SELECT Col2 WHERE Col1 = 'S"&amp;"TARTING_ROSTER_SIZE'"")),0))"),0.0)</f>
        <v>0</v>
      </c>
      <c r="DD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Col""&amp;COLUMN(DD$1)&amp;""=1""))&amp;""' ORDER BY Col6 DESC LIMIT ""&amp;QUERY('Global Variables'!$A:$B, ""SELECT Col2 WHERE Col1 = 'S"&amp;"TARTING_ROSTER_SIZE'"")),0))"),0.0)</f>
        <v>0</v>
      </c>
      <c r="DE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Col""&amp;COLUMN(DE$1)&amp;""=1""))&amp;""' ORDER BY Col6 DESC LIMIT ""&amp;QUERY('Global Variables'!$A:$B, ""SELECT Col2 WHERE Col1 = 'S"&amp;"TARTING_ROSTER_SIZE'"")),0))"),0.0)</f>
        <v>0</v>
      </c>
      <c r="DF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Col""&amp;COLUMN(DF$1)&amp;""=1""))&amp;""' ORDER BY Col6 DESC LIMIT ""&amp;QUERY('Global Variables'!$A:$B, ""SELECT Col2 WHERE Col1 = 'S"&amp;"TARTING_ROSTER_SIZE'"")),0))"),0.0)</f>
        <v>0</v>
      </c>
      <c r="DG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Col""&amp;COLUMN(DG$1)&amp;""=1""))&amp;""' ORDER BY Col6 DESC LIMIT ""&amp;QUERY('Global Variables'!$A:$B, ""SELECT Col2 WHERE Col1 = 'S"&amp;"TARTING_ROSTER_SIZE'"")),0))"),0.0)</f>
        <v>0</v>
      </c>
      <c r="DH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Col""&amp;COLUMN(DH$1)&amp;""=1""))&amp;""' ORDER BY Col6 DESC LIMIT ""&amp;QUERY('Global Variables'!$A:$B, ""SELECT Col2 WHERE Col1 = 'S"&amp;"TARTING_ROSTER_SIZE'"")),0))"),0.0)</f>
        <v>0</v>
      </c>
      <c r="DI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Col""&amp;COLUMN(DI$1)&amp;""=1""))&amp;""' ORDER BY Col6 DESC LIMIT ""&amp;QUERY('Global Variables'!$A:$B, ""SELECT Col2 WHERE Col1 = 'S"&amp;"TARTING_ROSTER_SIZE'"")),0))"),0.0)</f>
        <v>0</v>
      </c>
      <c r="DJ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Col""&amp;COLUMN(DJ$1)&amp;""=1""))&amp;""' ORDER BY Col6 DESC LIMIT ""&amp;QUERY('Global Variables'!$A:$B, ""SELECT Col2 WHERE Col1 = 'S"&amp;"TARTING_ROSTER_SIZE'"")),0))"),0.0)</f>
        <v>0</v>
      </c>
      <c r="DK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Col""&amp;COLUMN(DK$1)&amp;""=1""))&amp;""' ORDER BY Col6 DESC LIMIT ""&amp;QUERY('Global Variables'!$A:$B, ""SELECT Col2 WHERE Col1 = 'S"&amp;"TARTING_ROSTER_SIZE'"")),0))"),0.0)</f>
        <v>0</v>
      </c>
      <c r="DL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Col""&amp;COLUMN(DL$1)&amp;""=1""))&amp;""' ORDER BY Col6 DESC LIMIT ""&amp;QUERY('Global Variables'!$A:$B, ""SELECT Col2 WHERE Col1 = 'S"&amp;"TARTING_ROSTER_SIZE'"")),0))"),0.0)</f>
        <v>0</v>
      </c>
      <c r="DM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Col""&amp;COLUMN(DM$1)&amp;""=1""))&amp;""' ORDER BY Col6 DESC LIMIT ""&amp;QUERY('Global Variables'!$A:$B, ""SELECT Col2 WHERE Col1 = 'S"&amp;"TARTING_ROSTER_SIZE'"")),0))"),0.0)</f>
        <v>0</v>
      </c>
      <c r="DN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Col""&amp;COLUMN(DN$1)&amp;""=1""))&amp;""' ORDER BY Col6 DESC LIMIT ""&amp;QUERY('Global Variables'!$A:$B, ""SELECT Col2 WHERE Col1 = 'S"&amp;"TARTING_ROSTER_SIZE'"")),0))"),0.0)</f>
        <v>0</v>
      </c>
      <c r="DO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Col""&amp;COLUMN(DO$1)&amp;""=1""))&amp;""' ORDER BY Col6 DESC LIMIT ""&amp;QUERY('Global Variables'!$A:$B, ""SELECT Col2 WHERE Col1 = 'S"&amp;"TARTING_ROSTER_SIZE'"")),0))"),0.0)</f>
        <v>0</v>
      </c>
      <c r="DP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Col""&amp;COLUMN(DP$1)&amp;""=1""))&amp;""' ORDER BY Col6 DESC LIMIT ""&amp;QUERY('Global Variables'!$A:$B, ""SELECT Col2 WHERE Col1 = 'S"&amp;"TARTING_ROSTER_SIZE'"")),0))"),0.0)</f>
        <v>0</v>
      </c>
      <c r="DQ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Col""&amp;COLUMN(DQ$1)&amp;""=1""))&amp;""' ORDER BY Col6 DESC LIMIT ""&amp;QUERY('Global Variables'!$A:$B, ""SELECT Col2 WHERE Col1 = 'S"&amp;"TARTING_ROSTER_SIZE'"")),0))"),0.0)</f>
        <v>0</v>
      </c>
      <c r="DR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Col""&amp;COLUMN(DR$1)&amp;""=1""))&amp;""' ORDER BY Col6 DESC LIMIT ""&amp;QUERY('Global Variables'!$A:$B, ""SELECT Col2 WHERE Col1 = 'S"&amp;"TARTING_ROSTER_SIZE'"")),0))"),0.0)</f>
        <v>0</v>
      </c>
      <c r="DS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Col""&amp;COLUMN(DS$1)&amp;""=1""))&amp;""' ORDER BY Col6 DESC LIMIT ""&amp;QUERY('Global Variables'!$A:$B, ""SELECT Col2 WHERE Col1 = 'S"&amp;"TARTING_ROSTER_SIZE'"")),0))"),0.0)</f>
        <v>0</v>
      </c>
      <c r="DT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Col""&amp;COLUMN(DT$1)&amp;""=1""))&amp;""' ORDER BY Col6 DESC LIMIT ""&amp;QUERY('Global Variables'!$A:$B, ""SELECT Col2 WHERE Col1 = 'S"&amp;"TARTING_ROSTER_SIZE'"")),0))"),0.0)</f>
        <v>0</v>
      </c>
      <c r="DU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Col""&amp;COLUMN(DU$1)&amp;""=1""))&amp;""' ORDER BY Col6 DESC LIMIT ""&amp;QUERY('Global Variables'!$A:$B, ""SELECT Col2 WHERE Col1 = 'S"&amp;"TARTING_ROSTER_SIZE'"")),0))"),0.0)</f>
        <v>0</v>
      </c>
      <c r="DV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Col""&amp;COLUMN(DV$1)&amp;""=1""))&amp;""' ORDER BY Col6 DESC LIMIT ""&amp;QUERY('Global Variables'!$A:$B, ""SELECT Col2 WHERE Col1 = 'S"&amp;"TARTING_ROSTER_SIZE'"")),0))"),0.0)</f>
        <v>0</v>
      </c>
      <c r="DW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Col""&amp;COLUMN(DW$1)&amp;""=1""))&amp;""' ORDER BY Col6 DESC LIMIT ""&amp;QUERY('Global Variables'!$A:$B, ""SELECT Col2 WHERE Col1 = 'S"&amp;"TARTING_ROSTER_SIZE'"")),0))"),0.0)</f>
        <v>0</v>
      </c>
      <c r="DX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Col""&amp;COLUMN(DX$1)&amp;""=1""))&amp;""' ORDER BY Col6 DESC LIMIT ""&amp;QUERY('Global Variables'!$A:$B, ""SELECT Col2 WHERE Col1 = 'S"&amp;"TARTING_ROSTER_SIZE'"")),0))"),0.0)</f>
        <v>0</v>
      </c>
      <c r="DY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Col""&amp;COLUMN(DY$1)&amp;""=1""))&amp;""' ORDER BY Col6 DESC LIMIT ""&amp;QUERY('Global Variables'!$A:$B, ""SELECT Col2 WHERE Col1 = 'S"&amp;"TARTING_ROSTER_SIZE'"")),0))"),0.0)</f>
        <v>0</v>
      </c>
      <c r="DZ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Col""&amp;COLUMN(DZ$1)&amp;""=1""))&amp;""' ORDER BY Col6 DESC LIMIT ""&amp;QUERY('Global Variables'!$A:$B, ""SELECT Col2 WHERE Col1 = 'S"&amp;"TARTING_ROSTER_SIZE'"")),0))"),0.0)</f>
        <v>0</v>
      </c>
      <c r="EA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Col""&amp;COLUMN(EA$1)&amp;""=1""))&amp;""' ORDER BY Col6 DESC LIMIT ""&amp;QUERY('Global Variables'!$A:$B, ""SELECT Col2 WHERE Col1 = 'S"&amp;"TARTING_ROSTER_SIZE'"")),0))"),0.0)</f>
        <v>0</v>
      </c>
      <c r="EB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Col""&amp;COLUMN(EB$1)&amp;""=1""))&amp;""' ORDER BY Col6 DESC LIMIT ""&amp;QUERY('Global Variables'!$A:$B, ""SELECT Col2 WHERE Col1 = 'S"&amp;"TARTING_ROSTER_SIZE'"")),0))"),0.0)</f>
        <v>0</v>
      </c>
      <c r="EC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Col""&amp;COLUMN(EC$1)&amp;""=1""))&amp;""' ORDER BY Col6 DESC LIMIT ""&amp;QUERY('Global Variables'!$A:$B, ""SELECT Col2 WHERE Col1 = 'S"&amp;"TARTING_ROSTER_SIZE'"")),0))"),0.0)</f>
        <v>0</v>
      </c>
      <c r="ED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Col""&amp;COLUMN(ED$1)&amp;""=1""))&amp;""' ORDER BY Col6 DESC LIMIT ""&amp;QUERY('Global Variables'!$A:$B, ""SELECT Col2 WHERE Col1 = 'S"&amp;"TARTING_ROSTER_SIZE'"")),0))"),0.0)</f>
        <v>0</v>
      </c>
      <c r="EE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Col""&amp;COLUMN(EE$1)&amp;""=1""))&amp;""' ORDER BY Col6 DESC LIMIT ""&amp;QUERY('Global Variables'!$A:$B, ""SELECT Col2 WHERE Col1 = 'S"&amp;"TARTING_ROSTER_SIZE'"")),0))"),0.0)</f>
        <v>0</v>
      </c>
      <c r="EF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Col""&amp;COLUMN(EF$1)&amp;""=1""))&amp;""' ORDER BY Col6 DESC LIMIT ""&amp;QUERY('Global Variables'!$A:$B, ""SELECT Col2 WHERE Col1 = 'S"&amp;"TARTING_ROSTER_SIZE'"")),0))"),0.0)</f>
        <v>0</v>
      </c>
      <c r="EG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Col""&amp;COLUMN(EG$1)&amp;""=1""))&amp;""' ORDER BY Col6 DESC LIMIT ""&amp;QUERY('Global Variables'!$A:$B, ""SELECT Col2 WHERE Col1 = 'S"&amp;"TARTING_ROSTER_SIZE'"")),0))"),0.0)</f>
        <v>0</v>
      </c>
      <c r="EH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Col""&amp;COLUMN(EH$1)&amp;""=1""))&amp;""' ORDER BY Col6 DESC LIMIT ""&amp;QUERY('Global Variables'!$A:$B, ""SELECT Col2 WHERE Col1 = 'S"&amp;"TARTING_ROSTER_SIZE'"")),0))"),0.0)</f>
        <v>0</v>
      </c>
      <c r="EI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Col""&amp;COLUMN(EI$1)&amp;""=1""))&amp;""' ORDER BY Col6 DESC LIMIT ""&amp;QUERY('Global Variables'!$A:$B, ""SELECT Col2 WHERE Col1 = 'S"&amp;"TARTING_ROSTER_SIZE'"")),0))"),0.0)</f>
        <v>0</v>
      </c>
      <c r="EJ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Col""&amp;COLUMN(EJ$1)&amp;""=1""))&amp;""' ORDER BY Col6 DESC LIMIT ""&amp;QUERY('Global Variables'!$A:$B, ""SELECT Col2 WHERE Col1 = 'S"&amp;"TARTING_ROSTER_SIZE'"")),0))"),0.0)</f>
        <v>0</v>
      </c>
      <c r="EK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Col""&amp;COLUMN(EK$1)&amp;""=1""))&amp;""' ORDER BY Col6 DESC LIMIT ""&amp;QUERY('Global Variables'!$A:$B, ""SELECT Col2 WHERE Col1 = 'S"&amp;"TARTING_ROSTER_SIZE'"")),0))"),0.0)</f>
        <v>0</v>
      </c>
      <c r="EL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Col""&amp;COLUMN(EL$1)&amp;""=1""))&amp;""' ORDER BY Col6 DESC LIMIT ""&amp;QUERY('Global Variables'!$A:$B, ""SELECT Col2 WHERE Col1 = 'S"&amp;"TARTING_ROSTER_SIZE'"")),0))"),0.0)</f>
        <v>0</v>
      </c>
      <c r="EM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Col""&amp;COLUMN(EM$1)&amp;""=1""))&amp;""' ORDER BY Col6 DESC LIMIT ""&amp;QUERY('Global Variables'!$A:$B, ""SELECT Col2 WHERE Col1 = 'S"&amp;"TARTING_ROSTER_SIZE'"")),0))"),0.0)</f>
        <v>0</v>
      </c>
      <c r="EN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Col""&amp;COLUMN(EN$1)&amp;""=1""))&amp;""' ORDER BY Col6 DESC LIMIT ""&amp;QUERY('Global Variables'!$A:$B, ""SELECT Col2 WHERE Col1 = 'S"&amp;"TARTING_ROSTER_SIZE'"")),0))"),0.0)</f>
        <v>0</v>
      </c>
      <c r="EO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Col""&amp;COLUMN(EO$1)&amp;""=1""))&amp;""' ORDER BY Col6 DESC LIMIT ""&amp;QUERY('Global Variables'!$A:$B, ""SELECT Col2 WHERE Col1 = 'S"&amp;"TARTING_ROSTER_SIZE'"")),0))"),0.0)</f>
        <v>0</v>
      </c>
      <c r="EP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Col""&amp;COLUMN(EP$1)&amp;""=1""))&amp;""' ORDER BY Col6 DESC LIMIT ""&amp;QUERY('Global Variables'!$A:$B, ""SELECT Col2 WHERE Col1 = 'S"&amp;"TARTING_ROSTER_SIZE'"")),0))"),0.0)</f>
        <v>0</v>
      </c>
      <c r="EQ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Col""&amp;COLUMN(EQ$1)&amp;""=1""))&amp;""' ORDER BY Col6 DESC LIMIT ""&amp;QUERY('Global Variables'!$A:$B, ""SELECT Col2 WHERE Col1 = 'S"&amp;"TARTING_ROSTER_SIZE'"")),0))"),0.0)</f>
        <v>0</v>
      </c>
      <c r="ER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Col""&amp;COLUMN(ER$1)&amp;""=1""))&amp;""' ORDER BY Col6 DESC LIMIT ""&amp;QUERY('Global Variables'!$A:$B, ""SELECT Col2 WHERE Col1 = 'S"&amp;"TARTING_ROSTER_SIZE'"")),0))"),0.0)</f>
        <v>0</v>
      </c>
      <c r="ES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Col""&amp;COLUMN(ES$1)&amp;""=1""))&amp;""' ORDER BY Col6 DESC LIMIT ""&amp;QUERY('Global Variables'!$A:$B, ""SELECT Col2 WHERE Col1 = 'S"&amp;"TARTING_ROSTER_SIZE'"")),0))"),0.0)</f>
        <v>0</v>
      </c>
      <c r="ET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Col""&amp;COLUMN(ET$1)&amp;""=1""))&amp;""' ORDER BY Col6 DESC LIMIT ""&amp;QUERY('Global Variables'!$A:$B, ""SELECT Col2 WHERE Col1 = 'S"&amp;"TARTING_ROSTER_SIZE'"")),0))"),0.0)</f>
        <v>0</v>
      </c>
      <c r="EU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Col""&amp;COLUMN(EU$1)&amp;""=1""))&amp;""' ORDER BY Col6 DESC LIMIT ""&amp;QUERY('Global Variables'!$A:$B, ""SELECT Col2 WHERE Col1 = 'S"&amp;"TARTING_ROSTER_SIZE'"")),0))"),0.0)</f>
        <v>0</v>
      </c>
      <c r="EV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Col""&amp;COLUMN(EV$1)&amp;""=1""))&amp;""' ORDER BY Col6 DESC LIMIT ""&amp;QUERY('Global Variables'!$A:$B, ""SELECT Col2 WHERE Col1 = 'S"&amp;"TARTING_ROSTER_SIZE'"")),0))"),0.0)</f>
        <v>0</v>
      </c>
      <c r="EW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Col""&amp;COLUMN(EW$1)&amp;""=1""))&amp;""' ORDER BY Col6 DESC LIMIT ""&amp;QUERY('Global Variables'!$A:$B, ""SELECT Col2 WHERE Col1 = 'S"&amp;"TARTING_ROSTER_SIZE'"")),0))"),0.0)</f>
        <v>0</v>
      </c>
      <c r="EX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Col""&amp;COLUMN(EX$1)&amp;""=1""))&amp;""' ORDER BY Col6 DESC LIMIT ""&amp;QUERY('Global Variables'!$A:$B, ""SELECT Col2 WHERE Col1 = 'S"&amp;"TARTING_ROSTER_SIZE'"")),0))"),0.0)</f>
        <v>0</v>
      </c>
      <c r="EY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Col""&amp;COLUMN(EY$1)&amp;""=1""))&amp;""' ORDER BY Col6 DESC LIMIT ""&amp;QUERY('Global Variables'!$A:$B, ""SELECT Col2 WHERE Col1 = 'S"&amp;"TARTING_ROSTER_SIZE'"")),0))"),0.0)</f>
        <v>0</v>
      </c>
      <c r="EZ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Col""&amp;COLUMN(EZ$1)&amp;""=1""))&amp;""' ORDER BY Col6 DESC LIMIT ""&amp;QUERY('Global Variables'!$A:$B, ""SELECT Col2 WHERE Col1 = 'S"&amp;"TARTING_ROSTER_SIZE'"")),0))"),0.0)</f>
        <v>0</v>
      </c>
      <c r="FA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Col""&amp;COLUMN(FA$1)&amp;""=1""))&amp;""' ORDER BY Col6 DESC LIMIT ""&amp;QUERY('Global Variables'!$A:$B, ""SELECT Col2 WHERE Col1 = 'S"&amp;"TARTING_ROSTER_SIZE'"")),0))"),0.0)</f>
        <v>0</v>
      </c>
      <c r="FB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Col""&amp;COLUMN(FB$1)&amp;""=1""))&amp;""' ORDER BY Col6 DESC LIMIT ""&amp;QUERY('Global Variables'!$A:$B, ""SELECT Col2 WHERE Col1 = 'S"&amp;"TARTING_ROSTER_SIZE'"")),0))"),0.0)</f>
        <v>0</v>
      </c>
      <c r="FC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Col""&amp;COLUMN(FC$1)&amp;""=1""))&amp;""' ORDER BY Col6 DESC LIMIT ""&amp;QUERY('Global Variables'!$A:$B, ""SELECT Col2 WHERE Col1 = 'S"&amp;"TARTING_ROSTER_SIZE'"")),0))"),0.0)</f>
        <v>0</v>
      </c>
      <c r="FD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Col""&amp;COLUMN(FD$1)&amp;""=1""))&amp;""' ORDER BY Col6 DESC LIMIT ""&amp;QUERY('Global Variables'!$A:$B, ""SELECT Col2 WHERE Col1 = 'S"&amp;"TARTING_ROSTER_SIZE'"")),0))"),0.0)</f>
        <v>0</v>
      </c>
      <c r="FE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Col""&amp;COLUMN(FE$1)&amp;""=1""))&amp;""' ORDER BY Col6 DESC LIMIT ""&amp;QUERY('Global Variables'!$A:$B, ""SELECT Col2 WHERE Col1 = 'S"&amp;"TARTING_ROSTER_SIZE'"")),0))"),0.0)</f>
        <v>0</v>
      </c>
      <c r="FF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Col""&amp;COLUMN(FF$1)&amp;""=1""))&amp;""' ORDER BY Col6 DESC LIMIT ""&amp;QUERY('Global Variables'!$A:$B, ""SELECT Col2 WHERE Col1 = 'S"&amp;"TARTING_ROSTER_SIZE'"")),0))"),0.0)</f>
        <v>0</v>
      </c>
      <c r="FG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Col""&amp;COLUMN(FG$1)&amp;""=1""))&amp;""' ORDER BY Col6 DESC LIMIT ""&amp;QUERY('Global Variables'!$A:$B, ""SELECT Col2 WHERE Col1 = 'S"&amp;"TARTING_ROSTER_SIZE'"")),0))"),0.0)</f>
        <v>0</v>
      </c>
      <c r="FH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Col""&amp;COLUMN(FH$1)&amp;""=1""))&amp;""' ORDER BY Col6 DESC LIMIT ""&amp;QUERY('Global Variables'!$A:$B, ""SELECT Col2 WHERE Col1 = 'S"&amp;"TARTING_ROSTER_SIZE'"")),0))"),0.0)</f>
        <v>0</v>
      </c>
      <c r="FI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Col""&amp;COLUMN(FI$1)&amp;""=1""))&amp;""' ORDER BY Col6 DESC LIMIT ""&amp;QUERY('Global Variables'!$A:$B, ""SELECT Col2 WHERE Col1 = 'S"&amp;"TARTING_ROSTER_SIZE'"")),0))"),0.0)</f>
        <v>0</v>
      </c>
      <c r="FJ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Col""&amp;COLUMN(FJ$1)&amp;""=1""))&amp;""' ORDER BY Col6 DESC LIMIT ""&amp;QUERY('Global Variables'!$A:$B, ""SELECT Col2 WHERE Col1 = 'S"&amp;"TARTING_ROSTER_SIZE'"")),0))"),0.0)</f>
        <v>0</v>
      </c>
      <c r="FK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Col""&amp;COLUMN(FK$1)&amp;""=1""))&amp;""' ORDER BY Col6 DESC LIMIT ""&amp;QUERY('Global Variables'!$A:$B, ""SELECT Col2 WHERE Col1 = 'S"&amp;"TARTING_ROSTER_SIZE'"")),0))"),0.0)</f>
        <v>0</v>
      </c>
      <c r="FL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Col""&amp;COLUMN(FL$1)&amp;""=1""))&amp;""' ORDER BY Col6 DESC LIMIT ""&amp;QUERY('Global Variables'!$A:$B, ""SELECT Col2 WHERE Col1 = 'S"&amp;"TARTING_ROSTER_SIZE'"")),0))"),0.0)</f>
        <v>0</v>
      </c>
      <c r="FM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Col""&amp;COLUMN(FM$1)&amp;""=1""))&amp;""' ORDER BY Col6 DESC LIMIT ""&amp;QUERY('Global Variables'!$A:$B, ""SELECT Col2 WHERE Col1 = 'S"&amp;"TARTING_ROSTER_SIZE'"")),0))"),0.0)</f>
        <v>0</v>
      </c>
      <c r="FN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Col""&amp;COLUMN(FN$1)&amp;""=1""))&amp;""' ORDER BY Col6 DESC LIMIT ""&amp;QUERY('Global Variables'!$A:$B, ""SELECT Col2 WHERE Col1 = 'S"&amp;"TARTING_ROSTER_SIZE'"")),0))"),0.0)</f>
        <v>0</v>
      </c>
      <c r="FO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Col""&amp;COLUMN(FO$1)&amp;""=1""))&amp;""' ORDER BY Col6 DESC LIMIT ""&amp;QUERY('Global Variables'!$A:$B, ""SELECT Col2 WHERE Col1 = 'S"&amp;"TARTING_ROSTER_SIZE'"")),0))"),0.0)</f>
        <v>0</v>
      </c>
      <c r="FP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Col""&amp;COLUMN(FP$1)&amp;""=1""))&amp;""' ORDER BY Col6 DESC LIMIT ""&amp;QUERY('Global Variables'!$A:$B, ""SELECT Col2 WHERE Col1 = 'S"&amp;"TARTING_ROSTER_SIZE'"")),0))"),0.0)</f>
        <v>0</v>
      </c>
      <c r="FQ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Col""&amp;COLUMN(FQ$1)&amp;""=1""))&amp;""' ORDER BY Col6 DESC LIMIT ""&amp;QUERY('Global Variables'!$A:$B, ""SELECT Col2 WHERE Col1 = 'S"&amp;"TARTING_ROSTER_SIZE'"")),0))"),0.0)</f>
        <v>0</v>
      </c>
      <c r="FR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Col""&amp;COLUMN(FR$1)&amp;""=1""))&amp;""' ORDER BY Col6 DESC LIMIT ""&amp;QUERY('Global Variables'!$A:$B, ""SELECT Col2 WHERE Col1 = 'S"&amp;"TARTING_ROSTER_SIZE'"")),0))"),0.0)</f>
        <v>0</v>
      </c>
      <c r="FS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Col""&amp;COLUMN(FS$1)&amp;""=1""))&amp;""' ORDER BY Col6 DESC LIMIT ""&amp;QUERY('Global Variables'!$A:$B, ""SELECT Col2 WHERE Col1 = 'S"&amp;"TARTING_ROSTER_SIZE'"")),0))"),0.0)</f>
        <v>0</v>
      </c>
      <c r="FT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Col""&amp;COLUMN(FT$1)&amp;""=1""))&amp;""' ORDER BY Col6 DESC LIMIT ""&amp;QUERY('Global Variables'!$A:$B, ""SELECT Col2 WHERE Col1 = 'S"&amp;"TARTING_ROSTER_SIZE'"")),0))"),0.0)</f>
        <v>0</v>
      </c>
      <c r="FU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Col""&amp;COLUMN(FU$1)&amp;""=1""))&amp;""' ORDER BY Col6 DESC LIMIT ""&amp;QUERY('Global Variables'!$A:$B, ""SELECT Col2 WHERE Col1 = 'S"&amp;"TARTING_ROSTER_SIZE'"")),0))"),0.0)</f>
        <v>0</v>
      </c>
      <c r="FV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Col""&amp;COLUMN(FV$1)&amp;""=1""))&amp;""' ORDER BY Col6 DESC LIMIT ""&amp;QUERY('Global Variables'!$A:$B, ""SELECT Col2 WHERE Col1 = 'S"&amp;"TARTING_ROSTER_SIZE'"")),0))"),0.0)</f>
        <v>0</v>
      </c>
      <c r="FW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Col""&amp;COLUMN(FW$1)&amp;""=1""))&amp;""' ORDER BY Col6 DESC LIMIT ""&amp;QUERY('Global Variables'!$A:$B, ""SELECT Col2 WHERE Col1 = 'S"&amp;"TARTING_ROSTER_SIZE'"")),0))"),0.0)</f>
        <v>0</v>
      </c>
      <c r="FX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Col""&amp;COLUMN(FX$1)&amp;""=1""))&amp;""' ORDER BY Col6 DESC LIMIT ""&amp;QUERY('Global Variables'!$A:$B, ""SELECT Col2 WHERE Col1 = 'S"&amp;"TARTING_ROSTER_SIZE'"")),0))"),0.0)</f>
        <v>0</v>
      </c>
      <c r="FY14" s="9">
        <f>IFERROR(__xludf.DUMMYFUNCTION("SUM(
IFERROR(QUERY(
IFERROR(
OFFSET(Teams!$A$1,MATCH($A14,Teams!$A:$A,0),1,QUERY('Global Variables'!$A:$B, ""SELECT Col2 WHERE Col1 = '""&amp;IF($B$21,""TEAM_SIZE"",""ACTIVE_ROSTER_SIZE"")&amp;""'""),QUERY('Global Variables'!$A:$B, ""SELECT Col2 WHERE Col1 = 'TEA"&amp;"M_DATA_FIELD_COUNT'"")),
OFFSET(Teams!$K$1,MATCH($A14,Teams!$K:$K,0),1,QUERY('Global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Col""&amp;COLUMN(FY$1)&amp;""=1""))&amp;""' ORDER BY Col6 DESC LIMIT ""&amp;QUERY('Global Variables'!$A:$B, ""SELECT Col2 WHERE Col1 = 'S"&amp;"TARTING_ROSTER_SIZE'"")),0))"),0.0)</f>
        <v>0</v>
      </c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</row>
    <row r="15">
      <c r="A15" s="32" t="str">
        <f>'Weekly EDSA'!A14</f>
        <v>Furtney</v>
      </c>
      <c r="B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Col""&amp;COLUMN(B$1)&amp;""=1""))&amp;""' ORDER BY Col6 DESC LIMIT ""&amp;QUERY('Global Variables'!$A:$B, ""SELECT Col2 WHERE Col1 = 'ST"&amp;"ARTING_ROSTER_SIZE'"")),0))"),0.0)</f>
        <v>0</v>
      </c>
      <c r="C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Col""&amp;COLUMN(C$1)&amp;""=1""))&amp;""' ORDER BY Col6 DESC LIMIT ""&amp;QUERY('Global Variables'!$A:$B, ""SELECT Col2 WHERE Col1 = 'ST"&amp;"ARTING_ROSTER_SIZE'"")),0))"),0.0)</f>
        <v>0</v>
      </c>
      <c r="D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Col""&amp;COLUMN(D$1)&amp;""=1""))&amp;""' ORDER BY Col6 DESC LIMIT ""&amp;QUERY('Global Variables'!$A:$B, ""SELECT Col2 WHERE Col1 = 'ST"&amp;"ARTING_ROSTER_SIZE'"")),0))"),0.0)</f>
        <v>0</v>
      </c>
      <c r="E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Col""&amp;COLUMN(E$1)&amp;""=1""))&amp;""' ORDER BY Col6 DESC LIMIT ""&amp;QUERY('Global Variables'!$A:$B, ""SELECT Col2 WHERE Col1 = 'ST"&amp;"ARTING_ROSTER_SIZE'"")),0))"),0.0)</f>
        <v>0</v>
      </c>
      <c r="F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Col""&amp;COLUMN(F$1)&amp;""=1""))&amp;""' ORDER BY Col6 DESC LIMIT ""&amp;QUERY('Global Variables'!$A:$B, ""SELECT Col2 WHERE Col1 = 'ST"&amp;"ARTING_ROSTER_SIZE'"")),0))"),0.0)</f>
        <v>0</v>
      </c>
      <c r="G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Col""&amp;COLUMN(G$1)&amp;""=1""))&amp;""' ORDER BY Col6 DESC LIMIT ""&amp;QUERY('Global Variables'!$A:$B, ""SELECT Col2 WHERE Col1 = 'ST"&amp;"ARTING_ROSTER_SIZE'"")),0))"),0.0)</f>
        <v>0</v>
      </c>
      <c r="H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Col""&amp;COLUMN(H$1)&amp;""=1""))&amp;""' ORDER BY Col6 DESC LIMIT ""&amp;QUERY('Global Variables'!$A:$B, ""SELECT Col2 WHERE Col1 = 'ST"&amp;"ARTING_ROSTER_SIZE'"")),0))"),0.0)</f>
        <v>0</v>
      </c>
      <c r="I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Col""&amp;COLUMN(I$1)&amp;""=1""))&amp;""' ORDER BY Col6 DESC LIMIT ""&amp;QUERY('Global Variables'!$A:$B, ""SELECT Col2 WHERE Col1 = 'ST"&amp;"ARTING_ROSTER_SIZE'"")),0))"),0.0)</f>
        <v>0</v>
      </c>
      <c r="J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Col""&amp;COLUMN(J$1)&amp;""=1""))&amp;""' ORDER BY Col6 DESC LIMIT ""&amp;QUERY('Global Variables'!$A:$B, ""SELECT Col2 WHERE Col1 = 'ST"&amp;"ARTING_ROSTER_SIZE'"")),0))"),0.0)</f>
        <v>0</v>
      </c>
      <c r="K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Col""&amp;COLUMN(K$1)&amp;""=1""))&amp;""' ORDER BY Col6 DESC LIMIT ""&amp;QUERY('Global Variables'!$A:$B, ""SELECT Col2 WHERE Col1 = 'ST"&amp;"ARTING_ROSTER_SIZE'"")),0))"),0.0)</f>
        <v>0</v>
      </c>
      <c r="L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Col""&amp;COLUMN(L$1)&amp;""=1""))&amp;""' ORDER BY Col6 DESC LIMIT ""&amp;QUERY('Global Variables'!$A:$B, ""SELECT Col2 WHERE Col1 = 'ST"&amp;"ARTING_ROSTER_SIZE'"")),0))"),0.0)</f>
        <v>0</v>
      </c>
      <c r="M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Col""&amp;COLUMN(M$1)&amp;""=1""))&amp;""' ORDER BY Col6 DESC LIMIT ""&amp;QUERY('Global Variables'!$A:$B, ""SELECT Col2 WHERE Col1 = 'ST"&amp;"ARTING_ROSTER_SIZE'"")),0))"),0.0)</f>
        <v>0</v>
      </c>
      <c r="N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Col""&amp;COLUMN(N$1)&amp;""=1""))&amp;""' ORDER BY Col6 DESC LIMIT ""&amp;QUERY('Global Variables'!$A:$B, ""SELECT Col2 WHERE Col1 = 'ST"&amp;"ARTING_ROSTER_SIZE'"")),0))"),0.0)</f>
        <v>0</v>
      </c>
      <c r="O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Col""&amp;COLUMN(O$1)&amp;""=1""))&amp;""' ORDER BY Col6 DESC LIMIT ""&amp;QUERY('Global Variables'!$A:$B, ""SELECT Col2 WHERE Col1 = 'ST"&amp;"ARTING_ROSTER_SIZE'"")),0))"),0.0)</f>
        <v>0</v>
      </c>
      <c r="P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Col""&amp;COLUMN(P$1)&amp;""=1""))&amp;""' ORDER BY Col6 DESC LIMIT ""&amp;QUERY('Global Variables'!$A:$B, ""SELECT Col2 WHERE Col1 = 'ST"&amp;"ARTING_ROSTER_SIZE'"")),0))"),0.0)</f>
        <v>0</v>
      </c>
      <c r="Q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Col""&amp;COLUMN(Q$1)&amp;""=1""))&amp;""' ORDER BY Col6 DESC LIMIT ""&amp;QUERY('Global Variables'!$A:$B, ""SELECT Col2 WHERE Col1 = 'ST"&amp;"ARTING_ROSTER_SIZE'"")),0))"),0.0)</f>
        <v>0</v>
      </c>
      <c r="R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Col""&amp;COLUMN(R$1)&amp;""=1""))&amp;""' ORDER BY Col6 DESC LIMIT ""&amp;QUERY('Global Variables'!$A:$B, ""SELECT Col2 WHERE Col1 = 'ST"&amp;"ARTING_ROSTER_SIZE'"")),0))"),0.0)</f>
        <v>0</v>
      </c>
      <c r="S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Col""&amp;COLUMN(S$1)&amp;""=1""))&amp;""' ORDER BY Col6 DESC LIMIT ""&amp;QUERY('Global Variables'!$A:$B, ""SELECT Col2 WHERE Col1 = 'ST"&amp;"ARTING_ROSTER_SIZE'"")),0))"),0.0)</f>
        <v>0</v>
      </c>
      <c r="T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Col""&amp;COLUMN(T$1)&amp;""=1""))&amp;""' ORDER BY Col6 DESC LIMIT ""&amp;QUERY('Global Variables'!$A:$B, ""SELECT Col2 WHERE Col1 = 'ST"&amp;"ARTING_ROSTER_SIZE'"")),0))"),0.0)</f>
        <v>0</v>
      </c>
      <c r="U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Col""&amp;COLUMN(U$1)&amp;""=1""))&amp;""' ORDER BY Col6 DESC LIMIT ""&amp;QUERY('Global Variables'!$A:$B, ""SELECT Col2 WHERE Col1 = 'ST"&amp;"ARTING_ROSTER_SIZE'"")),0))"),0.0)</f>
        <v>0</v>
      </c>
      <c r="V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Col""&amp;COLUMN(V$1)&amp;""=1""))&amp;""' ORDER BY Col6 DESC LIMIT ""&amp;QUERY('Global Variables'!$A:$B, ""SELECT Col2 WHERE Col1 = 'ST"&amp;"ARTING_ROSTER_SIZE'"")),0))"),0.0)</f>
        <v>0</v>
      </c>
      <c r="W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Col""&amp;COLUMN(W$1)&amp;""=1""))&amp;""' ORDER BY Col6 DESC LIMIT ""&amp;QUERY('Global Variables'!$A:$B, ""SELECT Col2 WHERE Col1 = 'ST"&amp;"ARTING_ROSTER_SIZE'"")),0))"),0.0)</f>
        <v>0</v>
      </c>
      <c r="X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Col""&amp;COLUMN(X$1)&amp;""=1""))&amp;""' ORDER BY Col6 DESC LIMIT ""&amp;QUERY('Global Variables'!$A:$B, ""SELECT Col2 WHERE Col1 = 'ST"&amp;"ARTING_ROSTER_SIZE'"")),0))"),0.0)</f>
        <v>0</v>
      </c>
      <c r="Y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Col""&amp;COLUMN(Y$1)&amp;""=1""))&amp;""' ORDER BY Col6 DESC LIMIT ""&amp;QUERY('Global Variables'!$A:$B, ""SELECT Col2 WHERE Col1 = 'ST"&amp;"ARTING_ROSTER_SIZE'"")),0))"),0.0)</f>
        <v>0</v>
      </c>
      <c r="Z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Col""&amp;COLUMN(Z$1)&amp;""=1""))&amp;""' ORDER BY Col6 DESC LIMIT ""&amp;QUERY('Global Variables'!$A:$B, ""SELECT Col2 WHERE Col1 = 'ST"&amp;"ARTING_ROSTER_SIZE'"")),0))"),0.0)</f>
        <v>0</v>
      </c>
      <c r="AA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Col""&amp;COLUMN(AA$1)&amp;""=1""))&amp;""' ORDER BY Col6 DESC LIMIT ""&amp;QUERY('Global Variables'!$A:$B, ""SELECT Col2 WHERE Col1 = 'S"&amp;"TARTING_ROSTER_SIZE'"")),0))"),0.0)</f>
        <v>0</v>
      </c>
      <c r="AB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Col""&amp;COLUMN(AB$1)&amp;""=1""))&amp;""' ORDER BY Col6 DESC LIMIT ""&amp;QUERY('Global Variables'!$A:$B, ""SELECT Col2 WHERE Col1 = 'S"&amp;"TARTING_ROSTER_SIZE'"")),0))"),0.0)</f>
        <v>0</v>
      </c>
      <c r="AC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Col""&amp;COLUMN(AC$1)&amp;""=1""))&amp;""' ORDER BY Col6 DESC LIMIT ""&amp;QUERY('Global Variables'!$A:$B, ""SELECT Col2 WHERE Col1 = 'S"&amp;"TARTING_ROSTER_SIZE'"")),0))"),0.0)</f>
        <v>0</v>
      </c>
      <c r="AD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Col""&amp;COLUMN(AD$1)&amp;""=1""))&amp;""' ORDER BY Col6 DESC LIMIT ""&amp;QUERY('Global Variables'!$A:$B, ""SELECT Col2 WHERE Col1 = 'S"&amp;"TARTING_ROSTER_SIZE'"")),0))"),0.0)</f>
        <v>0</v>
      </c>
      <c r="AE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Col""&amp;COLUMN(AE$1)&amp;""=1""))&amp;""' ORDER BY Col6 DESC LIMIT ""&amp;QUERY('Global Variables'!$A:$B, ""SELECT Col2 WHERE Col1 = 'S"&amp;"TARTING_ROSTER_SIZE'"")),0))"),0.0)</f>
        <v>0</v>
      </c>
      <c r="AF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Col""&amp;COLUMN(AF$1)&amp;""=1""))&amp;""' ORDER BY Col6 DESC LIMIT ""&amp;QUERY('Global Variables'!$A:$B, ""SELECT Col2 WHERE Col1 = 'S"&amp;"TARTING_ROSTER_SIZE'"")),0))"),0.0)</f>
        <v>0</v>
      </c>
      <c r="AG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Col""&amp;COLUMN(AG$1)&amp;""=1""))&amp;""' ORDER BY Col6 DESC LIMIT ""&amp;QUERY('Global Variables'!$A:$B, ""SELECT Col2 WHERE Col1 = 'S"&amp;"TARTING_ROSTER_SIZE'"")),0))"),0.0)</f>
        <v>0</v>
      </c>
      <c r="AH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Col""&amp;COLUMN(AH$1)&amp;""=1""))&amp;""' ORDER BY Col6 DESC LIMIT ""&amp;QUERY('Global Variables'!$A:$B, ""SELECT Col2 WHERE Col1 = 'S"&amp;"TARTING_ROSTER_SIZE'"")),0))"),0.0)</f>
        <v>0</v>
      </c>
      <c r="AI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Col""&amp;COLUMN(AI$1)&amp;""=1""))&amp;""' ORDER BY Col6 DESC LIMIT ""&amp;QUERY('Global Variables'!$A:$B, ""SELECT Col2 WHERE Col1 = 'S"&amp;"TARTING_ROSTER_SIZE'"")),0))"),0.0)</f>
        <v>0</v>
      </c>
      <c r="AJ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Col""&amp;COLUMN(AJ$1)&amp;""=1""))&amp;""' ORDER BY Col6 DESC LIMIT ""&amp;QUERY('Global Variables'!$A:$B, ""SELECT Col2 WHERE Col1 = 'S"&amp;"TARTING_ROSTER_SIZE'"")),0))"),0.0)</f>
        <v>0</v>
      </c>
      <c r="AK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Col""&amp;COLUMN(AK$1)&amp;""=1""))&amp;""' ORDER BY Col6 DESC LIMIT ""&amp;QUERY('Global Variables'!$A:$B, ""SELECT Col2 WHERE Col1 = 'S"&amp;"TARTING_ROSTER_SIZE'"")),0))"),0.0)</f>
        <v>0</v>
      </c>
      <c r="AL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Col""&amp;COLUMN(AL$1)&amp;""=1""))&amp;""' ORDER BY Col6 DESC LIMIT ""&amp;QUERY('Global Variables'!$A:$B, ""SELECT Col2 WHERE Col1 = 'S"&amp;"TARTING_ROSTER_SIZE'"")),0))"),0.0)</f>
        <v>0</v>
      </c>
      <c r="AM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Col""&amp;COLUMN(AM$1)&amp;""=1""))&amp;""' ORDER BY Col6 DESC LIMIT ""&amp;QUERY('Global Variables'!$A:$B, ""SELECT Col2 WHERE Col1 = 'S"&amp;"TARTING_ROSTER_SIZE'"")),0))"),0.0)</f>
        <v>0</v>
      </c>
      <c r="AN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Col""&amp;COLUMN(AN$1)&amp;""=1""))&amp;""' ORDER BY Col6 DESC LIMIT ""&amp;QUERY('Global Variables'!$A:$B, ""SELECT Col2 WHERE Col1 = 'S"&amp;"TARTING_ROSTER_SIZE'"")),0))"),0.0)</f>
        <v>0</v>
      </c>
      <c r="AO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Col""&amp;COLUMN(AO$1)&amp;""=1""))&amp;""' ORDER BY Col6 DESC LIMIT ""&amp;QUERY('Global Variables'!$A:$B, ""SELECT Col2 WHERE Col1 = 'S"&amp;"TARTING_ROSTER_SIZE'"")),0))"),0.0)</f>
        <v>0</v>
      </c>
      <c r="AP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Col""&amp;COLUMN(AP$1)&amp;""=1""))&amp;""' ORDER BY Col6 DESC LIMIT ""&amp;QUERY('Global Variables'!$A:$B, ""SELECT Col2 WHERE Col1 = 'S"&amp;"TARTING_ROSTER_SIZE'"")),0))"),0.0)</f>
        <v>0</v>
      </c>
      <c r="AQ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Col""&amp;COLUMN(AQ$1)&amp;""=1""))&amp;""' ORDER BY Col6 DESC LIMIT ""&amp;QUERY('Global Variables'!$A:$B, ""SELECT Col2 WHERE Col1 = 'S"&amp;"TARTING_ROSTER_SIZE'"")),0))"),0.0)</f>
        <v>0</v>
      </c>
      <c r="AR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Col""&amp;COLUMN(AR$1)&amp;""=1""))&amp;""' ORDER BY Col6 DESC LIMIT ""&amp;QUERY('Global Variables'!$A:$B, ""SELECT Col2 WHERE Col1 = 'S"&amp;"TARTING_ROSTER_SIZE'"")),0))"),0.0)</f>
        <v>0</v>
      </c>
      <c r="AS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Col""&amp;COLUMN(AS$1)&amp;""=1""))&amp;""' ORDER BY Col6 DESC LIMIT ""&amp;QUERY('Global Variables'!$A:$B, ""SELECT Col2 WHERE Col1 = 'S"&amp;"TARTING_ROSTER_SIZE'"")),0))"),0.0)</f>
        <v>0</v>
      </c>
      <c r="AT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Col""&amp;COLUMN(AT$1)&amp;""=1""))&amp;""' ORDER BY Col6 DESC LIMIT ""&amp;QUERY('Global Variables'!$A:$B, ""SELECT Col2 WHERE Col1 = 'S"&amp;"TARTING_ROSTER_SIZE'"")),0))"),0.0)</f>
        <v>0</v>
      </c>
      <c r="AU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Col""&amp;COLUMN(AU$1)&amp;""=1""))&amp;""' ORDER BY Col6 DESC LIMIT ""&amp;QUERY('Global Variables'!$A:$B, ""SELECT Col2 WHERE Col1 = 'S"&amp;"TARTING_ROSTER_SIZE'"")),0))"),0.0)</f>
        <v>0</v>
      </c>
      <c r="AV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Col""&amp;COLUMN(AV$1)&amp;""=1""))&amp;""' ORDER BY Col6 DESC LIMIT ""&amp;QUERY('Global Variables'!$A:$B, ""SELECT Col2 WHERE Col1 = 'S"&amp;"TARTING_ROSTER_SIZE'"")),0))"),0.0)</f>
        <v>0</v>
      </c>
      <c r="AW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Col""&amp;COLUMN(AW$1)&amp;""=1""))&amp;""' ORDER BY Col6 DESC LIMIT ""&amp;QUERY('Global Variables'!$A:$B, ""SELECT Col2 WHERE Col1 = 'S"&amp;"TARTING_ROSTER_SIZE'"")),0))"),0.0)</f>
        <v>0</v>
      </c>
      <c r="AX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Col""&amp;COLUMN(AX$1)&amp;""=1""))&amp;""' ORDER BY Col6 DESC LIMIT ""&amp;QUERY('Global Variables'!$A:$B, ""SELECT Col2 WHERE Col1 = 'S"&amp;"TARTING_ROSTER_SIZE'"")),0))"),0.0)</f>
        <v>0</v>
      </c>
      <c r="AY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Col""&amp;COLUMN(AY$1)&amp;""=1""))&amp;""' ORDER BY Col6 DESC LIMIT ""&amp;QUERY('Global Variables'!$A:$B, ""SELECT Col2 WHERE Col1 = 'S"&amp;"TARTING_ROSTER_SIZE'"")),0))"),0.0)</f>
        <v>0</v>
      </c>
      <c r="AZ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Col""&amp;COLUMN(AZ$1)&amp;""=1""))&amp;""' ORDER BY Col6 DESC LIMIT ""&amp;QUERY('Global Variables'!$A:$B, ""SELECT Col2 WHERE Col1 = 'S"&amp;"TARTING_ROSTER_SIZE'"")),0))"),0.0)</f>
        <v>0</v>
      </c>
      <c r="BA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Col""&amp;COLUMN(BA$1)&amp;""=1""))&amp;""' ORDER BY Col6 DESC LIMIT ""&amp;QUERY('Global Variables'!$A:$B, ""SELECT Col2 WHERE Col1 = 'S"&amp;"TARTING_ROSTER_SIZE'"")),0))"),0.0)</f>
        <v>0</v>
      </c>
      <c r="BB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Col""&amp;COLUMN(BB$1)&amp;""=1""))&amp;""' ORDER BY Col6 DESC LIMIT ""&amp;QUERY('Global Variables'!$A:$B, ""SELECT Col2 WHERE Col1 = 'S"&amp;"TARTING_ROSTER_SIZE'"")),0))"),0.0)</f>
        <v>0</v>
      </c>
      <c r="BC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Col""&amp;COLUMN(BC$1)&amp;""=1""))&amp;""' ORDER BY Col6 DESC LIMIT ""&amp;QUERY('Global Variables'!$A:$B, ""SELECT Col2 WHERE Col1 = 'S"&amp;"TARTING_ROSTER_SIZE'"")),0))"),0.0)</f>
        <v>0</v>
      </c>
      <c r="BD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Col""&amp;COLUMN(BD$1)&amp;""=1""))&amp;""' ORDER BY Col6 DESC LIMIT ""&amp;QUERY('Global Variables'!$A:$B, ""SELECT Col2 WHERE Col1 = 'S"&amp;"TARTING_ROSTER_SIZE'"")),0))"),0.0)</f>
        <v>0</v>
      </c>
      <c r="BE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Col""&amp;COLUMN(BE$1)&amp;""=1""))&amp;""' ORDER BY Col6 DESC LIMIT ""&amp;QUERY('Global Variables'!$A:$B, ""SELECT Col2 WHERE Col1 = 'S"&amp;"TARTING_ROSTER_SIZE'"")),0))"),0.0)</f>
        <v>0</v>
      </c>
      <c r="BF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Col""&amp;COLUMN(BF$1)&amp;""=1""))&amp;""' ORDER BY Col6 DESC LIMIT ""&amp;QUERY('Global Variables'!$A:$B, ""SELECT Col2 WHERE Col1 = 'S"&amp;"TARTING_ROSTER_SIZE'"")),0))"),0.0)</f>
        <v>0</v>
      </c>
      <c r="BG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Col""&amp;COLUMN(BG$1)&amp;""=1""))&amp;""' ORDER BY Col6 DESC LIMIT ""&amp;QUERY('Global Variables'!$A:$B, ""SELECT Col2 WHERE Col1 = 'S"&amp;"TARTING_ROSTER_SIZE'"")),0))"),0.0)</f>
        <v>0</v>
      </c>
      <c r="BH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Col""&amp;COLUMN(BH$1)&amp;""=1""))&amp;""' ORDER BY Col6 DESC LIMIT ""&amp;QUERY('Global Variables'!$A:$B, ""SELECT Col2 WHERE Col1 = 'S"&amp;"TARTING_ROSTER_SIZE'"")),0))"),0.0)</f>
        <v>0</v>
      </c>
      <c r="BI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Col""&amp;COLUMN(BI$1)&amp;""=1""))&amp;""' ORDER BY Col6 DESC LIMIT ""&amp;QUERY('Global Variables'!$A:$B, ""SELECT Col2 WHERE Col1 = 'S"&amp;"TARTING_ROSTER_SIZE'"")),0))"),0.0)</f>
        <v>0</v>
      </c>
      <c r="BJ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Col""&amp;COLUMN(BJ$1)&amp;""=1""))&amp;""' ORDER BY Col6 DESC LIMIT ""&amp;QUERY('Global Variables'!$A:$B, ""SELECT Col2 WHERE Col1 = 'S"&amp;"TARTING_ROSTER_SIZE'"")),0))"),0.0)</f>
        <v>0</v>
      </c>
      <c r="BK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Col""&amp;COLUMN(BK$1)&amp;""=1""))&amp;""' ORDER BY Col6 DESC LIMIT ""&amp;QUERY('Global Variables'!$A:$B, ""SELECT Col2 WHERE Col1 = 'S"&amp;"TARTING_ROSTER_SIZE'"")),0))"),0.0)</f>
        <v>0</v>
      </c>
      <c r="BL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Col""&amp;COLUMN(BL$1)&amp;""=1""))&amp;""' ORDER BY Col6 DESC LIMIT ""&amp;QUERY('Global Variables'!$A:$B, ""SELECT Col2 WHERE Col1 = 'S"&amp;"TARTING_ROSTER_SIZE'"")),0))"),0.0)</f>
        <v>0</v>
      </c>
      <c r="BM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Col""&amp;COLUMN(BM$1)&amp;""=1""))&amp;""' ORDER BY Col6 DESC LIMIT ""&amp;QUERY('Global Variables'!$A:$B, ""SELECT Col2 WHERE Col1 = 'S"&amp;"TARTING_ROSTER_SIZE'"")),0))"),0.0)</f>
        <v>0</v>
      </c>
      <c r="BN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Col""&amp;COLUMN(BN$1)&amp;""=1""))&amp;""' ORDER BY Col6 DESC LIMIT ""&amp;QUERY('Global Variables'!$A:$B, ""SELECT Col2 WHERE Col1 = 'S"&amp;"TARTING_ROSTER_SIZE'"")),0))"),0.0)</f>
        <v>0</v>
      </c>
      <c r="BO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Col""&amp;COLUMN(BO$1)&amp;""=1""))&amp;""' ORDER BY Col6 DESC LIMIT ""&amp;QUERY('Global Variables'!$A:$B, ""SELECT Col2 WHERE Col1 = 'S"&amp;"TARTING_ROSTER_SIZE'"")),0))"),0.0)</f>
        <v>0</v>
      </c>
      <c r="BP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Col""&amp;COLUMN(BP$1)&amp;""=1""))&amp;""' ORDER BY Col6 DESC LIMIT ""&amp;QUERY('Global Variables'!$A:$B, ""SELECT Col2 WHERE Col1 = 'S"&amp;"TARTING_ROSTER_SIZE'"")),0))"),0.0)</f>
        <v>0</v>
      </c>
      <c r="BQ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Col""&amp;COLUMN(BQ$1)&amp;""=1""))&amp;""' ORDER BY Col6 DESC LIMIT ""&amp;QUERY('Global Variables'!$A:$B, ""SELECT Col2 WHERE Col1 = 'S"&amp;"TARTING_ROSTER_SIZE'"")),0))"),0.0)</f>
        <v>0</v>
      </c>
      <c r="BR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Col""&amp;COLUMN(BR$1)&amp;""=1""))&amp;""' ORDER BY Col6 DESC LIMIT ""&amp;QUERY('Global Variables'!$A:$B, ""SELECT Col2 WHERE Col1 = 'S"&amp;"TARTING_ROSTER_SIZE'"")),0))"),0.0)</f>
        <v>0</v>
      </c>
      <c r="BS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Col""&amp;COLUMN(BS$1)&amp;""=1""))&amp;""' ORDER BY Col6 DESC LIMIT ""&amp;QUERY('Global Variables'!$A:$B, ""SELECT Col2 WHERE Col1 = 'S"&amp;"TARTING_ROSTER_SIZE'"")),0))"),0.0)</f>
        <v>0</v>
      </c>
      <c r="BT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Col""&amp;COLUMN(BT$1)&amp;""=1""))&amp;""' ORDER BY Col6 DESC LIMIT ""&amp;QUERY('Global Variables'!$A:$B, ""SELECT Col2 WHERE Col1 = 'S"&amp;"TARTING_ROSTER_SIZE'"")),0))"),0.0)</f>
        <v>0</v>
      </c>
      <c r="BU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Col""&amp;COLUMN(BU$1)&amp;""=1""))&amp;""' ORDER BY Col6 DESC LIMIT ""&amp;QUERY('Global Variables'!$A:$B, ""SELECT Col2 WHERE Col1 = 'S"&amp;"TARTING_ROSTER_SIZE'"")),0))"),0.0)</f>
        <v>0</v>
      </c>
      <c r="BV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Col""&amp;COLUMN(BV$1)&amp;""=1""))&amp;""' ORDER BY Col6 DESC LIMIT ""&amp;QUERY('Global Variables'!$A:$B, ""SELECT Col2 WHERE Col1 = 'S"&amp;"TARTING_ROSTER_SIZE'"")),0))"),0.0)</f>
        <v>0</v>
      </c>
      <c r="BW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Col""&amp;COLUMN(BW$1)&amp;""=1""))&amp;""' ORDER BY Col6 DESC LIMIT ""&amp;QUERY('Global Variables'!$A:$B, ""SELECT Col2 WHERE Col1 = 'S"&amp;"TARTING_ROSTER_SIZE'"")),0))"),0.0)</f>
        <v>0</v>
      </c>
      <c r="BX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Col""&amp;COLUMN(BX$1)&amp;""=1""))&amp;""' ORDER BY Col6 DESC LIMIT ""&amp;QUERY('Global Variables'!$A:$B, ""SELECT Col2 WHERE Col1 = 'S"&amp;"TARTING_ROSTER_SIZE'"")),0))"),0.0)</f>
        <v>0</v>
      </c>
      <c r="BY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Col""&amp;COLUMN(BY$1)&amp;""=1""))&amp;""' ORDER BY Col6 DESC LIMIT ""&amp;QUERY('Global Variables'!$A:$B, ""SELECT Col2 WHERE Col1 = 'S"&amp;"TARTING_ROSTER_SIZE'"")),0))"),0.0)</f>
        <v>0</v>
      </c>
      <c r="BZ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Col""&amp;COLUMN(BZ$1)&amp;""=1""))&amp;""' ORDER BY Col6 DESC LIMIT ""&amp;QUERY('Global Variables'!$A:$B, ""SELECT Col2 WHERE Col1 = 'S"&amp;"TARTING_ROSTER_SIZE'"")),0))"),0.0)</f>
        <v>0</v>
      </c>
      <c r="CA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Col""&amp;COLUMN(CA$1)&amp;""=1""))&amp;""' ORDER BY Col6 DESC LIMIT ""&amp;QUERY('Global Variables'!$A:$B, ""SELECT Col2 WHERE Col1 = 'S"&amp;"TARTING_ROSTER_SIZE'"")),0))"),0.0)</f>
        <v>0</v>
      </c>
      <c r="CB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Col""&amp;COLUMN(CB$1)&amp;""=1""))&amp;""' ORDER BY Col6 DESC LIMIT ""&amp;QUERY('Global Variables'!$A:$B, ""SELECT Col2 WHERE Col1 = 'S"&amp;"TARTING_ROSTER_SIZE'"")),0))"),0.0)</f>
        <v>0</v>
      </c>
      <c r="CC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Col""&amp;COLUMN(CC$1)&amp;""=1""))&amp;""' ORDER BY Col6 DESC LIMIT ""&amp;QUERY('Global Variables'!$A:$B, ""SELECT Col2 WHERE Col1 = 'S"&amp;"TARTING_ROSTER_SIZE'"")),0))"),0.0)</f>
        <v>0</v>
      </c>
      <c r="CD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Col""&amp;COLUMN(CD$1)&amp;""=1""))&amp;""' ORDER BY Col6 DESC LIMIT ""&amp;QUERY('Global Variables'!$A:$B, ""SELECT Col2 WHERE Col1 = 'S"&amp;"TARTING_ROSTER_SIZE'"")),0))"),0.0)</f>
        <v>0</v>
      </c>
      <c r="CE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Col""&amp;COLUMN(CE$1)&amp;""=1""))&amp;""' ORDER BY Col6 DESC LIMIT ""&amp;QUERY('Global Variables'!$A:$B, ""SELECT Col2 WHERE Col1 = 'S"&amp;"TARTING_ROSTER_SIZE'"")),0))"),0.0)</f>
        <v>0</v>
      </c>
      <c r="CF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Col""&amp;COLUMN(CF$1)&amp;""=1""))&amp;""' ORDER BY Col6 DESC LIMIT ""&amp;QUERY('Global Variables'!$A:$B, ""SELECT Col2 WHERE Col1 = 'S"&amp;"TARTING_ROSTER_SIZE'"")),0))"),0.0)</f>
        <v>0</v>
      </c>
      <c r="CG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Col""&amp;COLUMN(CG$1)&amp;""=1""))&amp;""' ORDER BY Col6 DESC LIMIT ""&amp;QUERY('Global Variables'!$A:$B, ""SELECT Col2 WHERE Col1 = 'S"&amp;"TARTING_ROSTER_SIZE'"")),0))"),0.0)</f>
        <v>0</v>
      </c>
      <c r="CH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Col""&amp;COLUMN(CH$1)&amp;""=1""))&amp;""' ORDER BY Col6 DESC LIMIT ""&amp;QUERY('Global Variables'!$A:$B, ""SELECT Col2 WHERE Col1 = 'S"&amp;"TARTING_ROSTER_SIZE'"")),0))"),0.0)</f>
        <v>0</v>
      </c>
      <c r="CI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Col""&amp;COLUMN(CI$1)&amp;""=1""))&amp;""' ORDER BY Col6 DESC LIMIT ""&amp;QUERY('Global Variables'!$A:$B, ""SELECT Col2 WHERE Col1 = 'S"&amp;"TARTING_ROSTER_SIZE'"")),0))"),0.0)</f>
        <v>0</v>
      </c>
      <c r="CJ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Col""&amp;COLUMN(CJ$1)&amp;""=1""))&amp;""' ORDER BY Col6 DESC LIMIT ""&amp;QUERY('Global Variables'!$A:$B, ""SELECT Col2 WHERE Col1 = 'S"&amp;"TARTING_ROSTER_SIZE'"")),0))"),0.0)</f>
        <v>0</v>
      </c>
      <c r="CK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Col""&amp;COLUMN(CK$1)&amp;""=1""))&amp;""' ORDER BY Col6 DESC LIMIT ""&amp;QUERY('Global Variables'!$A:$B, ""SELECT Col2 WHERE Col1 = 'S"&amp;"TARTING_ROSTER_SIZE'"")),0))"),0.0)</f>
        <v>0</v>
      </c>
      <c r="CL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Col""&amp;COLUMN(CL$1)&amp;""=1""))&amp;""' ORDER BY Col6 DESC LIMIT ""&amp;QUERY('Global Variables'!$A:$B, ""SELECT Col2 WHERE Col1 = 'S"&amp;"TARTING_ROSTER_SIZE'"")),0))"),0.0)</f>
        <v>0</v>
      </c>
      <c r="CM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Col""&amp;COLUMN(CM$1)&amp;""=1""))&amp;""' ORDER BY Col6 DESC LIMIT ""&amp;QUERY('Global Variables'!$A:$B, ""SELECT Col2 WHERE Col1 = 'S"&amp;"TARTING_ROSTER_SIZE'"")),0))"),0.0)</f>
        <v>0</v>
      </c>
      <c r="CN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Col""&amp;COLUMN(CN$1)&amp;""=1""))&amp;""' ORDER BY Col6 DESC LIMIT ""&amp;QUERY('Global Variables'!$A:$B, ""SELECT Col2 WHERE Col1 = 'S"&amp;"TARTING_ROSTER_SIZE'"")),0))"),0.0)</f>
        <v>0</v>
      </c>
      <c r="CO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Col""&amp;COLUMN(CO$1)&amp;""=1""))&amp;""' ORDER BY Col6 DESC LIMIT ""&amp;QUERY('Global Variables'!$A:$B, ""SELECT Col2 WHERE Col1 = 'S"&amp;"TARTING_ROSTER_SIZE'"")),0))"),0.0)</f>
        <v>0</v>
      </c>
      <c r="CP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Col""&amp;COLUMN(CP$1)&amp;""=1""))&amp;""' ORDER BY Col6 DESC LIMIT ""&amp;QUERY('Global Variables'!$A:$B, ""SELECT Col2 WHERE Col1 = 'S"&amp;"TARTING_ROSTER_SIZE'"")),0))"),0.0)</f>
        <v>0</v>
      </c>
      <c r="CQ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Col""&amp;COLUMN(CQ$1)&amp;""=1""))&amp;""' ORDER BY Col6 DESC LIMIT ""&amp;QUERY('Global Variables'!$A:$B, ""SELECT Col2 WHERE Col1 = 'S"&amp;"TARTING_ROSTER_SIZE'"")),0))"),0.0)</f>
        <v>0</v>
      </c>
      <c r="CR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Col""&amp;COLUMN(CR$1)&amp;""=1""))&amp;""' ORDER BY Col6 DESC LIMIT ""&amp;QUERY('Global Variables'!$A:$B, ""SELECT Col2 WHERE Col1 = 'S"&amp;"TARTING_ROSTER_SIZE'"")),0))"),0.0)</f>
        <v>0</v>
      </c>
      <c r="CS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Col""&amp;COLUMN(CS$1)&amp;""=1""))&amp;""' ORDER BY Col6 DESC LIMIT ""&amp;QUERY('Global Variables'!$A:$B, ""SELECT Col2 WHERE Col1 = 'S"&amp;"TARTING_ROSTER_SIZE'"")),0))"),0.0)</f>
        <v>0</v>
      </c>
      <c r="CT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Col""&amp;COLUMN(CT$1)&amp;""=1""))&amp;""' ORDER BY Col6 DESC LIMIT ""&amp;QUERY('Global Variables'!$A:$B, ""SELECT Col2 WHERE Col1 = 'S"&amp;"TARTING_ROSTER_SIZE'"")),0))"),0.0)</f>
        <v>0</v>
      </c>
      <c r="CU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Col""&amp;COLUMN(CU$1)&amp;""=1""))&amp;""' ORDER BY Col6 DESC LIMIT ""&amp;QUERY('Global Variables'!$A:$B, ""SELECT Col2 WHERE Col1 = 'S"&amp;"TARTING_ROSTER_SIZE'"")),0))"),0.0)</f>
        <v>0</v>
      </c>
      <c r="CV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Col""&amp;COLUMN(CV$1)&amp;""=1""))&amp;""' ORDER BY Col6 DESC LIMIT ""&amp;QUERY('Global Variables'!$A:$B, ""SELECT Col2 WHERE Col1 = 'S"&amp;"TARTING_ROSTER_SIZE'"")),0))"),0.0)</f>
        <v>0</v>
      </c>
      <c r="CW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Col""&amp;COLUMN(CW$1)&amp;""=1""))&amp;""' ORDER BY Col6 DESC LIMIT ""&amp;QUERY('Global Variables'!$A:$B, ""SELECT Col2 WHERE Col1 = 'S"&amp;"TARTING_ROSTER_SIZE'"")),0))"),0.0)</f>
        <v>0</v>
      </c>
      <c r="CX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Col""&amp;COLUMN(CX$1)&amp;""=1""))&amp;""' ORDER BY Col6 DESC LIMIT ""&amp;QUERY('Global Variables'!$A:$B, ""SELECT Col2 WHERE Col1 = 'S"&amp;"TARTING_ROSTER_SIZE'"")),0))"),0.0)</f>
        <v>0</v>
      </c>
      <c r="CY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Col""&amp;COLUMN(CY$1)&amp;""=1""))&amp;""' ORDER BY Col6 DESC LIMIT ""&amp;QUERY('Global Variables'!$A:$B, ""SELECT Col2 WHERE Col1 = 'S"&amp;"TARTING_ROSTER_SIZE'"")),0))"),0.0)</f>
        <v>0</v>
      </c>
      <c r="CZ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Col""&amp;COLUMN(CZ$1)&amp;""=1""))&amp;""' ORDER BY Col6 DESC LIMIT ""&amp;QUERY('Global Variables'!$A:$B, ""SELECT Col2 WHERE Col1 = 'S"&amp;"TARTING_ROSTER_SIZE'"")),0))"),0.0)</f>
        <v>0</v>
      </c>
      <c r="DA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Col""&amp;COLUMN(DA$1)&amp;""=1""))&amp;""' ORDER BY Col6 DESC LIMIT ""&amp;QUERY('Global Variables'!$A:$B, ""SELECT Col2 WHERE Col1 = 'S"&amp;"TARTING_ROSTER_SIZE'"")),0))"),0.0)</f>
        <v>0</v>
      </c>
      <c r="DB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Col""&amp;COLUMN(DB$1)&amp;""=1""))&amp;""' ORDER BY Col6 DESC LIMIT ""&amp;QUERY('Global Variables'!$A:$B, ""SELECT Col2 WHERE Col1 = 'S"&amp;"TARTING_ROSTER_SIZE'"")),0))"),0.0)</f>
        <v>0</v>
      </c>
      <c r="DC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Col""&amp;COLUMN(DC$1)&amp;""=1""))&amp;""' ORDER BY Col6 DESC LIMIT ""&amp;QUERY('Global Variables'!$A:$B, ""SELECT Col2 WHERE Col1 = 'S"&amp;"TARTING_ROSTER_SIZE'"")),0))"),0.0)</f>
        <v>0</v>
      </c>
      <c r="DD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Col""&amp;COLUMN(DD$1)&amp;""=1""))&amp;""' ORDER BY Col6 DESC LIMIT ""&amp;QUERY('Global Variables'!$A:$B, ""SELECT Col2 WHERE Col1 = 'S"&amp;"TARTING_ROSTER_SIZE'"")),0))"),0.0)</f>
        <v>0</v>
      </c>
      <c r="DE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Col""&amp;COLUMN(DE$1)&amp;""=1""))&amp;""' ORDER BY Col6 DESC LIMIT ""&amp;QUERY('Global Variables'!$A:$B, ""SELECT Col2 WHERE Col1 = 'S"&amp;"TARTING_ROSTER_SIZE'"")),0))"),0.0)</f>
        <v>0</v>
      </c>
      <c r="DF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Col""&amp;COLUMN(DF$1)&amp;""=1""))&amp;""' ORDER BY Col6 DESC LIMIT ""&amp;QUERY('Global Variables'!$A:$B, ""SELECT Col2 WHERE Col1 = 'S"&amp;"TARTING_ROSTER_SIZE'"")),0))"),0.0)</f>
        <v>0</v>
      </c>
      <c r="DG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Col""&amp;COLUMN(DG$1)&amp;""=1""))&amp;""' ORDER BY Col6 DESC LIMIT ""&amp;QUERY('Global Variables'!$A:$B, ""SELECT Col2 WHERE Col1 = 'S"&amp;"TARTING_ROSTER_SIZE'"")),0))"),0.0)</f>
        <v>0</v>
      </c>
      <c r="DH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Col""&amp;COLUMN(DH$1)&amp;""=1""))&amp;""' ORDER BY Col6 DESC LIMIT ""&amp;QUERY('Global Variables'!$A:$B, ""SELECT Col2 WHERE Col1 = 'S"&amp;"TARTING_ROSTER_SIZE'"")),0))"),0.0)</f>
        <v>0</v>
      </c>
      <c r="DI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Col""&amp;COLUMN(DI$1)&amp;""=1""))&amp;""' ORDER BY Col6 DESC LIMIT ""&amp;QUERY('Global Variables'!$A:$B, ""SELECT Col2 WHERE Col1 = 'S"&amp;"TARTING_ROSTER_SIZE'"")),0))"),0.0)</f>
        <v>0</v>
      </c>
      <c r="DJ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Col""&amp;COLUMN(DJ$1)&amp;""=1""))&amp;""' ORDER BY Col6 DESC LIMIT ""&amp;QUERY('Global Variables'!$A:$B, ""SELECT Col2 WHERE Col1 = 'S"&amp;"TARTING_ROSTER_SIZE'"")),0))"),0.0)</f>
        <v>0</v>
      </c>
      <c r="DK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Col""&amp;COLUMN(DK$1)&amp;""=1""))&amp;""' ORDER BY Col6 DESC LIMIT ""&amp;QUERY('Global Variables'!$A:$B, ""SELECT Col2 WHERE Col1 = 'S"&amp;"TARTING_ROSTER_SIZE'"")),0))"),0.0)</f>
        <v>0</v>
      </c>
      <c r="DL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Col""&amp;COLUMN(DL$1)&amp;""=1""))&amp;""' ORDER BY Col6 DESC LIMIT ""&amp;QUERY('Global Variables'!$A:$B, ""SELECT Col2 WHERE Col1 = 'S"&amp;"TARTING_ROSTER_SIZE'"")),0))"),0.0)</f>
        <v>0</v>
      </c>
      <c r="DM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Col""&amp;COLUMN(DM$1)&amp;""=1""))&amp;""' ORDER BY Col6 DESC LIMIT ""&amp;QUERY('Global Variables'!$A:$B, ""SELECT Col2 WHERE Col1 = 'S"&amp;"TARTING_ROSTER_SIZE'"")),0))"),0.0)</f>
        <v>0</v>
      </c>
      <c r="DN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Col""&amp;COLUMN(DN$1)&amp;""=1""))&amp;""' ORDER BY Col6 DESC LIMIT ""&amp;QUERY('Global Variables'!$A:$B, ""SELECT Col2 WHERE Col1 = 'S"&amp;"TARTING_ROSTER_SIZE'"")),0))"),0.0)</f>
        <v>0</v>
      </c>
      <c r="DO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Col""&amp;COLUMN(DO$1)&amp;""=1""))&amp;""' ORDER BY Col6 DESC LIMIT ""&amp;QUERY('Global Variables'!$A:$B, ""SELECT Col2 WHERE Col1 = 'S"&amp;"TARTING_ROSTER_SIZE'"")),0))"),0.0)</f>
        <v>0</v>
      </c>
      <c r="DP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Col""&amp;COLUMN(DP$1)&amp;""=1""))&amp;""' ORDER BY Col6 DESC LIMIT ""&amp;QUERY('Global Variables'!$A:$B, ""SELECT Col2 WHERE Col1 = 'S"&amp;"TARTING_ROSTER_SIZE'"")),0))"),0.0)</f>
        <v>0</v>
      </c>
      <c r="DQ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Col""&amp;COLUMN(DQ$1)&amp;""=1""))&amp;""' ORDER BY Col6 DESC LIMIT ""&amp;QUERY('Global Variables'!$A:$B, ""SELECT Col2 WHERE Col1 = 'S"&amp;"TARTING_ROSTER_SIZE'"")),0))"),0.0)</f>
        <v>0</v>
      </c>
      <c r="DR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Col""&amp;COLUMN(DR$1)&amp;""=1""))&amp;""' ORDER BY Col6 DESC LIMIT ""&amp;QUERY('Global Variables'!$A:$B, ""SELECT Col2 WHERE Col1 = 'S"&amp;"TARTING_ROSTER_SIZE'"")),0))"),0.0)</f>
        <v>0</v>
      </c>
      <c r="DS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Col""&amp;COLUMN(DS$1)&amp;""=1""))&amp;""' ORDER BY Col6 DESC LIMIT ""&amp;QUERY('Global Variables'!$A:$B, ""SELECT Col2 WHERE Col1 = 'S"&amp;"TARTING_ROSTER_SIZE'"")),0))"),0.0)</f>
        <v>0</v>
      </c>
      <c r="DT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Col""&amp;COLUMN(DT$1)&amp;""=1""))&amp;""' ORDER BY Col6 DESC LIMIT ""&amp;QUERY('Global Variables'!$A:$B, ""SELECT Col2 WHERE Col1 = 'S"&amp;"TARTING_ROSTER_SIZE'"")),0))"),0.0)</f>
        <v>0</v>
      </c>
      <c r="DU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Col""&amp;COLUMN(DU$1)&amp;""=1""))&amp;""' ORDER BY Col6 DESC LIMIT ""&amp;QUERY('Global Variables'!$A:$B, ""SELECT Col2 WHERE Col1 = 'S"&amp;"TARTING_ROSTER_SIZE'"")),0))"),0.0)</f>
        <v>0</v>
      </c>
      <c r="DV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Col""&amp;COLUMN(DV$1)&amp;""=1""))&amp;""' ORDER BY Col6 DESC LIMIT ""&amp;QUERY('Global Variables'!$A:$B, ""SELECT Col2 WHERE Col1 = 'S"&amp;"TARTING_ROSTER_SIZE'"")),0))"),0.0)</f>
        <v>0</v>
      </c>
      <c r="DW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Col""&amp;COLUMN(DW$1)&amp;""=1""))&amp;""' ORDER BY Col6 DESC LIMIT ""&amp;QUERY('Global Variables'!$A:$B, ""SELECT Col2 WHERE Col1 = 'S"&amp;"TARTING_ROSTER_SIZE'"")),0))"),0.0)</f>
        <v>0</v>
      </c>
      <c r="DX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Col""&amp;COLUMN(DX$1)&amp;""=1""))&amp;""' ORDER BY Col6 DESC LIMIT ""&amp;QUERY('Global Variables'!$A:$B, ""SELECT Col2 WHERE Col1 = 'S"&amp;"TARTING_ROSTER_SIZE'"")),0))"),0.0)</f>
        <v>0</v>
      </c>
      <c r="DY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Col""&amp;COLUMN(DY$1)&amp;""=1""))&amp;""' ORDER BY Col6 DESC LIMIT ""&amp;QUERY('Global Variables'!$A:$B, ""SELECT Col2 WHERE Col1 = 'S"&amp;"TARTING_ROSTER_SIZE'"")),0))"),0.0)</f>
        <v>0</v>
      </c>
      <c r="DZ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Col""&amp;COLUMN(DZ$1)&amp;""=1""))&amp;""' ORDER BY Col6 DESC LIMIT ""&amp;QUERY('Global Variables'!$A:$B, ""SELECT Col2 WHERE Col1 = 'S"&amp;"TARTING_ROSTER_SIZE'"")),0))"),0.0)</f>
        <v>0</v>
      </c>
      <c r="EA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Col""&amp;COLUMN(EA$1)&amp;""=1""))&amp;""' ORDER BY Col6 DESC LIMIT ""&amp;QUERY('Global Variables'!$A:$B, ""SELECT Col2 WHERE Col1 = 'S"&amp;"TARTING_ROSTER_SIZE'"")),0))"),0.0)</f>
        <v>0</v>
      </c>
      <c r="EB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Col""&amp;COLUMN(EB$1)&amp;""=1""))&amp;""' ORDER BY Col6 DESC LIMIT ""&amp;QUERY('Global Variables'!$A:$B, ""SELECT Col2 WHERE Col1 = 'S"&amp;"TARTING_ROSTER_SIZE'"")),0))"),0.0)</f>
        <v>0</v>
      </c>
      <c r="EC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Col""&amp;COLUMN(EC$1)&amp;""=1""))&amp;""' ORDER BY Col6 DESC LIMIT ""&amp;QUERY('Global Variables'!$A:$B, ""SELECT Col2 WHERE Col1 = 'S"&amp;"TARTING_ROSTER_SIZE'"")),0))"),0.0)</f>
        <v>0</v>
      </c>
      <c r="ED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Col""&amp;COLUMN(ED$1)&amp;""=1""))&amp;""' ORDER BY Col6 DESC LIMIT ""&amp;QUERY('Global Variables'!$A:$B, ""SELECT Col2 WHERE Col1 = 'S"&amp;"TARTING_ROSTER_SIZE'"")),0))"),0.0)</f>
        <v>0</v>
      </c>
      <c r="EE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Col""&amp;COLUMN(EE$1)&amp;""=1""))&amp;""' ORDER BY Col6 DESC LIMIT ""&amp;QUERY('Global Variables'!$A:$B, ""SELECT Col2 WHERE Col1 = 'S"&amp;"TARTING_ROSTER_SIZE'"")),0))"),0.0)</f>
        <v>0</v>
      </c>
      <c r="EF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Col""&amp;COLUMN(EF$1)&amp;""=1""))&amp;""' ORDER BY Col6 DESC LIMIT ""&amp;QUERY('Global Variables'!$A:$B, ""SELECT Col2 WHERE Col1 = 'S"&amp;"TARTING_ROSTER_SIZE'"")),0))"),0.0)</f>
        <v>0</v>
      </c>
      <c r="EG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Col""&amp;COLUMN(EG$1)&amp;""=1""))&amp;""' ORDER BY Col6 DESC LIMIT ""&amp;QUERY('Global Variables'!$A:$B, ""SELECT Col2 WHERE Col1 = 'S"&amp;"TARTING_ROSTER_SIZE'"")),0))"),0.0)</f>
        <v>0</v>
      </c>
      <c r="EH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Col""&amp;COLUMN(EH$1)&amp;""=1""))&amp;""' ORDER BY Col6 DESC LIMIT ""&amp;QUERY('Global Variables'!$A:$B, ""SELECT Col2 WHERE Col1 = 'S"&amp;"TARTING_ROSTER_SIZE'"")),0))"),0.0)</f>
        <v>0</v>
      </c>
      <c r="EI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Col""&amp;COLUMN(EI$1)&amp;""=1""))&amp;""' ORDER BY Col6 DESC LIMIT ""&amp;QUERY('Global Variables'!$A:$B, ""SELECT Col2 WHERE Col1 = 'S"&amp;"TARTING_ROSTER_SIZE'"")),0))"),0.0)</f>
        <v>0</v>
      </c>
      <c r="EJ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Col""&amp;COLUMN(EJ$1)&amp;""=1""))&amp;""' ORDER BY Col6 DESC LIMIT ""&amp;QUERY('Global Variables'!$A:$B, ""SELECT Col2 WHERE Col1 = 'S"&amp;"TARTING_ROSTER_SIZE'"")),0))"),0.0)</f>
        <v>0</v>
      </c>
      <c r="EK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Col""&amp;COLUMN(EK$1)&amp;""=1""))&amp;""' ORDER BY Col6 DESC LIMIT ""&amp;QUERY('Global Variables'!$A:$B, ""SELECT Col2 WHERE Col1 = 'S"&amp;"TARTING_ROSTER_SIZE'"")),0))"),0.0)</f>
        <v>0</v>
      </c>
      <c r="EL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Col""&amp;COLUMN(EL$1)&amp;""=1""))&amp;""' ORDER BY Col6 DESC LIMIT ""&amp;QUERY('Global Variables'!$A:$B, ""SELECT Col2 WHERE Col1 = 'S"&amp;"TARTING_ROSTER_SIZE'"")),0))"),0.0)</f>
        <v>0</v>
      </c>
      <c r="EM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Col""&amp;COLUMN(EM$1)&amp;""=1""))&amp;""' ORDER BY Col6 DESC LIMIT ""&amp;QUERY('Global Variables'!$A:$B, ""SELECT Col2 WHERE Col1 = 'S"&amp;"TARTING_ROSTER_SIZE'"")),0))"),0.0)</f>
        <v>0</v>
      </c>
      <c r="EN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Col""&amp;COLUMN(EN$1)&amp;""=1""))&amp;""' ORDER BY Col6 DESC LIMIT ""&amp;QUERY('Global Variables'!$A:$B, ""SELECT Col2 WHERE Col1 = 'S"&amp;"TARTING_ROSTER_SIZE'"")),0))"),0.0)</f>
        <v>0</v>
      </c>
      <c r="EO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Col""&amp;COLUMN(EO$1)&amp;""=1""))&amp;""' ORDER BY Col6 DESC LIMIT ""&amp;QUERY('Global Variables'!$A:$B, ""SELECT Col2 WHERE Col1 = 'S"&amp;"TARTING_ROSTER_SIZE'"")),0))"),0.0)</f>
        <v>0</v>
      </c>
      <c r="EP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Col""&amp;COLUMN(EP$1)&amp;""=1""))&amp;""' ORDER BY Col6 DESC LIMIT ""&amp;QUERY('Global Variables'!$A:$B, ""SELECT Col2 WHERE Col1 = 'S"&amp;"TARTING_ROSTER_SIZE'"")),0))"),0.0)</f>
        <v>0</v>
      </c>
      <c r="EQ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Col""&amp;COLUMN(EQ$1)&amp;""=1""))&amp;""' ORDER BY Col6 DESC LIMIT ""&amp;QUERY('Global Variables'!$A:$B, ""SELECT Col2 WHERE Col1 = 'S"&amp;"TARTING_ROSTER_SIZE'"")),0))"),0.0)</f>
        <v>0</v>
      </c>
      <c r="ER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Col""&amp;COLUMN(ER$1)&amp;""=1""))&amp;""' ORDER BY Col6 DESC LIMIT ""&amp;QUERY('Global Variables'!$A:$B, ""SELECT Col2 WHERE Col1 = 'S"&amp;"TARTING_ROSTER_SIZE'"")),0))"),0.0)</f>
        <v>0</v>
      </c>
      <c r="ES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Col""&amp;COLUMN(ES$1)&amp;""=1""))&amp;""' ORDER BY Col6 DESC LIMIT ""&amp;QUERY('Global Variables'!$A:$B, ""SELECT Col2 WHERE Col1 = 'S"&amp;"TARTING_ROSTER_SIZE'"")),0))"),0.0)</f>
        <v>0</v>
      </c>
      <c r="ET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Col""&amp;COLUMN(ET$1)&amp;""=1""))&amp;""' ORDER BY Col6 DESC LIMIT ""&amp;QUERY('Global Variables'!$A:$B, ""SELECT Col2 WHERE Col1 = 'S"&amp;"TARTING_ROSTER_SIZE'"")),0))"),0.0)</f>
        <v>0</v>
      </c>
      <c r="EU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Col""&amp;COLUMN(EU$1)&amp;""=1""))&amp;""' ORDER BY Col6 DESC LIMIT ""&amp;QUERY('Global Variables'!$A:$B, ""SELECT Col2 WHERE Col1 = 'S"&amp;"TARTING_ROSTER_SIZE'"")),0))"),0.0)</f>
        <v>0</v>
      </c>
      <c r="EV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Col""&amp;COLUMN(EV$1)&amp;""=1""))&amp;""' ORDER BY Col6 DESC LIMIT ""&amp;QUERY('Global Variables'!$A:$B, ""SELECT Col2 WHERE Col1 = 'S"&amp;"TARTING_ROSTER_SIZE'"")),0))"),0.0)</f>
        <v>0</v>
      </c>
      <c r="EW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Col""&amp;COLUMN(EW$1)&amp;""=1""))&amp;""' ORDER BY Col6 DESC LIMIT ""&amp;QUERY('Global Variables'!$A:$B, ""SELECT Col2 WHERE Col1 = 'S"&amp;"TARTING_ROSTER_SIZE'"")),0))"),0.0)</f>
        <v>0</v>
      </c>
      <c r="EX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Col""&amp;COLUMN(EX$1)&amp;""=1""))&amp;""' ORDER BY Col6 DESC LIMIT ""&amp;QUERY('Global Variables'!$A:$B, ""SELECT Col2 WHERE Col1 = 'S"&amp;"TARTING_ROSTER_SIZE'"")),0))"),0.0)</f>
        <v>0</v>
      </c>
      <c r="EY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Col""&amp;COLUMN(EY$1)&amp;""=1""))&amp;""' ORDER BY Col6 DESC LIMIT ""&amp;QUERY('Global Variables'!$A:$B, ""SELECT Col2 WHERE Col1 = 'S"&amp;"TARTING_ROSTER_SIZE'"")),0))"),0.0)</f>
        <v>0</v>
      </c>
      <c r="EZ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Col""&amp;COLUMN(EZ$1)&amp;""=1""))&amp;""' ORDER BY Col6 DESC LIMIT ""&amp;QUERY('Global Variables'!$A:$B, ""SELECT Col2 WHERE Col1 = 'S"&amp;"TARTING_ROSTER_SIZE'"")),0))"),0.0)</f>
        <v>0</v>
      </c>
      <c r="FA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Col""&amp;COLUMN(FA$1)&amp;""=1""))&amp;""' ORDER BY Col6 DESC LIMIT ""&amp;QUERY('Global Variables'!$A:$B, ""SELECT Col2 WHERE Col1 = 'S"&amp;"TARTING_ROSTER_SIZE'"")),0))"),0.0)</f>
        <v>0</v>
      </c>
      <c r="FB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Col""&amp;COLUMN(FB$1)&amp;""=1""))&amp;""' ORDER BY Col6 DESC LIMIT ""&amp;QUERY('Global Variables'!$A:$B, ""SELECT Col2 WHERE Col1 = 'S"&amp;"TARTING_ROSTER_SIZE'"")),0))"),0.0)</f>
        <v>0</v>
      </c>
      <c r="FC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Col""&amp;COLUMN(FC$1)&amp;""=1""))&amp;""' ORDER BY Col6 DESC LIMIT ""&amp;QUERY('Global Variables'!$A:$B, ""SELECT Col2 WHERE Col1 = 'S"&amp;"TARTING_ROSTER_SIZE'"")),0))"),0.0)</f>
        <v>0</v>
      </c>
      <c r="FD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Col""&amp;COLUMN(FD$1)&amp;""=1""))&amp;""' ORDER BY Col6 DESC LIMIT ""&amp;QUERY('Global Variables'!$A:$B, ""SELECT Col2 WHERE Col1 = 'S"&amp;"TARTING_ROSTER_SIZE'"")),0))"),0.0)</f>
        <v>0</v>
      </c>
      <c r="FE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Col""&amp;COLUMN(FE$1)&amp;""=1""))&amp;""' ORDER BY Col6 DESC LIMIT ""&amp;QUERY('Global Variables'!$A:$B, ""SELECT Col2 WHERE Col1 = 'S"&amp;"TARTING_ROSTER_SIZE'"")),0))"),0.0)</f>
        <v>0</v>
      </c>
      <c r="FF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Col""&amp;COLUMN(FF$1)&amp;""=1""))&amp;""' ORDER BY Col6 DESC LIMIT ""&amp;QUERY('Global Variables'!$A:$B, ""SELECT Col2 WHERE Col1 = 'S"&amp;"TARTING_ROSTER_SIZE'"")),0))"),0.0)</f>
        <v>0</v>
      </c>
      <c r="FG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Col""&amp;COLUMN(FG$1)&amp;""=1""))&amp;""' ORDER BY Col6 DESC LIMIT ""&amp;QUERY('Global Variables'!$A:$B, ""SELECT Col2 WHERE Col1 = 'S"&amp;"TARTING_ROSTER_SIZE'"")),0))"),0.0)</f>
        <v>0</v>
      </c>
      <c r="FH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Col""&amp;COLUMN(FH$1)&amp;""=1""))&amp;""' ORDER BY Col6 DESC LIMIT ""&amp;QUERY('Global Variables'!$A:$B, ""SELECT Col2 WHERE Col1 = 'S"&amp;"TARTING_ROSTER_SIZE'"")),0))"),0.0)</f>
        <v>0</v>
      </c>
      <c r="FI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Col""&amp;COLUMN(FI$1)&amp;""=1""))&amp;""' ORDER BY Col6 DESC LIMIT ""&amp;QUERY('Global Variables'!$A:$B, ""SELECT Col2 WHERE Col1 = 'S"&amp;"TARTING_ROSTER_SIZE'"")),0))"),0.0)</f>
        <v>0</v>
      </c>
      <c r="FJ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Col""&amp;COLUMN(FJ$1)&amp;""=1""))&amp;""' ORDER BY Col6 DESC LIMIT ""&amp;QUERY('Global Variables'!$A:$B, ""SELECT Col2 WHERE Col1 = 'S"&amp;"TARTING_ROSTER_SIZE'"")),0))"),0.0)</f>
        <v>0</v>
      </c>
      <c r="FK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Col""&amp;COLUMN(FK$1)&amp;""=1""))&amp;""' ORDER BY Col6 DESC LIMIT ""&amp;QUERY('Global Variables'!$A:$B, ""SELECT Col2 WHERE Col1 = 'S"&amp;"TARTING_ROSTER_SIZE'"")),0))"),0.0)</f>
        <v>0</v>
      </c>
      <c r="FL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Col""&amp;COLUMN(FL$1)&amp;""=1""))&amp;""' ORDER BY Col6 DESC LIMIT ""&amp;QUERY('Global Variables'!$A:$B, ""SELECT Col2 WHERE Col1 = 'S"&amp;"TARTING_ROSTER_SIZE'"")),0))"),0.0)</f>
        <v>0</v>
      </c>
      <c r="FM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Col""&amp;COLUMN(FM$1)&amp;""=1""))&amp;""' ORDER BY Col6 DESC LIMIT ""&amp;QUERY('Global Variables'!$A:$B, ""SELECT Col2 WHERE Col1 = 'S"&amp;"TARTING_ROSTER_SIZE'"")),0))"),0.0)</f>
        <v>0</v>
      </c>
      <c r="FN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Col""&amp;COLUMN(FN$1)&amp;""=1""))&amp;""' ORDER BY Col6 DESC LIMIT ""&amp;QUERY('Global Variables'!$A:$B, ""SELECT Col2 WHERE Col1 = 'S"&amp;"TARTING_ROSTER_SIZE'"")),0))"),0.0)</f>
        <v>0</v>
      </c>
      <c r="FO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Col""&amp;COLUMN(FO$1)&amp;""=1""))&amp;""' ORDER BY Col6 DESC LIMIT ""&amp;QUERY('Global Variables'!$A:$B, ""SELECT Col2 WHERE Col1 = 'S"&amp;"TARTING_ROSTER_SIZE'"")),0))"),0.0)</f>
        <v>0</v>
      </c>
      <c r="FP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Col""&amp;COLUMN(FP$1)&amp;""=1""))&amp;""' ORDER BY Col6 DESC LIMIT ""&amp;QUERY('Global Variables'!$A:$B, ""SELECT Col2 WHERE Col1 = 'S"&amp;"TARTING_ROSTER_SIZE'"")),0))"),0.0)</f>
        <v>0</v>
      </c>
      <c r="FQ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Col""&amp;COLUMN(FQ$1)&amp;""=1""))&amp;""' ORDER BY Col6 DESC LIMIT ""&amp;QUERY('Global Variables'!$A:$B, ""SELECT Col2 WHERE Col1 = 'S"&amp;"TARTING_ROSTER_SIZE'"")),0))"),0.0)</f>
        <v>0</v>
      </c>
      <c r="FR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Col""&amp;COLUMN(FR$1)&amp;""=1""))&amp;""' ORDER BY Col6 DESC LIMIT ""&amp;QUERY('Global Variables'!$A:$B, ""SELECT Col2 WHERE Col1 = 'S"&amp;"TARTING_ROSTER_SIZE'"")),0))"),0.0)</f>
        <v>0</v>
      </c>
      <c r="FS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Col""&amp;COLUMN(FS$1)&amp;""=1""))&amp;""' ORDER BY Col6 DESC LIMIT ""&amp;QUERY('Global Variables'!$A:$B, ""SELECT Col2 WHERE Col1 = 'S"&amp;"TARTING_ROSTER_SIZE'"")),0))"),0.0)</f>
        <v>0</v>
      </c>
      <c r="FT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Col""&amp;COLUMN(FT$1)&amp;""=1""))&amp;""' ORDER BY Col6 DESC LIMIT ""&amp;QUERY('Global Variables'!$A:$B, ""SELECT Col2 WHERE Col1 = 'S"&amp;"TARTING_ROSTER_SIZE'"")),0))"),0.0)</f>
        <v>0</v>
      </c>
      <c r="FU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Col""&amp;COLUMN(FU$1)&amp;""=1""))&amp;""' ORDER BY Col6 DESC LIMIT ""&amp;QUERY('Global Variables'!$A:$B, ""SELECT Col2 WHERE Col1 = 'S"&amp;"TARTING_ROSTER_SIZE'"")),0))"),0.0)</f>
        <v>0</v>
      </c>
      <c r="FV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Col""&amp;COLUMN(FV$1)&amp;""=1""))&amp;""' ORDER BY Col6 DESC LIMIT ""&amp;QUERY('Global Variables'!$A:$B, ""SELECT Col2 WHERE Col1 = 'S"&amp;"TARTING_ROSTER_SIZE'"")),0))"),0.0)</f>
        <v>0</v>
      </c>
      <c r="FW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Col""&amp;COLUMN(FW$1)&amp;""=1""))&amp;""' ORDER BY Col6 DESC LIMIT ""&amp;QUERY('Global Variables'!$A:$B, ""SELECT Col2 WHERE Col1 = 'S"&amp;"TARTING_ROSTER_SIZE'"")),0))"),0.0)</f>
        <v>0</v>
      </c>
      <c r="FX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Col""&amp;COLUMN(FX$1)&amp;""=1""))&amp;""' ORDER BY Col6 DESC LIMIT ""&amp;QUERY('Global Variables'!$A:$B, ""SELECT Col2 WHERE Col1 = 'S"&amp;"TARTING_ROSTER_SIZE'"")),0))"),0.0)</f>
        <v>0</v>
      </c>
      <c r="FY15" s="9">
        <f>IFERROR(__xludf.DUMMYFUNCTION("SUM(
IFERROR(QUERY(
IFERROR(
OFFSET(Teams!$A$1,MATCH($A15,Teams!$A:$A,0),1,QUERY('Global Variables'!$A:$B, ""SELECT Col2 WHERE Col1 = '""&amp;IF($B$21,""TEAM_SIZE"",""ACTIVE_ROSTER_SIZE"")&amp;""'""),QUERY('Global Variables'!$A:$B, ""SELECT Col2 WHERE Col1 = 'TEA"&amp;"M_DATA_FIELD_COUNT'"")),
OFFSET(Teams!$K$1,MATCH($A15,Teams!$K:$K,0),1,QUERY('Global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Col""&amp;COLUMN(FY$1)&amp;""=1""))&amp;""' ORDER BY Col6 DESC LIMIT ""&amp;QUERY('Global Variables'!$A:$B, ""SELECT Col2 WHERE Col1 = 'S"&amp;"TARTING_ROSTER_SIZE'"")),0))"),0.0)</f>
        <v>0</v>
      </c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</row>
    <row r="16">
      <c r="A16" s="32" t="str">
        <f>'Weekly EDSA'!A15</f>
        <v>Nee</v>
      </c>
      <c r="B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Col""&amp;COLUMN(B$1)&amp;""=1""))&amp;""' ORDER BY Col6 DESC LIMIT ""&amp;QUERY('Global Variables'!$A:$B, ""SELECT Col2 WHERE Col1 = 'ST"&amp;"ARTING_ROSTER_SIZE'"")),0))"),0.0)</f>
        <v>0</v>
      </c>
      <c r="C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Col""&amp;COLUMN(C$1)&amp;""=1""))&amp;""' ORDER BY Col6 DESC LIMIT ""&amp;QUERY('Global Variables'!$A:$B, ""SELECT Col2 WHERE Col1 = 'ST"&amp;"ARTING_ROSTER_SIZE'"")),0))"),0.0)</f>
        <v>0</v>
      </c>
      <c r="D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Col""&amp;COLUMN(D$1)&amp;""=1""))&amp;""' ORDER BY Col6 DESC LIMIT ""&amp;QUERY('Global Variables'!$A:$B, ""SELECT Col2 WHERE Col1 = 'ST"&amp;"ARTING_ROSTER_SIZE'"")),0))"),0.0)</f>
        <v>0</v>
      </c>
      <c r="E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Col""&amp;COLUMN(E$1)&amp;""=1""))&amp;""' ORDER BY Col6 DESC LIMIT ""&amp;QUERY('Global Variables'!$A:$B, ""SELECT Col2 WHERE Col1 = 'ST"&amp;"ARTING_ROSTER_SIZE'"")),0))"),0.0)</f>
        <v>0</v>
      </c>
      <c r="F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Col""&amp;COLUMN(F$1)&amp;""=1""))&amp;""' ORDER BY Col6 DESC LIMIT ""&amp;QUERY('Global Variables'!$A:$B, ""SELECT Col2 WHERE Col1 = 'ST"&amp;"ARTING_ROSTER_SIZE'"")),0))"),0.0)</f>
        <v>0</v>
      </c>
      <c r="G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Col""&amp;COLUMN(G$1)&amp;""=1""))&amp;""' ORDER BY Col6 DESC LIMIT ""&amp;QUERY('Global Variables'!$A:$B, ""SELECT Col2 WHERE Col1 = 'ST"&amp;"ARTING_ROSTER_SIZE'"")),0))"),0.0)</f>
        <v>0</v>
      </c>
      <c r="H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Col""&amp;COLUMN(H$1)&amp;""=1""))&amp;""' ORDER BY Col6 DESC LIMIT ""&amp;QUERY('Global Variables'!$A:$B, ""SELECT Col2 WHERE Col1 = 'ST"&amp;"ARTING_ROSTER_SIZE'"")),0))"),0.0)</f>
        <v>0</v>
      </c>
      <c r="I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Col""&amp;COLUMN(I$1)&amp;""=1""))&amp;""' ORDER BY Col6 DESC LIMIT ""&amp;QUERY('Global Variables'!$A:$B, ""SELECT Col2 WHERE Col1 = 'ST"&amp;"ARTING_ROSTER_SIZE'"")),0))"),0.0)</f>
        <v>0</v>
      </c>
      <c r="J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Col""&amp;COLUMN(J$1)&amp;""=1""))&amp;""' ORDER BY Col6 DESC LIMIT ""&amp;QUERY('Global Variables'!$A:$B, ""SELECT Col2 WHERE Col1 = 'ST"&amp;"ARTING_ROSTER_SIZE'"")),0))"),0.0)</f>
        <v>0</v>
      </c>
      <c r="K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Col""&amp;COLUMN(K$1)&amp;""=1""))&amp;""' ORDER BY Col6 DESC LIMIT ""&amp;QUERY('Global Variables'!$A:$B, ""SELECT Col2 WHERE Col1 = 'ST"&amp;"ARTING_ROSTER_SIZE'"")),0))"),0.0)</f>
        <v>0</v>
      </c>
      <c r="L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Col""&amp;COLUMN(L$1)&amp;""=1""))&amp;""' ORDER BY Col6 DESC LIMIT ""&amp;QUERY('Global Variables'!$A:$B, ""SELECT Col2 WHERE Col1 = 'ST"&amp;"ARTING_ROSTER_SIZE'"")),0))"),0.0)</f>
        <v>0</v>
      </c>
      <c r="M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Col""&amp;COLUMN(M$1)&amp;""=1""))&amp;""' ORDER BY Col6 DESC LIMIT ""&amp;QUERY('Global Variables'!$A:$B, ""SELECT Col2 WHERE Col1 = 'ST"&amp;"ARTING_ROSTER_SIZE'"")),0))"),0.0)</f>
        <v>0</v>
      </c>
      <c r="N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Col""&amp;COLUMN(N$1)&amp;""=1""))&amp;""' ORDER BY Col6 DESC LIMIT ""&amp;QUERY('Global Variables'!$A:$B, ""SELECT Col2 WHERE Col1 = 'ST"&amp;"ARTING_ROSTER_SIZE'"")),0))"),0.0)</f>
        <v>0</v>
      </c>
      <c r="O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Col""&amp;COLUMN(O$1)&amp;""=1""))&amp;""' ORDER BY Col6 DESC LIMIT ""&amp;QUERY('Global Variables'!$A:$B, ""SELECT Col2 WHERE Col1 = 'ST"&amp;"ARTING_ROSTER_SIZE'"")),0))"),0.0)</f>
        <v>0</v>
      </c>
      <c r="P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Col""&amp;COLUMN(P$1)&amp;""=1""))&amp;""' ORDER BY Col6 DESC LIMIT ""&amp;QUERY('Global Variables'!$A:$B, ""SELECT Col2 WHERE Col1 = 'ST"&amp;"ARTING_ROSTER_SIZE'"")),0))"),0.0)</f>
        <v>0</v>
      </c>
      <c r="Q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Col""&amp;COLUMN(Q$1)&amp;""=1""))&amp;""' ORDER BY Col6 DESC LIMIT ""&amp;QUERY('Global Variables'!$A:$B, ""SELECT Col2 WHERE Col1 = 'ST"&amp;"ARTING_ROSTER_SIZE'"")),0))"),0.0)</f>
        <v>0</v>
      </c>
      <c r="R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Col""&amp;COLUMN(R$1)&amp;""=1""))&amp;""' ORDER BY Col6 DESC LIMIT ""&amp;QUERY('Global Variables'!$A:$B, ""SELECT Col2 WHERE Col1 = 'ST"&amp;"ARTING_ROSTER_SIZE'"")),0))"),0.0)</f>
        <v>0</v>
      </c>
      <c r="S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Col""&amp;COLUMN(S$1)&amp;""=1""))&amp;""' ORDER BY Col6 DESC LIMIT ""&amp;QUERY('Global Variables'!$A:$B, ""SELECT Col2 WHERE Col1 = 'ST"&amp;"ARTING_ROSTER_SIZE'"")),0))"),0.0)</f>
        <v>0</v>
      </c>
      <c r="T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Col""&amp;COLUMN(T$1)&amp;""=1""))&amp;""' ORDER BY Col6 DESC LIMIT ""&amp;QUERY('Global Variables'!$A:$B, ""SELECT Col2 WHERE Col1 = 'ST"&amp;"ARTING_ROSTER_SIZE'"")),0))"),0.0)</f>
        <v>0</v>
      </c>
      <c r="U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Col""&amp;COLUMN(U$1)&amp;""=1""))&amp;""' ORDER BY Col6 DESC LIMIT ""&amp;QUERY('Global Variables'!$A:$B, ""SELECT Col2 WHERE Col1 = 'ST"&amp;"ARTING_ROSTER_SIZE'"")),0))"),0.0)</f>
        <v>0</v>
      </c>
      <c r="V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Col""&amp;COLUMN(V$1)&amp;""=1""))&amp;""' ORDER BY Col6 DESC LIMIT ""&amp;QUERY('Global Variables'!$A:$B, ""SELECT Col2 WHERE Col1 = 'ST"&amp;"ARTING_ROSTER_SIZE'"")),0))"),0.0)</f>
        <v>0</v>
      </c>
      <c r="W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Col""&amp;COLUMN(W$1)&amp;""=1""))&amp;""' ORDER BY Col6 DESC LIMIT ""&amp;QUERY('Global Variables'!$A:$B, ""SELECT Col2 WHERE Col1 = 'ST"&amp;"ARTING_ROSTER_SIZE'"")),0))"),0.0)</f>
        <v>0</v>
      </c>
      <c r="X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Col""&amp;COLUMN(X$1)&amp;""=1""))&amp;""' ORDER BY Col6 DESC LIMIT ""&amp;QUERY('Global Variables'!$A:$B, ""SELECT Col2 WHERE Col1 = 'ST"&amp;"ARTING_ROSTER_SIZE'"")),0))"),0.0)</f>
        <v>0</v>
      </c>
      <c r="Y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Col""&amp;COLUMN(Y$1)&amp;""=1""))&amp;""' ORDER BY Col6 DESC LIMIT ""&amp;QUERY('Global Variables'!$A:$B, ""SELECT Col2 WHERE Col1 = 'ST"&amp;"ARTING_ROSTER_SIZE'"")),0))"),0.0)</f>
        <v>0</v>
      </c>
      <c r="Z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Col""&amp;COLUMN(Z$1)&amp;""=1""))&amp;""' ORDER BY Col6 DESC LIMIT ""&amp;QUERY('Global Variables'!$A:$B, ""SELECT Col2 WHERE Col1 = 'ST"&amp;"ARTING_ROSTER_SIZE'"")),0))"),0.0)</f>
        <v>0</v>
      </c>
      <c r="AA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Col""&amp;COLUMN(AA$1)&amp;""=1""))&amp;""' ORDER BY Col6 DESC LIMIT ""&amp;QUERY('Global Variables'!$A:$B, ""SELECT Col2 WHERE Col1 = 'S"&amp;"TARTING_ROSTER_SIZE'"")),0))"),0.0)</f>
        <v>0</v>
      </c>
      <c r="AB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Col""&amp;COLUMN(AB$1)&amp;""=1""))&amp;""' ORDER BY Col6 DESC LIMIT ""&amp;QUERY('Global Variables'!$A:$B, ""SELECT Col2 WHERE Col1 = 'S"&amp;"TARTING_ROSTER_SIZE'"")),0))"),0.0)</f>
        <v>0</v>
      </c>
      <c r="AC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Col""&amp;COLUMN(AC$1)&amp;""=1""))&amp;""' ORDER BY Col6 DESC LIMIT ""&amp;QUERY('Global Variables'!$A:$B, ""SELECT Col2 WHERE Col1 = 'S"&amp;"TARTING_ROSTER_SIZE'"")),0))"),0.0)</f>
        <v>0</v>
      </c>
      <c r="AD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Col""&amp;COLUMN(AD$1)&amp;""=1""))&amp;""' ORDER BY Col6 DESC LIMIT ""&amp;QUERY('Global Variables'!$A:$B, ""SELECT Col2 WHERE Col1 = 'S"&amp;"TARTING_ROSTER_SIZE'"")),0))"),0.0)</f>
        <v>0</v>
      </c>
      <c r="AE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Col""&amp;COLUMN(AE$1)&amp;""=1""))&amp;""' ORDER BY Col6 DESC LIMIT ""&amp;QUERY('Global Variables'!$A:$B, ""SELECT Col2 WHERE Col1 = 'S"&amp;"TARTING_ROSTER_SIZE'"")),0))"),0.0)</f>
        <v>0</v>
      </c>
      <c r="AF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Col""&amp;COLUMN(AF$1)&amp;""=1""))&amp;""' ORDER BY Col6 DESC LIMIT ""&amp;QUERY('Global Variables'!$A:$B, ""SELECT Col2 WHERE Col1 = 'S"&amp;"TARTING_ROSTER_SIZE'"")),0))"),0.0)</f>
        <v>0</v>
      </c>
      <c r="AG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Col""&amp;COLUMN(AG$1)&amp;""=1""))&amp;""' ORDER BY Col6 DESC LIMIT ""&amp;QUERY('Global Variables'!$A:$B, ""SELECT Col2 WHERE Col1 = 'S"&amp;"TARTING_ROSTER_SIZE'"")),0))"),0.0)</f>
        <v>0</v>
      </c>
      <c r="AH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Col""&amp;COLUMN(AH$1)&amp;""=1""))&amp;""' ORDER BY Col6 DESC LIMIT ""&amp;QUERY('Global Variables'!$A:$B, ""SELECT Col2 WHERE Col1 = 'S"&amp;"TARTING_ROSTER_SIZE'"")),0))"),0.0)</f>
        <v>0</v>
      </c>
      <c r="AI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Col""&amp;COLUMN(AI$1)&amp;""=1""))&amp;""' ORDER BY Col6 DESC LIMIT ""&amp;QUERY('Global Variables'!$A:$B, ""SELECT Col2 WHERE Col1 = 'S"&amp;"TARTING_ROSTER_SIZE'"")),0))"),0.0)</f>
        <v>0</v>
      </c>
      <c r="AJ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Col""&amp;COLUMN(AJ$1)&amp;""=1""))&amp;""' ORDER BY Col6 DESC LIMIT ""&amp;QUERY('Global Variables'!$A:$B, ""SELECT Col2 WHERE Col1 = 'S"&amp;"TARTING_ROSTER_SIZE'"")),0))"),0.0)</f>
        <v>0</v>
      </c>
      <c r="AK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Col""&amp;COLUMN(AK$1)&amp;""=1""))&amp;""' ORDER BY Col6 DESC LIMIT ""&amp;QUERY('Global Variables'!$A:$B, ""SELECT Col2 WHERE Col1 = 'S"&amp;"TARTING_ROSTER_SIZE'"")),0))"),0.0)</f>
        <v>0</v>
      </c>
      <c r="AL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Col""&amp;COLUMN(AL$1)&amp;""=1""))&amp;""' ORDER BY Col6 DESC LIMIT ""&amp;QUERY('Global Variables'!$A:$B, ""SELECT Col2 WHERE Col1 = 'S"&amp;"TARTING_ROSTER_SIZE'"")),0))"),0.0)</f>
        <v>0</v>
      </c>
      <c r="AM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Col""&amp;COLUMN(AM$1)&amp;""=1""))&amp;""' ORDER BY Col6 DESC LIMIT ""&amp;QUERY('Global Variables'!$A:$B, ""SELECT Col2 WHERE Col1 = 'S"&amp;"TARTING_ROSTER_SIZE'"")),0))"),0.0)</f>
        <v>0</v>
      </c>
      <c r="AN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Col""&amp;COLUMN(AN$1)&amp;""=1""))&amp;""' ORDER BY Col6 DESC LIMIT ""&amp;QUERY('Global Variables'!$A:$B, ""SELECT Col2 WHERE Col1 = 'S"&amp;"TARTING_ROSTER_SIZE'"")),0))"),0.0)</f>
        <v>0</v>
      </c>
      <c r="AO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Col""&amp;COLUMN(AO$1)&amp;""=1""))&amp;""' ORDER BY Col6 DESC LIMIT ""&amp;QUERY('Global Variables'!$A:$B, ""SELECT Col2 WHERE Col1 = 'S"&amp;"TARTING_ROSTER_SIZE'"")),0))"),0.0)</f>
        <v>0</v>
      </c>
      <c r="AP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Col""&amp;COLUMN(AP$1)&amp;""=1""))&amp;""' ORDER BY Col6 DESC LIMIT ""&amp;QUERY('Global Variables'!$A:$B, ""SELECT Col2 WHERE Col1 = 'S"&amp;"TARTING_ROSTER_SIZE'"")),0))"),0.0)</f>
        <v>0</v>
      </c>
      <c r="AQ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Col""&amp;COLUMN(AQ$1)&amp;""=1""))&amp;""' ORDER BY Col6 DESC LIMIT ""&amp;QUERY('Global Variables'!$A:$B, ""SELECT Col2 WHERE Col1 = 'S"&amp;"TARTING_ROSTER_SIZE'"")),0))"),0.0)</f>
        <v>0</v>
      </c>
      <c r="AR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Col""&amp;COLUMN(AR$1)&amp;""=1""))&amp;""' ORDER BY Col6 DESC LIMIT ""&amp;QUERY('Global Variables'!$A:$B, ""SELECT Col2 WHERE Col1 = 'S"&amp;"TARTING_ROSTER_SIZE'"")),0))"),0.0)</f>
        <v>0</v>
      </c>
      <c r="AS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Col""&amp;COLUMN(AS$1)&amp;""=1""))&amp;""' ORDER BY Col6 DESC LIMIT ""&amp;QUERY('Global Variables'!$A:$B, ""SELECT Col2 WHERE Col1 = 'S"&amp;"TARTING_ROSTER_SIZE'"")),0))"),0.0)</f>
        <v>0</v>
      </c>
      <c r="AT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Col""&amp;COLUMN(AT$1)&amp;""=1""))&amp;""' ORDER BY Col6 DESC LIMIT ""&amp;QUERY('Global Variables'!$A:$B, ""SELECT Col2 WHERE Col1 = 'S"&amp;"TARTING_ROSTER_SIZE'"")),0))"),0.0)</f>
        <v>0</v>
      </c>
      <c r="AU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Col""&amp;COLUMN(AU$1)&amp;""=1""))&amp;""' ORDER BY Col6 DESC LIMIT ""&amp;QUERY('Global Variables'!$A:$B, ""SELECT Col2 WHERE Col1 = 'S"&amp;"TARTING_ROSTER_SIZE'"")),0))"),0.0)</f>
        <v>0</v>
      </c>
      <c r="AV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Col""&amp;COLUMN(AV$1)&amp;""=1""))&amp;""' ORDER BY Col6 DESC LIMIT ""&amp;QUERY('Global Variables'!$A:$B, ""SELECT Col2 WHERE Col1 = 'S"&amp;"TARTING_ROSTER_SIZE'"")),0))"),0.0)</f>
        <v>0</v>
      </c>
      <c r="AW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Col""&amp;COLUMN(AW$1)&amp;""=1""))&amp;""' ORDER BY Col6 DESC LIMIT ""&amp;QUERY('Global Variables'!$A:$B, ""SELECT Col2 WHERE Col1 = 'S"&amp;"TARTING_ROSTER_SIZE'"")),0))"),0.0)</f>
        <v>0</v>
      </c>
      <c r="AX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Col""&amp;COLUMN(AX$1)&amp;""=1""))&amp;""' ORDER BY Col6 DESC LIMIT ""&amp;QUERY('Global Variables'!$A:$B, ""SELECT Col2 WHERE Col1 = 'S"&amp;"TARTING_ROSTER_SIZE'"")),0))"),0.0)</f>
        <v>0</v>
      </c>
      <c r="AY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Col""&amp;COLUMN(AY$1)&amp;""=1""))&amp;""' ORDER BY Col6 DESC LIMIT ""&amp;QUERY('Global Variables'!$A:$B, ""SELECT Col2 WHERE Col1 = 'S"&amp;"TARTING_ROSTER_SIZE'"")),0))"),0.0)</f>
        <v>0</v>
      </c>
      <c r="AZ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Col""&amp;COLUMN(AZ$1)&amp;""=1""))&amp;""' ORDER BY Col6 DESC LIMIT ""&amp;QUERY('Global Variables'!$A:$B, ""SELECT Col2 WHERE Col1 = 'S"&amp;"TARTING_ROSTER_SIZE'"")),0))"),0.0)</f>
        <v>0</v>
      </c>
      <c r="BA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Col""&amp;COLUMN(BA$1)&amp;""=1""))&amp;""' ORDER BY Col6 DESC LIMIT ""&amp;QUERY('Global Variables'!$A:$B, ""SELECT Col2 WHERE Col1 = 'S"&amp;"TARTING_ROSTER_SIZE'"")),0))"),0.0)</f>
        <v>0</v>
      </c>
      <c r="BB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Col""&amp;COLUMN(BB$1)&amp;""=1""))&amp;""' ORDER BY Col6 DESC LIMIT ""&amp;QUERY('Global Variables'!$A:$B, ""SELECT Col2 WHERE Col1 = 'S"&amp;"TARTING_ROSTER_SIZE'"")),0))"),0.0)</f>
        <v>0</v>
      </c>
      <c r="BC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Col""&amp;COLUMN(BC$1)&amp;""=1""))&amp;""' ORDER BY Col6 DESC LIMIT ""&amp;QUERY('Global Variables'!$A:$B, ""SELECT Col2 WHERE Col1 = 'S"&amp;"TARTING_ROSTER_SIZE'"")),0))"),0.0)</f>
        <v>0</v>
      </c>
      <c r="BD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Col""&amp;COLUMN(BD$1)&amp;""=1""))&amp;""' ORDER BY Col6 DESC LIMIT ""&amp;QUERY('Global Variables'!$A:$B, ""SELECT Col2 WHERE Col1 = 'S"&amp;"TARTING_ROSTER_SIZE'"")),0))"),0.0)</f>
        <v>0</v>
      </c>
      <c r="BE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Col""&amp;COLUMN(BE$1)&amp;""=1""))&amp;""' ORDER BY Col6 DESC LIMIT ""&amp;QUERY('Global Variables'!$A:$B, ""SELECT Col2 WHERE Col1 = 'S"&amp;"TARTING_ROSTER_SIZE'"")),0))"),0.0)</f>
        <v>0</v>
      </c>
      <c r="BF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Col""&amp;COLUMN(BF$1)&amp;""=1""))&amp;""' ORDER BY Col6 DESC LIMIT ""&amp;QUERY('Global Variables'!$A:$B, ""SELECT Col2 WHERE Col1 = 'S"&amp;"TARTING_ROSTER_SIZE'"")),0))"),0.0)</f>
        <v>0</v>
      </c>
      <c r="BG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Col""&amp;COLUMN(BG$1)&amp;""=1""))&amp;""' ORDER BY Col6 DESC LIMIT ""&amp;QUERY('Global Variables'!$A:$B, ""SELECT Col2 WHERE Col1 = 'S"&amp;"TARTING_ROSTER_SIZE'"")),0))"),0.0)</f>
        <v>0</v>
      </c>
      <c r="BH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Col""&amp;COLUMN(BH$1)&amp;""=1""))&amp;""' ORDER BY Col6 DESC LIMIT ""&amp;QUERY('Global Variables'!$A:$B, ""SELECT Col2 WHERE Col1 = 'S"&amp;"TARTING_ROSTER_SIZE'"")),0))"),0.0)</f>
        <v>0</v>
      </c>
      <c r="BI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Col""&amp;COLUMN(BI$1)&amp;""=1""))&amp;""' ORDER BY Col6 DESC LIMIT ""&amp;QUERY('Global Variables'!$A:$B, ""SELECT Col2 WHERE Col1 = 'S"&amp;"TARTING_ROSTER_SIZE'"")),0))"),0.0)</f>
        <v>0</v>
      </c>
      <c r="BJ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Col""&amp;COLUMN(BJ$1)&amp;""=1""))&amp;""' ORDER BY Col6 DESC LIMIT ""&amp;QUERY('Global Variables'!$A:$B, ""SELECT Col2 WHERE Col1 = 'S"&amp;"TARTING_ROSTER_SIZE'"")),0))"),0.0)</f>
        <v>0</v>
      </c>
      <c r="BK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Col""&amp;COLUMN(BK$1)&amp;""=1""))&amp;""' ORDER BY Col6 DESC LIMIT ""&amp;QUERY('Global Variables'!$A:$B, ""SELECT Col2 WHERE Col1 = 'S"&amp;"TARTING_ROSTER_SIZE'"")),0))"),0.0)</f>
        <v>0</v>
      </c>
      <c r="BL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Col""&amp;COLUMN(BL$1)&amp;""=1""))&amp;""' ORDER BY Col6 DESC LIMIT ""&amp;QUERY('Global Variables'!$A:$B, ""SELECT Col2 WHERE Col1 = 'S"&amp;"TARTING_ROSTER_SIZE'"")),0))"),0.0)</f>
        <v>0</v>
      </c>
      <c r="BM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Col""&amp;COLUMN(BM$1)&amp;""=1""))&amp;""' ORDER BY Col6 DESC LIMIT ""&amp;QUERY('Global Variables'!$A:$B, ""SELECT Col2 WHERE Col1 = 'S"&amp;"TARTING_ROSTER_SIZE'"")),0))"),0.0)</f>
        <v>0</v>
      </c>
      <c r="BN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Col""&amp;COLUMN(BN$1)&amp;""=1""))&amp;""' ORDER BY Col6 DESC LIMIT ""&amp;QUERY('Global Variables'!$A:$B, ""SELECT Col2 WHERE Col1 = 'S"&amp;"TARTING_ROSTER_SIZE'"")),0))"),0.0)</f>
        <v>0</v>
      </c>
      <c r="BO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Col""&amp;COLUMN(BO$1)&amp;""=1""))&amp;""' ORDER BY Col6 DESC LIMIT ""&amp;QUERY('Global Variables'!$A:$B, ""SELECT Col2 WHERE Col1 = 'S"&amp;"TARTING_ROSTER_SIZE'"")),0))"),0.0)</f>
        <v>0</v>
      </c>
      <c r="BP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Col""&amp;COLUMN(BP$1)&amp;""=1""))&amp;""' ORDER BY Col6 DESC LIMIT ""&amp;QUERY('Global Variables'!$A:$B, ""SELECT Col2 WHERE Col1 = 'S"&amp;"TARTING_ROSTER_SIZE'"")),0))"),0.0)</f>
        <v>0</v>
      </c>
      <c r="BQ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Col""&amp;COLUMN(BQ$1)&amp;""=1""))&amp;""' ORDER BY Col6 DESC LIMIT ""&amp;QUERY('Global Variables'!$A:$B, ""SELECT Col2 WHERE Col1 = 'S"&amp;"TARTING_ROSTER_SIZE'"")),0))"),0.0)</f>
        <v>0</v>
      </c>
      <c r="BR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Col""&amp;COLUMN(BR$1)&amp;""=1""))&amp;""' ORDER BY Col6 DESC LIMIT ""&amp;QUERY('Global Variables'!$A:$B, ""SELECT Col2 WHERE Col1 = 'S"&amp;"TARTING_ROSTER_SIZE'"")),0))"),0.0)</f>
        <v>0</v>
      </c>
      <c r="BS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Col""&amp;COLUMN(BS$1)&amp;""=1""))&amp;""' ORDER BY Col6 DESC LIMIT ""&amp;QUERY('Global Variables'!$A:$B, ""SELECT Col2 WHERE Col1 = 'S"&amp;"TARTING_ROSTER_SIZE'"")),0))"),0.0)</f>
        <v>0</v>
      </c>
      <c r="BT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Col""&amp;COLUMN(BT$1)&amp;""=1""))&amp;""' ORDER BY Col6 DESC LIMIT ""&amp;QUERY('Global Variables'!$A:$B, ""SELECT Col2 WHERE Col1 = 'S"&amp;"TARTING_ROSTER_SIZE'"")),0))"),0.0)</f>
        <v>0</v>
      </c>
      <c r="BU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Col""&amp;COLUMN(BU$1)&amp;""=1""))&amp;""' ORDER BY Col6 DESC LIMIT ""&amp;QUERY('Global Variables'!$A:$B, ""SELECT Col2 WHERE Col1 = 'S"&amp;"TARTING_ROSTER_SIZE'"")),0))"),0.0)</f>
        <v>0</v>
      </c>
      <c r="BV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Col""&amp;COLUMN(BV$1)&amp;""=1""))&amp;""' ORDER BY Col6 DESC LIMIT ""&amp;QUERY('Global Variables'!$A:$B, ""SELECT Col2 WHERE Col1 = 'S"&amp;"TARTING_ROSTER_SIZE'"")),0))"),0.0)</f>
        <v>0</v>
      </c>
      <c r="BW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Col""&amp;COLUMN(BW$1)&amp;""=1""))&amp;""' ORDER BY Col6 DESC LIMIT ""&amp;QUERY('Global Variables'!$A:$B, ""SELECT Col2 WHERE Col1 = 'S"&amp;"TARTING_ROSTER_SIZE'"")),0))"),0.0)</f>
        <v>0</v>
      </c>
      <c r="BX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Col""&amp;COLUMN(BX$1)&amp;""=1""))&amp;""' ORDER BY Col6 DESC LIMIT ""&amp;QUERY('Global Variables'!$A:$B, ""SELECT Col2 WHERE Col1 = 'S"&amp;"TARTING_ROSTER_SIZE'"")),0))"),0.0)</f>
        <v>0</v>
      </c>
      <c r="BY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Col""&amp;COLUMN(BY$1)&amp;""=1""))&amp;""' ORDER BY Col6 DESC LIMIT ""&amp;QUERY('Global Variables'!$A:$B, ""SELECT Col2 WHERE Col1 = 'S"&amp;"TARTING_ROSTER_SIZE'"")),0))"),0.0)</f>
        <v>0</v>
      </c>
      <c r="BZ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Col""&amp;COLUMN(BZ$1)&amp;""=1""))&amp;""' ORDER BY Col6 DESC LIMIT ""&amp;QUERY('Global Variables'!$A:$B, ""SELECT Col2 WHERE Col1 = 'S"&amp;"TARTING_ROSTER_SIZE'"")),0))"),0.0)</f>
        <v>0</v>
      </c>
      <c r="CA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Col""&amp;COLUMN(CA$1)&amp;""=1""))&amp;""' ORDER BY Col6 DESC LIMIT ""&amp;QUERY('Global Variables'!$A:$B, ""SELECT Col2 WHERE Col1 = 'S"&amp;"TARTING_ROSTER_SIZE'"")),0))"),0.0)</f>
        <v>0</v>
      </c>
      <c r="CB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Col""&amp;COLUMN(CB$1)&amp;""=1""))&amp;""' ORDER BY Col6 DESC LIMIT ""&amp;QUERY('Global Variables'!$A:$B, ""SELECT Col2 WHERE Col1 = 'S"&amp;"TARTING_ROSTER_SIZE'"")),0))"),0.0)</f>
        <v>0</v>
      </c>
      <c r="CC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Col""&amp;COLUMN(CC$1)&amp;""=1""))&amp;""' ORDER BY Col6 DESC LIMIT ""&amp;QUERY('Global Variables'!$A:$B, ""SELECT Col2 WHERE Col1 = 'S"&amp;"TARTING_ROSTER_SIZE'"")),0))"),0.0)</f>
        <v>0</v>
      </c>
      <c r="CD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Col""&amp;COLUMN(CD$1)&amp;""=1""))&amp;""' ORDER BY Col6 DESC LIMIT ""&amp;QUERY('Global Variables'!$A:$B, ""SELECT Col2 WHERE Col1 = 'S"&amp;"TARTING_ROSTER_SIZE'"")),0))"),0.0)</f>
        <v>0</v>
      </c>
      <c r="CE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Col""&amp;COLUMN(CE$1)&amp;""=1""))&amp;""' ORDER BY Col6 DESC LIMIT ""&amp;QUERY('Global Variables'!$A:$B, ""SELECT Col2 WHERE Col1 = 'S"&amp;"TARTING_ROSTER_SIZE'"")),0))"),0.0)</f>
        <v>0</v>
      </c>
      <c r="CF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Col""&amp;COLUMN(CF$1)&amp;""=1""))&amp;""' ORDER BY Col6 DESC LIMIT ""&amp;QUERY('Global Variables'!$A:$B, ""SELECT Col2 WHERE Col1 = 'S"&amp;"TARTING_ROSTER_SIZE'"")),0))"),0.0)</f>
        <v>0</v>
      </c>
      <c r="CG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Col""&amp;COLUMN(CG$1)&amp;""=1""))&amp;""' ORDER BY Col6 DESC LIMIT ""&amp;QUERY('Global Variables'!$A:$B, ""SELECT Col2 WHERE Col1 = 'S"&amp;"TARTING_ROSTER_SIZE'"")),0))"),0.0)</f>
        <v>0</v>
      </c>
      <c r="CH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Col""&amp;COLUMN(CH$1)&amp;""=1""))&amp;""' ORDER BY Col6 DESC LIMIT ""&amp;QUERY('Global Variables'!$A:$B, ""SELECT Col2 WHERE Col1 = 'S"&amp;"TARTING_ROSTER_SIZE'"")),0))"),0.0)</f>
        <v>0</v>
      </c>
      <c r="CI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Col""&amp;COLUMN(CI$1)&amp;""=1""))&amp;""' ORDER BY Col6 DESC LIMIT ""&amp;QUERY('Global Variables'!$A:$B, ""SELECT Col2 WHERE Col1 = 'S"&amp;"TARTING_ROSTER_SIZE'"")),0))"),0.0)</f>
        <v>0</v>
      </c>
      <c r="CJ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Col""&amp;COLUMN(CJ$1)&amp;""=1""))&amp;""' ORDER BY Col6 DESC LIMIT ""&amp;QUERY('Global Variables'!$A:$B, ""SELECT Col2 WHERE Col1 = 'S"&amp;"TARTING_ROSTER_SIZE'"")),0))"),0.0)</f>
        <v>0</v>
      </c>
      <c r="CK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Col""&amp;COLUMN(CK$1)&amp;""=1""))&amp;""' ORDER BY Col6 DESC LIMIT ""&amp;QUERY('Global Variables'!$A:$B, ""SELECT Col2 WHERE Col1 = 'S"&amp;"TARTING_ROSTER_SIZE'"")),0))"),0.0)</f>
        <v>0</v>
      </c>
      <c r="CL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Col""&amp;COLUMN(CL$1)&amp;""=1""))&amp;""' ORDER BY Col6 DESC LIMIT ""&amp;QUERY('Global Variables'!$A:$B, ""SELECT Col2 WHERE Col1 = 'S"&amp;"TARTING_ROSTER_SIZE'"")),0))"),0.0)</f>
        <v>0</v>
      </c>
      <c r="CM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Col""&amp;COLUMN(CM$1)&amp;""=1""))&amp;""' ORDER BY Col6 DESC LIMIT ""&amp;QUERY('Global Variables'!$A:$B, ""SELECT Col2 WHERE Col1 = 'S"&amp;"TARTING_ROSTER_SIZE'"")),0))"),0.0)</f>
        <v>0</v>
      </c>
      <c r="CN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Col""&amp;COLUMN(CN$1)&amp;""=1""))&amp;""' ORDER BY Col6 DESC LIMIT ""&amp;QUERY('Global Variables'!$A:$B, ""SELECT Col2 WHERE Col1 = 'S"&amp;"TARTING_ROSTER_SIZE'"")),0))"),0.0)</f>
        <v>0</v>
      </c>
      <c r="CO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Col""&amp;COLUMN(CO$1)&amp;""=1""))&amp;""' ORDER BY Col6 DESC LIMIT ""&amp;QUERY('Global Variables'!$A:$B, ""SELECT Col2 WHERE Col1 = 'S"&amp;"TARTING_ROSTER_SIZE'"")),0))"),0.0)</f>
        <v>0</v>
      </c>
      <c r="CP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Col""&amp;COLUMN(CP$1)&amp;""=1""))&amp;""' ORDER BY Col6 DESC LIMIT ""&amp;QUERY('Global Variables'!$A:$B, ""SELECT Col2 WHERE Col1 = 'S"&amp;"TARTING_ROSTER_SIZE'"")),0))"),0.0)</f>
        <v>0</v>
      </c>
      <c r="CQ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Col""&amp;COLUMN(CQ$1)&amp;""=1""))&amp;""' ORDER BY Col6 DESC LIMIT ""&amp;QUERY('Global Variables'!$A:$B, ""SELECT Col2 WHERE Col1 = 'S"&amp;"TARTING_ROSTER_SIZE'"")),0))"),0.0)</f>
        <v>0</v>
      </c>
      <c r="CR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Col""&amp;COLUMN(CR$1)&amp;""=1""))&amp;""' ORDER BY Col6 DESC LIMIT ""&amp;QUERY('Global Variables'!$A:$B, ""SELECT Col2 WHERE Col1 = 'S"&amp;"TARTING_ROSTER_SIZE'"")),0))"),0.0)</f>
        <v>0</v>
      </c>
      <c r="CS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Col""&amp;COLUMN(CS$1)&amp;""=1""))&amp;""' ORDER BY Col6 DESC LIMIT ""&amp;QUERY('Global Variables'!$A:$B, ""SELECT Col2 WHERE Col1 = 'S"&amp;"TARTING_ROSTER_SIZE'"")),0))"),0.0)</f>
        <v>0</v>
      </c>
      <c r="CT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Col""&amp;COLUMN(CT$1)&amp;""=1""))&amp;""' ORDER BY Col6 DESC LIMIT ""&amp;QUERY('Global Variables'!$A:$B, ""SELECT Col2 WHERE Col1 = 'S"&amp;"TARTING_ROSTER_SIZE'"")),0))"),0.0)</f>
        <v>0</v>
      </c>
      <c r="CU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Col""&amp;COLUMN(CU$1)&amp;""=1""))&amp;""' ORDER BY Col6 DESC LIMIT ""&amp;QUERY('Global Variables'!$A:$B, ""SELECT Col2 WHERE Col1 = 'S"&amp;"TARTING_ROSTER_SIZE'"")),0))"),0.0)</f>
        <v>0</v>
      </c>
      <c r="CV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Col""&amp;COLUMN(CV$1)&amp;""=1""))&amp;""' ORDER BY Col6 DESC LIMIT ""&amp;QUERY('Global Variables'!$A:$B, ""SELECT Col2 WHERE Col1 = 'S"&amp;"TARTING_ROSTER_SIZE'"")),0))"),0.0)</f>
        <v>0</v>
      </c>
      <c r="CW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Col""&amp;COLUMN(CW$1)&amp;""=1""))&amp;""' ORDER BY Col6 DESC LIMIT ""&amp;QUERY('Global Variables'!$A:$B, ""SELECT Col2 WHERE Col1 = 'S"&amp;"TARTING_ROSTER_SIZE'"")),0))"),0.0)</f>
        <v>0</v>
      </c>
      <c r="CX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Col""&amp;COLUMN(CX$1)&amp;""=1""))&amp;""' ORDER BY Col6 DESC LIMIT ""&amp;QUERY('Global Variables'!$A:$B, ""SELECT Col2 WHERE Col1 = 'S"&amp;"TARTING_ROSTER_SIZE'"")),0))"),0.0)</f>
        <v>0</v>
      </c>
      <c r="CY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Col""&amp;COLUMN(CY$1)&amp;""=1""))&amp;""' ORDER BY Col6 DESC LIMIT ""&amp;QUERY('Global Variables'!$A:$B, ""SELECT Col2 WHERE Col1 = 'S"&amp;"TARTING_ROSTER_SIZE'"")),0))"),0.0)</f>
        <v>0</v>
      </c>
      <c r="CZ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Col""&amp;COLUMN(CZ$1)&amp;""=1""))&amp;""' ORDER BY Col6 DESC LIMIT ""&amp;QUERY('Global Variables'!$A:$B, ""SELECT Col2 WHERE Col1 = 'S"&amp;"TARTING_ROSTER_SIZE'"")),0))"),0.0)</f>
        <v>0</v>
      </c>
      <c r="DA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Col""&amp;COLUMN(DA$1)&amp;""=1""))&amp;""' ORDER BY Col6 DESC LIMIT ""&amp;QUERY('Global Variables'!$A:$B, ""SELECT Col2 WHERE Col1 = 'S"&amp;"TARTING_ROSTER_SIZE'"")),0))"),0.0)</f>
        <v>0</v>
      </c>
      <c r="DB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Col""&amp;COLUMN(DB$1)&amp;""=1""))&amp;""' ORDER BY Col6 DESC LIMIT ""&amp;QUERY('Global Variables'!$A:$B, ""SELECT Col2 WHERE Col1 = 'S"&amp;"TARTING_ROSTER_SIZE'"")),0))"),0.0)</f>
        <v>0</v>
      </c>
      <c r="DC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Col""&amp;COLUMN(DC$1)&amp;""=1""))&amp;""' ORDER BY Col6 DESC LIMIT ""&amp;QUERY('Global Variables'!$A:$B, ""SELECT Col2 WHERE Col1 = 'S"&amp;"TARTING_ROSTER_SIZE'"")),0))"),0.0)</f>
        <v>0</v>
      </c>
      <c r="DD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Col""&amp;COLUMN(DD$1)&amp;""=1""))&amp;""' ORDER BY Col6 DESC LIMIT ""&amp;QUERY('Global Variables'!$A:$B, ""SELECT Col2 WHERE Col1 = 'S"&amp;"TARTING_ROSTER_SIZE'"")),0))"),0.0)</f>
        <v>0</v>
      </c>
      <c r="DE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Col""&amp;COLUMN(DE$1)&amp;""=1""))&amp;""' ORDER BY Col6 DESC LIMIT ""&amp;QUERY('Global Variables'!$A:$B, ""SELECT Col2 WHERE Col1 = 'S"&amp;"TARTING_ROSTER_SIZE'"")),0))"),0.0)</f>
        <v>0</v>
      </c>
      <c r="DF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Col""&amp;COLUMN(DF$1)&amp;""=1""))&amp;""' ORDER BY Col6 DESC LIMIT ""&amp;QUERY('Global Variables'!$A:$B, ""SELECT Col2 WHERE Col1 = 'S"&amp;"TARTING_ROSTER_SIZE'"")),0))"),0.0)</f>
        <v>0</v>
      </c>
      <c r="DG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Col""&amp;COLUMN(DG$1)&amp;""=1""))&amp;""' ORDER BY Col6 DESC LIMIT ""&amp;QUERY('Global Variables'!$A:$B, ""SELECT Col2 WHERE Col1 = 'S"&amp;"TARTING_ROSTER_SIZE'"")),0))"),0.0)</f>
        <v>0</v>
      </c>
      <c r="DH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Col""&amp;COLUMN(DH$1)&amp;""=1""))&amp;""' ORDER BY Col6 DESC LIMIT ""&amp;QUERY('Global Variables'!$A:$B, ""SELECT Col2 WHERE Col1 = 'S"&amp;"TARTING_ROSTER_SIZE'"")),0))"),0.0)</f>
        <v>0</v>
      </c>
      <c r="DI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Col""&amp;COLUMN(DI$1)&amp;""=1""))&amp;""' ORDER BY Col6 DESC LIMIT ""&amp;QUERY('Global Variables'!$A:$B, ""SELECT Col2 WHERE Col1 = 'S"&amp;"TARTING_ROSTER_SIZE'"")),0))"),0.0)</f>
        <v>0</v>
      </c>
      <c r="DJ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Col""&amp;COLUMN(DJ$1)&amp;""=1""))&amp;""' ORDER BY Col6 DESC LIMIT ""&amp;QUERY('Global Variables'!$A:$B, ""SELECT Col2 WHERE Col1 = 'S"&amp;"TARTING_ROSTER_SIZE'"")),0))"),0.0)</f>
        <v>0</v>
      </c>
      <c r="DK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Col""&amp;COLUMN(DK$1)&amp;""=1""))&amp;""' ORDER BY Col6 DESC LIMIT ""&amp;QUERY('Global Variables'!$A:$B, ""SELECT Col2 WHERE Col1 = 'S"&amp;"TARTING_ROSTER_SIZE'"")),0))"),0.0)</f>
        <v>0</v>
      </c>
      <c r="DL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Col""&amp;COLUMN(DL$1)&amp;""=1""))&amp;""' ORDER BY Col6 DESC LIMIT ""&amp;QUERY('Global Variables'!$A:$B, ""SELECT Col2 WHERE Col1 = 'S"&amp;"TARTING_ROSTER_SIZE'"")),0))"),0.0)</f>
        <v>0</v>
      </c>
      <c r="DM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Col""&amp;COLUMN(DM$1)&amp;""=1""))&amp;""' ORDER BY Col6 DESC LIMIT ""&amp;QUERY('Global Variables'!$A:$B, ""SELECT Col2 WHERE Col1 = 'S"&amp;"TARTING_ROSTER_SIZE'"")),0))"),0.0)</f>
        <v>0</v>
      </c>
      <c r="DN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Col""&amp;COLUMN(DN$1)&amp;""=1""))&amp;""' ORDER BY Col6 DESC LIMIT ""&amp;QUERY('Global Variables'!$A:$B, ""SELECT Col2 WHERE Col1 = 'S"&amp;"TARTING_ROSTER_SIZE'"")),0))"),0.0)</f>
        <v>0</v>
      </c>
      <c r="DO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Col""&amp;COLUMN(DO$1)&amp;""=1""))&amp;""' ORDER BY Col6 DESC LIMIT ""&amp;QUERY('Global Variables'!$A:$B, ""SELECT Col2 WHERE Col1 = 'S"&amp;"TARTING_ROSTER_SIZE'"")),0))"),0.0)</f>
        <v>0</v>
      </c>
      <c r="DP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Col""&amp;COLUMN(DP$1)&amp;""=1""))&amp;""' ORDER BY Col6 DESC LIMIT ""&amp;QUERY('Global Variables'!$A:$B, ""SELECT Col2 WHERE Col1 = 'S"&amp;"TARTING_ROSTER_SIZE'"")),0))"),0.0)</f>
        <v>0</v>
      </c>
      <c r="DQ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Col""&amp;COLUMN(DQ$1)&amp;""=1""))&amp;""' ORDER BY Col6 DESC LIMIT ""&amp;QUERY('Global Variables'!$A:$B, ""SELECT Col2 WHERE Col1 = 'S"&amp;"TARTING_ROSTER_SIZE'"")),0))"),0.0)</f>
        <v>0</v>
      </c>
      <c r="DR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Col""&amp;COLUMN(DR$1)&amp;""=1""))&amp;""' ORDER BY Col6 DESC LIMIT ""&amp;QUERY('Global Variables'!$A:$B, ""SELECT Col2 WHERE Col1 = 'S"&amp;"TARTING_ROSTER_SIZE'"")),0))"),0.0)</f>
        <v>0</v>
      </c>
      <c r="DS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Col""&amp;COLUMN(DS$1)&amp;""=1""))&amp;""' ORDER BY Col6 DESC LIMIT ""&amp;QUERY('Global Variables'!$A:$B, ""SELECT Col2 WHERE Col1 = 'S"&amp;"TARTING_ROSTER_SIZE'"")),0))"),0.0)</f>
        <v>0</v>
      </c>
      <c r="DT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Col""&amp;COLUMN(DT$1)&amp;""=1""))&amp;""' ORDER BY Col6 DESC LIMIT ""&amp;QUERY('Global Variables'!$A:$B, ""SELECT Col2 WHERE Col1 = 'S"&amp;"TARTING_ROSTER_SIZE'"")),0))"),0.0)</f>
        <v>0</v>
      </c>
      <c r="DU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Col""&amp;COLUMN(DU$1)&amp;""=1""))&amp;""' ORDER BY Col6 DESC LIMIT ""&amp;QUERY('Global Variables'!$A:$B, ""SELECT Col2 WHERE Col1 = 'S"&amp;"TARTING_ROSTER_SIZE'"")),0))"),0.0)</f>
        <v>0</v>
      </c>
      <c r="DV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Col""&amp;COLUMN(DV$1)&amp;""=1""))&amp;""' ORDER BY Col6 DESC LIMIT ""&amp;QUERY('Global Variables'!$A:$B, ""SELECT Col2 WHERE Col1 = 'S"&amp;"TARTING_ROSTER_SIZE'"")),0))"),0.0)</f>
        <v>0</v>
      </c>
      <c r="DW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Col""&amp;COLUMN(DW$1)&amp;""=1""))&amp;""' ORDER BY Col6 DESC LIMIT ""&amp;QUERY('Global Variables'!$A:$B, ""SELECT Col2 WHERE Col1 = 'S"&amp;"TARTING_ROSTER_SIZE'"")),0))"),0.0)</f>
        <v>0</v>
      </c>
      <c r="DX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Col""&amp;COLUMN(DX$1)&amp;""=1""))&amp;""' ORDER BY Col6 DESC LIMIT ""&amp;QUERY('Global Variables'!$A:$B, ""SELECT Col2 WHERE Col1 = 'S"&amp;"TARTING_ROSTER_SIZE'"")),0))"),0.0)</f>
        <v>0</v>
      </c>
      <c r="DY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Col""&amp;COLUMN(DY$1)&amp;""=1""))&amp;""' ORDER BY Col6 DESC LIMIT ""&amp;QUERY('Global Variables'!$A:$B, ""SELECT Col2 WHERE Col1 = 'S"&amp;"TARTING_ROSTER_SIZE'"")),0))"),0.0)</f>
        <v>0</v>
      </c>
      <c r="DZ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Col""&amp;COLUMN(DZ$1)&amp;""=1""))&amp;""' ORDER BY Col6 DESC LIMIT ""&amp;QUERY('Global Variables'!$A:$B, ""SELECT Col2 WHERE Col1 = 'S"&amp;"TARTING_ROSTER_SIZE'"")),0))"),0.0)</f>
        <v>0</v>
      </c>
      <c r="EA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Col""&amp;COLUMN(EA$1)&amp;""=1""))&amp;""' ORDER BY Col6 DESC LIMIT ""&amp;QUERY('Global Variables'!$A:$B, ""SELECT Col2 WHERE Col1 = 'S"&amp;"TARTING_ROSTER_SIZE'"")),0))"),0.0)</f>
        <v>0</v>
      </c>
      <c r="EB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Col""&amp;COLUMN(EB$1)&amp;""=1""))&amp;""' ORDER BY Col6 DESC LIMIT ""&amp;QUERY('Global Variables'!$A:$B, ""SELECT Col2 WHERE Col1 = 'S"&amp;"TARTING_ROSTER_SIZE'"")),0))"),0.0)</f>
        <v>0</v>
      </c>
      <c r="EC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Col""&amp;COLUMN(EC$1)&amp;""=1""))&amp;""' ORDER BY Col6 DESC LIMIT ""&amp;QUERY('Global Variables'!$A:$B, ""SELECT Col2 WHERE Col1 = 'S"&amp;"TARTING_ROSTER_SIZE'"")),0))"),0.0)</f>
        <v>0</v>
      </c>
      <c r="ED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Col""&amp;COLUMN(ED$1)&amp;""=1""))&amp;""' ORDER BY Col6 DESC LIMIT ""&amp;QUERY('Global Variables'!$A:$B, ""SELECT Col2 WHERE Col1 = 'S"&amp;"TARTING_ROSTER_SIZE'"")),0))"),0.0)</f>
        <v>0</v>
      </c>
      <c r="EE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Col""&amp;COLUMN(EE$1)&amp;""=1""))&amp;""' ORDER BY Col6 DESC LIMIT ""&amp;QUERY('Global Variables'!$A:$B, ""SELECT Col2 WHERE Col1 = 'S"&amp;"TARTING_ROSTER_SIZE'"")),0))"),0.0)</f>
        <v>0</v>
      </c>
      <c r="EF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Col""&amp;COLUMN(EF$1)&amp;""=1""))&amp;""' ORDER BY Col6 DESC LIMIT ""&amp;QUERY('Global Variables'!$A:$B, ""SELECT Col2 WHERE Col1 = 'S"&amp;"TARTING_ROSTER_SIZE'"")),0))"),0.0)</f>
        <v>0</v>
      </c>
      <c r="EG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Col""&amp;COLUMN(EG$1)&amp;""=1""))&amp;""' ORDER BY Col6 DESC LIMIT ""&amp;QUERY('Global Variables'!$A:$B, ""SELECT Col2 WHERE Col1 = 'S"&amp;"TARTING_ROSTER_SIZE'"")),0))"),0.0)</f>
        <v>0</v>
      </c>
      <c r="EH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Col""&amp;COLUMN(EH$1)&amp;""=1""))&amp;""' ORDER BY Col6 DESC LIMIT ""&amp;QUERY('Global Variables'!$A:$B, ""SELECT Col2 WHERE Col1 = 'S"&amp;"TARTING_ROSTER_SIZE'"")),0))"),0.0)</f>
        <v>0</v>
      </c>
      <c r="EI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Col""&amp;COLUMN(EI$1)&amp;""=1""))&amp;""' ORDER BY Col6 DESC LIMIT ""&amp;QUERY('Global Variables'!$A:$B, ""SELECT Col2 WHERE Col1 = 'S"&amp;"TARTING_ROSTER_SIZE'"")),0))"),0.0)</f>
        <v>0</v>
      </c>
      <c r="EJ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Col""&amp;COLUMN(EJ$1)&amp;""=1""))&amp;""' ORDER BY Col6 DESC LIMIT ""&amp;QUERY('Global Variables'!$A:$B, ""SELECT Col2 WHERE Col1 = 'S"&amp;"TARTING_ROSTER_SIZE'"")),0))"),0.0)</f>
        <v>0</v>
      </c>
      <c r="EK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Col""&amp;COLUMN(EK$1)&amp;""=1""))&amp;""' ORDER BY Col6 DESC LIMIT ""&amp;QUERY('Global Variables'!$A:$B, ""SELECT Col2 WHERE Col1 = 'S"&amp;"TARTING_ROSTER_SIZE'"")),0))"),0.0)</f>
        <v>0</v>
      </c>
      <c r="EL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Col""&amp;COLUMN(EL$1)&amp;""=1""))&amp;""' ORDER BY Col6 DESC LIMIT ""&amp;QUERY('Global Variables'!$A:$B, ""SELECT Col2 WHERE Col1 = 'S"&amp;"TARTING_ROSTER_SIZE'"")),0))"),0.0)</f>
        <v>0</v>
      </c>
      <c r="EM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Col""&amp;COLUMN(EM$1)&amp;""=1""))&amp;""' ORDER BY Col6 DESC LIMIT ""&amp;QUERY('Global Variables'!$A:$B, ""SELECT Col2 WHERE Col1 = 'S"&amp;"TARTING_ROSTER_SIZE'"")),0))"),0.0)</f>
        <v>0</v>
      </c>
      <c r="EN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Col""&amp;COLUMN(EN$1)&amp;""=1""))&amp;""' ORDER BY Col6 DESC LIMIT ""&amp;QUERY('Global Variables'!$A:$B, ""SELECT Col2 WHERE Col1 = 'S"&amp;"TARTING_ROSTER_SIZE'"")),0))"),0.0)</f>
        <v>0</v>
      </c>
      <c r="EO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Col""&amp;COLUMN(EO$1)&amp;""=1""))&amp;""' ORDER BY Col6 DESC LIMIT ""&amp;QUERY('Global Variables'!$A:$B, ""SELECT Col2 WHERE Col1 = 'S"&amp;"TARTING_ROSTER_SIZE'"")),0))"),0.0)</f>
        <v>0</v>
      </c>
      <c r="EP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Col""&amp;COLUMN(EP$1)&amp;""=1""))&amp;""' ORDER BY Col6 DESC LIMIT ""&amp;QUERY('Global Variables'!$A:$B, ""SELECT Col2 WHERE Col1 = 'S"&amp;"TARTING_ROSTER_SIZE'"")),0))"),0.0)</f>
        <v>0</v>
      </c>
      <c r="EQ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Col""&amp;COLUMN(EQ$1)&amp;""=1""))&amp;""' ORDER BY Col6 DESC LIMIT ""&amp;QUERY('Global Variables'!$A:$B, ""SELECT Col2 WHERE Col1 = 'S"&amp;"TARTING_ROSTER_SIZE'"")),0))"),0.0)</f>
        <v>0</v>
      </c>
      <c r="ER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Col""&amp;COLUMN(ER$1)&amp;""=1""))&amp;""' ORDER BY Col6 DESC LIMIT ""&amp;QUERY('Global Variables'!$A:$B, ""SELECT Col2 WHERE Col1 = 'S"&amp;"TARTING_ROSTER_SIZE'"")),0))"),0.0)</f>
        <v>0</v>
      </c>
      <c r="ES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Col""&amp;COLUMN(ES$1)&amp;""=1""))&amp;""' ORDER BY Col6 DESC LIMIT ""&amp;QUERY('Global Variables'!$A:$B, ""SELECT Col2 WHERE Col1 = 'S"&amp;"TARTING_ROSTER_SIZE'"")),0))"),0.0)</f>
        <v>0</v>
      </c>
      <c r="ET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Col""&amp;COLUMN(ET$1)&amp;""=1""))&amp;""' ORDER BY Col6 DESC LIMIT ""&amp;QUERY('Global Variables'!$A:$B, ""SELECT Col2 WHERE Col1 = 'S"&amp;"TARTING_ROSTER_SIZE'"")),0))"),0.0)</f>
        <v>0</v>
      </c>
      <c r="EU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Col""&amp;COLUMN(EU$1)&amp;""=1""))&amp;""' ORDER BY Col6 DESC LIMIT ""&amp;QUERY('Global Variables'!$A:$B, ""SELECT Col2 WHERE Col1 = 'S"&amp;"TARTING_ROSTER_SIZE'"")),0))"),0.0)</f>
        <v>0</v>
      </c>
      <c r="EV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Col""&amp;COLUMN(EV$1)&amp;""=1""))&amp;""' ORDER BY Col6 DESC LIMIT ""&amp;QUERY('Global Variables'!$A:$B, ""SELECT Col2 WHERE Col1 = 'S"&amp;"TARTING_ROSTER_SIZE'"")),0))"),0.0)</f>
        <v>0</v>
      </c>
      <c r="EW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Col""&amp;COLUMN(EW$1)&amp;""=1""))&amp;""' ORDER BY Col6 DESC LIMIT ""&amp;QUERY('Global Variables'!$A:$B, ""SELECT Col2 WHERE Col1 = 'S"&amp;"TARTING_ROSTER_SIZE'"")),0))"),0.0)</f>
        <v>0</v>
      </c>
      <c r="EX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Col""&amp;COLUMN(EX$1)&amp;""=1""))&amp;""' ORDER BY Col6 DESC LIMIT ""&amp;QUERY('Global Variables'!$A:$B, ""SELECT Col2 WHERE Col1 = 'S"&amp;"TARTING_ROSTER_SIZE'"")),0))"),0.0)</f>
        <v>0</v>
      </c>
      <c r="EY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Col""&amp;COLUMN(EY$1)&amp;""=1""))&amp;""' ORDER BY Col6 DESC LIMIT ""&amp;QUERY('Global Variables'!$A:$B, ""SELECT Col2 WHERE Col1 = 'S"&amp;"TARTING_ROSTER_SIZE'"")),0))"),0.0)</f>
        <v>0</v>
      </c>
      <c r="EZ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Col""&amp;COLUMN(EZ$1)&amp;""=1""))&amp;""' ORDER BY Col6 DESC LIMIT ""&amp;QUERY('Global Variables'!$A:$B, ""SELECT Col2 WHERE Col1 = 'S"&amp;"TARTING_ROSTER_SIZE'"")),0))"),0.0)</f>
        <v>0</v>
      </c>
      <c r="FA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Col""&amp;COLUMN(FA$1)&amp;""=1""))&amp;""' ORDER BY Col6 DESC LIMIT ""&amp;QUERY('Global Variables'!$A:$B, ""SELECT Col2 WHERE Col1 = 'S"&amp;"TARTING_ROSTER_SIZE'"")),0))"),0.0)</f>
        <v>0</v>
      </c>
      <c r="FB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Col""&amp;COLUMN(FB$1)&amp;""=1""))&amp;""' ORDER BY Col6 DESC LIMIT ""&amp;QUERY('Global Variables'!$A:$B, ""SELECT Col2 WHERE Col1 = 'S"&amp;"TARTING_ROSTER_SIZE'"")),0))"),0.0)</f>
        <v>0</v>
      </c>
      <c r="FC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Col""&amp;COLUMN(FC$1)&amp;""=1""))&amp;""' ORDER BY Col6 DESC LIMIT ""&amp;QUERY('Global Variables'!$A:$B, ""SELECT Col2 WHERE Col1 = 'S"&amp;"TARTING_ROSTER_SIZE'"")),0))"),0.0)</f>
        <v>0</v>
      </c>
      <c r="FD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Col""&amp;COLUMN(FD$1)&amp;""=1""))&amp;""' ORDER BY Col6 DESC LIMIT ""&amp;QUERY('Global Variables'!$A:$B, ""SELECT Col2 WHERE Col1 = 'S"&amp;"TARTING_ROSTER_SIZE'"")),0))"),0.0)</f>
        <v>0</v>
      </c>
      <c r="FE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Col""&amp;COLUMN(FE$1)&amp;""=1""))&amp;""' ORDER BY Col6 DESC LIMIT ""&amp;QUERY('Global Variables'!$A:$B, ""SELECT Col2 WHERE Col1 = 'S"&amp;"TARTING_ROSTER_SIZE'"")),0))"),0.0)</f>
        <v>0</v>
      </c>
      <c r="FF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Col""&amp;COLUMN(FF$1)&amp;""=1""))&amp;""' ORDER BY Col6 DESC LIMIT ""&amp;QUERY('Global Variables'!$A:$B, ""SELECT Col2 WHERE Col1 = 'S"&amp;"TARTING_ROSTER_SIZE'"")),0))"),0.0)</f>
        <v>0</v>
      </c>
      <c r="FG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Col""&amp;COLUMN(FG$1)&amp;""=1""))&amp;""' ORDER BY Col6 DESC LIMIT ""&amp;QUERY('Global Variables'!$A:$B, ""SELECT Col2 WHERE Col1 = 'S"&amp;"TARTING_ROSTER_SIZE'"")),0))"),0.0)</f>
        <v>0</v>
      </c>
      <c r="FH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Col""&amp;COLUMN(FH$1)&amp;""=1""))&amp;""' ORDER BY Col6 DESC LIMIT ""&amp;QUERY('Global Variables'!$A:$B, ""SELECT Col2 WHERE Col1 = 'S"&amp;"TARTING_ROSTER_SIZE'"")),0))"),0.0)</f>
        <v>0</v>
      </c>
      <c r="FI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Col""&amp;COLUMN(FI$1)&amp;""=1""))&amp;""' ORDER BY Col6 DESC LIMIT ""&amp;QUERY('Global Variables'!$A:$B, ""SELECT Col2 WHERE Col1 = 'S"&amp;"TARTING_ROSTER_SIZE'"")),0))"),0.0)</f>
        <v>0</v>
      </c>
      <c r="FJ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Col""&amp;COLUMN(FJ$1)&amp;""=1""))&amp;""' ORDER BY Col6 DESC LIMIT ""&amp;QUERY('Global Variables'!$A:$B, ""SELECT Col2 WHERE Col1 = 'S"&amp;"TARTING_ROSTER_SIZE'"")),0))"),0.0)</f>
        <v>0</v>
      </c>
      <c r="FK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Col""&amp;COLUMN(FK$1)&amp;""=1""))&amp;""' ORDER BY Col6 DESC LIMIT ""&amp;QUERY('Global Variables'!$A:$B, ""SELECT Col2 WHERE Col1 = 'S"&amp;"TARTING_ROSTER_SIZE'"")),0))"),0.0)</f>
        <v>0</v>
      </c>
      <c r="FL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Col""&amp;COLUMN(FL$1)&amp;""=1""))&amp;""' ORDER BY Col6 DESC LIMIT ""&amp;QUERY('Global Variables'!$A:$B, ""SELECT Col2 WHERE Col1 = 'S"&amp;"TARTING_ROSTER_SIZE'"")),0))"),0.0)</f>
        <v>0</v>
      </c>
      <c r="FM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Col""&amp;COLUMN(FM$1)&amp;""=1""))&amp;""' ORDER BY Col6 DESC LIMIT ""&amp;QUERY('Global Variables'!$A:$B, ""SELECT Col2 WHERE Col1 = 'S"&amp;"TARTING_ROSTER_SIZE'"")),0))"),0.0)</f>
        <v>0</v>
      </c>
      <c r="FN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Col""&amp;COLUMN(FN$1)&amp;""=1""))&amp;""' ORDER BY Col6 DESC LIMIT ""&amp;QUERY('Global Variables'!$A:$B, ""SELECT Col2 WHERE Col1 = 'S"&amp;"TARTING_ROSTER_SIZE'"")),0))"),0.0)</f>
        <v>0</v>
      </c>
      <c r="FO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Col""&amp;COLUMN(FO$1)&amp;""=1""))&amp;""' ORDER BY Col6 DESC LIMIT ""&amp;QUERY('Global Variables'!$A:$B, ""SELECT Col2 WHERE Col1 = 'S"&amp;"TARTING_ROSTER_SIZE'"")),0))"),0.0)</f>
        <v>0</v>
      </c>
      <c r="FP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Col""&amp;COLUMN(FP$1)&amp;""=1""))&amp;""' ORDER BY Col6 DESC LIMIT ""&amp;QUERY('Global Variables'!$A:$B, ""SELECT Col2 WHERE Col1 = 'S"&amp;"TARTING_ROSTER_SIZE'"")),0))"),0.0)</f>
        <v>0</v>
      </c>
      <c r="FQ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Col""&amp;COLUMN(FQ$1)&amp;""=1""))&amp;""' ORDER BY Col6 DESC LIMIT ""&amp;QUERY('Global Variables'!$A:$B, ""SELECT Col2 WHERE Col1 = 'S"&amp;"TARTING_ROSTER_SIZE'"")),0))"),0.0)</f>
        <v>0</v>
      </c>
      <c r="FR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Col""&amp;COLUMN(FR$1)&amp;""=1""))&amp;""' ORDER BY Col6 DESC LIMIT ""&amp;QUERY('Global Variables'!$A:$B, ""SELECT Col2 WHERE Col1 = 'S"&amp;"TARTING_ROSTER_SIZE'"")),0))"),0.0)</f>
        <v>0</v>
      </c>
      <c r="FS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Col""&amp;COLUMN(FS$1)&amp;""=1""))&amp;""' ORDER BY Col6 DESC LIMIT ""&amp;QUERY('Global Variables'!$A:$B, ""SELECT Col2 WHERE Col1 = 'S"&amp;"TARTING_ROSTER_SIZE'"")),0))"),0.0)</f>
        <v>0</v>
      </c>
      <c r="FT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Col""&amp;COLUMN(FT$1)&amp;""=1""))&amp;""' ORDER BY Col6 DESC LIMIT ""&amp;QUERY('Global Variables'!$A:$B, ""SELECT Col2 WHERE Col1 = 'S"&amp;"TARTING_ROSTER_SIZE'"")),0))"),0.0)</f>
        <v>0</v>
      </c>
      <c r="FU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Col""&amp;COLUMN(FU$1)&amp;""=1""))&amp;""' ORDER BY Col6 DESC LIMIT ""&amp;QUERY('Global Variables'!$A:$B, ""SELECT Col2 WHERE Col1 = 'S"&amp;"TARTING_ROSTER_SIZE'"")),0))"),0.0)</f>
        <v>0</v>
      </c>
      <c r="FV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Col""&amp;COLUMN(FV$1)&amp;""=1""))&amp;""' ORDER BY Col6 DESC LIMIT ""&amp;QUERY('Global Variables'!$A:$B, ""SELECT Col2 WHERE Col1 = 'S"&amp;"TARTING_ROSTER_SIZE'"")),0))"),0.0)</f>
        <v>0</v>
      </c>
      <c r="FW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Col""&amp;COLUMN(FW$1)&amp;""=1""))&amp;""' ORDER BY Col6 DESC LIMIT ""&amp;QUERY('Global Variables'!$A:$B, ""SELECT Col2 WHERE Col1 = 'S"&amp;"TARTING_ROSTER_SIZE'"")),0))"),0.0)</f>
        <v>0</v>
      </c>
      <c r="FX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Col""&amp;COLUMN(FX$1)&amp;""=1""))&amp;""' ORDER BY Col6 DESC LIMIT ""&amp;QUERY('Global Variables'!$A:$B, ""SELECT Col2 WHERE Col1 = 'S"&amp;"TARTING_ROSTER_SIZE'"")),0))"),0.0)</f>
        <v>0</v>
      </c>
      <c r="FY16" s="9">
        <f>IFERROR(__xludf.DUMMYFUNCTION("SUM(
IFERROR(QUERY(
IFERROR(
OFFSET(Teams!$A$1,MATCH($A16,Teams!$A:$A,0),1,QUERY('Global Variables'!$A:$B, ""SELECT Col2 WHERE Col1 = '""&amp;IF($B$21,""TEAM_SIZE"",""ACTIVE_ROSTER_SIZE"")&amp;""'""),QUERY('Global Variables'!$A:$B, ""SELECT Col2 WHERE Col1 = 'TEA"&amp;"M_DATA_FIELD_COUNT'"")),
OFFSET(Teams!$K$1,MATCH($A16,Teams!$K:$K,0),1,QUERY('Global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Col""&amp;COLUMN(FY$1)&amp;""=1""))&amp;""' ORDER BY Col6 DESC LIMIT ""&amp;QUERY('Global Variables'!$A:$B, ""SELECT Col2 WHERE Col1 = 'S"&amp;"TARTING_ROSTER_SIZE'"")),0))"),0.0)</f>
        <v>0</v>
      </c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</row>
    <row r="17">
      <c r="A17" s="32" t="str">
        <f>'Weekly EDSA'!A16</f>
        <v>Kramer</v>
      </c>
      <c r="B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Col""&amp;COLUMN(B$1)&amp;""=1""))&amp;""' ORDER BY Col6 DESC LIMIT ""&amp;QUERY('Global Variables'!$A:$B, ""SELECT Col2 WHERE Col1 = 'ST"&amp;"ARTING_ROSTER_SIZE'"")),0))"),0.0)</f>
        <v>0</v>
      </c>
      <c r="C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Col""&amp;COLUMN(C$1)&amp;""=1""))&amp;""' ORDER BY Col6 DESC LIMIT ""&amp;QUERY('Global Variables'!$A:$B, ""SELECT Col2 WHERE Col1 = 'ST"&amp;"ARTING_ROSTER_SIZE'"")),0))"),0.0)</f>
        <v>0</v>
      </c>
      <c r="D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Col""&amp;COLUMN(D$1)&amp;""=1""))&amp;""' ORDER BY Col6 DESC LIMIT ""&amp;QUERY('Global Variables'!$A:$B, ""SELECT Col2 WHERE Col1 = 'ST"&amp;"ARTING_ROSTER_SIZE'"")),0))"),0.0)</f>
        <v>0</v>
      </c>
      <c r="E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Col""&amp;COLUMN(E$1)&amp;""=1""))&amp;""' ORDER BY Col6 DESC LIMIT ""&amp;QUERY('Global Variables'!$A:$B, ""SELECT Col2 WHERE Col1 = 'ST"&amp;"ARTING_ROSTER_SIZE'"")),0))"),0.0)</f>
        <v>0</v>
      </c>
      <c r="F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Col""&amp;COLUMN(F$1)&amp;""=1""))&amp;""' ORDER BY Col6 DESC LIMIT ""&amp;QUERY('Global Variables'!$A:$B, ""SELECT Col2 WHERE Col1 = 'ST"&amp;"ARTING_ROSTER_SIZE'"")),0))"),0.0)</f>
        <v>0</v>
      </c>
      <c r="G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Col""&amp;COLUMN(G$1)&amp;""=1""))&amp;""' ORDER BY Col6 DESC LIMIT ""&amp;QUERY('Global Variables'!$A:$B, ""SELECT Col2 WHERE Col1 = 'ST"&amp;"ARTING_ROSTER_SIZE'"")),0))"),0.0)</f>
        <v>0</v>
      </c>
      <c r="H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Col""&amp;COLUMN(H$1)&amp;""=1""))&amp;""' ORDER BY Col6 DESC LIMIT ""&amp;QUERY('Global Variables'!$A:$B, ""SELECT Col2 WHERE Col1 = 'ST"&amp;"ARTING_ROSTER_SIZE'"")),0))"),0.0)</f>
        <v>0</v>
      </c>
      <c r="I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Col""&amp;COLUMN(I$1)&amp;""=1""))&amp;""' ORDER BY Col6 DESC LIMIT ""&amp;QUERY('Global Variables'!$A:$B, ""SELECT Col2 WHERE Col1 = 'ST"&amp;"ARTING_ROSTER_SIZE'"")),0))"),0.0)</f>
        <v>0</v>
      </c>
      <c r="J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Col""&amp;COLUMN(J$1)&amp;""=1""))&amp;""' ORDER BY Col6 DESC LIMIT ""&amp;QUERY('Global Variables'!$A:$B, ""SELECT Col2 WHERE Col1 = 'ST"&amp;"ARTING_ROSTER_SIZE'"")),0))"),0.0)</f>
        <v>0</v>
      </c>
      <c r="K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Col""&amp;COLUMN(K$1)&amp;""=1""))&amp;""' ORDER BY Col6 DESC LIMIT ""&amp;QUERY('Global Variables'!$A:$B, ""SELECT Col2 WHERE Col1 = 'ST"&amp;"ARTING_ROSTER_SIZE'"")),0))"),0.0)</f>
        <v>0</v>
      </c>
      <c r="L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Col""&amp;COLUMN(L$1)&amp;""=1""))&amp;""' ORDER BY Col6 DESC LIMIT ""&amp;QUERY('Global Variables'!$A:$B, ""SELECT Col2 WHERE Col1 = 'ST"&amp;"ARTING_ROSTER_SIZE'"")),0))"),0.0)</f>
        <v>0</v>
      </c>
      <c r="M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Col""&amp;COLUMN(M$1)&amp;""=1""))&amp;""' ORDER BY Col6 DESC LIMIT ""&amp;QUERY('Global Variables'!$A:$B, ""SELECT Col2 WHERE Col1 = 'ST"&amp;"ARTING_ROSTER_SIZE'"")),0))"),0.0)</f>
        <v>0</v>
      </c>
      <c r="N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Col""&amp;COLUMN(N$1)&amp;""=1""))&amp;""' ORDER BY Col6 DESC LIMIT ""&amp;QUERY('Global Variables'!$A:$B, ""SELECT Col2 WHERE Col1 = 'ST"&amp;"ARTING_ROSTER_SIZE'"")),0))"),0.0)</f>
        <v>0</v>
      </c>
      <c r="O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Col""&amp;COLUMN(O$1)&amp;""=1""))&amp;""' ORDER BY Col6 DESC LIMIT ""&amp;QUERY('Global Variables'!$A:$B, ""SELECT Col2 WHERE Col1 = 'ST"&amp;"ARTING_ROSTER_SIZE'"")),0))"),0.0)</f>
        <v>0</v>
      </c>
      <c r="P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Col""&amp;COLUMN(P$1)&amp;""=1""))&amp;""' ORDER BY Col6 DESC LIMIT ""&amp;QUERY('Global Variables'!$A:$B, ""SELECT Col2 WHERE Col1 = 'ST"&amp;"ARTING_ROSTER_SIZE'"")),0))"),0.0)</f>
        <v>0</v>
      </c>
      <c r="Q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Col""&amp;COLUMN(Q$1)&amp;""=1""))&amp;""' ORDER BY Col6 DESC LIMIT ""&amp;QUERY('Global Variables'!$A:$B, ""SELECT Col2 WHERE Col1 = 'ST"&amp;"ARTING_ROSTER_SIZE'"")),0))"),0.0)</f>
        <v>0</v>
      </c>
      <c r="R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Col""&amp;COLUMN(R$1)&amp;""=1""))&amp;""' ORDER BY Col6 DESC LIMIT ""&amp;QUERY('Global Variables'!$A:$B, ""SELECT Col2 WHERE Col1 = 'ST"&amp;"ARTING_ROSTER_SIZE'"")),0))"),0.0)</f>
        <v>0</v>
      </c>
      <c r="S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Col""&amp;COLUMN(S$1)&amp;""=1""))&amp;""' ORDER BY Col6 DESC LIMIT ""&amp;QUERY('Global Variables'!$A:$B, ""SELECT Col2 WHERE Col1 = 'ST"&amp;"ARTING_ROSTER_SIZE'"")),0))"),0.0)</f>
        <v>0</v>
      </c>
      <c r="T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Col""&amp;COLUMN(T$1)&amp;""=1""))&amp;""' ORDER BY Col6 DESC LIMIT ""&amp;QUERY('Global Variables'!$A:$B, ""SELECT Col2 WHERE Col1 = 'ST"&amp;"ARTING_ROSTER_SIZE'"")),0))"),0.0)</f>
        <v>0</v>
      </c>
      <c r="U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Col""&amp;COLUMN(U$1)&amp;""=1""))&amp;""' ORDER BY Col6 DESC LIMIT ""&amp;QUERY('Global Variables'!$A:$B, ""SELECT Col2 WHERE Col1 = 'ST"&amp;"ARTING_ROSTER_SIZE'"")),0))"),0.0)</f>
        <v>0</v>
      </c>
      <c r="V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Col""&amp;COLUMN(V$1)&amp;""=1""))&amp;""' ORDER BY Col6 DESC LIMIT ""&amp;QUERY('Global Variables'!$A:$B, ""SELECT Col2 WHERE Col1 = 'ST"&amp;"ARTING_ROSTER_SIZE'"")),0))"),0.0)</f>
        <v>0</v>
      </c>
      <c r="W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Col""&amp;COLUMN(W$1)&amp;""=1""))&amp;""' ORDER BY Col6 DESC LIMIT ""&amp;QUERY('Global Variables'!$A:$B, ""SELECT Col2 WHERE Col1 = 'ST"&amp;"ARTING_ROSTER_SIZE'"")),0))"),0.0)</f>
        <v>0</v>
      </c>
      <c r="X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Col""&amp;COLUMN(X$1)&amp;""=1""))&amp;""' ORDER BY Col6 DESC LIMIT ""&amp;QUERY('Global Variables'!$A:$B, ""SELECT Col2 WHERE Col1 = 'ST"&amp;"ARTING_ROSTER_SIZE'"")),0))"),0.0)</f>
        <v>0</v>
      </c>
      <c r="Y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Col""&amp;COLUMN(Y$1)&amp;""=1""))&amp;""' ORDER BY Col6 DESC LIMIT ""&amp;QUERY('Global Variables'!$A:$B, ""SELECT Col2 WHERE Col1 = 'ST"&amp;"ARTING_ROSTER_SIZE'"")),0))"),0.0)</f>
        <v>0</v>
      </c>
      <c r="Z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Col""&amp;COLUMN(Z$1)&amp;""=1""))&amp;""' ORDER BY Col6 DESC LIMIT ""&amp;QUERY('Global Variables'!$A:$B, ""SELECT Col2 WHERE Col1 = 'ST"&amp;"ARTING_ROSTER_SIZE'"")),0))"),0.0)</f>
        <v>0</v>
      </c>
      <c r="AA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Col""&amp;COLUMN(AA$1)&amp;""=1""))&amp;""' ORDER BY Col6 DESC LIMIT ""&amp;QUERY('Global Variables'!$A:$B, ""SELECT Col2 WHERE Col1 = 'S"&amp;"TARTING_ROSTER_SIZE'"")),0))"),0.0)</f>
        <v>0</v>
      </c>
      <c r="AB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Col""&amp;COLUMN(AB$1)&amp;""=1""))&amp;""' ORDER BY Col6 DESC LIMIT ""&amp;QUERY('Global Variables'!$A:$B, ""SELECT Col2 WHERE Col1 = 'S"&amp;"TARTING_ROSTER_SIZE'"")),0))"),0.0)</f>
        <v>0</v>
      </c>
      <c r="AC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Col""&amp;COLUMN(AC$1)&amp;""=1""))&amp;""' ORDER BY Col6 DESC LIMIT ""&amp;QUERY('Global Variables'!$A:$B, ""SELECT Col2 WHERE Col1 = 'S"&amp;"TARTING_ROSTER_SIZE'"")),0))"),0.0)</f>
        <v>0</v>
      </c>
      <c r="AD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Col""&amp;COLUMN(AD$1)&amp;""=1""))&amp;""' ORDER BY Col6 DESC LIMIT ""&amp;QUERY('Global Variables'!$A:$B, ""SELECT Col2 WHERE Col1 = 'S"&amp;"TARTING_ROSTER_SIZE'"")),0))"),0.0)</f>
        <v>0</v>
      </c>
      <c r="AE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Col""&amp;COLUMN(AE$1)&amp;""=1""))&amp;""' ORDER BY Col6 DESC LIMIT ""&amp;QUERY('Global Variables'!$A:$B, ""SELECT Col2 WHERE Col1 = 'S"&amp;"TARTING_ROSTER_SIZE'"")),0))"),0.0)</f>
        <v>0</v>
      </c>
      <c r="AF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Col""&amp;COLUMN(AF$1)&amp;""=1""))&amp;""' ORDER BY Col6 DESC LIMIT ""&amp;QUERY('Global Variables'!$A:$B, ""SELECT Col2 WHERE Col1 = 'S"&amp;"TARTING_ROSTER_SIZE'"")),0))"),0.0)</f>
        <v>0</v>
      </c>
      <c r="AG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Col""&amp;COLUMN(AG$1)&amp;""=1""))&amp;""' ORDER BY Col6 DESC LIMIT ""&amp;QUERY('Global Variables'!$A:$B, ""SELECT Col2 WHERE Col1 = 'S"&amp;"TARTING_ROSTER_SIZE'"")),0))"),0.0)</f>
        <v>0</v>
      </c>
      <c r="AH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Col""&amp;COLUMN(AH$1)&amp;""=1""))&amp;""' ORDER BY Col6 DESC LIMIT ""&amp;QUERY('Global Variables'!$A:$B, ""SELECT Col2 WHERE Col1 = 'S"&amp;"TARTING_ROSTER_SIZE'"")),0))"),0.0)</f>
        <v>0</v>
      </c>
      <c r="AI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Col""&amp;COLUMN(AI$1)&amp;""=1""))&amp;""' ORDER BY Col6 DESC LIMIT ""&amp;QUERY('Global Variables'!$A:$B, ""SELECT Col2 WHERE Col1 = 'S"&amp;"TARTING_ROSTER_SIZE'"")),0))"),0.0)</f>
        <v>0</v>
      </c>
      <c r="AJ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Col""&amp;COLUMN(AJ$1)&amp;""=1""))&amp;""' ORDER BY Col6 DESC LIMIT ""&amp;QUERY('Global Variables'!$A:$B, ""SELECT Col2 WHERE Col1 = 'S"&amp;"TARTING_ROSTER_SIZE'"")),0))"),0.0)</f>
        <v>0</v>
      </c>
      <c r="AK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Col""&amp;COLUMN(AK$1)&amp;""=1""))&amp;""' ORDER BY Col6 DESC LIMIT ""&amp;QUERY('Global Variables'!$A:$B, ""SELECT Col2 WHERE Col1 = 'S"&amp;"TARTING_ROSTER_SIZE'"")),0))"),0.0)</f>
        <v>0</v>
      </c>
      <c r="AL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Col""&amp;COLUMN(AL$1)&amp;""=1""))&amp;""' ORDER BY Col6 DESC LIMIT ""&amp;QUERY('Global Variables'!$A:$B, ""SELECT Col2 WHERE Col1 = 'S"&amp;"TARTING_ROSTER_SIZE'"")),0))"),0.0)</f>
        <v>0</v>
      </c>
      <c r="AM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Col""&amp;COLUMN(AM$1)&amp;""=1""))&amp;""' ORDER BY Col6 DESC LIMIT ""&amp;QUERY('Global Variables'!$A:$B, ""SELECT Col2 WHERE Col1 = 'S"&amp;"TARTING_ROSTER_SIZE'"")),0))"),0.0)</f>
        <v>0</v>
      </c>
      <c r="AN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Col""&amp;COLUMN(AN$1)&amp;""=1""))&amp;""' ORDER BY Col6 DESC LIMIT ""&amp;QUERY('Global Variables'!$A:$B, ""SELECT Col2 WHERE Col1 = 'S"&amp;"TARTING_ROSTER_SIZE'"")),0))"),0.0)</f>
        <v>0</v>
      </c>
      <c r="AO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Col""&amp;COLUMN(AO$1)&amp;""=1""))&amp;""' ORDER BY Col6 DESC LIMIT ""&amp;QUERY('Global Variables'!$A:$B, ""SELECT Col2 WHERE Col1 = 'S"&amp;"TARTING_ROSTER_SIZE'"")),0))"),0.0)</f>
        <v>0</v>
      </c>
      <c r="AP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Col""&amp;COLUMN(AP$1)&amp;""=1""))&amp;""' ORDER BY Col6 DESC LIMIT ""&amp;QUERY('Global Variables'!$A:$B, ""SELECT Col2 WHERE Col1 = 'S"&amp;"TARTING_ROSTER_SIZE'"")),0))"),0.0)</f>
        <v>0</v>
      </c>
      <c r="AQ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Col""&amp;COLUMN(AQ$1)&amp;""=1""))&amp;""' ORDER BY Col6 DESC LIMIT ""&amp;QUERY('Global Variables'!$A:$B, ""SELECT Col2 WHERE Col1 = 'S"&amp;"TARTING_ROSTER_SIZE'"")),0))"),0.0)</f>
        <v>0</v>
      </c>
      <c r="AR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Col""&amp;COLUMN(AR$1)&amp;""=1""))&amp;""' ORDER BY Col6 DESC LIMIT ""&amp;QUERY('Global Variables'!$A:$B, ""SELECT Col2 WHERE Col1 = 'S"&amp;"TARTING_ROSTER_SIZE'"")),0))"),0.0)</f>
        <v>0</v>
      </c>
      <c r="AS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Col""&amp;COLUMN(AS$1)&amp;""=1""))&amp;""' ORDER BY Col6 DESC LIMIT ""&amp;QUERY('Global Variables'!$A:$B, ""SELECT Col2 WHERE Col1 = 'S"&amp;"TARTING_ROSTER_SIZE'"")),0))"),0.0)</f>
        <v>0</v>
      </c>
      <c r="AT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Col""&amp;COLUMN(AT$1)&amp;""=1""))&amp;""' ORDER BY Col6 DESC LIMIT ""&amp;QUERY('Global Variables'!$A:$B, ""SELECT Col2 WHERE Col1 = 'S"&amp;"TARTING_ROSTER_SIZE'"")),0))"),0.0)</f>
        <v>0</v>
      </c>
      <c r="AU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Col""&amp;COLUMN(AU$1)&amp;""=1""))&amp;""' ORDER BY Col6 DESC LIMIT ""&amp;QUERY('Global Variables'!$A:$B, ""SELECT Col2 WHERE Col1 = 'S"&amp;"TARTING_ROSTER_SIZE'"")),0))"),0.0)</f>
        <v>0</v>
      </c>
      <c r="AV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Col""&amp;COLUMN(AV$1)&amp;""=1""))&amp;""' ORDER BY Col6 DESC LIMIT ""&amp;QUERY('Global Variables'!$A:$B, ""SELECT Col2 WHERE Col1 = 'S"&amp;"TARTING_ROSTER_SIZE'"")),0))"),0.0)</f>
        <v>0</v>
      </c>
      <c r="AW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Col""&amp;COLUMN(AW$1)&amp;""=1""))&amp;""' ORDER BY Col6 DESC LIMIT ""&amp;QUERY('Global Variables'!$A:$B, ""SELECT Col2 WHERE Col1 = 'S"&amp;"TARTING_ROSTER_SIZE'"")),0))"),0.0)</f>
        <v>0</v>
      </c>
      <c r="AX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Col""&amp;COLUMN(AX$1)&amp;""=1""))&amp;""' ORDER BY Col6 DESC LIMIT ""&amp;QUERY('Global Variables'!$A:$B, ""SELECT Col2 WHERE Col1 = 'S"&amp;"TARTING_ROSTER_SIZE'"")),0))"),0.0)</f>
        <v>0</v>
      </c>
      <c r="AY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Col""&amp;COLUMN(AY$1)&amp;""=1""))&amp;""' ORDER BY Col6 DESC LIMIT ""&amp;QUERY('Global Variables'!$A:$B, ""SELECT Col2 WHERE Col1 = 'S"&amp;"TARTING_ROSTER_SIZE'"")),0))"),0.0)</f>
        <v>0</v>
      </c>
      <c r="AZ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Col""&amp;COLUMN(AZ$1)&amp;""=1""))&amp;""' ORDER BY Col6 DESC LIMIT ""&amp;QUERY('Global Variables'!$A:$B, ""SELECT Col2 WHERE Col1 = 'S"&amp;"TARTING_ROSTER_SIZE'"")),0))"),0.0)</f>
        <v>0</v>
      </c>
      <c r="BA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Col""&amp;COLUMN(BA$1)&amp;""=1""))&amp;""' ORDER BY Col6 DESC LIMIT ""&amp;QUERY('Global Variables'!$A:$B, ""SELECT Col2 WHERE Col1 = 'S"&amp;"TARTING_ROSTER_SIZE'"")),0))"),0.0)</f>
        <v>0</v>
      </c>
      <c r="BB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Col""&amp;COLUMN(BB$1)&amp;""=1""))&amp;""' ORDER BY Col6 DESC LIMIT ""&amp;QUERY('Global Variables'!$A:$B, ""SELECT Col2 WHERE Col1 = 'S"&amp;"TARTING_ROSTER_SIZE'"")),0))"),0.0)</f>
        <v>0</v>
      </c>
      <c r="BC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Col""&amp;COLUMN(BC$1)&amp;""=1""))&amp;""' ORDER BY Col6 DESC LIMIT ""&amp;QUERY('Global Variables'!$A:$B, ""SELECT Col2 WHERE Col1 = 'S"&amp;"TARTING_ROSTER_SIZE'"")),0))"),0.0)</f>
        <v>0</v>
      </c>
      <c r="BD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Col""&amp;COLUMN(BD$1)&amp;""=1""))&amp;""' ORDER BY Col6 DESC LIMIT ""&amp;QUERY('Global Variables'!$A:$B, ""SELECT Col2 WHERE Col1 = 'S"&amp;"TARTING_ROSTER_SIZE'"")),0))"),0.0)</f>
        <v>0</v>
      </c>
      <c r="BE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Col""&amp;COLUMN(BE$1)&amp;""=1""))&amp;""' ORDER BY Col6 DESC LIMIT ""&amp;QUERY('Global Variables'!$A:$B, ""SELECT Col2 WHERE Col1 = 'S"&amp;"TARTING_ROSTER_SIZE'"")),0))"),0.0)</f>
        <v>0</v>
      </c>
      <c r="BF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Col""&amp;COLUMN(BF$1)&amp;""=1""))&amp;""' ORDER BY Col6 DESC LIMIT ""&amp;QUERY('Global Variables'!$A:$B, ""SELECT Col2 WHERE Col1 = 'S"&amp;"TARTING_ROSTER_SIZE'"")),0))"),0.0)</f>
        <v>0</v>
      </c>
      <c r="BG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Col""&amp;COLUMN(BG$1)&amp;""=1""))&amp;""' ORDER BY Col6 DESC LIMIT ""&amp;QUERY('Global Variables'!$A:$B, ""SELECT Col2 WHERE Col1 = 'S"&amp;"TARTING_ROSTER_SIZE'"")),0))"),0.0)</f>
        <v>0</v>
      </c>
      <c r="BH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Col""&amp;COLUMN(BH$1)&amp;""=1""))&amp;""' ORDER BY Col6 DESC LIMIT ""&amp;QUERY('Global Variables'!$A:$B, ""SELECT Col2 WHERE Col1 = 'S"&amp;"TARTING_ROSTER_SIZE'"")),0))"),0.0)</f>
        <v>0</v>
      </c>
      <c r="BI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Col""&amp;COLUMN(BI$1)&amp;""=1""))&amp;""' ORDER BY Col6 DESC LIMIT ""&amp;QUERY('Global Variables'!$A:$B, ""SELECT Col2 WHERE Col1 = 'S"&amp;"TARTING_ROSTER_SIZE'"")),0))"),0.0)</f>
        <v>0</v>
      </c>
      <c r="BJ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Col""&amp;COLUMN(BJ$1)&amp;""=1""))&amp;""' ORDER BY Col6 DESC LIMIT ""&amp;QUERY('Global Variables'!$A:$B, ""SELECT Col2 WHERE Col1 = 'S"&amp;"TARTING_ROSTER_SIZE'"")),0))"),0.0)</f>
        <v>0</v>
      </c>
      <c r="BK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Col""&amp;COLUMN(BK$1)&amp;""=1""))&amp;""' ORDER BY Col6 DESC LIMIT ""&amp;QUERY('Global Variables'!$A:$B, ""SELECT Col2 WHERE Col1 = 'S"&amp;"TARTING_ROSTER_SIZE'"")),0))"),0.0)</f>
        <v>0</v>
      </c>
      <c r="BL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Col""&amp;COLUMN(BL$1)&amp;""=1""))&amp;""' ORDER BY Col6 DESC LIMIT ""&amp;QUERY('Global Variables'!$A:$B, ""SELECT Col2 WHERE Col1 = 'S"&amp;"TARTING_ROSTER_SIZE'"")),0))"),0.0)</f>
        <v>0</v>
      </c>
      <c r="BM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Col""&amp;COLUMN(BM$1)&amp;""=1""))&amp;""' ORDER BY Col6 DESC LIMIT ""&amp;QUERY('Global Variables'!$A:$B, ""SELECT Col2 WHERE Col1 = 'S"&amp;"TARTING_ROSTER_SIZE'"")),0))"),0.0)</f>
        <v>0</v>
      </c>
      <c r="BN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Col""&amp;COLUMN(BN$1)&amp;""=1""))&amp;""' ORDER BY Col6 DESC LIMIT ""&amp;QUERY('Global Variables'!$A:$B, ""SELECT Col2 WHERE Col1 = 'S"&amp;"TARTING_ROSTER_SIZE'"")),0))"),0.0)</f>
        <v>0</v>
      </c>
      <c r="BO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Col""&amp;COLUMN(BO$1)&amp;""=1""))&amp;""' ORDER BY Col6 DESC LIMIT ""&amp;QUERY('Global Variables'!$A:$B, ""SELECT Col2 WHERE Col1 = 'S"&amp;"TARTING_ROSTER_SIZE'"")),0))"),0.0)</f>
        <v>0</v>
      </c>
      <c r="BP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Col""&amp;COLUMN(BP$1)&amp;""=1""))&amp;""' ORDER BY Col6 DESC LIMIT ""&amp;QUERY('Global Variables'!$A:$B, ""SELECT Col2 WHERE Col1 = 'S"&amp;"TARTING_ROSTER_SIZE'"")),0))"),0.0)</f>
        <v>0</v>
      </c>
      <c r="BQ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Col""&amp;COLUMN(BQ$1)&amp;""=1""))&amp;""' ORDER BY Col6 DESC LIMIT ""&amp;QUERY('Global Variables'!$A:$B, ""SELECT Col2 WHERE Col1 = 'S"&amp;"TARTING_ROSTER_SIZE'"")),0))"),0.0)</f>
        <v>0</v>
      </c>
      <c r="BR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Col""&amp;COLUMN(BR$1)&amp;""=1""))&amp;""' ORDER BY Col6 DESC LIMIT ""&amp;QUERY('Global Variables'!$A:$B, ""SELECT Col2 WHERE Col1 = 'S"&amp;"TARTING_ROSTER_SIZE'"")),0))"),0.0)</f>
        <v>0</v>
      </c>
      <c r="BS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Col""&amp;COLUMN(BS$1)&amp;""=1""))&amp;""' ORDER BY Col6 DESC LIMIT ""&amp;QUERY('Global Variables'!$A:$B, ""SELECT Col2 WHERE Col1 = 'S"&amp;"TARTING_ROSTER_SIZE'"")),0))"),0.0)</f>
        <v>0</v>
      </c>
      <c r="BT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Col""&amp;COLUMN(BT$1)&amp;""=1""))&amp;""' ORDER BY Col6 DESC LIMIT ""&amp;QUERY('Global Variables'!$A:$B, ""SELECT Col2 WHERE Col1 = 'S"&amp;"TARTING_ROSTER_SIZE'"")),0))"),0.0)</f>
        <v>0</v>
      </c>
      <c r="BU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Col""&amp;COLUMN(BU$1)&amp;""=1""))&amp;""' ORDER BY Col6 DESC LIMIT ""&amp;QUERY('Global Variables'!$A:$B, ""SELECT Col2 WHERE Col1 = 'S"&amp;"TARTING_ROSTER_SIZE'"")),0))"),0.0)</f>
        <v>0</v>
      </c>
      <c r="BV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Col""&amp;COLUMN(BV$1)&amp;""=1""))&amp;""' ORDER BY Col6 DESC LIMIT ""&amp;QUERY('Global Variables'!$A:$B, ""SELECT Col2 WHERE Col1 = 'S"&amp;"TARTING_ROSTER_SIZE'"")),0))"),0.0)</f>
        <v>0</v>
      </c>
      <c r="BW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Col""&amp;COLUMN(BW$1)&amp;""=1""))&amp;""' ORDER BY Col6 DESC LIMIT ""&amp;QUERY('Global Variables'!$A:$B, ""SELECT Col2 WHERE Col1 = 'S"&amp;"TARTING_ROSTER_SIZE'"")),0))"),0.0)</f>
        <v>0</v>
      </c>
      <c r="BX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Col""&amp;COLUMN(BX$1)&amp;""=1""))&amp;""' ORDER BY Col6 DESC LIMIT ""&amp;QUERY('Global Variables'!$A:$B, ""SELECT Col2 WHERE Col1 = 'S"&amp;"TARTING_ROSTER_SIZE'"")),0))"),0.0)</f>
        <v>0</v>
      </c>
      <c r="BY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Col""&amp;COLUMN(BY$1)&amp;""=1""))&amp;""' ORDER BY Col6 DESC LIMIT ""&amp;QUERY('Global Variables'!$A:$B, ""SELECT Col2 WHERE Col1 = 'S"&amp;"TARTING_ROSTER_SIZE'"")),0))"),0.0)</f>
        <v>0</v>
      </c>
      <c r="BZ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Col""&amp;COLUMN(BZ$1)&amp;""=1""))&amp;""' ORDER BY Col6 DESC LIMIT ""&amp;QUERY('Global Variables'!$A:$B, ""SELECT Col2 WHERE Col1 = 'S"&amp;"TARTING_ROSTER_SIZE'"")),0))"),0.0)</f>
        <v>0</v>
      </c>
      <c r="CA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Col""&amp;COLUMN(CA$1)&amp;""=1""))&amp;""' ORDER BY Col6 DESC LIMIT ""&amp;QUERY('Global Variables'!$A:$B, ""SELECT Col2 WHERE Col1 = 'S"&amp;"TARTING_ROSTER_SIZE'"")),0))"),0.0)</f>
        <v>0</v>
      </c>
      <c r="CB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Col""&amp;COLUMN(CB$1)&amp;""=1""))&amp;""' ORDER BY Col6 DESC LIMIT ""&amp;QUERY('Global Variables'!$A:$B, ""SELECT Col2 WHERE Col1 = 'S"&amp;"TARTING_ROSTER_SIZE'"")),0))"),0.0)</f>
        <v>0</v>
      </c>
      <c r="CC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Col""&amp;COLUMN(CC$1)&amp;""=1""))&amp;""' ORDER BY Col6 DESC LIMIT ""&amp;QUERY('Global Variables'!$A:$B, ""SELECT Col2 WHERE Col1 = 'S"&amp;"TARTING_ROSTER_SIZE'"")),0))"),0.0)</f>
        <v>0</v>
      </c>
      <c r="CD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Col""&amp;COLUMN(CD$1)&amp;""=1""))&amp;""' ORDER BY Col6 DESC LIMIT ""&amp;QUERY('Global Variables'!$A:$B, ""SELECT Col2 WHERE Col1 = 'S"&amp;"TARTING_ROSTER_SIZE'"")),0))"),0.0)</f>
        <v>0</v>
      </c>
      <c r="CE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Col""&amp;COLUMN(CE$1)&amp;""=1""))&amp;""' ORDER BY Col6 DESC LIMIT ""&amp;QUERY('Global Variables'!$A:$B, ""SELECT Col2 WHERE Col1 = 'S"&amp;"TARTING_ROSTER_SIZE'"")),0))"),0.0)</f>
        <v>0</v>
      </c>
      <c r="CF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Col""&amp;COLUMN(CF$1)&amp;""=1""))&amp;""' ORDER BY Col6 DESC LIMIT ""&amp;QUERY('Global Variables'!$A:$B, ""SELECT Col2 WHERE Col1 = 'S"&amp;"TARTING_ROSTER_SIZE'"")),0))"),0.0)</f>
        <v>0</v>
      </c>
      <c r="CG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Col""&amp;COLUMN(CG$1)&amp;""=1""))&amp;""' ORDER BY Col6 DESC LIMIT ""&amp;QUERY('Global Variables'!$A:$B, ""SELECT Col2 WHERE Col1 = 'S"&amp;"TARTING_ROSTER_SIZE'"")),0))"),0.0)</f>
        <v>0</v>
      </c>
      <c r="CH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Col""&amp;COLUMN(CH$1)&amp;""=1""))&amp;""' ORDER BY Col6 DESC LIMIT ""&amp;QUERY('Global Variables'!$A:$B, ""SELECT Col2 WHERE Col1 = 'S"&amp;"TARTING_ROSTER_SIZE'"")),0))"),0.0)</f>
        <v>0</v>
      </c>
      <c r="CI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Col""&amp;COLUMN(CI$1)&amp;""=1""))&amp;""' ORDER BY Col6 DESC LIMIT ""&amp;QUERY('Global Variables'!$A:$B, ""SELECT Col2 WHERE Col1 = 'S"&amp;"TARTING_ROSTER_SIZE'"")),0))"),0.0)</f>
        <v>0</v>
      </c>
      <c r="CJ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Col""&amp;COLUMN(CJ$1)&amp;""=1""))&amp;""' ORDER BY Col6 DESC LIMIT ""&amp;QUERY('Global Variables'!$A:$B, ""SELECT Col2 WHERE Col1 = 'S"&amp;"TARTING_ROSTER_SIZE'"")),0))"),0.0)</f>
        <v>0</v>
      </c>
      <c r="CK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Col""&amp;COLUMN(CK$1)&amp;""=1""))&amp;""' ORDER BY Col6 DESC LIMIT ""&amp;QUERY('Global Variables'!$A:$B, ""SELECT Col2 WHERE Col1 = 'S"&amp;"TARTING_ROSTER_SIZE'"")),0))"),0.0)</f>
        <v>0</v>
      </c>
      <c r="CL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Col""&amp;COLUMN(CL$1)&amp;""=1""))&amp;""' ORDER BY Col6 DESC LIMIT ""&amp;QUERY('Global Variables'!$A:$B, ""SELECT Col2 WHERE Col1 = 'S"&amp;"TARTING_ROSTER_SIZE'"")),0))"),0.0)</f>
        <v>0</v>
      </c>
      <c r="CM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Col""&amp;COLUMN(CM$1)&amp;""=1""))&amp;""' ORDER BY Col6 DESC LIMIT ""&amp;QUERY('Global Variables'!$A:$B, ""SELECT Col2 WHERE Col1 = 'S"&amp;"TARTING_ROSTER_SIZE'"")),0))"),0.0)</f>
        <v>0</v>
      </c>
      <c r="CN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Col""&amp;COLUMN(CN$1)&amp;""=1""))&amp;""' ORDER BY Col6 DESC LIMIT ""&amp;QUERY('Global Variables'!$A:$B, ""SELECT Col2 WHERE Col1 = 'S"&amp;"TARTING_ROSTER_SIZE'"")),0))"),0.0)</f>
        <v>0</v>
      </c>
      <c r="CO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Col""&amp;COLUMN(CO$1)&amp;""=1""))&amp;""' ORDER BY Col6 DESC LIMIT ""&amp;QUERY('Global Variables'!$A:$B, ""SELECT Col2 WHERE Col1 = 'S"&amp;"TARTING_ROSTER_SIZE'"")),0))"),0.0)</f>
        <v>0</v>
      </c>
      <c r="CP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Col""&amp;COLUMN(CP$1)&amp;""=1""))&amp;""' ORDER BY Col6 DESC LIMIT ""&amp;QUERY('Global Variables'!$A:$B, ""SELECT Col2 WHERE Col1 = 'S"&amp;"TARTING_ROSTER_SIZE'"")),0))"),0.0)</f>
        <v>0</v>
      </c>
      <c r="CQ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Col""&amp;COLUMN(CQ$1)&amp;""=1""))&amp;""' ORDER BY Col6 DESC LIMIT ""&amp;QUERY('Global Variables'!$A:$B, ""SELECT Col2 WHERE Col1 = 'S"&amp;"TARTING_ROSTER_SIZE'"")),0))"),0.0)</f>
        <v>0</v>
      </c>
      <c r="CR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Col""&amp;COLUMN(CR$1)&amp;""=1""))&amp;""' ORDER BY Col6 DESC LIMIT ""&amp;QUERY('Global Variables'!$A:$B, ""SELECT Col2 WHERE Col1 = 'S"&amp;"TARTING_ROSTER_SIZE'"")),0))"),0.0)</f>
        <v>0</v>
      </c>
      <c r="CS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Col""&amp;COLUMN(CS$1)&amp;""=1""))&amp;""' ORDER BY Col6 DESC LIMIT ""&amp;QUERY('Global Variables'!$A:$B, ""SELECT Col2 WHERE Col1 = 'S"&amp;"TARTING_ROSTER_SIZE'"")),0))"),0.0)</f>
        <v>0</v>
      </c>
      <c r="CT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Col""&amp;COLUMN(CT$1)&amp;""=1""))&amp;""' ORDER BY Col6 DESC LIMIT ""&amp;QUERY('Global Variables'!$A:$B, ""SELECT Col2 WHERE Col1 = 'S"&amp;"TARTING_ROSTER_SIZE'"")),0))"),0.0)</f>
        <v>0</v>
      </c>
      <c r="CU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Col""&amp;COLUMN(CU$1)&amp;""=1""))&amp;""' ORDER BY Col6 DESC LIMIT ""&amp;QUERY('Global Variables'!$A:$B, ""SELECT Col2 WHERE Col1 = 'S"&amp;"TARTING_ROSTER_SIZE'"")),0))"),0.0)</f>
        <v>0</v>
      </c>
      <c r="CV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Col""&amp;COLUMN(CV$1)&amp;""=1""))&amp;""' ORDER BY Col6 DESC LIMIT ""&amp;QUERY('Global Variables'!$A:$B, ""SELECT Col2 WHERE Col1 = 'S"&amp;"TARTING_ROSTER_SIZE'"")),0))"),0.0)</f>
        <v>0</v>
      </c>
      <c r="CW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Col""&amp;COLUMN(CW$1)&amp;""=1""))&amp;""' ORDER BY Col6 DESC LIMIT ""&amp;QUERY('Global Variables'!$A:$B, ""SELECT Col2 WHERE Col1 = 'S"&amp;"TARTING_ROSTER_SIZE'"")),0))"),0.0)</f>
        <v>0</v>
      </c>
      <c r="CX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Col""&amp;COLUMN(CX$1)&amp;""=1""))&amp;""' ORDER BY Col6 DESC LIMIT ""&amp;QUERY('Global Variables'!$A:$B, ""SELECT Col2 WHERE Col1 = 'S"&amp;"TARTING_ROSTER_SIZE'"")),0))"),0.0)</f>
        <v>0</v>
      </c>
      <c r="CY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Col""&amp;COLUMN(CY$1)&amp;""=1""))&amp;""' ORDER BY Col6 DESC LIMIT ""&amp;QUERY('Global Variables'!$A:$B, ""SELECT Col2 WHERE Col1 = 'S"&amp;"TARTING_ROSTER_SIZE'"")),0))"),0.0)</f>
        <v>0</v>
      </c>
      <c r="CZ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Col""&amp;COLUMN(CZ$1)&amp;""=1""))&amp;""' ORDER BY Col6 DESC LIMIT ""&amp;QUERY('Global Variables'!$A:$B, ""SELECT Col2 WHERE Col1 = 'S"&amp;"TARTING_ROSTER_SIZE'"")),0))"),0.0)</f>
        <v>0</v>
      </c>
      <c r="DA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Col""&amp;COLUMN(DA$1)&amp;""=1""))&amp;""' ORDER BY Col6 DESC LIMIT ""&amp;QUERY('Global Variables'!$A:$B, ""SELECT Col2 WHERE Col1 = 'S"&amp;"TARTING_ROSTER_SIZE'"")),0))"),0.0)</f>
        <v>0</v>
      </c>
      <c r="DB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Col""&amp;COLUMN(DB$1)&amp;""=1""))&amp;""' ORDER BY Col6 DESC LIMIT ""&amp;QUERY('Global Variables'!$A:$B, ""SELECT Col2 WHERE Col1 = 'S"&amp;"TARTING_ROSTER_SIZE'"")),0))"),0.0)</f>
        <v>0</v>
      </c>
      <c r="DC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Col""&amp;COLUMN(DC$1)&amp;""=1""))&amp;""' ORDER BY Col6 DESC LIMIT ""&amp;QUERY('Global Variables'!$A:$B, ""SELECT Col2 WHERE Col1 = 'S"&amp;"TARTING_ROSTER_SIZE'"")),0))"),0.0)</f>
        <v>0</v>
      </c>
      <c r="DD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Col""&amp;COLUMN(DD$1)&amp;""=1""))&amp;""' ORDER BY Col6 DESC LIMIT ""&amp;QUERY('Global Variables'!$A:$B, ""SELECT Col2 WHERE Col1 = 'S"&amp;"TARTING_ROSTER_SIZE'"")),0))"),0.0)</f>
        <v>0</v>
      </c>
      <c r="DE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Col""&amp;COLUMN(DE$1)&amp;""=1""))&amp;""' ORDER BY Col6 DESC LIMIT ""&amp;QUERY('Global Variables'!$A:$B, ""SELECT Col2 WHERE Col1 = 'S"&amp;"TARTING_ROSTER_SIZE'"")),0))"),0.0)</f>
        <v>0</v>
      </c>
      <c r="DF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Col""&amp;COLUMN(DF$1)&amp;""=1""))&amp;""' ORDER BY Col6 DESC LIMIT ""&amp;QUERY('Global Variables'!$A:$B, ""SELECT Col2 WHERE Col1 = 'S"&amp;"TARTING_ROSTER_SIZE'"")),0))"),0.0)</f>
        <v>0</v>
      </c>
      <c r="DG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Col""&amp;COLUMN(DG$1)&amp;""=1""))&amp;""' ORDER BY Col6 DESC LIMIT ""&amp;QUERY('Global Variables'!$A:$B, ""SELECT Col2 WHERE Col1 = 'S"&amp;"TARTING_ROSTER_SIZE'"")),0))"),0.0)</f>
        <v>0</v>
      </c>
      <c r="DH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Col""&amp;COLUMN(DH$1)&amp;""=1""))&amp;""' ORDER BY Col6 DESC LIMIT ""&amp;QUERY('Global Variables'!$A:$B, ""SELECT Col2 WHERE Col1 = 'S"&amp;"TARTING_ROSTER_SIZE'"")),0))"),0.0)</f>
        <v>0</v>
      </c>
      <c r="DI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Col""&amp;COLUMN(DI$1)&amp;""=1""))&amp;""' ORDER BY Col6 DESC LIMIT ""&amp;QUERY('Global Variables'!$A:$B, ""SELECT Col2 WHERE Col1 = 'S"&amp;"TARTING_ROSTER_SIZE'"")),0))"),0.0)</f>
        <v>0</v>
      </c>
      <c r="DJ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Col""&amp;COLUMN(DJ$1)&amp;""=1""))&amp;""' ORDER BY Col6 DESC LIMIT ""&amp;QUERY('Global Variables'!$A:$B, ""SELECT Col2 WHERE Col1 = 'S"&amp;"TARTING_ROSTER_SIZE'"")),0))"),0.0)</f>
        <v>0</v>
      </c>
      <c r="DK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Col""&amp;COLUMN(DK$1)&amp;""=1""))&amp;""' ORDER BY Col6 DESC LIMIT ""&amp;QUERY('Global Variables'!$A:$B, ""SELECT Col2 WHERE Col1 = 'S"&amp;"TARTING_ROSTER_SIZE'"")),0))"),0.0)</f>
        <v>0</v>
      </c>
      <c r="DL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Col""&amp;COLUMN(DL$1)&amp;""=1""))&amp;""' ORDER BY Col6 DESC LIMIT ""&amp;QUERY('Global Variables'!$A:$B, ""SELECT Col2 WHERE Col1 = 'S"&amp;"TARTING_ROSTER_SIZE'"")),0))"),0.0)</f>
        <v>0</v>
      </c>
      <c r="DM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Col""&amp;COLUMN(DM$1)&amp;""=1""))&amp;""' ORDER BY Col6 DESC LIMIT ""&amp;QUERY('Global Variables'!$A:$B, ""SELECT Col2 WHERE Col1 = 'S"&amp;"TARTING_ROSTER_SIZE'"")),0))"),0.0)</f>
        <v>0</v>
      </c>
      <c r="DN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Col""&amp;COLUMN(DN$1)&amp;""=1""))&amp;""' ORDER BY Col6 DESC LIMIT ""&amp;QUERY('Global Variables'!$A:$B, ""SELECT Col2 WHERE Col1 = 'S"&amp;"TARTING_ROSTER_SIZE'"")),0))"),0.0)</f>
        <v>0</v>
      </c>
      <c r="DO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Col""&amp;COLUMN(DO$1)&amp;""=1""))&amp;""' ORDER BY Col6 DESC LIMIT ""&amp;QUERY('Global Variables'!$A:$B, ""SELECT Col2 WHERE Col1 = 'S"&amp;"TARTING_ROSTER_SIZE'"")),0))"),0.0)</f>
        <v>0</v>
      </c>
      <c r="DP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Col""&amp;COLUMN(DP$1)&amp;""=1""))&amp;""' ORDER BY Col6 DESC LIMIT ""&amp;QUERY('Global Variables'!$A:$B, ""SELECT Col2 WHERE Col1 = 'S"&amp;"TARTING_ROSTER_SIZE'"")),0))"),0.0)</f>
        <v>0</v>
      </c>
      <c r="DQ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Col""&amp;COLUMN(DQ$1)&amp;""=1""))&amp;""' ORDER BY Col6 DESC LIMIT ""&amp;QUERY('Global Variables'!$A:$B, ""SELECT Col2 WHERE Col1 = 'S"&amp;"TARTING_ROSTER_SIZE'"")),0))"),0.0)</f>
        <v>0</v>
      </c>
      <c r="DR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Col""&amp;COLUMN(DR$1)&amp;""=1""))&amp;""' ORDER BY Col6 DESC LIMIT ""&amp;QUERY('Global Variables'!$A:$B, ""SELECT Col2 WHERE Col1 = 'S"&amp;"TARTING_ROSTER_SIZE'"")),0))"),0.0)</f>
        <v>0</v>
      </c>
      <c r="DS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Col""&amp;COLUMN(DS$1)&amp;""=1""))&amp;""' ORDER BY Col6 DESC LIMIT ""&amp;QUERY('Global Variables'!$A:$B, ""SELECT Col2 WHERE Col1 = 'S"&amp;"TARTING_ROSTER_SIZE'"")),0))"),0.0)</f>
        <v>0</v>
      </c>
      <c r="DT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Col""&amp;COLUMN(DT$1)&amp;""=1""))&amp;""' ORDER BY Col6 DESC LIMIT ""&amp;QUERY('Global Variables'!$A:$B, ""SELECT Col2 WHERE Col1 = 'S"&amp;"TARTING_ROSTER_SIZE'"")),0))"),0.0)</f>
        <v>0</v>
      </c>
      <c r="DU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Col""&amp;COLUMN(DU$1)&amp;""=1""))&amp;""' ORDER BY Col6 DESC LIMIT ""&amp;QUERY('Global Variables'!$A:$B, ""SELECT Col2 WHERE Col1 = 'S"&amp;"TARTING_ROSTER_SIZE'"")),0))"),0.0)</f>
        <v>0</v>
      </c>
      <c r="DV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Col""&amp;COLUMN(DV$1)&amp;""=1""))&amp;""' ORDER BY Col6 DESC LIMIT ""&amp;QUERY('Global Variables'!$A:$B, ""SELECT Col2 WHERE Col1 = 'S"&amp;"TARTING_ROSTER_SIZE'"")),0))"),0.0)</f>
        <v>0</v>
      </c>
      <c r="DW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Col""&amp;COLUMN(DW$1)&amp;""=1""))&amp;""' ORDER BY Col6 DESC LIMIT ""&amp;QUERY('Global Variables'!$A:$B, ""SELECT Col2 WHERE Col1 = 'S"&amp;"TARTING_ROSTER_SIZE'"")),0))"),0.0)</f>
        <v>0</v>
      </c>
      <c r="DX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Col""&amp;COLUMN(DX$1)&amp;""=1""))&amp;""' ORDER BY Col6 DESC LIMIT ""&amp;QUERY('Global Variables'!$A:$B, ""SELECT Col2 WHERE Col1 = 'S"&amp;"TARTING_ROSTER_SIZE'"")),0))"),0.0)</f>
        <v>0</v>
      </c>
      <c r="DY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Col""&amp;COLUMN(DY$1)&amp;""=1""))&amp;""' ORDER BY Col6 DESC LIMIT ""&amp;QUERY('Global Variables'!$A:$B, ""SELECT Col2 WHERE Col1 = 'S"&amp;"TARTING_ROSTER_SIZE'"")),0))"),0.0)</f>
        <v>0</v>
      </c>
      <c r="DZ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Col""&amp;COLUMN(DZ$1)&amp;""=1""))&amp;""' ORDER BY Col6 DESC LIMIT ""&amp;QUERY('Global Variables'!$A:$B, ""SELECT Col2 WHERE Col1 = 'S"&amp;"TARTING_ROSTER_SIZE'"")),0))"),0.0)</f>
        <v>0</v>
      </c>
      <c r="EA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Col""&amp;COLUMN(EA$1)&amp;""=1""))&amp;""' ORDER BY Col6 DESC LIMIT ""&amp;QUERY('Global Variables'!$A:$B, ""SELECT Col2 WHERE Col1 = 'S"&amp;"TARTING_ROSTER_SIZE'"")),0))"),0.0)</f>
        <v>0</v>
      </c>
      <c r="EB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Col""&amp;COLUMN(EB$1)&amp;""=1""))&amp;""' ORDER BY Col6 DESC LIMIT ""&amp;QUERY('Global Variables'!$A:$B, ""SELECT Col2 WHERE Col1 = 'S"&amp;"TARTING_ROSTER_SIZE'"")),0))"),0.0)</f>
        <v>0</v>
      </c>
      <c r="EC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Col""&amp;COLUMN(EC$1)&amp;""=1""))&amp;""' ORDER BY Col6 DESC LIMIT ""&amp;QUERY('Global Variables'!$A:$B, ""SELECT Col2 WHERE Col1 = 'S"&amp;"TARTING_ROSTER_SIZE'"")),0))"),0.0)</f>
        <v>0</v>
      </c>
      <c r="ED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Col""&amp;COLUMN(ED$1)&amp;""=1""))&amp;""' ORDER BY Col6 DESC LIMIT ""&amp;QUERY('Global Variables'!$A:$B, ""SELECT Col2 WHERE Col1 = 'S"&amp;"TARTING_ROSTER_SIZE'"")),0))"),0.0)</f>
        <v>0</v>
      </c>
      <c r="EE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Col""&amp;COLUMN(EE$1)&amp;""=1""))&amp;""' ORDER BY Col6 DESC LIMIT ""&amp;QUERY('Global Variables'!$A:$B, ""SELECT Col2 WHERE Col1 = 'S"&amp;"TARTING_ROSTER_SIZE'"")),0))"),0.0)</f>
        <v>0</v>
      </c>
      <c r="EF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Col""&amp;COLUMN(EF$1)&amp;""=1""))&amp;""' ORDER BY Col6 DESC LIMIT ""&amp;QUERY('Global Variables'!$A:$B, ""SELECT Col2 WHERE Col1 = 'S"&amp;"TARTING_ROSTER_SIZE'"")),0))"),0.0)</f>
        <v>0</v>
      </c>
      <c r="EG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Col""&amp;COLUMN(EG$1)&amp;""=1""))&amp;""' ORDER BY Col6 DESC LIMIT ""&amp;QUERY('Global Variables'!$A:$B, ""SELECT Col2 WHERE Col1 = 'S"&amp;"TARTING_ROSTER_SIZE'"")),0))"),0.0)</f>
        <v>0</v>
      </c>
      <c r="EH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Col""&amp;COLUMN(EH$1)&amp;""=1""))&amp;""' ORDER BY Col6 DESC LIMIT ""&amp;QUERY('Global Variables'!$A:$B, ""SELECT Col2 WHERE Col1 = 'S"&amp;"TARTING_ROSTER_SIZE'"")),0))"),0.0)</f>
        <v>0</v>
      </c>
      <c r="EI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Col""&amp;COLUMN(EI$1)&amp;""=1""))&amp;""' ORDER BY Col6 DESC LIMIT ""&amp;QUERY('Global Variables'!$A:$B, ""SELECT Col2 WHERE Col1 = 'S"&amp;"TARTING_ROSTER_SIZE'"")),0))"),0.0)</f>
        <v>0</v>
      </c>
      <c r="EJ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Col""&amp;COLUMN(EJ$1)&amp;""=1""))&amp;""' ORDER BY Col6 DESC LIMIT ""&amp;QUERY('Global Variables'!$A:$B, ""SELECT Col2 WHERE Col1 = 'S"&amp;"TARTING_ROSTER_SIZE'"")),0))"),0.0)</f>
        <v>0</v>
      </c>
      <c r="EK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Col""&amp;COLUMN(EK$1)&amp;""=1""))&amp;""' ORDER BY Col6 DESC LIMIT ""&amp;QUERY('Global Variables'!$A:$B, ""SELECT Col2 WHERE Col1 = 'S"&amp;"TARTING_ROSTER_SIZE'"")),0))"),0.0)</f>
        <v>0</v>
      </c>
      <c r="EL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Col""&amp;COLUMN(EL$1)&amp;""=1""))&amp;""' ORDER BY Col6 DESC LIMIT ""&amp;QUERY('Global Variables'!$A:$B, ""SELECT Col2 WHERE Col1 = 'S"&amp;"TARTING_ROSTER_SIZE'"")),0))"),0.0)</f>
        <v>0</v>
      </c>
      <c r="EM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Col""&amp;COLUMN(EM$1)&amp;""=1""))&amp;""' ORDER BY Col6 DESC LIMIT ""&amp;QUERY('Global Variables'!$A:$B, ""SELECT Col2 WHERE Col1 = 'S"&amp;"TARTING_ROSTER_SIZE'"")),0))"),0.0)</f>
        <v>0</v>
      </c>
      <c r="EN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Col""&amp;COLUMN(EN$1)&amp;""=1""))&amp;""' ORDER BY Col6 DESC LIMIT ""&amp;QUERY('Global Variables'!$A:$B, ""SELECT Col2 WHERE Col1 = 'S"&amp;"TARTING_ROSTER_SIZE'"")),0))"),0.0)</f>
        <v>0</v>
      </c>
      <c r="EO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Col""&amp;COLUMN(EO$1)&amp;""=1""))&amp;""' ORDER BY Col6 DESC LIMIT ""&amp;QUERY('Global Variables'!$A:$B, ""SELECT Col2 WHERE Col1 = 'S"&amp;"TARTING_ROSTER_SIZE'"")),0))"),0.0)</f>
        <v>0</v>
      </c>
      <c r="EP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Col""&amp;COLUMN(EP$1)&amp;""=1""))&amp;""' ORDER BY Col6 DESC LIMIT ""&amp;QUERY('Global Variables'!$A:$B, ""SELECT Col2 WHERE Col1 = 'S"&amp;"TARTING_ROSTER_SIZE'"")),0))"),0.0)</f>
        <v>0</v>
      </c>
      <c r="EQ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Col""&amp;COLUMN(EQ$1)&amp;""=1""))&amp;""' ORDER BY Col6 DESC LIMIT ""&amp;QUERY('Global Variables'!$A:$B, ""SELECT Col2 WHERE Col1 = 'S"&amp;"TARTING_ROSTER_SIZE'"")),0))"),0.0)</f>
        <v>0</v>
      </c>
      <c r="ER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Col""&amp;COLUMN(ER$1)&amp;""=1""))&amp;""' ORDER BY Col6 DESC LIMIT ""&amp;QUERY('Global Variables'!$A:$B, ""SELECT Col2 WHERE Col1 = 'S"&amp;"TARTING_ROSTER_SIZE'"")),0))"),0.0)</f>
        <v>0</v>
      </c>
      <c r="ES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Col""&amp;COLUMN(ES$1)&amp;""=1""))&amp;""' ORDER BY Col6 DESC LIMIT ""&amp;QUERY('Global Variables'!$A:$B, ""SELECT Col2 WHERE Col1 = 'S"&amp;"TARTING_ROSTER_SIZE'"")),0))"),0.0)</f>
        <v>0</v>
      </c>
      <c r="ET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Col""&amp;COLUMN(ET$1)&amp;""=1""))&amp;""' ORDER BY Col6 DESC LIMIT ""&amp;QUERY('Global Variables'!$A:$B, ""SELECT Col2 WHERE Col1 = 'S"&amp;"TARTING_ROSTER_SIZE'"")),0))"),0.0)</f>
        <v>0</v>
      </c>
      <c r="EU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Col""&amp;COLUMN(EU$1)&amp;""=1""))&amp;""' ORDER BY Col6 DESC LIMIT ""&amp;QUERY('Global Variables'!$A:$B, ""SELECT Col2 WHERE Col1 = 'S"&amp;"TARTING_ROSTER_SIZE'"")),0))"),0.0)</f>
        <v>0</v>
      </c>
      <c r="EV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Col""&amp;COLUMN(EV$1)&amp;""=1""))&amp;""' ORDER BY Col6 DESC LIMIT ""&amp;QUERY('Global Variables'!$A:$B, ""SELECT Col2 WHERE Col1 = 'S"&amp;"TARTING_ROSTER_SIZE'"")),0))"),0.0)</f>
        <v>0</v>
      </c>
      <c r="EW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Col""&amp;COLUMN(EW$1)&amp;""=1""))&amp;""' ORDER BY Col6 DESC LIMIT ""&amp;QUERY('Global Variables'!$A:$B, ""SELECT Col2 WHERE Col1 = 'S"&amp;"TARTING_ROSTER_SIZE'"")),0))"),0.0)</f>
        <v>0</v>
      </c>
      <c r="EX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Col""&amp;COLUMN(EX$1)&amp;""=1""))&amp;""' ORDER BY Col6 DESC LIMIT ""&amp;QUERY('Global Variables'!$A:$B, ""SELECT Col2 WHERE Col1 = 'S"&amp;"TARTING_ROSTER_SIZE'"")),0))"),0.0)</f>
        <v>0</v>
      </c>
      <c r="EY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Col""&amp;COLUMN(EY$1)&amp;""=1""))&amp;""' ORDER BY Col6 DESC LIMIT ""&amp;QUERY('Global Variables'!$A:$B, ""SELECT Col2 WHERE Col1 = 'S"&amp;"TARTING_ROSTER_SIZE'"")),0))"),0.0)</f>
        <v>0</v>
      </c>
      <c r="EZ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Col""&amp;COLUMN(EZ$1)&amp;""=1""))&amp;""' ORDER BY Col6 DESC LIMIT ""&amp;QUERY('Global Variables'!$A:$B, ""SELECT Col2 WHERE Col1 = 'S"&amp;"TARTING_ROSTER_SIZE'"")),0))"),0.0)</f>
        <v>0</v>
      </c>
      <c r="FA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Col""&amp;COLUMN(FA$1)&amp;""=1""))&amp;""' ORDER BY Col6 DESC LIMIT ""&amp;QUERY('Global Variables'!$A:$B, ""SELECT Col2 WHERE Col1 = 'S"&amp;"TARTING_ROSTER_SIZE'"")),0))"),0.0)</f>
        <v>0</v>
      </c>
      <c r="FB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Col""&amp;COLUMN(FB$1)&amp;""=1""))&amp;""' ORDER BY Col6 DESC LIMIT ""&amp;QUERY('Global Variables'!$A:$B, ""SELECT Col2 WHERE Col1 = 'S"&amp;"TARTING_ROSTER_SIZE'"")),0))"),0.0)</f>
        <v>0</v>
      </c>
      <c r="FC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Col""&amp;COLUMN(FC$1)&amp;""=1""))&amp;""' ORDER BY Col6 DESC LIMIT ""&amp;QUERY('Global Variables'!$A:$B, ""SELECT Col2 WHERE Col1 = 'S"&amp;"TARTING_ROSTER_SIZE'"")),0))"),0.0)</f>
        <v>0</v>
      </c>
      <c r="FD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Col""&amp;COLUMN(FD$1)&amp;""=1""))&amp;""' ORDER BY Col6 DESC LIMIT ""&amp;QUERY('Global Variables'!$A:$B, ""SELECT Col2 WHERE Col1 = 'S"&amp;"TARTING_ROSTER_SIZE'"")),0))"),0.0)</f>
        <v>0</v>
      </c>
      <c r="FE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Col""&amp;COLUMN(FE$1)&amp;""=1""))&amp;""' ORDER BY Col6 DESC LIMIT ""&amp;QUERY('Global Variables'!$A:$B, ""SELECT Col2 WHERE Col1 = 'S"&amp;"TARTING_ROSTER_SIZE'"")),0))"),0.0)</f>
        <v>0</v>
      </c>
      <c r="FF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Col""&amp;COLUMN(FF$1)&amp;""=1""))&amp;""' ORDER BY Col6 DESC LIMIT ""&amp;QUERY('Global Variables'!$A:$B, ""SELECT Col2 WHERE Col1 = 'S"&amp;"TARTING_ROSTER_SIZE'"")),0))"),0.0)</f>
        <v>0</v>
      </c>
      <c r="FG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Col""&amp;COLUMN(FG$1)&amp;""=1""))&amp;""' ORDER BY Col6 DESC LIMIT ""&amp;QUERY('Global Variables'!$A:$B, ""SELECT Col2 WHERE Col1 = 'S"&amp;"TARTING_ROSTER_SIZE'"")),0))"),0.0)</f>
        <v>0</v>
      </c>
      <c r="FH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Col""&amp;COLUMN(FH$1)&amp;""=1""))&amp;""' ORDER BY Col6 DESC LIMIT ""&amp;QUERY('Global Variables'!$A:$B, ""SELECT Col2 WHERE Col1 = 'S"&amp;"TARTING_ROSTER_SIZE'"")),0))"),0.0)</f>
        <v>0</v>
      </c>
      <c r="FI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Col""&amp;COLUMN(FI$1)&amp;""=1""))&amp;""' ORDER BY Col6 DESC LIMIT ""&amp;QUERY('Global Variables'!$A:$B, ""SELECT Col2 WHERE Col1 = 'S"&amp;"TARTING_ROSTER_SIZE'"")),0))"),0.0)</f>
        <v>0</v>
      </c>
      <c r="FJ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Col""&amp;COLUMN(FJ$1)&amp;""=1""))&amp;""' ORDER BY Col6 DESC LIMIT ""&amp;QUERY('Global Variables'!$A:$B, ""SELECT Col2 WHERE Col1 = 'S"&amp;"TARTING_ROSTER_SIZE'"")),0))"),0.0)</f>
        <v>0</v>
      </c>
      <c r="FK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Col""&amp;COLUMN(FK$1)&amp;""=1""))&amp;""' ORDER BY Col6 DESC LIMIT ""&amp;QUERY('Global Variables'!$A:$B, ""SELECT Col2 WHERE Col1 = 'S"&amp;"TARTING_ROSTER_SIZE'"")),0))"),0.0)</f>
        <v>0</v>
      </c>
      <c r="FL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Col""&amp;COLUMN(FL$1)&amp;""=1""))&amp;""' ORDER BY Col6 DESC LIMIT ""&amp;QUERY('Global Variables'!$A:$B, ""SELECT Col2 WHERE Col1 = 'S"&amp;"TARTING_ROSTER_SIZE'"")),0))"),0.0)</f>
        <v>0</v>
      </c>
      <c r="FM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Col""&amp;COLUMN(FM$1)&amp;""=1""))&amp;""' ORDER BY Col6 DESC LIMIT ""&amp;QUERY('Global Variables'!$A:$B, ""SELECT Col2 WHERE Col1 = 'S"&amp;"TARTING_ROSTER_SIZE'"")),0))"),0.0)</f>
        <v>0</v>
      </c>
      <c r="FN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Col""&amp;COLUMN(FN$1)&amp;""=1""))&amp;""' ORDER BY Col6 DESC LIMIT ""&amp;QUERY('Global Variables'!$A:$B, ""SELECT Col2 WHERE Col1 = 'S"&amp;"TARTING_ROSTER_SIZE'"")),0))"),0.0)</f>
        <v>0</v>
      </c>
      <c r="FO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Col""&amp;COLUMN(FO$1)&amp;""=1""))&amp;""' ORDER BY Col6 DESC LIMIT ""&amp;QUERY('Global Variables'!$A:$B, ""SELECT Col2 WHERE Col1 = 'S"&amp;"TARTING_ROSTER_SIZE'"")),0))"),0.0)</f>
        <v>0</v>
      </c>
      <c r="FP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Col""&amp;COLUMN(FP$1)&amp;""=1""))&amp;""' ORDER BY Col6 DESC LIMIT ""&amp;QUERY('Global Variables'!$A:$B, ""SELECT Col2 WHERE Col1 = 'S"&amp;"TARTING_ROSTER_SIZE'"")),0))"),0.0)</f>
        <v>0</v>
      </c>
      <c r="FQ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Col""&amp;COLUMN(FQ$1)&amp;""=1""))&amp;""' ORDER BY Col6 DESC LIMIT ""&amp;QUERY('Global Variables'!$A:$B, ""SELECT Col2 WHERE Col1 = 'S"&amp;"TARTING_ROSTER_SIZE'"")),0))"),0.0)</f>
        <v>0</v>
      </c>
      <c r="FR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Col""&amp;COLUMN(FR$1)&amp;""=1""))&amp;""' ORDER BY Col6 DESC LIMIT ""&amp;QUERY('Global Variables'!$A:$B, ""SELECT Col2 WHERE Col1 = 'S"&amp;"TARTING_ROSTER_SIZE'"")),0))"),0.0)</f>
        <v>0</v>
      </c>
      <c r="FS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Col""&amp;COLUMN(FS$1)&amp;""=1""))&amp;""' ORDER BY Col6 DESC LIMIT ""&amp;QUERY('Global Variables'!$A:$B, ""SELECT Col2 WHERE Col1 = 'S"&amp;"TARTING_ROSTER_SIZE'"")),0))"),0.0)</f>
        <v>0</v>
      </c>
      <c r="FT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Col""&amp;COLUMN(FT$1)&amp;""=1""))&amp;""' ORDER BY Col6 DESC LIMIT ""&amp;QUERY('Global Variables'!$A:$B, ""SELECT Col2 WHERE Col1 = 'S"&amp;"TARTING_ROSTER_SIZE'"")),0))"),0.0)</f>
        <v>0</v>
      </c>
      <c r="FU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Col""&amp;COLUMN(FU$1)&amp;""=1""))&amp;""' ORDER BY Col6 DESC LIMIT ""&amp;QUERY('Global Variables'!$A:$B, ""SELECT Col2 WHERE Col1 = 'S"&amp;"TARTING_ROSTER_SIZE'"")),0))"),0.0)</f>
        <v>0</v>
      </c>
      <c r="FV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Col""&amp;COLUMN(FV$1)&amp;""=1""))&amp;""' ORDER BY Col6 DESC LIMIT ""&amp;QUERY('Global Variables'!$A:$B, ""SELECT Col2 WHERE Col1 = 'S"&amp;"TARTING_ROSTER_SIZE'"")),0))"),0.0)</f>
        <v>0</v>
      </c>
      <c r="FW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Col""&amp;COLUMN(FW$1)&amp;""=1""))&amp;""' ORDER BY Col6 DESC LIMIT ""&amp;QUERY('Global Variables'!$A:$B, ""SELECT Col2 WHERE Col1 = 'S"&amp;"TARTING_ROSTER_SIZE'"")),0))"),0.0)</f>
        <v>0</v>
      </c>
      <c r="FX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Col""&amp;COLUMN(FX$1)&amp;""=1""))&amp;""' ORDER BY Col6 DESC LIMIT ""&amp;QUERY('Global Variables'!$A:$B, ""SELECT Col2 WHERE Col1 = 'S"&amp;"TARTING_ROSTER_SIZE'"")),0))"),0.0)</f>
        <v>0</v>
      </c>
      <c r="FY17" s="9">
        <f>IFERROR(__xludf.DUMMYFUNCTION("SUM(
IFERROR(QUERY(
IFERROR(
OFFSET(Teams!$A$1,MATCH($A17,Teams!$A:$A,0),1,QUERY('Global Variables'!$A:$B, ""SELECT Col2 WHERE Col1 = '""&amp;IF($B$21,""TEAM_SIZE"",""ACTIVE_ROSTER_SIZE"")&amp;""'""),QUERY('Global Variables'!$A:$B, ""SELECT Col2 WHERE Col1 = 'TEA"&amp;"M_DATA_FIELD_COUNT'"")),
OFFSET(Teams!$K$1,MATCH($A17,Teams!$K:$K,0),1,QUERY('Global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Col""&amp;COLUMN(FY$1)&amp;""=1""))&amp;""' ORDER BY Col6 DESC LIMIT ""&amp;QUERY('Global Variables'!$A:$B, ""SELECT Col2 WHERE Col1 = 'S"&amp;"TARTING_ROSTER_SIZE'"")),0))"),0.0)</f>
        <v>0</v>
      </c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</row>
    <row r="18">
      <c r="A18" s="32" t="str">
        <f>'Weekly EDSA'!A17</f>
        <v>Connolly</v>
      </c>
      <c r="B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Col""&amp;COLUMN(B$1)&amp;""=1""))&amp;""' ORDER BY Col6 DESC LIMIT ""&amp;QUERY('Global Variables'!$A:$B, ""SELECT Col2 WHERE Col1 = 'ST"&amp;"ARTING_ROSTER_SIZE'"")),0))"),0.0)</f>
        <v>0</v>
      </c>
      <c r="C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Col""&amp;COLUMN(C$1)&amp;""=1""))&amp;""' ORDER BY Col6 DESC LIMIT ""&amp;QUERY('Global Variables'!$A:$B, ""SELECT Col2 WHERE Col1 = 'ST"&amp;"ARTING_ROSTER_SIZE'"")),0))"),0.0)</f>
        <v>0</v>
      </c>
      <c r="D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Col""&amp;COLUMN(D$1)&amp;""=1""))&amp;""' ORDER BY Col6 DESC LIMIT ""&amp;QUERY('Global Variables'!$A:$B, ""SELECT Col2 WHERE Col1 = 'ST"&amp;"ARTING_ROSTER_SIZE'"")),0))"),0.0)</f>
        <v>0</v>
      </c>
      <c r="E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Col""&amp;COLUMN(E$1)&amp;""=1""))&amp;""' ORDER BY Col6 DESC LIMIT ""&amp;QUERY('Global Variables'!$A:$B, ""SELECT Col2 WHERE Col1 = 'ST"&amp;"ARTING_ROSTER_SIZE'"")),0))"),0.0)</f>
        <v>0</v>
      </c>
      <c r="F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Col""&amp;COLUMN(F$1)&amp;""=1""))&amp;""' ORDER BY Col6 DESC LIMIT ""&amp;QUERY('Global Variables'!$A:$B, ""SELECT Col2 WHERE Col1 = 'ST"&amp;"ARTING_ROSTER_SIZE'"")),0))"),0.0)</f>
        <v>0</v>
      </c>
      <c r="G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Col""&amp;COLUMN(G$1)&amp;""=1""))&amp;""' ORDER BY Col6 DESC LIMIT ""&amp;QUERY('Global Variables'!$A:$B, ""SELECT Col2 WHERE Col1 = 'ST"&amp;"ARTING_ROSTER_SIZE'"")),0))"),0.0)</f>
        <v>0</v>
      </c>
      <c r="H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Col""&amp;COLUMN(H$1)&amp;""=1""))&amp;""' ORDER BY Col6 DESC LIMIT ""&amp;QUERY('Global Variables'!$A:$B, ""SELECT Col2 WHERE Col1 = 'ST"&amp;"ARTING_ROSTER_SIZE'"")),0))"),0.0)</f>
        <v>0</v>
      </c>
      <c r="I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Col""&amp;COLUMN(I$1)&amp;""=1""))&amp;""' ORDER BY Col6 DESC LIMIT ""&amp;QUERY('Global Variables'!$A:$B, ""SELECT Col2 WHERE Col1 = 'ST"&amp;"ARTING_ROSTER_SIZE'"")),0))"),0.0)</f>
        <v>0</v>
      </c>
      <c r="J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Col""&amp;COLUMN(J$1)&amp;""=1""))&amp;""' ORDER BY Col6 DESC LIMIT ""&amp;QUERY('Global Variables'!$A:$B, ""SELECT Col2 WHERE Col1 = 'ST"&amp;"ARTING_ROSTER_SIZE'"")),0))"),0.0)</f>
        <v>0</v>
      </c>
      <c r="K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Col""&amp;COLUMN(K$1)&amp;""=1""))&amp;""' ORDER BY Col6 DESC LIMIT ""&amp;QUERY('Global Variables'!$A:$B, ""SELECT Col2 WHERE Col1 = 'ST"&amp;"ARTING_ROSTER_SIZE'"")),0))"),0.0)</f>
        <v>0</v>
      </c>
      <c r="L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Col""&amp;COLUMN(L$1)&amp;""=1""))&amp;""' ORDER BY Col6 DESC LIMIT ""&amp;QUERY('Global Variables'!$A:$B, ""SELECT Col2 WHERE Col1 = 'ST"&amp;"ARTING_ROSTER_SIZE'"")),0))"),0.0)</f>
        <v>0</v>
      </c>
      <c r="M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Col""&amp;COLUMN(M$1)&amp;""=1""))&amp;""' ORDER BY Col6 DESC LIMIT ""&amp;QUERY('Global Variables'!$A:$B, ""SELECT Col2 WHERE Col1 = 'ST"&amp;"ARTING_ROSTER_SIZE'"")),0))"),0.0)</f>
        <v>0</v>
      </c>
      <c r="N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Col""&amp;COLUMN(N$1)&amp;""=1""))&amp;""' ORDER BY Col6 DESC LIMIT ""&amp;QUERY('Global Variables'!$A:$B, ""SELECT Col2 WHERE Col1 = 'ST"&amp;"ARTING_ROSTER_SIZE'"")),0))"),0.0)</f>
        <v>0</v>
      </c>
      <c r="O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Col""&amp;COLUMN(O$1)&amp;""=1""))&amp;""' ORDER BY Col6 DESC LIMIT ""&amp;QUERY('Global Variables'!$A:$B, ""SELECT Col2 WHERE Col1 = 'ST"&amp;"ARTING_ROSTER_SIZE'"")),0))"),0.0)</f>
        <v>0</v>
      </c>
      <c r="P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Col""&amp;COLUMN(P$1)&amp;""=1""))&amp;""' ORDER BY Col6 DESC LIMIT ""&amp;QUERY('Global Variables'!$A:$B, ""SELECT Col2 WHERE Col1 = 'ST"&amp;"ARTING_ROSTER_SIZE'"")),0))"),0.0)</f>
        <v>0</v>
      </c>
      <c r="Q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Col""&amp;COLUMN(Q$1)&amp;""=1""))&amp;""' ORDER BY Col6 DESC LIMIT ""&amp;QUERY('Global Variables'!$A:$B, ""SELECT Col2 WHERE Col1 = 'ST"&amp;"ARTING_ROSTER_SIZE'"")),0))"),0.0)</f>
        <v>0</v>
      </c>
      <c r="R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Col""&amp;COLUMN(R$1)&amp;""=1""))&amp;""' ORDER BY Col6 DESC LIMIT ""&amp;QUERY('Global Variables'!$A:$B, ""SELECT Col2 WHERE Col1 = 'ST"&amp;"ARTING_ROSTER_SIZE'"")),0))"),0.0)</f>
        <v>0</v>
      </c>
      <c r="S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Col""&amp;COLUMN(S$1)&amp;""=1""))&amp;""' ORDER BY Col6 DESC LIMIT ""&amp;QUERY('Global Variables'!$A:$B, ""SELECT Col2 WHERE Col1 = 'ST"&amp;"ARTING_ROSTER_SIZE'"")),0))"),0.0)</f>
        <v>0</v>
      </c>
      <c r="T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Col""&amp;COLUMN(T$1)&amp;""=1""))&amp;""' ORDER BY Col6 DESC LIMIT ""&amp;QUERY('Global Variables'!$A:$B, ""SELECT Col2 WHERE Col1 = 'ST"&amp;"ARTING_ROSTER_SIZE'"")),0))"),0.0)</f>
        <v>0</v>
      </c>
      <c r="U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Col""&amp;COLUMN(U$1)&amp;""=1""))&amp;""' ORDER BY Col6 DESC LIMIT ""&amp;QUERY('Global Variables'!$A:$B, ""SELECT Col2 WHERE Col1 = 'ST"&amp;"ARTING_ROSTER_SIZE'"")),0))"),0.0)</f>
        <v>0</v>
      </c>
      <c r="V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Col""&amp;COLUMN(V$1)&amp;""=1""))&amp;""' ORDER BY Col6 DESC LIMIT ""&amp;QUERY('Global Variables'!$A:$B, ""SELECT Col2 WHERE Col1 = 'ST"&amp;"ARTING_ROSTER_SIZE'"")),0))"),0.0)</f>
        <v>0</v>
      </c>
      <c r="W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Col""&amp;COLUMN(W$1)&amp;""=1""))&amp;""' ORDER BY Col6 DESC LIMIT ""&amp;QUERY('Global Variables'!$A:$B, ""SELECT Col2 WHERE Col1 = 'ST"&amp;"ARTING_ROSTER_SIZE'"")),0))"),0.0)</f>
        <v>0</v>
      </c>
      <c r="X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Col""&amp;COLUMN(X$1)&amp;""=1""))&amp;""' ORDER BY Col6 DESC LIMIT ""&amp;QUERY('Global Variables'!$A:$B, ""SELECT Col2 WHERE Col1 = 'ST"&amp;"ARTING_ROSTER_SIZE'"")),0))"),0.0)</f>
        <v>0</v>
      </c>
      <c r="Y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Col""&amp;COLUMN(Y$1)&amp;""=1""))&amp;""' ORDER BY Col6 DESC LIMIT ""&amp;QUERY('Global Variables'!$A:$B, ""SELECT Col2 WHERE Col1 = 'ST"&amp;"ARTING_ROSTER_SIZE'"")),0))"),0.0)</f>
        <v>0</v>
      </c>
      <c r="Z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Col""&amp;COLUMN(Z$1)&amp;""=1""))&amp;""' ORDER BY Col6 DESC LIMIT ""&amp;QUERY('Global Variables'!$A:$B, ""SELECT Col2 WHERE Col1 = 'ST"&amp;"ARTING_ROSTER_SIZE'"")),0))"),0.0)</f>
        <v>0</v>
      </c>
      <c r="AA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Col""&amp;COLUMN(AA$1)&amp;""=1""))&amp;""' ORDER BY Col6 DESC LIMIT ""&amp;QUERY('Global Variables'!$A:$B, ""SELECT Col2 WHERE Col1 = 'S"&amp;"TARTING_ROSTER_SIZE'"")),0))"),0.0)</f>
        <v>0</v>
      </c>
      <c r="AB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Col""&amp;COLUMN(AB$1)&amp;""=1""))&amp;""' ORDER BY Col6 DESC LIMIT ""&amp;QUERY('Global Variables'!$A:$B, ""SELECT Col2 WHERE Col1 = 'S"&amp;"TARTING_ROSTER_SIZE'"")),0))"),0.0)</f>
        <v>0</v>
      </c>
      <c r="AC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Col""&amp;COLUMN(AC$1)&amp;""=1""))&amp;""' ORDER BY Col6 DESC LIMIT ""&amp;QUERY('Global Variables'!$A:$B, ""SELECT Col2 WHERE Col1 = 'S"&amp;"TARTING_ROSTER_SIZE'"")),0))"),0.0)</f>
        <v>0</v>
      </c>
      <c r="AD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Col""&amp;COLUMN(AD$1)&amp;""=1""))&amp;""' ORDER BY Col6 DESC LIMIT ""&amp;QUERY('Global Variables'!$A:$B, ""SELECT Col2 WHERE Col1 = 'S"&amp;"TARTING_ROSTER_SIZE'"")),0))"),0.0)</f>
        <v>0</v>
      </c>
      <c r="AE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Col""&amp;COLUMN(AE$1)&amp;""=1""))&amp;""' ORDER BY Col6 DESC LIMIT ""&amp;QUERY('Global Variables'!$A:$B, ""SELECT Col2 WHERE Col1 = 'S"&amp;"TARTING_ROSTER_SIZE'"")),0))"),0.0)</f>
        <v>0</v>
      </c>
      <c r="AF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Col""&amp;COLUMN(AF$1)&amp;""=1""))&amp;""' ORDER BY Col6 DESC LIMIT ""&amp;QUERY('Global Variables'!$A:$B, ""SELECT Col2 WHERE Col1 = 'S"&amp;"TARTING_ROSTER_SIZE'"")),0))"),0.0)</f>
        <v>0</v>
      </c>
      <c r="AG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Col""&amp;COLUMN(AG$1)&amp;""=1""))&amp;""' ORDER BY Col6 DESC LIMIT ""&amp;QUERY('Global Variables'!$A:$B, ""SELECT Col2 WHERE Col1 = 'S"&amp;"TARTING_ROSTER_SIZE'"")),0))"),0.0)</f>
        <v>0</v>
      </c>
      <c r="AH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Col""&amp;COLUMN(AH$1)&amp;""=1""))&amp;""' ORDER BY Col6 DESC LIMIT ""&amp;QUERY('Global Variables'!$A:$B, ""SELECT Col2 WHERE Col1 = 'S"&amp;"TARTING_ROSTER_SIZE'"")),0))"),0.0)</f>
        <v>0</v>
      </c>
      <c r="AI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Col""&amp;COLUMN(AI$1)&amp;""=1""))&amp;""' ORDER BY Col6 DESC LIMIT ""&amp;QUERY('Global Variables'!$A:$B, ""SELECT Col2 WHERE Col1 = 'S"&amp;"TARTING_ROSTER_SIZE'"")),0))"),0.0)</f>
        <v>0</v>
      </c>
      <c r="AJ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Col""&amp;COLUMN(AJ$1)&amp;""=1""))&amp;""' ORDER BY Col6 DESC LIMIT ""&amp;QUERY('Global Variables'!$A:$B, ""SELECT Col2 WHERE Col1 = 'S"&amp;"TARTING_ROSTER_SIZE'"")),0))"),0.0)</f>
        <v>0</v>
      </c>
      <c r="AK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Col""&amp;COLUMN(AK$1)&amp;""=1""))&amp;""' ORDER BY Col6 DESC LIMIT ""&amp;QUERY('Global Variables'!$A:$B, ""SELECT Col2 WHERE Col1 = 'S"&amp;"TARTING_ROSTER_SIZE'"")),0))"),0.0)</f>
        <v>0</v>
      </c>
      <c r="AL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Col""&amp;COLUMN(AL$1)&amp;""=1""))&amp;""' ORDER BY Col6 DESC LIMIT ""&amp;QUERY('Global Variables'!$A:$B, ""SELECT Col2 WHERE Col1 = 'S"&amp;"TARTING_ROSTER_SIZE'"")),0))"),0.0)</f>
        <v>0</v>
      </c>
      <c r="AM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Col""&amp;COLUMN(AM$1)&amp;""=1""))&amp;""' ORDER BY Col6 DESC LIMIT ""&amp;QUERY('Global Variables'!$A:$B, ""SELECT Col2 WHERE Col1 = 'S"&amp;"TARTING_ROSTER_SIZE'"")),0))"),0.0)</f>
        <v>0</v>
      </c>
      <c r="AN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Col""&amp;COLUMN(AN$1)&amp;""=1""))&amp;""' ORDER BY Col6 DESC LIMIT ""&amp;QUERY('Global Variables'!$A:$B, ""SELECT Col2 WHERE Col1 = 'S"&amp;"TARTING_ROSTER_SIZE'"")),0))"),0.0)</f>
        <v>0</v>
      </c>
      <c r="AO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Col""&amp;COLUMN(AO$1)&amp;""=1""))&amp;""' ORDER BY Col6 DESC LIMIT ""&amp;QUERY('Global Variables'!$A:$B, ""SELECT Col2 WHERE Col1 = 'S"&amp;"TARTING_ROSTER_SIZE'"")),0))"),0.0)</f>
        <v>0</v>
      </c>
      <c r="AP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Col""&amp;COLUMN(AP$1)&amp;""=1""))&amp;""' ORDER BY Col6 DESC LIMIT ""&amp;QUERY('Global Variables'!$A:$B, ""SELECT Col2 WHERE Col1 = 'S"&amp;"TARTING_ROSTER_SIZE'"")),0))"),0.0)</f>
        <v>0</v>
      </c>
      <c r="AQ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Col""&amp;COLUMN(AQ$1)&amp;""=1""))&amp;""' ORDER BY Col6 DESC LIMIT ""&amp;QUERY('Global Variables'!$A:$B, ""SELECT Col2 WHERE Col1 = 'S"&amp;"TARTING_ROSTER_SIZE'"")),0))"),0.0)</f>
        <v>0</v>
      </c>
      <c r="AR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Col""&amp;COLUMN(AR$1)&amp;""=1""))&amp;""' ORDER BY Col6 DESC LIMIT ""&amp;QUERY('Global Variables'!$A:$B, ""SELECT Col2 WHERE Col1 = 'S"&amp;"TARTING_ROSTER_SIZE'"")),0))"),0.0)</f>
        <v>0</v>
      </c>
      <c r="AS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Col""&amp;COLUMN(AS$1)&amp;""=1""))&amp;""' ORDER BY Col6 DESC LIMIT ""&amp;QUERY('Global Variables'!$A:$B, ""SELECT Col2 WHERE Col1 = 'S"&amp;"TARTING_ROSTER_SIZE'"")),0))"),0.0)</f>
        <v>0</v>
      </c>
      <c r="AT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Col""&amp;COLUMN(AT$1)&amp;""=1""))&amp;""' ORDER BY Col6 DESC LIMIT ""&amp;QUERY('Global Variables'!$A:$B, ""SELECT Col2 WHERE Col1 = 'S"&amp;"TARTING_ROSTER_SIZE'"")),0))"),0.0)</f>
        <v>0</v>
      </c>
      <c r="AU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Col""&amp;COLUMN(AU$1)&amp;""=1""))&amp;""' ORDER BY Col6 DESC LIMIT ""&amp;QUERY('Global Variables'!$A:$B, ""SELECT Col2 WHERE Col1 = 'S"&amp;"TARTING_ROSTER_SIZE'"")),0))"),0.0)</f>
        <v>0</v>
      </c>
      <c r="AV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Col""&amp;COLUMN(AV$1)&amp;""=1""))&amp;""' ORDER BY Col6 DESC LIMIT ""&amp;QUERY('Global Variables'!$A:$B, ""SELECT Col2 WHERE Col1 = 'S"&amp;"TARTING_ROSTER_SIZE'"")),0))"),0.0)</f>
        <v>0</v>
      </c>
      <c r="AW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Col""&amp;COLUMN(AW$1)&amp;""=1""))&amp;""' ORDER BY Col6 DESC LIMIT ""&amp;QUERY('Global Variables'!$A:$B, ""SELECT Col2 WHERE Col1 = 'S"&amp;"TARTING_ROSTER_SIZE'"")),0))"),0.0)</f>
        <v>0</v>
      </c>
      <c r="AX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Col""&amp;COLUMN(AX$1)&amp;""=1""))&amp;""' ORDER BY Col6 DESC LIMIT ""&amp;QUERY('Global Variables'!$A:$B, ""SELECT Col2 WHERE Col1 = 'S"&amp;"TARTING_ROSTER_SIZE'"")),0))"),0.0)</f>
        <v>0</v>
      </c>
      <c r="AY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Col""&amp;COLUMN(AY$1)&amp;""=1""))&amp;""' ORDER BY Col6 DESC LIMIT ""&amp;QUERY('Global Variables'!$A:$B, ""SELECT Col2 WHERE Col1 = 'S"&amp;"TARTING_ROSTER_SIZE'"")),0))"),0.0)</f>
        <v>0</v>
      </c>
      <c r="AZ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Col""&amp;COLUMN(AZ$1)&amp;""=1""))&amp;""' ORDER BY Col6 DESC LIMIT ""&amp;QUERY('Global Variables'!$A:$B, ""SELECT Col2 WHERE Col1 = 'S"&amp;"TARTING_ROSTER_SIZE'"")),0))"),0.0)</f>
        <v>0</v>
      </c>
      <c r="BA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Col""&amp;COLUMN(BA$1)&amp;""=1""))&amp;""' ORDER BY Col6 DESC LIMIT ""&amp;QUERY('Global Variables'!$A:$B, ""SELECT Col2 WHERE Col1 = 'S"&amp;"TARTING_ROSTER_SIZE'"")),0))"),0.0)</f>
        <v>0</v>
      </c>
      <c r="BB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Col""&amp;COLUMN(BB$1)&amp;""=1""))&amp;""' ORDER BY Col6 DESC LIMIT ""&amp;QUERY('Global Variables'!$A:$B, ""SELECT Col2 WHERE Col1 = 'S"&amp;"TARTING_ROSTER_SIZE'"")),0))"),0.0)</f>
        <v>0</v>
      </c>
      <c r="BC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Col""&amp;COLUMN(BC$1)&amp;""=1""))&amp;""' ORDER BY Col6 DESC LIMIT ""&amp;QUERY('Global Variables'!$A:$B, ""SELECT Col2 WHERE Col1 = 'S"&amp;"TARTING_ROSTER_SIZE'"")),0))"),0.0)</f>
        <v>0</v>
      </c>
      <c r="BD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Col""&amp;COLUMN(BD$1)&amp;""=1""))&amp;""' ORDER BY Col6 DESC LIMIT ""&amp;QUERY('Global Variables'!$A:$B, ""SELECT Col2 WHERE Col1 = 'S"&amp;"TARTING_ROSTER_SIZE'"")),0))"),0.0)</f>
        <v>0</v>
      </c>
      <c r="BE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Col""&amp;COLUMN(BE$1)&amp;""=1""))&amp;""' ORDER BY Col6 DESC LIMIT ""&amp;QUERY('Global Variables'!$A:$B, ""SELECT Col2 WHERE Col1 = 'S"&amp;"TARTING_ROSTER_SIZE'"")),0))"),0.0)</f>
        <v>0</v>
      </c>
      <c r="BF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Col""&amp;COLUMN(BF$1)&amp;""=1""))&amp;""' ORDER BY Col6 DESC LIMIT ""&amp;QUERY('Global Variables'!$A:$B, ""SELECT Col2 WHERE Col1 = 'S"&amp;"TARTING_ROSTER_SIZE'"")),0))"),0.0)</f>
        <v>0</v>
      </c>
      <c r="BG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Col""&amp;COLUMN(BG$1)&amp;""=1""))&amp;""' ORDER BY Col6 DESC LIMIT ""&amp;QUERY('Global Variables'!$A:$B, ""SELECT Col2 WHERE Col1 = 'S"&amp;"TARTING_ROSTER_SIZE'"")),0))"),0.0)</f>
        <v>0</v>
      </c>
      <c r="BH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Col""&amp;COLUMN(BH$1)&amp;""=1""))&amp;""' ORDER BY Col6 DESC LIMIT ""&amp;QUERY('Global Variables'!$A:$B, ""SELECT Col2 WHERE Col1 = 'S"&amp;"TARTING_ROSTER_SIZE'"")),0))"),0.0)</f>
        <v>0</v>
      </c>
      <c r="BI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Col""&amp;COLUMN(BI$1)&amp;""=1""))&amp;""' ORDER BY Col6 DESC LIMIT ""&amp;QUERY('Global Variables'!$A:$B, ""SELECT Col2 WHERE Col1 = 'S"&amp;"TARTING_ROSTER_SIZE'"")),0))"),0.0)</f>
        <v>0</v>
      </c>
      <c r="BJ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Col""&amp;COLUMN(BJ$1)&amp;""=1""))&amp;""' ORDER BY Col6 DESC LIMIT ""&amp;QUERY('Global Variables'!$A:$B, ""SELECT Col2 WHERE Col1 = 'S"&amp;"TARTING_ROSTER_SIZE'"")),0))"),0.0)</f>
        <v>0</v>
      </c>
      <c r="BK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Col""&amp;COLUMN(BK$1)&amp;""=1""))&amp;""' ORDER BY Col6 DESC LIMIT ""&amp;QUERY('Global Variables'!$A:$B, ""SELECT Col2 WHERE Col1 = 'S"&amp;"TARTING_ROSTER_SIZE'"")),0))"),0.0)</f>
        <v>0</v>
      </c>
      <c r="BL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Col""&amp;COLUMN(BL$1)&amp;""=1""))&amp;""' ORDER BY Col6 DESC LIMIT ""&amp;QUERY('Global Variables'!$A:$B, ""SELECT Col2 WHERE Col1 = 'S"&amp;"TARTING_ROSTER_SIZE'"")),0))"),0.0)</f>
        <v>0</v>
      </c>
      <c r="BM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Col""&amp;COLUMN(BM$1)&amp;""=1""))&amp;""' ORDER BY Col6 DESC LIMIT ""&amp;QUERY('Global Variables'!$A:$B, ""SELECT Col2 WHERE Col1 = 'S"&amp;"TARTING_ROSTER_SIZE'"")),0))"),0.0)</f>
        <v>0</v>
      </c>
      <c r="BN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Col""&amp;COLUMN(BN$1)&amp;""=1""))&amp;""' ORDER BY Col6 DESC LIMIT ""&amp;QUERY('Global Variables'!$A:$B, ""SELECT Col2 WHERE Col1 = 'S"&amp;"TARTING_ROSTER_SIZE'"")),0))"),0.0)</f>
        <v>0</v>
      </c>
      <c r="BO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Col""&amp;COLUMN(BO$1)&amp;""=1""))&amp;""' ORDER BY Col6 DESC LIMIT ""&amp;QUERY('Global Variables'!$A:$B, ""SELECT Col2 WHERE Col1 = 'S"&amp;"TARTING_ROSTER_SIZE'"")),0))"),0.0)</f>
        <v>0</v>
      </c>
      <c r="BP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Col""&amp;COLUMN(BP$1)&amp;""=1""))&amp;""' ORDER BY Col6 DESC LIMIT ""&amp;QUERY('Global Variables'!$A:$B, ""SELECT Col2 WHERE Col1 = 'S"&amp;"TARTING_ROSTER_SIZE'"")),0))"),0.0)</f>
        <v>0</v>
      </c>
      <c r="BQ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Col""&amp;COLUMN(BQ$1)&amp;""=1""))&amp;""' ORDER BY Col6 DESC LIMIT ""&amp;QUERY('Global Variables'!$A:$B, ""SELECT Col2 WHERE Col1 = 'S"&amp;"TARTING_ROSTER_SIZE'"")),0))"),0.0)</f>
        <v>0</v>
      </c>
      <c r="BR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Col""&amp;COLUMN(BR$1)&amp;""=1""))&amp;""' ORDER BY Col6 DESC LIMIT ""&amp;QUERY('Global Variables'!$A:$B, ""SELECT Col2 WHERE Col1 = 'S"&amp;"TARTING_ROSTER_SIZE'"")),0))"),0.0)</f>
        <v>0</v>
      </c>
      <c r="BS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Col""&amp;COLUMN(BS$1)&amp;""=1""))&amp;""' ORDER BY Col6 DESC LIMIT ""&amp;QUERY('Global Variables'!$A:$B, ""SELECT Col2 WHERE Col1 = 'S"&amp;"TARTING_ROSTER_SIZE'"")),0))"),0.0)</f>
        <v>0</v>
      </c>
      <c r="BT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Col""&amp;COLUMN(BT$1)&amp;""=1""))&amp;""' ORDER BY Col6 DESC LIMIT ""&amp;QUERY('Global Variables'!$A:$B, ""SELECT Col2 WHERE Col1 = 'S"&amp;"TARTING_ROSTER_SIZE'"")),0))"),0.0)</f>
        <v>0</v>
      </c>
      <c r="BU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Col""&amp;COLUMN(BU$1)&amp;""=1""))&amp;""' ORDER BY Col6 DESC LIMIT ""&amp;QUERY('Global Variables'!$A:$B, ""SELECT Col2 WHERE Col1 = 'S"&amp;"TARTING_ROSTER_SIZE'"")),0))"),0.0)</f>
        <v>0</v>
      </c>
      <c r="BV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Col""&amp;COLUMN(BV$1)&amp;""=1""))&amp;""' ORDER BY Col6 DESC LIMIT ""&amp;QUERY('Global Variables'!$A:$B, ""SELECT Col2 WHERE Col1 = 'S"&amp;"TARTING_ROSTER_SIZE'"")),0))"),0.0)</f>
        <v>0</v>
      </c>
      <c r="BW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Col""&amp;COLUMN(BW$1)&amp;""=1""))&amp;""' ORDER BY Col6 DESC LIMIT ""&amp;QUERY('Global Variables'!$A:$B, ""SELECT Col2 WHERE Col1 = 'S"&amp;"TARTING_ROSTER_SIZE'"")),0))"),0.0)</f>
        <v>0</v>
      </c>
      <c r="BX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Col""&amp;COLUMN(BX$1)&amp;""=1""))&amp;""' ORDER BY Col6 DESC LIMIT ""&amp;QUERY('Global Variables'!$A:$B, ""SELECT Col2 WHERE Col1 = 'S"&amp;"TARTING_ROSTER_SIZE'"")),0))"),0.0)</f>
        <v>0</v>
      </c>
      <c r="BY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Col""&amp;COLUMN(BY$1)&amp;""=1""))&amp;""' ORDER BY Col6 DESC LIMIT ""&amp;QUERY('Global Variables'!$A:$B, ""SELECT Col2 WHERE Col1 = 'S"&amp;"TARTING_ROSTER_SIZE'"")),0))"),0.0)</f>
        <v>0</v>
      </c>
      <c r="BZ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Col""&amp;COLUMN(BZ$1)&amp;""=1""))&amp;""' ORDER BY Col6 DESC LIMIT ""&amp;QUERY('Global Variables'!$A:$B, ""SELECT Col2 WHERE Col1 = 'S"&amp;"TARTING_ROSTER_SIZE'"")),0))"),0.0)</f>
        <v>0</v>
      </c>
      <c r="CA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Col""&amp;COLUMN(CA$1)&amp;""=1""))&amp;""' ORDER BY Col6 DESC LIMIT ""&amp;QUERY('Global Variables'!$A:$B, ""SELECT Col2 WHERE Col1 = 'S"&amp;"TARTING_ROSTER_SIZE'"")),0))"),0.0)</f>
        <v>0</v>
      </c>
      <c r="CB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Col""&amp;COLUMN(CB$1)&amp;""=1""))&amp;""' ORDER BY Col6 DESC LIMIT ""&amp;QUERY('Global Variables'!$A:$B, ""SELECT Col2 WHERE Col1 = 'S"&amp;"TARTING_ROSTER_SIZE'"")),0))"),0.0)</f>
        <v>0</v>
      </c>
      <c r="CC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Col""&amp;COLUMN(CC$1)&amp;""=1""))&amp;""' ORDER BY Col6 DESC LIMIT ""&amp;QUERY('Global Variables'!$A:$B, ""SELECT Col2 WHERE Col1 = 'S"&amp;"TARTING_ROSTER_SIZE'"")),0))"),0.0)</f>
        <v>0</v>
      </c>
      <c r="CD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Col""&amp;COLUMN(CD$1)&amp;""=1""))&amp;""' ORDER BY Col6 DESC LIMIT ""&amp;QUERY('Global Variables'!$A:$B, ""SELECT Col2 WHERE Col1 = 'S"&amp;"TARTING_ROSTER_SIZE'"")),0))"),0.0)</f>
        <v>0</v>
      </c>
      <c r="CE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Col""&amp;COLUMN(CE$1)&amp;""=1""))&amp;""' ORDER BY Col6 DESC LIMIT ""&amp;QUERY('Global Variables'!$A:$B, ""SELECT Col2 WHERE Col1 = 'S"&amp;"TARTING_ROSTER_SIZE'"")),0))"),0.0)</f>
        <v>0</v>
      </c>
      <c r="CF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Col""&amp;COLUMN(CF$1)&amp;""=1""))&amp;""' ORDER BY Col6 DESC LIMIT ""&amp;QUERY('Global Variables'!$A:$B, ""SELECT Col2 WHERE Col1 = 'S"&amp;"TARTING_ROSTER_SIZE'"")),0))"),0.0)</f>
        <v>0</v>
      </c>
      <c r="CG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Col""&amp;COLUMN(CG$1)&amp;""=1""))&amp;""' ORDER BY Col6 DESC LIMIT ""&amp;QUERY('Global Variables'!$A:$B, ""SELECT Col2 WHERE Col1 = 'S"&amp;"TARTING_ROSTER_SIZE'"")),0))"),0.0)</f>
        <v>0</v>
      </c>
      <c r="CH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Col""&amp;COLUMN(CH$1)&amp;""=1""))&amp;""' ORDER BY Col6 DESC LIMIT ""&amp;QUERY('Global Variables'!$A:$B, ""SELECT Col2 WHERE Col1 = 'S"&amp;"TARTING_ROSTER_SIZE'"")),0))"),0.0)</f>
        <v>0</v>
      </c>
      <c r="CI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Col""&amp;COLUMN(CI$1)&amp;""=1""))&amp;""' ORDER BY Col6 DESC LIMIT ""&amp;QUERY('Global Variables'!$A:$B, ""SELECT Col2 WHERE Col1 = 'S"&amp;"TARTING_ROSTER_SIZE'"")),0))"),0.0)</f>
        <v>0</v>
      </c>
      <c r="CJ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Col""&amp;COLUMN(CJ$1)&amp;""=1""))&amp;""' ORDER BY Col6 DESC LIMIT ""&amp;QUERY('Global Variables'!$A:$B, ""SELECT Col2 WHERE Col1 = 'S"&amp;"TARTING_ROSTER_SIZE'"")),0))"),0.0)</f>
        <v>0</v>
      </c>
      <c r="CK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Col""&amp;COLUMN(CK$1)&amp;""=1""))&amp;""' ORDER BY Col6 DESC LIMIT ""&amp;QUERY('Global Variables'!$A:$B, ""SELECT Col2 WHERE Col1 = 'S"&amp;"TARTING_ROSTER_SIZE'"")),0))"),0.0)</f>
        <v>0</v>
      </c>
      <c r="CL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Col""&amp;COLUMN(CL$1)&amp;""=1""))&amp;""' ORDER BY Col6 DESC LIMIT ""&amp;QUERY('Global Variables'!$A:$B, ""SELECT Col2 WHERE Col1 = 'S"&amp;"TARTING_ROSTER_SIZE'"")),0))"),0.0)</f>
        <v>0</v>
      </c>
      <c r="CM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Col""&amp;COLUMN(CM$1)&amp;""=1""))&amp;""' ORDER BY Col6 DESC LIMIT ""&amp;QUERY('Global Variables'!$A:$B, ""SELECT Col2 WHERE Col1 = 'S"&amp;"TARTING_ROSTER_SIZE'"")),0))"),0.0)</f>
        <v>0</v>
      </c>
      <c r="CN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Col""&amp;COLUMN(CN$1)&amp;""=1""))&amp;""' ORDER BY Col6 DESC LIMIT ""&amp;QUERY('Global Variables'!$A:$B, ""SELECT Col2 WHERE Col1 = 'S"&amp;"TARTING_ROSTER_SIZE'"")),0))"),0.0)</f>
        <v>0</v>
      </c>
      <c r="CO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Col""&amp;COLUMN(CO$1)&amp;""=1""))&amp;""' ORDER BY Col6 DESC LIMIT ""&amp;QUERY('Global Variables'!$A:$B, ""SELECT Col2 WHERE Col1 = 'S"&amp;"TARTING_ROSTER_SIZE'"")),0))"),0.0)</f>
        <v>0</v>
      </c>
      <c r="CP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Col""&amp;COLUMN(CP$1)&amp;""=1""))&amp;""' ORDER BY Col6 DESC LIMIT ""&amp;QUERY('Global Variables'!$A:$B, ""SELECT Col2 WHERE Col1 = 'S"&amp;"TARTING_ROSTER_SIZE'"")),0))"),0.0)</f>
        <v>0</v>
      </c>
      <c r="CQ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Col""&amp;COLUMN(CQ$1)&amp;""=1""))&amp;""' ORDER BY Col6 DESC LIMIT ""&amp;QUERY('Global Variables'!$A:$B, ""SELECT Col2 WHERE Col1 = 'S"&amp;"TARTING_ROSTER_SIZE'"")),0))"),0.0)</f>
        <v>0</v>
      </c>
      <c r="CR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Col""&amp;COLUMN(CR$1)&amp;""=1""))&amp;""' ORDER BY Col6 DESC LIMIT ""&amp;QUERY('Global Variables'!$A:$B, ""SELECT Col2 WHERE Col1 = 'S"&amp;"TARTING_ROSTER_SIZE'"")),0))"),0.0)</f>
        <v>0</v>
      </c>
      <c r="CS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Col""&amp;COLUMN(CS$1)&amp;""=1""))&amp;""' ORDER BY Col6 DESC LIMIT ""&amp;QUERY('Global Variables'!$A:$B, ""SELECT Col2 WHERE Col1 = 'S"&amp;"TARTING_ROSTER_SIZE'"")),0))"),0.0)</f>
        <v>0</v>
      </c>
      <c r="CT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Col""&amp;COLUMN(CT$1)&amp;""=1""))&amp;""' ORDER BY Col6 DESC LIMIT ""&amp;QUERY('Global Variables'!$A:$B, ""SELECT Col2 WHERE Col1 = 'S"&amp;"TARTING_ROSTER_SIZE'"")),0))"),0.0)</f>
        <v>0</v>
      </c>
      <c r="CU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Col""&amp;COLUMN(CU$1)&amp;""=1""))&amp;""' ORDER BY Col6 DESC LIMIT ""&amp;QUERY('Global Variables'!$A:$B, ""SELECT Col2 WHERE Col1 = 'S"&amp;"TARTING_ROSTER_SIZE'"")),0))"),0.0)</f>
        <v>0</v>
      </c>
      <c r="CV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Col""&amp;COLUMN(CV$1)&amp;""=1""))&amp;""' ORDER BY Col6 DESC LIMIT ""&amp;QUERY('Global Variables'!$A:$B, ""SELECT Col2 WHERE Col1 = 'S"&amp;"TARTING_ROSTER_SIZE'"")),0))"),0.0)</f>
        <v>0</v>
      </c>
      <c r="CW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Col""&amp;COLUMN(CW$1)&amp;""=1""))&amp;""' ORDER BY Col6 DESC LIMIT ""&amp;QUERY('Global Variables'!$A:$B, ""SELECT Col2 WHERE Col1 = 'S"&amp;"TARTING_ROSTER_SIZE'"")),0))"),0.0)</f>
        <v>0</v>
      </c>
      <c r="CX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Col""&amp;COLUMN(CX$1)&amp;""=1""))&amp;""' ORDER BY Col6 DESC LIMIT ""&amp;QUERY('Global Variables'!$A:$B, ""SELECT Col2 WHERE Col1 = 'S"&amp;"TARTING_ROSTER_SIZE'"")),0))"),0.0)</f>
        <v>0</v>
      </c>
      <c r="CY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Col""&amp;COLUMN(CY$1)&amp;""=1""))&amp;""' ORDER BY Col6 DESC LIMIT ""&amp;QUERY('Global Variables'!$A:$B, ""SELECT Col2 WHERE Col1 = 'S"&amp;"TARTING_ROSTER_SIZE'"")),0))"),0.0)</f>
        <v>0</v>
      </c>
      <c r="CZ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Col""&amp;COLUMN(CZ$1)&amp;""=1""))&amp;""' ORDER BY Col6 DESC LIMIT ""&amp;QUERY('Global Variables'!$A:$B, ""SELECT Col2 WHERE Col1 = 'S"&amp;"TARTING_ROSTER_SIZE'"")),0))"),0.0)</f>
        <v>0</v>
      </c>
      <c r="DA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Col""&amp;COLUMN(DA$1)&amp;""=1""))&amp;""' ORDER BY Col6 DESC LIMIT ""&amp;QUERY('Global Variables'!$A:$B, ""SELECT Col2 WHERE Col1 = 'S"&amp;"TARTING_ROSTER_SIZE'"")),0))"),0.0)</f>
        <v>0</v>
      </c>
      <c r="DB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Col""&amp;COLUMN(DB$1)&amp;""=1""))&amp;""' ORDER BY Col6 DESC LIMIT ""&amp;QUERY('Global Variables'!$A:$B, ""SELECT Col2 WHERE Col1 = 'S"&amp;"TARTING_ROSTER_SIZE'"")),0))"),0.0)</f>
        <v>0</v>
      </c>
      <c r="DC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Col""&amp;COLUMN(DC$1)&amp;""=1""))&amp;""' ORDER BY Col6 DESC LIMIT ""&amp;QUERY('Global Variables'!$A:$B, ""SELECT Col2 WHERE Col1 = 'S"&amp;"TARTING_ROSTER_SIZE'"")),0))"),0.0)</f>
        <v>0</v>
      </c>
      <c r="DD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Col""&amp;COLUMN(DD$1)&amp;""=1""))&amp;""' ORDER BY Col6 DESC LIMIT ""&amp;QUERY('Global Variables'!$A:$B, ""SELECT Col2 WHERE Col1 = 'S"&amp;"TARTING_ROSTER_SIZE'"")),0))"),0.0)</f>
        <v>0</v>
      </c>
      <c r="DE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Col""&amp;COLUMN(DE$1)&amp;""=1""))&amp;""' ORDER BY Col6 DESC LIMIT ""&amp;QUERY('Global Variables'!$A:$B, ""SELECT Col2 WHERE Col1 = 'S"&amp;"TARTING_ROSTER_SIZE'"")),0))"),0.0)</f>
        <v>0</v>
      </c>
      <c r="DF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Col""&amp;COLUMN(DF$1)&amp;""=1""))&amp;""' ORDER BY Col6 DESC LIMIT ""&amp;QUERY('Global Variables'!$A:$B, ""SELECT Col2 WHERE Col1 = 'S"&amp;"TARTING_ROSTER_SIZE'"")),0))"),0.0)</f>
        <v>0</v>
      </c>
      <c r="DG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Col""&amp;COLUMN(DG$1)&amp;""=1""))&amp;""' ORDER BY Col6 DESC LIMIT ""&amp;QUERY('Global Variables'!$A:$B, ""SELECT Col2 WHERE Col1 = 'S"&amp;"TARTING_ROSTER_SIZE'"")),0))"),0.0)</f>
        <v>0</v>
      </c>
      <c r="DH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Col""&amp;COLUMN(DH$1)&amp;""=1""))&amp;""' ORDER BY Col6 DESC LIMIT ""&amp;QUERY('Global Variables'!$A:$B, ""SELECT Col2 WHERE Col1 = 'S"&amp;"TARTING_ROSTER_SIZE'"")),0))"),0.0)</f>
        <v>0</v>
      </c>
      <c r="DI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Col""&amp;COLUMN(DI$1)&amp;""=1""))&amp;""' ORDER BY Col6 DESC LIMIT ""&amp;QUERY('Global Variables'!$A:$B, ""SELECT Col2 WHERE Col1 = 'S"&amp;"TARTING_ROSTER_SIZE'"")),0))"),0.0)</f>
        <v>0</v>
      </c>
      <c r="DJ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Col""&amp;COLUMN(DJ$1)&amp;""=1""))&amp;""' ORDER BY Col6 DESC LIMIT ""&amp;QUERY('Global Variables'!$A:$B, ""SELECT Col2 WHERE Col1 = 'S"&amp;"TARTING_ROSTER_SIZE'"")),0))"),0.0)</f>
        <v>0</v>
      </c>
      <c r="DK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Col""&amp;COLUMN(DK$1)&amp;""=1""))&amp;""' ORDER BY Col6 DESC LIMIT ""&amp;QUERY('Global Variables'!$A:$B, ""SELECT Col2 WHERE Col1 = 'S"&amp;"TARTING_ROSTER_SIZE'"")),0))"),0.0)</f>
        <v>0</v>
      </c>
      <c r="DL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Col""&amp;COLUMN(DL$1)&amp;""=1""))&amp;""' ORDER BY Col6 DESC LIMIT ""&amp;QUERY('Global Variables'!$A:$B, ""SELECT Col2 WHERE Col1 = 'S"&amp;"TARTING_ROSTER_SIZE'"")),0))"),0.0)</f>
        <v>0</v>
      </c>
      <c r="DM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Col""&amp;COLUMN(DM$1)&amp;""=1""))&amp;""' ORDER BY Col6 DESC LIMIT ""&amp;QUERY('Global Variables'!$A:$B, ""SELECT Col2 WHERE Col1 = 'S"&amp;"TARTING_ROSTER_SIZE'"")),0))"),0.0)</f>
        <v>0</v>
      </c>
      <c r="DN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Col""&amp;COLUMN(DN$1)&amp;""=1""))&amp;""' ORDER BY Col6 DESC LIMIT ""&amp;QUERY('Global Variables'!$A:$B, ""SELECT Col2 WHERE Col1 = 'S"&amp;"TARTING_ROSTER_SIZE'"")),0))"),0.0)</f>
        <v>0</v>
      </c>
      <c r="DO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Col""&amp;COLUMN(DO$1)&amp;""=1""))&amp;""' ORDER BY Col6 DESC LIMIT ""&amp;QUERY('Global Variables'!$A:$B, ""SELECT Col2 WHERE Col1 = 'S"&amp;"TARTING_ROSTER_SIZE'"")),0))"),0.0)</f>
        <v>0</v>
      </c>
      <c r="DP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Col""&amp;COLUMN(DP$1)&amp;""=1""))&amp;""' ORDER BY Col6 DESC LIMIT ""&amp;QUERY('Global Variables'!$A:$B, ""SELECT Col2 WHERE Col1 = 'S"&amp;"TARTING_ROSTER_SIZE'"")),0))"),0.0)</f>
        <v>0</v>
      </c>
      <c r="DQ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Col""&amp;COLUMN(DQ$1)&amp;""=1""))&amp;""' ORDER BY Col6 DESC LIMIT ""&amp;QUERY('Global Variables'!$A:$B, ""SELECT Col2 WHERE Col1 = 'S"&amp;"TARTING_ROSTER_SIZE'"")),0))"),0.0)</f>
        <v>0</v>
      </c>
      <c r="DR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Col""&amp;COLUMN(DR$1)&amp;""=1""))&amp;""' ORDER BY Col6 DESC LIMIT ""&amp;QUERY('Global Variables'!$A:$B, ""SELECT Col2 WHERE Col1 = 'S"&amp;"TARTING_ROSTER_SIZE'"")),0))"),0.0)</f>
        <v>0</v>
      </c>
      <c r="DS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Col""&amp;COLUMN(DS$1)&amp;""=1""))&amp;""' ORDER BY Col6 DESC LIMIT ""&amp;QUERY('Global Variables'!$A:$B, ""SELECT Col2 WHERE Col1 = 'S"&amp;"TARTING_ROSTER_SIZE'"")),0))"),0.0)</f>
        <v>0</v>
      </c>
      <c r="DT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Col""&amp;COLUMN(DT$1)&amp;""=1""))&amp;""' ORDER BY Col6 DESC LIMIT ""&amp;QUERY('Global Variables'!$A:$B, ""SELECT Col2 WHERE Col1 = 'S"&amp;"TARTING_ROSTER_SIZE'"")),0))"),0.0)</f>
        <v>0</v>
      </c>
      <c r="DU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Col""&amp;COLUMN(DU$1)&amp;""=1""))&amp;""' ORDER BY Col6 DESC LIMIT ""&amp;QUERY('Global Variables'!$A:$B, ""SELECT Col2 WHERE Col1 = 'S"&amp;"TARTING_ROSTER_SIZE'"")),0))"),0.0)</f>
        <v>0</v>
      </c>
      <c r="DV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Col""&amp;COLUMN(DV$1)&amp;""=1""))&amp;""' ORDER BY Col6 DESC LIMIT ""&amp;QUERY('Global Variables'!$A:$B, ""SELECT Col2 WHERE Col1 = 'S"&amp;"TARTING_ROSTER_SIZE'"")),0))"),0.0)</f>
        <v>0</v>
      </c>
      <c r="DW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Col""&amp;COLUMN(DW$1)&amp;""=1""))&amp;""' ORDER BY Col6 DESC LIMIT ""&amp;QUERY('Global Variables'!$A:$B, ""SELECT Col2 WHERE Col1 = 'S"&amp;"TARTING_ROSTER_SIZE'"")),0))"),0.0)</f>
        <v>0</v>
      </c>
      <c r="DX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Col""&amp;COLUMN(DX$1)&amp;""=1""))&amp;""' ORDER BY Col6 DESC LIMIT ""&amp;QUERY('Global Variables'!$A:$B, ""SELECT Col2 WHERE Col1 = 'S"&amp;"TARTING_ROSTER_SIZE'"")),0))"),0.0)</f>
        <v>0</v>
      </c>
      <c r="DY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Col""&amp;COLUMN(DY$1)&amp;""=1""))&amp;""' ORDER BY Col6 DESC LIMIT ""&amp;QUERY('Global Variables'!$A:$B, ""SELECT Col2 WHERE Col1 = 'S"&amp;"TARTING_ROSTER_SIZE'"")),0))"),0.0)</f>
        <v>0</v>
      </c>
      <c r="DZ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Col""&amp;COLUMN(DZ$1)&amp;""=1""))&amp;""' ORDER BY Col6 DESC LIMIT ""&amp;QUERY('Global Variables'!$A:$B, ""SELECT Col2 WHERE Col1 = 'S"&amp;"TARTING_ROSTER_SIZE'"")),0))"),0.0)</f>
        <v>0</v>
      </c>
      <c r="EA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Col""&amp;COLUMN(EA$1)&amp;""=1""))&amp;""' ORDER BY Col6 DESC LIMIT ""&amp;QUERY('Global Variables'!$A:$B, ""SELECT Col2 WHERE Col1 = 'S"&amp;"TARTING_ROSTER_SIZE'"")),0))"),0.0)</f>
        <v>0</v>
      </c>
      <c r="EB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Col""&amp;COLUMN(EB$1)&amp;""=1""))&amp;""' ORDER BY Col6 DESC LIMIT ""&amp;QUERY('Global Variables'!$A:$B, ""SELECT Col2 WHERE Col1 = 'S"&amp;"TARTING_ROSTER_SIZE'"")),0))"),0.0)</f>
        <v>0</v>
      </c>
      <c r="EC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Col""&amp;COLUMN(EC$1)&amp;""=1""))&amp;""' ORDER BY Col6 DESC LIMIT ""&amp;QUERY('Global Variables'!$A:$B, ""SELECT Col2 WHERE Col1 = 'S"&amp;"TARTING_ROSTER_SIZE'"")),0))"),0.0)</f>
        <v>0</v>
      </c>
      <c r="ED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Col""&amp;COLUMN(ED$1)&amp;""=1""))&amp;""' ORDER BY Col6 DESC LIMIT ""&amp;QUERY('Global Variables'!$A:$B, ""SELECT Col2 WHERE Col1 = 'S"&amp;"TARTING_ROSTER_SIZE'"")),0))"),0.0)</f>
        <v>0</v>
      </c>
      <c r="EE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Col""&amp;COLUMN(EE$1)&amp;""=1""))&amp;""' ORDER BY Col6 DESC LIMIT ""&amp;QUERY('Global Variables'!$A:$B, ""SELECT Col2 WHERE Col1 = 'S"&amp;"TARTING_ROSTER_SIZE'"")),0))"),0.0)</f>
        <v>0</v>
      </c>
      <c r="EF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Col""&amp;COLUMN(EF$1)&amp;""=1""))&amp;""' ORDER BY Col6 DESC LIMIT ""&amp;QUERY('Global Variables'!$A:$B, ""SELECT Col2 WHERE Col1 = 'S"&amp;"TARTING_ROSTER_SIZE'"")),0))"),0.0)</f>
        <v>0</v>
      </c>
      <c r="EG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Col""&amp;COLUMN(EG$1)&amp;""=1""))&amp;""' ORDER BY Col6 DESC LIMIT ""&amp;QUERY('Global Variables'!$A:$B, ""SELECT Col2 WHERE Col1 = 'S"&amp;"TARTING_ROSTER_SIZE'"")),0))"),0.0)</f>
        <v>0</v>
      </c>
      <c r="EH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Col""&amp;COLUMN(EH$1)&amp;""=1""))&amp;""' ORDER BY Col6 DESC LIMIT ""&amp;QUERY('Global Variables'!$A:$B, ""SELECT Col2 WHERE Col1 = 'S"&amp;"TARTING_ROSTER_SIZE'"")),0))"),0.0)</f>
        <v>0</v>
      </c>
      <c r="EI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Col""&amp;COLUMN(EI$1)&amp;""=1""))&amp;""' ORDER BY Col6 DESC LIMIT ""&amp;QUERY('Global Variables'!$A:$B, ""SELECT Col2 WHERE Col1 = 'S"&amp;"TARTING_ROSTER_SIZE'"")),0))"),0.0)</f>
        <v>0</v>
      </c>
      <c r="EJ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Col""&amp;COLUMN(EJ$1)&amp;""=1""))&amp;""' ORDER BY Col6 DESC LIMIT ""&amp;QUERY('Global Variables'!$A:$B, ""SELECT Col2 WHERE Col1 = 'S"&amp;"TARTING_ROSTER_SIZE'"")),0))"),0.0)</f>
        <v>0</v>
      </c>
      <c r="EK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Col""&amp;COLUMN(EK$1)&amp;""=1""))&amp;""' ORDER BY Col6 DESC LIMIT ""&amp;QUERY('Global Variables'!$A:$B, ""SELECT Col2 WHERE Col1 = 'S"&amp;"TARTING_ROSTER_SIZE'"")),0))"),0.0)</f>
        <v>0</v>
      </c>
      <c r="EL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Col""&amp;COLUMN(EL$1)&amp;""=1""))&amp;""' ORDER BY Col6 DESC LIMIT ""&amp;QUERY('Global Variables'!$A:$B, ""SELECT Col2 WHERE Col1 = 'S"&amp;"TARTING_ROSTER_SIZE'"")),0))"),0.0)</f>
        <v>0</v>
      </c>
      <c r="EM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Col""&amp;COLUMN(EM$1)&amp;""=1""))&amp;""' ORDER BY Col6 DESC LIMIT ""&amp;QUERY('Global Variables'!$A:$B, ""SELECT Col2 WHERE Col1 = 'S"&amp;"TARTING_ROSTER_SIZE'"")),0))"),0.0)</f>
        <v>0</v>
      </c>
      <c r="EN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Col""&amp;COLUMN(EN$1)&amp;""=1""))&amp;""' ORDER BY Col6 DESC LIMIT ""&amp;QUERY('Global Variables'!$A:$B, ""SELECT Col2 WHERE Col1 = 'S"&amp;"TARTING_ROSTER_SIZE'"")),0))"),0.0)</f>
        <v>0</v>
      </c>
      <c r="EO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Col""&amp;COLUMN(EO$1)&amp;""=1""))&amp;""' ORDER BY Col6 DESC LIMIT ""&amp;QUERY('Global Variables'!$A:$B, ""SELECT Col2 WHERE Col1 = 'S"&amp;"TARTING_ROSTER_SIZE'"")),0))"),0.0)</f>
        <v>0</v>
      </c>
      <c r="EP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Col""&amp;COLUMN(EP$1)&amp;""=1""))&amp;""' ORDER BY Col6 DESC LIMIT ""&amp;QUERY('Global Variables'!$A:$B, ""SELECT Col2 WHERE Col1 = 'S"&amp;"TARTING_ROSTER_SIZE'"")),0))"),0.0)</f>
        <v>0</v>
      </c>
      <c r="EQ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Col""&amp;COLUMN(EQ$1)&amp;""=1""))&amp;""' ORDER BY Col6 DESC LIMIT ""&amp;QUERY('Global Variables'!$A:$B, ""SELECT Col2 WHERE Col1 = 'S"&amp;"TARTING_ROSTER_SIZE'"")),0))"),0.0)</f>
        <v>0</v>
      </c>
      <c r="ER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Col""&amp;COLUMN(ER$1)&amp;""=1""))&amp;""' ORDER BY Col6 DESC LIMIT ""&amp;QUERY('Global Variables'!$A:$B, ""SELECT Col2 WHERE Col1 = 'S"&amp;"TARTING_ROSTER_SIZE'"")),0))"),0.0)</f>
        <v>0</v>
      </c>
      <c r="ES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Col""&amp;COLUMN(ES$1)&amp;""=1""))&amp;""' ORDER BY Col6 DESC LIMIT ""&amp;QUERY('Global Variables'!$A:$B, ""SELECT Col2 WHERE Col1 = 'S"&amp;"TARTING_ROSTER_SIZE'"")),0))"),0.0)</f>
        <v>0</v>
      </c>
      <c r="ET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Col""&amp;COLUMN(ET$1)&amp;""=1""))&amp;""' ORDER BY Col6 DESC LIMIT ""&amp;QUERY('Global Variables'!$A:$B, ""SELECT Col2 WHERE Col1 = 'S"&amp;"TARTING_ROSTER_SIZE'"")),0))"),0.0)</f>
        <v>0</v>
      </c>
      <c r="EU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Col""&amp;COLUMN(EU$1)&amp;""=1""))&amp;""' ORDER BY Col6 DESC LIMIT ""&amp;QUERY('Global Variables'!$A:$B, ""SELECT Col2 WHERE Col1 = 'S"&amp;"TARTING_ROSTER_SIZE'"")),0))"),0.0)</f>
        <v>0</v>
      </c>
      <c r="EV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Col""&amp;COLUMN(EV$1)&amp;""=1""))&amp;""' ORDER BY Col6 DESC LIMIT ""&amp;QUERY('Global Variables'!$A:$B, ""SELECT Col2 WHERE Col1 = 'S"&amp;"TARTING_ROSTER_SIZE'"")),0))"),0.0)</f>
        <v>0</v>
      </c>
      <c r="EW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Col""&amp;COLUMN(EW$1)&amp;""=1""))&amp;""' ORDER BY Col6 DESC LIMIT ""&amp;QUERY('Global Variables'!$A:$B, ""SELECT Col2 WHERE Col1 = 'S"&amp;"TARTING_ROSTER_SIZE'"")),0))"),0.0)</f>
        <v>0</v>
      </c>
      <c r="EX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Col""&amp;COLUMN(EX$1)&amp;""=1""))&amp;""' ORDER BY Col6 DESC LIMIT ""&amp;QUERY('Global Variables'!$A:$B, ""SELECT Col2 WHERE Col1 = 'S"&amp;"TARTING_ROSTER_SIZE'"")),0))"),0.0)</f>
        <v>0</v>
      </c>
      <c r="EY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Col""&amp;COLUMN(EY$1)&amp;""=1""))&amp;""' ORDER BY Col6 DESC LIMIT ""&amp;QUERY('Global Variables'!$A:$B, ""SELECT Col2 WHERE Col1 = 'S"&amp;"TARTING_ROSTER_SIZE'"")),0))"),0.0)</f>
        <v>0</v>
      </c>
      <c r="EZ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Col""&amp;COLUMN(EZ$1)&amp;""=1""))&amp;""' ORDER BY Col6 DESC LIMIT ""&amp;QUERY('Global Variables'!$A:$B, ""SELECT Col2 WHERE Col1 = 'S"&amp;"TARTING_ROSTER_SIZE'"")),0))"),0.0)</f>
        <v>0</v>
      </c>
      <c r="FA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Col""&amp;COLUMN(FA$1)&amp;""=1""))&amp;""' ORDER BY Col6 DESC LIMIT ""&amp;QUERY('Global Variables'!$A:$B, ""SELECT Col2 WHERE Col1 = 'S"&amp;"TARTING_ROSTER_SIZE'"")),0))"),0.0)</f>
        <v>0</v>
      </c>
      <c r="FB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Col""&amp;COLUMN(FB$1)&amp;""=1""))&amp;""' ORDER BY Col6 DESC LIMIT ""&amp;QUERY('Global Variables'!$A:$B, ""SELECT Col2 WHERE Col1 = 'S"&amp;"TARTING_ROSTER_SIZE'"")),0))"),0.0)</f>
        <v>0</v>
      </c>
      <c r="FC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Col""&amp;COLUMN(FC$1)&amp;""=1""))&amp;""' ORDER BY Col6 DESC LIMIT ""&amp;QUERY('Global Variables'!$A:$B, ""SELECT Col2 WHERE Col1 = 'S"&amp;"TARTING_ROSTER_SIZE'"")),0))"),0.0)</f>
        <v>0</v>
      </c>
      <c r="FD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Col""&amp;COLUMN(FD$1)&amp;""=1""))&amp;""' ORDER BY Col6 DESC LIMIT ""&amp;QUERY('Global Variables'!$A:$B, ""SELECT Col2 WHERE Col1 = 'S"&amp;"TARTING_ROSTER_SIZE'"")),0))"),0.0)</f>
        <v>0</v>
      </c>
      <c r="FE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Col""&amp;COLUMN(FE$1)&amp;""=1""))&amp;""' ORDER BY Col6 DESC LIMIT ""&amp;QUERY('Global Variables'!$A:$B, ""SELECT Col2 WHERE Col1 = 'S"&amp;"TARTING_ROSTER_SIZE'"")),0))"),0.0)</f>
        <v>0</v>
      </c>
      <c r="FF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Col""&amp;COLUMN(FF$1)&amp;""=1""))&amp;""' ORDER BY Col6 DESC LIMIT ""&amp;QUERY('Global Variables'!$A:$B, ""SELECT Col2 WHERE Col1 = 'S"&amp;"TARTING_ROSTER_SIZE'"")),0))"),0.0)</f>
        <v>0</v>
      </c>
      <c r="FG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Col""&amp;COLUMN(FG$1)&amp;""=1""))&amp;""' ORDER BY Col6 DESC LIMIT ""&amp;QUERY('Global Variables'!$A:$B, ""SELECT Col2 WHERE Col1 = 'S"&amp;"TARTING_ROSTER_SIZE'"")),0))"),0.0)</f>
        <v>0</v>
      </c>
      <c r="FH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Col""&amp;COLUMN(FH$1)&amp;""=1""))&amp;""' ORDER BY Col6 DESC LIMIT ""&amp;QUERY('Global Variables'!$A:$B, ""SELECT Col2 WHERE Col1 = 'S"&amp;"TARTING_ROSTER_SIZE'"")),0))"),0.0)</f>
        <v>0</v>
      </c>
      <c r="FI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Col""&amp;COLUMN(FI$1)&amp;""=1""))&amp;""' ORDER BY Col6 DESC LIMIT ""&amp;QUERY('Global Variables'!$A:$B, ""SELECT Col2 WHERE Col1 = 'S"&amp;"TARTING_ROSTER_SIZE'"")),0))"),0.0)</f>
        <v>0</v>
      </c>
      <c r="FJ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Col""&amp;COLUMN(FJ$1)&amp;""=1""))&amp;""' ORDER BY Col6 DESC LIMIT ""&amp;QUERY('Global Variables'!$A:$B, ""SELECT Col2 WHERE Col1 = 'S"&amp;"TARTING_ROSTER_SIZE'"")),0))"),0.0)</f>
        <v>0</v>
      </c>
      <c r="FK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Col""&amp;COLUMN(FK$1)&amp;""=1""))&amp;""' ORDER BY Col6 DESC LIMIT ""&amp;QUERY('Global Variables'!$A:$B, ""SELECT Col2 WHERE Col1 = 'S"&amp;"TARTING_ROSTER_SIZE'"")),0))"),0.0)</f>
        <v>0</v>
      </c>
      <c r="FL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Col""&amp;COLUMN(FL$1)&amp;""=1""))&amp;""' ORDER BY Col6 DESC LIMIT ""&amp;QUERY('Global Variables'!$A:$B, ""SELECT Col2 WHERE Col1 = 'S"&amp;"TARTING_ROSTER_SIZE'"")),0))"),0.0)</f>
        <v>0</v>
      </c>
      <c r="FM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Col""&amp;COLUMN(FM$1)&amp;""=1""))&amp;""' ORDER BY Col6 DESC LIMIT ""&amp;QUERY('Global Variables'!$A:$B, ""SELECT Col2 WHERE Col1 = 'S"&amp;"TARTING_ROSTER_SIZE'"")),0))"),0.0)</f>
        <v>0</v>
      </c>
      <c r="FN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Col""&amp;COLUMN(FN$1)&amp;""=1""))&amp;""' ORDER BY Col6 DESC LIMIT ""&amp;QUERY('Global Variables'!$A:$B, ""SELECT Col2 WHERE Col1 = 'S"&amp;"TARTING_ROSTER_SIZE'"")),0))"),0.0)</f>
        <v>0</v>
      </c>
      <c r="FO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Col""&amp;COLUMN(FO$1)&amp;""=1""))&amp;""' ORDER BY Col6 DESC LIMIT ""&amp;QUERY('Global Variables'!$A:$B, ""SELECT Col2 WHERE Col1 = 'S"&amp;"TARTING_ROSTER_SIZE'"")),0))"),0.0)</f>
        <v>0</v>
      </c>
      <c r="FP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Col""&amp;COLUMN(FP$1)&amp;""=1""))&amp;""' ORDER BY Col6 DESC LIMIT ""&amp;QUERY('Global Variables'!$A:$B, ""SELECT Col2 WHERE Col1 = 'S"&amp;"TARTING_ROSTER_SIZE'"")),0))"),0.0)</f>
        <v>0</v>
      </c>
      <c r="FQ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Col""&amp;COLUMN(FQ$1)&amp;""=1""))&amp;""' ORDER BY Col6 DESC LIMIT ""&amp;QUERY('Global Variables'!$A:$B, ""SELECT Col2 WHERE Col1 = 'S"&amp;"TARTING_ROSTER_SIZE'"")),0))"),0.0)</f>
        <v>0</v>
      </c>
      <c r="FR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Col""&amp;COLUMN(FR$1)&amp;""=1""))&amp;""' ORDER BY Col6 DESC LIMIT ""&amp;QUERY('Global Variables'!$A:$B, ""SELECT Col2 WHERE Col1 = 'S"&amp;"TARTING_ROSTER_SIZE'"")),0))"),0.0)</f>
        <v>0</v>
      </c>
      <c r="FS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Col""&amp;COLUMN(FS$1)&amp;""=1""))&amp;""' ORDER BY Col6 DESC LIMIT ""&amp;QUERY('Global Variables'!$A:$B, ""SELECT Col2 WHERE Col1 = 'S"&amp;"TARTING_ROSTER_SIZE'"")),0))"),0.0)</f>
        <v>0</v>
      </c>
      <c r="FT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Col""&amp;COLUMN(FT$1)&amp;""=1""))&amp;""' ORDER BY Col6 DESC LIMIT ""&amp;QUERY('Global Variables'!$A:$B, ""SELECT Col2 WHERE Col1 = 'S"&amp;"TARTING_ROSTER_SIZE'"")),0))"),0.0)</f>
        <v>0</v>
      </c>
      <c r="FU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Col""&amp;COLUMN(FU$1)&amp;""=1""))&amp;""' ORDER BY Col6 DESC LIMIT ""&amp;QUERY('Global Variables'!$A:$B, ""SELECT Col2 WHERE Col1 = 'S"&amp;"TARTING_ROSTER_SIZE'"")),0))"),0.0)</f>
        <v>0</v>
      </c>
      <c r="FV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Col""&amp;COLUMN(FV$1)&amp;""=1""))&amp;""' ORDER BY Col6 DESC LIMIT ""&amp;QUERY('Global Variables'!$A:$B, ""SELECT Col2 WHERE Col1 = 'S"&amp;"TARTING_ROSTER_SIZE'"")),0))"),0.0)</f>
        <v>0</v>
      </c>
      <c r="FW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Col""&amp;COLUMN(FW$1)&amp;""=1""))&amp;""' ORDER BY Col6 DESC LIMIT ""&amp;QUERY('Global Variables'!$A:$B, ""SELECT Col2 WHERE Col1 = 'S"&amp;"TARTING_ROSTER_SIZE'"")),0))"),0.0)</f>
        <v>0</v>
      </c>
      <c r="FX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Col""&amp;COLUMN(FX$1)&amp;""=1""))&amp;""' ORDER BY Col6 DESC LIMIT ""&amp;QUERY('Global Variables'!$A:$B, ""SELECT Col2 WHERE Col1 = 'S"&amp;"TARTING_ROSTER_SIZE'"")),0))"),0.0)</f>
        <v>0</v>
      </c>
      <c r="FY18" s="9">
        <f>IFERROR(__xludf.DUMMYFUNCTION("SUM(
IFERROR(QUERY(
IFERROR(
OFFSET(Teams!$A$1,MATCH($A18,Teams!$A:$A,0),1,QUERY('Global Variables'!$A:$B, ""SELECT Col2 WHERE Col1 = '""&amp;IF($B$21,""TEAM_SIZE"",""ACTIVE_ROSTER_SIZE"")&amp;""'""),QUERY('Global Variables'!$A:$B, ""SELECT Col2 WHERE Col1 = 'TEA"&amp;"M_DATA_FIELD_COUNT'"")),
OFFSET(Teams!$K$1,MATCH($A18,Teams!$K:$K,0),1,QUERY('Global Variables'!$A:$B, ""SELECT Col2 WHERE Col1 = '""&amp;IF($B$21,""TEAM_SIZE"",""ACTIVE_ROSTER_SIZE"")&amp;""'""),QUERY('Global Variables'!$A:$B, ""SELECT Col2 WHERE Col1 = 'TEAM_DA"&amp;"TA_FIELD_COUNT'""))),
 ""SELECT Col6 WHERE Col4 MATCHES '""&amp;JOIN(""|"",QUERY(TRANSPOSE('Schedule Daily'!$1:$1000),""SELECT Col1 WHERE Col""&amp;COLUMN(FY$1)&amp;""=1""))&amp;""' ORDER BY Col6 DESC LIMIT ""&amp;QUERY('Global Variables'!$A:$B, ""SELECT Col2 WHERE Col1 = 'S"&amp;"TARTING_ROSTER_SIZE'"")),0))"),0.0)</f>
        <v>0</v>
      </c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</row>
    <row r="19">
      <c r="A19" s="34" t="str">
        <f>'Current Roster Score v2'!A18</f>
        <v/>
      </c>
    </row>
    <row r="20">
      <c r="A20" s="34" t="str">
        <f>'Current Roster Score v2'!A19</f>
        <v/>
      </c>
    </row>
    <row r="21">
      <c r="A21" s="17" t="s">
        <v>1294</v>
      </c>
      <c r="B21" s="17" t="b">
        <v>0</v>
      </c>
      <c r="AD21" s="36"/>
    </row>
    <row r="22">
      <c r="B22" s="36"/>
    </row>
  </sheetData>
  <dataValidations>
    <dataValidation type="list" allowBlank="1" showErrorMessage="1" sqref="B21">
      <formula1>"TRUE,FALSE"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300" width="7.25"/>
  </cols>
  <sheetData>
    <row r="1">
      <c r="A1" s="33" t="str">
        <f>IF('Matchup Daily'!B21,"THIS DATA INCLUDES PLAYERS CURRENTLY ON IR","THIS DATA DOES NOT INCLUDE PLAYERS CURRENTLY ON IR")</f>
        <v>THIS DATA DOES NOT INCLUDE PLAYERS CURRENTLY ON IR</v>
      </c>
      <c r="U1" s="15"/>
    </row>
    <row r="2">
      <c r="A2" s="17" t="s">
        <v>1291</v>
      </c>
      <c r="B2" s="17">
        <v>1.0</v>
      </c>
      <c r="C2" s="31">
        <f t="shared" ref="C2:T2" si="1">B2+1</f>
        <v>2</v>
      </c>
      <c r="D2" s="31">
        <f t="shared" si="1"/>
        <v>3</v>
      </c>
      <c r="E2" s="31">
        <f t="shared" si="1"/>
        <v>4</v>
      </c>
      <c r="F2" s="31">
        <f t="shared" si="1"/>
        <v>5</v>
      </c>
      <c r="G2" s="31">
        <f t="shared" si="1"/>
        <v>6</v>
      </c>
      <c r="H2" s="31">
        <f t="shared" si="1"/>
        <v>7</v>
      </c>
      <c r="I2" s="31">
        <f t="shared" si="1"/>
        <v>8</v>
      </c>
      <c r="J2" s="31">
        <f t="shared" si="1"/>
        <v>9</v>
      </c>
      <c r="K2" s="31">
        <f t="shared" si="1"/>
        <v>10</v>
      </c>
      <c r="L2" s="31">
        <f t="shared" si="1"/>
        <v>11</v>
      </c>
      <c r="M2" s="31">
        <f t="shared" si="1"/>
        <v>12</v>
      </c>
      <c r="N2" s="31">
        <f t="shared" si="1"/>
        <v>13</v>
      </c>
      <c r="O2" s="31">
        <f t="shared" si="1"/>
        <v>14</v>
      </c>
      <c r="P2" s="31">
        <f t="shared" si="1"/>
        <v>15</v>
      </c>
      <c r="Q2" s="31">
        <f t="shared" si="1"/>
        <v>16</v>
      </c>
      <c r="R2" s="31">
        <f t="shared" si="1"/>
        <v>17</v>
      </c>
      <c r="S2" s="31">
        <f t="shared" si="1"/>
        <v>18</v>
      </c>
      <c r="T2" s="31">
        <f t="shared" si="1"/>
        <v>19</v>
      </c>
      <c r="U2" s="15"/>
    </row>
    <row r="3">
      <c r="A3" s="34" t="str">
        <f>'Weekly EDSA'!A2</f>
        <v>Robinson</v>
      </c>
      <c r="B3" s="35">
        <f>IFERROR(__xludf.DUMMYFUNCTION("INDEX(QUERY(TRANSPOSE('Matchup Daily'!$1:$18),""SELECT SUM(Col""&amp;MATCH($A3,'Matchup Daily'!$A:$A,0)&amp;"") WHERE Col2=""&amp;B$2,0),2)"),0.0)</f>
        <v>0</v>
      </c>
      <c r="C3" s="35">
        <f>IFERROR(__xludf.DUMMYFUNCTION("INDEX(QUERY(TRANSPOSE('Matchup Daily'!$1:$18),""SELECT SUM(Col""&amp;MATCH($A3,'Matchup Daily'!$A:$A,0)&amp;"") WHERE Col2=""&amp;C$2,0),2)"),0.0)</f>
        <v>0</v>
      </c>
      <c r="D3" s="35">
        <f>IFERROR(__xludf.DUMMYFUNCTION("INDEX(QUERY(TRANSPOSE('Matchup Daily'!$1:$18),""SELECT SUM(Col""&amp;MATCH($A3,'Matchup Daily'!$A:$A,0)&amp;"") WHERE Col2=""&amp;D$2,0),2)"),0.0)</f>
        <v>0</v>
      </c>
      <c r="E3" s="35">
        <f>IFERROR(__xludf.DUMMYFUNCTION("INDEX(QUERY(TRANSPOSE('Matchup Daily'!$1:$18),""SELECT SUM(Col""&amp;MATCH($A3,'Matchup Daily'!$A:$A,0)&amp;"") WHERE Col2=""&amp;E$2,0),2)"),0.0)</f>
        <v>0</v>
      </c>
      <c r="F3" s="35">
        <f>IFERROR(__xludf.DUMMYFUNCTION("INDEX(QUERY(TRANSPOSE('Matchup Daily'!$1:$18),""SELECT SUM(Col""&amp;MATCH($A3,'Matchup Daily'!$A:$A,0)&amp;"") WHERE Col2=""&amp;F$2,0),2)"),0.0)</f>
        <v>0</v>
      </c>
      <c r="G3" s="35">
        <f>IFERROR(__xludf.DUMMYFUNCTION("INDEX(QUERY(TRANSPOSE('Matchup Daily'!$1:$18),""SELECT SUM(Col""&amp;MATCH($A3,'Matchup Daily'!$A:$A,0)&amp;"") WHERE Col2=""&amp;G$2,0),2)"),0.0)</f>
        <v>0</v>
      </c>
      <c r="H3" s="35">
        <f>IFERROR(__xludf.DUMMYFUNCTION("INDEX(QUERY(TRANSPOSE('Matchup Daily'!$1:$18),""SELECT SUM(Col""&amp;MATCH($A3,'Matchup Daily'!$A:$A,0)&amp;"") WHERE Col2=""&amp;H$2,0),2)"),0.0)</f>
        <v>0</v>
      </c>
      <c r="I3" s="35">
        <f>IFERROR(__xludf.DUMMYFUNCTION("INDEX(QUERY(TRANSPOSE('Matchup Daily'!$1:$18),""SELECT SUM(Col""&amp;MATCH($A3,'Matchup Daily'!$A:$A,0)&amp;"") WHERE Col2=""&amp;I$2,0),2)"),0.0)</f>
        <v>0</v>
      </c>
      <c r="J3" s="35">
        <f>IFERROR(__xludf.DUMMYFUNCTION("INDEX(QUERY(TRANSPOSE('Matchup Daily'!$1:$18),""SELECT SUM(Col""&amp;MATCH($A3,'Matchup Daily'!$A:$A,0)&amp;"") WHERE Col2=""&amp;J$2,0),2)"),0.0)</f>
        <v>0</v>
      </c>
      <c r="K3" s="35">
        <f>IFERROR(__xludf.DUMMYFUNCTION("INDEX(QUERY(TRANSPOSE('Matchup Daily'!$1:$18),""SELECT SUM(Col""&amp;MATCH($A3,'Matchup Daily'!$A:$A,0)&amp;"") WHERE Col2=""&amp;K$2,0),2)"),0.0)</f>
        <v>0</v>
      </c>
      <c r="L3" s="35">
        <f>IFERROR(__xludf.DUMMYFUNCTION("INDEX(QUERY(TRANSPOSE('Matchup Daily'!$1:$18),""SELECT SUM(Col""&amp;MATCH($A3,'Matchup Daily'!$A:$A,0)&amp;"") WHERE Col2=""&amp;L$2,0),2)"),0.0)</f>
        <v>0</v>
      </c>
      <c r="M3" s="35">
        <f>IFERROR(__xludf.DUMMYFUNCTION("INDEX(QUERY(TRANSPOSE('Matchup Daily'!$1:$18),""SELECT SUM(Col""&amp;MATCH($A3,'Matchup Daily'!$A:$A,0)&amp;"") WHERE Col2=""&amp;M$2,0),2)"),0.0)</f>
        <v>0</v>
      </c>
      <c r="N3" s="35">
        <f>IFERROR(__xludf.DUMMYFUNCTION("INDEX(QUERY(TRANSPOSE('Matchup Daily'!$1:$18),""SELECT SUM(Col""&amp;MATCH($A3,'Matchup Daily'!$A:$A,0)&amp;"") WHERE Col2=""&amp;N$2,0),2)"),0.0)</f>
        <v>0</v>
      </c>
      <c r="O3" s="35">
        <f>IFERROR(__xludf.DUMMYFUNCTION("INDEX(QUERY(TRANSPOSE('Matchup Daily'!$1:$18),""SELECT SUM(Col""&amp;MATCH($A3,'Matchup Daily'!$A:$A,0)&amp;"") WHERE Col2=""&amp;O$2,0),2)"),0.0)</f>
        <v>0</v>
      </c>
      <c r="P3" s="35">
        <f>IFERROR(__xludf.DUMMYFUNCTION("INDEX(QUERY(TRANSPOSE('Matchup Daily'!$1:$18),""SELECT SUM(Col""&amp;MATCH($A3,'Matchup Daily'!$A:$A,0)&amp;"") WHERE Col2=""&amp;P$2,0),2)"),0.0)</f>
        <v>0</v>
      </c>
      <c r="Q3" s="35">
        <f>IFERROR(__xludf.DUMMYFUNCTION("INDEX(QUERY(TRANSPOSE('Matchup Daily'!$1:$18),""SELECT SUM(Col""&amp;MATCH($A3,'Matchup Daily'!$A:$A,0)&amp;"") WHERE Col2=""&amp;Q$2,0),2)"),0.0)</f>
        <v>0</v>
      </c>
      <c r="R3" s="35">
        <f>IFERROR(__xludf.DUMMYFUNCTION("INDEX(QUERY(TRANSPOSE('Matchup Daily'!$1:$18),""SELECT SUM(Col""&amp;MATCH($A3,'Matchup Daily'!$A:$A,0)&amp;"") WHERE Col2=""&amp;R$2,0),2)"),0.0)</f>
        <v>0</v>
      </c>
      <c r="S3" s="35">
        <f>IFERROR(__xludf.DUMMYFUNCTION("INDEX(QUERY(TRANSPOSE('Matchup Daily'!$1:$18),""SELECT SUM(Col""&amp;MATCH($A3,'Matchup Daily'!$A:$A,0)&amp;"") WHERE Col2=""&amp;S$2,0),2)"),0.0)</f>
        <v>0</v>
      </c>
      <c r="T3" s="35">
        <f>IFERROR(__xludf.DUMMYFUNCTION("INDEX(QUERY(TRANSPOSE('Matchup Daily'!$1:$18),""SELECT SUM(Col""&amp;MATCH($A3,'Matchup Daily'!$A:$A,0)&amp;"") WHERE Col2=""&amp;T$2,0),2)"),0.0)</f>
        <v>0</v>
      </c>
      <c r="U3" s="15"/>
    </row>
    <row r="4">
      <c r="A4" s="34" t="str">
        <f>'Weekly EDSA'!A3</f>
        <v>Brown</v>
      </c>
      <c r="B4" s="35">
        <f>IFERROR(__xludf.DUMMYFUNCTION("INDEX(QUERY(TRANSPOSE('Matchup Daily'!$1:$18),""SELECT SUM(Col""&amp;MATCH($A4,'Matchup Daily'!$A:$A,0)&amp;"") WHERE Col2=""&amp;B$2,0),2)"),0.0)</f>
        <v>0</v>
      </c>
      <c r="C4" s="35">
        <f>IFERROR(__xludf.DUMMYFUNCTION("INDEX(QUERY(TRANSPOSE('Matchup Daily'!$1:$18),""SELECT SUM(Col""&amp;MATCH($A4,'Matchup Daily'!$A:$A,0)&amp;"") WHERE Col2=""&amp;C$2,0),2)"),0.0)</f>
        <v>0</v>
      </c>
      <c r="D4" s="35">
        <f>IFERROR(__xludf.DUMMYFUNCTION("INDEX(QUERY(TRANSPOSE('Matchup Daily'!$1:$18),""SELECT SUM(Col""&amp;MATCH($A4,'Matchup Daily'!$A:$A,0)&amp;"") WHERE Col2=""&amp;D$2,0),2)"),0.0)</f>
        <v>0</v>
      </c>
      <c r="E4" s="35">
        <f>IFERROR(__xludf.DUMMYFUNCTION("INDEX(QUERY(TRANSPOSE('Matchup Daily'!$1:$18),""SELECT SUM(Col""&amp;MATCH($A4,'Matchup Daily'!$A:$A,0)&amp;"") WHERE Col2=""&amp;E$2,0),2)"),0.0)</f>
        <v>0</v>
      </c>
      <c r="F4" s="35">
        <f>IFERROR(__xludf.DUMMYFUNCTION("INDEX(QUERY(TRANSPOSE('Matchup Daily'!$1:$18),""SELECT SUM(Col""&amp;MATCH($A4,'Matchup Daily'!$A:$A,0)&amp;"") WHERE Col2=""&amp;F$2,0),2)"),0.0)</f>
        <v>0</v>
      </c>
      <c r="G4" s="35">
        <f>IFERROR(__xludf.DUMMYFUNCTION("INDEX(QUERY(TRANSPOSE('Matchup Daily'!$1:$18),""SELECT SUM(Col""&amp;MATCH($A4,'Matchup Daily'!$A:$A,0)&amp;"") WHERE Col2=""&amp;G$2,0),2)"),0.0)</f>
        <v>0</v>
      </c>
      <c r="H4" s="35">
        <f>IFERROR(__xludf.DUMMYFUNCTION("INDEX(QUERY(TRANSPOSE('Matchup Daily'!$1:$18),""SELECT SUM(Col""&amp;MATCH($A4,'Matchup Daily'!$A:$A,0)&amp;"") WHERE Col2=""&amp;H$2,0),2)"),0.0)</f>
        <v>0</v>
      </c>
      <c r="I4" s="35">
        <f>IFERROR(__xludf.DUMMYFUNCTION("INDEX(QUERY(TRANSPOSE('Matchup Daily'!$1:$18),""SELECT SUM(Col""&amp;MATCH($A4,'Matchup Daily'!$A:$A,0)&amp;"") WHERE Col2=""&amp;I$2,0),2)"),0.0)</f>
        <v>0</v>
      </c>
      <c r="J4" s="35">
        <f>IFERROR(__xludf.DUMMYFUNCTION("INDEX(QUERY(TRANSPOSE('Matchup Daily'!$1:$18),""SELECT SUM(Col""&amp;MATCH($A4,'Matchup Daily'!$A:$A,0)&amp;"") WHERE Col2=""&amp;J$2,0),2)"),0.0)</f>
        <v>0</v>
      </c>
      <c r="K4" s="35">
        <f>IFERROR(__xludf.DUMMYFUNCTION("INDEX(QUERY(TRANSPOSE('Matchup Daily'!$1:$18),""SELECT SUM(Col""&amp;MATCH($A4,'Matchup Daily'!$A:$A,0)&amp;"") WHERE Col2=""&amp;K$2,0),2)"),0.0)</f>
        <v>0</v>
      </c>
      <c r="L4" s="35">
        <f>IFERROR(__xludf.DUMMYFUNCTION("INDEX(QUERY(TRANSPOSE('Matchup Daily'!$1:$18),""SELECT SUM(Col""&amp;MATCH($A4,'Matchup Daily'!$A:$A,0)&amp;"") WHERE Col2=""&amp;L$2,0),2)"),0.0)</f>
        <v>0</v>
      </c>
      <c r="M4" s="35">
        <f>IFERROR(__xludf.DUMMYFUNCTION("INDEX(QUERY(TRANSPOSE('Matchup Daily'!$1:$18),""SELECT SUM(Col""&amp;MATCH($A4,'Matchup Daily'!$A:$A,0)&amp;"") WHERE Col2=""&amp;M$2,0),2)"),0.0)</f>
        <v>0</v>
      </c>
      <c r="N4" s="35">
        <f>IFERROR(__xludf.DUMMYFUNCTION("INDEX(QUERY(TRANSPOSE('Matchup Daily'!$1:$18),""SELECT SUM(Col""&amp;MATCH($A4,'Matchup Daily'!$A:$A,0)&amp;"") WHERE Col2=""&amp;N$2,0),2)"),0.0)</f>
        <v>0</v>
      </c>
      <c r="O4" s="35">
        <f>IFERROR(__xludf.DUMMYFUNCTION("INDEX(QUERY(TRANSPOSE('Matchup Daily'!$1:$18),""SELECT SUM(Col""&amp;MATCH($A4,'Matchup Daily'!$A:$A,0)&amp;"") WHERE Col2=""&amp;O$2,0),2)"),0.0)</f>
        <v>0</v>
      </c>
      <c r="P4" s="35">
        <f>IFERROR(__xludf.DUMMYFUNCTION("INDEX(QUERY(TRANSPOSE('Matchup Daily'!$1:$18),""SELECT SUM(Col""&amp;MATCH($A4,'Matchup Daily'!$A:$A,0)&amp;"") WHERE Col2=""&amp;P$2,0),2)"),0.0)</f>
        <v>0</v>
      </c>
      <c r="Q4" s="35">
        <f>IFERROR(__xludf.DUMMYFUNCTION("INDEX(QUERY(TRANSPOSE('Matchup Daily'!$1:$18),""SELECT SUM(Col""&amp;MATCH($A4,'Matchup Daily'!$A:$A,0)&amp;"") WHERE Col2=""&amp;Q$2,0),2)"),0.0)</f>
        <v>0</v>
      </c>
      <c r="R4" s="35">
        <f>IFERROR(__xludf.DUMMYFUNCTION("INDEX(QUERY(TRANSPOSE('Matchup Daily'!$1:$18),""SELECT SUM(Col""&amp;MATCH($A4,'Matchup Daily'!$A:$A,0)&amp;"") WHERE Col2=""&amp;R$2,0),2)"),0.0)</f>
        <v>0</v>
      </c>
      <c r="S4" s="35">
        <f>IFERROR(__xludf.DUMMYFUNCTION("INDEX(QUERY(TRANSPOSE('Matchup Daily'!$1:$18),""SELECT SUM(Col""&amp;MATCH($A4,'Matchup Daily'!$A:$A,0)&amp;"") WHERE Col2=""&amp;S$2,0),2)"),0.0)</f>
        <v>0</v>
      </c>
      <c r="T4" s="35">
        <f>IFERROR(__xludf.DUMMYFUNCTION("INDEX(QUERY(TRANSPOSE('Matchup Daily'!$1:$18),""SELECT SUM(Col""&amp;MATCH($A4,'Matchup Daily'!$A:$A,0)&amp;"") WHERE Col2=""&amp;T$2,0),2)"),0.0)</f>
        <v>0</v>
      </c>
      <c r="U4" s="15"/>
    </row>
    <row r="5">
      <c r="A5" s="34" t="str">
        <f>'Weekly EDSA'!A4</f>
        <v>Bolick</v>
      </c>
      <c r="B5" s="35">
        <f>IFERROR(__xludf.DUMMYFUNCTION("INDEX(QUERY(TRANSPOSE('Matchup Daily'!$1:$18),""SELECT SUM(Col""&amp;MATCH($A5,'Matchup Daily'!$A:$A,0)&amp;"") WHERE Col2=""&amp;B$2,0),2)"),0.0)</f>
        <v>0</v>
      </c>
      <c r="C5" s="35">
        <f>IFERROR(__xludf.DUMMYFUNCTION("INDEX(QUERY(TRANSPOSE('Matchup Daily'!$1:$18),""SELECT SUM(Col""&amp;MATCH($A5,'Matchup Daily'!$A:$A,0)&amp;"") WHERE Col2=""&amp;C$2,0),2)"),0.0)</f>
        <v>0</v>
      </c>
      <c r="D5" s="35">
        <f>IFERROR(__xludf.DUMMYFUNCTION("INDEX(QUERY(TRANSPOSE('Matchup Daily'!$1:$18),""SELECT SUM(Col""&amp;MATCH($A5,'Matchup Daily'!$A:$A,0)&amp;"") WHERE Col2=""&amp;D$2,0),2)"),0.0)</f>
        <v>0</v>
      </c>
      <c r="E5" s="35">
        <f>IFERROR(__xludf.DUMMYFUNCTION("INDEX(QUERY(TRANSPOSE('Matchup Daily'!$1:$18),""SELECT SUM(Col""&amp;MATCH($A5,'Matchup Daily'!$A:$A,0)&amp;"") WHERE Col2=""&amp;E$2,0),2)"),0.0)</f>
        <v>0</v>
      </c>
      <c r="F5" s="35">
        <f>IFERROR(__xludf.DUMMYFUNCTION("INDEX(QUERY(TRANSPOSE('Matchup Daily'!$1:$18),""SELECT SUM(Col""&amp;MATCH($A5,'Matchup Daily'!$A:$A,0)&amp;"") WHERE Col2=""&amp;F$2,0),2)"),0.0)</f>
        <v>0</v>
      </c>
      <c r="G5" s="35">
        <f>IFERROR(__xludf.DUMMYFUNCTION("INDEX(QUERY(TRANSPOSE('Matchup Daily'!$1:$18),""SELECT SUM(Col""&amp;MATCH($A5,'Matchup Daily'!$A:$A,0)&amp;"") WHERE Col2=""&amp;G$2,0),2)"),0.0)</f>
        <v>0</v>
      </c>
      <c r="H5" s="35">
        <f>IFERROR(__xludf.DUMMYFUNCTION("INDEX(QUERY(TRANSPOSE('Matchup Daily'!$1:$18),""SELECT SUM(Col""&amp;MATCH($A5,'Matchup Daily'!$A:$A,0)&amp;"") WHERE Col2=""&amp;H$2,0),2)"),0.0)</f>
        <v>0</v>
      </c>
      <c r="I5" s="35">
        <f>IFERROR(__xludf.DUMMYFUNCTION("INDEX(QUERY(TRANSPOSE('Matchup Daily'!$1:$18),""SELECT SUM(Col""&amp;MATCH($A5,'Matchup Daily'!$A:$A,0)&amp;"") WHERE Col2=""&amp;I$2,0),2)"),0.0)</f>
        <v>0</v>
      </c>
      <c r="J5" s="35">
        <f>IFERROR(__xludf.DUMMYFUNCTION("INDEX(QUERY(TRANSPOSE('Matchup Daily'!$1:$18),""SELECT SUM(Col""&amp;MATCH($A5,'Matchup Daily'!$A:$A,0)&amp;"") WHERE Col2=""&amp;J$2,0),2)"),0.0)</f>
        <v>0</v>
      </c>
      <c r="K5" s="35">
        <f>IFERROR(__xludf.DUMMYFUNCTION("INDEX(QUERY(TRANSPOSE('Matchup Daily'!$1:$18),""SELECT SUM(Col""&amp;MATCH($A5,'Matchup Daily'!$A:$A,0)&amp;"") WHERE Col2=""&amp;K$2,0),2)"),0.0)</f>
        <v>0</v>
      </c>
      <c r="L5" s="35">
        <f>IFERROR(__xludf.DUMMYFUNCTION("INDEX(QUERY(TRANSPOSE('Matchup Daily'!$1:$18),""SELECT SUM(Col""&amp;MATCH($A5,'Matchup Daily'!$A:$A,0)&amp;"") WHERE Col2=""&amp;L$2,0),2)"),0.0)</f>
        <v>0</v>
      </c>
      <c r="M5" s="35">
        <f>IFERROR(__xludf.DUMMYFUNCTION("INDEX(QUERY(TRANSPOSE('Matchup Daily'!$1:$18),""SELECT SUM(Col""&amp;MATCH($A5,'Matchup Daily'!$A:$A,0)&amp;"") WHERE Col2=""&amp;M$2,0),2)"),0.0)</f>
        <v>0</v>
      </c>
      <c r="N5" s="35">
        <f>IFERROR(__xludf.DUMMYFUNCTION("INDEX(QUERY(TRANSPOSE('Matchup Daily'!$1:$18),""SELECT SUM(Col""&amp;MATCH($A5,'Matchup Daily'!$A:$A,0)&amp;"") WHERE Col2=""&amp;N$2,0),2)"),0.0)</f>
        <v>0</v>
      </c>
      <c r="O5" s="35">
        <f>IFERROR(__xludf.DUMMYFUNCTION("INDEX(QUERY(TRANSPOSE('Matchup Daily'!$1:$18),""SELECT SUM(Col""&amp;MATCH($A5,'Matchup Daily'!$A:$A,0)&amp;"") WHERE Col2=""&amp;O$2,0),2)"),0.0)</f>
        <v>0</v>
      </c>
      <c r="P5" s="35">
        <f>IFERROR(__xludf.DUMMYFUNCTION("INDEX(QUERY(TRANSPOSE('Matchup Daily'!$1:$18),""SELECT SUM(Col""&amp;MATCH($A5,'Matchup Daily'!$A:$A,0)&amp;"") WHERE Col2=""&amp;P$2,0),2)"),0.0)</f>
        <v>0</v>
      </c>
      <c r="Q5" s="35">
        <f>IFERROR(__xludf.DUMMYFUNCTION("INDEX(QUERY(TRANSPOSE('Matchup Daily'!$1:$18),""SELECT SUM(Col""&amp;MATCH($A5,'Matchup Daily'!$A:$A,0)&amp;"") WHERE Col2=""&amp;Q$2,0),2)"),0.0)</f>
        <v>0</v>
      </c>
      <c r="R5" s="35">
        <f>IFERROR(__xludf.DUMMYFUNCTION("INDEX(QUERY(TRANSPOSE('Matchup Daily'!$1:$18),""SELECT SUM(Col""&amp;MATCH($A5,'Matchup Daily'!$A:$A,0)&amp;"") WHERE Col2=""&amp;R$2,0),2)"),0.0)</f>
        <v>0</v>
      </c>
      <c r="S5" s="35">
        <f>IFERROR(__xludf.DUMMYFUNCTION("INDEX(QUERY(TRANSPOSE('Matchup Daily'!$1:$18),""SELECT SUM(Col""&amp;MATCH($A5,'Matchup Daily'!$A:$A,0)&amp;"") WHERE Col2=""&amp;S$2,0),2)"),0.0)</f>
        <v>0</v>
      </c>
      <c r="T5" s="35">
        <f>IFERROR(__xludf.DUMMYFUNCTION("INDEX(QUERY(TRANSPOSE('Matchup Daily'!$1:$18),""SELECT SUM(Col""&amp;MATCH($A5,'Matchup Daily'!$A:$A,0)&amp;"") WHERE Col2=""&amp;T$2,0),2)"),0.0)</f>
        <v>0</v>
      </c>
      <c r="U5" s="15"/>
    </row>
    <row r="6">
      <c r="A6" s="34" t="str">
        <f>'Weekly EDSA'!A5</f>
        <v>Dean</v>
      </c>
      <c r="B6" s="35">
        <f>IFERROR(__xludf.DUMMYFUNCTION("INDEX(QUERY(TRANSPOSE('Matchup Daily'!$1:$18),""SELECT SUM(Col""&amp;MATCH($A6,'Matchup Daily'!$A:$A,0)&amp;"") WHERE Col2=""&amp;B$2,0),2)"),0.0)</f>
        <v>0</v>
      </c>
      <c r="C6" s="35">
        <f>IFERROR(__xludf.DUMMYFUNCTION("INDEX(QUERY(TRANSPOSE('Matchup Daily'!$1:$18),""SELECT SUM(Col""&amp;MATCH($A6,'Matchup Daily'!$A:$A,0)&amp;"") WHERE Col2=""&amp;C$2,0),2)"),0.0)</f>
        <v>0</v>
      </c>
      <c r="D6" s="35">
        <f>IFERROR(__xludf.DUMMYFUNCTION("INDEX(QUERY(TRANSPOSE('Matchup Daily'!$1:$18),""SELECT SUM(Col""&amp;MATCH($A6,'Matchup Daily'!$A:$A,0)&amp;"") WHERE Col2=""&amp;D$2,0),2)"),0.0)</f>
        <v>0</v>
      </c>
      <c r="E6" s="35">
        <f>IFERROR(__xludf.DUMMYFUNCTION("INDEX(QUERY(TRANSPOSE('Matchup Daily'!$1:$18),""SELECT SUM(Col""&amp;MATCH($A6,'Matchup Daily'!$A:$A,0)&amp;"") WHERE Col2=""&amp;E$2,0),2)"),0.0)</f>
        <v>0</v>
      </c>
      <c r="F6" s="35">
        <f>IFERROR(__xludf.DUMMYFUNCTION("INDEX(QUERY(TRANSPOSE('Matchup Daily'!$1:$18),""SELECT SUM(Col""&amp;MATCH($A6,'Matchup Daily'!$A:$A,0)&amp;"") WHERE Col2=""&amp;F$2,0),2)"),0.0)</f>
        <v>0</v>
      </c>
      <c r="G6" s="35">
        <f>IFERROR(__xludf.DUMMYFUNCTION("INDEX(QUERY(TRANSPOSE('Matchup Daily'!$1:$18),""SELECT SUM(Col""&amp;MATCH($A6,'Matchup Daily'!$A:$A,0)&amp;"") WHERE Col2=""&amp;G$2,0),2)"),0.0)</f>
        <v>0</v>
      </c>
      <c r="H6" s="35">
        <f>IFERROR(__xludf.DUMMYFUNCTION("INDEX(QUERY(TRANSPOSE('Matchup Daily'!$1:$18),""SELECT SUM(Col""&amp;MATCH($A6,'Matchup Daily'!$A:$A,0)&amp;"") WHERE Col2=""&amp;H$2,0),2)"),0.0)</f>
        <v>0</v>
      </c>
      <c r="I6" s="35">
        <f>IFERROR(__xludf.DUMMYFUNCTION("INDEX(QUERY(TRANSPOSE('Matchup Daily'!$1:$18),""SELECT SUM(Col""&amp;MATCH($A6,'Matchup Daily'!$A:$A,0)&amp;"") WHERE Col2=""&amp;I$2,0),2)"),0.0)</f>
        <v>0</v>
      </c>
      <c r="J6" s="35">
        <f>IFERROR(__xludf.DUMMYFUNCTION("INDEX(QUERY(TRANSPOSE('Matchup Daily'!$1:$18),""SELECT SUM(Col""&amp;MATCH($A6,'Matchup Daily'!$A:$A,0)&amp;"") WHERE Col2=""&amp;J$2,0),2)"),0.0)</f>
        <v>0</v>
      </c>
      <c r="K6" s="35">
        <f>IFERROR(__xludf.DUMMYFUNCTION("INDEX(QUERY(TRANSPOSE('Matchup Daily'!$1:$18),""SELECT SUM(Col""&amp;MATCH($A6,'Matchup Daily'!$A:$A,0)&amp;"") WHERE Col2=""&amp;K$2,0),2)"),0.0)</f>
        <v>0</v>
      </c>
      <c r="L6" s="35">
        <f>IFERROR(__xludf.DUMMYFUNCTION("INDEX(QUERY(TRANSPOSE('Matchup Daily'!$1:$18),""SELECT SUM(Col""&amp;MATCH($A6,'Matchup Daily'!$A:$A,0)&amp;"") WHERE Col2=""&amp;L$2,0),2)"),0.0)</f>
        <v>0</v>
      </c>
      <c r="M6" s="35">
        <f>IFERROR(__xludf.DUMMYFUNCTION("INDEX(QUERY(TRANSPOSE('Matchup Daily'!$1:$18),""SELECT SUM(Col""&amp;MATCH($A6,'Matchup Daily'!$A:$A,0)&amp;"") WHERE Col2=""&amp;M$2,0),2)"),0.0)</f>
        <v>0</v>
      </c>
      <c r="N6" s="35">
        <f>IFERROR(__xludf.DUMMYFUNCTION("INDEX(QUERY(TRANSPOSE('Matchup Daily'!$1:$18),""SELECT SUM(Col""&amp;MATCH($A6,'Matchup Daily'!$A:$A,0)&amp;"") WHERE Col2=""&amp;N$2,0),2)"),0.0)</f>
        <v>0</v>
      </c>
      <c r="O6" s="35">
        <f>IFERROR(__xludf.DUMMYFUNCTION("INDEX(QUERY(TRANSPOSE('Matchup Daily'!$1:$18),""SELECT SUM(Col""&amp;MATCH($A6,'Matchup Daily'!$A:$A,0)&amp;"") WHERE Col2=""&amp;O$2,0),2)"),0.0)</f>
        <v>0</v>
      </c>
      <c r="P6" s="35">
        <f>IFERROR(__xludf.DUMMYFUNCTION("INDEX(QUERY(TRANSPOSE('Matchup Daily'!$1:$18),""SELECT SUM(Col""&amp;MATCH($A6,'Matchup Daily'!$A:$A,0)&amp;"") WHERE Col2=""&amp;P$2,0),2)"),0.0)</f>
        <v>0</v>
      </c>
      <c r="Q6" s="35">
        <f>IFERROR(__xludf.DUMMYFUNCTION("INDEX(QUERY(TRANSPOSE('Matchup Daily'!$1:$18),""SELECT SUM(Col""&amp;MATCH($A6,'Matchup Daily'!$A:$A,0)&amp;"") WHERE Col2=""&amp;Q$2,0),2)"),0.0)</f>
        <v>0</v>
      </c>
      <c r="R6" s="35">
        <f>IFERROR(__xludf.DUMMYFUNCTION("INDEX(QUERY(TRANSPOSE('Matchup Daily'!$1:$18),""SELECT SUM(Col""&amp;MATCH($A6,'Matchup Daily'!$A:$A,0)&amp;"") WHERE Col2=""&amp;R$2,0),2)"),0.0)</f>
        <v>0</v>
      </c>
      <c r="S6" s="35">
        <f>IFERROR(__xludf.DUMMYFUNCTION("INDEX(QUERY(TRANSPOSE('Matchup Daily'!$1:$18),""SELECT SUM(Col""&amp;MATCH($A6,'Matchup Daily'!$A:$A,0)&amp;"") WHERE Col2=""&amp;S$2,0),2)"),0.0)</f>
        <v>0</v>
      </c>
      <c r="T6" s="35">
        <f>IFERROR(__xludf.DUMMYFUNCTION("INDEX(QUERY(TRANSPOSE('Matchup Daily'!$1:$18),""SELECT SUM(Col""&amp;MATCH($A6,'Matchup Daily'!$A:$A,0)&amp;"") WHERE Col2=""&amp;T$2,0),2)"),0.0)</f>
        <v>0</v>
      </c>
      <c r="U6" s="15"/>
    </row>
    <row r="7">
      <c r="A7" s="34" t="str">
        <f>'Weekly EDSA'!A6</f>
        <v>Farley</v>
      </c>
      <c r="B7" s="35">
        <f>IFERROR(__xludf.DUMMYFUNCTION("INDEX(QUERY(TRANSPOSE('Matchup Daily'!$1:$18),""SELECT SUM(Col""&amp;MATCH($A7,'Matchup Daily'!$A:$A,0)&amp;"") WHERE Col2=""&amp;B$2,0),2)"),0.0)</f>
        <v>0</v>
      </c>
      <c r="C7" s="35">
        <f>IFERROR(__xludf.DUMMYFUNCTION("INDEX(QUERY(TRANSPOSE('Matchup Daily'!$1:$18),""SELECT SUM(Col""&amp;MATCH($A7,'Matchup Daily'!$A:$A,0)&amp;"") WHERE Col2=""&amp;C$2,0),2)"),0.0)</f>
        <v>0</v>
      </c>
      <c r="D7" s="35">
        <f>IFERROR(__xludf.DUMMYFUNCTION("INDEX(QUERY(TRANSPOSE('Matchup Daily'!$1:$18),""SELECT SUM(Col""&amp;MATCH($A7,'Matchup Daily'!$A:$A,0)&amp;"") WHERE Col2=""&amp;D$2,0),2)"),0.0)</f>
        <v>0</v>
      </c>
      <c r="E7" s="35">
        <f>IFERROR(__xludf.DUMMYFUNCTION("INDEX(QUERY(TRANSPOSE('Matchup Daily'!$1:$18),""SELECT SUM(Col""&amp;MATCH($A7,'Matchup Daily'!$A:$A,0)&amp;"") WHERE Col2=""&amp;E$2,0),2)"),0.0)</f>
        <v>0</v>
      </c>
      <c r="F7" s="35">
        <f>IFERROR(__xludf.DUMMYFUNCTION("INDEX(QUERY(TRANSPOSE('Matchup Daily'!$1:$18),""SELECT SUM(Col""&amp;MATCH($A7,'Matchup Daily'!$A:$A,0)&amp;"") WHERE Col2=""&amp;F$2,0),2)"),0.0)</f>
        <v>0</v>
      </c>
      <c r="G7" s="35">
        <f>IFERROR(__xludf.DUMMYFUNCTION("INDEX(QUERY(TRANSPOSE('Matchup Daily'!$1:$18),""SELECT SUM(Col""&amp;MATCH($A7,'Matchup Daily'!$A:$A,0)&amp;"") WHERE Col2=""&amp;G$2,0),2)"),0.0)</f>
        <v>0</v>
      </c>
      <c r="H7" s="35">
        <f>IFERROR(__xludf.DUMMYFUNCTION("INDEX(QUERY(TRANSPOSE('Matchup Daily'!$1:$18),""SELECT SUM(Col""&amp;MATCH($A7,'Matchup Daily'!$A:$A,0)&amp;"") WHERE Col2=""&amp;H$2,0),2)"),0.0)</f>
        <v>0</v>
      </c>
      <c r="I7" s="35">
        <f>IFERROR(__xludf.DUMMYFUNCTION("INDEX(QUERY(TRANSPOSE('Matchup Daily'!$1:$18),""SELECT SUM(Col""&amp;MATCH($A7,'Matchup Daily'!$A:$A,0)&amp;"") WHERE Col2=""&amp;I$2,0),2)"),0.0)</f>
        <v>0</v>
      </c>
      <c r="J7" s="35">
        <f>IFERROR(__xludf.DUMMYFUNCTION("INDEX(QUERY(TRANSPOSE('Matchup Daily'!$1:$18),""SELECT SUM(Col""&amp;MATCH($A7,'Matchup Daily'!$A:$A,0)&amp;"") WHERE Col2=""&amp;J$2,0),2)"),0.0)</f>
        <v>0</v>
      </c>
      <c r="K7" s="35">
        <f>IFERROR(__xludf.DUMMYFUNCTION("INDEX(QUERY(TRANSPOSE('Matchup Daily'!$1:$18),""SELECT SUM(Col""&amp;MATCH($A7,'Matchup Daily'!$A:$A,0)&amp;"") WHERE Col2=""&amp;K$2,0),2)"),0.0)</f>
        <v>0</v>
      </c>
      <c r="L7" s="35">
        <f>IFERROR(__xludf.DUMMYFUNCTION("INDEX(QUERY(TRANSPOSE('Matchup Daily'!$1:$18),""SELECT SUM(Col""&amp;MATCH($A7,'Matchup Daily'!$A:$A,0)&amp;"") WHERE Col2=""&amp;L$2,0),2)"),0.0)</f>
        <v>0</v>
      </c>
      <c r="M7" s="35">
        <f>IFERROR(__xludf.DUMMYFUNCTION("INDEX(QUERY(TRANSPOSE('Matchup Daily'!$1:$18),""SELECT SUM(Col""&amp;MATCH($A7,'Matchup Daily'!$A:$A,0)&amp;"") WHERE Col2=""&amp;M$2,0),2)"),0.0)</f>
        <v>0</v>
      </c>
      <c r="N7" s="35">
        <f>IFERROR(__xludf.DUMMYFUNCTION("INDEX(QUERY(TRANSPOSE('Matchup Daily'!$1:$18),""SELECT SUM(Col""&amp;MATCH($A7,'Matchup Daily'!$A:$A,0)&amp;"") WHERE Col2=""&amp;N$2,0),2)"),0.0)</f>
        <v>0</v>
      </c>
      <c r="O7" s="35">
        <f>IFERROR(__xludf.DUMMYFUNCTION("INDEX(QUERY(TRANSPOSE('Matchup Daily'!$1:$18),""SELECT SUM(Col""&amp;MATCH($A7,'Matchup Daily'!$A:$A,0)&amp;"") WHERE Col2=""&amp;O$2,0),2)"),0.0)</f>
        <v>0</v>
      </c>
      <c r="P7" s="35">
        <f>IFERROR(__xludf.DUMMYFUNCTION("INDEX(QUERY(TRANSPOSE('Matchup Daily'!$1:$18),""SELECT SUM(Col""&amp;MATCH($A7,'Matchup Daily'!$A:$A,0)&amp;"") WHERE Col2=""&amp;P$2,0),2)"),0.0)</f>
        <v>0</v>
      </c>
      <c r="Q7" s="35">
        <f>IFERROR(__xludf.DUMMYFUNCTION("INDEX(QUERY(TRANSPOSE('Matchup Daily'!$1:$18),""SELECT SUM(Col""&amp;MATCH($A7,'Matchup Daily'!$A:$A,0)&amp;"") WHERE Col2=""&amp;Q$2,0),2)"),0.0)</f>
        <v>0</v>
      </c>
      <c r="R7" s="35">
        <f>IFERROR(__xludf.DUMMYFUNCTION("INDEX(QUERY(TRANSPOSE('Matchup Daily'!$1:$18),""SELECT SUM(Col""&amp;MATCH($A7,'Matchup Daily'!$A:$A,0)&amp;"") WHERE Col2=""&amp;R$2,0),2)"),0.0)</f>
        <v>0</v>
      </c>
      <c r="S7" s="35">
        <f>IFERROR(__xludf.DUMMYFUNCTION("INDEX(QUERY(TRANSPOSE('Matchup Daily'!$1:$18),""SELECT SUM(Col""&amp;MATCH($A7,'Matchup Daily'!$A:$A,0)&amp;"") WHERE Col2=""&amp;S$2,0),2)"),0.0)</f>
        <v>0</v>
      </c>
      <c r="T7" s="35">
        <f>IFERROR(__xludf.DUMMYFUNCTION("INDEX(QUERY(TRANSPOSE('Matchup Daily'!$1:$18),""SELECT SUM(Col""&amp;MATCH($A7,'Matchup Daily'!$A:$A,0)&amp;"") WHERE Col2=""&amp;T$2,0),2)"),0.0)</f>
        <v>0</v>
      </c>
      <c r="U7" s="15"/>
    </row>
    <row r="8">
      <c r="A8" s="34" t="str">
        <f>'Weekly EDSA'!A7</f>
        <v>Parkinson</v>
      </c>
      <c r="B8" s="35">
        <f>IFERROR(__xludf.DUMMYFUNCTION("INDEX(QUERY(TRANSPOSE('Matchup Daily'!$1:$18),""SELECT SUM(Col""&amp;MATCH($A8,'Matchup Daily'!$A:$A,0)&amp;"") WHERE Col2=""&amp;B$2,0),2)"),0.0)</f>
        <v>0</v>
      </c>
      <c r="C8" s="35">
        <f>IFERROR(__xludf.DUMMYFUNCTION("INDEX(QUERY(TRANSPOSE('Matchup Daily'!$1:$18),""SELECT SUM(Col""&amp;MATCH($A8,'Matchup Daily'!$A:$A,0)&amp;"") WHERE Col2=""&amp;C$2,0),2)"),0.0)</f>
        <v>0</v>
      </c>
      <c r="D8" s="35">
        <f>IFERROR(__xludf.DUMMYFUNCTION("INDEX(QUERY(TRANSPOSE('Matchup Daily'!$1:$18),""SELECT SUM(Col""&amp;MATCH($A8,'Matchup Daily'!$A:$A,0)&amp;"") WHERE Col2=""&amp;D$2,0),2)"),0.0)</f>
        <v>0</v>
      </c>
      <c r="E8" s="35">
        <f>IFERROR(__xludf.DUMMYFUNCTION("INDEX(QUERY(TRANSPOSE('Matchup Daily'!$1:$18),""SELECT SUM(Col""&amp;MATCH($A8,'Matchup Daily'!$A:$A,0)&amp;"") WHERE Col2=""&amp;E$2,0),2)"),0.0)</f>
        <v>0</v>
      </c>
      <c r="F8" s="35">
        <f>IFERROR(__xludf.DUMMYFUNCTION("INDEX(QUERY(TRANSPOSE('Matchup Daily'!$1:$18),""SELECT SUM(Col""&amp;MATCH($A8,'Matchup Daily'!$A:$A,0)&amp;"") WHERE Col2=""&amp;F$2,0),2)"),0.0)</f>
        <v>0</v>
      </c>
      <c r="G8" s="35">
        <f>IFERROR(__xludf.DUMMYFUNCTION("INDEX(QUERY(TRANSPOSE('Matchup Daily'!$1:$18),""SELECT SUM(Col""&amp;MATCH($A8,'Matchup Daily'!$A:$A,0)&amp;"") WHERE Col2=""&amp;G$2,0),2)"),0.0)</f>
        <v>0</v>
      </c>
      <c r="H8" s="35">
        <f>IFERROR(__xludf.DUMMYFUNCTION("INDEX(QUERY(TRANSPOSE('Matchup Daily'!$1:$18),""SELECT SUM(Col""&amp;MATCH($A8,'Matchup Daily'!$A:$A,0)&amp;"") WHERE Col2=""&amp;H$2,0),2)"),0.0)</f>
        <v>0</v>
      </c>
      <c r="I8" s="35">
        <f>IFERROR(__xludf.DUMMYFUNCTION("INDEX(QUERY(TRANSPOSE('Matchup Daily'!$1:$18),""SELECT SUM(Col""&amp;MATCH($A8,'Matchup Daily'!$A:$A,0)&amp;"") WHERE Col2=""&amp;I$2,0),2)"),0.0)</f>
        <v>0</v>
      </c>
      <c r="J8" s="35">
        <f>IFERROR(__xludf.DUMMYFUNCTION("INDEX(QUERY(TRANSPOSE('Matchup Daily'!$1:$18),""SELECT SUM(Col""&amp;MATCH($A8,'Matchup Daily'!$A:$A,0)&amp;"") WHERE Col2=""&amp;J$2,0),2)"),0.0)</f>
        <v>0</v>
      </c>
      <c r="K8" s="35">
        <f>IFERROR(__xludf.DUMMYFUNCTION("INDEX(QUERY(TRANSPOSE('Matchup Daily'!$1:$18),""SELECT SUM(Col""&amp;MATCH($A8,'Matchup Daily'!$A:$A,0)&amp;"") WHERE Col2=""&amp;K$2,0),2)"),0.0)</f>
        <v>0</v>
      </c>
      <c r="L8" s="35">
        <f>IFERROR(__xludf.DUMMYFUNCTION("INDEX(QUERY(TRANSPOSE('Matchup Daily'!$1:$18),""SELECT SUM(Col""&amp;MATCH($A8,'Matchup Daily'!$A:$A,0)&amp;"") WHERE Col2=""&amp;L$2,0),2)"),0.0)</f>
        <v>0</v>
      </c>
      <c r="M8" s="35">
        <f>IFERROR(__xludf.DUMMYFUNCTION("INDEX(QUERY(TRANSPOSE('Matchup Daily'!$1:$18),""SELECT SUM(Col""&amp;MATCH($A8,'Matchup Daily'!$A:$A,0)&amp;"") WHERE Col2=""&amp;M$2,0),2)"),0.0)</f>
        <v>0</v>
      </c>
      <c r="N8" s="35">
        <f>IFERROR(__xludf.DUMMYFUNCTION("INDEX(QUERY(TRANSPOSE('Matchup Daily'!$1:$18),""SELECT SUM(Col""&amp;MATCH($A8,'Matchup Daily'!$A:$A,0)&amp;"") WHERE Col2=""&amp;N$2,0),2)"),0.0)</f>
        <v>0</v>
      </c>
      <c r="O8" s="35">
        <f>IFERROR(__xludf.DUMMYFUNCTION("INDEX(QUERY(TRANSPOSE('Matchup Daily'!$1:$18),""SELECT SUM(Col""&amp;MATCH($A8,'Matchup Daily'!$A:$A,0)&amp;"") WHERE Col2=""&amp;O$2,0),2)"),0.0)</f>
        <v>0</v>
      </c>
      <c r="P8" s="35">
        <f>IFERROR(__xludf.DUMMYFUNCTION("INDEX(QUERY(TRANSPOSE('Matchup Daily'!$1:$18),""SELECT SUM(Col""&amp;MATCH($A8,'Matchup Daily'!$A:$A,0)&amp;"") WHERE Col2=""&amp;P$2,0),2)"),0.0)</f>
        <v>0</v>
      </c>
      <c r="Q8" s="35">
        <f>IFERROR(__xludf.DUMMYFUNCTION("INDEX(QUERY(TRANSPOSE('Matchup Daily'!$1:$18),""SELECT SUM(Col""&amp;MATCH($A8,'Matchup Daily'!$A:$A,0)&amp;"") WHERE Col2=""&amp;Q$2,0),2)"),0.0)</f>
        <v>0</v>
      </c>
      <c r="R8" s="35">
        <f>IFERROR(__xludf.DUMMYFUNCTION("INDEX(QUERY(TRANSPOSE('Matchup Daily'!$1:$18),""SELECT SUM(Col""&amp;MATCH($A8,'Matchup Daily'!$A:$A,0)&amp;"") WHERE Col2=""&amp;R$2,0),2)"),0.0)</f>
        <v>0</v>
      </c>
      <c r="S8" s="35">
        <f>IFERROR(__xludf.DUMMYFUNCTION("INDEX(QUERY(TRANSPOSE('Matchup Daily'!$1:$18),""SELECT SUM(Col""&amp;MATCH($A8,'Matchup Daily'!$A:$A,0)&amp;"") WHERE Col2=""&amp;S$2,0),2)"),0.0)</f>
        <v>0</v>
      </c>
      <c r="T8" s="35">
        <f>IFERROR(__xludf.DUMMYFUNCTION("INDEX(QUERY(TRANSPOSE('Matchup Daily'!$1:$18),""SELECT SUM(Col""&amp;MATCH($A8,'Matchup Daily'!$A:$A,0)&amp;"") WHERE Col2=""&amp;T$2,0),2)"),0.0)</f>
        <v>0</v>
      </c>
      <c r="U8" s="15"/>
    </row>
    <row r="9">
      <c r="A9" s="34" t="str">
        <f>'Weekly EDSA'!A8</f>
        <v>Sullivan</v>
      </c>
      <c r="B9" s="35">
        <f>IFERROR(__xludf.DUMMYFUNCTION("INDEX(QUERY(TRANSPOSE('Matchup Daily'!$1:$18),""SELECT SUM(Col""&amp;MATCH($A9,'Matchup Daily'!$A:$A,0)&amp;"") WHERE Col2=""&amp;B$2,0),2)"),0.0)</f>
        <v>0</v>
      </c>
      <c r="C9" s="35">
        <f>IFERROR(__xludf.DUMMYFUNCTION("INDEX(QUERY(TRANSPOSE('Matchup Daily'!$1:$18),""SELECT SUM(Col""&amp;MATCH($A9,'Matchup Daily'!$A:$A,0)&amp;"") WHERE Col2=""&amp;C$2,0),2)"),0.0)</f>
        <v>0</v>
      </c>
      <c r="D9" s="35">
        <f>IFERROR(__xludf.DUMMYFUNCTION("INDEX(QUERY(TRANSPOSE('Matchup Daily'!$1:$18),""SELECT SUM(Col""&amp;MATCH($A9,'Matchup Daily'!$A:$A,0)&amp;"") WHERE Col2=""&amp;D$2,0),2)"),0.0)</f>
        <v>0</v>
      </c>
      <c r="E9" s="35">
        <f>IFERROR(__xludf.DUMMYFUNCTION("INDEX(QUERY(TRANSPOSE('Matchup Daily'!$1:$18),""SELECT SUM(Col""&amp;MATCH($A9,'Matchup Daily'!$A:$A,0)&amp;"") WHERE Col2=""&amp;E$2,0),2)"),0.0)</f>
        <v>0</v>
      </c>
      <c r="F9" s="35">
        <f>IFERROR(__xludf.DUMMYFUNCTION("INDEX(QUERY(TRANSPOSE('Matchup Daily'!$1:$18),""SELECT SUM(Col""&amp;MATCH($A9,'Matchup Daily'!$A:$A,0)&amp;"") WHERE Col2=""&amp;F$2,0),2)"),0.0)</f>
        <v>0</v>
      </c>
      <c r="G9" s="35">
        <f>IFERROR(__xludf.DUMMYFUNCTION("INDEX(QUERY(TRANSPOSE('Matchup Daily'!$1:$18),""SELECT SUM(Col""&amp;MATCH($A9,'Matchup Daily'!$A:$A,0)&amp;"") WHERE Col2=""&amp;G$2,0),2)"),0.0)</f>
        <v>0</v>
      </c>
      <c r="H9" s="35">
        <f>IFERROR(__xludf.DUMMYFUNCTION("INDEX(QUERY(TRANSPOSE('Matchup Daily'!$1:$18),""SELECT SUM(Col""&amp;MATCH($A9,'Matchup Daily'!$A:$A,0)&amp;"") WHERE Col2=""&amp;H$2,0),2)"),0.0)</f>
        <v>0</v>
      </c>
      <c r="I9" s="35">
        <f>IFERROR(__xludf.DUMMYFUNCTION("INDEX(QUERY(TRANSPOSE('Matchup Daily'!$1:$18),""SELECT SUM(Col""&amp;MATCH($A9,'Matchup Daily'!$A:$A,0)&amp;"") WHERE Col2=""&amp;I$2,0),2)"),0.0)</f>
        <v>0</v>
      </c>
      <c r="J9" s="35">
        <f>IFERROR(__xludf.DUMMYFUNCTION("INDEX(QUERY(TRANSPOSE('Matchup Daily'!$1:$18),""SELECT SUM(Col""&amp;MATCH($A9,'Matchup Daily'!$A:$A,0)&amp;"") WHERE Col2=""&amp;J$2,0),2)"),0.0)</f>
        <v>0</v>
      </c>
      <c r="K9" s="35">
        <f>IFERROR(__xludf.DUMMYFUNCTION("INDEX(QUERY(TRANSPOSE('Matchup Daily'!$1:$18),""SELECT SUM(Col""&amp;MATCH($A9,'Matchup Daily'!$A:$A,0)&amp;"") WHERE Col2=""&amp;K$2,0),2)"),0.0)</f>
        <v>0</v>
      </c>
      <c r="L9" s="35">
        <f>IFERROR(__xludf.DUMMYFUNCTION("INDEX(QUERY(TRANSPOSE('Matchup Daily'!$1:$18),""SELECT SUM(Col""&amp;MATCH($A9,'Matchup Daily'!$A:$A,0)&amp;"") WHERE Col2=""&amp;L$2,0),2)"),0.0)</f>
        <v>0</v>
      </c>
      <c r="M9" s="35">
        <f>IFERROR(__xludf.DUMMYFUNCTION("INDEX(QUERY(TRANSPOSE('Matchup Daily'!$1:$18),""SELECT SUM(Col""&amp;MATCH($A9,'Matchup Daily'!$A:$A,0)&amp;"") WHERE Col2=""&amp;M$2,0),2)"),0.0)</f>
        <v>0</v>
      </c>
      <c r="N9" s="35">
        <f>IFERROR(__xludf.DUMMYFUNCTION("INDEX(QUERY(TRANSPOSE('Matchup Daily'!$1:$18),""SELECT SUM(Col""&amp;MATCH($A9,'Matchup Daily'!$A:$A,0)&amp;"") WHERE Col2=""&amp;N$2,0),2)"),0.0)</f>
        <v>0</v>
      </c>
      <c r="O9" s="35">
        <f>IFERROR(__xludf.DUMMYFUNCTION("INDEX(QUERY(TRANSPOSE('Matchup Daily'!$1:$18),""SELECT SUM(Col""&amp;MATCH($A9,'Matchup Daily'!$A:$A,0)&amp;"") WHERE Col2=""&amp;O$2,0),2)"),0.0)</f>
        <v>0</v>
      </c>
      <c r="P9" s="35">
        <f>IFERROR(__xludf.DUMMYFUNCTION("INDEX(QUERY(TRANSPOSE('Matchup Daily'!$1:$18),""SELECT SUM(Col""&amp;MATCH($A9,'Matchup Daily'!$A:$A,0)&amp;"") WHERE Col2=""&amp;P$2,0),2)"),0.0)</f>
        <v>0</v>
      </c>
      <c r="Q9" s="35">
        <f>IFERROR(__xludf.DUMMYFUNCTION("INDEX(QUERY(TRANSPOSE('Matchup Daily'!$1:$18),""SELECT SUM(Col""&amp;MATCH($A9,'Matchup Daily'!$A:$A,0)&amp;"") WHERE Col2=""&amp;Q$2,0),2)"),0.0)</f>
        <v>0</v>
      </c>
      <c r="R9" s="35">
        <f>IFERROR(__xludf.DUMMYFUNCTION("INDEX(QUERY(TRANSPOSE('Matchup Daily'!$1:$18),""SELECT SUM(Col""&amp;MATCH($A9,'Matchup Daily'!$A:$A,0)&amp;"") WHERE Col2=""&amp;R$2,0),2)"),0.0)</f>
        <v>0</v>
      </c>
      <c r="S9" s="35">
        <f>IFERROR(__xludf.DUMMYFUNCTION("INDEX(QUERY(TRANSPOSE('Matchup Daily'!$1:$18),""SELECT SUM(Col""&amp;MATCH($A9,'Matchup Daily'!$A:$A,0)&amp;"") WHERE Col2=""&amp;S$2,0),2)"),0.0)</f>
        <v>0</v>
      </c>
      <c r="T9" s="35">
        <f>IFERROR(__xludf.DUMMYFUNCTION("INDEX(QUERY(TRANSPOSE('Matchup Daily'!$1:$18),""SELECT SUM(Col""&amp;MATCH($A9,'Matchup Daily'!$A:$A,0)&amp;"") WHERE Col2=""&amp;T$2,0),2)"),0.0)</f>
        <v>0</v>
      </c>
      <c r="U9" s="15"/>
    </row>
    <row r="10">
      <c r="A10" s="34" t="str">
        <f>'Weekly EDSA'!A9</f>
        <v>Maguire</v>
      </c>
      <c r="B10" s="35">
        <f>IFERROR(__xludf.DUMMYFUNCTION("INDEX(QUERY(TRANSPOSE('Matchup Daily'!$1:$18),""SELECT SUM(Col""&amp;MATCH($A10,'Matchup Daily'!$A:$A,0)&amp;"") WHERE Col2=""&amp;B$2,0),2)"),0.0)</f>
        <v>0</v>
      </c>
      <c r="C10" s="35">
        <f>IFERROR(__xludf.DUMMYFUNCTION("INDEX(QUERY(TRANSPOSE('Matchup Daily'!$1:$18),""SELECT SUM(Col""&amp;MATCH($A10,'Matchup Daily'!$A:$A,0)&amp;"") WHERE Col2=""&amp;C$2,0),2)"),0.0)</f>
        <v>0</v>
      </c>
      <c r="D10" s="35">
        <f>IFERROR(__xludf.DUMMYFUNCTION("INDEX(QUERY(TRANSPOSE('Matchup Daily'!$1:$18),""SELECT SUM(Col""&amp;MATCH($A10,'Matchup Daily'!$A:$A,0)&amp;"") WHERE Col2=""&amp;D$2,0),2)"),0.0)</f>
        <v>0</v>
      </c>
      <c r="E10" s="35">
        <f>IFERROR(__xludf.DUMMYFUNCTION("INDEX(QUERY(TRANSPOSE('Matchup Daily'!$1:$18),""SELECT SUM(Col""&amp;MATCH($A10,'Matchup Daily'!$A:$A,0)&amp;"") WHERE Col2=""&amp;E$2,0),2)"),0.0)</f>
        <v>0</v>
      </c>
      <c r="F10" s="35">
        <f>IFERROR(__xludf.DUMMYFUNCTION("INDEX(QUERY(TRANSPOSE('Matchup Daily'!$1:$18),""SELECT SUM(Col""&amp;MATCH($A10,'Matchup Daily'!$A:$A,0)&amp;"") WHERE Col2=""&amp;F$2,0),2)"),0.0)</f>
        <v>0</v>
      </c>
      <c r="G10" s="35">
        <f>IFERROR(__xludf.DUMMYFUNCTION("INDEX(QUERY(TRANSPOSE('Matchup Daily'!$1:$18),""SELECT SUM(Col""&amp;MATCH($A10,'Matchup Daily'!$A:$A,0)&amp;"") WHERE Col2=""&amp;G$2,0),2)"),0.0)</f>
        <v>0</v>
      </c>
      <c r="H10" s="35">
        <f>IFERROR(__xludf.DUMMYFUNCTION("INDEX(QUERY(TRANSPOSE('Matchup Daily'!$1:$18),""SELECT SUM(Col""&amp;MATCH($A10,'Matchup Daily'!$A:$A,0)&amp;"") WHERE Col2=""&amp;H$2,0),2)"),0.0)</f>
        <v>0</v>
      </c>
      <c r="I10" s="35">
        <f>IFERROR(__xludf.DUMMYFUNCTION("INDEX(QUERY(TRANSPOSE('Matchup Daily'!$1:$18),""SELECT SUM(Col""&amp;MATCH($A10,'Matchup Daily'!$A:$A,0)&amp;"") WHERE Col2=""&amp;I$2,0),2)"),0.0)</f>
        <v>0</v>
      </c>
      <c r="J10" s="35">
        <f>IFERROR(__xludf.DUMMYFUNCTION("INDEX(QUERY(TRANSPOSE('Matchup Daily'!$1:$18),""SELECT SUM(Col""&amp;MATCH($A10,'Matchup Daily'!$A:$A,0)&amp;"") WHERE Col2=""&amp;J$2,0),2)"),0.0)</f>
        <v>0</v>
      </c>
      <c r="K10" s="35">
        <f>IFERROR(__xludf.DUMMYFUNCTION("INDEX(QUERY(TRANSPOSE('Matchup Daily'!$1:$18),""SELECT SUM(Col""&amp;MATCH($A10,'Matchup Daily'!$A:$A,0)&amp;"") WHERE Col2=""&amp;K$2,0),2)"),0.0)</f>
        <v>0</v>
      </c>
      <c r="L10" s="35">
        <f>IFERROR(__xludf.DUMMYFUNCTION("INDEX(QUERY(TRANSPOSE('Matchup Daily'!$1:$18),""SELECT SUM(Col""&amp;MATCH($A10,'Matchup Daily'!$A:$A,0)&amp;"") WHERE Col2=""&amp;L$2,0),2)"),0.0)</f>
        <v>0</v>
      </c>
      <c r="M10" s="35">
        <f>IFERROR(__xludf.DUMMYFUNCTION("INDEX(QUERY(TRANSPOSE('Matchup Daily'!$1:$18),""SELECT SUM(Col""&amp;MATCH($A10,'Matchup Daily'!$A:$A,0)&amp;"") WHERE Col2=""&amp;M$2,0),2)"),0.0)</f>
        <v>0</v>
      </c>
      <c r="N10" s="35">
        <f>IFERROR(__xludf.DUMMYFUNCTION("INDEX(QUERY(TRANSPOSE('Matchup Daily'!$1:$18),""SELECT SUM(Col""&amp;MATCH($A10,'Matchup Daily'!$A:$A,0)&amp;"") WHERE Col2=""&amp;N$2,0),2)"),0.0)</f>
        <v>0</v>
      </c>
      <c r="O10" s="35">
        <f>IFERROR(__xludf.DUMMYFUNCTION("INDEX(QUERY(TRANSPOSE('Matchup Daily'!$1:$18),""SELECT SUM(Col""&amp;MATCH($A10,'Matchup Daily'!$A:$A,0)&amp;"") WHERE Col2=""&amp;O$2,0),2)"),0.0)</f>
        <v>0</v>
      </c>
      <c r="P10" s="35">
        <f>IFERROR(__xludf.DUMMYFUNCTION("INDEX(QUERY(TRANSPOSE('Matchup Daily'!$1:$18),""SELECT SUM(Col""&amp;MATCH($A10,'Matchup Daily'!$A:$A,0)&amp;"") WHERE Col2=""&amp;P$2,0),2)"),0.0)</f>
        <v>0</v>
      </c>
      <c r="Q10" s="35">
        <f>IFERROR(__xludf.DUMMYFUNCTION("INDEX(QUERY(TRANSPOSE('Matchup Daily'!$1:$18),""SELECT SUM(Col""&amp;MATCH($A10,'Matchup Daily'!$A:$A,0)&amp;"") WHERE Col2=""&amp;Q$2,0),2)"),0.0)</f>
        <v>0</v>
      </c>
      <c r="R10" s="35">
        <f>IFERROR(__xludf.DUMMYFUNCTION("INDEX(QUERY(TRANSPOSE('Matchup Daily'!$1:$18),""SELECT SUM(Col""&amp;MATCH($A10,'Matchup Daily'!$A:$A,0)&amp;"") WHERE Col2=""&amp;R$2,0),2)"),0.0)</f>
        <v>0</v>
      </c>
      <c r="S10" s="35">
        <f>IFERROR(__xludf.DUMMYFUNCTION("INDEX(QUERY(TRANSPOSE('Matchup Daily'!$1:$18),""SELECT SUM(Col""&amp;MATCH($A10,'Matchup Daily'!$A:$A,0)&amp;"") WHERE Col2=""&amp;S$2,0),2)"),0.0)</f>
        <v>0</v>
      </c>
      <c r="T10" s="35">
        <f>IFERROR(__xludf.DUMMYFUNCTION("INDEX(QUERY(TRANSPOSE('Matchup Daily'!$1:$18),""SELECT SUM(Col""&amp;MATCH($A10,'Matchup Daily'!$A:$A,0)&amp;"") WHERE Col2=""&amp;T$2,0),2)"),0.0)</f>
        <v>0</v>
      </c>
      <c r="U10" s="15"/>
    </row>
    <row r="11">
      <c r="A11" s="34" t="str">
        <f>'Weekly EDSA'!A10</f>
        <v>Biales</v>
      </c>
      <c r="B11" s="35">
        <f>IFERROR(__xludf.DUMMYFUNCTION("INDEX(QUERY(TRANSPOSE('Matchup Daily'!$1:$18),""SELECT SUM(Col""&amp;MATCH($A11,'Matchup Daily'!$A:$A,0)&amp;"") WHERE Col2=""&amp;B$2,0),2)"),0.0)</f>
        <v>0</v>
      </c>
      <c r="C11" s="35">
        <f>IFERROR(__xludf.DUMMYFUNCTION("INDEX(QUERY(TRANSPOSE('Matchup Daily'!$1:$18),""SELECT SUM(Col""&amp;MATCH($A11,'Matchup Daily'!$A:$A,0)&amp;"") WHERE Col2=""&amp;C$2,0),2)"),0.0)</f>
        <v>0</v>
      </c>
      <c r="D11" s="35">
        <f>IFERROR(__xludf.DUMMYFUNCTION("INDEX(QUERY(TRANSPOSE('Matchup Daily'!$1:$18),""SELECT SUM(Col""&amp;MATCH($A11,'Matchup Daily'!$A:$A,0)&amp;"") WHERE Col2=""&amp;D$2,0),2)"),0.0)</f>
        <v>0</v>
      </c>
      <c r="E11" s="35">
        <f>IFERROR(__xludf.DUMMYFUNCTION("INDEX(QUERY(TRANSPOSE('Matchup Daily'!$1:$18),""SELECT SUM(Col""&amp;MATCH($A11,'Matchup Daily'!$A:$A,0)&amp;"") WHERE Col2=""&amp;E$2,0),2)"),0.0)</f>
        <v>0</v>
      </c>
      <c r="F11" s="35">
        <f>IFERROR(__xludf.DUMMYFUNCTION("INDEX(QUERY(TRANSPOSE('Matchup Daily'!$1:$18),""SELECT SUM(Col""&amp;MATCH($A11,'Matchup Daily'!$A:$A,0)&amp;"") WHERE Col2=""&amp;F$2,0),2)"),0.0)</f>
        <v>0</v>
      </c>
      <c r="G11" s="35">
        <f>IFERROR(__xludf.DUMMYFUNCTION("INDEX(QUERY(TRANSPOSE('Matchup Daily'!$1:$18),""SELECT SUM(Col""&amp;MATCH($A11,'Matchup Daily'!$A:$A,0)&amp;"") WHERE Col2=""&amp;G$2,0),2)"),0.0)</f>
        <v>0</v>
      </c>
      <c r="H11" s="35">
        <f>IFERROR(__xludf.DUMMYFUNCTION("INDEX(QUERY(TRANSPOSE('Matchup Daily'!$1:$18),""SELECT SUM(Col""&amp;MATCH($A11,'Matchup Daily'!$A:$A,0)&amp;"") WHERE Col2=""&amp;H$2,0),2)"),0.0)</f>
        <v>0</v>
      </c>
      <c r="I11" s="35">
        <f>IFERROR(__xludf.DUMMYFUNCTION("INDEX(QUERY(TRANSPOSE('Matchup Daily'!$1:$18),""SELECT SUM(Col""&amp;MATCH($A11,'Matchup Daily'!$A:$A,0)&amp;"") WHERE Col2=""&amp;I$2,0),2)"),0.0)</f>
        <v>0</v>
      </c>
      <c r="J11" s="35">
        <f>IFERROR(__xludf.DUMMYFUNCTION("INDEX(QUERY(TRANSPOSE('Matchup Daily'!$1:$18),""SELECT SUM(Col""&amp;MATCH($A11,'Matchup Daily'!$A:$A,0)&amp;"") WHERE Col2=""&amp;J$2,0),2)"),0.0)</f>
        <v>0</v>
      </c>
      <c r="K11" s="35">
        <f>IFERROR(__xludf.DUMMYFUNCTION("INDEX(QUERY(TRANSPOSE('Matchup Daily'!$1:$18),""SELECT SUM(Col""&amp;MATCH($A11,'Matchup Daily'!$A:$A,0)&amp;"") WHERE Col2=""&amp;K$2,0),2)"),0.0)</f>
        <v>0</v>
      </c>
      <c r="L11" s="35">
        <f>IFERROR(__xludf.DUMMYFUNCTION("INDEX(QUERY(TRANSPOSE('Matchup Daily'!$1:$18),""SELECT SUM(Col""&amp;MATCH($A11,'Matchup Daily'!$A:$A,0)&amp;"") WHERE Col2=""&amp;L$2,0),2)"),0.0)</f>
        <v>0</v>
      </c>
      <c r="M11" s="35">
        <f>IFERROR(__xludf.DUMMYFUNCTION("INDEX(QUERY(TRANSPOSE('Matchup Daily'!$1:$18),""SELECT SUM(Col""&amp;MATCH($A11,'Matchup Daily'!$A:$A,0)&amp;"") WHERE Col2=""&amp;M$2,0),2)"),0.0)</f>
        <v>0</v>
      </c>
      <c r="N11" s="35">
        <f>IFERROR(__xludf.DUMMYFUNCTION("INDEX(QUERY(TRANSPOSE('Matchup Daily'!$1:$18),""SELECT SUM(Col""&amp;MATCH($A11,'Matchup Daily'!$A:$A,0)&amp;"") WHERE Col2=""&amp;N$2,0),2)"),0.0)</f>
        <v>0</v>
      </c>
      <c r="O11" s="35">
        <f>IFERROR(__xludf.DUMMYFUNCTION("INDEX(QUERY(TRANSPOSE('Matchup Daily'!$1:$18),""SELECT SUM(Col""&amp;MATCH($A11,'Matchup Daily'!$A:$A,0)&amp;"") WHERE Col2=""&amp;O$2,0),2)"),0.0)</f>
        <v>0</v>
      </c>
      <c r="P11" s="35">
        <f>IFERROR(__xludf.DUMMYFUNCTION("INDEX(QUERY(TRANSPOSE('Matchup Daily'!$1:$18),""SELECT SUM(Col""&amp;MATCH($A11,'Matchup Daily'!$A:$A,0)&amp;"") WHERE Col2=""&amp;P$2,0),2)"),0.0)</f>
        <v>0</v>
      </c>
      <c r="Q11" s="35">
        <f>IFERROR(__xludf.DUMMYFUNCTION("INDEX(QUERY(TRANSPOSE('Matchup Daily'!$1:$18),""SELECT SUM(Col""&amp;MATCH($A11,'Matchup Daily'!$A:$A,0)&amp;"") WHERE Col2=""&amp;Q$2,0),2)"),0.0)</f>
        <v>0</v>
      </c>
      <c r="R11" s="35">
        <f>IFERROR(__xludf.DUMMYFUNCTION("INDEX(QUERY(TRANSPOSE('Matchup Daily'!$1:$18),""SELECT SUM(Col""&amp;MATCH($A11,'Matchup Daily'!$A:$A,0)&amp;"") WHERE Col2=""&amp;R$2,0),2)"),0.0)</f>
        <v>0</v>
      </c>
      <c r="S11" s="35">
        <f>IFERROR(__xludf.DUMMYFUNCTION("INDEX(QUERY(TRANSPOSE('Matchup Daily'!$1:$18),""SELECT SUM(Col""&amp;MATCH($A11,'Matchup Daily'!$A:$A,0)&amp;"") WHERE Col2=""&amp;S$2,0),2)"),0.0)</f>
        <v>0</v>
      </c>
      <c r="T11" s="35">
        <f>IFERROR(__xludf.DUMMYFUNCTION("INDEX(QUERY(TRANSPOSE('Matchup Daily'!$1:$18),""SELECT SUM(Col""&amp;MATCH($A11,'Matchup Daily'!$A:$A,0)&amp;"") WHERE Col2=""&amp;T$2,0),2)"),0.0)</f>
        <v>0</v>
      </c>
      <c r="U11" s="15"/>
    </row>
    <row r="12">
      <c r="A12" s="34" t="str">
        <f>'Weekly EDSA'!A11</f>
        <v>Trueb</v>
      </c>
      <c r="B12" s="35">
        <f>IFERROR(__xludf.DUMMYFUNCTION("INDEX(QUERY(TRANSPOSE('Matchup Daily'!$1:$18),""SELECT SUM(Col""&amp;MATCH($A12,'Matchup Daily'!$A:$A,0)&amp;"") WHERE Col2=""&amp;B$2,0),2)"),0.0)</f>
        <v>0</v>
      </c>
      <c r="C12" s="35">
        <f>IFERROR(__xludf.DUMMYFUNCTION("INDEX(QUERY(TRANSPOSE('Matchup Daily'!$1:$18),""SELECT SUM(Col""&amp;MATCH($A12,'Matchup Daily'!$A:$A,0)&amp;"") WHERE Col2=""&amp;C$2,0),2)"),0.0)</f>
        <v>0</v>
      </c>
      <c r="D12" s="35">
        <f>IFERROR(__xludf.DUMMYFUNCTION("INDEX(QUERY(TRANSPOSE('Matchup Daily'!$1:$18),""SELECT SUM(Col""&amp;MATCH($A12,'Matchup Daily'!$A:$A,0)&amp;"") WHERE Col2=""&amp;D$2,0),2)"),0.0)</f>
        <v>0</v>
      </c>
      <c r="E12" s="35">
        <f>IFERROR(__xludf.DUMMYFUNCTION("INDEX(QUERY(TRANSPOSE('Matchup Daily'!$1:$18),""SELECT SUM(Col""&amp;MATCH($A12,'Matchup Daily'!$A:$A,0)&amp;"") WHERE Col2=""&amp;E$2,0),2)"),0.0)</f>
        <v>0</v>
      </c>
      <c r="F12" s="35">
        <f>IFERROR(__xludf.DUMMYFUNCTION("INDEX(QUERY(TRANSPOSE('Matchup Daily'!$1:$18),""SELECT SUM(Col""&amp;MATCH($A12,'Matchup Daily'!$A:$A,0)&amp;"") WHERE Col2=""&amp;F$2,0),2)"),0.0)</f>
        <v>0</v>
      </c>
      <c r="G12" s="35">
        <f>IFERROR(__xludf.DUMMYFUNCTION("INDEX(QUERY(TRANSPOSE('Matchup Daily'!$1:$18),""SELECT SUM(Col""&amp;MATCH($A12,'Matchup Daily'!$A:$A,0)&amp;"") WHERE Col2=""&amp;G$2,0),2)"),0.0)</f>
        <v>0</v>
      </c>
      <c r="H12" s="35">
        <f>IFERROR(__xludf.DUMMYFUNCTION("INDEX(QUERY(TRANSPOSE('Matchup Daily'!$1:$18),""SELECT SUM(Col""&amp;MATCH($A12,'Matchup Daily'!$A:$A,0)&amp;"") WHERE Col2=""&amp;H$2,0),2)"),0.0)</f>
        <v>0</v>
      </c>
      <c r="I12" s="35">
        <f>IFERROR(__xludf.DUMMYFUNCTION("INDEX(QUERY(TRANSPOSE('Matchup Daily'!$1:$18),""SELECT SUM(Col""&amp;MATCH($A12,'Matchup Daily'!$A:$A,0)&amp;"") WHERE Col2=""&amp;I$2,0),2)"),0.0)</f>
        <v>0</v>
      </c>
      <c r="J12" s="35">
        <f>IFERROR(__xludf.DUMMYFUNCTION("INDEX(QUERY(TRANSPOSE('Matchup Daily'!$1:$18),""SELECT SUM(Col""&amp;MATCH($A12,'Matchup Daily'!$A:$A,0)&amp;"") WHERE Col2=""&amp;J$2,0),2)"),0.0)</f>
        <v>0</v>
      </c>
      <c r="K12" s="35">
        <f>IFERROR(__xludf.DUMMYFUNCTION("INDEX(QUERY(TRANSPOSE('Matchup Daily'!$1:$18),""SELECT SUM(Col""&amp;MATCH($A12,'Matchup Daily'!$A:$A,0)&amp;"") WHERE Col2=""&amp;K$2,0),2)"),0.0)</f>
        <v>0</v>
      </c>
      <c r="L12" s="35">
        <f>IFERROR(__xludf.DUMMYFUNCTION("INDEX(QUERY(TRANSPOSE('Matchup Daily'!$1:$18),""SELECT SUM(Col""&amp;MATCH($A12,'Matchup Daily'!$A:$A,0)&amp;"") WHERE Col2=""&amp;L$2,0),2)"),0.0)</f>
        <v>0</v>
      </c>
      <c r="M12" s="35">
        <f>IFERROR(__xludf.DUMMYFUNCTION("INDEX(QUERY(TRANSPOSE('Matchup Daily'!$1:$18),""SELECT SUM(Col""&amp;MATCH($A12,'Matchup Daily'!$A:$A,0)&amp;"") WHERE Col2=""&amp;M$2,0),2)"),0.0)</f>
        <v>0</v>
      </c>
      <c r="N12" s="35">
        <f>IFERROR(__xludf.DUMMYFUNCTION("INDEX(QUERY(TRANSPOSE('Matchup Daily'!$1:$18),""SELECT SUM(Col""&amp;MATCH($A12,'Matchup Daily'!$A:$A,0)&amp;"") WHERE Col2=""&amp;N$2,0),2)"),0.0)</f>
        <v>0</v>
      </c>
      <c r="O12" s="35">
        <f>IFERROR(__xludf.DUMMYFUNCTION("INDEX(QUERY(TRANSPOSE('Matchup Daily'!$1:$18),""SELECT SUM(Col""&amp;MATCH($A12,'Matchup Daily'!$A:$A,0)&amp;"") WHERE Col2=""&amp;O$2,0),2)"),0.0)</f>
        <v>0</v>
      </c>
      <c r="P12" s="35">
        <f>IFERROR(__xludf.DUMMYFUNCTION("INDEX(QUERY(TRANSPOSE('Matchup Daily'!$1:$18),""SELECT SUM(Col""&amp;MATCH($A12,'Matchup Daily'!$A:$A,0)&amp;"") WHERE Col2=""&amp;P$2,0),2)"),0.0)</f>
        <v>0</v>
      </c>
      <c r="Q12" s="35">
        <f>IFERROR(__xludf.DUMMYFUNCTION("INDEX(QUERY(TRANSPOSE('Matchup Daily'!$1:$18),""SELECT SUM(Col""&amp;MATCH($A12,'Matchup Daily'!$A:$A,0)&amp;"") WHERE Col2=""&amp;Q$2,0),2)"),0.0)</f>
        <v>0</v>
      </c>
      <c r="R12" s="35">
        <f>IFERROR(__xludf.DUMMYFUNCTION("INDEX(QUERY(TRANSPOSE('Matchup Daily'!$1:$18),""SELECT SUM(Col""&amp;MATCH($A12,'Matchup Daily'!$A:$A,0)&amp;"") WHERE Col2=""&amp;R$2,0),2)"),0.0)</f>
        <v>0</v>
      </c>
      <c r="S12" s="35">
        <f>IFERROR(__xludf.DUMMYFUNCTION("INDEX(QUERY(TRANSPOSE('Matchup Daily'!$1:$18),""SELECT SUM(Col""&amp;MATCH($A12,'Matchup Daily'!$A:$A,0)&amp;"") WHERE Col2=""&amp;S$2,0),2)"),0.0)</f>
        <v>0</v>
      </c>
      <c r="T12" s="35">
        <f>IFERROR(__xludf.DUMMYFUNCTION("INDEX(QUERY(TRANSPOSE('Matchup Daily'!$1:$18),""SELECT SUM(Col""&amp;MATCH($A12,'Matchup Daily'!$A:$A,0)&amp;"") WHERE Col2=""&amp;T$2,0),2)"),0.0)</f>
        <v>0</v>
      </c>
      <c r="U12" s="15"/>
    </row>
    <row r="13">
      <c r="A13" s="34" t="str">
        <f>'Weekly EDSA'!A12</f>
        <v>Aceto</v>
      </c>
      <c r="B13" s="35">
        <f>IFERROR(__xludf.DUMMYFUNCTION("INDEX(QUERY(TRANSPOSE('Matchup Daily'!$1:$18),""SELECT SUM(Col""&amp;MATCH($A13,'Matchup Daily'!$A:$A,0)&amp;"") WHERE Col2=""&amp;B$2,0),2)"),0.0)</f>
        <v>0</v>
      </c>
      <c r="C13" s="35">
        <f>IFERROR(__xludf.DUMMYFUNCTION("INDEX(QUERY(TRANSPOSE('Matchup Daily'!$1:$18),""SELECT SUM(Col""&amp;MATCH($A13,'Matchup Daily'!$A:$A,0)&amp;"") WHERE Col2=""&amp;C$2,0),2)"),0.0)</f>
        <v>0</v>
      </c>
      <c r="D13" s="35">
        <f>IFERROR(__xludf.DUMMYFUNCTION("INDEX(QUERY(TRANSPOSE('Matchup Daily'!$1:$18),""SELECT SUM(Col""&amp;MATCH($A13,'Matchup Daily'!$A:$A,0)&amp;"") WHERE Col2=""&amp;D$2,0),2)"),0.0)</f>
        <v>0</v>
      </c>
      <c r="E13" s="35">
        <f>IFERROR(__xludf.DUMMYFUNCTION("INDEX(QUERY(TRANSPOSE('Matchup Daily'!$1:$18),""SELECT SUM(Col""&amp;MATCH($A13,'Matchup Daily'!$A:$A,0)&amp;"") WHERE Col2=""&amp;E$2,0),2)"),0.0)</f>
        <v>0</v>
      </c>
      <c r="F13" s="35">
        <f>IFERROR(__xludf.DUMMYFUNCTION("INDEX(QUERY(TRANSPOSE('Matchup Daily'!$1:$18),""SELECT SUM(Col""&amp;MATCH($A13,'Matchup Daily'!$A:$A,0)&amp;"") WHERE Col2=""&amp;F$2,0),2)"),0.0)</f>
        <v>0</v>
      </c>
      <c r="G13" s="35">
        <f>IFERROR(__xludf.DUMMYFUNCTION("INDEX(QUERY(TRANSPOSE('Matchup Daily'!$1:$18),""SELECT SUM(Col""&amp;MATCH($A13,'Matchup Daily'!$A:$A,0)&amp;"") WHERE Col2=""&amp;G$2,0),2)"),0.0)</f>
        <v>0</v>
      </c>
      <c r="H13" s="35">
        <f>IFERROR(__xludf.DUMMYFUNCTION("INDEX(QUERY(TRANSPOSE('Matchup Daily'!$1:$18),""SELECT SUM(Col""&amp;MATCH($A13,'Matchup Daily'!$A:$A,0)&amp;"") WHERE Col2=""&amp;H$2,0),2)"),0.0)</f>
        <v>0</v>
      </c>
      <c r="I13" s="35">
        <f>IFERROR(__xludf.DUMMYFUNCTION("INDEX(QUERY(TRANSPOSE('Matchup Daily'!$1:$18),""SELECT SUM(Col""&amp;MATCH($A13,'Matchup Daily'!$A:$A,0)&amp;"") WHERE Col2=""&amp;I$2,0),2)"),0.0)</f>
        <v>0</v>
      </c>
      <c r="J13" s="35">
        <f>IFERROR(__xludf.DUMMYFUNCTION("INDEX(QUERY(TRANSPOSE('Matchup Daily'!$1:$18),""SELECT SUM(Col""&amp;MATCH($A13,'Matchup Daily'!$A:$A,0)&amp;"") WHERE Col2=""&amp;J$2,0),2)"),0.0)</f>
        <v>0</v>
      </c>
      <c r="K13" s="35">
        <f>IFERROR(__xludf.DUMMYFUNCTION("INDEX(QUERY(TRANSPOSE('Matchup Daily'!$1:$18),""SELECT SUM(Col""&amp;MATCH($A13,'Matchup Daily'!$A:$A,0)&amp;"") WHERE Col2=""&amp;K$2,0),2)"),0.0)</f>
        <v>0</v>
      </c>
      <c r="L13" s="35">
        <f>IFERROR(__xludf.DUMMYFUNCTION("INDEX(QUERY(TRANSPOSE('Matchup Daily'!$1:$18),""SELECT SUM(Col""&amp;MATCH($A13,'Matchup Daily'!$A:$A,0)&amp;"") WHERE Col2=""&amp;L$2,0),2)"),0.0)</f>
        <v>0</v>
      </c>
      <c r="M13" s="35">
        <f>IFERROR(__xludf.DUMMYFUNCTION("INDEX(QUERY(TRANSPOSE('Matchup Daily'!$1:$18),""SELECT SUM(Col""&amp;MATCH($A13,'Matchup Daily'!$A:$A,0)&amp;"") WHERE Col2=""&amp;M$2,0),2)"),0.0)</f>
        <v>0</v>
      </c>
      <c r="N13" s="35">
        <f>IFERROR(__xludf.DUMMYFUNCTION("INDEX(QUERY(TRANSPOSE('Matchup Daily'!$1:$18),""SELECT SUM(Col""&amp;MATCH($A13,'Matchup Daily'!$A:$A,0)&amp;"") WHERE Col2=""&amp;N$2,0),2)"),0.0)</f>
        <v>0</v>
      </c>
      <c r="O13" s="35">
        <f>IFERROR(__xludf.DUMMYFUNCTION("INDEX(QUERY(TRANSPOSE('Matchup Daily'!$1:$18),""SELECT SUM(Col""&amp;MATCH($A13,'Matchup Daily'!$A:$A,0)&amp;"") WHERE Col2=""&amp;O$2,0),2)"),0.0)</f>
        <v>0</v>
      </c>
      <c r="P13" s="35">
        <f>IFERROR(__xludf.DUMMYFUNCTION("INDEX(QUERY(TRANSPOSE('Matchup Daily'!$1:$18),""SELECT SUM(Col""&amp;MATCH($A13,'Matchup Daily'!$A:$A,0)&amp;"") WHERE Col2=""&amp;P$2,0),2)"),0.0)</f>
        <v>0</v>
      </c>
      <c r="Q13" s="35">
        <f>IFERROR(__xludf.DUMMYFUNCTION("INDEX(QUERY(TRANSPOSE('Matchup Daily'!$1:$18),""SELECT SUM(Col""&amp;MATCH($A13,'Matchup Daily'!$A:$A,0)&amp;"") WHERE Col2=""&amp;Q$2,0),2)"),0.0)</f>
        <v>0</v>
      </c>
      <c r="R13" s="35">
        <f>IFERROR(__xludf.DUMMYFUNCTION("INDEX(QUERY(TRANSPOSE('Matchup Daily'!$1:$18),""SELECT SUM(Col""&amp;MATCH($A13,'Matchup Daily'!$A:$A,0)&amp;"") WHERE Col2=""&amp;R$2,0),2)"),0.0)</f>
        <v>0</v>
      </c>
      <c r="S13" s="35">
        <f>IFERROR(__xludf.DUMMYFUNCTION("INDEX(QUERY(TRANSPOSE('Matchup Daily'!$1:$18),""SELECT SUM(Col""&amp;MATCH($A13,'Matchup Daily'!$A:$A,0)&amp;"") WHERE Col2=""&amp;S$2,0),2)"),0.0)</f>
        <v>0</v>
      </c>
      <c r="T13" s="35">
        <f>IFERROR(__xludf.DUMMYFUNCTION("INDEX(QUERY(TRANSPOSE('Matchup Daily'!$1:$18),""SELECT SUM(Col""&amp;MATCH($A13,'Matchup Daily'!$A:$A,0)&amp;"") WHERE Col2=""&amp;T$2,0),2)"),0.0)</f>
        <v>0</v>
      </c>
      <c r="U13" s="15"/>
    </row>
    <row r="14">
      <c r="A14" s="34" t="str">
        <f>'Weekly EDSA'!A13</f>
        <v>Higgins</v>
      </c>
      <c r="B14" s="35">
        <f>IFERROR(__xludf.DUMMYFUNCTION("INDEX(QUERY(TRANSPOSE('Matchup Daily'!$1:$18),""SELECT SUM(Col""&amp;MATCH($A14,'Matchup Daily'!$A:$A,0)&amp;"") WHERE Col2=""&amp;B$2,0),2)"),0.0)</f>
        <v>0</v>
      </c>
      <c r="C14" s="35">
        <f>IFERROR(__xludf.DUMMYFUNCTION("INDEX(QUERY(TRANSPOSE('Matchup Daily'!$1:$18),""SELECT SUM(Col""&amp;MATCH($A14,'Matchup Daily'!$A:$A,0)&amp;"") WHERE Col2=""&amp;C$2,0),2)"),0.0)</f>
        <v>0</v>
      </c>
      <c r="D14" s="35">
        <f>IFERROR(__xludf.DUMMYFUNCTION("INDEX(QUERY(TRANSPOSE('Matchup Daily'!$1:$18),""SELECT SUM(Col""&amp;MATCH($A14,'Matchup Daily'!$A:$A,0)&amp;"") WHERE Col2=""&amp;D$2,0),2)"),0.0)</f>
        <v>0</v>
      </c>
      <c r="E14" s="35">
        <f>IFERROR(__xludf.DUMMYFUNCTION("INDEX(QUERY(TRANSPOSE('Matchup Daily'!$1:$18),""SELECT SUM(Col""&amp;MATCH($A14,'Matchup Daily'!$A:$A,0)&amp;"") WHERE Col2=""&amp;E$2,0),2)"),0.0)</f>
        <v>0</v>
      </c>
      <c r="F14" s="35">
        <f>IFERROR(__xludf.DUMMYFUNCTION("INDEX(QUERY(TRANSPOSE('Matchup Daily'!$1:$18),""SELECT SUM(Col""&amp;MATCH($A14,'Matchup Daily'!$A:$A,0)&amp;"") WHERE Col2=""&amp;F$2,0),2)"),0.0)</f>
        <v>0</v>
      </c>
      <c r="G14" s="35">
        <f>IFERROR(__xludf.DUMMYFUNCTION("INDEX(QUERY(TRANSPOSE('Matchup Daily'!$1:$18),""SELECT SUM(Col""&amp;MATCH($A14,'Matchup Daily'!$A:$A,0)&amp;"") WHERE Col2=""&amp;G$2,0),2)"),0.0)</f>
        <v>0</v>
      </c>
      <c r="H14" s="35">
        <f>IFERROR(__xludf.DUMMYFUNCTION("INDEX(QUERY(TRANSPOSE('Matchup Daily'!$1:$18),""SELECT SUM(Col""&amp;MATCH($A14,'Matchup Daily'!$A:$A,0)&amp;"") WHERE Col2=""&amp;H$2,0),2)"),0.0)</f>
        <v>0</v>
      </c>
      <c r="I14" s="35">
        <f>IFERROR(__xludf.DUMMYFUNCTION("INDEX(QUERY(TRANSPOSE('Matchup Daily'!$1:$18),""SELECT SUM(Col""&amp;MATCH($A14,'Matchup Daily'!$A:$A,0)&amp;"") WHERE Col2=""&amp;I$2,0),2)"),0.0)</f>
        <v>0</v>
      </c>
      <c r="J14" s="35">
        <f>IFERROR(__xludf.DUMMYFUNCTION("INDEX(QUERY(TRANSPOSE('Matchup Daily'!$1:$18),""SELECT SUM(Col""&amp;MATCH($A14,'Matchup Daily'!$A:$A,0)&amp;"") WHERE Col2=""&amp;J$2,0),2)"),0.0)</f>
        <v>0</v>
      </c>
      <c r="K14" s="35">
        <f>IFERROR(__xludf.DUMMYFUNCTION("INDEX(QUERY(TRANSPOSE('Matchup Daily'!$1:$18),""SELECT SUM(Col""&amp;MATCH($A14,'Matchup Daily'!$A:$A,0)&amp;"") WHERE Col2=""&amp;K$2,0),2)"),0.0)</f>
        <v>0</v>
      </c>
      <c r="L14" s="35">
        <f>IFERROR(__xludf.DUMMYFUNCTION("INDEX(QUERY(TRANSPOSE('Matchup Daily'!$1:$18),""SELECT SUM(Col""&amp;MATCH($A14,'Matchup Daily'!$A:$A,0)&amp;"") WHERE Col2=""&amp;L$2,0),2)"),0.0)</f>
        <v>0</v>
      </c>
      <c r="M14" s="35">
        <f>IFERROR(__xludf.DUMMYFUNCTION("INDEX(QUERY(TRANSPOSE('Matchup Daily'!$1:$18),""SELECT SUM(Col""&amp;MATCH($A14,'Matchup Daily'!$A:$A,0)&amp;"") WHERE Col2=""&amp;M$2,0),2)"),0.0)</f>
        <v>0</v>
      </c>
      <c r="N14" s="35">
        <f>IFERROR(__xludf.DUMMYFUNCTION("INDEX(QUERY(TRANSPOSE('Matchup Daily'!$1:$18),""SELECT SUM(Col""&amp;MATCH($A14,'Matchup Daily'!$A:$A,0)&amp;"") WHERE Col2=""&amp;N$2,0),2)"),0.0)</f>
        <v>0</v>
      </c>
      <c r="O14" s="35">
        <f>IFERROR(__xludf.DUMMYFUNCTION("INDEX(QUERY(TRANSPOSE('Matchup Daily'!$1:$18),""SELECT SUM(Col""&amp;MATCH($A14,'Matchup Daily'!$A:$A,0)&amp;"") WHERE Col2=""&amp;O$2,0),2)"),0.0)</f>
        <v>0</v>
      </c>
      <c r="P14" s="35">
        <f>IFERROR(__xludf.DUMMYFUNCTION("INDEX(QUERY(TRANSPOSE('Matchup Daily'!$1:$18),""SELECT SUM(Col""&amp;MATCH($A14,'Matchup Daily'!$A:$A,0)&amp;"") WHERE Col2=""&amp;P$2,0),2)"),0.0)</f>
        <v>0</v>
      </c>
      <c r="Q14" s="35">
        <f>IFERROR(__xludf.DUMMYFUNCTION("INDEX(QUERY(TRANSPOSE('Matchup Daily'!$1:$18),""SELECT SUM(Col""&amp;MATCH($A14,'Matchup Daily'!$A:$A,0)&amp;"") WHERE Col2=""&amp;Q$2,0),2)"),0.0)</f>
        <v>0</v>
      </c>
      <c r="R14" s="35">
        <f>IFERROR(__xludf.DUMMYFUNCTION("INDEX(QUERY(TRANSPOSE('Matchup Daily'!$1:$18),""SELECT SUM(Col""&amp;MATCH($A14,'Matchup Daily'!$A:$A,0)&amp;"") WHERE Col2=""&amp;R$2,0),2)"),0.0)</f>
        <v>0</v>
      </c>
      <c r="S14" s="35">
        <f>IFERROR(__xludf.DUMMYFUNCTION("INDEX(QUERY(TRANSPOSE('Matchup Daily'!$1:$18),""SELECT SUM(Col""&amp;MATCH($A14,'Matchup Daily'!$A:$A,0)&amp;"") WHERE Col2=""&amp;S$2,0),2)"),0.0)</f>
        <v>0</v>
      </c>
      <c r="T14" s="35">
        <f>IFERROR(__xludf.DUMMYFUNCTION("INDEX(QUERY(TRANSPOSE('Matchup Daily'!$1:$18),""SELECT SUM(Col""&amp;MATCH($A14,'Matchup Daily'!$A:$A,0)&amp;"") WHERE Col2=""&amp;T$2,0),2)"),0.0)</f>
        <v>0</v>
      </c>
      <c r="U14" s="15"/>
    </row>
    <row r="15">
      <c r="A15" s="34" t="str">
        <f>'Weekly EDSA'!A14</f>
        <v>Furtney</v>
      </c>
      <c r="B15" s="35">
        <f>IFERROR(__xludf.DUMMYFUNCTION("INDEX(QUERY(TRANSPOSE('Matchup Daily'!$1:$18),""SELECT SUM(Col""&amp;MATCH($A15,'Matchup Daily'!$A:$A,0)&amp;"") WHERE Col2=""&amp;B$2,0),2)"),0.0)</f>
        <v>0</v>
      </c>
      <c r="C15" s="35">
        <f>IFERROR(__xludf.DUMMYFUNCTION("INDEX(QUERY(TRANSPOSE('Matchup Daily'!$1:$18),""SELECT SUM(Col""&amp;MATCH($A15,'Matchup Daily'!$A:$A,0)&amp;"") WHERE Col2=""&amp;C$2,0),2)"),0.0)</f>
        <v>0</v>
      </c>
      <c r="D15" s="35">
        <f>IFERROR(__xludf.DUMMYFUNCTION("INDEX(QUERY(TRANSPOSE('Matchup Daily'!$1:$18),""SELECT SUM(Col""&amp;MATCH($A15,'Matchup Daily'!$A:$A,0)&amp;"") WHERE Col2=""&amp;D$2,0),2)"),0.0)</f>
        <v>0</v>
      </c>
      <c r="E15" s="35">
        <f>IFERROR(__xludf.DUMMYFUNCTION("INDEX(QUERY(TRANSPOSE('Matchup Daily'!$1:$18),""SELECT SUM(Col""&amp;MATCH($A15,'Matchup Daily'!$A:$A,0)&amp;"") WHERE Col2=""&amp;E$2,0),2)"),0.0)</f>
        <v>0</v>
      </c>
      <c r="F15" s="35">
        <f>IFERROR(__xludf.DUMMYFUNCTION("INDEX(QUERY(TRANSPOSE('Matchup Daily'!$1:$18),""SELECT SUM(Col""&amp;MATCH($A15,'Matchup Daily'!$A:$A,0)&amp;"") WHERE Col2=""&amp;F$2,0),2)"),0.0)</f>
        <v>0</v>
      </c>
      <c r="G15" s="35">
        <f>IFERROR(__xludf.DUMMYFUNCTION("INDEX(QUERY(TRANSPOSE('Matchup Daily'!$1:$18),""SELECT SUM(Col""&amp;MATCH($A15,'Matchup Daily'!$A:$A,0)&amp;"") WHERE Col2=""&amp;G$2,0),2)"),0.0)</f>
        <v>0</v>
      </c>
      <c r="H15" s="35">
        <f>IFERROR(__xludf.DUMMYFUNCTION("INDEX(QUERY(TRANSPOSE('Matchup Daily'!$1:$18),""SELECT SUM(Col""&amp;MATCH($A15,'Matchup Daily'!$A:$A,0)&amp;"") WHERE Col2=""&amp;H$2,0),2)"),0.0)</f>
        <v>0</v>
      </c>
      <c r="I15" s="35">
        <f>IFERROR(__xludf.DUMMYFUNCTION("INDEX(QUERY(TRANSPOSE('Matchup Daily'!$1:$18),""SELECT SUM(Col""&amp;MATCH($A15,'Matchup Daily'!$A:$A,0)&amp;"") WHERE Col2=""&amp;I$2,0),2)"),0.0)</f>
        <v>0</v>
      </c>
      <c r="J15" s="35">
        <f>IFERROR(__xludf.DUMMYFUNCTION("INDEX(QUERY(TRANSPOSE('Matchup Daily'!$1:$18),""SELECT SUM(Col""&amp;MATCH($A15,'Matchup Daily'!$A:$A,0)&amp;"") WHERE Col2=""&amp;J$2,0),2)"),0.0)</f>
        <v>0</v>
      </c>
      <c r="K15" s="35">
        <f>IFERROR(__xludf.DUMMYFUNCTION("INDEX(QUERY(TRANSPOSE('Matchup Daily'!$1:$18),""SELECT SUM(Col""&amp;MATCH($A15,'Matchup Daily'!$A:$A,0)&amp;"") WHERE Col2=""&amp;K$2,0),2)"),0.0)</f>
        <v>0</v>
      </c>
      <c r="L15" s="35">
        <f>IFERROR(__xludf.DUMMYFUNCTION("INDEX(QUERY(TRANSPOSE('Matchup Daily'!$1:$18),""SELECT SUM(Col""&amp;MATCH($A15,'Matchup Daily'!$A:$A,0)&amp;"") WHERE Col2=""&amp;L$2,0),2)"),0.0)</f>
        <v>0</v>
      </c>
      <c r="M15" s="35">
        <f>IFERROR(__xludf.DUMMYFUNCTION("INDEX(QUERY(TRANSPOSE('Matchup Daily'!$1:$18),""SELECT SUM(Col""&amp;MATCH($A15,'Matchup Daily'!$A:$A,0)&amp;"") WHERE Col2=""&amp;M$2,0),2)"),0.0)</f>
        <v>0</v>
      </c>
      <c r="N15" s="35">
        <f>IFERROR(__xludf.DUMMYFUNCTION("INDEX(QUERY(TRANSPOSE('Matchup Daily'!$1:$18),""SELECT SUM(Col""&amp;MATCH($A15,'Matchup Daily'!$A:$A,0)&amp;"") WHERE Col2=""&amp;N$2,0),2)"),0.0)</f>
        <v>0</v>
      </c>
      <c r="O15" s="35">
        <f>IFERROR(__xludf.DUMMYFUNCTION("INDEX(QUERY(TRANSPOSE('Matchup Daily'!$1:$18),""SELECT SUM(Col""&amp;MATCH($A15,'Matchup Daily'!$A:$A,0)&amp;"") WHERE Col2=""&amp;O$2,0),2)"),0.0)</f>
        <v>0</v>
      </c>
      <c r="P15" s="35">
        <f>IFERROR(__xludf.DUMMYFUNCTION("INDEX(QUERY(TRANSPOSE('Matchup Daily'!$1:$18),""SELECT SUM(Col""&amp;MATCH($A15,'Matchup Daily'!$A:$A,0)&amp;"") WHERE Col2=""&amp;P$2,0),2)"),0.0)</f>
        <v>0</v>
      </c>
      <c r="Q15" s="35">
        <f>IFERROR(__xludf.DUMMYFUNCTION("INDEX(QUERY(TRANSPOSE('Matchup Daily'!$1:$18),""SELECT SUM(Col""&amp;MATCH($A15,'Matchup Daily'!$A:$A,0)&amp;"") WHERE Col2=""&amp;Q$2,0),2)"),0.0)</f>
        <v>0</v>
      </c>
      <c r="R15" s="35">
        <f>IFERROR(__xludf.DUMMYFUNCTION("INDEX(QUERY(TRANSPOSE('Matchup Daily'!$1:$18),""SELECT SUM(Col""&amp;MATCH($A15,'Matchup Daily'!$A:$A,0)&amp;"") WHERE Col2=""&amp;R$2,0),2)"),0.0)</f>
        <v>0</v>
      </c>
      <c r="S15" s="35">
        <f>IFERROR(__xludf.DUMMYFUNCTION("INDEX(QUERY(TRANSPOSE('Matchup Daily'!$1:$18),""SELECT SUM(Col""&amp;MATCH($A15,'Matchup Daily'!$A:$A,0)&amp;"") WHERE Col2=""&amp;S$2,0),2)"),0.0)</f>
        <v>0</v>
      </c>
      <c r="T15" s="35">
        <f>IFERROR(__xludf.DUMMYFUNCTION("INDEX(QUERY(TRANSPOSE('Matchup Daily'!$1:$18),""SELECT SUM(Col""&amp;MATCH($A15,'Matchup Daily'!$A:$A,0)&amp;"") WHERE Col2=""&amp;T$2,0),2)"),0.0)</f>
        <v>0</v>
      </c>
      <c r="U15" s="15"/>
    </row>
    <row r="16">
      <c r="A16" s="34" t="str">
        <f>'Weekly EDSA'!A15</f>
        <v>Nee</v>
      </c>
      <c r="B16" s="35">
        <f>IFERROR(__xludf.DUMMYFUNCTION("INDEX(QUERY(TRANSPOSE('Matchup Daily'!$1:$18),""SELECT SUM(Col""&amp;MATCH($A16,'Matchup Daily'!$A:$A,0)&amp;"") WHERE Col2=""&amp;B$2,0),2)"),0.0)</f>
        <v>0</v>
      </c>
      <c r="C16" s="35">
        <f>IFERROR(__xludf.DUMMYFUNCTION("INDEX(QUERY(TRANSPOSE('Matchup Daily'!$1:$18),""SELECT SUM(Col""&amp;MATCH($A16,'Matchup Daily'!$A:$A,0)&amp;"") WHERE Col2=""&amp;C$2,0),2)"),0.0)</f>
        <v>0</v>
      </c>
      <c r="D16" s="35">
        <f>IFERROR(__xludf.DUMMYFUNCTION("INDEX(QUERY(TRANSPOSE('Matchup Daily'!$1:$18),""SELECT SUM(Col""&amp;MATCH($A16,'Matchup Daily'!$A:$A,0)&amp;"") WHERE Col2=""&amp;D$2,0),2)"),0.0)</f>
        <v>0</v>
      </c>
      <c r="E16" s="35">
        <f>IFERROR(__xludf.DUMMYFUNCTION("INDEX(QUERY(TRANSPOSE('Matchup Daily'!$1:$18),""SELECT SUM(Col""&amp;MATCH($A16,'Matchup Daily'!$A:$A,0)&amp;"") WHERE Col2=""&amp;E$2,0),2)"),0.0)</f>
        <v>0</v>
      </c>
      <c r="F16" s="35">
        <f>IFERROR(__xludf.DUMMYFUNCTION("INDEX(QUERY(TRANSPOSE('Matchup Daily'!$1:$18),""SELECT SUM(Col""&amp;MATCH($A16,'Matchup Daily'!$A:$A,0)&amp;"") WHERE Col2=""&amp;F$2,0),2)"),0.0)</f>
        <v>0</v>
      </c>
      <c r="G16" s="35">
        <f>IFERROR(__xludf.DUMMYFUNCTION("INDEX(QUERY(TRANSPOSE('Matchup Daily'!$1:$18),""SELECT SUM(Col""&amp;MATCH($A16,'Matchup Daily'!$A:$A,0)&amp;"") WHERE Col2=""&amp;G$2,0),2)"),0.0)</f>
        <v>0</v>
      </c>
      <c r="H16" s="35">
        <f>IFERROR(__xludf.DUMMYFUNCTION("INDEX(QUERY(TRANSPOSE('Matchup Daily'!$1:$18),""SELECT SUM(Col""&amp;MATCH($A16,'Matchup Daily'!$A:$A,0)&amp;"") WHERE Col2=""&amp;H$2,0),2)"),0.0)</f>
        <v>0</v>
      </c>
      <c r="I16" s="35">
        <f>IFERROR(__xludf.DUMMYFUNCTION("INDEX(QUERY(TRANSPOSE('Matchup Daily'!$1:$18),""SELECT SUM(Col""&amp;MATCH($A16,'Matchup Daily'!$A:$A,0)&amp;"") WHERE Col2=""&amp;I$2,0),2)"),0.0)</f>
        <v>0</v>
      </c>
      <c r="J16" s="35">
        <f>IFERROR(__xludf.DUMMYFUNCTION("INDEX(QUERY(TRANSPOSE('Matchup Daily'!$1:$18),""SELECT SUM(Col""&amp;MATCH($A16,'Matchup Daily'!$A:$A,0)&amp;"") WHERE Col2=""&amp;J$2,0),2)"),0.0)</f>
        <v>0</v>
      </c>
      <c r="K16" s="35">
        <f>IFERROR(__xludf.DUMMYFUNCTION("INDEX(QUERY(TRANSPOSE('Matchup Daily'!$1:$18),""SELECT SUM(Col""&amp;MATCH($A16,'Matchup Daily'!$A:$A,0)&amp;"") WHERE Col2=""&amp;K$2,0),2)"),0.0)</f>
        <v>0</v>
      </c>
      <c r="L16" s="35">
        <f>IFERROR(__xludf.DUMMYFUNCTION("INDEX(QUERY(TRANSPOSE('Matchup Daily'!$1:$18),""SELECT SUM(Col""&amp;MATCH($A16,'Matchup Daily'!$A:$A,0)&amp;"") WHERE Col2=""&amp;L$2,0),2)"),0.0)</f>
        <v>0</v>
      </c>
      <c r="M16" s="35">
        <f>IFERROR(__xludf.DUMMYFUNCTION("INDEX(QUERY(TRANSPOSE('Matchup Daily'!$1:$18),""SELECT SUM(Col""&amp;MATCH($A16,'Matchup Daily'!$A:$A,0)&amp;"") WHERE Col2=""&amp;M$2,0),2)"),0.0)</f>
        <v>0</v>
      </c>
      <c r="N16" s="35">
        <f>IFERROR(__xludf.DUMMYFUNCTION("INDEX(QUERY(TRANSPOSE('Matchup Daily'!$1:$18),""SELECT SUM(Col""&amp;MATCH($A16,'Matchup Daily'!$A:$A,0)&amp;"") WHERE Col2=""&amp;N$2,0),2)"),0.0)</f>
        <v>0</v>
      </c>
      <c r="O16" s="35">
        <f>IFERROR(__xludf.DUMMYFUNCTION("INDEX(QUERY(TRANSPOSE('Matchup Daily'!$1:$18),""SELECT SUM(Col""&amp;MATCH($A16,'Matchup Daily'!$A:$A,0)&amp;"") WHERE Col2=""&amp;O$2,0),2)"),0.0)</f>
        <v>0</v>
      </c>
      <c r="P16" s="35">
        <f>IFERROR(__xludf.DUMMYFUNCTION("INDEX(QUERY(TRANSPOSE('Matchup Daily'!$1:$18),""SELECT SUM(Col""&amp;MATCH($A16,'Matchup Daily'!$A:$A,0)&amp;"") WHERE Col2=""&amp;P$2,0),2)"),0.0)</f>
        <v>0</v>
      </c>
      <c r="Q16" s="35">
        <f>IFERROR(__xludf.DUMMYFUNCTION("INDEX(QUERY(TRANSPOSE('Matchup Daily'!$1:$18),""SELECT SUM(Col""&amp;MATCH($A16,'Matchup Daily'!$A:$A,0)&amp;"") WHERE Col2=""&amp;Q$2,0),2)"),0.0)</f>
        <v>0</v>
      </c>
      <c r="R16" s="35">
        <f>IFERROR(__xludf.DUMMYFUNCTION("INDEX(QUERY(TRANSPOSE('Matchup Daily'!$1:$18),""SELECT SUM(Col""&amp;MATCH($A16,'Matchup Daily'!$A:$A,0)&amp;"") WHERE Col2=""&amp;R$2,0),2)"),0.0)</f>
        <v>0</v>
      </c>
      <c r="S16" s="35">
        <f>IFERROR(__xludf.DUMMYFUNCTION("INDEX(QUERY(TRANSPOSE('Matchup Daily'!$1:$18),""SELECT SUM(Col""&amp;MATCH($A16,'Matchup Daily'!$A:$A,0)&amp;"") WHERE Col2=""&amp;S$2,0),2)"),0.0)</f>
        <v>0</v>
      </c>
      <c r="T16" s="35">
        <f>IFERROR(__xludf.DUMMYFUNCTION("INDEX(QUERY(TRANSPOSE('Matchup Daily'!$1:$18),""SELECT SUM(Col""&amp;MATCH($A16,'Matchup Daily'!$A:$A,0)&amp;"") WHERE Col2=""&amp;T$2,0),2)"),0.0)</f>
        <v>0</v>
      </c>
      <c r="U16" s="15"/>
    </row>
    <row r="17">
      <c r="A17" s="34" t="str">
        <f>'Weekly EDSA'!A16</f>
        <v>Kramer</v>
      </c>
      <c r="B17" s="35">
        <f>IFERROR(__xludf.DUMMYFUNCTION("INDEX(QUERY(TRANSPOSE('Matchup Daily'!$1:$18),""SELECT SUM(Col""&amp;MATCH($A17,'Matchup Daily'!$A:$A,0)&amp;"") WHERE Col2=""&amp;B$2,0),2)"),0.0)</f>
        <v>0</v>
      </c>
      <c r="C17" s="35">
        <f>IFERROR(__xludf.DUMMYFUNCTION("INDEX(QUERY(TRANSPOSE('Matchup Daily'!$1:$18),""SELECT SUM(Col""&amp;MATCH($A17,'Matchup Daily'!$A:$A,0)&amp;"") WHERE Col2=""&amp;C$2,0),2)"),0.0)</f>
        <v>0</v>
      </c>
      <c r="D17" s="35">
        <f>IFERROR(__xludf.DUMMYFUNCTION("INDEX(QUERY(TRANSPOSE('Matchup Daily'!$1:$18),""SELECT SUM(Col""&amp;MATCH($A17,'Matchup Daily'!$A:$A,0)&amp;"") WHERE Col2=""&amp;D$2,0),2)"),0.0)</f>
        <v>0</v>
      </c>
      <c r="E17" s="35">
        <f>IFERROR(__xludf.DUMMYFUNCTION("INDEX(QUERY(TRANSPOSE('Matchup Daily'!$1:$18),""SELECT SUM(Col""&amp;MATCH($A17,'Matchup Daily'!$A:$A,0)&amp;"") WHERE Col2=""&amp;E$2,0),2)"),0.0)</f>
        <v>0</v>
      </c>
      <c r="F17" s="35">
        <f>IFERROR(__xludf.DUMMYFUNCTION("INDEX(QUERY(TRANSPOSE('Matchup Daily'!$1:$18),""SELECT SUM(Col""&amp;MATCH($A17,'Matchup Daily'!$A:$A,0)&amp;"") WHERE Col2=""&amp;F$2,0),2)"),0.0)</f>
        <v>0</v>
      </c>
      <c r="G17" s="35">
        <f>IFERROR(__xludf.DUMMYFUNCTION("INDEX(QUERY(TRANSPOSE('Matchup Daily'!$1:$18),""SELECT SUM(Col""&amp;MATCH($A17,'Matchup Daily'!$A:$A,0)&amp;"") WHERE Col2=""&amp;G$2,0),2)"),0.0)</f>
        <v>0</v>
      </c>
      <c r="H17" s="35">
        <f>IFERROR(__xludf.DUMMYFUNCTION("INDEX(QUERY(TRANSPOSE('Matchup Daily'!$1:$18),""SELECT SUM(Col""&amp;MATCH($A17,'Matchup Daily'!$A:$A,0)&amp;"") WHERE Col2=""&amp;H$2,0),2)"),0.0)</f>
        <v>0</v>
      </c>
      <c r="I17" s="35">
        <f>IFERROR(__xludf.DUMMYFUNCTION("INDEX(QUERY(TRANSPOSE('Matchup Daily'!$1:$18),""SELECT SUM(Col""&amp;MATCH($A17,'Matchup Daily'!$A:$A,0)&amp;"") WHERE Col2=""&amp;I$2,0),2)"),0.0)</f>
        <v>0</v>
      </c>
      <c r="J17" s="35">
        <f>IFERROR(__xludf.DUMMYFUNCTION("INDEX(QUERY(TRANSPOSE('Matchup Daily'!$1:$18),""SELECT SUM(Col""&amp;MATCH($A17,'Matchup Daily'!$A:$A,0)&amp;"") WHERE Col2=""&amp;J$2,0),2)"),0.0)</f>
        <v>0</v>
      </c>
      <c r="K17" s="35">
        <f>IFERROR(__xludf.DUMMYFUNCTION("INDEX(QUERY(TRANSPOSE('Matchup Daily'!$1:$18),""SELECT SUM(Col""&amp;MATCH($A17,'Matchup Daily'!$A:$A,0)&amp;"") WHERE Col2=""&amp;K$2,0),2)"),0.0)</f>
        <v>0</v>
      </c>
      <c r="L17" s="35">
        <f>IFERROR(__xludf.DUMMYFUNCTION("INDEX(QUERY(TRANSPOSE('Matchup Daily'!$1:$18),""SELECT SUM(Col""&amp;MATCH($A17,'Matchup Daily'!$A:$A,0)&amp;"") WHERE Col2=""&amp;L$2,0),2)"),0.0)</f>
        <v>0</v>
      </c>
      <c r="M17" s="35">
        <f>IFERROR(__xludf.DUMMYFUNCTION("INDEX(QUERY(TRANSPOSE('Matchup Daily'!$1:$18),""SELECT SUM(Col""&amp;MATCH($A17,'Matchup Daily'!$A:$A,0)&amp;"") WHERE Col2=""&amp;M$2,0),2)"),0.0)</f>
        <v>0</v>
      </c>
      <c r="N17" s="35">
        <f>IFERROR(__xludf.DUMMYFUNCTION("INDEX(QUERY(TRANSPOSE('Matchup Daily'!$1:$18),""SELECT SUM(Col""&amp;MATCH($A17,'Matchup Daily'!$A:$A,0)&amp;"") WHERE Col2=""&amp;N$2,0),2)"),0.0)</f>
        <v>0</v>
      </c>
      <c r="O17" s="35">
        <f>IFERROR(__xludf.DUMMYFUNCTION("INDEX(QUERY(TRANSPOSE('Matchup Daily'!$1:$18),""SELECT SUM(Col""&amp;MATCH($A17,'Matchup Daily'!$A:$A,0)&amp;"") WHERE Col2=""&amp;O$2,0),2)"),0.0)</f>
        <v>0</v>
      </c>
      <c r="P17" s="35">
        <f>IFERROR(__xludf.DUMMYFUNCTION("INDEX(QUERY(TRANSPOSE('Matchup Daily'!$1:$18),""SELECT SUM(Col""&amp;MATCH($A17,'Matchup Daily'!$A:$A,0)&amp;"") WHERE Col2=""&amp;P$2,0),2)"),0.0)</f>
        <v>0</v>
      </c>
      <c r="Q17" s="35">
        <f>IFERROR(__xludf.DUMMYFUNCTION("INDEX(QUERY(TRANSPOSE('Matchup Daily'!$1:$18),""SELECT SUM(Col""&amp;MATCH($A17,'Matchup Daily'!$A:$A,0)&amp;"") WHERE Col2=""&amp;Q$2,0),2)"),0.0)</f>
        <v>0</v>
      </c>
      <c r="R17" s="35">
        <f>IFERROR(__xludf.DUMMYFUNCTION("INDEX(QUERY(TRANSPOSE('Matchup Daily'!$1:$18),""SELECT SUM(Col""&amp;MATCH($A17,'Matchup Daily'!$A:$A,0)&amp;"") WHERE Col2=""&amp;R$2,0),2)"),0.0)</f>
        <v>0</v>
      </c>
      <c r="S17" s="35">
        <f>IFERROR(__xludf.DUMMYFUNCTION("INDEX(QUERY(TRANSPOSE('Matchup Daily'!$1:$18),""SELECT SUM(Col""&amp;MATCH($A17,'Matchup Daily'!$A:$A,0)&amp;"") WHERE Col2=""&amp;S$2,0),2)"),0.0)</f>
        <v>0</v>
      </c>
      <c r="T17" s="35">
        <f>IFERROR(__xludf.DUMMYFUNCTION("INDEX(QUERY(TRANSPOSE('Matchup Daily'!$1:$18),""SELECT SUM(Col""&amp;MATCH($A17,'Matchup Daily'!$A:$A,0)&amp;"") WHERE Col2=""&amp;T$2,0),2)"),0.0)</f>
        <v>0</v>
      </c>
      <c r="U17" s="15"/>
    </row>
    <row r="18">
      <c r="A18" s="34" t="str">
        <f>'Weekly EDSA'!A17</f>
        <v>Connolly</v>
      </c>
      <c r="B18" s="35">
        <f>IFERROR(__xludf.DUMMYFUNCTION("INDEX(QUERY(TRANSPOSE('Matchup Daily'!$1:$18),""SELECT SUM(Col""&amp;MATCH($A18,'Matchup Daily'!$A:$A,0)&amp;"") WHERE Col2=""&amp;B$2,0),2)"),0.0)</f>
        <v>0</v>
      </c>
      <c r="C18" s="35">
        <f>IFERROR(__xludf.DUMMYFUNCTION("INDEX(QUERY(TRANSPOSE('Matchup Daily'!$1:$18),""SELECT SUM(Col""&amp;MATCH($A18,'Matchup Daily'!$A:$A,0)&amp;"") WHERE Col2=""&amp;C$2,0),2)"),0.0)</f>
        <v>0</v>
      </c>
      <c r="D18" s="35">
        <f>IFERROR(__xludf.DUMMYFUNCTION("INDEX(QUERY(TRANSPOSE('Matchup Daily'!$1:$18),""SELECT SUM(Col""&amp;MATCH($A18,'Matchup Daily'!$A:$A,0)&amp;"") WHERE Col2=""&amp;D$2,0),2)"),0.0)</f>
        <v>0</v>
      </c>
      <c r="E18" s="35">
        <f>IFERROR(__xludf.DUMMYFUNCTION("INDEX(QUERY(TRANSPOSE('Matchup Daily'!$1:$18),""SELECT SUM(Col""&amp;MATCH($A18,'Matchup Daily'!$A:$A,0)&amp;"") WHERE Col2=""&amp;E$2,0),2)"),0.0)</f>
        <v>0</v>
      </c>
      <c r="F18" s="35">
        <f>IFERROR(__xludf.DUMMYFUNCTION("INDEX(QUERY(TRANSPOSE('Matchup Daily'!$1:$18),""SELECT SUM(Col""&amp;MATCH($A18,'Matchup Daily'!$A:$A,0)&amp;"") WHERE Col2=""&amp;F$2,0),2)"),0.0)</f>
        <v>0</v>
      </c>
      <c r="G18" s="35">
        <f>IFERROR(__xludf.DUMMYFUNCTION("INDEX(QUERY(TRANSPOSE('Matchup Daily'!$1:$18),""SELECT SUM(Col""&amp;MATCH($A18,'Matchup Daily'!$A:$A,0)&amp;"") WHERE Col2=""&amp;G$2,0),2)"),0.0)</f>
        <v>0</v>
      </c>
      <c r="H18" s="35">
        <f>IFERROR(__xludf.DUMMYFUNCTION("INDEX(QUERY(TRANSPOSE('Matchup Daily'!$1:$18),""SELECT SUM(Col""&amp;MATCH($A18,'Matchup Daily'!$A:$A,0)&amp;"") WHERE Col2=""&amp;H$2,0),2)"),0.0)</f>
        <v>0</v>
      </c>
      <c r="I18" s="35">
        <f>IFERROR(__xludf.DUMMYFUNCTION("INDEX(QUERY(TRANSPOSE('Matchup Daily'!$1:$18),""SELECT SUM(Col""&amp;MATCH($A18,'Matchup Daily'!$A:$A,0)&amp;"") WHERE Col2=""&amp;I$2,0),2)"),0.0)</f>
        <v>0</v>
      </c>
      <c r="J18" s="35">
        <f>IFERROR(__xludf.DUMMYFUNCTION("INDEX(QUERY(TRANSPOSE('Matchup Daily'!$1:$18),""SELECT SUM(Col""&amp;MATCH($A18,'Matchup Daily'!$A:$A,0)&amp;"") WHERE Col2=""&amp;J$2,0),2)"),0.0)</f>
        <v>0</v>
      </c>
      <c r="K18" s="35">
        <f>IFERROR(__xludf.DUMMYFUNCTION("INDEX(QUERY(TRANSPOSE('Matchup Daily'!$1:$18),""SELECT SUM(Col""&amp;MATCH($A18,'Matchup Daily'!$A:$A,0)&amp;"") WHERE Col2=""&amp;K$2,0),2)"),0.0)</f>
        <v>0</v>
      </c>
      <c r="L18" s="35">
        <f>IFERROR(__xludf.DUMMYFUNCTION("INDEX(QUERY(TRANSPOSE('Matchup Daily'!$1:$18),""SELECT SUM(Col""&amp;MATCH($A18,'Matchup Daily'!$A:$A,0)&amp;"") WHERE Col2=""&amp;L$2,0),2)"),0.0)</f>
        <v>0</v>
      </c>
      <c r="M18" s="35">
        <f>IFERROR(__xludf.DUMMYFUNCTION("INDEX(QUERY(TRANSPOSE('Matchup Daily'!$1:$18),""SELECT SUM(Col""&amp;MATCH($A18,'Matchup Daily'!$A:$A,0)&amp;"") WHERE Col2=""&amp;M$2,0),2)"),0.0)</f>
        <v>0</v>
      </c>
      <c r="N18" s="35">
        <f>IFERROR(__xludf.DUMMYFUNCTION("INDEX(QUERY(TRANSPOSE('Matchup Daily'!$1:$18),""SELECT SUM(Col""&amp;MATCH($A18,'Matchup Daily'!$A:$A,0)&amp;"") WHERE Col2=""&amp;N$2,0),2)"),0.0)</f>
        <v>0</v>
      </c>
      <c r="O18" s="35">
        <f>IFERROR(__xludf.DUMMYFUNCTION("INDEX(QUERY(TRANSPOSE('Matchup Daily'!$1:$18),""SELECT SUM(Col""&amp;MATCH($A18,'Matchup Daily'!$A:$A,0)&amp;"") WHERE Col2=""&amp;O$2,0),2)"),0.0)</f>
        <v>0</v>
      </c>
      <c r="P18" s="35">
        <f>IFERROR(__xludf.DUMMYFUNCTION("INDEX(QUERY(TRANSPOSE('Matchup Daily'!$1:$18),""SELECT SUM(Col""&amp;MATCH($A18,'Matchup Daily'!$A:$A,0)&amp;"") WHERE Col2=""&amp;P$2,0),2)"),0.0)</f>
        <v>0</v>
      </c>
      <c r="Q18" s="35">
        <f>IFERROR(__xludf.DUMMYFUNCTION("INDEX(QUERY(TRANSPOSE('Matchup Daily'!$1:$18),""SELECT SUM(Col""&amp;MATCH($A18,'Matchup Daily'!$A:$A,0)&amp;"") WHERE Col2=""&amp;Q$2,0),2)"),0.0)</f>
        <v>0</v>
      </c>
      <c r="R18" s="35">
        <f>IFERROR(__xludf.DUMMYFUNCTION("INDEX(QUERY(TRANSPOSE('Matchup Daily'!$1:$18),""SELECT SUM(Col""&amp;MATCH($A18,'Matchup Daily'!$A:$A,0)&amp;"") WHERE Col2=""&amp;R$2,0),2)"),0.0)</f>
        <v>0</v>
      </c>
      <c r="S18" s="35">
        <f>IFERROR(__xludf.DUMMYFUNCTION("INDEX(QUERY(TRANSPOSE('Matchup Daily'!$1:$18),""SELECT SUM(Col""&amp;MATCH($A18,'Matchup Daily'!$A:$A,0)&amp;"") WHERE Col2=""&amp;S$2,0),2)"),0.0)</f>
        <v>0</v>
      </c>
      <c r="T18" s="35">
        <f>IFERROR(__xludf.DUMMYFUNCTION("INDEX(QUERY(TRANSPOSE('Matchup Daily'!$1:$18),""SELECT SUM(Col""&amp;MATCH($A18,'Matchup Daily'!$A:$A,0)&amp;"") WHERE Col2=""&amp;T$2,0),2)"),0.0)</f>
        <v>0</v>
      </c>
      <c r="U18" s="15"/>
    </row>
    <row r="19"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>
      <c r="B21" s="36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>
      <c r="E31" s="15"/>
      <c r="F31" s="3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</row>
    <row r="145"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</row>
    <row r="164"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</row>
    <row r="174"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</row>
    <row r="177"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</row>
    <row r="179"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</row>
    <row r="180"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</row>
    <row r="181"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</row>
    <row r="182"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</row>
    <row r="183"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</row>
    <row r="184"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</row>
    <row r="185"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</row>
    <row r="187"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</row>
    <row r="188"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</row>
    <row r="189"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</row>
    <row r="190"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</row>
    <row r="191"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</row>
    <row r="192"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</row>
    <row r="193"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</row>
    <row r="194"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</row>
    <row r="195"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</row>
    <row r="196"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</row>
    <row r="197"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</row>
    <row r="198"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</row>
    <row r="199"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</row>
    <row r="200"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</row>
    <row r="201"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</row>
    <row r="202"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</row>
    <row r="203"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</row>
    <row r="204"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</row>
    <row r="205"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</row>
    <row r="206"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</row>
    <row r="207"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</row>
    <row r="208"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</row>
    <row r="209"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</row>
    <row r="210"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</row>
    <row r="211"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</row>
    <row r="212"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</row>
    <row r="213"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</row>
    <row r="214"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</row>
    <row r="215"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</row>
    <row r="216"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</row>
    <row r="217"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</row>
    <row r="218"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</row>
    <row r="219"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</row>
    <row r="220"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</row>
    <row r="221"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</row>
    <row r="222"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</row>
    <row r="223"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</row>
    <row r="224"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</row>
    <row r="225"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</row>
    <row r="226"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</row>
    <row r="227"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</row>
    <row r="228"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</row>
    <row r="229"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</row>
    <row r="230"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</row>
    <row r="231"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</row>
    <row r="232"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</row>
    <row r="233"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</row>
    <row r="234"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</row>
    <row r="235"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</row>
    <row r="236"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</row>
    <row r="237"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</row>
    <row r="238"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</row>
    <row r="239"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</row>
    <row r="240"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</row>
    <row r="241"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</row>
    <row r="242"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</row>
    <row r="243"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</row>
    <row r="244"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</row>
    <row r="245"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</row>
    <row r="246"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</row>
    <row r="247"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</row>
    <row r="248"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</row>
    <row r="249"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</row>
    <row r="250"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</row>
    <row r="251"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</row>
    <row r="252"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</row>
    <row r="253"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</row>
    <row r="254"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</row>
    <row r="255"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</row>
    <row r="256"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</row>
    <row r="257"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</row>
    <row r="258"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</row>
    <row r="259"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</row>
    <row r="260"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</row>
    <row r="261"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</row>
    <row r="262"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</row>
    <row r="263"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</row>
    <row r="264"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</row>
    <row r="265"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</row>
    <row r="266"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</row>
    <row r="267"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</row>
    <row r="268"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</row>
    <row r="269"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</row>
    <row r="270"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</row>
    <row r="271"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</row>
    <row r="272"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</row>
    <row r="273"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</row>
    <row r="274"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</row>
    <row r="275"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</row>
    <row r="276"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</row>
    <row r="277"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</row>
    <row r="278"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</row>
    <row r="279"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</row>
    <row r="280"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</row>
    <row r="281"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</row>
    <row r="282"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</row>
    <row r="283"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</row>
    <row r="284"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</row>
    <row r="285"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</row>
    <row r="286"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</row>
    <row r="287"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</row>
    <row r="288"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</row>
    <row r="289"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</row>
    <row r="290"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</row>
    <row r="291"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</row>
    <row r="292"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</row>
    <row r="293"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</row>
    <row r="294"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</row>
    <row r="295"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</row>
    <row r="296"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</row>
    <row r="297"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</row>
    <row r="298"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</row>
    <row r="299"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</row>
    <row r="300"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</row>
    <row r="301"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</row>
    <row r="302"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</row>
    <row r="303"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</row>
    <row r="304"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</row>
    <row r="305"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</row>
    <row r="306"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</row>
    <row r="307"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</row>
    <row r="308"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</row>
    <row r="309"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</row>
    <row r="310"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</row>
    <row r="311"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</row>
    <row r="312"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</row>
    <row r="313"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</row>
    <row r="314"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</row>
    <row r="315"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</row>
    <row r="316"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</row>
    <row r="317"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</row>
    <row r="318"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</row>
    <row r="319"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</row>
    <row r="320"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</row>
    <row r="321"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</row>
    <row r="322"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</row>
    <row r="323"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</row>
    <row r="324"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</row>
    <row r="325"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</row>
    <row r="326"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</row>
    <row r="327"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</row>
    <row r="328"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</row>
    <row r="329"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</row>
    <row r="330"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</row>
    <row r="331"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</row>
    <row r="332"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</row>
    <row r="333"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</row>
    <row r="334"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</row>
    <row r="335"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</row>
    <row r="336"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</row>
    <row r="337"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</row>
    <row r="338"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</row>
    <row r="339"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</row>
    <row r="340"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</row>
    <row r="341"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</row>
    <row r="342"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</row>
    <row r="343"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</row>
    <row r="344"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</row>
    <row r="345"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</row>
    <row r="346"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</row>
    <row r="347"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</row>
    <row r="348"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</row>
    <row r="349"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</row>
    <row r="350"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</row>
    <row r="351"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</row>
    <row r="352"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</row>
    <row r="353"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</row>
    <row r="354"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</row>
    <row r="355"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</row>
    <row r="356"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</row>
    <row r="357"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</row>
    <row r="358"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</row>
    <row r="359"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</row>
    <row r="360"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</row>
    <row r="361"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</row>
    <row r="362"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</row>
    <row r="363"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</row>
    <row r="364"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</row>
    <row r="365"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</row>
    <row r="366"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</row>
    <row r="367"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</row>
    <row r="368"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</row>
    <row r="369"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</row>
    <row r="370"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</row>
    <row r="371"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</row>
    <row r="372"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</row>
    <row r="373"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</row>
    <row r="374"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</row>
    <row r="375"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</row>
    <row r="376"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</row>
    <row r="377"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</row>
    <row r="378"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</row>
    <row r="379"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</row>
    <row r="380"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</row>
    <row r="381"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</row>
    <row r="382"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</row>
    <row r="383"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</row>
    <row r="384"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</row>
    <row r="385"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</row>
    <row r="386"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</row>
    <row r="387"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</row>
    <row r="388"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</row>
    <row r="389"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</row>
    <row r="390"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</row>
    <row r="391"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</row>
    <row r="392"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</row>
    <row r="393"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</row>
    <row r="394"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</row>
    <row r="395"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</row>
    <row r="396"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</row>
    <row r="397"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</row>
    <row r="398"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</row>
    <row r="399"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</row>
    <row r="400"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</row>
    <row r="401"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</row>
    <row r="402"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</row>
    <row r="403"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</row>
    <row r="404"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</row>
    <row r="405"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</row>
    <row r="406"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</row>
    <row r="407"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</row>
    <row r="408"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</row>
    <row r="409"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</row>
    <row r="410"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</row>
    <row r="411"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</row>
    <row r="412"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</row>
    <row r="413"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</row>
    <row r="414"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</row>
    <row r="415"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</row>
    <row r="416"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</row>
    <row r="417"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</row>
    <row r="418"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</row>
    <row r="419"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</row>
    <row r="420"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</row>
    <row r="421"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</row>
    <row r="422"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</row>
    <row r="423"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</row>
    <row r="424"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</row>
    <row r="425"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</row>
    <row r="426"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</row>
    <row r="427"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</row>
    <row r="428"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</row>
    <row r="429"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</row>
    <row r="430"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</row>
    <row r="431"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</row>
    <row r="432"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</row>
    <row r="433"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</row>
    <row r="434"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</row>
    <row r="435"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</row>
    <row r="436"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</row>
    <row r="437"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</row>
    <row r="438"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</row>
    <row r="439"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</row>
    <row r="440"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</row>
    <row r="441"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</row>
    <row r="442"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</row>
    <row r="443"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</row>
    <row r="444"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</row>
    <row r="445"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</row>
    <row r="446"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</row>
    <row r="447"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</row>
    <row r="448"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</row>
    <row r="449"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</row>
    <row r="450"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</row>
    <row r="451"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</row>
    <row r="452"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</row>
    <row r="453"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</row>
    <row r="454"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</row>
    <row r="455"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</row>
    <row r="456"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</row>
    <row r="457"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</row>
    <row r="458"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</row>
    <row r="459"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</row>
    <row r="460"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</row>
    <row r="461"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</row>
    <row r="462"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</row>
    <row r="463"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</row>
    <row r="464"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</row>
    <row r="465"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</row>
    <row r="466"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</row>
    <row r="467"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</row>
    <row r="468"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</row>
    <row r="469"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</row>
    <row r="470"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</row>
    <row r="471"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</row>
    <row r="472"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</row>
    <row r="473"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</row>
    <row r="474"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</row>
    <row r="475"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</row>
    <row r="476"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</row>
    <row r="477"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</row>
    <row r="478"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</row>
    <row r="479"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</row>
    <row r="480"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</row>
    <row r="481"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</row>
    <row r="482"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</row>
    <row r="483"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</row>
    <row r="484"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</row>
    <row r="485"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</row>
    <row r="486"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</row>
    <row r="487"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</row>
    <row r="488"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</row>
    <row r="489"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</row>
    <row r="490"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</row>
    <row r="491"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</row>
    <row r="492"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</row>
    <row r="493"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</row>
    <row r="494"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</row>
    <row r="495"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</row>
    <row r="496"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</row>
    <row r="497"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</row>
    <row r="498"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</row>
    <row r="499"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</row>
    <row r="500"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</row>
    <row r="501"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</row>
    <row r="502"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</row>
    <row r="503"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</row>
    <row r="504"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</row>
    <row r="505"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</row>
    <row r="506"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</row>
    <row r="507"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</row>
    <row r="508"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</row>
    <row r="509"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</row>
    <row r="510"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</row>
    <row r="511"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</row>
    <row r="512"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</row>
    <row r="513"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</row>
    <row r="514"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</row>
    <row r="515"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</row>
    <row r="516"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</row>
    <row r="517"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</row>
    <row r="518"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</row>
    <row r="519"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</row>
    <row r="520"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</row>
    <row r="521"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</row>
    <row r="522"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</row>
    <row r="523"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</row>
    <row r="524"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</row>
    <row r="525"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</row>
    <row r="526"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</row>
    <row r="527"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</row>
    <row r="528"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</row>
    <row r="529"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</row>
    <row r="530"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</row>
    <row r="531"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</row>
    <row r="532"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</row>
    <row r="533"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</row>
    <row r="534"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</row>
    <row r="535"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</row>
    <row r="536"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</row>
    <row r="537"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</row>
    <row r="538"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</row>
    <row r="539"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</row>
    <row r="540"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</row>
    <row r="541"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</row>
    <row r="542"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</row>
    <row r="543"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</row>
    <row r="544"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</row>
    <row r="545"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</row>
    <row r="546"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</row>
    <row r="547"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</row>
    <row r="548"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</row>
    <row r="549"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</row>
    <row r="550"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</row>
    <row r="551"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</row>
    <row r="552"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</row>
    <row r="553"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</row>
    <row r="554"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</row>
    <row r="555"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</row>
    <row r="556"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</row>
    <row r="557"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</row>
    <row r="558"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</row>
    <row r="559"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</row>
    <row r="560"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</row>
    <row r="561"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</row>
    <row r="562"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</row>
    <row r="563"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</row>
    <row r="564"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</row>
    <row r="565"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</row>
    <row r="566"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</row>
    <row r="567"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</row>
    <row r="568"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</row>
    <row r="569"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</row>
    <row r="570"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</row>
    <row r="571"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</row>
    <row r="572"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</row>
    <row r="573"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</row>
    <row r="574"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</row>
    <row r="575"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</row>
    <row r="576"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</row>
    <row r="577"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</row>
    <row r="578"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</row>
    <row r="579"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</row>
    <row r="580"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</row>
    <row r="581"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</row>
    <row r="582"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</row>
    <row r="583"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</row>
    <row r="584"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</row>
    <row r="585"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</row>
    <row r="586"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</row>
    <row r="587"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</row>
    <row r="588"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</row>
    <row r="589"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</row>
    <row r="590"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</row>
    <row r="591"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</row>
    <row r="592"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</row>
    <row r="593"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</row>
    <row r="594"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</row>
    <row r="595"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</row>
    <row r="596"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</row>
    <row r="597"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</row>
    <row r="598"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</row>
    <row r="599"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</row>
    <row r="600"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</row>
    <row r="601"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</row>
    <row r="602"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</row>
    <row r="603"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</row>
    <row r="604"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</row>
    <row r="605"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</row>
    <row r="606"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</row>
    <row r="607"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</row>
    <row r="608"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</row>
    <row r="609"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</row>
    <row r="610"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</row>
    <row r="611"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</row>
    <row r="612"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</row>
    <row r="613"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</row>
    <row r="614"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</row>
    <row r="615"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</row>
    <row r="616"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</row>
    <row r="617"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</row>
    <row r="618"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</row>
    <row r="619"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</row>
    <row r="620"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</row>
    <row r="621"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</row>
    <row r="622"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</row>
    <row r="623"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</row>
    <row r="624"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</row>
    <row r="625"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</row>
    <row r="626"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</row>
    <row r="627"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</row>
    <row r="628"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</row>
    <row r="629"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</row>
    <row r="630"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</row>
    <row r="631"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</row>
    <row r="632"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</row>
    <row r="633"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</row>
    <row r="634"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</row>
    <row r="635"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</row>
    <row r="636"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</row>
    <row r="637"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</row>
    <row r="638"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</row>
    <row r="639"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</row>
    <row r="640"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</row>
    <row r="641"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</row>
    <row r="642"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</row>
    <row r="643"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</row>
    <row r="644"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</row>
    <row r="645"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</row>
    <row r="646"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</row>
    <row r="647"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</row>
    <row r="648"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</row>
    <row r="649"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</row>
    <row r="650"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</row>
    <row r="651"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</row>
    <row r="652"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</row>
    <row r="653"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</row>
    <row r="654"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</row>
    <row r="655"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</row>
    <row r="656"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</row>
    <row r="657"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</row>
    <row r="658"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</row>
    <row r="659"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</row>
    <row r="660"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</row>
    <row r="661"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</row>
    <row r="662"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</row>
    <row r="663"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</row>
    <row r="664"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</row>
    <row r="665"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</row>
    <row r="666"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</row>
    <row r="667"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</row>
    <row r="668"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</row>
    <row r="669"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</row>
    <row r="670"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</row>
    <row r="671"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</row>
    <row r="672"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</row>
    <row r="673"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</row>
    <row r="674"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</row>
    <row r="675"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</row>
    <row r="676"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</row>
    <row r="677"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</row>
    <row r="678"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</row>
    <row r="679"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</row>
    <row r="680"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</row>
    <row r="681"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</row>
    <row r="682"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</row>
    <row r="683"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</row>
    <row r="684"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</row>
    <row r="685"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</row>
    <row r="686"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</row>
    <row r="687"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</row>
    <row r="688"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</row>
    <row r="689"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</row>
    <row r="690"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</row>
    <row r="691"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</row>
    <row r="692"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</row>
    <row r="693"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</row>
    <row r="694"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</row>
    <row r="695"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</row>
    <row r="696"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</row>
    <row r="697"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</row>
    <row r="698"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</row>
    <row r="699"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</row>
    <row r="700"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</row>
    <row r="701"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</row>
    <row r="702"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</row>
    <row r="703"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</row>
    <row r="704"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</row>
    <row r="705"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</row>
    <row r="706"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</row>
    <row r="707"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</row>
    <row r="708"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</row>
    <row r="709"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</row>
    <row r="710"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</row>
    <row r="711"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</row>
    <row r="712"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</row>
    <row r="713"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</row>
    <row r="714"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</row>
    <row r="715"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</row>
    <row r="716"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</row>
    <row r="717"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</row>
    <row r="718"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</row>
    <row r="719"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</row>
    <row r="720"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</row>
    <row r="721"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</row>
    <row r="722"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</row>
    <row r="723"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</row>
    <row r="724"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</row>
    <row r="725"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</row>
    <row r="726"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</row>
    <row r="727"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</row>
    <row r="728"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</row>
    <row r="729"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</row>
    <row r="730"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</row>
    <row r="731"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</row>
    <row r="732"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</row>
    <row r="733"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</row>
    <row r="734"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</row>
    <row r="735"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</row>
    <row r="736"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</row>
    <row r="737"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</row>
    <row r="738"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</row>
    <row r="739"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</row>
    <row r="740"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</row>
    <row r="741"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</row>
    <row r="742"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</row>
    <row r="743"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</row>
    <row r="744"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</row>
    <row r="745"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</row>
    <row r="746"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</row>
    <row r="747"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</row>
    <row r="748"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</row>
    <row r="749"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</row>
    <row r="750"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</row>
    <row r="751"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</row>
    <row r="752"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</row>
    <row r="753"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</row>
    <row r="754"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</row>
    <row r="755"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</row>
    <row r="756"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</row>
    <row r="757"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</row>
    <row r="758"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</row>
    <row r="759"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</row>
    <row r="760"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</row>
    <row r="761"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</row>
    <row r="762"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</row>
    <row r="763"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</row>
    <row r="764"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</row>
    <row r="765"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</row>
    <row r="766"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</row>
    <row r="767"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</row>
    <row r="768"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</row>
    <row r="769"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</row>
    <row r="770"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</row>
    <row r="771"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</row>
    <row r="772"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</row>
    <row r="773"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</row>
    <row r="774"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</row>
    <row r="775"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</row>
    <row r="776"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</row>
    <row r="777"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</row>
    <row r="778"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</row>
    <row r="779"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</row>
    <row r="780"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</row>
    <row r="781"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</row>
    <row r="782"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</row>
    <row r="783"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</row>
    <row r="784"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</row>
    <row r="785"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</row>
    <row r="786"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</row>
    <row r="787"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</row>
    <row r="788"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</row>
    <row r="789"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</row>
    <row r="790"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</row>
    <row r="791"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</row>
    <row r="792"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</row>
    <row r="793"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</row>
    <row r="794"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</row>
    <row r="795"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</row>
    <row r="796"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</row>
    <row r="797"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</row>
    <row r="798"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</row>
    <row r="799"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</row>
    <row r="800"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</row>
    <row r="801"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</row>
    <row r="802"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</row>
    <row r="803"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</row>
    <row r="804"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</row>
    <row r="805"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</row>
    <row r="806"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</row>
    <row r="807"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</row>
    <row r="808"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</row>
    <row r="809"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</row>
    <row r="810"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</row>
    <row r="811"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</row>
    <row r="812"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</row>
    <row r="813"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</row>
    <row r="814"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</row>
    <row r="815"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</row>
    <row r="816"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</row>
    <row r="817"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</row>
    <row r="818"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</row>
    <row r="819"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</row>
    <row r="820"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</row>
    <row r="821"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</row>
    <row r="822"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</row>
    <row r="823"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</row>
    <row r="824"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</row>
    <row r="825"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</row>
    <row r="826"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</row>
    <row r="827"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</row>
    <row r="828"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</row>
    <row r="829"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</row>
    <row r="830"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</row>
    <row r="831"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</row>
    <row r="832"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</row>
    <row r="833"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</row>
    <row r="834"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</row>
    <row r="835"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</row>
    <row r="836"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</row>
    <row r="837"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</row>
    <row r="838"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</row>
    <row r="839"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</row>
    <row r="840"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</row>
    <row r="841"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</row>
    <row r="842"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</row>
    <row r="843"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</row>
    <row r="844"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</row>
    <row r="845"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</row>
    <row r="846"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</row>
    <row r="847"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</row>
    <row r="848"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</row>
    <row r="849"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</row>
    <row r="850"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</row>
    <row r="851"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</row>
    <row r="852"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</row>
    <row r="853"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</row>
    <row r="854"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</row>
    <row r="855"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</row>
    <row r="856"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</row>
    <row r="857"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</row>
    <row r="858"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</row>
    <row r="859"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</row>
    <row r="860"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</row>
    <row r="861"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</row>
    <row r="862"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</row>
    <row r="863"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</row>
    <row r="864"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</row>
    <row r="865"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</row>
    <row r="866"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</row>
    <row r="867"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</row>
    <row r="868"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</row>
    <row r="869"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</row>
    <row r="870"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</row>
    <row r="871"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</row>
    <row r="872"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</row>
    <row r="873"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</row>
    <row r="874"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</row>
    <row r="875"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</row>
    <row r="876"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</row>
    <row r="877"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</row>
    <row r="878"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</row>
    <row r="879"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</row>
    <row r="880"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</row>
    <row r="881"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</row>
    <row r="882"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</row>
    <row r="883"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</row>
    <row r="884"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</row>
    <row r="885"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</row>
    <row r="886"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</row>
    <row r="887"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</row>
    <row r="888"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</row>
    <row r="889"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</row>
    <row r="890"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</row>
    <row r="891"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</row>
    <row r="892"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</row>
    <row r="893"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</row>
    <row r="894"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</row>
    <row r="895"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</row>
    <row r="896"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</row>
    <row r="897"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</row>
    <row r="898"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</row>
    <row r="899"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</row>
    <row r="900"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</row>
    <row r="901"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</row>
    <row r="902"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</row>
    <row r="903"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</row>
    <row r="904"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</row>
    <row r="905"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</row>
    <row r="906"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</row>
    <row r="907"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</row>
    <row r="908"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</row>
    <row r="909"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</row>
    <row r="910"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</row>
    <row r="911"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</row>
    <row r="912"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</row>
    <row r="913"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</row>
    <row r="914"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</row>
    <row r="915"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</row>
    <row r="916"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</row>
    <row r="917"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</row>
    <row r="918"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</row>
    <row r="919"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</row>
    <row r="920"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</row>
    <row r="921"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</row>
    <row r="922"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</row>
    <row r="923"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</row>
    <row r="924"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</row>
    <row r="925"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</row>
    <row r="926"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</row>
    <row r="927"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</row>
    <row r="928"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</row>
    <row r="929"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</row>
    <row r="930"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</row>
    <row r="931"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</row>
    <row r="932"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</row>
    <row r="933"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</row>
    <row r="934"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</row>
    <row r="935"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</row>
    <row r="936"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</row>
    <row r="937"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</row>
    <row r="938"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</row>
    <row r="939"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</row>
    <row r="940"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</row>
    <row r="941"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</row>
    <row r="942"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</row>
    <row r="943"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</row>
    <row r="944"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</row>
    <row r="945"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</row>
    <row r="946"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</row>
    <row r="947"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</row>
    <row r="948"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</row>
    <row r="949"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</row>
    <row r="950"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</row>
    <row r="951"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</row>
    <row r="952"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</row>
    <row r="953"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</row>
    <row r="954"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</row>
    <row r="955"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</row>
    <row r="956"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</row>
    <row r="957"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</row>
    <row r="958"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</row>
    <row r="959"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</row>
    <row r="960"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</row>
    <row r="961"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</row>
    <row r="962"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</row>
    <row r="963"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</row>
    <row r="964"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</row>
    <row r="965"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</row>
    <row r="966"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</row>
    <row r="967"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</row>
    <row r="968"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</row>
    <row r="969"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</row>
    <row r="970"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</row>
    <row r="971"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</row>
    <row r="972"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</row>
    <row r="973"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</row>
    <row r="974"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</row>
    <row r="975"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</row>
    <row r="976"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</row>
    <row r="977"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</row>
    <row r="978"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</row>
    <row r="979"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</row>
    <row r="980"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</row>
    <row r="981"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</row>
    <row r="982"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</row>
    <row r="983"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</row>
    <row r="984"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</row>
    <row r="985"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</row>
    <row r="986"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</row>
    <row r="987"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</row>
    <row r="988"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</row>
    <row r="989"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</row>
    <row r="990"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</row>
    <row r="991"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</row>
    <row r="992"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</row>
    <row r="993"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</row>
    <row r="994"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</row>
    <row r="995"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</row>
    <row r="996"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</row>
    <row r="997"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</row>
    <row r="998"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</row>
    <row r="999"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</row>
    <row r="1000"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</row>
    <row r="1001"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</row>
  </sheetData>
  <mergeCells count="1">
    <mergeCell ref="A1:T1"/>
  </mergeCells>
  <conditionalFormatting sqref="B3:B1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3:D18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3:E18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:F18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:G18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3:H18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:I18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:J18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3:K18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3:L18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3:M18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3:N18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3:O18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3:P18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3:Q18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3:R18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S3:S18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T3:T18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:C28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tr">
        <f>IF('Matchup Daily'!B21,"THIS DATA INCLUDES PLAYERS CURRENTLY ON IR","THIS DATA DOES NOT INCLUDE PLAYERS CURRENTLY ON IR")</f>
        <v>THIS DATA DOES NOT INCLUDE PLAYERS CURRENTLY ON IR</v>
      </c>
      <c r="E1" s="17"/>
      <c r="F1" s="17"/>
    </row>
    <row r="2">
      <c r="A2" s="17" t="s">
        <v>1291</v>
      </c>
      <c r="B2" s="17">
        <v>19.0</v>
      </c>
      <c r="C2" s="31">
        <v>20.0</v>
      </c>
      <c r="D2" s="31">
        <v>21.0</v>
      </c>
      <c r="E2" s="17"/>
      <c r="F2" s="17"/>
    </row>
    <row r="3">
      <c r="A3" s="38" t="str">
        <f>'Weekly EDSA'!A2</f>
        <v>Robinson</v>
      </c>
      <c r="B3" s="15">
        <f>IFERROR(__xludf.DUMMYFUNCTION("INDEX(QUERY(TRANSPOSE('Matchup Daily'!$1:$18),""SELECT SUM(Col""&amp;MATCH($A3,'Matchup Daily'!$A:$A,0)&amp;"") WHERE Col2=""&amp;B$2,0),2)"),0.0)</f>
        <v>0</v>
      </c>
      <c r="C3" s="15">
        <f>IFERROR(__xludf.DUMMYFUNCTION("INDEX(QUERY(TRANSPOSE('Matchup Daily'!$1:$18),""SELECT SUM(Col""&amp;MATCH($A3,'Matchup Daily'!$A:$A,0)&amp;"") WHERE Col2=""&amp;C$2,0),2)"),0.0)</f>
        <v>0</v>
      </c>
      <c r="D3" s="15">
        <f>IFERROR(__xludf.DUMMYFUNCTION("INDEX(QUERY(TRANSPOSE('Matchup Daily'!$1:$18),""SELECT SUM(Col""&amp;MATCH($A3,'Matchup Daily'!$A:$A,0)&amp;"") WHERE Col2=""&amp;D$2,0),2)"),0.0)</f>
        <v>0</v>
      </c>
    </row>
    <row r="4">
      <c r="A4" s="38" t="str">
        <f>'Weekly EDSA'!A3</f>
        <v>Brown</v>
      </c>
      <c r="B4" s="15">
        <f>IFERROR(__xludf.DUMMYFUNCTION("INDEX(QUERY(TRANSPOSE('Matchup Daily'!$1:$18),""SELECT SUM(Col""&amp;MATCH($A4,'Matchup Daily'!$A:$A,0)&amp;"") WHERE Col2=""&amp;B$2,0),2)"),0.0)</f>
        <v>0</v>
      </c>
      <c r="C4" s="15">
        <f>IFERROR(__xludf.DUMMYFUNCTION("INDEX(QUERY(TRANSPOSE('Matchup Daily'!$1:$18),""SELECT SUM(Col""&amp;MATCH($A4,'Matchup Daily'!$A:$A,0)&amp;"") WHERE Col2=""&amp;C$2,0),2)"),0.0)</f>
        <v>0</v>
      </c>
      <c r="D4" s="15">
        <f>IFERROR(__xludf.DUMMYFUNCTION("INDEX(QUERY(TRANSPOSE('Matchup Daily'!$1:$18),""SELECT SUM(Col""&amp;MATCH($A4,'Matchup Daily'!$A:$A,0)&amp;"") WHERE Col2=""&amp;D$2,0),2)"),0.0)</f>
        <v>0</v>
      </c>
    </row>
    <row r="5">
      <c r="A5" s="38" t="str">
        <f>'Weekly EDSA'!A4</f>
        <v>Bolick</v>
      </c>
      <c r="B5" s="15">
        <f>IFERROR(__xludf.DUMMYFUNCTION("INDEX(QUERY(TRANSPOSE('Matchup Daily'!$1:$18),""SELECT SUM(Col""&amp;MATCH($A5,'Matchup Daily'!$A:$A,0)&amp;"") WHERE Col2=""&amp;B$2,0),2)"),0.0)</f>
        <v>0</v>
      </c>
      <c r="C5" s="15">
        <f>IFERROR(__xludf.DUMMYFUNCTION("INDEX(QUERY(TRANSPOSE('Matchup Daily'!$1:$18),""SELECT SUM(Col""&amp;MATCH($A5,'Matchup Daily'!$A:$A,0)&amp;"") WHERE Col2=""&amp;C$2,0),2)"),0.0)</f>
        <v>0</v>
      </c>
      <c r="D5" s="15">
        <f>IFERROR(__xludf.DUMMYFUNCTION("INDEX(QUERY(TRANSPOSE('Matchup Daily'!$1:$18),""SELECT SUM(Col""&amp;MATCH($A5,'Matchup Daily'!$A:$A,0)&amp;"") WHERE Col2=""&amp;D$2,0),2)"),0.0)</f>
        <v>0</v>
      </c>
    </row>
    <row r="6">
      <c r="A6" s="38" t="str">
        <f>'Weekly EDSA'!A5</f>
        <v>Dean</v>
      </c>
      <c r="B6" s="15">
        <f>IFERROR(__xludf.DUMMYFUNCTION("INDEX(QUERY(TRANSPOSE('Matchup Daily'!$1:$18),""SELECT SUM(Col""&amp;MATCH($A6,'Matchup Daily'!$A:$A,0)&amp;"") WHERE Col2=""&amp;B$2,0),2)"),0.0)</f>
        <v>0</v>
      </c>
      <c r="C6" s="15">
        <f>IFERROR(__xludf.DUMMYFUNCTION("INDEX(QUERY(TRANSPOSE('Matchup Daily'!$1:$18),""SELECT SUM(Col""&amp;MATCH($A6,'Matchup Daily'!$A:$A,0)&amp;"") WHERE Col2=""&amp;C$2,0),2)"),0.0)</f>
        <v>0</v>
      </c>
      <c r="D6" s="15">
        <f>IFERROR(__xludf.DUMMYFUNCTION("INDEX(QUERY(TRANSPOSE('Matchup Daily'!$1:$18),""SELECT SUM(Col""&amp;MATCH($A6,'Matchup Daily'!$A:$A,0)&amp;"") WHERE Col2=""&amp;D$2,0),2)"),0.0)</f>
        <v>0</v>
      </c>
    </row>
    <row r="7">
      <c r="A7" s="38" t="str">
        <f>'Weekly EDSA'!A6</f>
        <v>Farley</v>
      </c>
      <c r="B7" s="15">
        <f>IFERROR(__xludf.DUMMYFUNCTION("INDEX(QUERY(TRANSPOSE('Matchup Daily'!$1:$18),""SELECT SUM(Col""&amp;MATCH($A7,'Matchup Daily'!$A:$A,0)&amp;"") WHERE Col2=""&amp;B$2,0),2)"),0.0)</f>
        <v>0</v>
      </c>
      <c r="C7" s="15">
        <f>IFERROR(__xludf.DUMMYFUNCTION("INDEX(QUERY(TRANSPOSE('Matchup Daily'!$1:$18),""SELECT SUM(Col""&amp;MATCH($A7,'Matchup Daily'!$A:$A,0)&amp;"") WHERE Col2=""&amp;C$2,0),2)"),0.0)</f>
        <v>0</v>
      </c>
      <c r="D7" s="15">
        <f>IFERROR(__xludf.DUMMYFUNCTION("INDEX(QUERY(TRANSPOSE('Matchup Daily'!$1:$18),""SELECT SUM(Col""&amp;MATCH($A7,'Matchup Daily'!$A:$A,0)&amp;"") WHERE Col2=""&amp;D$2,0),2)"),0.0)</f>
        <v>0</v>
      </c>
    </row>
    <row r="8">
      <c r="A8" s="38" t="str">
        <f>'Weekly EDSA'!A7</f>
        <v>Parkinson</v>
      </c>
      <c r="B8" s="15">
        <f>IFERROR(__xludf.DUMMYFUNCTION("INDEX(QUERY(TRANSPOSE('Matchup Daily'!$1:$18),""SELECT SUM(Col""&amp;MATCH($A8,'Matchup Daily'!$A:$A,0)&amp;"") WHERE Col2=""&amp;B$2,0),2)"),0.0)</f>
        <v>0</v>
      </c>
      <c r="C8" s="15">
        <f>IFERROR(__xludf.DUMMYFUNCTION("INDEX(QUERY(TRANSPOSE('Matchup Daily'!$1:$18),""SELECT SUM(Col""&amp;MATCH($A8,'Matchup Daily'!$A:$A,0)&amp;"") WHERE Col2=""&amp;C$2,0),2)"),0.0)</f>
        <v>0</v>
      </c>
      <c r="D8" s="15">
        <f>IFERROR(__xludf.DUMMYFUNCTION("INDEX(QUERY(TRANSPOSE('Matchup Daily'!$1:$18),""SELECT SUM(Col""&amp;MATCH($A8,'Matchup Daily'!$A:$A,0)&amp;"") WHERE Col2=""&amp;D$2,0),2)"),0.0)</f>
        <v>0</v>
      </c>
    </row>
    <row r="9">
      <c r="A9" s="38" t="str">
        <f>'Weekly EDSA'!A8</f>
        <v>Sullivan</v>
      </c>
      <c r="B9" s="15">
        <f>IFERROR(__xludf.DUMMYFUNCTION("INDEX(QUERY(TRANSPOSE('Matchup Daily'!$1:$18),""SELECT SUM(Col""&amp;MATCH($A9,'Matchup Daily'!$A:$A,0)&amp;"") WHERE Col2=""&amp;B$2,0),2)"),0.0)</f>
        <v>0</v>
      </c>
      <c r="C9" s="15">
        <f>IFERROR(__xludf.DUMMYFUNCTION("INDEX(QUERY(TRANSPOSE('Matchup Daily'!$1:$18),""SELECT SUM(Col""&amp;MATCH($A9,'Matchup Daily'!$A:$A,0)&amp;"") WHERE Col2=""&amp;C$2,0),2)"),0.0)</f>
        <v>0</v>
      </c>
      <c r="D9" s="15">
        <f>IFERROR(__xludf.DUMMYFUNCTION("INDEX(QUERY(TRANSPOSE('Matchup Daily'!$1:$18),""SELECT SUM(Col""&amp;MATCH($A9,'Matchup Daily'!$A:$A,0)&amp;"") WHERE Col2=""&amp;D$2,0),2)"),0.0)</f>
        <v>0</v>
      </c>
    </row>
    <row r="10">
      <c r="A10" s="38" t="str">
        <f>'Weekly EDSA'!A9</f>
        <v>Maguire</v>
      </c>
      <c r="B10" s="15">
        <f>IFERROR(__xludf.DUMMYFUNCTION("INDEX(QUERY(TRANSPOSE('Matchup Daily'!$1:$18),""SELECT SUM(Col""&amp;MATCH($A10,'Matchup Daily'!$A:$A,0)&amp;"") WHERE Col2=""&amp;B$2,0),2)"),0.0)</f>
        <v>0</v>
      </c>
      <c r="C10" s="15">
        <f>IFERROR(__xludf.DUMMYFUNCTION("INDEX(QUERY(TRANSPOSE('Matchup Daily'!$1:$18),""SELECT SUM(Col""&amp;MATCH($A10,'Matchup Daily'!$A:$A,0)&amp;"") WHERE Col2=""&amp;C$2,0),2)"),0.0)</f>
        <v>0</v>
      </c>
      <c r="D10" s="15">
        <f>IFERROR(__xludf.DUMMYFUNCTION("INDEX(QUERY(TRANSPOSE('Matchup Daily'!$1:$18),""SELECT SUM(Col""&amp;MATCH($A10,'Matchup Daily'!$A:$A,0)&amp;"") WHERE Col2=""&amp;D$2,0),2)"),0.0)</f>
        <v>0</v>
      </c>
    </row>
    <row r="11">
      <c r="A11" s="38" t="str">
        <f>'Weekly EDSA'!A10</f>
        <v>Biales</v>
      </c>
      <c r="B11" s="15">
        <f>IFERROR(__xludf.DUMMYFUNCTION("INDEX(QUERY(TRANSPOSE('Matchup Daily'!$1:$18),""SELECT SUM(Col""&amp;MATCH($A11,'Matchup Daily'!$A:$A,0)&amp;"") WHERE Col2=""&amp;B$2,0),2)"),0.0)</f>
        <v>0</v>
      </c>
      <c r="C11" s="15">
        <f>IFERROR(__xludf.DUMMYFUNCTION("INDEX(QUERY(TRANSPOSE('Matchup Daily'!$1:$18),""SELECT SUM(Col""&amp;MATCH($A11,'Matchup Daily'!$A:$A,0)&amp;"") WHERE Col2=""&amp;C$2,0),2)"),0.0)</f>
        <v>0</v>
      </c>
      <c r="D11" s="15">
        <f>IFERROR(__xludf.DUMMYFUNCTION("INDEX(QUERY(TRANSPOSE('Matchup Daily'!$1:$18),""SELECT SUM(Col""&amp;MATCH($A11,'Matchup Daily'!$A:$A,0)&amp;"") WHERE Col2=""&amp;D$2,0),2)"),0.0)</f>
        <v>0</v>
      </c>
    </row>
    <row r="12">
      <c r="A12" s="38" t="str">
        <f>'Weekly EDSA'!A11</f>
        <v>Trueb</v>
      </c>
      <c r="B12" s="15">
        <f>IFERROR(__xludf.DUMMYFUNCTION("INDEX(QUERY(TRANSPOSE('Matchup Daily'!$1:$18),""SELECT SUM(Col""&amp;MATCH($A12,'Matchup Daily'!$A:$A,0)&amp;"") WHERE Col2=""&amp;B$2,0),2)"),0.0)</f>
        <v>0</v>
      </c>
      <c r="C12" s="15">
        <f>IFERROR(__xludf.DUMMYFUNCTION("INDEX(QUERY(TRANSPOSE('Matchup Daily'!$1:$18),""SELECT SUM(Col""&amp;MATCH($A12,'Matchup Daily'!$A:$A,0)&amp;"") WHERE Col2=""&amp;C$2,0),2)"),0.0)</f>
        <v>0</v>
      </c>
      <c r="D12" s="15">
        <f>IFERROR(__xludf.DUMMYFUNCTION("INDEX(QUERY(TRANSPOSE('Matchup Daily'!$1:$18),""SELECT SUM(Col""&amp;MATCH($A12,'Matchup Daily'!$A:$A,0)&amp;"") WHERE Col2=""&amp;D$2,0),2)"),0.0)</f>
        <v>0</v>
      </c>
    </row>
    <row r="13">
      <c r="A13" s="38" t="str">
        <f>'Weekly EDSA'!A12</f>
        <v>Aceto</v>
      </c>
      <c r="B13" s="15">
        <f>IFERROR(__xludf.DUMMYFUNCTION("INDEX(QUERY(TRANSPOSE('Matchup Daily'!$1:$18),""SELECT SUM(Col""&amp;MATCH($A13,'Matchup Daily'!$A:$A,0)&amp;"") WHERE Col2=""&amp;B$2,0),2)"),0.0)</f>
        <v>0</v>
      </c>
      <c r="C13" s="15">
        <f>IFERROR(__xludf.DUMMYFUNCTION("INDEX(QUERY(TRANSPOSE('Matchup Daily'!$1:$18),""SELECT SUM(Col""&amp;MATCH($A13,'Matchup Daily'!$A:$A,0)&amp;"") WHERE Col2=""&amp;C$2,0),2)"),0.0)</f>
        <v>0</v>
      </c>
      <c r="D13" s="15">
        <f>IFERROR(__xludf.DUMMYFUNCTION("INDEX(QUERY(TRANSPOSE('Matchup Daily'!$1:$18),""SELECT SUM(Col""&amp;MATCH($A13,'Matchup Daily'!$A:$A,0)&amp;"") WHERE Col2=""&amp;D$2,0),2)"),0.0)</f>
        <v>0</v>
      </c>
    </row>
    <row r="14">
      <c r="A14" s="38" t="str">
        <f>'Weekly EDSA'!A13</f>
        <v>Higgins</v>
      </c>
      <c r="B14" s="15">
        <f>IFERROR(__xludf.DUMMYFUNCTION("INDEX(QUERY(TRANSPOSE('Matchup Daily'!$1:$18),""SELECT SUM(Col""&amp;MATCH($A14,'Matchup Daily'!$A:$A,0)&amp;"") WHERE Col2=""&amp;B$2,0),2)"),0.0)</f>
        <v>0</v>
      </c>
      <c r="C14" s="15">
        <f>IFERROR(__xludf.DUMMYFUNCTION("INDEX(QUERY(TRANSPOSE('Matchup Daily'!$1:$18),""SELECT SUM(Col""&amp;MATCH($A14,'Matchup Daily'!$A:$A,0)&amp;"") WHERE Col2=""&amp;C$2,0),2)"),0.0)</f>
        <v>0</v>
      </c>
      <c r="D14" s="15">
        <f>IFERROR(__xludf.DUMMYFUNCTION("INDEX(QUERY(TRANSPOSE('Matchup Daily'!$1:$18),""SELECT SUM(Col""&amp;MATCH($A14,'Matchup Daily'!$A:$A,0)&amp;"") WHERE Col2=""&amp;D$2,0),2)"),0.0)</f>
        <v>0</v>
      </c>
    </row>
    <row r="15">
      <c r="A15" s="38" t="str">
        <f>'Weekly EDSA'!A14</f>
        <v>Furtney</v>
      </c>
      <c r="B15" s="15">
        <f>IFERROR(__xludf.DUMMYFUNCTION("INDEX(QUERY(TRANSPOSE('Matchup Daily'!$1:$18),""SELECT SUM(Col""&amp;MATCH($A15,'Matchup Daily'!$A:$A,0)&amp;"") WHERE Col2=""&amp;B$2,0),2)"),0.0)</f>
        <v>0</v>
      </c>
      <c r="C15" s="15">
        <f>IFERROR(__xludf.DUMMYFUNCTION("INDEX(QUERY(TRANSPOSE('Matchup Daily'!$1:$18),""SELECT SUM(Col""&amp;MATCH($A15,'Matchup Daily'!$A:$A,0)&amp;"") WHERE Col2=""&amp;C$2,0),2)"),0.0)</f>
        <v>0</v>
      </c>
      <c r="D15" s="15">
        <f>IFERROR(__xludf.DUMMYFUNCTION("INDEX(QUERY(TRANSPOSE('Matchup Daily'!$1:$18),""SELECT SUM(Col""&amp;MATCH($A15,'Matchup Daily'!$A:$A,0)&amp;"") WHERE Col2=""&amp;D$2,0),2)"),0.0)</f>
        <v>0</v>
      </c>
    </row>
    <row r="16">
      <c r="A16" s="38" t="str">
        <f>'Weekly EDSA'!A15</f>
        <v>Nee</v>
      </c>
      <c r="B16" s="15">
        <f>IFERROR(__xludf.DUMMYFUNCTION("INDEX(QUERY(TRANSPOSE('Matchup Daily'!$1:$18),""SELECT SUM(Col""&amp;MATCH($A16,'Matchup Daily'!$A:$A,0)&amp;"") WHERE Col2=""&amp;B$2,0),2)"),0.0)</f>
        <v>0</v>
      </c>
      <c r="C16" s="15">
        <f>IFERROR(__xludf.DUMMYFUNCTION("INDEX(QUERY(TRANSPOSE('Matchup Daily'!$1:$18),""SELECT SUM(Col""&amp;MATCH($A16,'Matchup Daily'!$A:$A,0)&amp;"") WHERE Col2=""&amp;C$2,0),2)"),0.0)</f>
        <v>0</v>
      </c>
      <c r="D16" s="15">
        <f>IFERROR(__xludf.DUMMYFUNCTION("INDEX(QUERY(TRANSPOSE('Matchup Daily'!$1:$18),""SELECT SUM(Col""&amp;MATCH($A16,'Matchup Daily'!$A:$A,0)&amp;"") WHERE Col2=""&amp;D$2,0),2)"),0.0)</f>
        <v>0</v>
      </c>
    </row>
    <row r="17">
      <c r="A17" s="38" t="str">
        <f>'Weekly EDSA'!A16</f>
        <v>Kramer</v>
      </c>
      <c r="B17" s="15">
        <f>IFERROR(__xludf.DUMMYFUNCTION("INDEX(QUERY(TRANSPOSE('Matchup Daily'!$1:$18),""SELECT SUM(Col""&amp;MATCH($A17,'Matchup Daily'!$A:$A,0)&amp;"") WHERE Col2=""&amp;B$2,0),2)"),0.0)</f>
        <v>0</v>
      </c>
      <c r="C17" s="15">
        <f>IFERROR(__xludf.DUMMYFUNCTION("INDEX(QUERY(TRANSPOSE('Matchup Daily'!$1:$18),""SELECT SUM(Col""&amp;MATCH($A17,'Matchup Daily'!$A:$A,0)&amp;"") WHERE Col2=""&amp;C$2,0),2)"),0.0)</f>
        <v>0</v>
      </c>
      <c r="D17" s="15">
        <f>IFERROR(__xludf.DUMMYFUNCTION("INDEX(QUERY(TRANSPOSE('Matchup Daily'!$1:$18),""SELECT SUM(Col""&amp;MATCH($A17,'Matchup Daily'!$A:$A,0)&amp;"") WHERE Col2=""&amp;D$2,0),2)"),0.0)</f>
        <v>0</v>
      </c>
    </row>
    <row r="18">
      <c r="A18" s="38" t="str">
        <f>'Weekly EDSA'!A17</f>
        <v>Connolly</v>
      </c>
      <c r="B18" s="15">
        <f>IFERROR(__xludf.DUMMYFUNCTION("INDEX(QUERY(TRANSPOSE('Matchup Daily'!$1:$18),""SELECT SUM(Col""&amp;MATCH($A18,'Matchup Daily'!$A:$A,0)&amp;"") WHERE Col2=""&amp;B$2,0),2)"),0.0)</f>
        <v>0</v>
      </c>
      <c r="C18" s="15">
        <f>IFERROR(__xludf.DUMMYFUNCTION("INDEX(QUERY(TRANSPOSE('Matchup Daily'!$1:$18),""SELECT SUM(Col""&amp;MATCH($A18,'Matchup Daily'!$A:$A,0)&amp;"") WHERE Col2=""&amp;C$2,0),2)"),0.0)</f>
        <v>0</v>
      </c>
      <c r="D18" s="15">
        <f>IFERROR(__xludf.DUMMYFUNCTION("INDEX(QUERY(TRANSPOSE('Matchup Daily'!$1:$18),""SELECT SUM(Col""&amp;MATCH($A18,'Matchup Daily'!$A:$A,0)&amp;"") WHERE Col2=""&amp;D$2,0),2)"),0.0)</f>
        <v>0</v>
      </c>
    </row>
    <row r="19">
      <c r="C19" s="15"/>
      <c r="D19" s="15"/>
    </row>
    <row r="20">
      <c r="C20" s="15"/>
      <c r="D20" s="15"/>
    </row>
    <row r="21">
      <c r="C21" s="15"/>
      <c r="D21" s="15"/>
    </row>
    <row r="22">
      <c r="C22" s="15"/>
      <c r="D22" s="15"/>
    </row>
    <row r="23">
      <c r="C23" s="15"/>
      <c r="D23" s="15"/>
    </row>
    <row r="24">
      <c r="C24" s="15"/>
      <c r="D24" s="15"/>
    </row>
    <row r="25">
      <c r="C25" s="15"/>
      <c r="D25" s="15"/>
    </row>
    <row r="26">
      <c r="C26" s="15"/>
      <c r="D26" s="15"/>
    </row>
    <row r="27">
      <c r="C27" s="15"/>
      <c r="D27" s="15"/>
    </row>
    <row r="28">
      <c r="C28" s="15"/>
      <c r="D28" s="15"/>
    </row>
    <row r="29">
      <c r="C29" s="15"/>
      <c r="D29" s="15"/>
    </row>
    <row r="30">
      <c r="C30" s="15"/>
      <c r="D30" s="15"/>
    </row>
    <row r="31">
      <c r="C31" s="15"/>
      <c r="D31" s="15"/>
    </row>
    <row r="32">
      <c r="C32" s="15"/>
      <c r="D32" s="15"/>
    </row>
    <row r="33">
      <c r="C33" s="15"/>
      <c r="D33" s="15"/>
    </row>
    <row r="34">
      <c r="C34" s="15"/>
      <c r="D34" s="15"/>
    </row>
    <row r="35">
      <c r="C35" s="15"/>
      <c r="D35" s="15"/>
    </row>
    <row r="36">
      <c r="C36" s="15"/>
      <c r="D36" s="15"/>
    </row>
    <row r="37">
      <c r="C37" s="15"/>
      <c r="D37" s="15"/>
    </row>
    <row r="38">
      <c r="C38" s="15"/>
      <c r="D38" s="15"/>
    </row>
    <row r="39">
      <c r="C39" s="15"/>
      <c r="D39" s="15"/>
    </row>
    <row r="40">
      <c r="C40" s="15"/>
      <c r="D40" s="15"/>
    </row>
    <row r="41">
      <c r="C41" s="15"/>
      <c r="D41" s="15"/>
    </row>
    <row r="42">
      <c r="C42" s="15"/>
      <c r="D42" s="15"/>
    </row>
    <row r="43">
      <c r="C43" s="15"/>
      <c r="D43" s="15"/>
    </row>
    <row r="44">
      <c r="C44" s="15"/>
      <c r="D44" s="15"/>
    </row>
    <row r="45">
      <c r="C45" s="15"/>
      <c r="D45" s="15"/>
    </row>
    <row r="46">
      <c r="C46" s="15"/>
      <c r="D46" s="15"/>
    </row>
    <row r="47">
      <c r="C47" s="15"/>
      <c r="D47" s="15"/>
    </row>
    <row r="48">
      <c r="C48" s="15"/>
      <c r="D48" s="15"/>
    </row>
    <row r="49">
      <c r="C49" s="15"/>
      <c r="D49" s="15"/>
    </row>
    <row r="50">
      <c r="C50" s="15"/>
      <c r="D50" s="15"/>
    </row>
    <row r="51">
      <c r="C51" s="15"/>
      <c r="D51" s="15"/>
    </row>
    <row r="52">
      <c r="C52" s="15"/>
      <c r="D52" s="15"/>
    </row>
    <row r="53">
      <c r="C53" s="15"/>
      <c r="D53" s="15"/>
    </row>
    <row r="54">
      <c r="C54" s="15"/>
      <c r="D54" s="15"/>
    </row>
    <row r="55">
      <c r="C55" s="15"/>
      <c r="D55" s="15"/>
    </row>
    <row r="56">
      <c r="C56" s="15"/>
      <c r="D56" s="15"/>
    </row>
    <row r="57">
      <c r="C57" s="15"/>
      <c r="D57" s="15"/>
    </row>
    <row r="58">
      <c r="C58" s="15"/>
      <c r="D58" s="15"/>
    </row>
    <row r="59">
      <c r="C59" s="15"/>
      <c r="D59" s="15"/>
    </row>
    <row r="60">
      <c r="C60" s="15"/>
      <c r="D60" s="15"/>
    </row>
    <row r="61">
      <c r="C61" s="15"/>
      <c r="D61" s="15"/>
    </row>
    <row r="62">
      <c r="C62" s="15"/>
      <c r="D62" s="15"/>
    </row>
    <row r="63">
      <c r="C63" s="15"/>
      <c r="D63" s="15"/>
    </row>
    <row r="64">
      <c r="C64" s="15"/>
      <c r="D64" s="15"/>
    </row>
    <row r="65">
      <c r="C65" s="15"/>
      <c r="D65" s="15"/>
    </row>
    <row r="66">
      <c r="C66" s="15"/>
      <c r="D66" s="15"/>
    </row>
    <row r="67">
      <c r="C67" s="15"/>
      <c r="D67" s="15"/>
    </row>
    <row r="68">
      <c r="C68" s="15"/>
      <c r="D68" s="15"/>
    </row>
    <row r="69">
      <c r="C69" s="15"/>
      <c r="D69" s="15"/>
    </row>
    <row r="70">
      <c r="C70" s="15"/>
      <c r="D70" s="15"/>
    </row>
    <row r="71">
      <c r="C71" s="15"/>
      <c r="D71" s="15"/>
    </row>
    <row r="72">
      <c r="C72" s="15"/>
      <c r="D72" s="15"/>
    </row>
    <row r="73">
      <c r="C73" s="15"/>
      <c r="D73" s="15"/>
    </row>
    <row r="74">
      <c r="C74" s="15"/>
      <c r="D74" s="15"/>
    </row>
    <row r="75">
      <c r="C75" s="15"/>
      <c r="D75" s="15"/>
    </row>
    <row r="76">
      <c r="C76" s="15"/>
      <c r="D76" s="15"/>
    </row>
    <row r="77">
      <c r="C77" s="15"/>
      <c r="D77" s="15"/>
    </row>
    <row r="78">
      <c r="C78" s="15"/>
      <c r="D78" s="15"/>
    </row>
    <row r="79">
      <c r="C79" s="15"/>
      <c r="D79" s="15"/>
    </row>
    <row r="80">
      <c r="C80" s="15"/>
      <c r="D80" s="15"/>
    </row>
    <row r="81">
      <c r="C81" s="15"/>
      <c r="D81" s="15"/>
    </row>
    <row r="82">
      <c r="C82" s="15"/>
      <c r="D82" s="15"/>
    </row>
    <row r="83">
      <c r="C83" s="15"/>
      <c r="D83" s="15"/>
    </row>
    <row r="84">
      <c r="C84" s="15"/>
      <c r="D84" s="15"/>
    </row>
    <row r="85">
      <c r="C85" s="15"/>
      <c r="D85" s="15"/>
    </row>
    <row r="86">
      <c r="C86" s="15"/>
      <c r="D86" s="15"/>
    </row>
    <row r="87">
      <c r="C87" s="15"/>
      <c r="D87" s="15"/>
    </row>
    <row r="88">
      <c r="C88" s="15"/>
      <c r="D88" s="15"/>
    </row>
    <row r="89">
      <c r="C89" s="15"/>
      <c r="D89" s="15"/>
    </row>
    <row r="90">
      <c r="C90" s="15"/>
      <c r="D90" s="15"/>
    </row>
    <row r="91">
      <c r="C91" s="15"/>
      <c r="D91" s="15"/>
    </row>
    <row r="92">
      <c r="C92" s="15"/>
      <c r="D92" s="15"/>
    </row>
    <row r="93">
      <c r="C93" s="15"/>
      <c r="D93" s="15"/>
    </row>
    <row r="94">
      <c r="C94" s="15"/>
      <c r="D94" s="15"/>
    </row>
    <row r="95">
      <c r="C95" s="15"/>
      <c r="D95" s="15"/>
    </row>
    <row r="96">
      <c r="C96" s="15"/>
      <c r="D96" s="15"/>
    </row>
    <row r="97">
      <c r="C97" s="15"/>
      <c r="D97" s="15"/>
    </row>
    <row r="98">
      <c r="C98" s="15"/>
      <c r="D98" s="15"/>
    </row>
    <row r="99">
      <c r="C99" s="15"/>
      <c r="D99" s="15"/>
    </row>
    <row r="100">
      <c r="C100" s="15"/>
      <c r="D100" s="15"/>
    </row>
    <row r="101">
      <c r="C101" s="15"/>
      <c r="D101" s="15"/>
    </row>
    <row r="102">
      <c r="C102" s="15"/>
      <c r="D102" s="15"/>
    </row>
    <row r="103">
      <c r="C103" s="15"/>
      <c r="D103" s="15"/>
    </row>
    <row r="104">
      <c r="C104" s="15"/>
      <c r="D104" s="15"/>
    </row>
    <row r="105">
      <c r="C105" s="15"/>
      <c r="D105" s="15"/>
    </row>
    <row r="106">
      <c r="C106" s="15"/>
      <c r="D106" s="15"/>
    </row>
    <row r="107">
      <c r="C107" s="15"/>
      <c r="D107" s="15"/>
    </row>
    <row r="108">
      <c r="C108" s="15"/>
      <c r="D108" s="15"/>
    </row>
    <row r="109">
      <c r="C109" s="15"/>
      <c r="D109" s="15"/>
    </row>
    <row r="110">
      <c r="C110" s="15"/>
      <c r="D110" s="15"/>
    </row>
    <row r="111">
      <c r="C111" s="15"/>
      <c r="D111" s="15"/>
    </row>
    <row r="112">
      <c r="C112" s="15"/>
      <c r="D112" s="15"/>
    </row>
    <row r="113">
      <c r="C113" s="15"/>
      <c r="D113" s="15"/>
    </row>
    <row r="114">
      <c r="C114" s="15"/>
      <c r="D114" s="15"/>
    </row>
    <row r="115">
      <c r="C115" s="15"/>
      <c r="D115" s="15"/>
    </row>
    <row r="116">
      <c r="C116" s="15"/>
      <c r="D116" s="15"/>
    </row>
    <row r="117">
      <c r="C117" s="15"/>
      <c r="D117" s="15"/>
    </row>
    <row r="118">
      <c r="C118" s="15"/>
      <c r="D118" s="15"/>
    </row>
    <row r="119">
      <c r="C119" s="15"/>
      <c r="D119" s="15"/>
    </row>
    <row r="120">
      <c r="C120" s="15"/>
      <c r="D120" s="15"/>
    </row>
    <row r="121">
      <c r="C121" s="15"/>
      <c r="D121" s="15"/>
    </row>
    <row r="122">
      <c r="C122" s="15"/>
      <c r="D122" s="15"/>
    </row>
    <row r="123">
      <c r="C123" s="15"/>
      <c r="D123" s="15"/>
    </row>
    <row r="124">
      <c r="C124" s="15"/>
      <c r="D124" s="15"/>
    </row>
    <row r="125">
      <c r="C125" s="15"/>
      <c r="D125" s="15"/>
    </row>
    <row r="126">
      <c r="C126" s="15"/>
      <c r="D126" s="15"/>
    </row>
    <row r="127">
      <c r="C127" s="15"/>
      <c r="D127" s="15"/>
    </row>
    <row r="128">
      <c r="C128" s="15"/>
      <c r="D128" s="15"/>
    </row>
    <row r="129">
      <c r="C129" s="15"/>
      <c r="D129" s="15"/>
    </row>
    <row r="130">
      <c r="C130" s="15"/>
      <c r="D130" s="15"/>
    </row>
    <row r="131">
      <c r="C131" s="15"/>
      <c r="D131" s="15"/>
    </row>
    <row r="132">
      <c r="C132" s="15"/>
      <c r="D132" s="15"/>
    </row>
    <row r="133">
      <c r="C133" s="15"/>
      <c r="D133" s="15"/>
    </row>
    <row r="134">
      <c r="C134" s="15"/>
      <c r="D134" s="15"/>
    </row>
    <row r="135">
      <c r="C135" s="15"/>
      <c r="D135" s="15"/>
    </row>
    <row r="136">
      <c r="C136" s="15"/>
      <c r="D136" s="15"/>
    </row>
    <row r="137">
      <c r="C137" s="15"/>
      <c r="D137" s="15"/>
    </row>
    <row r="138">
      <c r="C138" s="15"/>
      <c r="D138" s="15"/>
    </row>
    <row r="139">
      <c r="C139" s="15"/>
      <c r="D139" s="15"/>
    </row>
    <row r="140">
      <c r="C140" s="15"/>
      <c r="D140" s="15"/>
    </row>
    <row r="141">
      <c r="C141" s="15"/>
      <c r="D141" s="15"/>
    </row>
    <row r="142">
      <c r="C142" s="15"/>
      <c r="D142" s="15"/>
    </row>
    <row r="143">
      <c r="C143" s="15"/>
      <c r="D143" s="15"/>
    </row>
    <row r="144">
      <c r="C144" s="15"/>
      <c r="D144" s="15"/>
    </row>
    <row r="145">
      <c r="C145" s="15"/>
      <c r="D145" s="15"/>
    </row>
    <row r="146">
      <c r="C146" s="15"/>
      <c r="D146" s="15"/>
    </row>
    <row r="147">
      <c r="C147" s="15"/>
      <c r="D147" s="15"/>
    </row>
    <row r="148">
      <c r="C148" s="15"/>
      <c r="D148" s="15"/>
    </row>
    <row r="149">
      <c r="C149" s="15"/>
      <c r="D149" s="15"/>
    </row>
    <row r="150">
      <c r="C150" s="15"/>
      <c r="D150" s="15"/>
    </row>
    <row r="151">
      <c r="C151" s="15"/>
      <c r="D151" s="15"/>
    </row>
    <row r="152">
      <c r="C152" s="15"/>
      <c r="D152" s="15"/>
    </row>
    <row r="153">
      <c r="C153" s="15"/>
      <c r="D153" s="15"/>
    </row>
    <row r="154">
      <c r="C154" s="15"/>
      <c r="D154" s="15"/>
    </row>
    <row r="155">
      <c r="C155" s="15"/>
      <c r="D155" s="15"/>
    </row>
    <row r="156">
      <c r="C156" s="15"/>
      <c r="D156" s="15"/>
    </row>
    <row r="157">
      <c r="C157" s="15"/>
      <c r="D157" s="15"/>
    </row>
    <row r="158">
      <c r="C158" s="15"/>
      <c r="D158" s="15"/>
    </row>
    <row r="159">
      <c r="C159" s="15"/>
      <c r="D159" s="15"/>
    </row>
    <row r="160">
      <c r="C160" s="15"/>
      <c r="D160" s="15"/>
    </row>
    <row r="161">
      <c r="C161" s="15"/>
      <c r="D161" s="15"/>
    </row>
    <row r="162">
      <c r="C162" s="15"/>
      <c r="D162" s="15"/>
    </row>
    <row r="163">
      <c r="C163" s="15"/>
      <c r="D163" s="15"/>
    </row>
    <row r="164">
      <c r="C164" s="15"/>
      <c r="D164" s="15"/>
    </row>
    <row r="165">
      <c r="C165" s="15"/>
      <c r="D165" s="15"/>
    </row>
    <row r="166">
      <c r="C166" s="15"/>
      <c r="D166" s="15"/>
    </row>
    <row r="167">
      <c r="C167" s="15"/>
      <c r="D167" s="15"/>
    </row>
    <row r="168">
      <c r="C168" s="15"/>
      <c r="D168" s="15"/>
    </row>
    <row r="169">
      <c r="C169" s="15"/>
      <c r="D169" s="15"/>
    </row>
    <row r="170">
      <c r="C170" s="15"/>
      <c r="D170" s="15"/>
    </row>
    <row r="171">
      <c r="C171" s="15"/>
      <c r="D171" s="15"/>
    </row>
    <row r="172">
      <c r="C172" s="15"/>
      <c r="D172" s="15"/>
    </row>
    <row r="173">
      <c r="C173" s="15"/>
      <c r="D173" s="15"/>
    </row>
    <row r="174">
      <c r="C174" s="15"/>
      <c r="D174" s="15"/>
    </row>
    <row r="175">
      <c r="C175" s="15"/>
      <c r="D175" s="15"/>
    </row>
    <row r="176">
      <c r="C176" s="15"/>
      <c r="D176" s="15"/>
    </row>
    <row r="177">
      <c r="C177" s="15"/>
      <c r="D177" s="15"/>
    </row>
    <row r="178">
      <c r="C178" s="15"/>
      <c r="D178" s="15"/>
    </row>
    <row r="179">
      <c r="C179" s="15"/>
      <c r="D179" s="15"/>
    </row>
    <row r="180">
      <c r="C180" s="15"/>
      <c r="D180" s="15"/>
    </row>
    <row r="181">
      <c r="C181" s="15"/>
      <c r="D181" s="15"/>
    </row>
    <row r="182">
      <c r="C182" s="15"/>
      <c r="D182" s="15"/>
    </row>
    <row r="183">
      <c r="C183" s="15"/>
      <c r="D183" s="15"/>
    </row>
    <row r="184">
      <c r="C184" s="15"/>
      <c r="D184" s="15"/>
    </row>
    <row r="185">
      <c r="C185" s="15"/>
      <c r="D185" s="15"/>
    </row>
    <row r="186">
      <c r="C186" s="15"/>
      <c r="D186" s="15"/>
    </row>
    <row r="187">
      <c r="C187" s="15"/>
      <c r="D187" s="15"/>
    </row>
    <row r="188">
      <c r="C188" s="15"/>
      <c r="D188" s="15"/>
    </row>
    <row r="189">
      <c r="C189" s="15"/>
      <c r="D189" s="15"/>
    </row>
    <row r="190">
      <c r="C190" s="15"/>
      <c r="D190" s="15"/>
    </row>
    <row r="191">
      <c r="C191" s="15"/>
      <c r="D191" s="15"/>
    </row>
    <row r="192">
      <c r="C192" s="15"/>
      <c r="D192" s="15"/>
    </row>
    <row r="193">
      <c r="C193" s="15"/>
      <c r="D193" s="15"/>
    </row>
    <row r="194">
      <c r="C194" s="15"/>
      <c r="D194" s="15"/>
    </row>
    <row r="195">
      <c r="C195" s="15"/>
      <c r="D195" s="15"/>
    </row>
    <row r="196">
      <c r="C196" s="15"/>
      <c r="D196" s="15"/>
    </row>
    <row r="197">
      <c r="C197" s="15"/>
      <c r="D197" s="15"/>
    </row>
    <row r="198">
      <c r="C198" s="15"/>
      <c r="D198" s="15"/>
    </row>
    <row r="199">
      <c r="C199" s="15"/>
      <c r="D199" s="15"/>
    </row>
    <row r="200">
      <c r="C200" s="15"/>
      <c r="D200" s="15"/>
    </row>
    <row r="201">
      <c r="C201" s="15"/>
      <c r="D201" s="15"/>
    </row>
    <row r="202">
      <c r="C202" s="15"/>
      <c r="D202" s="15"/>
    </row>
    <row r="203">
      <c r="C203" s="15"/>
      <c r="D203" s="15"/>
    </row>
    <row r="204">
      <c r="C204" s="15"/>
      <c r="D204" s="15"/>
    </row>
    <row r="205">
      <c r="C205" s="15"/>
      <c r="D205" s="15"/>
    </row>
    <row r="206">
      <c r="C206" s="15"/>
      <c r="D206" s="15"/>
    </row>
    <row r="207">
      <c r="C207" s="15"/>
      <c r="D207" s="15"/>
    </row>
    <row r="208">
      <c r="C208" s="15"/>
      <c r="D208" s="15"/>
    </row>
    <row r="209">
      <c r="C209" s="15"/>
      <c r="D209" s="15"/>
    </row>
    <row r="210">
      <c r="C210" s="15"/>
      <c r="D210" s="15"/>
    </row>
    <row r="211">
      <c r="C211" s="15"/>
      <c r="D211" s="15"/>
    </row>
    <row r="212">
      <c r="C212" s="15"/>
      <c r="D212" s="15"/>
    </row>
    <row r="213">
      <c r="C213" s="15"/>
      <c r="D213" s="15"/>
    </row>
    <row r="214">
      <c r="C214" s="15"/>
      <c r="D214" s="15"/>
    </row>
    <row r="215">
      <c r="C215" s="15"/>
      <c r="D215" s="15"/>
    </row>
    <row r="216">
      <c r="C216" s="15"/>
      <c r="D216" s="15"/>
    </row>
    <row r="217">
      <c r="C217" s="15"/>
      <c r="D217" s="15"/>
    </row>
    <row r="218">
      <c r="C218" s="15"/>
      <c r="D218" s="15"/>
    </row>
    <row r="219">
      <c r="C219" s="15"/>
      <c r="D219" s="15"/>
    </row>
    <row r="220">
      <c r="C220" s="15"/>
      <c r="D220" s="15"/>
    </row>
    <row r="221">
      <c r="C221" s="15"/>
      <c r="D221" s="15"/>
    </row>
    <row r="222">
      <c r="C222" s="15"/>
      <c r="D222" s="15"/>
    </row>
    <row r="223">
      <c r="C223" s="15"/>
      <c r="D223" s="15"/>
    </row>
    <row r="224">
      <c r="C224" s="15"/>
      <c r="D224" s="15"/>
    </row>
    <row r="225">
      <c r="C225" s="15"/>
      <c r="D225" s="15"/>
    </row>
    <row r="226">
      <c r="C226" s="15"/>
      <c r="D226" s="15"/>
    </row>
    <row r="227">
      <c r="C227" s="15"/>
      <c r="D227" s="15"/>
    </row>
    <row r="228">
      <c r="C228" s="15"/>
      <c r="D228" s="15"/>
    </row>
    <row r="229">
      <c r="C229" s="15"/>
      <c r="D229" s="15"/>
    </row>
    <row r="230">
      <c r="C230" s="15"/>
      <c r="D230" s="15"/>
    </row>
    <row r="231">
      <c r="C231" s="15"/>
      <c r="D231" s="15"/>
    </row>
    <row r="232">
      <c r="C232" s="15"/>
      <c r="D232" s="15"/>
    </row>
    <row r="233">
      <c r="C233" s="15"/>
      <c r="D233" s="15"/>
    </row>
    <row r="234">
      <c r="C234" s="15"/>
      <c r="D234" s="15"/>
    </row>
    <row r="235">
      <c r="C235" s="15"/>
      <c r="D235" s="15"/>
    </row>
    <row r="236">
      <c r="C236" s="15"/>
      <c r="D236" s="15"/>
    </row>
    <row r="237">
      <c r="C237" s="15"/>
      <c r="D237" s="15"/>
    </row>
    <row r="238">
      <c r="C238" s="15"/>
      <c r="D238" s="15"/>
    </row>
    <row r="239">
      <c r="C239" s="15"/>
      <c r="D239" s="15"/>
    </row>
    <row r="240">
      <c r="C240" s="15"/>
      <c r="D240" s="15"/>
    </row>
    <row r="241">
      <c r="C241" s="15"/>
      <c r="D241" s="15"/>
    </row>
    <row r="242">
      <c r="C242" s="15"/>
      <c r="D242" s="15"/>
    </row>
    <row r="243">
      <c r="C243" s="15"/>
      <c r="D243" s="15"/>
    </row>
    <row r="244">
      <c r="C244" s="15"/>
      <c r="D244" s="15"/>
    </row>
    <row r="245">
      <c r="C245" s="15"/>
      <c r="D245" s="15"/>
    </row>
    <row r="246">
      <c r="C246" s="15"/>
      <c r="D246" s="15"/>
    </row>
    <row r="247">
      <c r="C247" s="15"/>
      <c r="D247" s="15"/>
    </row>
    <row r="248">
      <c r="C248" s="15"/>
      <c r="D248" s="15"/>
    </row>
    <row r="249">
      <c r="C249" s="15"/>
      <c r="D249" s="15"/>
    </row>
    <row r="250">
      <c r="C250" s="15"/>
      <c r="D250" s="15"/>
    </row>
    <row r="251">
      <c r="C251" s="15"/>
      <c r="D251" s="15"/>
    </row>
    <row r="252">
      <c r="C252" s="15"/>
      <c r="D252" s="15"/>
    </row>
    <row r="253">
      <c r="C253" s="15"/>
      <c r="D253" s="15"/>
    </row>
    <row r="254">
      <c r="C254" s="15"/>
      <c r="D254" s="15"/>
    </row>
    <row r="255">
      <c r="C255" s="15"/>
      <c r="D255" s="15"/>
    </row>
    <row r="256">
      <c r="C256" s="15"/>
      <c r="D256" s="15"/>
    </row>
    <row r="257">
      <c r="C257" s="15"/>
      <c r="D257" s="15"/>
    </row>
    <row r="258">
      <c r="C258" s="15"/>
      <c r="D258" s="15"/>
    </row>
    <row r="259">
      <c r="C259" s="15"/>
      <c r="D259" s="15"/>
    </row>
    <row r="260">
      <c r="C260" s="15"/>
      <c r="D260" s="15"/>
    </row>
    <row r="261">
      <c r="C261" s="15"/>
      <c r="D261" s="15"/>
    </row>
    <row r="262">
      <c r="C262" s="15"/>
      <c r="D262" s="15"/>
    </row>
    <row r="263">
      <c r="C263" s="15"/>
      <c r="D263" s="15"/>
    </row>
    <row r="264">
      <c r="C264" s="15"/>
      <c r="D264" s="15"/>
    </row>
    <row r="265">
      <c r="C265" s="15"/>
      <c r="D265" s="15"/>
    </row>
    <row r="266">
      <c r="C266" s="15"/>
      <c r="D266" s="15"/>
    </row>
    <row r="267">
      <c r="C267" s="15"/>
      <c r="D267" s="15"/>
    </row>
    <row r="268">
      <c r="C268" s="15"/>
      <c r="D268" s="15"/>
    </row>
    <row r="269">
      <c r="C269" s="15"/>
      <c r="D269" s="15"/>
    </row>
    <row r="270">
      <c r="C270" s="15"/>
      <c r="D270" s="15"/>
    </row>
    <row r="271">
      <c r="C271" s="15"/>
      <c r="D271" s="15"/>
    </row>
    <row r="272">
      <c r="C272" s="15"/>
      <c r="D272" s="15"/>
    </row>
    <row r="273">
      <c r="C273" s="15"/>
      <c r="D273" s="15"/>
    </row>
    <row r="274">
      <c r="C274" s="15"/>
      <c r="D274" s="15"/>
    </row>
    <row r="275">
      <c r="C275" s="15"/>
      <c r="D275" s="15"/>
    </row>
    <row r="276">
      <c r="C276" s="15"/>
      <c r="D276" s="15"/>
    </row>
    <row r="277">
      <c r="C277" s="15"/>
      <c r="D277" s="15"/>
    </row>
    <row r="278">
      <c r="C278" s="15"/>
      <c r="D278" s="15"/>
    </row>
    <row r="279">
      <c r="C279" s="15"/>
      <c r="D279" s="15"/>
    </row>
    <row r="280">
      <c r="C280" s="15"/>
      <c r="D280" s="15"/>
    </row>
    <row r="281">
      <c r="C281" s="15"/>
      <c r="D281" s="15"/>
    </row>
    <row r="282">
      <c r="C282" s="15"/>
      <c r="D282" s="15"/>
    </row>
    <row r="283">
      <c r="C283" s="15"/>
      <c r="D283" s="15"/>
    </row>
    <row r="284">
      <c r="C284" s="15"/>
      <c r="D284" s="15"/>
    </row>
    <row r="285">
      <c r="C285" s="15"/>
      <c r="D285" s="15"/>
    </row>
    <row r="286">
      <c r="C286" s="15"/>
      <c r="D286" s="15"/>
    </row>
    <row r="287">
      <c r="C287" s="15"/>
      <c r="D287" s="15"/>
    </row>
    <row r="288">
      <c r="C288" s="15"/>
      <c r="D288" s="15"/>
    </row>
    <row r="289">
      <c r="C289" s="15"/>
      <c r="D289" s="15"/>
    </row>
    <row r="290">
      <c r="C290" s="15"/>
      <c r="D290" s="15"/>
    </row>
    <row r="291">
      <c r="C291" s="15"/>
      <c r="D291" s="15"/>
    </row>
    <row r="292">
      <c r="C292" s="15"/>
      <c r="D292" s="15"/>
    </row>
    <row r="293">
      <c r="C293" s="15"/>
      <c r="D293" s="15"/>
    </row>
    <row r="294">
      <c r="C294" s="15"/>
      <c r="D294" s="15"/>
    </row>
    <row r="295">
      <c r="C295" s="15"/>
      <c r="D295" s="15"/>
    </row>
    <row r="296">
      <c r="C296" s="15"/>
      <c r="D296" s="15"/>
    </row>
    <row r="297">
      <c r="C297" s="15"/>
      <c r="D297" s="15"/>
    </row>
    <row r="298">
      <c r="C298" s="15"/>
      <c r="D298" s="15"/>
    </row>
    <row r="299">
      <c r="C299" s="15"/>
      <c r="D299" s="15"/>
    </row>
    <row r="300">
      <c r="C300" s="15"/>
      <c r="D300" s="15"/>
    </row>
    <row r="301">
      <c r="C301" s="15"/>
      <c r="D301" s="15"/>
    </row>
    <row r="302">
      <c r="C302" s="15"/>
      <c r="D302" s="15"/>
    </row>
    <row r="303">
      <c r="C303" s="15"/>
      <c r="D303" s="15"/>
    </row>
    <row r="304">
      <c r="C304" s="15"/>
      <c r="D304" s="15"/>
    </row>
    <row r="305">
      <c r="C305" s="15"/>
      <c r="D305" s="15"/>
    </row>
    <row r="306">
      <c r="C306" s="15"/>
      <c r="D306" s="15"/>
    </row>
    <row r="307">
      <c r="C307" s="15"/>
      <c r="D307" s="15"/>
    </row>
    <row r="308">
      <c r="C308" s="15"/>
      <c r="D308" s="15"/>
    </row>
    <row r="309">
      <c r="C309" s="15"/>
      <c r="D309" s="15"/>
    </row>
    <row r="310">
      <c r="C310" s="15"/>
      <c r="D310" s="15"/>
    </row>
    <row r="311">
      <c r="C311" s="15"/>
      <c r="D311" s="15"/>
    </row>
    <row r="312">
      <c r="C312" s="15"/>
      <c r="D312" s="15"/>
    </row>
    <row r="313">
      <c r="C313" s="15"/>
      <c r="D313" s="15"/>
    </row>
    <row r="314">
      <c r="C314" s="15"/>
      <c r="D314" s="15"/>
    </row>
    <row r="315">
      <c r="C315" s="15"/>
      <c r="D315" s="15"/>
    </row>
    <row r="316">
      <c r="C316" s="15"/>
      <c r="D316" s="15"/>
    </row>
    <row r="317">
      <c r="C317" s="15"/>
      <c r="D317" s="15"/>
    </row>
    <row r="318">
      <c r="C318" s="15"/>
      <c r="D318" s="15"/>
    </row>
    <row r="319">
      <c r="C319" s="15"/>
      <c r="D319" s="15"/>
    </row>
    <row r="320">
      <c r="C320" s="15"/>
      <c r="D320" s="15"/>
    </row>
    <row r="321">
      <c r="C321" s="15"/>
      <c r="D321" s="15"/>
    </row>
    <row r="322">
      <c r="C322" s="15"/>
      <c r="D322" s="15"/>
    </row>
    <row r="323">
      <c r="C323" s="15"/>
      <c r="D323" s="15"/>
    </row>
    <row r="324">
      <c r="C324" s="15"/>
      <c r="D324" s="15"/>
    </row>
    <row r="325">
      <c r="C325" s="15"/>
      <c r="D325" s="15"/>
    </row>
    <row r="326">
      <c r="C326" s="15"/>
      <c r="D326" s="15"/>
    </row>
    <row r="327">
      <c r="C327" s="15"/>
      <c r="D327" s="15"/>
    </row>
    <row r="328">
      <c r="C328" s="15"/>
      <c r="D328" s="15"/>
    </row>
    <row r="329">
      <c r="C329" s="15"/>
      <c r="D329" s="15"/>
    </row>
    <row r="330">
      <c r="C330" s="15"/>
      <c r="D330" s="15"/>
    </row>
    <row r="331">
      <c r="C331" s="15"/>
      <c r="D331" s="15"/>
    </row>
    <row r="332">
      <c r="C332" s="15"/>
      <c r="D332" s="15"/>
    </row>
    <row r="333">
      <c r="C333" s="15"/>
      <c r="D333" s="15"/>
    </row>
    <row r="334">
      <c r="C334" s="15"/>
      <c r="D334" s="15"/>
    </row>
    <row r="335">
      <c r="C335" s="15"/>
      <c r="D335" s="15"/>
    </row>
    <row r="336">
      <c r="C336" s="15"/>
      <c r="D336" s="15"/>
    </row>
    <row r="337">
      <c r="C337" s="15"/>
      <c r="D337" s="15"/>
    </row>
    <row r="338">
      <c r="C338" s="15"/>
      <c r="D338" s="15"/>
    </row>
    <row r="339">
      <c r="C339" s="15"/>
      <c r="D339" s="15"/>
    </row>
    <row r="340">
      <c r="C340" s="15"/>
      <c r="D340" s="15"/>
    </row>
    <row r="341">
      <c r="C341" s="15"/>
      <c r="D341" s="15"/>
    </row>
    <row r="342">
      <c r="C342" s="15"/>
      <c r="D342" s="15"/>
    </row>
    <row r="343">
      <c r="C343" s="15"/>
      <c r="D343" s="15"/>
    </row>
    <row r="344">
      <c r="C344" s="15"/>
      <c r="D344" s="15"/>
    </row>
    <row r="345">
      <c r="C345" s="15"/>
      <c r="D345" s="15"/>
    </row>
    <row r="346">
      <c r="C346" s="15"/>
      <c r="D346" s="15"/>
    </row>
    <row r="347">
      <c r="C347" s="15"/>
      <c r="D347" s="15"/>
    </row>
    <row r="348">
      <c r="C348" s="15"/>
      <c r="D348" s="15"/>
    </row>
    <row r="349">
      <c r="C349" s="15"/>
      <c r="D349" s="15"/>
    </row>
    <row r="350">
      <c r="C350" s="15"/>
      <c r="D350" s="15"/>
    </row>
    <row r="351">
      <c r="C351" s="15"/>
      <c r="D351" s="15"/>
    </row>
    <row r="352">
      <c r="C352" s="15"/>
      <c r="D352" s="15"/>
    </row>
    <row r="353">
      <c r="C353" s="15"/>
      <c r="D353" s="15"/>
    </row>
    <row r="354">
      <c r="C354" s="15"/>
      <c r="D354" s="15"/>
    </row>
    <row r="355">
      <c r="C355" s="15"/>
      <c r="D355" s="15"/>
    </row>
    <row r="356">
      <c r="C356" s="15"/>
      <c r="D356" s="15"/>
    </row>
    <row r="357">
      <c r="C357" s="15"/>
      <c r="D357" s="15"/>
    </row>
    <row r="358">
      <c r="C358" s="15"/>
      <c r="D358" s="15"/>
    </row>
    <row r="359">
      <c r="C359" s="15"/>
      <c r="D359" s="15"/>
    </row>
    <row r="360">
      <c r="C360" s="15"/>
      <c r="D360" s="15"/>
    </row>
    <row r="361">
      <c r="C361" s="15"/>
      <c r="D361" s="15"/>
    </row>
    <row r="362">
      <c r="C362" s="15"/>
      <c r="D362" s="15"/>
    </row>
    <row r="363">
      <c r="C363" s="15"/>
      <c r="D363" s="15"/>
    </row>
    <row r="364">
      <c r="C364" s="15"/>
      <c r="D364" s="15"/>
    </row>
    <row r="365">
      <c r="C365" s="15"/>
      <c r="D365" s="15"/>
    </row>
    <row r="366">
      <c r="C366" s="15"/>
      <c r="D366" s="15"/>
    </row>
    <row r="367">
      <c r="C367" s="15"/>
      <c r="D367" s="15"/>
    </row>
    <row r="368">
      <c r="C368" s="15"/>
      <c r="D368" s="15"/>
    </row>
    <row r="369">
      <c r="C369" s="15"/>
      <c r="D369" s="15"/>
    </row>
    <row r="370">
      <c r="C370" s="15"/>
      <c r="D370" s="15"/>
    </row>
    <row r="371">
      <c r="C371" s="15"/>
      <c r="D371" s="15"/>
    </row>
    <row r="372">
      <c r="C372" s="15"/>
      <c r="D372" s="15"/>
    </row>
    <row r="373">
      <c r="C373" s="15"/>
      <c r="D373" s="15"/>
    </row>
    <row r="374">
      <c r="C374" s="15"/>
      <c r="D374" s="15"/>
    </row>
    <row r="375">
      <c r="C375" s="15"/>
      <c r="D375" s="15"/>
    </row>
    <row r="376">
      <c r="C376" s="15"/>
      <c r="D376" s="15"/>
    </row>
    <row r="377">
      <c r="C377" s="15"/>
      <c r="D377" s="15"/>
    </row>
    <row r="378">
      <c r="C378" s="15"/>
      <c r="D378" s="15"/>
    </row>
    <row r="379">
      <c r="C379" s="15"/>
      <c r="D379" s="15"/>
    </row>
    <row r="380">
      <c r="C380" s="15"/>
      <c r="D380" s="15"/>
    </row>
    <row r="381">
      <c r="C381" s="15"/>
      <c r="D381" s="15"/>
    </row>
    <row r="382">
      <c r="C382" s="15"/>
      <c r="D382" s="15"/>
    </row>
    <row r="383">
      <c r="C383" s="15"/>
      <c r="D383" s="15"/>
    </row>
    <row r="384">
      <c r="C384" s="15"/>
      <c r="D384" s="15"/>
    </row>
    <row r="385">
      <c r="C385" s="15"/>
      <c r="D385" s="15"/>
    </row>
    <row r="386">
      <c r="C386" s="15"/>
      <c r="D386" s="15"/>
    </row>
    <row r="387">
      <c r="C387" s="15"/>
      <c r="D387" s="15"/>
    </row>
    <row r="388">
      <c r="C388" s="15"/>
      <c r="D388" s="15"/>
    </row>
    <row r="389">
      <c r="C389" s="15"/>
      <c r="D389" s="15"/>
    </row>
    <row r="390">
      <c r="C390" s="15"/>
      <c r="D390" s="15"/>
    </row>
    <row r="391">
      <c r="C391" s="15"/>
      <c r="D391" s="15"/>
    </row>
    <row r="392">
      <c r="C392" s="15"/>
      <c r="D392" s="15"/>
    </row>
    <row r="393">
      <c r="C393" s="15"/>
      <c r="D393" s="15"/>
    </row>
    <row r="394">
      <c r="C394" s="15"/>
      <c r="D394" s="15"/>
    </row>
    <row r="395">
      <c r="C395" s="15"/>
      <c r="D395" s="15"/>
    </row>
    <row r="396">
      <c r="C396" s="15"/>
      <c r="D396" s="15"/>
    </row>
    <row r="397">
      <c r="C397" s="15"/>
      <c r="D397" s="15"/>
    </row>
    <row r="398">
      <c r="C398" s="15"/>
      <c r="D398" s="15"/>
    </row>
    <row r="399">
      <c r="C399" s="15"/>
      <c r="D399" s="15"/>
    </row>
    <row r="400">
      <c r="C400" s="15"/>
      <c r="D400" s="15"/>
    </row>
    <row r="401">
      <c r="C401" s="15"/>
      <c r="D401" s="15"/>
    </row>
    <row r="402">
      <c r="C402" s="15"/>
      <c r="D402" s="15"/>
    </row>
    <row r="403">
      <c r="C403" s="15"/>
      <c r="D403" s="15"/>
    </row>
    <row r="404">
      <c r="C404" s="15"/>
      <c r="D404" s="15"/>
    </row>
    <row r="405">
      <c r="C405" s="15"/>
      <c r="D405" s="15"/>
    </row>
    <row r="406">
      <c r="C406" s="15"/>
      <c r="D406" s="15"/>
    </row>
    <row r="407">
      <c r="C407" s="15"/>
      <c r="D407" s="15"/>
    </row>
    <row r="408">
      <c r="C408" s="15"/>
      <c r="D408" s="15"/>
    </row>
    <row r="409">
      <c r="C409" s="15"/>
      <c r="D409" s="15"/>
    </row>
    <row r="410">
      <c r="C410" s="15"/>
      <c r="D410" s="15"/>
    </row>
    <row r="411">
      <c r="C411" s="15"/>
      <c r="D411" s="15"/>
    </row>
    <row r="412">
      <c r="C412" s="15"/>
      <c r="D412" s="15"/>
    </row>
    <row r="413">
      <c r="C413" s="15"/>
      <c r="D413" s="15"/>
    </row>
    <row r="414">
      <c r="C414" s="15"/>
      <c r="D414" s="15"/>
    </row>
    <row r="415">
      <c r="C415" s="15"/>
      <c r="D415" s="15"/>
    </row>
    <row r="416">
      <c r="C416" s="15"/>
      <c r="D416" s="15"/>
    </row>
    <row r="417">
      <c r="C417" s="15"/>
      <c r="D417" s="15"/>
    </row>
    <row r="418">
      <c r="C418" s="15"/>
      <c r="D418" s="15"/>
    </row>
    <row r="419">
      <c r="C419" s="15"/>
      <c r="D419" s="15"/>
    </row>
    <row r="420">
      <c r="C420" s="15"/>
      <c r="D420" s="15"/>
    </row>
    <row r="421">
      <c r="C421" s="15"/>
      <c r="D421" s="15"/>
    </row>
    <row r="422">
      <c r="C422" s="15"/>
      <c r="D422" s="15"/>
    </row>
    <row r="423">
      <c r="C423" s="15"/>
      <c r="D423" s="15"/>
    </row>
    <row r="424">
      <c r="C424" s="15"/>
      <c r="D424" s="15"/>
    </row>
    <row r="425">
      <c r="C425" s="15"/>
      <c r="D425" s="15"/>
    </row>
    <row r="426">
      <c r="C426" s="15"/>
      <c r="D426" s="15"/>
    </row>
    <row r="427">
      <c r="C427" s="15"/>
      <c r="D427" s="15"/>
    </row>
    <row r="428">
      <c r="C428" s="15"/>
      <c r="D428" s="15"/>
    </row>
    <row r="429">
      <c r="C429" s="15"/>
      <c r="D429" s="15"/>
    </row>
    <row r="430">
      <c r="C430" s="15"/>
      <c r="D430" s="15"/>
    </row>
    <row r="431">
      <c r="C431" s="15"/>
      <c r="D431" s="15"/>
    </row>
    <row r="432">
      <c r="C432" s="15"/>
      <c r="D432" s="15"/>
    </row>
    <row r="433">
      <c r="C433" s="15"/>
      <c r="D433" s="15"/>
    </row>
    <row r="434">
      <c r="C434" s="15"/>
      <c r="D434" s="15"/>
    </row>
    <row r="435">
      <c r="C435" s="15"/>
      <c r="D435" s="15"/>
    </row>
    <row r="436">
      <c r="C436" s="15"/>
      <c r="D436" s="15"/>
    </row>
    <row r="437">
      <c r="C437" s="15"/>
      <c r="D437" s="15"/>
    </row>
    <row r="438">
      <c r="C438" s="15"/>
      <c r="D438" s="15"/>
    </row>
    <row r="439">
      <c r="C439" s="15"/>
      <c r="D439" s="15"/>
    </row>
    <row r="440">
      <c r="C440" s="15"/>
      <c r="D440" s="15"/>
    </row>
    <row r="441">
      <c r="C441" s="15"/>
      <c r="D441" s="15"/>
    </row>
    <row r="442">
      <c r="C442" s="15"/>
      <c r="D442" s="15"/>
    </row>
    <row r="443">
      <c r="C443" s="15"/>
      <c r="D443" s="15"/>
    </row>
    <row r="444">
      <c r="C444" s="15"/>
      <c r="D444" s="15"/>
    </row>
    <row r="445">
      <c r="C445" s="15"/>
      <c r="D445" s="15"/>
    </row>
    <row r="446">
      <c r="C446" s="15"/>
      <c r="D446" s="15"/>
    </row>
    <row r="447">
      <c r="C447" s="15"/>
      <c r="D447" s="15"/>
    </row>
    <row r="448">
      <c r="C448" s="15"/>
      <c r="D448" s="15"/>
    </row>
    <row r="449">
      <c r="C449" s="15"/>
      <c r="D449" s="15"/>
    </row>
    <row r="450">
      <c r="C450" s="15"/>
      <c r="D450" s="15"/>
    </row>
    <row r="451">
      <c r="C451" s="15"/>
      <c r="D451" s="15"/>
    </row>
    <row r="452">
      <c r="C452" s="15"/>
      <c r="D452" s="15"/>
    </row>
    <row r="453">
      <c r="C453" s="15"/>
      <c r="D453" s="15"/>
    </row>
    <row r="454">
      <c r="C454" s="15"/>
      <c r="D454" s="15"/>
    </row>
    <row r="455">
      <c r="C455" s="15"/>
      <c r="D455" s="15"/>
    </row>
    <row r="456">
      <c r="C456" s="15"/>
      <c r="D456" s="15"/>
    </row>
    <row r="457">
      <c r="C457" s="15"/>
      <c r="D457" s="15"/>
    </row>
    <row r="458">
      <c r="C458" s="15"/>
      <c r="D458" s="15"/>
    </row>
    <row r="459">
      <c r="C459" s="15"/>
      <c r="D459" s="15"/>
    </row>
    <row r="460">
      <c r="C460" s="15"/>
      <c r="D460" s="15"/>
    </row>
    <row r="461">
      <c r="C461" s="15"/>
      <c r="D461" s="15"/>
    </row>
    <row r="462">
      <c r="C462" s="15"/>
      <c r="D462" s="15"/>
    </row>
    <row r="463">
      <c r="C463" s="15"/>
      <c r="D463" s="15"/>
    </row>
    <row r="464">
      <c r="C464" s="15"/>
      <c r="D464" s="15"/>
    </row>
    <row r="465">
      <c r="C465" s="15"/>
      <c r="D465" s="15"/>
    </row>
    <row r="466">
      <c r="C466" s="15"/>
      <c r="D466" s="15"/>
    </row>
    <row r="467">
      <c r="C467" s="15"/>
      <c r="D467" s="15"/>
    </row>
    <row r="468">
      <c r="C468" s="15"/>
      <c r="D468" s="15"/>
    </row>
    <row r="469">
      <c r="C469" s="15"/>
      <c r="D469" s="15"/>
    </row>
    <row r="470">
      <c r="C470" s="15"/>
      <c r="D470" s="15"/>
    </row>
    <row r="471">
      <c r="C471" s="15"/>
      <c r="D471" s="15"/>
    </row>
    <row r="472">
      <c r="C472" s="15"/>
      <c r="D472" s="15"/>
    </row>
    <row r="473">
      <c r="C473" s="15"/>
      <c r="D473" s="15"/>
    </row>
    <row r="474">
      <c r="C474" s="15"/>
      <c r="D474" s="15"/>
    </row>
    <row r="475">
      <c r="C475" s="15"/>
      <c r="D475" s="15"/>
    </row>
    <row r="476">
      <c r="C476" s="15"/>
      <c r="D476" s="15"/>
    </row>
    <row r="477">
      <c r="C477" s="15"/>
      <c r="D477" s="15"/>
    </row>
    <row r="478">
      <c r="C478" s="15"/>
      <c r="D478" s="15"/>
    </row>
    <row r="479">
      <c r="C479" s="15"/>
      <c r="D479" s="15"/>
    </row>
    <row r="480">
      <c r="C480" s="15"/>
      <c r="D480" s="15"/>
    </row>
    <row r="481">
      <c r="C481" s="15"/>
      <c r="D481" s="15"/>
    </row>
    <row r="482">
      <c r="C482" s="15"/>
      <c r="D482" s="15"/>
    </row>
    <row r="483">
      <c r="C483" s="15"/>
      <c r="D483" s="15"/>
    </row>
    <row r="484">
      <c r="C484" s="15"/>
      <c r="D484" s="15"/>
    </row>
    <row r="485">
      <c r="C485" s="15"/>
      <c r="D485" s="15"/>
    </row>
    <row r="486">
      <c r="C486" s="15"/>
      <c r="D486" s="15"/>
    </row>
    <row r="487">
      <c r="C487" s="15"/>
      <c r="D487" s="15"/>
    </row>
    <row r="488">
      <c r="C488" s="15"/>
      <c r="D488" s="15"/>
    </row>
    <row r="489">
      <c r="C489" s="15"/>
      <c r="D489" s="15"/>
    </row>
    <row r="490">
      <c r="C490" s="15"/>
      <c r="D490" s="15"/>
    </row>
    <row r="491">
      <c r="C491" s="15"/>
      <c r="D491" s="15"/>
    </row>
    <row r="492">
      <c r="C492" s="15"/>
      <c r="D492" s="15"/>
    </row>
    <row r="493">
      <c r="C493" s="15"/>
      <c r="D493" s="15"/>
    </row>
    <row r="494">
      <c r="C494" s="15"/>
      <c r="D494" s="15"/>
    </row>
    <row r="495">
      <c r="C495" s="15"/>
      <c r="D495" s="15"/>
    </row>
    <row r="496">
      <c r="C496" s="15"/>
      <c r="D496" s="15"/>
    </row>
    <row r="497">
      <c r="C497" s="15"/>
      <c r="D497" s="15"/>
    </row>
    <row r="498">
      <c r="C498" s="15"/>
      <c r="D498" s="15"/>
    </row>
    <row r="499">
      <c r="C499" s="15"/>
      <c r="D499" s="15"/>
    </row>
    <row r="500">
      <c r="C500" s="15"/>
      <c r="D500" s="15"/>
    </row>
    <row r="501">
      <c r="C501" s="15"/>
      <c r="D501" s="15"/>
    </row>
    <row r="502">
      <c r="C502" s="15"/>
      <c r="D502" s="15"/>
    </row>
    <row r="503">
      <c r="C503" s="15"/>
      <c r="D503" s="15"/>
    </row>
    <row r="504">
      <c r="C504" s="15"/>
      <c r="D504" s="15"/>
    </row>
    <row r="505">
      <c r="C505" s="15"/>
      <c r="D505" s="15"/>
    </row>
    <row r="506">
      <c r="C506" s="15"/>
      <c r="D506" s="15"/>
    </row>
    <row r="507">
      <c r="C507" s="15"/>
      <c r="D507" s="15"/>
    </row>
    <row r="508">
      <c r="C508" s="15"/>
      <c r="D508" s="15"/>
    </row>
    <row r="509">
      <c r="C509" s="15"/>
      <c r="D509" s="15"/>
    </row>
    <row r="510">
      <c r="C510" s="15"/>
      <c r="D510" s="15"/>
    </row>
    <row r="511">
      <c r="C511" s="15"/>
      <c r="D511" s="15"/>
    </row>
    <row r="512">
      <c r="C512" s="15"/>
      <c r="D512" s="15"/>
    </row>
    <row r="513">
      <c r="C513" s="15"/>
      <c r="D513" s="15"/>
    </row>
    <row r="514">
      <c r="C514" s="15"/>
      <c r="D514" s="15"/>
    </row>
    <row r="515">
      <c r="C515" s="15"/>
      <c r="D515" s="15"/>
    </row>
    <row r="516">
      <c r="C516" s="15"/>
      <c r="D516" s="15"/>
    </row>
    <row r="517">
      <c r="C517" s="15"/>
      <c r="D517" s="15"/>
    </row>
    <row r="518">
      <c r="C518" s="15"/>
      <c r="D518" s="15"/>
    </row>
    <row r="519">
      <c r="C519" s="15"/>
      <c r="D519" s="15"/>
    </row>
    <row r="520">
      <c r="C520" s="15"/>
      <c r="D520" s="15"/>
    </row>
    <row r="521">
      <c r="C521" s="15"/>
      <c r="D521" s="15"/>
    </row>
    <row r="522">
      <c r="C522" s="15"/>
      <c r="D522" s="15"/>
    </row>
    <row r="523">
      <c r="C523" s="15"/>
      <c r="D523" s="15"/>
    </row>
    <row r="524">
      <c r="C524" s="15"/>
      <c r="D524" s="15"/>
    </row>
    <row r="525">
      <c r="C525" s="15"/>
      <c r="D525" s="15"/>
    </row>
    <row r="526">
      <c r="C526" s="15"/>
      <c r="D526" s="15"/>
    </row>
    <row r="527">
      <c r="C527" s="15"/>
      <c r="D527" s="15"/>
    </row>
    <row r="528">
      <c r="C528" s="15"/>
      <c r="D528" s="15"/>
    </row>
    <row r="529">
      <c r="C529" s="15"/>
      <c r="D529" s="15"/>
    </row>
    <row r="530">
      <c r="C530" s="15"/>
      <c r="D530" s="15"/>
    </row>
    <row r="531">
      <c r="C531" s="15"/>
      <c r="D531" s="15"/>
    </row>
    <row r="532">
      <c r="C532" s="15"/>
      <c r="D532" s="15"/>
    </row>
    <row r="533">
      <c r="C533" s="15"/>
      <c r="D533" s="15"/>
    </row>
    <row r="534">
      <c r="C534" s="15"/>
      <c r="D534" s="15"/>
    </row>
    <row r="535">
      <c r="C535" s="15"/>
      <c r="D535" s="15"/>
    </row>
    <row r="536">
      <c r="C536" s="15"/>
      <c r="D536" s="15"/>
    </row>
    <row r="537">
      <c r="C537" s="15"/>
      <c r="D537" s="15"/>
    </row>
    <row r="538">
      <c r="C538" s="15"/>
      <c r="D538" s="15"/>
    </row>
    <row r="539">
      <c r="C539" s="15"/>
      <c r="D539" s="15"/>
    </row>
    <row r="540">
      <c r="C540" s="15"/>
      <c r="D540" s="15"/>
    </row>
    <row r="541">
      <c r="C541" s="15"/>
      <c r="D541" s="15"/>
    </row>
    <row r="542">
      <c r="C542" s="15"/>
      <c r="D542" s="15"/>
    </row>
    <row r="543">
      <c r="C543" s="15"/>
      <c r="D543" s="15"/>
    </row>
    <row r="544">
      <c r="C544" s="15"/>
      <c r="D544" s="15"/>
    </row>
    <row r="545">
      <c r="C545" s="15"/>
      <c r="D545" s="15"/>
    </row>
    <row r="546">
      <c r="C546" s="15"/>
      <c r="D546" s="15"/>
    </row>
    <row r="547">
      <c r="C547" s="15"/>
      <c r="D547" s="15"/>
    </row>
    <row r="548">
      <c r="C548" s="15"/>
      <c r="D548" s="15"/>
    </row>
    <row r="549">
      <c r="C549" s="15"/>
      <c r="D549" s="15"/>
    </row>
    <row r="550">
      <c r="C550" s="15"/>
      <c r="D550" s="15"/>
    </row>
    <row r="551">
      <c r="C551" s="15"/>
      <c r="D551" s="15"/>
    </row>
    <row r="552">
      <c r="C552" s="15"/>
      <c r="D552" s="15"/>
    </row>
    <row r="553">
      <c r="C553" s="15"/>
      <c r="D553" s="15"/>
    </row>
    <row r="554">
      <c r="C554" s="15"/>
      <c r="D554" s="15"/>
    </row>
    <row r="555">
      <c r="C555" s="15"/>
      <c r="D555" s="15"/>
    </row>
    <row r="556">
      <c r="C556" s="15"/>
      <c r="D556" s="15"/>
    </row>
    <row r="557">
      <c r="C557" s="15"/>
      <c r="D557" s="15"/>
    </row>
    <row r="558">
      <c r="C558" s="15"/>
      <c r="D558" s="15"/>
    </row>
    <row r="559">
      <c r="C559" s="15"/>
      <c r="D559" s="15"/>
    </row>
    <row r="560">
      <c r="C560" s="15"/>
      <c r="D560" s="15"/>
    </row>
    <row r="561">
      <c r="C561" s="15"/>
      <c r="D561" s="15"/>
    </row>
    <row r="562">
      <c r="C562" s="15"/>
      <c r="D562" s="15"/>
    </row>
    <row r="563">
      <c r="C563" s="15"/>
      <c r="D563" s="15"/>
    </row>
    <row r="564">
      <c r="C564" s="15"/>
      <c r="D564" s="15"/>
    </row>
    <row r="565">
      <c r="C565" s="15"/>
      <c r="D565" s="15"/>
    </row>
    <row r="566">
      <c r="C566" s="15"/>
      <c r="D566" s="15"/>
    </row>
    <row r="567">
      <c r="C567" s="15"/>
      <c r="D567" s="15"/>
    </row>
    <row r="568">
      <c r="C568" s="15"/>
      <c r="D568" s="15"/>
    </row>
    <row r="569">
      <c r="C569" s="15"/>
      <c r="D569" s="15"/>
    </row>
    <row r="570">
      <c r="C570" s="15"/>
      <c r="D570" s="15"/>
    </row>
    <row r="571">
      <c r="C571" s="15"/>
      <c r="D571" s="15"/>
    </row>
    <row r="572">
      <c r="C572" s="15"/>
      <c r="D572" s="15"/>
    </row>
    <row r="573">
      <c r="C573" s="15"/>
      <c r="D573" s="15"/>
    </row>
    <row r="574">
      <c r="C574" s="15"/>
      <c r="D574" s="15"/>
    </row>
    <row r="575">
      <c r="C575" s="15"/>
      <c r="D575" s="15"/>
    </row>
    <row r="576">
      <c r="C576" s="15"/>
      <c r="D576" s="15"/>
    </row>
    <row r="577">
      <c r="C577" s="15"/>
      <c r="D577" s="15"/>
    </row>
    <row r="578">
      <c r="C578" s="15"/>
      <c r="D578" s="15"/>
    </row>
    <row r="579">
      <c r="C579" s="15"/>
      <c r="D579" s="15"/>
    </row>
    <row r="580">
      <c r="C580" s="15"/>
      <c r="D580" s="15"/>
    </row>
    <row r="581">
      <c r="C581" s="15"/>
      <c r="D581" s="15"/>
    </row>
    <row r="582">
      <c r="C582" s="15"/>
      <c r="D582" s="15"/>
    </row>
    <row r="583">
      <c r="C583" s="15"/>
      <c r="D583" s="15"/>
    </row>
    <row r="584">
      <c r="C584" s="15"/>
      <c r="D584" s="15"/>
    </row>
    <row r="585">
      <c r="C585" s="15"/>
      <c r="D585" s="15"/>
    </row>
    <row r="586">
      <c r="C586" s="15"/>
      <c r="D586" s="15"/>
    </row>
    <row r="587">
      <c r="C587" s="15"/>
      <c r="D587" s="15"/>
    </row>
    <row r="588">
      <c r="C588" s="15"/>
      <c r="D588" s="15"/>
    </row>
    <row r="589">
      <c r="C589" s="15"/>
      <c r="D589" s="15"/>
    </row>
    <row r="590">
      <c r="C590" s="15"/>
      <c r="D590" s="15"/>
    </row>
    <row r="591">
      <c r="C591" s="15"/>
      <c r="D591" s="15"/>
    </row>
    <row r="592">
      <c r="C592" s="15"/>
      <c r="D592" s="15"/>
    </row>
    <row r="593">
      <c r="C593" s="15"/>
      <c r="D593" s="15"/>
    </row>
    <row r="594">
      <c r="C594" s="15"/>
      <c r="D594" s="15"/>
    </row>
    <row r="595">
      <c r="C595" s="15"/>
      <c r="D595" s="15"/>
    </row>
    <row r="596">
      <c r="C596" s="15"/>
      <c r="D596" s="15"/>
    </row>
    <row r="597">
      <c r="C597" s="15"/>
      <c r="D597" s="15"/>
    </row>
    <row r="598">
      <c r="C598" s="15"/>
      <c r="D598" s="15"/>
    </row>
    <row r="599">
      <c r="C599" s="15"/>
      <c r="D599" s="15"/>
    </row>
    <row r="600">
      <c r="C600" s="15"/>
      <c r="D600" s="15"/>
    </row>
    <row r="601">
      <c r="C601" s="15"/>
      <c r="D601" s="15"/>
    </row>
    <row r="602">
      <c r="C602" s="15"/>
      <c r="D602" s="15"/>
    </row>
    <row r="603">
      <c r="C603" s="15"/>
      <c r="D603" s="15"/>
    </row>
    <row r="604">
      <c r="C604" s="15"/>
      <c r="D604" s="15"/>
    </row>
    <row r="605">
      <c r="C605" s="15"/>
      <c r="D605" s="15"/>
    </row>
    <row r="606">
      <c r="C606" s="15"/>
      <c r="D606" s="15"/>
    </row>
    <row r="607">
      <c r="C607" s="15"/>
      <c r="D607" s="15"/>
    </row>
    <row r="608">
      <c r="C608" s="15"/>
      <c r="D608" s="15"/>
    </row>
    <row r="609">
      <c r="C609" s="15"/>
      <c r="D609" s="15"/>
    </row>
    <row r="610">
      <c r="C610" s="15"/>
      <c r="D610" s="15"/>
    </row>
    <row r="611">
      <c r="C611" s="15"/>
      <c r="D611" s="15"/>
    </row>
    <row r="612">
      <c r="C612" s="15"/>
      <c r="D612" s="15"/>
    </row>
    <row r="613">
      <c r="C613" s="15"/>
      <c r="D613" s="15"/>
    </row>
    <row r="614">
      <c r="C614" s="15"/>
      <c r="D614" s="15"/>
    </row>
    <row r="615">
      <c r="C615" s="15"/>
      <c r="D615" s="15"/>
    </row>
    <row r="616">
      <c r="C616" s="15"/>
      <c r="D616" s="15"/>
    </row>
    <row r="617">
      <c r="C617" s="15"/>
      <c r="D617" s="15"/>
    </row>
    <row r="618">
      <c r="C618" s="15"/>
      <c r="D618" s="15"/>
    </row>
    <row r="619">
      <c r="C619" s="15"/>
      <c r="D619" s="15"/>
    </row>
    <row r="620">
      <c r="C620" s="15"/>
      <c r="D620" s="15"/>
    </row>
    <row r="621">
      <c r="C621" s="15"/>
      <c r="D621" s="15"/>
    </row>
    <row r="622">
      <c r="C622" s="15"/>
      <c r="D622" s="15"/>
    </row>
    <row r="623">
      <c r="C623" s="15"/>
      <c r="D623" s="15"/>
    </row>
    <row r="624">
      <c r="C624" s="15"/>
      <c r="D624" s="15"/>
    </row>
    <row r="625">
      <c r="C625" s="15"/>
      <c r="D625" s="15"/>
    </row>
    <row r="626">
      <c r="C626" s="15"/>
      <c r="D626" s="15"/>
    </row>
    <row r="627">
      <c r="C627" s="15"/>
      <c r="D627" s="15"/>
    </row>
    <row r="628">
      <c r="C628" s="15"/>
      <c r="D628" s="15"/>
    </row>
    <row r="629">
      <c r="C629" s="15"/>
      <c r="D629" s="15"/>
    </row>
    <row r="630">
      <c r="C630" s="15"/>
      <c r="D630" s="15"/>
    </row>
    <row r="631">
      <c r="C631" s="15"/>
      <c r="D631" s="15"/>
    </row>
    <row r="632">
      <c r="C632" s="15"/>
      <c r="D632" s="15"/>
    </row>
    <row r="633">
      <c r="C633" s="15"/>
      <c r="D633" s="15"/>
    </row>
    <row r="634">
      <c r="C634" s="15"/>
      <c r="D634" s="15"/>
    </row>
    <row r="635">
      <c r="C635" s="15"/>
      <c r="D635" s="15"/>
    </row>
    <row r="636">
      <c r="C636" s="15"/>
      <c r="D636" s="15"/>
    </row>
    <row r="637">
      <c r="C637" s="15"/>
      <c r="D637" s="15"/>
    </row>
    <row r="638">
      <c r="C638" s="15"/>
      <c r="D638" s="15"/>
    </row>
    <row r="639">
      <c r="C639" s="15"/>
      <c r="D639" s="15"/>
    </row>
    <row r="640">
      <c r="C640" s="15"/>
      <c r="D640" s="15"/>
    </row>
    <row r="641">
      <c r="C641" s="15"/>
      <c r="D641" s="15"/>
    </row>
    <row r="642">
      <c r="C642" s="15"/>
      <c r="D642" s="15"/>
    </row>
    <row r="643">
      <c r="C643" s="15"/>
      <c r="D643" s="15"/>
    </row>
    <row r="644">
      <c r="C644" s="15"/>
      <c r="D644" s="15"/>
    </row>
    <row r="645">
      <c r="C645" s="15"/>
      <c r="D645" s="15"/>
    </row>
    <row r="646">
      <c r="C646" s="15"/>
      <c r="D646" s="15"/>
    </row>
    <row r="647">
      <c r="C647" s="15"/>
      <c r="D647" s="15"/>
    </row>
    <row r="648">
      <c r="C648" s="15"/>
      <c r="D648" s="15"/>
    </row>
    <row r="649">
      <c r="C649" s="15"/>
      <c r="D649" s="15"/>
    </row>
    <row r="650">
      <c r="C650" s="15"/>
      <c r="D650" s="15"/>
    </row>
    <row r="651">
      <c r="C651" s="15"/>
      <c r="D651" s="15"/>
    </row>
    <row r="652">
      <c r="C652" s="15"/>
      <c r="D652" s="15"/>
    </row>
    <row r="653">
      <c r="C653" s="15"/>
      <c r="D653" s="15"/>
    </row>
    <row r="654">
      <c r="C654" s="15"/>
      <c r="D654" s="15"/>
    </row>
    <row r="655">
      <c r="C655" s="15"/>
      <c r="D655" s="15"/>
    </row>
    <row r="656">
      <c r="C656" s="15"/>
      <c r="D656" s="15"/>
    </row>
    <row r="657">
      <c r="C657" s="15"/>
      <c r="D657" s="15"/>
    </row>
    <row r="658">
      <c r="C658" s="15"/>
      <c r="D658" s="15"/>
    </row>
    <row r="659">
      <c r="C659" s="15"/>
      <c r="D659" s="15"/>
    </row>
    <row r="660">
      <c r="C660" s="15"/>
      <c r="D660" s="15"/>
    </row>
    <row r="661">
      <c r="C661" s="15"/>
      <c r="D661" s="15"/>
    </row>
    <row r="662">
      <c r="C662" s="15"/>
      <c r="D662" s="15"/>
    </row>
    <row r="663">
      <c r="C663" s="15"/>
      <c r="D663" s="15"/>
    </row>
    <row r="664">
      <c r="C664" s="15"/>
      <c r="D664" s="15"/>
    </row>
    <row r="665">
      <c r="C665" s="15"/>
      <c r="D665" s="15"/>
    </row>
    <row r="666">
      <c r="C666" s="15"/>
      <c r="D666" s="15"/>
    </row>
    <row r="667">
      <c r="C667" s="15"/>
      <c r="D667" s="15"/>
    </row>
    <row r="668">
      <c r="C668" s="15"/>
      <c r="D668" s="15"/>
    </row>
    <row r="669">
      <c r="C669" s="15"/>
      <c r="D669" s="15"/>
    </row>
    <row r="670">
      <c r="C670" s="15"/>
      <c r="D670" s="15"/>
    </row>
    <row r="671">
      <c r="C671" s="15"/>
      <c r="D671" s="15"/>
    </row>
    <row r="672">
      <c r="C672" s="15"/>
      <c r="D672" s="15"/>
    </row>
    <row r="673">
      <c r="C673" s="15"/>
      <c r="D673" s="15"/>
    </row>
    <row r="674">
      <c r="C674" s="15"/>
      <c r="D674" s="15"/>
    </row>
    <row r="675">
      <c r="C675" s="15"/>
      <c r="D675" s="15"/>
    </row>
    <row r="676">
      <c r="C676" s="15"/>
      <c r="D676" s="15"/>
    </row>
    <row r="677">
      <c r="C677" s="15"/>
      <c r="D677" s="15"/>
    </row>
    <row r="678">
      <c r="C678" s="15"/>
      <c r="D678" s="15"/>
    </row>
    <row r="679">
      <c r="C679" s="15"/>
      <c r="D679" s="15"/>
    </row>
    <row r="680">
      <c r="C680" s="15"/>
      <c r="D680" s="15"/>
    </row>
    <row r="681">
      <c r="C681" s="15"/>
      <c r="D681" s="15"/>
    </row>
    <row r="682">
      <c r="C682" s="15"/>
      <c r="D682" s="15"/>
    </row>
    <row r="683">
      <c r="C683" s="15"/>
      <c r="D683" s="15"/>
    </row>
    <row r="684">
      <c r="C684" s="15"/>
      <c r="D684" s="15"/>
    </row>
    <row r="685">
      <c r="C685" s="15"/>
      <c r="D685" s="15"/>
    </row>
    <row r="686">
      <c r="C686" s="15"/>
      <c r="D686" s="15"/>
    </row>
    <row r="687">
      <c r="C687" s="15"/>
      <c r="D687" s="15"/>
    </row>
    <row r="688">
      <c r="C688" s="15"/>
      <c r="D688" s="15"/>
    </row>
    <row r="689">
      <c r="C689" s="15"/>
      <c r="D689" s="15"/>
    </row>
    <row r="690">
      <c r="C690" s="15"/>
      <c r="D690" s="15"/>
    </row>
    <row r="691">
      <c r="C691" s="15"/>
      <c r="D691" s="15"/>
    </row>
    <row r="692">
      <c r="C692" s="15"/>
      <c r="D692" s="15"/>
    </row>
    <row r="693">
      <c r="C693" s="15"/>
      <c r="D693" s="15"/>
    </row>
    <row r="694">
      <c r="C694" s="15"/>
      <c r="D694" s="15"/>
    </row>
    <row r="695">
      <c r="C695" s="15"/>
      <c r="D695" s="15"/>
    </row>
    <row r="696">
      <c r="C696" s="15"/>
      <c r="D696" s="15"/>
    </row>
    <row r="697">
      <c r="C697" s="15"/>
      <c r="D697" s="15"/>
    </row>
    <row r="698">
      <c r="C698" s="15"/>
      <c r="D698" s="15"/>
    </row>
    <row r="699">
      <c r="C699" s="15"/>
      <c r="D699" s="15"/>
    </row>
    <row r="700">
      <c r="C700" s="15"/>
      <c r="D700" s="15"/>
    </row>
    <row r="701">
      <c r="C701" s="15"/>
      <c r="D701" s="15"/>
    </row>
    <row r="702">
      <c r="C702" s="15"/>
      <c r="D702" s="15"/>
    </row>
    <row r="703">
      <c r="C703" s="15"/>
      <c r="D703" s="15"/>
    </row>
    <row r="704">
      <c r="C704" s="15"/>
      <c r="D704" s="15"/>
    </row>
    <row r="705">
      <c r="C705" s="15"/>
      <c r="D705" s="15"/>
    </row>
    <row r="706">
      <c r="C706" s="15"/>
      <c r="D706" s="15"/>
    </row>
    <row r="707">
      <c r="C707" s="15"/>
      <c r="D707" s="15"/>
    </row>
    <row r="708">
      <c r="C708" s="15"/>
      <c r="D708" s="15"/>
    </row>
    <row r="709">
      <c r="C709" s="15"/>
      <c r="D709" s="15"/>
    </row>
    <row r="710">
      <c r="C710" s="15"/>
      <c r="D710" s="15"/>
    </row>
    <row r="711">
      <c r="C711" s="15"/>
      <c r="D711" s="15"/>
    </row>
    <row r="712">
      <c r="C712" s="15"/>
      <c r="D712" s="15"/>
    </row>
    <row r="713">
      <c r="C713" s="15"/>
      <c r="D713" s="15"/>
    </row>
    <row r="714">
      <c r="C714" s="15"/>
      <c r="D714" s="15"/>
    </row>
    <row r="715">
      <c r="C715" s="15"/>
      <c r="D715" s="15"/>
    </row>
    <row r="716">
      <c r="C716" s="15"/>
      <c r="D716" s="15"/>
    </row>
    <row r="717">
      <c r="C717" s="15"/>
      <c r="D717" s="15"/>
    </row>
    <row r="718">
      <c r="C718" s="15"/>
      <c r="D718" s="15"/>
    </row>
    <row r="719">
      <c r="C719" s="15"/>
      <c r="D719" s="15"/>
    </row>
    <row r="720">
      <c r="C720" s="15"/>
      <c r="D720" s="15"/>
    </row>
    <row r="721">
      <c r="C721" s="15"/>
      <c r="D721" s="15"/>
    </row>
    <row r="722">
      <c r="C722" s="15"/>
      <c r="D722" s="15"/>
    </row>
    <row r="723">
      <c r="C723" s="15"/>
      <c r="D723" s="15"/>
    </row>
    <row r="724">
      <c r="C724" s="15"/>
      <c r="D724" s="15"/>
    </row>
    <row r="725">
      <c r="C725" s="15"/>
      <c r="D725" s="15"/>
    </row>
    <row r="726">
      <c r="C726" s="15"/>
      <c r="D726" s="15"/>
    </row>
    <row r="727">
      <c r="C727" s="15"/>
      <c r="D727" s="15"/>
    </row>
    <row r="728">
      <c r="C728" s="15"/>
      <c r="D728" s="15"/>
    </row>
    <row r="729">
      <c r="C729" s="15"/>
      <c r="D729" s="15"/>
    </row>
    <row r="730">
      <c r="C730" s="15"/>
      <c r="D730" s="15"/>
    </row>
    <row r="731">
      <c r="C731" s="15"/>
      <c r="D731" s="15"/>
    </row>
    <row r="732">
      <c r="C732" s="15"/>
      <c r="D732" s="15"/>
    </row>
    <row r="733">
      <c r="C733" s="15"/>
      <c r="D733" s="15"/>
    </row>
    <row r="734">
      <c r="C734" s="15"/>
      <c r="D734" s="15"/>
    </row>
    <row r="735">
      <c r="C735" s="15"/>
      <c r="D735" s="15"/>
    </row>
    <row r="736">
      <c r="C736" s="15"/>
      <c r="D736" s="15"/>
    </row>
    <row r="737">
      <c r="C737" s="15"/>
      <c r="D737" s="15"/>
    </row>
    <row r="738">
      <c r="C738" s="15"/>
      <c r="D738" s="15"/>
    </row>
    <row r="739">
      <c r="C739" s="15"/>
      <c r="D739" s="15"/>
    </row>
    <row r="740">
      <c r="C740" s="15"/>
      <c r="D740" s="15"/>
    </row>
    <row r="741">
      <c r="C741" s="15"/>
      <c r="D741" s="15"/>
    </row>
    <row r="742">
      <c r="C742" s="15"/>
      <c r="D742" s="15"/>
    </row>
    <row r="743">
      <c r="C743" s="15"/>
      <c r="D743" s="15"/>
    </row>
    <row r="744">
      <c r="C744" s="15"/>
      <c r="D744" s="15"/>
    </row>
    <row r="745">
      <c r="C745" s="15"/>
      <c r="D745" s="15"/>
    </row>
    <row r="746">
      <c r="C746" s="15"/>
      <c r="D746" s="15"/>
    </row>
    <row r="747">
      <c r="C747" s="15"/>
      <c r="D747" s="15"/>
    </row>
    <row r="748">
      <c r="C748" s="15"/>
      <c r="D748" s="15"/>
    </row>
    <row r="749">
      <c r="C749" s="15"/>
      <c r="D749" s="15"/>
    </row>
    <row r="750">
      <c r="C750" s="15"/>
      <c r="D750" s="15"/>
    </row>
    <row r="751">
      <c r="C751" s="15"/>
      <c r="D751" s="15"/>
    </row>
    <row r="752">
      <c r="C752" s="15"/>
      <c r="D752" s="15"/>
    </row>
    <row r="753">
      <c r="C753" s="15"/>
      <c r="D753" s="15"/>
    </row>
    <row r="754">
      <c r="C754" s="15"/>
      <c r="D754" s="15"/>
    </row>
    <row r="755">
      <c r="C755" s="15"/>
      <c r="D755" s="15"/>
    </row>
    <row r="756">
      <c r="C756" s="15"/>
      <c r="D756" s="15"/>
    </row>
    <row r="757">
      <c r="C757" s="15"/>
      <c r="D757" s="15"/>
    </row>
    <row r="758">
      <c r="C758" s="15"/>
      <c r="D758" s="15"/>
    </row>
    <row r="759">
      <c r="C759" s="15"/>
      <c r="D759" s="15"/>
    </row>
    <row r="760">
      <c r="C760" s="15"/>
      <c r="D760" s="15"/>
    </row>
    <row r="761">
      <c r="C761" s="15"/>
      <c r="D761" s="15"/>
    </row>
    <row r="762">
      <c r="C762" s="15"/>
      <c r="D762" s="15"/>
    </row>
    <row r="763">
      <c r="C763" s="15"/>
      <c r="D763" s="15"/>
    </row>
    <row r="764">
      <c r="C764" s="15"/>
      <c r="D764" s="15"/>
    </row>
    <row r="765">
      <c r="C765" s="15"/>
      <c r="D765" s="15"/>
    </row>
    <row r="766">
      <c r="C766" s="15"/>
      <c r="D766" s="15"/>
    </row>
    <row r="767">
      <c r="C767" s="15"/>
      <c r="D767" s="15"/>
    </row>
    <row r="768">
      <c r="C768" s="15"/>
      <c r="D768" s="15"/>
    </row>
    <row r="769">
      <c r="C769" s="15"/>
      <c r="D769" s="15"/>
    </row>
    <row r="770">
      <c r="C770" s="15"/>
      <c r="D770" s="15"/>
    </row>
    <row r="771">
      <c r="C771" s="15"/>
      <c r="D771" s="15"/>
    </row>
    <row r="772">
      <c r="C772" s="15"/>
      <c r="D772" s="15"/>
    </row>
    <row r="773">
      <c r="C773" s="15"/>
      <c r="D773" s="15"/>
    </row>
    <row r="774">
      <c r="C774" s="15"/>
      <c r="D774" s="15"/>
    </row>
    <row r="775">
      <c r="C775" s="15"/>
      <c r="D775" s="15"/>
    </row>
    <row r="776">
      <c r="C776" s="15"/>
      <c r="D776" s="15"/>
    </row>
    <row r="777">
      <c r="C777" s="15"/>
      <c r="D777" s="15"/>
    </row>
    <row r="778">
      <c r="C778" s="15"/>
      <c r="D778" s="15"/>
    </row>
    <row r="779">
      <c r="C779" s="15"/>
      <c r="D779" s="15"/>
    </row>
    <row r="780">
      <c r="C780" s="15"/>
      <c r="D780" s="15"/>
    </row>
    <row r="781">
      <c r="C781" s="15"/>
      <c r="D781" s="15"/>
    </row>
    <row r="782">
      <c r="C782" s="15"/>
      <c r="D782" s="15"/>
    </row>
    <row r="783">
      <c r="C783" s="15"/>
      <c r="D783" s="15"/>
    </row>
    <row r="784">
      <c r="C784" s="15"/>
      <c r="D784" s="15"/>
    </row>
    <row r="785">
      <c r="C785" s="15"/>
      <c r="D785" s="15"/>
    </row>
    <row r="786">
      <c r="C786" s="15"/>
      <c r="D786" s="15"/>
    </row>
    <row r="787">
      <c r="C787" s="15"/>
      <c r="D787" s="15"/>
    </row>
    <row r="788">
      <c r="C788" s="15"/>
      <c r="D788" s="15"/>
    </row>
    <row r="789">
      <c r="C789" s="15"/>
      <c r="D789" s="15"/>
    </row>
    <row r="790">
      <c r="C790" s="15"/>
      <c r="D790" s="15"/>
    </row>
    <row r="791">
      <c r="C791" s="15"/>
      <c r="D791" s="15"/>
    </row>
    <row r="792">
      <c r="C792" s="15"/>
      <c r="D792" s="15"/>
    </row>
    <row r="793">
      <c r="C793" s="15"/>
      <c r="D793" s="15"/>
    </row>
    <row r="794">
      <c r="C794" s="15"/>
      <c r="D794" s="15"/>
    </row>
    <row r="795">
      <c r="C795" s="15"/>
      <c r="D795" s="15"/>
    </row>
    <row r="796">
      <c r="C796" s="15"/>
      <c r="D796" s="15"/>
    </row>
    <row r="797">
      <c r="C797" s="15"/>
      <c r="D797" s="15"/>
    </row>
    <row r="798">
      <c r="C798" s="15"/>
      <c r="D798" s="15"/>
    </row>
    <row r="799">
      <c r="C799" s="15"/>
      <c r="D799" s="15"/>
    </row>
    <row r="800">
      <c r="C800" s="15"/>
      <c r="D800" s="15"/>
    </row>
    <row r="801">
      <c r="C801" s="15"/>
      <c r="D801" s="15"/>
    </row>
    <row r="802">
      <c r="C802" s="15"/>
      <c r="D802" s="15"/>
    </row>
    <row r="803">
      <c r="C803" s="15"/>
      <c r="D803" s="15"/>
    </row>
    <row r="804">
      <c r="C804" s="15"/>
      <c r="D804" s="15"/>
    </row>
    <row r="805">
      <c r="C805" s="15"/>
      <c r="D805" s="15"/>
    </row>
    <row r="806">
      <c r="C806" s="15"/>
      <c r="D806" s="15"/>
    </row>
    <row r="807">
      <c r="C807" s="15"/>
      <c r="D807" s="15"/>
    </row>
    <row r="808">
      <c r="C808" s="15"/>
      <c r="D808" s="15"/>
    </row>
    <row r="809">
      <c r="C809" s="15"/>
      <c r="D809" s="15"/>
    </row>
    <row r="810">
      <c r="C810" s="15"/>
      <c r="D810" s="15"/>
    </row>
    <row r="811">
      <c r="C811" s="15"/>
      <c r="D811" s="15"/>
    </row>
    <row r="812">
      <c r="C812" s="15"/>
      <c r="D812" s="15"/>
    </row>
    <row r="813">
      <c r="C813" s="15"/>
      <c r="D813" s="15"/>
    </row>
    <row r="814">
      <c r="C814" s="15"/>
      <c r="D814" s="15"/>
    </row>
    <row r="815">
      <c r="C815" s="15"/>
      <c r="D815" s="15"/>
    </row>
    <row r="816">
      <c r="C816" s="15"/>
      <c r="D816" s="15"/>
    </row>
    <row r="817">
      <c r="C817" s="15"/>
      <c r="D817" s="15"/>
    </row>
    <row r="818">
      <c r="C818" s="15"/>
      <c r="D818" s="15"/>
    </row>
    <row r="819">
      <c r="C819" s="15"/>
      <c r="D819" s="15"/>
    </row>
    <row r="820">
      <c r="C820" s="15"/>
      <c r="D820" s="15"/>
    </row>
    <row r="821">
      <c r="C821" s="15"/>
      <c r="D821" s="15"/>
    </row>
    <row r="822">
      <c r="C822" s="15"/>
      <c r="D822" s="15"/>
    </row>
    <row r="823">
      <c r="C823" s="15"/>
      <c r="D823" s="15"/>
    </row>
    <row r="824">
      <c r="C824" s="15"/>
      <c r="D824" s="15"/>
    </row>
    <row r="825">
      <c r="C825" s="15"/>
      <c r="D825" s="15"/>
    </row>
    <row r="826">
      <c r="C826" s="15"/>
      <c r="D826" s="15"/>
    </row>
    <row r="827">
      <c r="C827" s="15"/>
      <c r="D827" s="15"/>
    </row>
    <row r="828">
      <c r="C828" s="15"/>
      <c r="D828" s="15"/>
    </row>
    <row r="829">
      <c r="C829" s="15"/>
      <c r="D829" s="15"/>
    </row>
    <row r="830">
      <c r="C830" s="15"/>
      <c r="D830" s="15"/>
    </row>
    <row r="831">
      <c r="C831" s="15"/>
      <c r="D831" s="15"/>
    </row>
    <row r="832">
      <c r="C832" s="15"/>
      <c r="D832" s="15"/>
    </row>
    <row r="833">
      <c r="C833" s="15"/>
      <c r="D833" s="15"/>
    </row>
    <row r="834">
      <c r="C834" s="15"/>
      <c r="D834" s="15"/>
    </row>
    <row r="835">
      <c r="C835" s="15"/>
      <c r="D835" s="15"/>
    </row>
    <row r="836">
      <c r="C836" s="15"/>
      <c r="D836" s="15"/>
    </row>
    <row r="837">
      <c r="C837" s="15"/>
      <c r="D837" s="15"/>
    </row>
    <row r="838">
      <c r="C838" s="15"/>
      <c r="D838" s="15"/>
    </row>
    <row r="839">
      <c r="C839" s="15"/>
      <c r="D839" s="15"/>
    </row>
    <row r="840">
      <c r="C840" s="15"/>
      <c r="D840" s="15"/>
    </row>
    <row r="841">
      <c r="C841" s="15"/>
      <c r="D841" s="15"/>
    </row>
    <row r="842">
      <c r="C842" s="15"/>
      <c r="D842" s="15"/>
    </row>
    <row r="843">
      <c r="C843" s="15"/>
      <c r="D843" s="15"/>
    </row>
    <row r="844">
      <c r="C844" s="15"/>
      <c r="D844" s="15"/>
    </row>
    <row r="845">
      <c r="C845" s="15"/>
      <c r="D845" s="15"/>
    </row>
    <row r="846">
      <c r="C846" s="15"/>
      <c r="D846" s="15"/>
    </row>
    <row r="847">
      <c r="C847" s="15"/>
      <c r="D847" s="15"/>
    </row>
    <row r="848">
      <c r="C848" s="15"/>
      <c r="D848" s="15"/>
    </row>
    <row r="849">
      <c r="C849" s="15"/>
      <c r="D849" s="15"/>
    </row>
    <row r="850">
      <c r="C850" s="15"/>
      <c r="D850" s="15"/>
    </row>
    <row r="851">
      <c r="C851" s="15"/>
      <c r="D851" s="15"/>
    </row>
    <row r="852">
      <c r="C852" s="15"/>
      <c r="D852" s="15"/>
    </row>
    <row r="853">
      <c r="C853" s="15"/>
      <c r="D853" s="15"/>
    </row>
    <row r="854">
      <c r="C854" s="15"/>
      <c r="D854" s="15"/>
    </row>
    <row r="855">
      <c r="C855" s="15"/>
      <c r="D855" s="15"/>
    </row>
    <row r="856">
      <c r="C856" s="15"/>
      <c r="D856" s="15"/>
    </row>
    <row r="857">
      <c r="C857" s="15"/>
      <c r="D857" s="15"/>
    </row>
    <row r="858">
      <c r="C858" s="15"/>
      <c r="D858" s="15"/>
    </row>
    <row r="859">
      <c r="C859" s="15"/>
      <c r="D859" s="15"/>
    </row>
    <row r="860">
      <c r="C860" s="15"/>
      <c r="D860" s="15"/>
    </row>
    <row r="861">
      <c r="C861" s="15"/>
      <c r="D861" s="15"/>
    </row>
    <row r="862">
      <c r="C862" s="15"/>
      <c r="D862" s="15"/>
    </row>
    <row r="863">
      <c r="C863" s="15"/>
      <c r="D863" s="15"/>
    </row>
    <row r="864">
      <c r="C864" s="15"/>
      <c r="D864" s="15"/>
    </row>
    <row r="865">
      <c r="C865" s="15"/>
      <c r="D865" s="15"/>
    </row>
    <row r="866">
      <c r="C866" s="15"/>
      <c r="D866" s="15"/>
    </row>
    <row r="867">
      <c r="C867" s="15"/>
      <c r="D867" s="15"/>
    </row>
    <row r="868">
      <c r="C868" s="15"/>
      <c r="D868" s="15"/>
    </row>
    <row r="869">
      <c r="C869" s="15"/>
      <c r="D869" s="15"/>
    </row>
    <row r="870">
      <c r="C870" s="15"/>
      <c r="D870" s="15"/>
    </row>
    <row r="871">
      <c r="C871" s="15"/>
      <c r="D871" s="15"/>
    </row>
    <row r="872">
      <c r="C872" s="15"/>
      <c r="D872" s="15"/>
    </row>
    <row r="873">
      <c r="C873" s="15"/>
      <c r="D873" s="15"/>
    </row>
    <row r="874">
      <c r="C874" s="15"/>
      <c r="D874" s="15"/>
    </row>
    <row r="875">
      <c r="C875" s="15"/>
      <c r="D875" s="15"/>
    </row>
    <row r="876">
      <c r="C876" s="15"/>
      <c r="D876" s="15"/>
    </row>
    <row r="877">
      <c r="C877" s="15"/>
      <c r="D877" s="15"/>
    </row>
    <row r="878">
      <c r="C878" s="15"/>
      <c r="D878" s="15"/>
    </row>
    <row r="879">
      <c r="C879" s="15"/>
      <c r="D879" s="15"/>
    </row>
    <row r="880">
      <c r="C880" s="15"/>
      <c r="D880" s="15"/>
    </row>
    <row r="881">
      <c r="C881" s="15"/>
      <c r="D881" s="15"/>
    </row>
    <row r="882">
      <c r="C882" s="15"/>
      <c r="D882" s="15"/>
    </row>
    <row r="883">
      <c r="C883" s="15"/>
      <c r="D883" s="15"/>
    </row>
    <row r="884">
      <c r="C884" s="15"/>
      <c r="D884" s="15"/>
    </row>
    <row r="885">
      <c r="C885" s="15"/>
      <c r="D885" s="15"/>
    </row>
    <row r="886">
      <c r="C886" s="15"/>
      <c r="D886" s="15"/>
    </row>
    <row r="887">
      <c r="C887" s="15"/>
      <c r="D887" s="15"/>
    </row>
    <row r="888">
      <c r="C888" s="15"/>
      <c r="D888" s="15"/>
    </row>
    <row r="889">
      <c r="C889" s="15"/>
      <c r="D889" s="15"/>
    </row>
    <row r="890">
      <c r="C890" s="15"/>
      <c r="D890" s="15"/>
    </row>
    <row r="891">
      <c r="C891" s="15"/>
      <c r="D891" s="15"/>
    </row>
    <row r="892">
      <c r="C892" s="15"/>
      <c r="D892" s="15"/>
    </row>
    <row r="893">
      <c r="C893" s="15"/>
      <c r="D893" s="15"/>
    </row>
    <row r="894">
      <c r="C894" s="15"/>
      <c r="D894" s="15"/>
    </row>
    <row r="895">
      <c r="C895" s="15"/>
      <c r="D895" s="15"/>
    </row>
    <row r="896">
      <c r="C896" s="15"/>
      <c r="D896" s="15"/>
    </row>
    <row r="897">
      <c r="C897" s="15"/>
      <c r="D897" s="15"/>
    </row>
    <row r="898">
      <c r="C898" s="15"/>
      <c r="D898" s="15"/>
    </row>
    <row r="899">
      <c r="C899" s="15"/>
      <c r="D899" s="15"/>
    </row>
    <row r="900">
      <c r="C900" s="15"/>
      <c r="D900" s="15"/>
    </row>
    <row r="901">
      <c r="C901" s="15"/>
      <c r="D901" s="15"/>
    </row>
    <row r="902">
      <c r="C902" s="15"/>
      <c r="D902" s="15"/>
    </row>
    <row r="903">
      <c r="C903" s="15"/>
      <c r="D903" s="15"/>
    </row>
    <row r="904">
      <c r="C904" s="15"/>
      <c r="D904" s="15"/>
    </row>
    <row r="905">
      <c r="C905" s="15"/>
      <c r="D905" s="15"/>
    </row>
    <row r="906">
      <c r="C906" s="15"/>
      <c r="D906" s="15"/>
    </row>
    <row r="907">
      <c r="C907" s="15"/>
      <c r="D907" s="15"/>
    </row>
    <row r="908">
      <c r="C908" s="15"/>
      <c r="D908" s="15"/>
    </row>
    <row r="909">
      <c r="C909" s="15"/>
      <c r="D909" s="15"/>
    </row>
    <row r="910">
      <c r="C910" s="15"/>
      <c r="D910" s="15"/>
    </row>
    <row r="911">
      <c r="C911" s="15"/>
      <c r="D911" s="15"/>
    </row>
    <row r="912">
      <c r="C912" s="15"/>
      <c r="D912" s="15"/>
    </row>
    <row r="913">
      <c r="C913" s="15"/>
      <c r="D913" s="15"/>
    </row>
    <row r="914">
      <c r="C914" s="15"/>
      <c r="D914" s="15"/>
    </row>
    <row r="915">
      <c r="C915" s="15"/>
      <c r="D915" s="15"/>
    </row>
    <row r="916">
      <c r="C916" s="15"/>
      <c r="D916" s="15"/>
    </row>
    <row r="917">
      <c r="C917" s="15"/>
      <c r="D917" s="15"/>
    </row>
    <row r="918">
      <c r="C918" s="15"/>
      <c r="D918" s="15"/>
    </row>
    <row r="919">
      <c r="C919" s="15"/>
      <c r="D919" s="15"/>
    </row>
    <row r="920">
      <c r="C920" s="15"/>
      <c r="D920" s="15"/>
    </row>
    <row r="921">
      <c r="C921" s="15"/>
      <c r="D921" s="15"/>
    </row>
    <row r="922">
      <c r="C922" s="15"/>
      <c r="D922" s="15"/>
    </row>
    <row r="923">
      <c r="C923" s="15"/>
      <c r="D923" s="15"/>
    </row>
    <row r="924">
      <c r="C924" s="15"/>
      <c r="D924" s="15"/>
    </row>
    <row r="925">
      <c r="C925" s="15"/>
      <c r="D925" s="15"/>
    </row>
    <row r="926">
      <c r="C926" s="15"/>
      <c r="D926" s="15"/>
    </row>
    <row r="927">
      <c r="C927" s="15"/>
      <c r="D927" s="15"/>
    </row>
    <row r="928">
      <c r="C928" s="15"/>
      <c r="D928" s="15"/>
    </row>
    <row r="929">
      <c r="C929" s="15"/>
      <c r="D929" s="15"/>
    </row>
    <row r="930">
      <c r="C930" s="15"/>
      <c r="D930" s="15"/>
    </row>
    <row r="931">
      <c r="C931" s="15"/>
      <c r="D931" s="15"/>
    </row>
    <row r="932">
      <c r="C932" s="15"/>
      <c r="D932" s="15"/>
    </row>
    <row r="933">
      <c r="C933" s="15"/>
      <c r="D933" s="15"/>
    </row>
    <row r="934">
      <c r="C934" s="15"/>
      <c r="D934" s="15"/>
    </row>
    <row r="935">
      <c r="C935" s="15"/>
      <c r="D935" s="15"/>
    </row>
    <row r="936">
      <c r="C936" s="15"/>
      <c r="D936" s="15"/>
    </row>
    <row r="937">
      <c r="C937" s="15"/>
      <c r="D937" s="15"/>
    </row>
    <row r="938">
      <c r="C938" s="15"/>
      <c r="D938" s="15"/>
    </row>
    <row r="939">
      <c r="C939" s="15"/>
      <c r="D939" s="15"/>
    </row>
    <row r="940">
      <c r="C940" s="15"/>
      <c r="D940" s="15"/>
    </row>
    <row r="941">
      <c r="C941" s="15"/>
      <c r="D941" s="15"/>
    </row>
    <row r="942">
      <c r="C942" s="15"/>
      <c r="D942" s="15"/>
    </row>
    <row r="943">
      <c r="C943" s="15"/>
      <c r="D943" s="15"/>
    </row>
    <row r="944">
      <c r="C944" s="15"/>
      <c r="D944" s="15"/>
    </row>
    <row r="945">
      <c r="C945" s="15"/>
      <c r="D945" s="15"/>
    </row>
    <row r="946">
      <c r="C946" s="15"/>
      <c r="D946" s="15"/>
    </row>
    <row r="947">
      <c r="C947" s="15"/>
      <c r="D947" s="15"/>
    </row>
    <row r="948">
      <c r="C948" s="15"/>
      <c r="D948" s="15"/>
    </row>
    <row r="949">
      <c r="C949" s="15"/>
      <c r="D949" s="15"/>
    </row>
    <row r="950">
      <c r="C950" s="15"/>
      <c r="D950" s="15"/>
    </row>
    <row r="951">
      <c r="C951" s="15"/>
      <c r="D951" s="15"/>
    </row>
    <row r="952">
      <c r="C952" s="15"/>
      <c r="D952" s="15"/>
    </row>
    <row r="953">
      <c r="C953" s="15"/>
      <c r="D953" s="15"/>
    </row>
    <row r="954">
      <c r="C954" s="15"/>
      <c r="D954" s="15"/>
    </row>
    <row r="955">
      <c r="C955" s="15"/>
      <c r="D955" s="15"/>
    </row>
    <row r="956">
      <c r="C956" s="15"/>
      <c r="D956" s="15"/>
    </row>
    <row r="957">
      <c r="C957" s="15"/>
      <c r="D957" s="15"/>
    </row>
    <row r="958">
      <c r="C958" s="15"/>
      <c r="D958" s="15"/>
    </row>
    <row r="959">
      <c r="C959" s="15"/>
      <c r="D959" s="15"/>
    </row>
    <row r="960">
      <c r="C960" s="15"/>
      <c r="D960" s="15"/>
    </row>
    <row r="961">
      <c r="C961" s="15"/>
      <c r="D961" s="15"/>
    </row>
    <row r="962">
      <c r="C962" s="15"/>
      <c r="D962" s="15"/>
    </row>
    <row r="963">
      <c r="C963" s="15"/>
      <c r="D963" s="15"/>
    </row>
    <row r="964">
      <c r="C964" s="15"/>
      <c r="D964" s="15"/>
    </row>
    <row r="965">
      <c r="C965" s="15"/>
      <c r="D965" s="15"/>
    </row>
    <row r="966">
      <c r="C966" s="15"/>
      <c r="D966" s="15"/>
    </row>
    <row r="967">
      <c r="C967" s="15"/>
      <c r="D967" s="15"/>
    </row>
    <row r="968">
      <c r="C968" s="15"/>
      <c r="D968" s="15"/>
    </row>
    <row r="969">
      <c r="C969" s="15"/>
      <c r="D969" s="15"/>
    </row>
    <row r="970">
      <c r="C970" s="15"/>
      <c r="D970" s="15"/>
    </row>
    <row r="971">
      <c r="C971" s="15"/>
      <c r="D971" s="15"/>
    </row>
    <row r="972">
      <c r="C972" s="15"/>
      <c r="D972" s="15"/>
    </row>
    <row r="973">
      <c r="C973" s="15"/>
      <c r="D973" s="15"/>
    </row>
    <row r="974">
      <c r="C974" s="15"/>
      <c r="D974" s="15"/>
    </row>
    <row r="975">
      <c r="C975" s="15"/>
      <c r="D975" s="15"/>
    </row>
    <row r="976">
      <c r="C976" s="15"/>
      <c r="D976" s="15"/>
    </row>
    <row r="977">
      <c r="C977" s="15"/>
      <c r="D977" s="15"/>
    </row>
    <row r="978">
      <c r="C978" s="15"/>
      <c r="D978" s="15"/>
    </row>
    <row r="979">
      <c r="C979" s="15"/>
      <c r="D979" s="15"/>
    </row>
    <row r="980">
      <c r="C980" s="15"/>
      <c r="D980" s="15"/>
    </row>
    <row r="981">
      <c r="C981" s="15"/>
      <c r="D981" s="15"/>
    </row>
    <row r="982">
      <c r="C982" s="15"/>
      <c r="D982" s="15"/>
    </row>
    <row r="983">
      <c r="C983" s="15"/>
      <c r="D983" s="15"/>
    </row>
    <row r="984">
      <c r="C984" s="15"/>
      <c r="D984" s="15"/>
    </row>
    <row r="985">
      <c r="C985" s="15"/>
      <c r="D985" s="15"/>
    </row>
    <row r="986">
      <c r="C986" s="15"/>
      <c r="D986" s="15"/>
    </row>
    <row r="987">
      <c r="C987" s="15"/>
      <c r="D987" s="15"/>
    </row>
    <row r="988">
      <c r="C988" s="15"/>
      <c r="D988" s="15"/>
    </row>
    <row r="989">
      <c r="C989" s="15"/>
      <c r="D989" s="15"/>
    </row>
    <row r="990">
      <c r="C990" s="15"/>
      <c r="D990" s="15"/>
    </row>
    <row r="991">
      <c r="C991" s="15"/>
      <c r="D991" s="15"/>
    </row>
    <row r="992">
      <c r="C992" s="15"/>
      <c r="D992" s="15"/>
    </row>
    <row r="993">
      <c r="C993" s="15"/>
      <c r="D993" s="15"/>
    </row>
    <row r="994">
      <c r="C994" s="15"/>
      <c r="D994" s="15"/>
    </row>
    <row r="995">
      <c r="C995" s="15"/>
      <c r="D995" s="15"/>
    </row>
    <row r="996">
      <c r="C996" s="15"/>
      <c r="D996" s="15"/>
    </row>
    <row r="997">
      <c r="C997" s="15"/>
      <c r="D997" s="15"/>
    </row>
    <row r="998">
      <c r="C998" s="15"/>
      <c r="D998" s="15"/>
    </row>
    <row r="999">
      <c r="C999" s="15"/>
      <c r="D999" s="15"/>
    </row>
    <row r="1000">
      <c r="C1000" s="15"/>
      <c r="D1000" s="15"/>
    </row>
    <row r="1001">
      <c r="C1001" s="15"/>
      <c r="D1001" s="15"/>
    </row>
  </sheetData>
  <mergeCells count="1">
    <mergeCell ref="A1:D1"/>
  </mergeCells>
  <conditionalFormatting sqref="B3:B1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:C18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3:D18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5.88"/>
    <col customWidth="1" min="3" max="3" width="4.0"/>
    <col customWidth="1" min="4" max="4" width="5.0"/>
    <col customWidth="1" min="5" max="5" width="2.63"/>
    <col customWidth="1" min="6" max="6" width="4.5"/>
    <col customWidth="1" min="7" max="7" width="3.63"/>
    <col customWidth="1" min="8" max="8" width="4.5"/>
    <col customWidth="1" min="9" max="9" width="3.63"/>
    <col customWidth="1" min="10" max="10" width="3.88"/>
    <col customWidth="1" min="11" max="11" width="4.5"/>
    <col customWidth="1" min="12" max="12" width="4.13"/>
    <col customWidth="1" min="13" max="13" width="4.0"/>
    <col customWidth="1" min="14" max="14" width="4.25"/>
    <col customWidth="1" min="15" max="15" width="4.13"/>
    <col customWidth="1" min="16" max="16" width="4.5"/>
    <col customWidth="1" min="17" max="17" width="5.0"/>
    <col customWidth="1" min="18" max="18" width="5.25"/>
    <col customWidth="1" min="19" max="19" width="5.38"/>
    <col customWidth="1" min="20" max="20" width="10.13"/>
    <col customWidth="1" min="21" max="22" width="10.5"/>
    <col customWidth="1" min="24" max="24" width="12.88"/>
    <col customWidth="1" min="25" max="25" width="10.13"/>
  </cols>
  <sheetData>
    <row r="1">
      <c r="A1" s="5" t="str">
        <f>'Player Format Data'!A$1</f>
        <v>Player</v>
      </c>
      <c r="B1" s="5" t="str">
        <f>'Player Format Data'!B$1</f>
        <v>Pos</v>
      </c>
      <c r="C1" s="5" t="str">
        <f>'Player Format Data'!C$1</f>
        <v>Age</v>
      </c>
      <c r="D1" s="5" t="str">
        <f>'Player Format Data'!D$1</f>
        <v>Team</v>
      </c>
      <c r="E1" s="5" t="str">
        <f>'Player Format Data'!E$1</f>
        <v>G</v>
      </c>
      <c r="F1" s="5" t="str">
        <f>'Player Format Data'!F$1</f>
        <v>MIN</v>
      </c>
      <c r="G1" s="5" t="str">
        <f>'Player Format Data'!G$1</f>
        <v>FG</v>
      </c>
      <c r="H1" s="5" t="str">
        <f>'Player Format Data'!H$1</f>
        <v>FGA</v>
      </c>
      <c r="I1" s="5" t="str">
        <f>'Player Format Data'!I$1</f>
        <v>FT</v>
      </c>
      <c r="J1" s="5" t="str">
        <f>'Player Format Data'!J$1</f>
        <v>FTA</v>
      </c>
      <c r="K1" s="5" t="str">
        <f>'Player Format Data'!K$1</f>
        <v>TRB</v>
      </c>
      <c r="L1" s="5" t="str">
        <f>'Player Format Data'!L$1</f>
        <v>AST</v>
      </c>
      <c r="M1" s="5" t="str">
        <f>'Player Format Data'!M$1</f>
        <v>STL</v>
      </c>
      <c r="N1" s="5" t="str">
        <f>'Player Format Data'!N$1</f>
        <v>BLK</v>
      </c>
      <c r="O1" s="5" t="str">
        <f>'Player Format Data'!O$1</f>
        <v>TOV</v>
      </c>
      <c r="P1" s="5" t="str">
        <f>'Player Format Data'!P$1</f>
        <v>PTS</v>
      </c>
      <c r="Q1" s="5" t="str">
        <f>'Player Format Data'!Q$1</f>
        <v>FPTS</v>
      </c>
      <c r="R1" s="39" t="str">
        <f>'Player Format Data'!R$1</f>
        <v>FPPG</v>
      </c>
      <c r="S1" s="40" t="str">
        <f>'Player Format Data'!S$1</f>
        <v>FPPM</v>
      </c>
      <c r="T1" s="5" t="str">
        <f>'Player Format Data'!T$1</f>
        <v>FPTS RANK</v>
      </c>
      <c r="U1" s="5" t="str">
        <f>'Player Format Data'!U$1</f>
        <v>FPPG RANK</v>
      </c>
      <c r="V1" s="5" t="str">
        <f>'Player Format Data'!V$1</f>
        <v>FPPM RANK</v>
      </c>
      <c r="W1" s="41" t="str">
        <f>'Player Format Data'!W$1</f>
        <v>EDSA RANK</v>
      </c>
      <c r="X1" s="42" t="s">
        <v>1295</v>
      </c>
      <c r="Y1" s="43" t="s">
        <v>1296</v>
      </c>
      <c r="Z1" s="5"/>
    </row>
    <row r="2">
      <c r="A2" t="str">
        <f>IFERROR(__xludf.DUMMYFUNCTION("SORT(FILTER('Player Format Data'!A2:W2165,'Player Format Data'!A2:A2165&lt;&gt;""""),MATCH(X2,1:1,0),Y2)"),"Jalen Duren")</f>
        <v>Jalen Duren</v>
      </c>
      <c r="B2" t="str">
        <f>IFERROR(__xludf.DUMMYFUNCTION("""COMPUTED_VALUE"""),"C")</f>
        <v>C</v>
      </c>
      <c r="C2" t="str">
        <f>IFERROR(__xludf.DUMMYFUNCTION("""COMPUTED_VALUE"""),"23")</f>
        <v>23</v>
      </c>
      <c r="D2" t="str">
        <f>IFERROR(__xludf.DUMMYFUNCTION("""COMPUTED_VALUE"""),"DET")</f>
        <v>DET</v>
      </c>
      <c r="E2" t="str">
        <f>IFERROR(__xludf.DUMMYFUNCTION("""COMPUTED_VALUE"""),"1")</f>
        <v>1</v>
      </c>
      <c r="F2" t="str">
        <f>IFERROR(__xludf.DUMMYFUNCTION("""COMPUTED_VALUE"""),"28")</f>
        <v>28</v>
      </c>
      <c r="G2" t="str">
        <f>IFERROR(__xludf.DUMMYFUNCTION("""COMPUTED_VALUE"""),"8")</f>
        <v>8</v>
      </c>
      <c r="H2" t="str">
        <f>IFERROR(__xludf.DUMMYFUNCTION("""COMPUTED_VALUE"""),"13")</f>
        <v>13</v>
      </c>
      <c r="I2" t="str">
        <f>IFERROR(__xludf.DUMMYFUNCTION("""COMPUTED_VALUE"""),"6")</f>
        <v>6</v>
      </c>
      <c r="J2" t="str">
        <f>IFERROR(__xludf.DUMMYFUNCTION("""COMPUTED_VALUE"""),"7")</f>
        <v>7</v>
      </c>
      <c r="K2" t="str">
        <f>IFERROR(__xludf.DUMMYFUNCTION("""COMPUTED_VALUE"""),"9")</f>
        <v>9</v>
      </c>
      <c r="L2" t="str">
        <f>IFERROR(__xludf.DUMMYFUNCTION("""COMPUTED_VALUE"""),"1")</f>
        <v>1</v>
      </c>
      <c r="M2" t="str">
        <f>IFERROR(__xludf.DUMMYFUNCTION("""COMPUTED_VALUE"""),"1")</f>
        <v>1</v>
      </c>
      <c r="N2" t="str">
        <f>IFERROR(__xludf.DUMMYFUNCTION("""COMPUTED_VALUE"""),"1")</f>
        <v>1</v>
      </c>
      <c r="O2" t="str">
        <f>IFERROR(__xludf.DUMMYFUNCTION("""COMPUTED_VALUE"""),"1")</f>
        <v>1</v>
      </c>
      <c r="P2" t="str">
        <f>IFERROR(__xludf.DUMMYFUNCTION("""COMPUTED_VALUE"""),"22")</f>
        <v>22</v>
      </c>
      <c r="Q2">
        <f>IFERROR(__xludf.DUMMYFUNCTION("""COMPUTED_VALUE"""),27.0)</f>
        <v>27</v>
      </c>
      <c r="R2" s="9">
        <f>IFERROR(__xludf.DUMMYFUNCTION("""COMPUTED_VALUE"""),27.0)</f>
        <v>27</v>
      </c>
      <c r="S2" s="14">
        <f>IFERROR(__xludf.DUMMYFUNCTION("""COMPUTED_VALUE"""),0.9642857142857143)</f>
        <v>0.9642857143</v>
      </c>
      <c r="T2" s="15">
        <f>IFERROR(__xludf.DUMMYFUNCTION("""COMPUTED_VALUE"""),95.5)</f>
        <v>95.5</v>
      </c>
      <c r="U2" s="15">
        <f>IFERROR(__xludf.DUMMYFUNCTION("""COMPUTED_VALUE"""),95.5)</f>
        <v>95.5</v>
      </c>
      <c r="V2" s="15">
        <f>IFERROR(__xludf.DUMMYFUNCTION("""COMPUTED_VALUE"""),91.0)</f>
        <v>91</v>
      </c>
      <c r="W2" s="15">
        <f>IFERROR(__xludf.DUMMYFUNCTION("""COMPUTED_VALUE"""),730.98)</f>
        <v>730.98</v>
      </c>
      <c r="X2" s="44" t="s">
        <v>22</v>
      </c>
      <c r="Y2" s="45" t="b">
        <v>0</v>
      </c>
    </row>
    <row r="3">
      <c r="A3" t="str">
        <f>IFERROR(__xludf.DUMMYFUNCTION("""COMPUTED_VALUE"""),"Tyrese Maxey")</f>
        <v>Tyrese Maxey</v>
      </c>
      <c r="B3" t="str">
        <f>IFERROR(__xludf.DUMMYFUNCTION("""COMPUTED_VALUE"""),"PG")</f>
        <v>PG</v>
      </c>
      <c r="C3" t="str">
        <f>IFERROR(__xludf.DUMMYFUNCTION("""COMPUTED_VALUE"""),"26")</f>
        <v>26</v>
      </c>
      <c r="D3" t="str">
        <f>IFERROR(__xludf.DUMMYFUNCTION("""COMPUTED_VALUE"""),"PHI")</f>
        <v>PHI</v>
      </c>
      <c r="E3" t="str">
        <f>IFERROR(__xludf.DUMMYFUNCTION("""COMPUTED_VALUE"""),"1")</f>
        <v>1</v>
      </c>
      <c r="F3" t="str">
        <f>IFERROR(__xludf.DUMMYFUNCTION("""COMPUTED_VALUE"""),"40")</f>
        <v>40</v>
      </c>
      <c r="G3" t="str">
        <f>IFERROR(__xludf.DUMMYFUNCTION("""COMPUTED_VALUE"""),"9")</f>
        <v>9</v>
      </c>
      <c r="H3" t="str">
        <f>IFERROR(__xludf.DUMMYFUNCTION("""COMPUTED_VALUE"""),"19")</f>
        <v>19</v>
      </c>
      <c r="I3" t="str">
        <f>IFERROR(__xludf.DUMMYFUNCTION("""COMPUTED_VALUE"""),"8")</f>
        <v>8</v>
      </c>
      <c r="J3" t="str">
        <f>IFERROR(__xludf.DUMMYFUNCTION("""COMPUTED_VALUE"""),"9")</f>
        <v>9</v>
      </c>
      <c r="K3" t="str">
        <f>IFERROR(__xludf.DUMMYFUNCTION("""COMPUTED_VALUE"""),"4")</f>
        <v>4</v>
      </c>
      <c r="L3" t="str">
        <f>IFERROR(__xludf.DUMMYFUNCTION("""COMPUTED_VALUE"""),"5")</f>
        <v>5</v>
      </c>
      <c r="M3" t="str">
        <f>IFERROR(__xludf.DUMMYFUNCTION("""COMPUTED_VALUE"""),"3")</f>
        <v>3</v>
      </c>
      <c r="N3" t="str">
        <f>IFERROR(__xludf.DUMMYFUNCTION("""COMPUTED_VALUE"""),"3")</f>
        <v>3</v>
      </c>
      <c r="O3" t="str">
        <f>IFERROR(__xludf.DUMMYFUNCTION("""COMPUTED_VALUE"""),"2")</f>
        <v>2</v>
      </c>
      <c r="P3" t="str">
        <f>IFERROR(__xludf.DUMMYFUNCTION("""COMPUTED_VALUE"""),"28")</f>
        <v>28</v>
      </c>
      <c r="Q3">
        <f>IFERROR(__xludf.DUMMYFUNCTION("""COMPUTED_VALUE"""),30.0)</f>
        <v>30</v>
      </c>
      <c r="R3" s="9">
        <f>IFERROR(__xludf.DUMMYFUNCTION("""COMPUTED_VALUE"""),30.0)</f>
        <v>30</v>
      </c>
      <c r="S3" s="14">
        <f>IFERROR(__xludf.DUMMYFUNCTION("""COMPUTED_VALUE"""),0.75)</f>
        <v>0.75</v>
      </c>
      <c r="T3" s="15">
        <f>IFERROR(__xludf.DUMMYFUNCTION("""COMPUTED_VALUE"""),97.0)</f>
        <v>97</v>
      </c>
      <c r="U3" s="15">
        <f>IFERROR(__xludf.DUMMYFUNCTION("""COMPUTED_VALUE"""),97.0)</f>
        <v>97</v>
      </c>
      <c r="V3" s="15">
        <f>IFERROR(__xludf.DUMMYFUNCTION("""COMPUTED_VALUE"""),85.1)</f>
        <v>85.1</v>
      </c>
      <c r="W3" s="15">
        <f>IFERROR(__xludf.DUMMYFUNCTION("""COMPUTED_VALUE"""),713.195)</f>
        <v>713.195</v>
      </c>
    </row>
    <row r="4">
      <c r="A4" t="str">
        <f>IFERROR(__xludf.DUMMYFUNCTION("""COMPUTED_VALUE"""),"Shai Gilgeous-Alexander")</f>
        <v>Shai Gilgeous-Alexander</v>
      </c>
      <c r="B4" t="str">
        <f>IFERROR(__xludf.DUMMYFUNCTION("""COMPUTED_VALUE"""),"PG")</f>
        <v>PG</v>
      </c>
      <c r="C4" t="str">
        <f>IFERROR(__xludf.DUMMYFUNCTION("""COMPUTED_VALUE"""),"28")</f>
        <v>28</v>
      </c>
      <c r="D4" t="str">
        <f>IFERROR(__xludf.DUMMYFUNCTION("""COMPUTED_VALUE"""),"OKC")</f>
        <v>OKC</v>
      </c>
      <c r="E4" t="str">
        <f>IFERROR(__xludf.DUMMYFUNCTION("""COMPUTED_VALUE"""),"1")</f>
        <v>1</v>
      </c>
      <c r="F4" t="str">
        <f>IFERROR(__xludf.DUMMYFUNCTION("""COMPUTED_VALUE"""),"36")</f>
        <v>36</v>
      </c>
      <c r="G4" t="str">
        <f>IFERROR(__xludf.DUMMYFUNCTION("""COMPUTED_VALUE"""),"13")</f>
        <v>13</v>
      </c>
      <c r="H4" t="str">
        <f>IFERROR(__xludf.DUMMYFUNCTION("""COMPUTED_VALUE"""),"27")</f>
        <v>27</v>
      </c>
      <c r="I4" t="str">
        <f>IFERROR(__xludf.DUMMYFUNCTION("""COMPUTED_VALUE"""),"3")</f>
        <v>3</v>
      </c>
      <c r="J4" t="str">
        <f>IFERROR(__xludf.DUMMYFUNCTION("""COMPUTED_VALUE"""),"4")</f>
        <v>4</v>
      </c>
      <c r="K4" t="str">
        <f>IFERROR(__xludf.DUMMYFUNCTION("""COMPUTED_VALUE"""),"6")</f>
        <v>6</v>
      </c>
      <c r="L4" t="str">
        <f>IFERROR(__xludf.DUMMYFUNCTION("""COMPUTED_VALUE"""),"4")</f>
        <v>4</v>
      </c>
      <c r="M4" t="str">
        <f>IFERROR(__xludf.DUMMYFUNCTION("""COMPUTED_VALUE"""),"3")</f>
        <v>3</v>
      </c>
      <c r="N4" t="str">
        <f>IFERROR(__xludf.DUMMYFUNCTION("""COMPUTED_VALUE"""),"3")</f>
        <v>3</v>
      </c>
      <c r="O4" t="str">
        <f>IFERROR(__xludf.DUMMYFUNCTION("""COMPUTED_VALUE"""),"2")</f>
        <v>2</v>
      </c>
      <c r="P4" t="str">
        <f>IFERROR(__xludf.DUMMYFUNCTION("""COMPUTED_VALUE"""),"32")</f>
        <v>32</v>
      </c>
      <c r="Q4">
        <f>IFERROR(__xludf.DUMMYFUNCTION("""COMPUTED_VALUE"""),31.0)</f>
        <v>31</v>
      </c>
      <c r="R4" s="9">
        <f>IFERROR(__xludf.DUMMYFUNCTION("""COMPUTED_VALUE"""),31.0)</f>
        <v>31</v>
      </c>
      <c r="S4" s="14">
        <f>IFERROR(__xludf.DUMMYFUNCTION("""COMPUTED_VALUE"""),0.8611111111111112)</f>
        <v>0.8611111111</v>
      </c>
      <c r="T4" s="15">
        <f>IFERROR(__xludf.DUMMYFUNCTION("""COMPUTED_VALUE"""),98.5)</f>
        <v>98.5</v>
      </c>
      <c r="U4" s="15">
        <f>IFERROR(__xludf.DUMMYFUNCTION("""COMPUTED_VALUE"""),98.5)</f>
        <v>98.5</v>
      </c>
      <c r="V4" s="15">
        <f>IFERROR(__xludf.DUMMYFUNCTION("""COMPUTED_VALUE"""),86.6)</f>
        <v>86.6</v>
      </c>
      <c r="W4" s="15">
        <f>IFERROR(__xludf.DUMMYFUNCTION("""COMPUTED_VALUE"""),711.06)</f>
        <v>711.06</v>
      </c>
    </row>
    <row r="5">
      <c r="A5" t="str">
        <f>IFERROR(__xludf.DUMMYFUNCTION("""COMPUTED_VALUE"""),"Paul George")</f>
        <v>Paul George</v>
      </c>
      <c r="B5" t="str">
        <f>IFERROR(__xludf.DUMMYFUNCTION("""COMPUTED_VALUE"""),"PF")</f>
        <v>PF</v>
      </c>
      <c r="C5" t="str">
        <f>IFERROR(__xludf.DUMMYFUNCTION("""COMPUTED_VALUE"""),"36")</f>
        <v>36</v>
      </c>
      <c r="D5" t="str">
        <f>IFERROR(__xludf.DUMMYFUNCTION("""COMPUTED_VALUE"""),"BOS")</f>
        <v>BOS</v>
      </c>
      <c r="E5" t="str">
        <f>IFERROR(__xludf.DUMMYFUNCTION("""COMPUTED_VALUE"""),"1")</f>
        <v>1</v>
      </c>
      <c r="F5" t="str">
        <f>IFERROR(__xludf.DUMMYFUNCTION("""COMPUTED_VALUE"""),"31")</f>
        <v>31</v>
      </c>
      <c r="G5" t="str">
        <f>IFERROR(__xludf.DUMMYFUNCTION("""COMPUTED_VALUE"""),"12")</f>
        <v>12</v>
      </c>
      <c r="H5" t="str">
        <f>IFERROR(__xludf.DUMMYFUNCTION("""COMPUTED_VALUE"""),"21")</f>
        <v>21</v>
      </c>
      <c r="I5" t="str">
        <f>IFERROR(__xludf.DUMMYFUNCTION("""COMPUTED_VALUE"""),"7")</f>
        <v>7</v>
      </c>
      <c r="J5" t="str">
        <f>IFERROR(__xludf.DUMMYFUNCTION("""COMPUTED_VALUE"""),"8")</f>
        <v>8</v>
      </c>
      <c r="K5" t="str">
        <f>IFERROR(__xludf.DUMMYFUNCTION("""COMPUTED_VALUE"""),"5")</f>
        <v>5</v>
      </c>
      <c r="L5" t="str">
        <f>IFERROR(__xludf.DUMMYFUNCTION("""COMPUTED_VALUE"""),"3")</f>
        <v>3</v>
      </c>
      <c r="M5" t="str">
        <f>IFERROR(__xludf.DUMMYFUNCTION("""COMPUTED_VALUE"""),"5")</f>
        <v>5</v>
      </c>
      <c r="N5" t="str">
        <f>IFERROR(__xludf.DUMMYFUNCTION("""COMPUTED_VALUE"""),"0")</f>
        <v>0</v>
      </c>
      <c r="O5" t="str">
        <f>IFERROR(__xludf.DUMMYFUNCTION("""COMPUTED_VALUE"""),"3")</f>
        <v>3</v>
      </c>
      <c r="P5" t="str">
        <f>IFERROR(__xludf.DUMMYFUNCTION("""COMPUTED_VALUE"""),"38")</f>
        <v>38</v>
      </c>
      <c r="Q5">
        <f>IFERROR(__xludf.DUMMYFUNCTION("""COMPUTED_VALUE"""),38.0)</f>
        <v>38</v>
      </c>
      <c r="R5" s="9">
        <f>IFERROR(__xludf.DUMMYFUNCTION("""COMPUTED_VALUE"""),38.0)</f>
        <v>38</v>
      </c>
      <c r="S5" s="14">
        <f>IFERROR(__xludf.DUMMYFUNCTION("""COMPUTED_VALUE"""),1.2258064516129032)</f>
        <v>1.225806452</v>
      </c>
      <c r="T5" s="15">
        <f>IFERROR(__xludf.DUMMYFUNCTION("""COMPUTED_VALUE"""),100.0)</f>
        <v>100</v>
      </c>
      <c r="U5" s="15">
        <f>IFERROR(__xludf.DUMMYFUNCTION("""COMPUTED_VALUE"""),100.0)</f>
        <v>100</v>
      </c>
      <c r="V5" s="15">
        <f>IFERROR(__xludf.DUMMYFUNCTION("""COMPUTED_VALUE"""),100.0)</f>
        <v>100</v>
      </c>
      <c r="W5" s="15">
        <f>IFERROR(__xludf.DUMMYFUNCTION("""COMPUTED_VALUE"""),711.0)</f>
        <v>711</v>
      </c>
    </row>
    <row r="6">
      <c r="A6" t="str">
        <f>IFERROR(__xludf.DUMMYFUNCTION("""COMPUTED_VALUE"""),"Karl-Anthony Towns")</f>
        <v>Karl-Anthony Towns</v>
      </c>
      <c r="B6" t="str">
        <f>IFERROR(__xludf.DUMMYFUNCTION("""COMPUTED_VALUE"""),"C")</f>
        <v>C</v>
      </c>
      <c r="C6" t="str">
        <f>IFERROR(__xludf.DUMMYFUNCTION("""COMPUTED_VALUE"""),"31")</f>
        <v>31</v>
      </c>
      <c r="D6" t="str">
        <f>IFERROR(__xludf.DUMMYFUNCTION("""COMPUTED_VALUE"""),"NYK")</f>
        <v>NYK</v>
      </c>
      <c r="E6" t="str">
        <f>IFERROR(__xludf.DUMMYFUNCTION("""COMPUTED_VALUE"""),"1")</f>
        <v>1</v>
      </c>
      <c r="F6" t="str">
        <f>IFERROR(__xludf.DUMMYFUNCTION("""COMPUTED_VALUE"""),"24")</f>
        <v>24</v>
      </c>
      <c r="G6" t="str">
        <f>IFERROR(__xludf.DUMMYFUNCTION("""COMPUTED_VALUE"""),"6")</f>
        <v>6</v>
      </c>
      <c r="H6" t="str">
        <f>IFERROR(__xludf.DUMMYFUNCTION("""COMPUTED_VALUE"""),"9")</f>
        <v>9</v>
      </c>
      <c r="I6" t="str">
        <f>IFERROR(__xludf.DUMMYFUNCTION("""COMPUTED_VALUE"""),"4")</f>
        <v>4</v>
      </c>
      <c r="J6" t="str">
        <f>IFERROR(__xludf.DUMMYFUNCTION("""COMPUTED_VALUE"""),"7")</f>
        <v>7</v>
      </c>
      <c r="K6" t="str">
        <f>IFERROR(__xludf.DUMMYFUNCTION("""COMPUTED_VALUE"""),"12")</f>
        <v>12</v>
      </c>
      <c r="L6" t="str">
        <f>IFERROR(__xludf.DUMMYFUNCTION("""COMPUTED_VALUE"""),"1")</f>
        <v>1</v>
      </c>
      <c r="M6" t="str">
        <f>IFERROR(__xludf.DUMMYFUNCTION("""COMPUTED_VALUE"""),"1")</f>
        <v>1</v>
      </c>
      <c r="N6" t="str">
        <f>IFERROR(__xludf.DUMMYFUNCTION("""COMPUTED_VALUE"""),"2")</f>
        <v>2</v>
      </c>
      <c r="O6" t="str">
        <f>IFERROR(__xludf.DUMMYFUNCTION("""COMPUTED_VALUE"""),"4")</f>
        <v>4</v>
      </c>
      <c r="P6" t="str">
        <f>IFERROR(__xludf.DUMMYFUNCTION("""COMPUTED_VALUE"""),"19")</f>
        <v>19</v>
      </c>
      <c r="Q6">
        <f>IFERROR(__xludf.DUMMYFUNCTION("""COMPUTED_VALUE"""),25.0)</f>
        <v>25</v>
      </c>
      <c r="R6" s="9">
        <f>IFERROR(__xludf.DUMMYFUNCTION("""COMPUTED_VALUE"""),25.0)</f>
        <v>25</v>
      </c>
      <c r="S6" s="14">
        <f>IFERROR(__xludf.DUMMYFUNCTION("""COMPUTED_VALUE"""),1.0416666666666667)</f>
        <v>1.041666667</v>
      </c>
      <c r="T6" s="15">
        <f>IFERROR(__xludf.DUMMYFUNCTION("""COMPUTED_VALUE"""),92.5)</f>
        <v>92.5</v>
      </c>
      <c r="U6" s="15">
        <f>IFERROR(__xludf.DUMMYFUNCTION("""COMPUTED_VALUE"""),92.5)</f>
        <v>92.5</v>
      </c>
      <c r="V6" s="15">
        <f>IFERROR(__xludf.DUMMYFUNCTION("""COMPUTED_VALUE"""),98.5)</f>
        <v>98.5</v>
      </c>
      <c r="W6" s="15">
        <f>IFERROR(__xludf.DUMMYFUNCTION("""COMPUTED_VALUE"""),671.575)</f>
        <v>671.575</v>
      </c>
    </row>
    <row r="7">
      <c r="A7" t="str">
        <f>IFERROR(__xludf.DUMMYFUNCTION("""COMPUTED_VALUE"""),"Jared McCain")</f>
        <v>Jared McCain</v>
      </c>
      <c r="B7" t="str">
        <f>IFERROR(__xludf.DUMMYFUNCTION("""COMPUTED_VALUE"""),"SG")</f>
        <v>SG</v>
      </c>
      <c r="C7" t="str">
        <f>IFERROR(__xludf.DUMMYFUNCTION("""COMPUTED_VALUE"""),"22")</f>
        <v>22</v>
      </c>
      <c r="D7" t="str">
        <f>IFERROR(__xludf.DUMMYFUNCTION("""COMPUTED_VALUE"""),"OKC")</f>
        <v>OKC</v>
      </c>
      <c r="E7" t="str">
        <f>IFERROR(__xludf.DUMMYFUNCTION("""COMPUTED_VALUE"""),"1")</f>
        <v>1</v>
      </c>
      <c r="F7" t="str">
        <f>IFERROR(__xludf.DUMMYFUNCTION("""COMPUTED_VALUE"""),"22")</f>
        <v>22</v>
      </c>
      <c r="G7" t="str">
        <f>IFERROR(__xludf.DUMMYFUNCTION("""COMPUTED_VALUE"""),"7")</f>
        <v>7</v>
      </c>
      <c r="H7" t="str">
        <f>IFERROR(__xludf.DUMMYFUNCTION("""COMPUTED_VALUE"""),"9")</f>
        <v>9</v>
      </c>
      <c r="I7" t="str">
        <f>IFERROR(__xludf.DUMMYFUNCTION("""COMPUTED_VALUE"""),"0")</f>
        <v>0</v>
      </c>
      <c r="J7" t="str">
        <f>IFERROR(__xludf.DUMMYFUNCTION("""COMPUTED_VALUE"""),"0")</f>
        <v>0</v>
      </c>
      <c r="K7" t="str">
        <f>IFERROR(__xludf.DUMMYFUNCTION("""COMPUTED_VALUE"""),"2")</f>
        <v>2</v>
      </c>
      <c r="L7" t="str">
        <f>IFERROR(__xludf.DUMMYFUNCTION("""COMPUTED_VALUE"""),"2")</f>
        <v>2</v>
      </c>
      <c r="M7" t="str">
        <f>IFERROR(__xludf.DUMMYFUNCTION("""COMPUTED_VALUE"""),"1")</f>
        <v>1</v>
      </c>
      <c r="N7" t="str">
        <f>IFERROR(__xludf.DUMMYFUNCTION("""COMPUTED_VALUE"""),"0")</f>
        <v>0</v>
      </c>
      <c r="O7" t="str">
        <f>IFERROR(__xludf.DUMMYFUNCTION("""COMPUTED_VALUE"""),"2")</f>
        <v>2</v>
      </c>
      <c r="P7" t="str">
        <f>IFERROR(__xludf.DUMMYFUNCTION("""COMPUTED_VALUE"""),"20")</f>
        <v>20</v>
      </c>
      <c r="Q7">
        <f>IFERROR(__xludf.DUMMYFUNCTION("""COMPUTED_VALUE"""),21.0)</f>
        <v>21</v>
      </c>
      <c r="R7" s="9">
        <f>IFERROR(__xludf.DUMMYFUNCTION("""COMPUTED_VALUE"""),21.0)</f>
        <v>21</v>
      </c>
      <c r="S7" s="14">
        <f>IFERROR(__xludf.DUMMYFUNCTION("""COMPUTED_VALUE"""),0.9545454545454546)</f>
        <v>0.9545454545</v>
      </c>
      <c r="T7" s="15">
        <f>IFERROR(__xludf.DUMMYFUNCTION("""COMPUTED_VALUE"""),82.1)</f>
        <v>82.1</v>
      </c>
      <c r="U7" s="15">
        <f>IFERROR(__xludf.DUMMYFUNCTION("""COMPUTED_VALUE"""),82.1)</f>
        <v>82.1</v>
      </c>
      <c r="V7" s="15">
        <f>IFERROR(__xludf.DUMMYFUNCTION("""COMPUTED_VALUE"""),88.1)</f>
        <v>88.1</v>
      </c>
      <c r="W7" s="15">
        <f>IFERROR(__xludf.DUMMYFUNCTION("""COMPUTED_VALUE"""),655.231)</f>
        <v>655.231</v>
      </c>
    </row>
    <row r="8">
      <c r="A8" t="str">
        <f>IFERROR(__xludf.DUMMYFUNCTION("""COMPUTED_VALUE"""),"Jaylen Brown")</f>
        <v>Jaylen Brown</v>
      </c>
      <c r="B8" t="str">
        <f>IFERROR(__xludf.DUMMYFUNCTION("""COMPUTED_VALUE"""),"SF")</f>
        <v>SF</v>
      </c>
      <c r="C8" t="str">
        <f>IFERROR(__xludf.DUMMYFUNCTION("""COMPUTED_VALUE"""),"30")</f>
        <v>30</v>
      </c>
      <c r="D8" t="str">
        <f>IFERROR(__xludf.DUMMYFUNCTION("""COMPUTED_VALUE"""),"PHI")</f>
        <v>PHI</v>
      </c>
      <c r="E8" t="str">
        <f>IFERROR(__xludf.DUMMYFUNCTION("""COMPUTED_VALUE"""),"1")</f>
        <v>1</v>
      </c>
      <c r="F8" t="str">
        <f>IFERROR(__xludf.DUMMYFUNCTION("""COMPUTED_VALUE"""),"35")</f>
        <v>35</v>
      </c>
      <c r="G8" t="str">
        <f>IFERROR(__xludf.DUMMYFUNCTION("""COMPUTED_VALUE"""),"7")</f>
        <v>7</v>
      </c>
      <c r="H8" t="str">
        <f>IFERROR(__xludf.DUMMYFUNCTION("""COMPUTED_VALUE"""),"14")</f>
        <v>14</v>
      </c>
      <c r="I8" t="str">
        <f>IFERROR(__xludf.DUMMYFUNCTION("""COMPUTED_VALUE"""),"3")</f>
        <v>3</v>
      </c>
      <c r="J8" t="str">
        <f>IFERROR(__xludf.DUMMYFUNCTION("""COMPUTED_VALUE"""),"4")</f>
        <v>4</v>
      </c>
      <c r="K8" t="str">
        <f>IFERROR(__xludf.DUMMYFUNCTION("""COMPUTED_VALUE"""),"8")</f>
        <v>8</v>
      </c>
      <c r="L8" t="str">
        <f>IFERROR(__xludf.DUMMYFUNCTION("""COMPUTED_VALUE"""),"6")</f>
        <v>6</v>
      </c>
      <c r="M8" t="str">
        <f>IFERROR(__xludf.DUMMYFUNCTION("""COMPUTED_VALUE"""),"1")</f>
        <v>1</v>
      </c>
      <c r="N8" t="str">
        <f>IFERROR(__xludf.DUMMYFUNCTION("""COMPUTED_VALUE"""),"1")</f>
        <v>1</v>
      </c>
      <c r="O8" t="str">
        <f>IFERROR(__xludf.DUMMYFUNCTION("""COMPUTED_VALUE"""),"2")</f>
        <v>2</v>
      </c>
      <c r="P8" t="str">
        <f>IFERROR(__xludf.DUMMYFUNCTION("""COMPUTED_VALUE"""),"19")</f>
        <v>19</v>
      </c>
      <c r="Q8">
        <f>IFERROR(__xludf.DUMMYFUNCTION("""COMPUTED_VALUE"""),25.0)</f>
        <v>25</v>
      </c>
      <c r="R8" s="9">
        <f>IFERROR(__xludf.DUMMYFUNCTION("""COMPUTED_VALUE"""),25.0)</f>
        <v>25</v>
      </c>
      <c r="S8" s="14">
        <f>IFERROR(__xludf.DUMMYFUNCTION("""COMPUTED_VALUE"""),0.7142857142857143)</f>
        <v>0.7142857143</v>
      </c>
      <c r="T8" s="15">
        <f>IFERROR(__xludf.DUMMYFUNCTION("""COMPUTED_VALUE"""),92.5)</f>
        <v>92.5</v>
      </c>
      <c r="U8" s="15">
        <f>IFERROR(__xludf.DUMMYFUNCTION("""COMPUTED_VALUE"""),92.5)</f>
        <v>92.5</v>
      </c>
      <c r="V8" s="15">
        <f>IFERROR(__xludf.DUMMYFUNCTION("""COMPUTED_VALUE"""),79.10000000000001)</f>
        <v>79.1</v>
      </c>
      <c r="W8" s="15">
        <f>IFERROR(__xludf.DUMMYFUNCTION("""COMPUTED_VALUE"""),653.725)</f>
        <v>653.725</v>
      </c>
    </row>
    <row r="9">
      <c r="A9" t="str">
        <f>IFERROR(__xludf.DUMMYFUNCTION("""COMPUTED_VALUE"""),"De'Aaron Fox")</f>
        <v>De'Aaron Fox</v>
      </c>
      <c r="B9" t="str">
        <f>IFERROR(__xludf.DUMMYFUNCTION("""COMPUTED_VALUE"""),"PG")</f>
        <v>PG</v>
      </c>
      <c r="C9" t="str">
        <f>IFERROR(__xludf.DUMMYFUNCTION("""COMPUTED_VALUE"""),"29")</f>
        <v>29</v>
      </c>
      <c r="D9" t="str">
        <f>IFERROR(__xludf.DUMMYFUNCTION("""COMPUTED_VALUE"""),"SAS")</f>
        <v>SAS</v>
      </c>
      <c r="E9" t="str">
        <f>IFERROR(__xludf.DUMMYFUNCTION("""COMPUTED_VALUE"""),"1")</f>
        <v>1</v>
      </c>
      <c r="F9" t="str">
        <f>IFERROR(__xludf.DUMMYFUNCTION("""COMPUTED_VALUE"""),"32")</f>
        <v>32</v>
      </c>
      <c r="G9" t="str">
        <f>IFERROR(__xludf.DUMMYFUNCTION("""COMPUTED_VALUE"""),"6")</f>
        <v>6</v>
      </c>
      <c r="H9" t="str">
        <f>IFERROR(__xludf.DUMMYFUNCTION("""COMPUTED_VALUE"""),"9")</f>
        <v>9</v>
      </c>
      <c r="I9" t="str">
        <f>IFERROR(__xludf.DUMMYFUNCTION("""COMPUTED_VALUE"""),"2")</f>
        <v>2</v>
      </c>
      <c r="J9" t="str">
        <f>IFERROR(__xludf.DUMMYFUNCTION("""COMPUTED_VALUE"""),"3")</f>
        <v>3</v>
      </c>
      <c r="K9" t="str">
        <f>IFERROR(__xludf.DUMMYFUNCTION("""COMPUTED_VALUE"""),"7")</f>
        <v>7</v>
      </c>
      <c r="L9" t="str">
        <f>IFERROR(__xludf.DUMMYFUNCTION("""COMPUTED_VALUE"""),"7")</f>
        <v>7</v>
      </c>
      <c r="M9" t="str">
        <f>IFERROR(__xludf.DUMMYFUNCTION("""COMPUTED_VALUE"""),"1")</f>
        <v>1</v>
      </c>
      <c r="N9" t="str">
        <f>IFERROR(__xludf.DUMMYFUNCTION("""COMPUTED_VALUE"""),"0")</f>
        <v>0</v>
      </c>
      <c r="O9" t="str">
        <f>IFERROR(__xludf.DUMMYFUNCTION("""COMPUTED_VALUE"""),"2")</f>
        <v>2</v>
      </c>
      <c r="P9" t="str">
        <f>IFERROR(__xludf.DUMMYFUNCTION("""COMPUTED_VALUE"""),"14")</f>
        <v>14</v>
      </c>
      <c r="Q9">
        <f>IFERROR(__xludf.DUMMYFUNCTION("""COMPUTED_VALUE"""),23.0)</f>
        <v>23</v>
      </c>
      <c r="R9" s="9">
        <f>IFERROR(__xludf.DUMMYFUNCTION("""COMPUTED_VALUE"""),23.0)</f>
        <v>23</v>
      </c>
      <c r="S9" s="14">
        <f>IFERROR(__xludf.DUMMYFUNCTION("""COMPUTED_VALUE"""),0.71875)</f>
        <v>0.71875</v>
      </c>
      <c r="T9" s="15">
        <f>IFERROR(__xludf.DUMMYFUNCTION("""COMPUTED_VALUE"""),89.60000000000001)</f>
        <v>89.6</v>
      </c>
      <c r="U9" s="15">
        <f>IFERROR(__xludf.DUMMYFUNCTION("""COMPUTED_VALUE"""),89.60000000000001)</f>
        <v>89.6</v>
      </c>
      <c r="V9" s="15">
        <f>IFERROR(__xludf.DUMMYFUNCTION("""COMPUTED_VALUE"""),82.1)</f>
        <v>82.1</v>
      </c>
      <c r="W9" s="15">
        <f>IFERROR(__xludf.DUMMYFUNCTION("""COMPUTED_VALUE"""),646.881)</f>
        <v>646.881</v>
      </c>
    </row>
    <row r="10">
      <c r="A10" t="str">
        <f>IFERROR(__xludf.DUMMYFUNCTION("""COMPUTED_VALUE"""),"Andre Drummond")</f>
        <v>Andre Drummond</v>
      </c>
      <c r="B10" t="str">
        <f>IFERROR(__xludf.DUMMYFUNCTION("""COMPUTED_VALUE"""),"C")</f>
        <v>C</v>
      </c>
      <c r="C10" t="str">
        <f>IFERROR(__xludf.DUMMYFUNCTION("""COMPUTED_VALUE"""),"33")</f>
        <v>33</v>
      </c>
      <c r="D10" t="str">
        <f>IFERROR(__xludf.DUMMYFUNCTION("""COMPUTED_VALUE"""),"NYK")</f>
        <v>NYK</v>
      </c>
      <c r="E10" t="str">
        <f>IFERROR(__xludf.DUMMYFUNCTION("""COMPUTED_VALUE"""),"1")</f>
        <v>1</v>
      </c>
      <c r="F10" t="str">
        <f>IFERROR(__xludf.DUMMYFUNCTION("""COMPUTED_VALUE"""),"24")</f>
        <v>24</v>
      </c>
      <c r="G10" t="str">
        <f>IFERROR(__xludf.DUMMYFUNCTION("""COMPUTED_VALUE"""),"5")</f>
        <v>5</v>
      </c>
      <c r="H10" t="str">
        <f>IFERROR(__xludf.DUMMYFUNCTION("""COMPUTED_VALUE"""),"13")</f>
        <v>13</v>
      </c>
      <c r="I10" t="str">
        <f>IFERROR(__xludf.DUMMYFUNCTION("""COMPUTED_VALUE"""),"2")</f>
        <v>2</v>
      </c>
      <c r="J10" t="str">
        <f>IFERROR(__xludf.DUMMYFUNCTION("""COMPUTED_VALUE"""),"4")</f>
        <v>4</v>
      </c>
      <c r="K10" t="str">
        <f>IFERROR(__xludf.DUMMYFUNCTION("""COMPUTED_VALUE"""),"14")</f>
        <v>14</v>
      </c>
      <c r="L10" t="str">
        <f>IFERROR(__xludf.DUMMYFUNCTION("""COMPUTED_VALUE"""),"4")</f>
        <v>4</v>
      </c>
      <c r="M10" t="str">
        <f>IFERROR(__xludf.DUMMYFUNCTION("""COMPUTED_VALUE"""),"1")</f>
        <v>1</v>
      </c>
      <c r="N10" t="str">
        <f>IFERROR(__xludf.DUMMYFUNCTION("""COMPUTED_VALUE"""),"2")</f>
        <v>2</v>
      </c>
      <c r="O10" t="str">
        <f>IFERROR(__xludf.DUMMYFUNCTION("""COMPUTED_VALUE"""),"0")</f>
        <v>0</v>
      </c>
      <c r="P10" t="str">
        <f>IFERROR(__xludf.DUMMYFUNCTION("""COMPUTED_VALUE"""),"12")</f>
        <v>12</v>
      </c>
      <c r="Q10">
        <f>IFERROR(__xludf.DUMMYFUNCTION("""COMPUTED_VALUE"""),23.0)</f>
        <v>23</v>
      </c>
      <c r="R10" s="9">
        <f>IFERROR(__xludf.DUMMYFUNCTION("""COMPUTED_VALUE"""),23.0)</f>
        <v>23</v>
      </c>
      <c r="S10" s="14">
        <f>IFERROR(__xludf.DUMMYFUNCTION("""COMPUTED_VALUE"""),0.9583333333333334)</f>
        <v>0.9583333333</v>
      </c>
      <c r="T10" s="15">
        <f>IFERROR(__xludf.DUMMYFUNCTION("""COMPUTED_VALUE"""),89.60000000000001)</f>
        <v>89.6</v>
      </c>
      <c r="U10" s="15">
        <f>IFERROR(__xludf.DUMMYFUNCTION("""COMPUTED_VALUE"""),89.60000000000001)</f>
        <v>89.6</v>
      </c>
      <c r="V10" s="15">
        <f>IFERROR(__xludf.DUMMYFUNCTION("""COMPUTED_VALUE"""),89.60000000000001)</f>
        <v>89.6</v>
      </c>
      <c r="W10" s="15">
        <f>IFERROR(__xludf.DUMMYFUNCTION("""COMPUTED_VALUE"""),637.056)</f>
        <v>637.056</v>
      </c>
    </row>
    <row r="11">
      <c r="A11" t="str">
        <f>IFERROR(__xludf.DUMMYFUNCTION("""COMPUTED_VALUE"""),"Chet Holmgren")</f>
        <v>Chet Holmgren</v>
      </c>
      <c r="B11" t="str">
        <f>IFERROR(__xludf.DUMMYFUNCTION("""COMPUTED_VALUE"""),"C")</f>
        <v>C</v>
      </c>
      <c r="C11" t="str">
        <f>IFERROR(__xludf.DUMMYFUNCTION("""COMPUTED_VALUE"""),"24")</f>
        <v>24</v>
      </c>
      <c r="D11" t="str">
        <f>IFERROR(__xludf.DUMMYFUNCTION("""COMPUTED_VALUE"""),"OKC")</f>
        <v>OKC</v>
      </c>
      <c r="E11" t="str">
        <f>IFERROR(__xludf.DUMMYFUNCTION("""COMPUTED_VALUE"""),"1")</f>
        <v>1</v>
      </c>
      <c r="F11" t="str">
        <f>IFERROR(__xludf.DUMMYFUNCTION("""COMPUTED_VALUE"""),"31")</f>
        <v>31</v>
      </c>
      <c r="G11" t="str">
        <f>IFERROR(__xludf.DUMMYFUNCTION("""COMPUTED_VALUE"""),"3")</f>
        <v>3</v>
      </c>
      <c r="H11" t="str">
        <f>IFERROR(__xludf.DUMMYFUNCTION("""COMPUTED_VALUE"""),"8")</f>
        <v>8</v>
      </c>
      <c r="I11" t="str">
        <f>IFERROR(__xludf.DUMMYFUNCTION("""COMPUTED_VALUE"""),"8")</f>
        <v>8</v>
      </c>
      <c r="J11" t="str">
        <f>IFERROR(__xludf.DUMMYFUNCTION("""COMPUTED_VALUE"""),"8")</f>
        <v>8</v>
      </c>
      <c r="K11" t="str">
        <f>IFERROR(__xludf.DUMMYFUNCTION("""COMPUTED_VALUE"""),"7")</f>
        <v>7</v>
      </c>
      <c r="L11" t="str">
        <f>IFERROR(__xludf.DUMMYFUNCTION("""COMPUTED_VALUE"""),"2")</f>
        <v>2</v>
      </c>
      <c r="M11" t="str">
        <f>IFERROR(__xludf.DUMMYFUNCTION("""COMPUTED_VALUE"""),"0")</f>
        <v>0</v>
      </c>
      <c r="N11" t="str">
        <f>IFERROR(__xludf.DUMMYFUNCTION("""COMPUTED_VALUE"""),"4")</f>
        <v>4</v>
      </c>
      <c r="O11" t="str">
        <f>IFERROR(__xludf.DUMMYFUNCTION("""COMPUTED_VALUE"""),"1")</f>
        <v>1</v>
      </c>
      <c r="P11" t="str">
        <f>IFERROR(__xludf.DUMMYFUNCTION("""COMPUTED_VALUE"""),"14")</f>
        <v>14</v>
      </c>
      <c r="Q11">
        <f>IFERROR(__xludf.DUMMYFUNCTION("""COMPUTED_VALUE"""),21.0)</f>
        <v>21</v>
      </c>
      <c r="R11" s="9">
        <f>IFERROR(__xludf.DUMMYFUNCTION("""COMPUTED_VALUE"""),21.0)</f>
        <v>21</v>
      </c>
      <c r="S11" s="14">
        <f>IFERROR(__xludf.DUMMYFUNCTION("""COMPUTED_VALUE"""),0.6774193548387096)</f>
        <v>0.6774193548</v>
      </c>
      <c r="T11" s="15">
        <f>IFERROR(__xludf.DUMMYFUNCTION("""COMPUTED_VALUE"""),82.1)</f>
        <v>82.1</v>
      </c>
      <c r="U11" s="15">
        <f>IFERROR(__xludf.DUMMYFUNCTION("""COMPUTED_VALUE"""),82.1)</f>
        <v>82.1</v>
      </c>
      <c r="V11" s="15">
        <f>IFERROR(__xludf.DUMMYFUNCTION("""COMPUTED_VALUE"""),74.6)</f>
        <v>74.6</v>
      </c>
      <c r="W11" s="15">
        <f>IFERROR(__xludf.DUMMYFUNCTION("""COMPUTED_VALUE"""),625.5559999999999)</f>
        <v>625.556</v>
      </c>
    </row>
    <row r="12">
      <c r="A12" t="str">
        <f>IFERROR(__xludf.DUMMYFUNCTION("""COMPUTED_VALUE"""),"Ausar Thompson")</f>
        <v>Ausar Thompson</v>
      </c>
      <c r="B12" t="str">
        <f>IFERROR(__xludf.DUMMYFUNCTION("""COMPUTED_VALUE"""),"SF")</f>
        <v>SF</v>
      </c>
      <c r="C12" t="str">
        <f>IFERROR(__xludf.DUMMYFUNCTION("""COMPUTED_VALUE"""),"24")</f>
        <v>24</v>
      </c>
      <c r="D12" t="str">
        <f>IFERROR(__xludf.DUMMYFUNCTION("""COMPUTED_VALUE"""),"DET")</f>
        <v>DET</v>
      </c>
      <c r="E12" t="str">
        <f>IFERROR(__xludf.DUMMYFUNCTION("""COMPUTED_VALUE"""),"1")</f>
        <v>1</v>
      </c>
      <c r="F12" t="str">
        <f>IFERROR(__xludf.DUMMYFUNCTION("""COMPUTED_VALUE"""),"33")</f>
        <v>33</v>
      </c>
      <c r="G12" t="str">
        <f>IFERROR(__xludf.DUMMYFUNCTION("""COMPUTED_VALUE"""),"4")</f>
        <v>4</v>
      </c>
      <c r="H12" t="str">
        <f>IFERROR(__xludf.DUMMYFUNCTION("""COMPUTED_VALUE"""),"8")</f>
        <v>8</v>
      </c>
      <c r="I12" t="str">
        <f>IFERROR(__xludf.DUMMYFUNCTION("""COMPUTED_VALUE"""),"3")</f>
        <v>3</v>
      </c>
      <c r="J12" t="str">
        <f>IFERROR(__xludf.DUMMYFUNCTION("""COMPUTED_VALUE"""),"3")</f>
        <v>3</v>
      </c>
      <c r="K12" t="str">
        <f>IFERROR(__xludf.DUMMYFUNCTION("""COMPUTED_VALUE"""),"11")</f>
        <v>11</v>
      </c>
      <c r="L12" t="str">
        <f>IFERROR(__xludf.DUMMYFUNCTION("""COMPUTED_VALUE"""),"5")</f>
        <v>5</v>
      </c>
      <c r="M12" t="str">
        <f>IFERROR(__xludf.DUMMYFUNCTION("""COMPUTED_VALUE"""),"1")</f>
        <v>1</v>
      </c>
      <c r="N12" t="str">
        <f>IFERROR(__xludf.DUMMYFUNCTION("""COMPUTED_VALUE"""),"0")</f>
        <v>0</v>
      </c>
      <c r="O12" t="str">
        <f>IFERROR(__xludf.DUMMYFUNCTION("""COMPUTED_VALUE"""),"3")</f>
        <v>3</v>
      </c>
      <c r="P12" t="str">
        <f>IFERROR(__xludf.DUMMYFUNCTION("""COMPUTED_VALUE"""),"11")</f>
        <v>11</v>
      </c>
      <c r="Q12">
        <f>IFERROR(__xludf.DUMMYFUNCTION("""COMPUTED_VALUE"""),21.0)</f>
        <v>21</v>
      </c>
      <c r="R12" s="9">
        <f>IFERROR(__xludf.DUMMYFUNCTION("""COMPUTED_VALUE"""),21.0)</f>
        <v>21</v>
      </c>
      <c r="S12" s="14">
        <f>IFERROR(__xludf.DUMMYFUNCTION("""COMPUTED_VALUE"""),0.6363636363636364)</f>
        <v>0.6363636364</v>
      </c>
      <c r="T12" s="15">
        <f>IFERROR(__xludf.DUMMYFUNCTION("""COMPUTED_VALUE"""),82.1)</f>
        <v>82.1</v>
      </c>
      <c r="U12" s="15">
        <f>IFERROR(__xludf.DUMMYFUNCTION("""COMPUTED_VALUE"""),82.1)</f>
        <v>82.1</v>
      </c>
      <c r="V12" s="15">
        <f>IFERROR(__xludf.DUMMYFUNCTION("""COMPUTED_VALUE"""),71.6)</f>
        <v>71.6</v>
      </c>
      <c r="W12" s="15">
        <f>IFERROR(__xludf.DUMMYFUNCTION("""COMPUTED_VALUE"""),621.8059999999999)</f>
        <v>621.806</v>
      </c>
    </row>
    <row r="13">
      <c r="A13" t="str">
        <f>IFERROR(__xludf.DUMMYFUNCTION("""COMPUTED_VALUE"""),"Cade Cunningham")</f>
        <v>Cade Cunningham</v>
      </c>
      <c r="B13" t="str">
        <f>IFERROR(__xludf.DUMMYFUNCTION("""COMPUTED_VALUE"""),"PG")</f>
        <v>PG</v>
      </c>
      <c r="C13" t="str">
        <f>IFERROR(__xludf.DUMMYFUNCTION("""COMPUTED_VALUE"""),"25")</f>
        <v>25</v>
      </c>
      <c r="D13" t="str">
        <f>IFERROR(__xludf.DUMMYFUNCTION("""COMPUTED_VALUE"""),"DET")</f>
        <v>DET</v>
      </c>
      <c r="E13" t="str">
        <f>IFERROR(__xludf.DUMMYFUNCTION("""COMPUTED_VALUE"""),"1")</f>
        <v>1</v>
      </c>
      <c r="F13" t="str">
        <f>IFERROR(__xludf.DUMMYFUNCTION("""COMPUTED_VALUE"""),"35")</f>
        <v>35</v>
      </c>
      <c r="G13" t="str">
        <f>IFERROR(__xludf.DUMMYFUNCTION("""COMPUTED_VALUE"""),"8")</f>
        <v>8</v>
      </c>
      <c r="H13" t="str">
        <f>IFERROR(__xludf.DUMMYFUNCTION("""COMPUTED_VALUE"""),"18")</f>
        <v>18</v>
      </c>
      <c r="I13" t="str">
        <f>IFERROR(__xludf.DUMMYFUNCTION("""COMPUTED_VALUE"""),"5")</f>
        <v>5</v>
      </c>
      <c r="J13" t="str">
        <f>IFERROR(__xludf.DUMMYFUNCTION("""COMPUTED_VALUE"""),"5")</f>
        <v>5</v>
      </c>
      <c r="K13" t="str">
        <f>IFERROR(__xludf.DUMMYFUNCTION("""COMPUTED_VALUE"""),"4")</f>
        <v>4</v>
      </c>
      <c r="L13" t="str">
        <f>IFERROR(__xludf.DUMMYFUNCTION("""COMPUTED_VALUE"""),"8")</f>
        <v>8</v>
      </c>
      <c r="M13" t="str">
        <f>IFERROR(__xludf.DUMMYFUNCTION("""COMPUTED_VALUE"""),"1")</f>
        <v>1</v>
      </c>
      <c r="N13" t="str">
        <f>IFERROR(__xludf.DUMMYFUNCTION("""COMPUTED_VALUE"""),"1")</f>
        <v>1</v>
      </c>
      <c r="O13" t="str">
        <f>IFERROR(__xludf.DUMMYFUNCTION("""COMPUTED_VALUE"""),"5")</f>
        <v>5</v>
      </c>
      <c r="P13" t="str">
        <f>IFERROR(__xludf.DUMMYFUNCTION("""COMPUTED_VALUE"""),"22")</f>
        <v>22</v>
      </c>
      <c r="Q13">
        <f>IFERROR(__xludf.DUMMYFUNCTION("""COMPUTED_VALUE"""),21.0)</f>
        <v>21</v>
      </c>
      <c r="R13" s="9">
        <f>IFERROR(__xludf.DUMMYFUNCTION("""COMPUTED_VALUE"""),21.0)</f>
        <v>21</v>
      </c>
      <c r="S13" s="14">
        <f>IFERROR(__xludf.DUMMYFUNCTION("""COMPUTED_VALUE"""),0.6)</f>
        <v>0.6</v>
      </c>
      <c r="T13" s="15">
        <f>IFERROR(__xludf.DUMMYFUNCTION("""COMPUTED_VALUE"""),82.1)</f>
        <v>82.1</v>
      </c>
      <c r="U13" s="15">
        <f>IFERROR(__xludf.DUMMYFUNCTION("""COMPUTED_VALUE"""),82.1)</f>
        <v>82.1</v>
      </c>
      <c r="V13" s="15">
        <f>IFERROR(__xludf.DUMMYFUNCTION("""COMPUTED_VALUE"""),64.2)</f>
        <v>64.2</v>
      </c>
      <c r="W13" s="15">
        <f>IFERROR(__xludf.DUMMYFUNCTION("""COMPUTED_VALUE"""),606.156)</f>
        <v>606.156</v>
      </c>
    </row>
    <row r="14">
      <c r="A14" t="str">
        <f>IFERROR(__xludf.DUMMYFUNCTION("""COMPUTED_VALUE"""),"Dylan Harper")</f>
        <v>Dylan Harper</v>
      </c>
      <c r="B14" t="str">
        <f>IFERROR(__xludf.DUMMYFUNCTION("""COMPUTED_VALUE"""),"SG")</f>
        <v>SG</v>
      </c>
      <c r="C14" t="str">
        <f>IFERROR(__xludf.DUMMYFUNCTION("""COMPUTED_VALUE"""),"20")</f>
        <v>20</v>
      </c>
      <c r="D14" t="str">
        <f>IFERROR(__xludf.DUMMYFUNCTION("""COMPUTED_VALUE"""),"SAS")</f>
        <v>SAS</v>
      </c>
      <c r="E14" t="str">
        <f>IFERROR(__xludf.DUMMYFUNCTION("""COMPUTED_VALUE"""),"1")</f>
        <v>1</v>
      </c>
      <c r="F14" t="str">
        <f>IFERROR(__xludf.DUMMYFUNCTION("""COMPUTED_VALUE"""),"32")</f>
        <v>32</v>
      </c>
      <c r="G14" t="str">
        <f>IFERROR(__xludf.DUMMYFUNCTION("""COMPUTED_VALUE"""),"7")</f>
        <v>7</v>
      </c>
      <c r="H14" t="str">
        <f>IFERROR(__xludf.DUMMYFUNCTION("""COMPUTED_VALUE"""),"17")</f>
        <v>17</v>
      </c>
      <c r="I14" t="str">
        <f>IFERROR(__xludf.DUMMYFUNCTION("""COMPUTED_VALUE"""),"4")</f>
        <v>4</v>
      </c>
      <c r="J14" t="str">
        <f>IFERROR(__xludf.DUMMYFUNCTION("""COMPUTED_VALUE"""),"4")</f>
        <v>4</v>
      </c>
      <c r="K14" t="str">
        <f>IFERROR(__xludf.DUMMYFUNCTION("""COMPUTED_VALUE"""),"7")</f>
        <v>7</v>
      </c>
      <c r="L14" t="str">
        <f>IFERROR(__xludf.DUMMYFUNCTION("""COMPUTED_VALUE"""),"5")</f>
        <v>5</v>
      </c>
      <c r="M14" t="str">
        <f>IFERROR(__xludf.DUMMYFUNCTION("""COMPUTED_VALUE"""),"0")</f>
        <v>0</v>
      </c>
      <c r="N14" t="str">
        <f>IFERROR(__xludf.DUMMYFUNCTION("""COMPUTED_VALUE"""),"0")</f>
        <v>0</v>
      </c>
      <c r="O14" t="str">
        <f>IFERROR(__xludf.DUMMYFUNCTION("""COMPUTED_VALUE"""),"2")</f>
        <v>2</v>
      </c>
      <c r="P14" t="str">
        <f>IFERROR(__xludf.DUMMYFUNCTION("""COMPUTED_VALUE"""),"18")</f>
        <v>18</v>
      </c>
      <c r="Q14">
        <f>IFERROR(__xludf.DUMMYFUNCTION("""COMPUTED_VALUE"""),18.0)</f>
        <v>18</v>
      </c>
      <c r="R14" s="9">
        <f>IFERROR(__xludf.DUMMYFUNCTION("""COMPUTED_VALUE"""),18.0)</f>
        <v>18</v>
      </c>
      <c r="S14" s="14">
        <f>IFERROR(__xludf.DUMMYFUNCTION("""COMPUTED_VALUE"""),0.5625)</f>
        <v>0.5625</v>
      </c>
      <c r="T14" s="15">
        <f>IFERROR(__xludf.DUMMYFUNCTION("""COMPUTED_VALUE"""),76.1)</f>
        <v>76.1</v>
      </c>
      <c r="U14" s="15">
        <f>IFERROR(__xludf.DUMMYFUNCTION("""COMPUTED_VALUE"""),76.1)</f>
        <v>76.1</v>
      </c>
      <c r="V14" s="15">
        <f>IFERROR(__xludf.DUMMYFUNCTION("""COMPUTED_VALUE"""),58.199999999999996)</f>
        <v>58.2</v>
      </c>
      <c r="W14" s="15">
        <f>IFERROR(__xludf.DUMMYFUNCTION("""COMPUTED_VALUE"""),582.6959999999999)</f>
        <v>582.696</v>
      </c>
    </row>
    <row r="15">
      <c r="A15" t="str">
        <f>IFERROR(__xludf.DUMMYFUNCTION("""COMPUTED_VALUE"""),"Stephon Castle")</f>
        <v>Stephon Castle</v>
      </c>
      <c r="B15" t="str">
        <f>IFERROR(__xludf.DUMMYFUNCTION("""COMPUTED_VALUE"""),"PG")</f>
        <v>PG</v>
      </c>
      <c r="C15" t="str">
        <f>IFERROR(__xludf.DUMMYFUNCTION("""COMPUTED_VALUE"""),"22")</f>
        <v>22</v>
      </c>
      <c r="D15" t="str">
        <f>IFERROR(__xludf.DUMMYFUNCTION("""COMPUTED_VALUE"""),"SAS")</f>
        <v>SAS</v>
      </c>
      <c r="E15" t="str">
        <f>IFERROR(__xludf.DUMMYFUNCTION("""COMPUTED_VALUE"""),"1")</f>
        <v>1</v>
      </c>
      <c r="F15" t="str">
        <f>IFERROR(__xludf.DUMMYFUNCTION("""COMPUTED_VALUE"""),"28")</f>
        <v>28</v>
      </c>
      <c r="G15" t="str">
        <f>IFERROR(__xludf.DUMMYFUNCTION("""COMPUTED_VALUE"""),"9")</f>
        <v>9</v>
      </c>
      <c r="H15" t="str">
        <f>IFERROR(__xludf.DUMMYFUNCTION("""COMPUTED_VALUE"""),"21")</f>
        <v>21</v>
      </c>
      <c r="I15" t="str">
        <f>IFERROR(__xludf.DUMMYFUNCTION("""COMPUTED_VALUE"""),"1")</f>
        <v>1</v>
      </c>
      <c r="J15" t="str">
        <f>IFERROR(__xludf.DUMMYFUNCTION("""COMPUTED_VALUE"""),"1")</f>
        <v>1</v>
      </c>
      <c r="K15" t="str">
        <f>IFERROR(__xludf.DUMMYFUNCTION("""COMPUTED_VALUE"""),"7")</f>
        <v>7</v>
      </c>
      <c r="L15" t="str">
        <f>IFERROR(__xludf.DUMMYFUNCTION("""COMPUTED_VALUE"""),"1")</f>
        <v>1</v>
      </c>
      <c r="M15" t="str">
        <f>IFERROR(__xludf.DUMMYFUNCTION("""COMPUTED_VALUE"""),"0")</f>
        <v>0</v>
      </c>
      <c r="N15" t="str">
        <f>IFERROR(__xludf.DUMMYFUNCTION("""COMPUTED_VALUE"""),"0")</f>
        <v>0</v>
      </c>
      <c r="O15" t="str">
        <f>IFERROR(__xludf.DUMMYFUNCTION("""COMPUTED_VALUE"""),"3")</f>
        <v>3</v>
      </c>
      <c r="P15" t="str">
        <f>IFERROR(__xludf.DUMMYFUNCTION("""COMPUTED_VALUE"""),"24")</f>
        <v>24</v>
      </c>
      <c r="Q15">
        <f>IFERROR(__xludf.DUMMYFUNCTION("""COMPUTED_VALUE"""),17.0)</f>
        <v>17</v>
      </c>
      <c r="R15" s="9">
        <f>IFERROR(__xludf.DUMMYFUNCTION("""COMPUTED_VALUE"""),17.0)</f>
        <v>17</v>
      </c>
      <c r="S15" s="14">
        <f>IFERROR(__xludf.DUMMYFUNCTION("""COMPUTED_VALUE"""),0.6071428571428571)</f>
        <v>0.6071428571</v>
      </c>
      <c r="T15" s="15">
        <f>IFERROR(__xludf.DUMMYFUNCTION("""COMPUTED_VALUE"""),71.6)</f>
        <v>71.6</v>
      </c>
      <c r="U15" s="15">
        <f>IFERROR(__xludf.DUMMYFUNCTION("""COMPUTED_VALUE"""),71.6)</f>
        <v>71.6</v>
      </c>
      <c r="V15" s="15">
        <f>IFERROR(__xludf.DUMMYFUNCTION("""COMPUTED_VALUE"""),68.7)</f>
        <v>68.7</v>
      </c>
      <c r="W15" s="15">
        <f>IFERROR(__xludf.DUMMYFUNCTION("""COMPUTED_VALUE"""),569.451)</f>
        <v>569.451</v>
      </c>
    </row>
    <row r="16">
      <c r="A16" t="str">
        <f>IFERROR(__xludf.DUMMYFUNCTION("""COMPUTED_VALUE"""),"LeBron James")</f>
        <v>LeBron James</v>
      </c>
      <c r="B16" t="str">
        <f>IFERROR(__xludf.DUMMYFUNCTION("""COMPUTED_VALUE"""),"SF")</f>
        <v>SF</v>
      </c>
      <c r="C16" t="str">
        <f>IFERROR(__xludf.DUMMYFUNCTION("""COMPUTED_VALUE"""),"42")</f>
        <v>42</v>
      </c>
      <c r="D16" t="str">
        <f>IFERROR(__xludf.DUMMYFUNCTION("""COMPUTED_VALUE"""),"PHI")</f>
        <v>PHI</v>
      </c>
      <c r="E16" t="str">
        <f>IFERROR(__xludf.DUMMYFUNCTION("""COMPUTED_VALUE"""),"1")</f>
        <v>1</v>
      </c>
      <c r="F16" t="str">
        <f>IFERROR(__xludf.DUMMYFUNCTION("""COMPUTED_VALUE"""),"34")</f>
        <v>34</v>
      </c>
      <c r="G16" t="str">
        <f>IFERROR(__xludf.DUMMYFUNCTION("""COMPUTED_VALUE"""),"5")</f>
        <v>5</v>
      </c>
      <c r="H16" t="str">
        <f>IFERROR(__xludf.DUMMYFUNCTION("""COMPUTED_VALUE"""),"13")</f>
        <v>13</v>
      </c>
      <c r="I16" t="str">
        <f>IFERROR(__xludf.DUMMYFUNCTION("""COMPUTED_VALUE"""),"4")</f>
        <v>4</v>
      </c>
      <c r="J16" t="str">
        <f>IFERROR(__xludf.DUMMYFUNCTION("""COMPUTED_VALUE"""),"6")</f>
        <v>6</v>
      </c>
      <c r="K16" t="str">
        <f>IFERROR(__xludf.DUMMYFUNCTION("""COMPUTED_VALUE"""),"9")</f>
        <v>9</v>
      </c>
      <c r="L16" t="str">
        <f>IFERROR(__xludf.DUMMYFUNCTION("""COMPUTED_VALUE"""),"7")</f>
        <v>7</v>
      </c>
      <c r="M16" t="str">
        <f>IFERROR(__xludf.DUMMYFUNCTION("""COMPUTED_VALUE"""),"1")</f>
        <v>1</v>
      </c>
      <c r="N16" t="str">
        <f>IFERROR(__xludf.DUMMYFUNCTION("""COMPUTED_VALUE"""),"1")</f>
        <v>1</v>
      </c>
      <c r="O16" t="str">
        <f>IFERROR(__xludf.DUMMYFUNCTION("""COMPUTED_VALUE"""),"1")</f>
        <v>1</v>
      </c>
      <c r="P16" t="str">
        <f>IFERROR(__xludf.DUMMYFUNCTION("""COMPUTED_VALUE"""),"14")</f>
        <v>14</v>
      </c>
      <c r="Q16">
        <f>IFERROR(__xludf.DUMMYFUNCTION("""COMPUTED_VALUE"""),21.0)</f>
        <v>21</v>
      </c>
      <c r="R16" s="9">
        <f>IFERROR(__xludf.DUMMYFUNCTION("""COMPUTED_VALUE"""),21.0)</f>
        <v>21</v>
      </c>
      <c r="S16" s="14">
        <f>IFERROR(__xludf.DUMMYFUNCTION("""COMPUTED_VALUE"""),0.6176470588235294)</f>
        <v>0.6176470588</v>
      </c>
      <c r="T16" s="15">
        <f>IFERROR(__xludf.DUMMYFUNCTION("""COMPUTED_VALUE"""),82.1)</f>
        <v>82.1</v>
      </c>
      <c r="U16" s="15">
        <f>IFERROR(__xludf.DUMMYFUNCTION("""COMPUTED_VALUE"""),82.1)</f>
        <v>82.1</v>
      </c>
      <c r="V16" s="15">
        <f>IFERROR(__xludf.DUMMYFUNCTION("""COMPUTED_VALUE"""),70.1)</f>
        <v>70.1</v>
      </c>
      <c r="W16" s="15">
        <f>IFERROR(__xludf.DUMMYFUNCTION("""COMPUTED_VALUE"""),568.731)</f>
        <v>568.731</v>
      </c>
    </row>
    <row r="17">
      <c r="A17" t="str">
        <f>IFERROR(__xludf.DUMMYFUNCTION("""COMPUTED_VALUE"""),"Javonte Green")</f>
        <v>Javonte Green</v>
      </c>
      <c r="B17" t="str">
        <f>IFERROR(__xludf.DUMMYFUNCTION("""COMPUTED_VALUE"""),"SG")</f>
        <v>SG</v>
      </c>
      <c r="C17" t="str">
        <f>IFERROR(__xludf.DUMMYFUNCTION("""COMPUTED_VALUE"""),"33")</f>
        <v>33</v>
      </c>
      <c r="D17" t="str">
        <f>IFERROR(__xludf.DUMMYFUNCTION("""COMPUTED_VALUE"""),"DET")</f>
        <v>DET</v>
      </c>
      <c r="E17" t="str">
        <f>IFERROR(__xludf.DUMMYFUNCTION("""COMPUTED_VALUE"""),"1")</f>
        <v>1</v>
      </c>
      <c r="F17" t="str">
        <f>IFERROR(__xludf.DUMMYFUNCTION("""COMPUTED_VALUE"""),"18")</f>
        <v>18</v>
      </c>
      <c r="G17" t="str">
        <f>IFERROR(__xludf.DUMMYFUNCTION("""COMPUTED_VALUE"""),"5")</f>
        <v>5</v>
      </c>
      <c r="H17" t="str">
        <f>IFERROR(__xludf.DUMMYFUNCTION("""COMPUTED_VALUE"""),"10")</f>
        <v>10</v>
      </c>
      <c r="I17" t="str">
        <f>IFERROR(__xludf.DUMMYFUNCTION("""COMPUTED_VALUE"""),"4")</f>
        <v>4</v>
      </c>
      <c r="J17" t="str">
        <f>IFERROR(__xludf.DUMMYFUNCTION("""COMPUTED_VALUE"""),"4")</f>
        <v>4</v>
      </c>
      <c r="K17" t="str">
        <f>IFERROR(__xludf.DUMMYFUNCTION("""COMPUTED_VALUE"""),"4")</f>
        <v>4</v>
      </c>
      <c r="L17" t="str">
        <f>IFERROR(__xludf.DUMMYFUNCTION("""COMPUTED_VALUE"""),"0")</f>
        <v>0</v>
      </c>
      <c r="M17" t="str">
        <f>IFERROR(__xludf.DUMMYFUNCTION("""COMPUTED_VALUE"""),"0")</f>
        <v>0</v>
      </c>
      <c r="N17" t="str">
        <f>IFERROR(__xludf.DUMMYFUNCTION("""COMPUTED_VALUE"""),"0")</f>
        <v>0</v>
      </c>
      <c r="O17" t="str">
        <f>IFERROR(__xludf.DUMMYFUNCTION("""COMPUTED_VALUE"""),"0")</f>
        <v>0</v>
      </c>
      <c r="P17" t="str">
        <f>IFERROR(__xludf.DUMMYFUNCTION("""COMPUTED_VALUE"""),"19")</f>
        <v>19</v>
      </c>
      <c r="Q17">
        <f>IFERROR(__xludf.DUMMYFUNCTION("""COMPUTED_VALUE"""),18.0)</f>
        <v>18</v>
      </c>
      <c r="R17" s="9">
        <f>IFERROR(__xludf.DUMMYFUNCTION("""COMPUTED_VALUE"""),18.0)</f>
        <v>18</v>
      </c>
      <c r="S17" s="14">
        <f>IFERROR(__xludf.DUMMYFUNCTION("""COMPUTED_VALUE"""),1.0)</f>
        <v>1</v>
      </c>
      <c r="T17" s="15">
        <f>IFERROR(__xludf.DUMMYFUNCTION("""COMPUTED_VALUE"""),76.1)</f>
        <v>76.1</v>
      </c>
      <c r="U17" s="15">
        <f>IFERROR(__xludf.DUMMYFUNCTION("""COMPUTED_VALUE"""),76.1)</f>
        <v>76.1</v>
      </c>
      <c r="V17" s="15">
        <f>IFERROR(__xludf.DUMMYFUNCTION("""COMPUTED_VALUE"""),92.5)</f>
        <v>92.5</v>
      </c>
      <c r="W17" s="15">
        <f>IFERROR(__xludf.DUMMYFUNCTION("""COMPUTED_VALUE"""),561.5709999999999)</f>
        <v>561.571</v>
      </c>
    </row>
    <row r="18">
      <c r="A18" t="str">
        <f>IFERROR(__xludf.DUMMYFUNCTION("""COMPUTED_VALUE"""),"Joel Embiid")</f>
        <v>Joel Embiid</v>
      </c>
      <c r="B18" t="str">
        <f>IFERROR(__xludf.DUMMYFUNCTION("""COMPUTED_VALUE"""),"C")</f>
        <v>C</v>
      </c>
      <c r="C18" t="str">
        <f>IFERROR(__xludf.DUMMYFUNCTION("""COMPUTED_VALUE"""),"32")</f>
        <v>32</v>
      </c>
      <c r="D18" t="str">
        <f>IFERROR(__xludf.DUMMYFUNCTION("""COMPUTED_VALUE"""),"PHI")</f>
        <v>PHI</v>
      </c>
      <c r="E18" t="str">
        <f>IFERROR(__xludf.DUMMYFUNCTION("""COMPUTED_VALUE"""),"1")</f>
        <v>1</v>
      </c>
      <c r="F18" t="str">
        <f>IFERROR(__xludf.DUMMYFUNCTION("""COMPUTED_VALUE"""),"33")</f>
        <v>33</v>
      </c>
      <c r="G18" t="str">
        <f>IFERROR(__xludf.DUMMYFUNCTION("""COMPUTED_VALUE"""),"4")</f>
        <v>4</v>
      </c>
      <c r="H18" t="str">
        <f>IFERROR(__xludf.DUMMYFUNCTION("""COMPUTED_VALUE"""),"15")</f>
        <v>15</v>
      </c>
      <c r="I18" t="str">
        <f>IFERROR(__xludf.DUMMYFUNCTION("""COMPUTED_VALUE"""),"3")</f>
        <v>3</v>
      </c>
      <c r="J18" t="str">
        <f>IFERROR(__xludf.DUMMYFUNCTION("""COMPUTED_VALUE"""),"4")</f>
        <v>4</v>
      </c>
      <c r="K18" t="str">
        <f>IFERROR(__xludf.DUMMYFUNCTION("""COMPUTED_VALUE"""),"11")</f>
        <v>11</v>
      </c>
      <c r="L18" t="str">
        <f>IFERROR(__xludf.DUMMYFUNCTION("""COMPUTED_VALUE"""),"6")</f>
        <v>6</v>
      </c>
      <c r="M18" t="str">
        <f>IFERROR(__xludf.DUMMYFUNCTION("""COMPUTED_VALUE"""),"2")</f>
        <v>2</v>
      </c>
      <c r="N18" t="str">
        <f>IFERROR(__xludf.DUMMYFUNCTION("""COMPUTED_VALUE"""),"3")</f>
        <v>3</v>
      </c>
      <c r="O18" t="str">
        <f>IFERROR(__xludf.DUMMYFUNCTION("""COMPUTED_VALUE"""),"4")</f>
        <v>4</v>
      </c>
      <c r="P18" t="str">
        <f>IFERROR(__xludf.DUMMYFUNCTION("""COMPUTED_VALUE"""),"13")</f>
        <v>13</v>
      </c>
      <c r="Q18">
        <f>IFERROR(__xludf.DUMMYFUNCTION("""COMPUTED_VALUE"""),19.0)</f>
        <v>19</v>
      </c>
      <c r="R18" s="9">
        <f>IFERROR(__xludf.DUMMYFUNCTION("""COMPUTED_VALUE"""),19.0)</f>
        <v>19</v>
      </c>
      <c r="S18" s="14">
        <f>IFERROR(__xludf.DUMMYFUNCTION("""COMPUTED_VALUE"""),0.5757575757575758)</f>
        <v>0.5757575758</v>
      </c>
      <c r="T18" s="15">
        <f>IFERROR(__xludf.DUMMYFUNCTION("""COMPUTED_VALUE"""),80.60000000000001)</f>
        <v>80.6</v>
      </c>
      <c r="U18" s="15">
        <f>IFERROR(__xludf.DUMMYFUNCTION("""COMPUTED_VALUE"""),80.60000000000001)</f>
        <v>80.6</v>
      </c>
      <c r="V18" s="15">
        <f>IFERROR(__xludf.DUMMYFUNCTION("""COMPUTED_VALUE"""),62.7)</f>
        <v>62.7</v>
      </c>
      <c r="W18" s="15">
        <f>IFERROR(__xludf.DUMMYFUNCTION("""COMPUTED_VALUE"""),550.691)</f>
        <v>550.691</v>
      </c>
    </row>
    <row r="19">
      <c r="A19" t="str">
        <f>IFERROR(__xludf.DUMMYFUNCTION("""COMPUTED_VALUE"""),"Victor Wembanyama")</f>
        <v>Victor Wembanyama</v>
      </c>
      <c r="B19" t="str">
        <f>IFERROR(__xludf.DUMMYFUNCTION("""COMPUTED_VALUE"""),"C")</f>
        <v>C</v>
      </c>
      <c r="C19" t="str">
        <f>IFERROR(__xludf.DUMMYFUNCTION("""COMPUTED_VALUE"""),"23")</f>
        <v>23</v>
      </c>
      <c r="D19" t="str">
        <f>IFERROR(__xludf.DUMMYFUNCTION("""COMPUTED_VALUE"""),"SAS")</f>
        <v>SAS</v>
      </c>
      <c r="E19" t="str">
        <f>IFERROR(__xludf.DUMMYFUNCTION("""COMPUTED_VALUE"""),"1")</f>
        <v>1</v>
      </c>
      <c r="F19" t="str">
        <f>IFERROR(__xludf.DUMMYFUNCTION("""COMPUTED_VALUE"""),"34")</f>
        <v>34</v>
      </c>
      <c r="G19" t="str">
        <f>IFERROR(__xludf.DUMMYFUNCTION("""COMPUTED_VALUE"""),"1")</f>
        <v>1</v>
      </c>
      <c r="H19" t="str">
        <f>IFERROR(__xludf.DUMMYFUNCTION("""COMPUTED_VALUE"""),"13")</f>
        <v>13</v>
      </c>
      <c r="I19" t="str">
        <f>IFERROR(__xludf.DUMMYFUNCTION("""COMPUTED_VALUE"""),"10")</f>
        <v>10</v>
      </c>
      <c r="J19" t="str">
        <f>IFERROR(__xludf.DUMMYFUNCTION("""COMPUTED_VALUE"""),"12")</f>
        <v>12</v>
      </c>
      <c r="K19" t="str">
        <f>IFERROR(__xludf.DUMMYFUNCTION("""COMPUTED_VALUE"""),"13")</f>
        <v>13</v>
      </c>
      <c r="L19" t="str">
        <f>IFERROR(__xludf.DUMMYFUNCTION("""COMPUTED_VALUE"""),"3")</f>
        <v>3</v>
      </c>
      <c r="M19" t="str">
        <f>IFERROR(__xludf.DUMMYFUNCTION("""COMPUTED_VALUE"""),"1")</f>
        <v>1</v>
      </c>
      <c r="N19" t="str">
        <f>IFERROR(__xludf.DUMMYFUNCTION("""COMPUTED_VALUE"""),"6")</f>
        <v>6</v>
      </c>
      <c r="O19" t="str">
        <f>IFERROR(__xludf.DUMMYFUNCTION("""COMPUTED_VALUE"""),"4")</f>
        <v>4</v>
      </c>
      <c r="P19" t="str">
        <f>IFERROR(__xludf.DUMMYFUNCTION("""COMPUTED_VALUE"""),"12")</f>
        <v>12</v>
      </c>
      <c r="Q19">
        <f>IFERROR(__xludf.DUMMYFUNCTION("""COMPUTED_VALUE"""),17.0)</f>
        <v>17</v>
      </c>
      <c r="R19" s="9">
        <f>IFERROR(__xludf.DUMMYFUNCTION("""COMPUTED_VALUE"""),17.0)</f>
        <v>17</v>
      </c>
      <c r="S19" s="14">
        <f>IFERROR(__xludf.DUMMYFUNCTION("""COMPUTED_VALUE"""),0.5)</f>
        <v>0.5</v>
      </c>
      <c r="T19" s="15">
        <f>IFERROR(__xludf.DUMMYFUNCTION("""COMPUTED_VALUE"""),71.6)</f>
        <v>71.6</v>
      </c>
      <c r="U19" s="15">
        <f>IFERROR(__xludf.DUMMYFUNCTION("""COMPUTED_VALUE"""),71.6)</f>
        <v>71.6</v>
      </c>
      <c r="V19" s="15">
        <f>IFERROR(__xludf.DUMMYFUNCTION("""COMPUTED_VALUE"""),49.3)</f>
        <v>49.3</v>
      </c>
      <c r="W19" s="15">
        <f>IFERROR(__xludf.DUMMYFUNCTION("""COMPUTED_VALUE"""),538.8009999999999)</f>
        <v>538.801</v>
      </c>
    </row>
    <row r="20">
      <c r="A20" t="str">
        <f>IFERROR(__xludf.DUMMYFUNCTION("""COMPUTED_VALUE"""),"Josh Hart")</f>
        <v>Josh Hart</v>
      </c>
      <c r="B20" t="str">
        <f>IFERROR(__xludf.DUMMYFUNCTION("""COMPUTED_VALUE"""),"SG")</f>
        <v>SG</v>
      </c>
      <c r="C20" t="str">
        <f>IFERROR(__xludf.DUMMYFUNCTION("""COMPUTED_VALUE"""),"31")</f>
        <v>31</v>
      </c>
      <c r="D20" t="str">
        <f>IFERROR(__xludf.DUMMYFUNCTION("""COMPUTED_VALUE"""),"NYK")</f>
        <v>NYK</v>
      </c>
      <c r="E20" t="str">
        <f>IFERROR(__xludf.DUMMYFUNCTION("""COMPUTED_VALUE"""),"1")</f>
        <v>1</v>
      </c>
      <c r="F20" t="str">
        <f>IFERROR(__xludf.DUMMYFUNCTION("""COMPUTED_VALUE"""),"30")</f>
        <v>30</v>
      </c>
      <c r="G20" t="str">
        <f>IFERROR(__xludf.DUMMYFUNCTION("""COMPUTED_VALUE"""),"5")</f>
        <v>5</v>
      </c>
      <c r="H20" t="str">
        <f>IFERROR(__xludf.DUMMYFUNCTION("""COMPUTED_VALUE"""),"10")</f>
        <v>10</v>
      </c>
      <c r="I20" t="str">
        <f>IFERROR(__xludf.DUMMYFUNCTION("""COMPUTED_VALUE"""),"2")</f>
        <v>2</v>
      </c>
      <c r="J20" t="str">
        <f>IFERROR(__xludf.DUMMYFUNCTION("""COMPUTED_VALUE"""),"3")</f>
        <v>3</v>
      </c>
      <c r="K20" t="str">
        <f>IFERROR(__xludf.DUMMYFUNCTION("""COMPUTED_VALUE"""),"7")</f>
        <v>7</v>
      </c>
      <c r="L20" t="str">
        <f>IFERROR(__xludf.DUMMYFUNCTION("""COMPUTED_VALUE"""),"3")</f>
        <v>3</v>
      </c>
      <c r="M20" t="str">
        <f>IFERROR(__xludf.DUMMYFUNCTION("""COMPUTED_VALUE"""),"1")</f>
        <v>1</v>
      </c>
      <c r="N20" t="str">
        <f>IFERROR(__xludf.DUMMYFUNCTION("""COMPUTED_VALUE"""),"1")</f>
        <v>1</v>
      </c>
      <c r="O20" t="str">
        <f>IFERROR(__xludf.DUMMYFUNCTION("""COMPUTED_VALUE"""),"2")</f>
        <v>2</v>
      </c>
      <c r="P20" t="str">
        <f>IFERROR(__xludf.DUMMYFUNCTION("""COMPUTED_VALUE"""),"14")</f>
        <v>14</v>
      </c>
      <c r="Q20">
        <f>IFERROR(__xludf.DUMMYFUNCTION("""COMPUTED_VALUE"""),18.0)</f>
        <v>18</v>
      </c>
      <c r="R20" s="9">
        <f>IFERROR(__xludf.DUMMYFUNCTION("""COMPUTED_VALUE"""),18.0)</f>
        <v>18</v>
      </c>
      <c r="S20" s="14">
        <f>IFERROR(__xludf.DUMMYFUNCTION("""COMPUTED_VALUE"""),0.6)</f>
        <v>0.6</v>
      </c>
      <c r="T20" s="15">
        <f>IFERROR(__xludf.DUMMYFUNCTION("""COMPUTED_VALUE"""),76.1)</f>
        <v>76.1</v>
      </c>
      <c r="U20" s="15">
        <f>IFERROR(__xludf.DUMMYFUNCTION("""COMPUTED_VALUE"""),76.1)</f>
        <v>76.1</v>
      </c>
      <c r="V20" s="15">
        <f>IFERROR(__xludf.DUMMYFUNCTION("""COMPUTED_VALUE"""),64.2)</f>
        <v>64.2</v>
      </c>
      <c r="W20" s="15">
        <f>IFERROR(__xludf.DUMMYFUNCTION("""COMPUTED_VALUE"""),532.596)</f>
        <v>532.596</v>
      </c>
    </row>
    <row r="21">
      <c r="A21" t="str">
        <f>IFERROR(__xludf.DUMMYFUNCTION("""COMPUTED_VALUE"""),"Sam Hauser")</f>
        <v>Sam Hauser</v>
      </c>
      <c r="B21" t="str">
        <f>IFERROR(__xludf.DUMMYFUNCTION("""COMPUTED_VALUE"""),"PF")</f>
        <v>PF</v>
      </c>
      <c r="C21" t="str">
        <f>IFERROR(__xludf.DUMMYFUNCTION("""COMPUTED_VALUE"""),"29")</f>
        <v>29</v>
      </c>
      <c r="D21" t="str">
        <f>IFERROR(__xludf.DUMMYFUNCTION("""COMPUTED_VALUE"""),"BOS")</f>
        <v>BOS</v>
      </c>
      <c r="E21" t="str">
        <f>IFERROR(__xludf.DUMMYFUNCTION("""COMPUTED_VALUE"""),"1")</f>
        <v>1</v>
      </c>
      <c r="F21" t="str">
        <f>IFERROR(__xludf.DUMMYFUNCTION("""COMPUTED_VALUE"""),"18")</f>
        <v>18</v>
      </c>
      <c r="G21" t="str">
        <f>IFERROR(__xludf.DUMMYFUNCTION("""COMPUTED_VALUE"""),"4")</f>
        <v>4</v>
      </c>
      <c r="H21" t="str">
        <f>IFERROR(__xludf.DUMMYFUNCTION("""COMPUTED_VALUE"""),"7")</f>
        <v>7</v>
      </c>
      <c r="I21" t="str">
        <f>IFERROR(__xludf.DUMMYFUNCTION("""COMPUTED_VALUE"""),"0")</f>
        <v>0</v>
      </c>
      <c r="J21" t="str">
        <f>IFERROR(__xludf.DUMMYFUNCTION("""COMPUTED_VALUE"""),"0")</f>
        <v>0</v>
      </c>
      <c r="K21" t="str">
        <f>IFERROR(__xludf.DUMMYFUNCTION("""COMPUTED_VALUE"""),"4")</f>
        <v>4</v>
      </c>
      <c r="L21" t="str">
        <f>IFERROR(__xludf.DUMMYFUNCTION("""COMPUTED_VALUE"""),"1")</f>
        <v>1</v>
      </c>
      <c r="M21" t="str">
        <f>IFERROR(__xludf.DUMMYFUNCTION("""COMPUTED_VALUE"""),"0")</f>
        <v>0</v>
      </c>
      <c r="N21" t="str">
        <f>IFERROR(__xludf.DUMMYFUNCTION("""COMPUTED_VALUE"""),"0")</f>
        <v>0</v>
      </c>
      <c r="O21" t="str">
        <f>IFERROR(__xludf.DUMMYFUNCTION("""COMPUTED_VALUE"""),"0")</f>
        <v>0</v>
      </c>
      <c r="P21" t="str">
        <f>IFERROR(__xludf.DUMMYFUNCTION("""COMPUTED_VALUE"""),"11")</f>
        <v>11</v>
      </c>
      <c r="Q21">
        <f>IFERROR(__xludf.DUMMYFUNCTION("""COMPUTED_VALUE"""),13.0)</f>
        <v>13</v>
      </c>
      <c r="R21" s="9">
        <f>IFERROR(__xludf.DUMMYFUNCTION("""COMPUTED_VALUE"""),13.0)</f>
        <v>13</v>
      </c>
      <c r="S21" s="14">
        <f>IFERROR(__xludf.DUMMYFUNCTION("""COMPUTED_VALUE"""),0.7222222222222222)</f>
        <v>0.7222222222</v>
      </c>
      <c r="T21" s="15">
        <f>IFERROR(__xludf.DUMMYFUNCTION("""COMPUTED_VALUE"""),64.2)</f>
        <v>64.2</v>
      </c>
      <c r="U21" s="15">
        <f>IFERROR(__xludf.DUMMYFUNCTION("""COMPUTED_VALUE"""),64.2)</f>
        <v>64.2</v>
      </c>
      <c r="V21" s="15">
        <f>IFERROR(__xludf.DUMMYFUNCTION("""COMPUTED_VALUE"""),83.6)</f>
        <v>83.6</v>
      </c>
      <c r="W21" s="15">
        <f>IFERROR(__xludf.DUMMYFUNCTION("""COMPUTED_VALUE"""),499.91200000000003)</f>
        <v>499.912</v>
      </c>
    </row>
    <row r="22">
      <c r="A22" t="str">
        <f>IFERROR(__xludf.DUMMYFUNCTION("""COMPUTED_VALUE"""),"Payton Pritchard")</f>
        <v>Payton Pritchard</v>
      </c>
      <c r="B22" t="str">
        <f>IFERROR(__xludf.DUMMYFUNCTION("""COMPUTED_VALUE"""),"PG")</f>
        <v>PG</v>
      </c>
      <c r="C22" t="str">
        <f>IFERROR(__xludf.DUMMYFUNCTION("""COMPUTED_VALUE"""),"29")</f>
        <v>29</v>
      </c>
      <c r="D22" t="str">
        <f>IFERROR(__xludf.DUMMYFUNCTION("""COMPUTED_VALUE"""),"BOS")</f>
        <v>BOS</v>
      </c>
      <c r="E22" t="str">
        <f>IFERROR(__xludf.DUMMYFUNCTION("""COMPUTED_VALUE"""),"1")</f>
        <v>1</v>
      </c>
      <c r="F22" t="str">
        <f>IFERROR(__xludf.DUMMYFUNCTION("""COMPUTED_VALUE"""),"28")</f>
        <v>28</v>
      </c>
      <c r="G22" t="str">
        <f>IFERROR(__xludf.DUMMYFUNCTION("""COMPUTED_VALUE"""),"4")</f>
        <v>4</v>
      </c>
      <c r="H22" t="str">
        <f>IFERROR(__xludf.DUMMYFUNCTION("""COMPUTED_VALUE"""),"9")</f>
        <v>9</v>
      </c>
      <c r="I22" t="str">
        <f>IFERROR(__xludf.DUMMYFUNCTION("""COMPUTED_VALUE"""),"7")</f>
        <v>7</v>
      </c>
      <c r="J22" t="str">
        <f>IFERROR(__xludf.DUMMYFUNCTION("""COMPUTED_VALUE"""),"8")</f>
        <v>8</v>
      </c>
      <c r="K22" t="str">
        <f>IFERROR(__xludf.DUMMYFUNCTION("""COMPUTED_VALUE"""),"4")</f>
        <v>4</v>
      </c>
      <c r="L22" t="str">
        <f>IFERROR(__xludf.DUMMYFUNCTION("""COMPUTED_VALUE"""),"1")</f>
        <v>1</v>
      </c>
      <c r="M22" t="str">
        <f>IFERROR(__xludf.DUMMYFUNCTION("""COMPUTED_VALUE"""),"0")</f>
        <v>0</v>
      </c>
      <c r="N22" t="str">
        <f>IFERROR(__xludf.DUMMYFUNCTION("""COMPUTED_VALUE"""),"0")</f>
        <v>0</v>
      </c>
      <c r="O22" t="str">
        <f>IFERROR(__xludf.DUMMYFUNCTION("""COMPUTED_VALUE"""),"0")</f>
        <v>0</v>
      </c>
      <c r="P22" t="str">
        <f>IFERROR(__xludf.DUMMYFUNCTION("""COMPUTED_VALUE"""),"17")</f>
        <v>17</v>
      </c>
      <c r="Q22">
        <f>IFERROR(__xludf.DUMMYFUNCTION("""COMPUTED_VALUE"""),16.0)</f>
        <v>16</v>
      </c>
      <c r="R22" s="9">
        <f>IFERROR(__xludf.DUMMYFUNCTION("""COMPUTED_VALUE"""),16.0)</f>
        <v>16</v>
      </c>
      <c r="S22" s="14">
        <f>IFERROR(__xludf.DUMMYFUNCTION("""COMPUTED_VALUE"""),0.5714285714285714)</f>
        <v>0.5714285714</v>
      </c>
      <c r="T22" s="15">
        <f>IFERROR(__xludf.DUMMYFUNCTION("""COMPUTED_VALUE"""),68.7)</f>
        <v>68.7</v>
      </c>
      <c r="U22" s="15">
        <f>IFERROR(__xludf.DUMMYFUNCTION("""COMPUTED_VALUE"""),68.7)</f>
        <v>68.7</v>
      </c>
      <c r="V22" s="15">
        <f>IFERROR(__xludf.DUMMYFUNCTION("""COMPUTED_VALUE"""),59.699999999999996)</f>
        <v>59.7</v>
      </c>
      <c r="W22" s="15">
        <f>IFERROR(__xludf.DUMMYFUNCTION("""COMPUTED_VALUE"""),496.40700000000004)</f>
        <v>496.407</v>
      </c>
    </row>
    <row r="23">
      <c r="A23" t="str">
        <f>IFERROR(__xludf.DUMMYFUNCTION("""COMPUTED_VALUE"""),"Paul Reed")</f>
        <v>Paul Reed</v>
      </c>
      <c r="B23" t="str">
        <f>IFERROR(__xludf.DUMMYFUNCTION("""COMPUTED_VALUE"""),"C")</f>
        <v>C</v>
      </c>
      <c r="C23" t="str">
        <f>IFERROR(__xludf.DUMMYFUNCTION("""COMPUTED_VALUE"""),"27")</f>
        <v>27</v>
      </c>
      <c r="D23" t="str">
        <f>IFERROR(__xludf.DUMMYFUNCTION("""COMPUTED_VALUE"""),"DET")</f>
        <v>DET</v>
      </c>
      <c r="E23" t="str">
        <f>IFERROR(__xludf.DUMMYFUNCTION("""COMPUTED_VALUE"""),"1")</f>
        <v>1</v>
      </c>
      <c r="F23" t="str">
        <f>IFERROR(__xludf.DUMMYFUNCTION("""COMPUTED_VALUE"""),"17")</f>
        <v>17</v>
      </c>
      <c r="G23" t="str">
        <f>IFERROR(__xludf.DUMMYFUNCTION("""COMPUTED_VALUE"""),"2")</f>
        <v>2</v>
      </c>
      <c r="H23" t="str">
        <f>IFERROR(__xludf.DUMMYFUNCTION("""COMPUTED_VALUE"""),"3")</f>
        <v>3</v>
      </c>
      <c r="I23" t="str">
        <f>IFERROR(__xludf.DUMMYFUNCTION("""COMPUTED_VALUE"""),"2")</f>
        <v>2</v>
      </c>
      <c r="J23" t="str">
        <f>IFERROR(__xludf.DUMMYFUNCTION("""COMPUTED_VALUE"""),"2")</f>
        <v>2</v>
      </c>
      <c r="K23" t="str">
        <f>IFERROR(__xludf.DUMMYFUNCTION("""COMPUTED_VALUE"""),"6")</f>
        <v>6</v>
      </c>
      <c r="L23" t="str">
        <f>IFERROR(__xludf.DUMMYFUNCTION("""COMPUTED_VALUE"""),"2")</f>
        <v>2</v>
      </c>
      <c r="M23" t="str">
        <f>IFERROR(__xludf.DUMMYFUNCTION("""COMPUTED_VALUE"""),"1")</f>
        <v>1</v>
      </c>
      <c r="N23" t="str">
        <f>IFERROR(__xludf.DUMMYFUNCTION("""COMPUTED_VALUE"""),"0")</f>
        <v>0</v>
      </c>
      <c r="O23" t="str">
        <f>IFERROR(__xludf.DUMMYFUNCTION("""COMPUTED_VALUE"""),"2")</f>
        <v>2</v>
      </c>
      <c r="P23" t="str">
        <f>IFERROR(__xludf.DUMMYFUNCTION("""COMPUTED_VALUE"""),"6")</f>
        <v>6</v>
      </c>
      <c r="Q23">
        <f>IFERROR(__xludf.DUMMYFUNCTION("""COMPUTED_VALUE"""),12.0)</f>
        <v>12</v>
      </c>
      <c r="R23" s="9">
        <f>IFERROR(__xludf.DUMMYFUNCTION("""COMPUTED_VALUE"""),12.0)</f>
        <v>12</v>
      </c>
      <c r="S23" s="14">
        <f>IFERROR(__xludf.DUMMYFUNCTION("""COMPUTED_VALUE"""),0.7058823529411765)</f>
        <v>0.7058823529</v>
      </c>
      <c r="T23" s="15">
        <f>IFERROR(__xludf.DUMMYFUNCTION("""COMPUTED_VALUE"""),61.199999999999996)</f>
        <v>61.2</v>
      </c>
      <c r="U23" s="15">
        <f>IFERROR(__xludf.DUMMYFUNCTION("""COMPUTED_VALUE"""),61.199999999999996)</f>
        <v>61.2</v>
      </c>
      <c r="V23" s="15">
        <f>IFERROR(__xludf.DUMMYFUNCTION("""COMPUTED_VALUE"""),77.60000000000001)</f>
        <v>77.6</v>
      </c>
      <c r="W23" s="15">
        <f>IFERROR(__xludf.DUMMYFUNCTION("""COMPUTED_VALUE"""),487.63199999999995)</f>
        <v>487.632</v>
      </c>
    </row>
    <row r="24">
      <c r="A24" t="str">
        <f>IFERROR(__xludf.DUMMYFUNCTION("""COMPUTED_VALUE"""),"Derrick White")</f>
        <v>Derrick White</v>
      </c>
      <c r="B24" t="str">
        <f>IFERROR(__xludf.DUMMYFUNCTION("""COMPUTED_VALUE"""),"SG")</f>
        <v>SG</v>
      </c>
      <c r="C24" t="str">
        <f>IFERROR(__xludf.DUMMYFUNCTION("""COMPUTED_VALUE"""),"32")</f>
        <v>32</v>
      </c>
      <c r="D24" t="str">
        <f>IFERROR(__xludf.DUMMYFUNCTION("""COMPUTED_VALUE"""),"BOS")</f>
        <v>BOS</v>
      </c>
      <c r="E24" t="str">
        <f>IFERROR(__xludf.DUMMYFUNCTION("""COMPUTED_VALUE"""),"1")</f>
        <v>1</v>
      </c>
      <c r="F24" t="str">
        <f>IFERROR(__xludf.DUMMYFUNCTION("""COMPUTED_VALUE"""),"36")</f>
        <v>36</v>
      </c>
      <c r="G24" t="str">
        <f>IFERROR(__xludf.DUMMYFUNCTION("""COMPUTED_VALUE"""),"7")</f>
        <v>7</v>
      </c>
      <c r="H24" t="str">
        <f>IFERROR(__xludf.DUMMYFUNCTION("""COMPUTED_VALUE"""),"13")</f>
        <v>13</v>
      </c>
      <c r="I24" t="str">
        <f>IFERROR(__xludf.DUMMYFUNCTION("""COMPUTED_VALUE"""),"0")</f>
        <v>0</v>
      </c>
      <c r="J24" t="str">
        <f>IFERROR(__xludf.DUMMYFUNCTION("""COMPUTED_VALUE"""),"0")</f>
        <v>0</v>
      </c>
      <c r="K24" t="str">
        <f>IFERROR(__xludf.DUMMYFUNCTION("""COMPUTED_VALUE"""),"1")</f>
        <v>1</v>
      </c>
      <c r="L24" t="str">
        <f>IFERROR(__xludf.DUMMYFUNCTION("""COMPUTED_VALUE"""),"8")</f>
        <v>8</v>
      </c>
      <c r="M24" t="str">
        <f>IFERROR(__xludf.DUMMYFUNCTION("""COMPUTED_VALUE"""),"1")</f>
        <v>1</v>
      </c>
      <c r="N24" t="str">
        <f>IFERROR(__xludf.DUMMYFUNCTION("""COMPUTED_VALUE"""),"0")</f>
        <v>0</v>
      </c>
      <c r="O24" t="str">
        <f>IFERROR(__xludf.DUMMYFUNCTION("""COMPUTED_VALUE"""),"4")</f>
        <v>4</v>
      </c>
      <c r="P24" t="str">
        <f>IFERROR(__xludf.DUMMYFUNCTION("""COMPUTED_VALUE"""),"17")</f>
        <v>17</v>
      </c>
      <c r="Q24">
        <f>IFERROR(__xludf.DUMMYFUNCTION("""COMPUTED_VALUE"""),17.0)</f>
        <v>17</v>
      </c>
      <c r="R24" s="9">
        <f>IFERROR(__xludf.DUMMYFUNCTION("""COMPUTED_VALUE"""),17.0)</f>
        <v>17</v>
      </c>
      <c r="S24" s="14">
        <f>IFERROR(__xludf.DUMMYFUNCTION("""COMPUTED_VALUE"""),0.4722222222222222)</f>
        <v>0.4722222222</v>
      </c>
      <c r="T24" s="15">
        <f>IFERROR(__xludf.DUMMYFUNCTION("""COMPUTED_VALUE"""),71.6)</f>
        <v>71.6</v>
      </c>
      <c r="U24" s="15">
        <f>IFERROR(__xludf.DUMMYFUNCTION("""COMPUTED_VALUE"""),71.6)</f>
        <v>71.6</v>
      </c>
      <c r="V24" s="15">
        <f>IFERROR(__xludf.DUMMYFUNCTION("""COMPUTED_VALUE"""),47.8)</f>
        <v>47.8</v>
      </c>
      <c r="W24" s="15">
        <f>IFERROR(__xludf.DUMMYFUNCTION("""COMPUTED_VALUE"""),479.32599999999996)</f>
        <v>479.326</v>
      </c>
    </row>
    <row r="25">
      <c r="A25" t="str">
        <f>IFERROR(__xludf.DUMMYFUNCTION("""COMPUTED_VALUE"""),"Duncan Robinson")</f>
        <v>Duncan Robinson</v>
      </c>
      <c r="B25" t="str">
        <f>IFERROR(__xludf.DUMMYFUNCTION("""COMPUTED_VALUE"""),"SF")</f>
        <v>SF</v>
      </c>
      <c r="C25" t="str">
        <f>IFERROR(__xludf.DUMMYFUNCTION("""COMPUTED_VALUE"""),"32")</f>
        <v>32</v>
      </c>
      <c r="D25" t="str">
        <f>IFERROR(__xludf.DUMMYFUNCTION("""COMPUTED_VALUE"""),"DET")</f>
        <v>DET</v>
      </c>
      <c r="E25" t="str">
        <f>IFERROR(__xludf.DUMMYFUNCTION("""COMPUTED_VALUE"""),"1")</f>
        <v>1</v>
      </c>
      <c r="F25" t="str">
        <f>IFERROR(__xludf.DUMMYFUNCTION("""COMPUTED_VALUE"""),"28")</f>
        <v>28</v>
      </c>
      <c r="G25" t="str">
        <f>IFERROR(__xludf.DUMMYFUNCTION("""COMPUTED_VALUE"""),"5")</f>
        <v>5</v>
      </c>
      <c r="H25" t="str">
        <f>IFERROR(__xludf.DUMMYFUNCTION("""COMPUTED_VALUE"""),"10")</f>
        <v>10</v>
      </c>
      <c r="I25" t="str">
        <f>IFERROR(__xludf.DUMMYFUNCTION("""COMPUTED_VALUE"""),"6")</f>
        <v>6</v>
      </c>
      <c r="J25" t="str">
        <f>IFERROR(__xludf.DUMMYFUNCTION("""COMPUTED_VALUE"""),"8")</f>
        <v>8</v>
      </c>
      <c r="K25" t="str">
        <f>IFERROR(__xludf.DUMMYFUNCTION("""COMPUTED_VALUE"""),"2")</f>
        <v>2</v>
      </c>
      <c r="L25" t="str">
        <f>IFERROR(__xludf.DUMMYFUNCTION("""COMPUTED_VALUE"""),"2")</f>
        <v>2</v>
      </c>
      <c r="M25" t="str">
        <f>IFERROR(__xludf.DUMMYFUNCTION("""COMPUTED_VALUE"""),"1")</f>
        <v>1</v>
      </c>
      <c r="N25" t="str">
        <f>IFERROR(__xludf.DUMMYFUNCTION("""COMPUTED_VALUE"""),"0")</f>
        <v>0</v>
      </c>
      <c r="O25" t="str">
        <f>IFERROR(__xludf.DUMMYFUNCTION("""COMPUTED_VALUE"""),"3")</f>
        <v>3</v>
      </c>
      <c r="P25" t="str">
        <f>IFERROR(__xludf.DUMMYFUNCTION("""COMPUTED_VALUE"""),"21")</f>
        <v>21</v>
      </c>
      <c r="Q25">
        <f>IFERROR(__xludf.DUMMYFUNCTION("""COMPUTED_VALUE"""),16.0)</f>
        <v>16</v>
      </c>
      <c r="R25" s="9">
        <f>IFERROR(__xludf.DUMMYFUNCTION("""COMPUTED_VALUE"""),16.0)</f>
        <v>16</v>
      </c>
      <c r="S25" s="14">
        <f>IFERROR(__xludf.DUMMYFUNCTION("""COMPUTED_VALUE"""),0.5714285714285714)</f>
        <v>0.5714285714</v>
      </c>
      <c r="T25" s="15">
        <f>IFERROR(__xludf.DUMMYFUNCTION("""COMPUTED_VALUE"""),68.7)</f>
        <v>68.7</v>
      </c>
      <c r="U25" s="15">
        <f>IFERROR(__xludf.DUMMYFUNCTION("""COMPUTED_VALUE"""),68.7)</f>
        <v>68.7</v>
      </c>
      <c r="V25" s="15">
        <f>IFERROR(__xludf.DUMMYFUNCTION("""COMPUTED_VALUE"""),59.699999999999996)</f>
        <v>59.7</v>
      </c>
      <c r="W25" s="15">
        <f>IFERROR(__xludf.DUMMYFUNCTION("""COMPUTED_VALUE"""),477.207)</f>
        <v>477.207</v>
      </c>
    </row>
    <row r="26">
      <c r="A26" t="str">
        <f>IFERROR(__xludf.DUMMYFUNCTION("""COMPUTED_VALUE"""),"Alex Caruso")</f>
        <v>Alex Caruso</v>
      </c>
      <c r="B26" t="str">
        <f>IFERROR(__xludf.DUMMYFUNCTION("""COMPUTED_VALUE"""),"SG")</f>
        <v>SG</v>
      </c>
      <c r="C26" t="str">
        <f>IFERROR(__xludf.DUMMYFUNCTION("""COMPUTED_VALUE"""),"32")</f>
        <v>32</v>
      </c>
      <c r="D26" t="str">
        <f>IFERROR(__xludf.DUMMYFUNCTION("""COMPUTED_VALUE"""),"OKC")</f>
        <v>OKC</v>
      </c>
      <c r="E26" t="str">
        <f>IFERROR(__xludf.DUMMYFUNCTION("""COMPUTED_VALUE"""),"1")</f>
        <v>1</v>
      </c>
      <c r="F26" t="str">
        <f>IFERROR(__xludf.DUMMYFUNCTION("""COMPUTED_VALUE"""),"25")</f>
        <v>25</v>
      </c>
      <c r="G26" t="str">
        <f>IFERROR(__xludf.DUMMYFUNCTION("""COMPUTED_VALUE"""),"3")</f>
        <v>3</v>
      </c>
      <c r="H26" t="str">
        <f>IFERROR(__xludf.DUMMYFUNCTION("""COMPUTED_VALUE"""),"4")</f>
        <v>4</v>
      </c>
      <c r="I26" t="str">
        <f>IFERROR(__xludf.DUMMYFUNCTION("""COMPUTED_VALUE"""),"1")</f>
        <v>1</v>
      </c>
      <c r="J26" t="str">
        <f>IFERROR(__xludf.DUMMYFUNCTION("""COMPUTED_VALUE"""),"2")</f>
        <v>2</v>
      </c>
      <c r="K26" t="str">
        <f>IFERROR(__xludf.DUMMYFUNCTION("""COMPUTED_VALUE"""),"6")</f>
        <v>6</v>
      </c>
      <c r="L26" t="str">
        <f>IFERROR(__xludf.DUMMYFUNCTION("""COMPUTED_VALUE"""),"1")</f>
        <v>1</v>
      </c>
      <c r="M26" t="str">
        <f>IFERROR(__xludf.DUMMYFUNCTION("""COMPUTED_VALUE"""),"1")</f>
        <v>1</v>
      </c>
      <c r="N26" t="str">
        <f>IFERROR(__xludf.DUMMYFUNCTION("""COMPUTED_VALUE"""),"0")</f>
        <v>0</v>
      </c>
      <c r="O26" t="str">
        <f>IFERROR(__xludf.DUMMYFUNCTION("""COMPUTED_VALUE"""),"0")</f>
        <v>0</v>
      </c>
      <c r="P26" t="str">
        <f>IFERROR(__xludf.DUMMYFUNCTION("""COMPUTED_VALUE"""),"9")</f>
        <v>9</v>
      </c>
      <c r="Q26">
        <f>IFERROR(__xludf.DUMMYFUNCTION("""COMPUTED_VALUE"""),15.0)</f>
        <v>15</v>
      </c>
      <c r="R26" s="9">
        <f>IFERROR(__xludf.DUMMYFUNCTION("""COMPUTED_VALUE"""),15.0)</f>
        <v>15</v>
      </c>
      <c r="S26" s="14">
        <f>IFERROR(__xludf.DUMMYFUNCTION("""COMPUTED_VALUE"""),0.6)</f>
        <v>0.6</v>
      </c>
      <c r="T26" s="15">
        <f>IFERROR(__xludf.DUMMYFUNCTION("""COMPUTED_VALUE"""),67.2)</f>
        <v>67.2</v>
      </c>
      <c r="U26" s="15">
        <f>IFERROR(__xludf.DUMMYFUNCTION("""COMPUTED_VALUE"""),67.2)</f>
        <v>67.2</v>
      </c>
      <c r="V26" s="15">
        <f>IFERROR(__xludf.DUMMYFUNCTION("""COMPUTED_VALUE"""),64.2)</f>
        <v>64.2</v>
      </c>
      <c r="W26" s="15">
        <f>IFERROR(__xludf.DUMMYFUNCTION("""COMPUTED_VALUE"""),474.04200000000003)</f>
        <v>474.042</v>
      </c>
    </row>
    <row r="27">
      <c r="A27" t="str">
        <f>IFERROR(__xludf.DUMMYFUNCTION("""COMPUTED_VALUE"""),"Julian Champagnie")</f>
        <v>Julian Champagnie</v>
      </c>
      <c r="B27" t="str">
        <f>IFERROR(__xludf.DUMMYFUNCTION("""COMPUTED_VALUE"""),"SF")</f>
        <v>SF</v>
      </c>
      <c r="C27" t="str">
        <f>IFERROR(__xludf.DUMMYFUNCTION("""COMPUTED_VALUE"""),"25")</f>
        <v>25</v>
      </c>
      <c r="D27" t="str">
        <f>IFERROR(__xludf.DUMMYFUNCTION("""COMPUTED_VALUE"""),"SAS")</f>
        <v>SAS</v>
      </c>
      <c r="E27" t="str">
        <f>IFERROR(__xludf.DUMMYFUNCTION("""COMPUTED_VALUE"""),"1")</f>
        <v>1</v>
      </c>
      <c r="F27" t="str">
        <f>IFERROR(__xludf.DUMMYFUNCTION("""COMPUTED_VALUE"""),"30")</f>
        <v>30</v>
      </c>
      <c r="G27" t="str">
        <f>IFERROR(__xludf.DUMMYFUNCTION("""COMPUTED_VALUE"""),"3")</f>
        <v>3</v>
      </c>
      <c r="H27" t="str">
        <f>IFERROR(__xludf.DUMMYFUNCTION("""COMPUTED_VALUE"""),"8")</f>
        <v>8</v>
      </c>
      <c r="I27" t="str">
        <f>IFERROR(__xludf.DUMMYFUNCTION("""COMPUTED_VALUE"""),"0")</f>
        <v>0</v>
      </c>
      <c r="J27" t="str">
        <f>IFERROR(__xludf.DUMMYFUNCTION("""COMPUTED_VALUE"""),"0")</f>
        <v>0</v>
      </c>
      <c r="K27" t="str">
        <f>IFERROR(__xludf.DUMMYFUNCTION("""COMPUTED_VALUE"""),"3")</f>
        <v>3</v>
      </c>
      <c r="L27" t="str">
        <f>IFERROR(__xludf.DUMMYFUNCTION("""COMPUTED_VALUE"""),"1")</f>
        <v>1</v>
      </c>
      <c r="M27" t="str">
        <f>IFERROR(__xludf.DUMMYFUNCTION("""COMPUTED_VALUE"""),"2")</f>
        <v>2</v>
      </c>
      <c r="N27" t="str">
        <f>IFERROR(__xludf.DUMMYFUNCTION("""COMPUTED_VALUE"""),"3")</f>
        <v>3</v>
      </c>
      <c r="O27" t="str">
        <f>IFERROR(__xludf.DUMMYFUNCTION("""COMPUTED_VALUE"""),"0")</f>
        <v>0</v>
      </c>
      <c r="P27" t="str">
        <f>IFERROR(__xludf.DUMMYFUNCTION("""COMPUTED_VALUE"""),"8")</f>
        <v>8</v>
      </c>
      <c r="Q27">
        <f>IFERROR(__xludf.DUMMYFUNCTION("""COMPUTED_VALUE"""),12.0)</f>
        <v>12</v>
      </c>
      <c r="R27" s="9">
        <f>IFERROR(__xludf.DUMMYFUNCTION("""COMPUTED_VALUE"""),12.0)</f>
        <v>12</v>
      </c>
      <c r="S27" s="14">
        <f>IFERROR(__xludf.DUMMYFUNCTION("""COMPUTED_VALUE"""),0.4)</f>
        <v>0.4</v>
      </c>
      <c r="T27" s="15">
        <f>IFERROR(__xludf.DUMMYFUNCTION("""COMPUTED_VALUE"""),61.199999999999996)</f>
        <v>61.2</v>
      </c>
      <c r="U27" s="15">
        <f>IFERROR(__xludf.DUMMYFUNCTION("""COMPUTED_VALUE"""),61.199999999999996)</f>
        <v>61.2</v>
      </c>
      <c r="V27" s="15">
        <f>IFERROR(__xludf.DUMMYFUNCTION("""COMPUTED_VALUE"""),35.8)</f>
        <v>35.8</v>
      </c>
      <c r="W27" s="15">
        <f>IFERROR(__xludf.DUMMYFUNCTION("""COMPUTED_VALUE"""),448.18199999999996)</f>
        <v>448.182</v>
      </c>
    </row>
    <row r="28">
      <c r="A28" t="str">
        <f>IFERROR(__xludf.DUMMYFUNCTION("""COMPUTED_VALUE"""),"Jalen Brunson")</f>
        <v>Jalen Brunson</v>
      </c>
      <c r="B28" t="str">
        <f>IFERROR(__xludf.DUMMYFUNCTION("""COMPUTED_VALUE"""),"PG")</f>
        <v>PG</v>
      </c>
      <c r="C28" t="str">
        <f>IFERROR(__xludf.DUMMYFUNCTION("""COMPUTED_VALUE"""),"30")</f>
        <v>30</v>
      </c>
      <c r="D28" t="str">
        <f>IFERROR(__xludf.DUMMYFUNCTION("""COMPUTED_VALUE"""),"NYK")</f>
        <v>NYK</v>
      </c>
      <c r="E28" t="str">
        <f>IFERROR(__xludf.DUMMYFUNCTION("""COMPUTED_VALUE"""),"1")</f>
        <v>1</v>
      </c>
      <c r="F28" t="str">
        <f>IFERROR(__xludf.DUMMYFUNCTION("""COMPUTED_VALUE"""),"34")</f>
        <v>34</v>
      </c>
      <c r="G28" t="str">
        <f>IFERROR(__xludf.DUMMYFUNCTION("""COMPUTED_VALUE"""),"6")</f>
        <v>6</v>
      </c>
      <c r="H28" t="str">
        <f>IFERROR(__xludf.DUMMYFUNCTION("""COMPUTED_VALUE"""),"19")</f>
        <v>19</v>
      </c>
      <c r="I28" t="str">
        <f>IFERROR(__xludf.DUMMYFUNCTION("""COMPUTED_VALUE"""),"8")</f>
        <v>8</v>
      </c>
      <c r="J28" t="str">
        <f>IFERROR(__xludf.DUMMYFUNCTION("""COMPUTED_VALUE"""),"8")</f>
        <v>8</v>
      </c>
      <c r="K28" t="str">
        <f>IFERROR(__xludf.DUMMYFUNCTION("""COMPUTED_VALUE"""),"5")</f>
        <v>5</v>
      </c>
      <c r="L28" t="str">
        <f>IFERROR(__xludf.DUMMYFUNCTION("""COMPUTED_VALUE"""),"3")</f>
        <v>3</v>
      </c>
      <c r="M28" t="str">
        <f>IFERROR(__xludf.DUMMYFUNCTION("""COMPUTED_VALUE"""),"0")</f>
        <v>0</v>
      </c>
      <c r="N28" t="str">
        <f>IFERROR(__xludf.DUMMYFUNCTION("""COMPUTED_VALUE"""),"0")</f>
        <v>0</v>
      </c>
      <c r="O28" t="str">
        <f>IFERROR(__xludf.DUMMYFUNCTION("""COMPUTED_VALUE"""),"2")</f>
        <v>2</v>
      </c>
      <c r="P28" t="str">
        <f>IFERROR(__xludf.DUMMYFUNCTION("""COMPUTED_VALUE"""),"21")</f>
        <v>21</v>
      </c>
      <c r="Q28">
        <f>IFERROR(__xludf.DUMMYFUNCTION("""COMPUTED_VALUE"""),14.0)</f>
        <v>14</v>
      </c>
      <c r="R28" s="9">
        <f>IFERROR(__xludf.DUMMYFUNCTION("""COMPUTED_VALUE"""),14.0)</f>
        <v>14</v>
      </c>
      <c r="S28" s="14">
        <f>IFERROR(__xludf.DUMMYFUNCTION("""COMPUTED_VALUE"""),0.4117647058823529)</f>
        <v>0.4117647059</v>
      </c>
      <c r="T28" s="15">
        <f>IFERROR(__xludf.DUMMYFUNCTION("""COMPUTED_VALUE"""),65.7)</f>
        <v>65.7</v>
      </c>
      <c r="U28" s="15">
        <f>IFERROR(__xludf.DUMMYFUNCTION("""COMPUTED_VALUE"""),65.7)</f>
        <v>65.7</v>
      </c>
      <c r="V28" s="15">
        <f>IFERROR(__xludf.DUMMYFUNCTION("""COMPUTED_VALUE"""),40.300000000000004)</f>
        <v>40.3</v>
      </c>
      <c r="W28" s="15">
        <f>IFERROR(__xludf.DUMMYFUNCTION("""COMPUTED_VALUE"""),448.177)</f>
        <v>448.177</v>
      </c>
    </row>
    <row r="29">
      <c r="A29" t="str">
        <f>IFERROR(__xludf.DUMMYFUNCTION("""COMPUTED_VALUE"""),"Jose Alvarado")</f>
        <v>Jose Alvarado</v>
      </c>
      <c r="B29" t="str">
        <f>IFERROR(__xludf.DUMMYFUNCTION("""COMPUTED_VALUE"""),"PG")</f>
        <v>PG</v>
      </c>
      <c r="C29" t="str">
        <f>IFERROR(__xludf.DUMMYFUNCTION("""COMPUTED_VALUE"""),"28")</f>
        <v>28</v>
      </c>
      <c r="D29" t="str">
        <f>IFERROR(__xludf.DUMMYFUNCTION("""COMPUTED_VALUE"""),"NYK")</f>
        <v>NYK</v>
      </c>
      <c r="E29" t="str">
        <f>IFERROR(__xludf.DUMMYFUNCTION("""COMPUTED_VALUE"""),"1")</f>
        <v>1</v>
      </c>
      <c r="F29" t="str">
        <f>IFERROR(__xludf.DUMMYFUNCTION("""COMPUTED_VALUE"""),"16")</f>
        <v>16</v>
      </c>
      <c r="G29" t="str">
        <f>IFERROR(__xludf.DUMMYFUNCTION("""COMPUTED_VALUE"""),"3")</f>
        <v>3</v>
      </c>
      <c r="H29" t="str">
        <f>IFERROR(__xludf.DUMMYFUNCTION("""COMPUTED_VALUE"""),"7")</f>
        <v>7</v>
      </c>
      <c r="I29" t="str">
        <f>IFERROR(__xludf.DUMMYFUNCTION("""COMPUTED_VALUE"""),"0")</f>
        <v>0</v>
      </c>
      <c r="J29" t="str">
        <f>IFERROR(__xludf.DUMMYFUNCTION("""COMPUTED_VALUE"""),"0")</f>
        <v>0</v>
      </c>
      <c r="K29" t="str">
        <f>IFERROR(__xludf.DUMMYFUNCTION("""COMPUTED_VALUE"""),"3")</f>
        <v>3</v>
      </c>
      <c r="L29" t="str">
        <f>IFERROR(__xludf.DUMMYFUNCTION("""COMPUTED_VALUE"""),"3")</f>
        <v>3</v>
      </c>
      <c r="M29" t="str">
        <f>IFERROR(__xludf.DUMMYFUNCTION("""COMPUTED_VALUE"""),"2")</f>
        <v>2</v>
      </c>
      <c r="N29" t="str">
        <f>IFERROR(__xludf.DUMMYFUNCTION("""COMPUTED_VALUE"""),"0")</f>
        <v>0</v>
      </c>
      <c r="O29" t="str">
        <f>IFERROR(__xludf.DUMMYFUNCTION("""COMPUTED_VALUE"""),"1")</f>
        <v>1</v>
      </c>
      <c r="P29" t="str">
        <f>IFERROR(__xludf.DUMMYFUNCTION("""COMPUTED_VALUE"""),"8")</f>
        <v>8</v>
      </c>
      <c r="Q29">
        <f>IFERROR(__xludf.DUMMYFUNCTION("""COMPUTED_VALUE"""),11.0)</f>
        <v>11</v>
      </c>
      <c r="R29" s="9">
        <f>IFERROR(__xludf.DUMMYFUNCTION("""COMPUTED_VALUE"""),11.0)</f>
        <v>11</v>
      </c>
      <c r="S29" s="14">
        <f>IFERROR(__xludf.DUMMYFUNCTION("""COMPUTED_VALUE"""),0.6875)</f>
        <v>0.6875</v>
      </c>
      <c r="T29" s="15">
        <f>IFERROR(__xludf.DUMMYFUNCTION("""COMPUTED_VALUE"""),55.2)</f>
        <v>55.2</v>
      </c>
      <c r="U29" s="15">
        <f>IFERROR(__xludf.DUMMYFUNCTION("""COMPUTED_VALUE"""),55.2)</f>
        <v>55.2</v>
      </c>
      <c r="V29" s="15">
        <f>IFERROR(__xludf.DUMMYFUNCTION("""COMPUTED_VALUE"""),76.1)</f>
        <v>76.1</v>
      </c>
      <c r="W29" s="15">
        <f>IFERROR(__xludf.DUMMYFUNCTION("""COMPUTED_VALUE"""),444.197)</f>
        <v>444.197</v>
      </c>
    </row>
    <row r="30">
      <c r="A30" t="str">
        <f>IFERROR(__xludf.DUMMYFUNCTION("""COMPUTED_VALUE"""),"Keldon Johnson")</f>
        <v>Keldon Johnson</v>
      </c>
      <c r="B30" t="str">
        <f>IFERROR(__xludf.DUMMYFUNCTION("""COMPUTED_VALUE"""),"SF")</f>
        <v>SF</v>
      </c>
      <c r="C30" t="str">
        <f>IFERROR(__xludf.DUMMYFUNCTION("""COMPUTED_VALUE"""),"27")</f>
        <v>27</v>
      </c>
      <c r="D30" t="str">
        <f>IFERROR(__xludf.DUMMYFUNCTION("""COMPUTED_VALUE"""),"SAS")</f>
        <v>SAS</v>
      </c>
      <c r="E30" t="str">
        <f>IFERROR(__xludf.DUMMYFUNCTION("""COMPUTED_VALUE"""),"1")</f>
        <v>1</v>
      </c>
      <c r="F30" t="str">
        <f>IFERROR(__xludf.DUMMYFUNCTION("""COMPUTED_VALUE"""),"20")</f>
        <v>20</v>
      </c>
      <c r="G30" t="str">
        <f>IFERROR(__xludf.DUMMYFUNCTION("""COMPUTED_VALUE"""),"4")</f>
        <v>4</v>
      </c>
      <c r="H30" t="str">
        <f>IFERROR(__xludf.DUMMYFUNCTION("""COMPUTED_VALUE"""),"8")</f>
        <v>8</v>
      </c>
      <c r="I30" t="str">
        <f>IFERROR(__xludf.DUMMYFUNCTION("""COMPUTED_VALUE"""),"1")</f>
        <v>1</v>
      </c>
      <c r="J30" t="str">
        <f>IFERROR(__xludf.DUMMYFUNCTION("""COMPUTED_VALUE"""),"1")</f>
        <v>1</v>
      </c>
      <c r="K30" t="str">
        <f>IFERROR(__xludf.DUMMYFUNCTION("""COMPUTED_VALUE"""),"4")</f>
        <v>4</v>
      </c>
      <c r="L30" t="str">
        <f>IFERROR(__xludf.DUMMYFUNCTION("""COMPUTED_VALUE"""),"1")</f>
        <v>1</v>
      </c>
      <c r="M30" t="str">
        <f>IFERROR(__xludf.DUMMYFUNCTION("""COMPUTED_VALUE"""),"2")</f>
        <v>2</v>
      </c>
      <c r="N30" t="str">
        <f>IFERROR(__xludf.DUMMYFUNCTION("""COMPUTED_VALUE"""),"0")</f>
        <v>0</v>
      </c>
      <c r="O30" t="str">
        <f>IFERROR(__xludf.DUMMYFUNCTION("""COMPUTED_VALUE"""),"2")</f>
        <v>2</v>
      </c>
      <c r="P30" t="str">
        <f>IFERROR(__xludf.DUMMYFUNCTION("""COMPUTED_VALUE"""),"10")</f>
        <v>10</v>
      </c>
      <c r="Q30">
        <f>IFERROR(__xludf.DUMMYFUNCTION("""COMPUTED_VALUE"""),11.0)</f>
        <v>11</v>
      </c>
      <c r="R30" s="9">
        <f>IFERROR(__xludf.DUMMYFUNCTION("""COMPUTED_VALUE"""),11.0)</f>
        <v>11</v>
      </c>
      <c r="S30" s="14">
        <f>IFERROR(__xludf.DUMMYFUNCTION("""COMPUTED_VALUE"""),0.55)</f>
        <v>0.55</v>
      </c>
      <c r="T30" s="15">
        <f>IFERROR(__xludf.DUMMYFUNCTION("""COMPUTED_VALUE"""),55.2)</f>
        <v>55.2</v>
      </c>
      <c r="U30" s="15">
        <f>IFERROR(__xludf.DUMMYFUNCTION("""COMPUTED_VALUE"""),55.2)</f>
        <v>55.2</v>
      </c>
      <c r="V30" s="15">
        <f>IFERROR(__xludf.DUMMYFUNCTION("""COMPUTED_VALUE"""),55.2)</f>
        <v>55.2</v>
      </c>
      <c r="W30" s="15">
        <f>IFERROR(__xludf.DUMMYFUNCTION("""COMPUTED_VALUE"""),424.472)</f>
        <v>424.472</v>
      </c>
    </row>
    <row r="31">
      <c r="A31" t="str">
        <f>IFERROR(__xludf.DUMMYFUNCTION("""COMPUTED_VALUE"""),"Jalen Williams")</f>
        <v>Jalen Williams</v>
      </c>
      <c r="B31" t="str">
        <f>IFERROR(__xludf.DUMMYFUNCTION("""COMPUTED_VALUE"""),"SG")</f>
        <v>SG</v>
      </c>
      <c r="C31" t="str">
        <f>IFERROR(__xludf.DUMMYFUNCTION("""COMPUTED_VALUE"""),"25")</f>
        <v>25</v>
      </c>
      <c r="D31" t="str">
        <f>IFERROR(__xludf.DUMMYFUNCTION("""COMPUTED_VALUE"""),"OKC")</f>
        <v>OKC</v>
      </c>
      <c r="E31" t="str">
        <f>IFERROR(__xludf.DUMMYFUNCTION("""COMPUTED_VALUE"""),"1")</f>
        <v>1</v>
      </c>
      <c r="F31" t="str">
        <f>IFERROR(__xludf.DUMMYFUNCTION("""COMPUTED_VALUE"""),"30")</f>
        <v>30</v>
      </c>
      <c r="G31" t="str">
        <f>IFERROR(__xludf.DUMMYFUNCTION("""COMPUTED_VALUE"""),"5")</f>
        <v>5</v>
      </c>
      <c r="H31" t="str">
        <f>IFERROR(__xludf.DUMMYFUNCTION("""COMPUTED_VALUE"""),"16")</f>
        <v>16</v>
      </c>
      <c r="I31" t="str">
        <f>IFERROR(__xludf.DUMMYFUNCTION("""COMPUTED_VALUE"""),"1")</f>
        <v>1</v>
      </c>
      <c r="J31" t="str">
        <f>IFERROR(__xludf.DUMMYFUNCTION("""COMPUTED_VALUE"""),"2")</f>
        <v>2</v>
      </c>
      <c r="K31" t="str">
        <f>IFERROR(__xludf.DUMMYFUNCTION("""COMPUTED_VALUE"""),"7")</f>
        <v>7</v>
      </c>
      <c r="L31" t="str">
        <f>IFERROR(__xludf.DUMMYFUNCTION("""COMPUTED_VALUE"""),"2")</f>
        <v>2</v>
      </c>
      <c r="M31" t="str">
        <f>IFERROR(__xludf.DUMMYFUNCTION("""COMPUTED_VALUE"""),"1")</f>
        <v>1</v>
      </c>
      <c r="N31" t="str">
        <f>IFERROR(__xludf.DUMMYFUNCTION("""COMPUTED_VALUE"""),"1")</f>
        <v>1</v>
      </c>
      <c r="O31" t="str">
        <f>IFERROR(__xludf.DUMMYFUNCTION("""COMPUTED_VALUE"""),"0")</f>
        <v>0</v>
      </c>
      <c r="P31" t="str">
        <f>IFERROR(__xludf.DUMMYFUNCTION("""COMPUTED_VALUE"""),"12")</f>
        <v>12</v>
      </c>
      <c r="Q31">
        <f>IFERROR(__xludf.DUMMYFUNCTION("""COMPUTED_VALUE"""),11.0)</f>
        <v>11</v>
      </c>
      <c r="R31" s="9">
        <f>IFERROR(__xludf.DUMMYFUNCTION("""COMPUTED_VALUE"""),11.0)</f>
        <v>11</v>
      </c>
      <c r="S31" s="14">
        <f>IFERROR(__xludf.DUMMYFUNCTION("""COMPUTED_VALUE"""),0.36666666666666664)</f>
        <v>0.3666666667</v>
      </c>
      <c r="T31" s="15">
        <f>IFERROR(__xludf.DUMMYFUNCTION("""COMPUTED_VALUE"""),55.2)</f>
        <v>55.2</v>
      </c>
      <c r="U31" s="15">
        <f>IFERROR(__xludf.DUMMYFUNCTION("""COMPUTED_VALUE"""),55.2)</f>
        <v>55.2</v>
      </c>
      <c r="V31" s="15">
        <f>IFERROR(__xludf.DUMMYFUNCTION("""COMPUTED_VALUE"""),32.800000000000004)</f>
        <v>32.8</v>
      </c>
      <c r="W31" s="15">
        <f>IFERROR(__xludf.DUMMYFUNCTION("""COMPUTED_VALUE"""),409.27200000000005)</f>
        <v>409.272</v>
      </c>
    </row>
    <row r="32">
      <c r="A32" t="str">
        <f>IFERROR(__xludf.DUMMYFUNCTION("""COMPUTED_VALUE"""),"Aday Mara")</f>
        <v>Aday Mara</v>
      </c>
      <c r="B32" t="str">
        <f>IFERROR(__xludf.DUMMYFUNCTION("""COMPUTED_VALUE"""),"C")</f>
        <v>C</v>
      </c>
      <c r="C32" t="str">
        <f>IFERROR(__xludf.DUMMYFUNCTION("""COMPUTED_VALUE"""),"21")</f>
        <v>21</v>
      </c>
      <c r="D32" t="str">
        <f>IFERROR(__xludf.DUMMYFUNCTION("""COMPUTED_VALUE"""),"OKC")</f>
        <v>OKC</v>
      </c>
      <c r="E32" t="str">
        <f>IFERROR(__xludf.DUMMYFUNCTION("""COMPUTED_VALUE"""),"1")</f>
        <v>1</v>
      </c>
      <c r="F32" t="str">
        <f>IFERROR(__xludf.DUMMYFUNCTION("""COMPUTED_VALUE"""),"12")</f>
        <v>12</v>
      </c>
      <c r="G32" t="str">
        <f>IFERROR(__xludf.DUMMYFUNCTION("""COMPUTED_VALUE"""),"3")</f>
        <v>3</v>
      </c>
      <c r="H32" t="str">
        <f>IFERROR(__xludf.DUMMYFUNCTION("""COMPUTED_VALUE"""),"4")</f>
        <v>4</v>
      </c>
      <c r="I32" t="str">
        <f>IFERROR(__xludf.DUMMYFUNCTION("""COMPUTED_VALUE"""),"1")</f>
        <v>1</v>
      </c>
      <c r="J32" t="str">
        <f>IFERROR(__xludf.DUMMYFUNCTION("""COMPUTED_VALUE"""),"2")</f>
        <v>2</v>
      </c>
      <c r="K32" t="str">
        <f>IFERROR(__xludf.DUMMYFUNCTION("""COMPUTED_VALUE"""),"2")</f>
        <v>2</v>
      </c>
      <c r="L32" t="str">
        <f>IFERROR(__xludf.DUMMYFUNCTION("""COMPUTED_VALUE"""),"1")</f>
        <v>1</v>
      </c>
      <c r="M32" t="str">
        <f>IFERROR(__xludf.DUMMYFUNCTION("""COMPUTED_VALUE"""),"0")</f>
        <v>0</v>
      </c>
      <c r="N32" t="str">
        <f>IFERROR(__xludf.DUMMYFUNCTION("""COMPUTED_VALUE"""),"1")</f>
        <v>1</v>
      </c>
      <c r="O32" t="str">
        <f>IFERROR(__xludf.DUMMYFUNCTION("""COMPUTED_VALUE"""),"1")</f>
        <v>1</v>
      </c>
      <c r="P32" t="str">
        <f>IFERROR(__xludf.DUMMYFUNCTION("""COMPUTED_VALUE"""),"7")</f>
        <v>7</v>
      </c>
      <c r="Q32">
        <f>IFERROR(__xludf.DUMMYFUNCTION("""COMPUTED_VALUE"""),8.0)</f>
        <v>8</v>
      </c>
      <c r="R32" s="9">
        <f>IFERROR(__xludf.DUMMYFUNCTION("""COMPUTED_VALUE"""),8.0)</f>
        <v>8</v>
      </c>
      <c r="S32" s="14">
        <f>IFERROR(__xludf.DUMMYFUNCTION("""COMPUTED_VALUE"""),0.6666666666666666)</f>
        <v>0.6666666667</v>
      </c>
      <c r="T32" s="15">
        <f>IFERROR(__xludf.DUMMYFUNCTION("""COMPUTED_VALUE"""),43.3)</f>
        <v>43.3</v>
      </c>
      <c r="U32" s="15">
        <f>IFERROR(__xludf.DUMMYFUNCTION("""COMPUTED_VALUE"""),43.3)</f>
        <v>43.3</v>
      </c>
      <c r="V32" s="15">
        <f>IFERROR(__xludf.DUMMYFUNCTION("""COMPUTED_VALUE"""),73.1)</f>
        <v>73.1</v>
      </c>
      <c r="W32" s="15">
        <f>IFERROR(__xludf.DUMMYFUNCTION("""COMPUTED_VALUE"""),409.11299999999994)</f>
        <v>409.113</v>
      </c>
    </row>
    <row r="33">
      <c r="A33" t="str">
        <f>IFERROR(__xludf.DUMMYFUNCTION("""COMPUTED_VALUE"""),"Baylor Scheierman")</f>
        <v>Baylor Scheierman</v>
      </c>
      <c r="B33" t="str">
        <f>IFERROR(__xludf.DUMMYFUNCTION("""COMPUTED_VALUE"""),"SG")</f>
        <v>SG</v>
      </c>
      <c r="C33" t="str">
        <f>IFERROR(__xludf.DUMMYFUNCTION("""COMPUTED_VALUE"""),"26")</f>
        <v>26</v>
      </c>
      <c r="D33" t="str">
        <f>IFERROR(__xludf.DUMMYFUNCTION("""COMPUTED_VALUE"""),"BOS")</f>
        <v>BOS</v>
      </c>
      <c r="E33" t="str">
        <f>IFERROR(__xludf.DUMMYFUNCTION("""COMPUTED_VALUE"""),"1")</f>
        <v>1</v>
      </c>
      <c r="F33" t="str">
        <f>IFERROR(__xludf.DUMMYFUNCTION("""COMPUTED_VALUE"""),"18")</f>
        <v>18</v>
      </c>
      <c r="G33" t="str">
        <f>IFERROR(__xludf.DUMMYFUNCTION("""COMPUTED_VALUE"""),"3")</f>
        <v>3</v>
      </c>
      <c r="H33" t="str">
        <f>IFERROR(__xludf.DUMMYFUNCTION("""COMPUTED_VALUE"""),"4")</f>
        <v>4</v>
      </c>
      <c r="I33" t="str">
        <f>IFERROR(__xludf.DUMMYFUNCTION("""COMPUTED_VALUE"""),"0")</f>
        <v>0</v>
      </c>
      <c r="J33" t="str">
        <f>IFERROR(__xludf.DUMMYFUNCTION("""COMPUTED_VALUE"""),"0")</f>
        <v>0</v>
      </c>
      <c r="K33" t="str">
        <f>IFERROR(__xludf.DUMMYFUNCTION("""COMPUTED_VALUE"""),"3")</f>
        <v>3</v>
      </c>
      <c r="L33" t="str">
        <f>IFERROR(__xludf.DUMMYFUNCTION("""COMPUTED_VALUE"""),"0")</f>
        <v>0</v>
      </c>
      <c r="M33" t="str">
        <f>IFERROR(__xludf.DUMMYFUNCTION("""COMPUTED_VALUE"""),"1")</f>
        <v>1</v>
      </c>
      <c r="N33" t="str">
        <f>IFERROR(__xludf.DUMMYFUNCTION("""COMPUTED_VALUE"""),"0")</f>
        <v>0</v>
      </c>
      <c r="O33" t="str">
        <f>IFERROR(__xludf.DUMMYFUNCTION("""COMPUTED_VALUE"""),"1")</f>
        <v>1</v>
      </c>
      <c r="P33" t="str">
        <f>IFERROR(__xludf.DUMMYFUNCTION("""COMPUTED_VALUE"""),"8")</f>
        <v>8</v>
      </c>
      <c r="Q33">
        <f>IFERROR(__xludf.DUMMYFUNCTION("""COMPUTED_VALUE"""),10.0)</f>
        <v>10</v>
      </c>
      <c r="R33" s="9">
        <f>IFERROR(__xludf.DUMMYFUNCTION("""COMPUTED_VALUE"""),10.0)</f>
        <v>10</v>
      </c>
      <c r="S33" s="14">
        <f>IFERROR(__xludf.DUMMYFUNCTION("""COMPUTED_VALUE"""),0.5555555555555556)</f>
        <v>0.5555555556</v>
      </c>
      <c r="T33" s="15">
        <f>IFERROR(__xludf.DUMMYFUNCTION("""COMPUTED_VALUE"""),50.7)</f>
        <v>50.7</v>
      </c>
      <c r="U33" s="15">
        <f>IFERROR(__xludf.DUMMYFUNCTION("""COMPUTED_VALUE"""),50.7)</f>
        <v>50.7</v>
      </c>
      <c r="V33" s="15">
        <f>IFERROR(__xludf.DUMMYFUNCTION("""COMPUTED_VALUE"""),56.699999999999996)</f>
        <v>56.7</v>
      </c>
      <c r="W33" s="15">
        <f>IFERROR(__xludf.DUMMYFUNCTION("""COMPUTED_VALUE"""),406.377)</f>
        <v>406.377</v>
      </c>
    </row>
    <row r="34">
      <c r="A34" t="str">
        <f>IFERROR(__xludf.DUMMYFUNCTION("""COMPUTED_VALUE"""),"Kentavious Caldwell-Pope")</f>
        <v>Kentavious Caldwell-Pope</v>
      </c>
      <c r="B34" t="str">
        <f>IFERROR(__xludf.DUMMYFUNCTION("""COMPUTED_VALUE"""),"SG")</f>
        <v>SG</v>
      </c>
      <c r="C34" t="str">
        <f>IFERROR(__xludf.DUMMYFUNCTION("""COMPUTED_VALUE"""),"33")</f>
        <v>33</v>
      </c>
      <c r="D34" t="str">
        <f>IFERROR(__xludf.DUMMYFUNCTION("""COMPUTED_VALUE"""),"PHI")</f>
        <v>PHI</v>
      </c>
      <c r="E34" t="str">
        <f>IFERROR(__xludf.DUMMYFUNCTION("""COMPUTED_VALUE"""),"1")</f>
        <v>1</v>
      </c>
      <c r="F34" t="str">
        <f>IFERROR(__xludf.DUMMYFUNCTION("""COMPUTED_VALUE"""),"26")</f>
        <v>26</v>
      </c>
      <c r="G34" t="str">
        <f>IFERROR(__xludf.DUMMYFUNCTION("""COMPUTED_VALUE"""),"3")</f>
        <v>3</v>
      </c>
      <c r="H34" t="str">
        <f>IFERROR(__xludf.DUMMYFUNCTION("""COMPUTED_VALUE"""),"8")</f>
        <v>8</v>
      </c>
      <c r="I34" t="str">
        <f>IFERROR(__xludf.DUMMYFUNCTION("""COMPUTED_VALUE"""),"2")</f>
        <v>2</v>
      </c>
      <c r="J34" t="str">
        <f>IFERROR(__xludf.DUMMYFUNCTION("""COMPUTED_VALUE"""),"2")</f>
        <v>2</v>
      </c>
      <c r="K34" t="str">
        <f>IFERROR(__xludf.DUMMYFUNCTION("""COMPUTED_VALUE"""),"4")</f>
        <v>4</v>
      </c>
      <c r="L34" t="str">
        <f>IFERROR(__xludf.DUMMYFUNCTION("""COMPUTED_VALUE"""),"1")</f>
        <v>1</v>
      </c>
      <c r="M34" t="str">
        <f>IFERROR(__xludf.DUMMYFUNCTION("""COMPUTED_VALUE"""),"0")</f>
        <v>0</v>
      </c>
      <c r="N34" t="str">
        <f>IFERROR(__xludf.DUMMYFUNCTION("""COMPUTED_VALUE"""),"1")</f>
        <v>1</v>
      </c>
      <c r="O34" t="str">
        <f>IFERROR(__xludf.DUMMYFUNCTION("""COMPUTED_VALUE"""),"0")</f>
        <v>0</v>
      </c>
      <c r="P34" t="str">
        <f>IFERROR(__xludf.DUMMYFUNCTION("""COMPUTED_VALUE"""),"10")</f>
        <v>10</v>
      </c>
      <c r="Q34">
        <f>IFERROR(__xludf.DUMMYFUNCTION("""COMPUTED_VALUE"""),11.0)</f>
        <v>11</v>
      </c>
      <c r="R34" s="9">
        <f>IFERROR(__xludf.DUMMYFUNCTION("""COMPUTED_VALUE"""),11.0)</f>
        <v>11</v>
      </c>
      <c r="S34" s="14">
        <f>IFERROR(__xludf.DUMMYFUNCTION("""COMPUTED_VALUE"""),0.4230769230769231)</f>
        <v>0.4230769231</v>
      </c>
      <c r="T34" s="15">
        <f>IFERROR(__xludf.DUMMYFUNCTION("""COMPUTED_VALUE"""),55.2)</f>
        <v>55.2</v>
      </c>
      <c r="U34" s="15">
        <f>IFERROR(__xludf.DUMMYFUNCTION("""COMPUTED_VALUE"""),55.2)</f>
        <v>55.2</v>
      </c>
      <c r="V34" s="15">
        <f>IFERROR(__xludf.DUMMYFUNCTION("""COMPUTED_VALUE"""),41.8)</f>
        <v>41.8</v>
      </c>
      <c r="W34" s="15">
        <f>IFERROR(__xludf.DUMMYFUNCTION("""COMPUTED_VALUE"""),375.722)</f>
        <v>375.722</v>
      </c>
    </row>
    <row r="35">
      <c r="A35" t="str">
        <f>IFERROR(__xludf.DUMMYFUNCTION("""COMPUTED_VALUE"""),"Anfernee Simons")</f>
        <v>Anfernee Simons</v>
      </c>
      <c r="B35" t="str">
        <f>IFERROR(__xludf.DUMMYFUNCTION("""COMPUTED_VALUE"""),"SG")</f>
        <v>SG</v>
      </c>
      <c r="C35" t="str">
        <f>IFERROR(__xludf.DUMMYFUNCTION("""COMPUTED_VALUE"""),"27")</f>
        <v>27</v>
      </c>
      <c r="D35" t="str">
        <f>IFERROR(__xludf.DUMMYFUNCTION("""COMPUTED_VALUE"""),"PHI")</f>
        <v>PHI</v>
      </c>
      <c r="E35" t="str">
        <f>IFERROR(__xludf.DUMMYFUNCTION("""COMPUTED_VALUE"""),"1")</f>
        <v>1</v>
      </c>
      <c r="F35" t="str">
        <f>IFERROR(__xludf.DUMMYFUNCTION("""COMPUTED_VALUE"""),"25")</f>
        <v>25</v>
      </c>
      <c r="G35" t="str">
        <f>IFERROR(__xludf.DUMMYFUNCTION("""COMPUTED_VALUE"""),"5")</f>
        <v>5</v>
      </c>
      <c r="H35" t="str">
        <f>IFERROR(__xludf.DUMMYFUNCTION("""COMPUTED_VALUE"""),"10")</f>
        <v>10</v>
      </c>
      <c r="I35" t="str">
        <f>IFERROR(__xludf.DUMMYFUNCTION("""COMPUTED_VALUE"""),"0")</f>
        <v>0</v>
      </c>
      <c r="J35" t="str">
        <f>IFERROR(__xludf.DUMMYFUNCTION("""COMPUTED_VALUE"""),"0")</f>
        <v>0</v>
      </c>
      <c r="K35" t="str">
        <f>IFERROR(__xludf.DUMMYFUNCTION("""COMPUTED_VALUE"""),"2")</f>
        <v>2</v>
      </c>
      <c r="L35" t="str">
        <f>IFERROR(__xludf.DUMMYFUNCTION("""COMPUTED_VALUE"""),"0")</f>
        <v>0</v>
      </c>
      <c r="M35" t="str">
        <f>IFERROR(__xludf.DUMMYFUNCTION("""COMPUTED_VALUE"""),"0")</f>
        <v>0</v>
      </c>
      <c r="N35" t="str">
        <f>IFERROR(__xludf.DUMMYFUNCTION("""COMPUTED_VALUE"""),"0")</f>
        <v>0</v>
      </c>
      <c r="O35" t="str">
        <f>IFERROR(__xludf.DUMMYFUNCTION("""COMPUTED_VALUE"""),"0")</f>
        <v>0</v>
      </c>
      <c r="P35" t="str">
        <f>IFERROR(__xludf.DUMMYFUNCTION("""COMPUTED_VALUE"""),"13")</f>
        <v>13</v>
      </c>
      <c r="Q35">
        <f>IFERROR(__xludf.DUMMYFUNCTION("""COMPUTED_VALUE"""),10.0)</f>
        <v>10</v>
      </c>
      <c r="R35" s="9">
        <f>IFERROR(__xludf.DUMMYFUNCTION("""COMPUTED_VALUE"""),10.0)</f>
        <v>10</v>
      </c>
      <c r="S35" s="14">
        <f>IFERROR(__xludf.DUMMYFUNCTION("""COMPUTED_VALUE"""),0.4)</f>
        <v>0.4</v>
      </c>
      <c r="T35" s="15">
        <f>IFERROR(__xludf.DUMMYFUNCTION("""COMPUTED_VALUE"""),50.7)</f>
        <v>50.7</v>
      </c>
      <c r="U35" s="15">
        <f>IFERROR(__xludf.DUMMYFUNCTION("""COMPUTED_VALUE"""),50.7)</f>
        <v>50.7</v>
      </c>
      <c r="V35" s="15">
        <f>IFERROR(__xludf.DUMMYFUNCTION("""COMPUTED_VALUE"""),35.8)</f>
        <v>35.8</v>
      </c>
      <c r="W35" s="15">
        <f>IFERROR(__xludf.DUMMYFUNCTION("""COMPUTED_VALUE"""),373.852)</f>
        <v>373.852</v>
      </c>
    </row>
    <row r="36">
      <c r="A36" t="str">
        <f>IFERROR(__xludf.DUMMYFUNCTION("""COMPUTED_VALUE"""),"John Collins")</f>
        <v>John Collins</v>
      </c>
      <c r="B36" t="str">
        <f>IFERROR(__xludf.DUMMYFUNCTION("""COMPUTED_VALUE"""),"PF")</f>
        <v>PF</v>
      </c>
      <c r="C36" t="str">
        <f>IFERROR(__xludf.DUMMYFUNCTION("""COMPUTED_VALUE"""),"29")</f>
        <v>29</v>
      </c>
      <c r="D36" t="str">
        <f>IFERROR(__xludf.DUMMYFUNCTION("""COMPUTED_VALUE"""),"DET")</f>
        <v>DET</v>
      </c>
      <c r="E36" t="str">
        <f>IFERROR(__xludf.DUMMYFUNCTION("""COMPUTED_VALUE"""),"1")</f>
        <v>1</v>
      </c>
      <c r="F36" t="str">
        <f>IFERROR(__xludf.DUMMYFUNCTION("""COMPUTED_VALUE"""),"25")</f>
        <v>25</v>
      </c>
      <c r="G36" t="str">
        <f>IFERROR(__xludf.DUMMYFUNCTION("""COMPUTED_VALUE"""),"3")</f>
        <v>3</v>
      </c>
      <c r="H36" t="str">
        <f>IFERROR(__xludf.DUMMYFUNCTION("""COMPUTED_VALUE"""),"7")</f>
        <v>7</v>
      </c>
      <c r="I36" t="str">
        <f>IFERROR(__xludf.DUMMYFUNCTION("""COMPUTED_VALUE"""),"0")</f>
        <v>0</v>
      </c>
      <c r="J36" t="str">
        <f>IFERROR(__xludf.DUMMYFUNCTION("""COMPUTED_VALUE"""),"0")</f>
        <v>0</v>
      </c>
      <c r="K36" t="str">
        <f>IFERROR(__xludf.DUMMYFUNCTION("""COMPUTED_VALUE"""),"5")</f>
        <v>5</v>
      </c>
      <c r="L36" t="str">
        <f>IFERROR(__xludf.DUMMYFUNCTION("""COMPUTED_VALUE"""),"1")</f>
        <v>1</v>
      </c>
      <c r="M36" t="str">
        <f>IFERROR(__xludf.DUMMYFUNCTION("""COMPUTED_VALUE"""),"1")</f>
        <v>1</v>
      </c>
      <c r="N36" t="str">
        <f>IFERROR(__xludf.DUMMYFUNCTION("""COMPUTED_VALUE"""),"1")</f>
        <v>1</v>
      </c>
      <c r="O36" t="str">
        <f>IFERROR(__xludf.DUMMYFUNCTION("""COMPUTED_VALUE"""),"0")</f>
        <v>0</v>
      </c>
      <c r="P36" t="str">
        <f>IFERROR(__xludf.DUMMYFUNCTION("""COMPUTED_VALUE"""),"6")</f>
        <v>6</v>
      </c>
      <c r="Q36">
        <f>IFERROR(__xludf.DUMMYFUNCTION("""COMPUTED_VALUE"""),10.0)</f>
        <v>10</v>
      </c>
      <c r="R36" s="9">
        <f>IFERROR(__xludf.DUMMYFUNCTION("""COMPUTED_VALUE"""),10.0)</f>
        <v>10</v>
      </c>
      <c r="S36" s="14">
        <f>IFERROR(__xludf.DUMMYFUNCTION("""COMPUTED_VALUE"""),0.4)</f>
        <v>0.4</v>
      </c>
      <c r="T36" s="15">
        <f>IFERROR(__xludf.DUMMYFUNCTION("""COMPUTED_VALUE"""),50.7)</f>
        <v>50.7</v>
      </c>
      <c r="U36" s="15">
        <f>IFERROR(__xludf.DUMMYFUNCTION("""COMPUTED_VALUE"""),50.7)</f>
        <v>50.7</v>
      </c>
      <c r="V36" s="15">
        <f>IFERROR(__xludf.DUMMYFUNCTION("""COMPUTED_VALUE"""),35.8)</f>
        <v>35.8</v>
      </c>
      <c r="W36" s="15">
        <f>IFERROR(__xludf.DUMMYFUNCTION("""COMPUTED_VALUE"""),361.052)</f>
        <v>361.052</v>
      </c>
    </row>
    <row r="37">
      <c r="A37" t="str">
        <f>IFERROR(__xludf.DUMMYFUNCTION("""COMPUTED_VALUE"""),"Jordan Walsh")</f>
        <v>Jordan Walsh</v>
      </c>
      <c r="B37" t="str">
        <f>IFERROR(__xludf.DUMMYFUNCTION("""COMPUTED_VALUE"""),"PF")</f>
        <v>PF</v>
      </c>
      <c r="C37" t="str">
        <f>IFERROR(__xludf.DUMMYFUNCTION("""COMPUTED_VALUE"""),"22")</f>
        <v>22</v>
      </c>
      <c r="D37" t="str">
        <f>IFERROR(__xludf.DUMMYFUNCTION("""COMPUTED_VALUE"""),"BOS")</f>
        <v>BOS</v>
      </c>
      <c r="E37" t="str">
        <f>IFERROR(__xludf.DUMMYFUNCTION("""COMPUTED_VALUE"""),"1")</f>
        <v>1</v>
      </c>
      <c r="F37" t="str">
        <f>IFERROR(__xludf.DUMMYFUNCTION("""COMPUTED_VALUE"""),"13")</f>
        <v>13</v>
      </c>
      <c r="G37" t="str">
        <f>IFERROR(__xludf.DUMMYFUNCTION("""COMPUTED_VALUE"""),"0")</f>
        <v>0</v>
      </c>
      <c r="H37" t="str">
        <f>IFERROR(__xludf.DUMMYFUNCTION("""COMPUTED_VALUE"""),"2")</f>
        <v>2</v>
      </c>
      <c r="I37" t="str">
        <f>IFERROR(__xludf.DUMMYFUNCTION("""COMPUTED_VALUE"""),"0")</f>
        <v>0</v>
      </c>
      <c r="J37" t="str">
        <f>IFERROR(__xludf.DUMMYFUNCTION("""COMPUTED_VALUE"""),"0")</f>
        <v>0</v>
      </c>
      <c r="K37" t="str">
        <f>IFERROR(__xludf.DUMMYFUNCTION("""COMPUTED_VALUE"""),"6")</f>
        <v>6</v>
      </c>
      <c r="L37" t="str">
        <f>IFERROR(__xludf.DUMMYFUNCTION("""COMPUTED_VALUE"""),"1")</f>
        <v>1</v>
      </c>
      <c r="M37" t="str">
        <f>IFERROR(__xludf.DUMMYFUNCTION("""COMPUTED_VALUE"""),"1")</f>
        <v>1</v>
      </c>
      <c r="N37" t="str">
        <f>IFERROR(__xludf.DUMMYFUNCTION("""COMPUTED_VALUE"""),"1")</f>
        <v>1</v>
      </c>
      <c r="O37" t="str">
        <f>IFERROR(__xludf.DUMMYFUNCTION("""COMPUTED_VALUE"""),"0")</f>
        <v>0</v>
      </c>
      <c r="P37" t="str">
        <f>IFERROR(__xludf.DUMMYFUNCTION("""COMPUTED_VALUE"""),"0")</f>
        <v>0</v>
      </c>
      <c r="Q37">
        <f>IFERROR(__xludf.DUMMYFUNCTION("""COMPUTED_VALUE"""),7.0)</f>
        <v>7</v>
      </c>
      <c r="R37" s="9">
        <f>IFERROR(__xludf.DUMMYFUNCTION("""COMPUTED_VALUE"""),7.0)</f>
        <v>7</v>
      </c>
      <c r="S37" s="14">
        <f>IFERROR(__xludf.DUMMYFUNCTION("""COMPUTED_VALUE"""),0.5384615384615384)</f>
        <v>0.5384615385</v>
      </c>
      <c r="T37" s="15">
        <f>IFERROR(__xludf.DUMMYFUNCTION("""COMPUTED_VALUE"""),38.800000000000004)</f>
        <v>38.8</v>
      </c>
      <c r="U37" s="15">
        <f>IFERROR(__xludf.DUMMYFUNCTION("""COMPUTED_VALUE"""),38.800000000000004)</f>
        <v>38.8</v>
      </c>
      <c r="V37" s="15">
        <f>IFERROR(__xludf.DUMMYFUNCTION("""COMPUTED_VALUE"""),53.7)</f>
        <v>53.7</v>
      </c>
      <c r="W37" s="15">
        <f>IFERROR(__xludf.DUMMYFUNCTION("""COMPUTED_VALUE"""),358.49300000000005)</f>
        <v>358.493</v>
      </c>
    </row>
    <row r="38">
      <c r="A38" t="str">
        <f>IFERROR(__xludf.DUMMYFUNCTION("""COMPUTED_VALUE"""),"Ajay Mitchell")</f>
        <v>Ajay Mitchell</v>
      </c>
      <c r="B38" t="str">
        <f>IFERROR(__xludf.DUMMYFUNCTION("""COMPUTED_VALUE"""),"SG")</f>
        <v>SG</v>
      </c>
      <c r="C38" t="str">
        <f>IFERROR(__xludf.DUMMYFUNCTION("""COMPUTED_VALUE"""),"24")</f>
        <v>24</v>
      </c>
      <c r="D38" t="str">
        <f>IFERROR(__xludf.DUMMYFUNCTION("""COMPUTED_VALUE"""),"OKC")</f>
        <v>OKC</v>
      </c>
      <c r="E38" t="str">
        <f>IFERROR(__xludf.DUMMYFUNCTION("""COMPUTED_VALUE"""),"1")</f>
        <v>1</v>
      </c>
      <c r="F38" t="str">
        <f>IFERROR(__xludf.DUMMYFUNCTION("""COMPUTED_VALUE"""),"23")</f>
        <v>23</v>
      </c>
      <c r="G38" t="str">
        <f>IFERROR(__xludf.DUMMYFUNCTION("""COMPUTED_VALUE"""),"2")</f>
        <v>2</v>
      </c>
      <c r="H38" t="str">
        <f>IFERROR(__xludf.DUMMYFUNCTION("""COMPUTED_VALUE"""),"8")</f>
        <v>8</v>
      </c>
      <c r="I38" t="str">
        <f>IFERROR(__xludf.DUMMYFUNCTION("""COMPUTED_VALUE"""),"0")</f>
        <v>0</v>
      </c>
      <c r="J38" t="str">
        <f>IFERROR(__xludf.DUMMYFUNCTION("""COMPUTED_VALUE"""),"0")</f>
        <v>0</v>
      </c>
      <c r="K38" t="str">
        <f>IFERROR(__xludf.DUMMYFUNCTION("""COMPUTED_VALUE"""),"5")</f>
        <v>5</v>
      </c>
      <c r="L38" t="str">
        <f>IFERROR(__xludf.DUMMYFUNCTION("""COMPUTED_VALUE"""),"6")</f>
        <v>6</v>
      </c>
      <c r="M38" t="str">
        <f>IFERROR(__xludf.DUMMYFUNCTION("""COMPUTED_VALUE"""),"0")</f>
        <v>0</v>
      </c>
      <c r="N38" t="str">
        <f>IFERROR(__xludf.DUMMYFUNCTION("""COMPUTED_VALUE"""),"0")</f>
        <v>0</v>
      </c>
      <c r="O38" t="str">
        <f>IFERROR(__xludf.DUMMYFUNCTION("""COMPUTED_VALUE"""),"1")</f>
        <v>1</v>
      </c>
      <c r="P38" t="str">
        <f>IFERROR(__xludf.DUMMYFUNCTION("""COMPUTED_VALUE"""),"4")</f>
        <v>4</v>
      </c>
      <c r="Q38">
        <f>IFERROR(__xludf.DUMMYFUNCTION("""COMPUTED_VALUE"""),8.0)</f>
        <v>8</v>
      </c>
      <c r="R38" s="9">
        <f>IFERROR(__xludf.DUMMYFUNCTION("""COMPUTED_VALUE"""),8.0)</f>
        <v>8</v>
      </c>
      <c r="S38" s="14">
        <f>IFERROR(__xludf.DUMMYFUNCTION("""COMPUTED_VALUE"""),0.34782608695652173)</f>
        <v>0.347826087</v>
      </c>
      <c r="T38" s="15">
        <f>IFERROR(__xludf.DUMMYFUNCTION("""COMPUTED_VALUE"""),43.3)</f>
        <v>43.3</v>
      </c>
      <c r="U38" s="15">
        <f>IFERROR(__xludf.DUMMYFUNCTION("""COMPUTED_VALUE"""),43.3)</f>
        <v>43.3</v>
      </c>
      <c r="V38" s="15">
        <f>IFERROR(__xludf.DUMMYFUNCTION("""COMPUTED_VALUE"""),29.9)</f>
        <v>29.9</v>
      </c>
      <c r="W38" s="15">
        <f>IFERROR(__xludf.DUMMYFUNCTION("""COMPUTED_VALUE"""),342.313)</f>
        <v>342.313</v>
      </c>
    </row>
    <row r="39">
      <c r="A39" t="str">
        <f>IFERROR(__xludf.DUMMYFUNCTION("""COMPUTED_VALUE"""),"Jayson Tatum")</f>
        <v>Jayson Tatum</v>
      </c>
      <c r="B39" t="str">
        <f>IFERROR(__xludf.DUMMYFUNCTION("""COMPUTED_VALUE"""),"PF")</f>
        <v>PF</v>
      </c>
      <c r="C39" t="str">
        <f>IFERROR(__xludf.DUMMYFUNCTION("""COMPUTED_VALUE"""),"28")</f>
        <v>28</v>
      </c>
      <c r="D39" t="str">
        <f>IFERROR(__xludf.DUMMYFUNCTION("""COMPUTED_VALUE"""),"BOS")</f>
        <v>BOS</v>
      </c>
      <c r="E39" t="str">
        <f>IFERROR(__xludf.DUMMYFUNCTION("""COMPUTED_VALUE"""),"1")</f>
        <v>1</v>
      </c>
      <c r="F39" t="str">
        <f>IFERROR(__xludf.DUMMYFUNCTION("""COMPUTED_VALUE"""),"38")</f>
        <v>38</v>
      </c>
      <c r="G39" t="str">
        <f>IFERROR(__xludf.DUMMYFUNCTION("""COMPUTED_VALUE"""),"6")</f>
        <v>6</v>
      </c>
      <c r="H39" t="str">
        <f>IFERROR(__xludf.DUMMYFUNCTION("""COMPUTED_VALUE"""),"23")</f>
        <v>23</v>
      </c>
      <c r="I39" t="str">
        <f>IFERROR(__xludf.DUMMYFUNCTION("""COMPUTED_VALUE"""),"1")</f>
        <v>1</v>
      </c>
      <c r="J39" t="str">
        <f>IFERROR(__xludf.DUMMYFUNCTION("""COMPUTED_VALUE"""),"1")</f>
        <v>1</v>
      </c>
      <c r="K39" t="str">
        <f>IFERROR(__xludf.DUMMYFUNCTION("""COMPUTED_VALUE"""),"4")</f>
        <v>4</v>
      </c>
      <c r="L39" t="str">
        <f>IFERROR(__xludf.DUMMYFUNCTION("""COMPUTED_VALUE"""),"11")</f>
        <v>11</v>
      </c>
      <c r="M39" t="str">
        <f>IFERROR(__xludf.DUMMYFUNCTION("""COMPUTED_VALUE"""),"0")</f>
        <v>0</v>
      </c>
      <c r="N39" t="str">
        <f>IFERROR(__xludf.DUMMYFUNCTION("""COMPUTED_VALUE"""),"0")</f>
        <v>0</v>
      </c>
      <c r="O39" t="str">
        <f>IFERROR(__xludf.DUMMYFUNCTION("""COMPUTED_VALUE"""),"2")</f>
        <v>2</v>
      </c>
      <c r="P39" t="str">
        <f>IFERROR(__xludf.DUMMYFUNCTION("""COMPUTED_VALUE"""),"13")</f>
        <v>13</v>
      </c>
      <c r="Q39">
        <f>IFERROR(__xludf.DUMMYFUNCTION("""COMPUTED_VALUE"""),9.0)</f>
        <v>9</v>
      </c>
      <c r="R39" s="9">
        <f>IFERROR(__xludf.DUMMYFUNCTION("""COMPUTED_VALUE"""),9.0)</f>
        <v>9</v>
      </c>
      <c r="S39" s="14">
        <f>IFERROR(__xludf.DUMMYFUNCTION("""COMPUTED_VALUE"""),0.23684210526315788)</f>
        <v>0.2368421053</v>
      </c>
      <c r="T39" s="15">
        <f>IFERROR(__xludf.DUMMYFUNCTION("""COMPUTED_VALUE"""),49.3)</f>
        <v>49.3</v>
      </c>
      <c r="U39" s="15">
        <f>IFERROR(__xludf.DUMMYFUNCTION("""COMPUTED_VALUE"""),49.3)</f>
        <v>49.3</v>
      </c>
      <c r="V39" s="15">
        <f>IFERROR(__xludf.DUMMYFUNCTION("""COMPUTED_VALUE"""),19.400000000000002)</f>
        <v>19.4</v>
      </c>
      <c r="W39" s="15">
        <f>IFERROR(__xludf.DUMMYFUNCTION("""COMPUTED_VALUE"""),338.74799999999993)</f>
        <v>338.748</v>
      </c>
    </row>
    <row r="40">
      <c r="A40" t="str">
        <f>IFERROR(__xludf.DUMMYFUNCTION("""COMPUTED_VALUE"""),"Isaiah Hartenstein")</f>
        <v>Isaiah Hartenstein</v>
      </c>
      <c r="B40" t="str">
        <f>IFERROR(__xludf.DUMMYFUNCTION("""COMPUTED_VALUE"""),"C")</f>
        <v>C</v>
      </c>
      <c r="C40" t="str">
        <f>IFERROR(__xludf.DUMMYFUNCTION("""COMPUTED_VALUE"""),"28")</f>
        <v>28</v>
      </c>
      <c r="D40" t="str">
        <f>IFERROR(__xludf.DUMMYFUNCTION("""COMPUTED_VALUE"""),"OKC")</f>
        <v>OKC</v>
      </c>
      <c r="E40" t="str">
        <f>IFERROR(__xludf.DUMMYFUNCTION("""COMPUTED_VALUE"""),"1")</f>
        <v>1</v>
      </c>
      <c r="F40" t="str">
        <f>IFERROR(__xludf.DUMMYFUNCTION("""COMPUTED_VALUE"""),"17")</f>
        <v>17</v>
      </c>
      <c r="G40" t="str">
        <f>IFERROR(__xludf.DUMMYFUNCTION("""COMPUTED_VALUE"""),"2")</f>
        <v>2</v>
      </c>
      <c r="H40" t="str">
        <f>IFERROR(__xludf.DUMMYFUNCTION("""COMPUTED_VALUE"""),"4")</f>
        <v>4</v>
      </c>
      <c r="I40" t="str">
        <f>IFERROR(__xludf.DUMMYFUNCTION("""COMPUTED_VALUE"""),"0")</f>
        <v>0</v>
      </c>
      <c r="J40" t="str">
        <f>IFERROR(__xludf.DUMMYFUNCTION("""COMPUTED_VALUE"""),"0")</f>
        <v>0</v>
      </c>
      <c r="K40" t="str">
        <f>IFERROR(__xludf.DUMMYFUNCTION("""COMPUTED_VALUE"""),"3")</f>
        <v>3</v>
      </c>
      <c r="L40" t="str">
        <f>IFERROR(__xludf.DUMMYFUNCTION("""COMPUTED_VALUE"""),"3")</f>
        <v>3</v>
      </c>
      <c r="M40" t="str">
        <f>IFERROR(__xludf.DUMMYFUNCTION("""COMPUTED_VALUE"""),"1")</f>
        <v>1</v>
      </c>
      <c r="N40" t="str">
        <f>IFERROR(__xludf.DUMMYFUNCTION("""COMPUTED_VALUE"""),"1")</f>
        <v>1</v>
      </c>
      <c r="O40" t="str">
        <f>IFERROR(__xludf.DUMMYFUNCTION("""COMPUTED_VALUE"""),"2")</f>
        <v>2</v>
      </c>
      <c r="P40" t="str">
        <f>IFERROR(__xludf.DUMMYFUNCTION("""COMPUTED_VALUE"""),"4")</f>
        <v>4</v>
      </c>
      <c r="Q40">
        <f>IFERROR(__xludf.DUMMYFUNCTION("""COMPUTED_VALUE"""),8.0)</f>
        <v>8</v>
      </c>
      <c r="R40" s="9">
        <f>IFERROR(__xludf.DUMMYFUNCTION("""COMPUTED_VALUE"""),8.0)</f>
        <v>8</v>
      </c>
      <c r="S40" s="14">
        <f>IFERROR(__xludf.DUMMYFUNCTION("""COMPUTED_VALUE"""),0.47058823529411764)</f>
        <v>0.4705882353</v>
      </c>
      <c r="T40" s="15">
        <f>IFERROR(__xludf.DUMMYFUNCTION("""COMPUTED_VALUE"""),43.3)</f>
        <v>43.3</v>
      </c>
      <c r="U40" s="15">
        <f>IFERROR(__xludf.DUMMYFUNCTION("""COMPUTED_VALUE"""),43.3)</f>
        <v>43.3</v>
      </c>
      <c r="V40" s="15">
        <f>IFERROR(__xludf.DUMMYFUNCTION("""COMPUTED_VALUE"""),46.300000000000004)</f>
        <v>46.3</v>
      </c>
      <c r="W40" s="15">
        <f>IFERROR(__xludf.DUMMYFUNCTION("""COMPUTED_VALUE"""),337.21299999999997)</f>
        <v>337.213</v>
      </c>
    </row>
    <row r="41">
      <c r="A41" t="str">
        <f>IFERROR(__xludf.DUMMYFUNCTION("""COMPUTED_VALUE"""),"Neemias Queta")</f>
        <v>Neemias Queta</v>
      </c>
      <c r="B41" t="str">
        <f>IFERROR(__xludf.DUMMYFUNCTION("""COMPUTED_VALUE"""),"C")</f>
        <v>C</v>
      </c>
      <c r="C41" t="str">
        <f>IFERROR(__xludf.DUMMYFUNCTION("""COMPUTED_VALUE"""),"27")</f>
        <v>27</v>
      </c>
      <c r="D41" t="str">
        <f>IFERROR(__xludf.DUMMYFUNCTION("""COMPUTED_VALUE"""),"BOS")</f>
        <v>BOS</v>
      </c>
      <c r="E41" t="str">
        <f>IFERROR(__xludf.DUMMYFUNCTION("""COMPUTED_VALUE"""),"1")</f>
        <v>1</v>
      </c>
      <c r="F41" t="str">
        <f>IFERROR(__xludf.DUMMYFUNCTION("""COMPUTED_VALUE"""),"22")</f>
        <v>22</v>
      </c>
      <c r="G41" t="str">
        <f>IFERROR(__xludf.DUMMYFUNCTION("""COMPUTED_VALUE"""),"1")</f>
        <v>1</v>
      </c>
      <c r="H41" t="str">
        <f>IFERROR(__xludf.DUMMYFUNCTION("""COMPUTED_VALUE"""),"3")</f>
        <v>3</v>
      </c>
      <c r="I41" t="str">
        <f>IFERROR(__xludf.DUMMYFUNCTION("""COMPUTED_VALUE"""),"1")</f>
        <v>1</v>
      </c>
      <c r="J41" t="str">
        <f>IFERROR(__xludf.DUMMYFUNCTION("""COMPUTED_VALUE"""),"2")</f>
        <v>2</v>
      </c>
      <c r="K41" t="str">
        <f>IFERROR(__xludf.DUMMYFUNCTION("""COMPUTED_VALUE"""),"4")</f>
        <v>4</v>
      </c>
      <c r="L41" t="str">
        <f>IFERROR(__xludf.DUMMYFUNCTION("""COMPUTED_VALUE"""),"2")</f>
        <v>2</v>
      </c>
      <c r="M41" t="str">
        <f>IFERROR(__xludf.DUMMYFUNCTION("""COMPUTED_VALUE"""),"1")</f>
        <v>1</v>
      </c>
      <c r="N41" t="str">
        <f>IFERROR(__xludf.DUMMYFUNCTION("""COMPUTED_VALUE"""),"2")</f>
        <v>2</v>
      </c>
      <c r="O41" t="str">
        <f>IFERROR(__xludf.DUMMYFUNCTION("""COMPUTED_VALUE"""),"1")</f>
        <v>1</v>
      </c>
      <c r="P41" t="str">
        <f>IFERROR(__xludf.DUMMYFUNCTION("""COMPUTED_VALUE"""),"3")</f>
        <v>3</v>
      </c>
      <c r="Q41">
        <f>IFERROR(__xludf.DUMMYFUNCTION("""COMPUTED_VALUE"""),8.0)</f>
        <v>8</v>
      </c>
      <c r="R41" s="9">
        <f>IFERROR(__xludf.DUMMYFUNCTION("""COMPUTED_VALUE"""),8.0)</f>
        <v>8</v>
      </c>
      <c r="S41" s="14">
        <f>IFERROR(__xludf.DUMMYFUNCTION("""COMPUTED_VALUE"""),0.36363636363636365)</f>
        <v>0.3636363636</v>
      </c>
      <c r="T41" s="15">
        <f>IFERROR(__xludf.DUMMYFUNCTION("""COMPUTED_VALUE"""),43.3)</f>
        <v>43.3</v>
      </c>
      <c r="U41" s="15">
        <f>IFERROR(__xludf.DUMMYFUNCTION("""COMPUTED_VALUE"""),43.3)</f>
        <v>43.3</v>
      </c>
      <c r="V41" s="15">
        <f>IFERROR(__xludf.DUMMYFUNCTION("""COMPUTED_VALUE"""),31.3)</f>
        <v>31.3</v>
      </c>
      <c r="W41" s="15">
        <f>IFERROR(__xludf.DUMMYFUNCTION("""COMPUTED_VALUE"""),324.86299999999994)</f>
        <v>324.863</v>
      </c>
    </row>
    <row r="42">
      <c r="A42" t="str">
        <f>IFERROR(__xludf.DUMMYFUNCTION("""COMPUTED_VALUE"""),"VJ Edgecombe")</f>
        <v>VJ Edgecombe</v>
      </c>
      <c r="B42" t="str">
        <f>IFERROR(__xludf.DUMMYFUNCTION("""COMPUTED_VALUE"""),"SG")</f>
        <v>SG</v>
      </c>
      <c r="C42" t="str">
        <f>IFERROR(__xludf.DUMMYFUNCTION("""COMPUTED_VALUE"""),"21")</f>
        <v>21</v>
      </c>
      <c r="D42" t="str">
        <f>IFERROR(__xludf.DUMMYFUNCTION("""COMPUTED_VALUE"""),"PHI")</f>
        <v>PHI</v>
      </c>
      <c r="E42" t="str">
        <f>IFERROR(__xludf.DUMMYFUNCTION("""COMPUTED_VALUE"""),"1")</f>
        <v>1</v>
      </c>
      <c r="F42" t="str">
        <f>IFERROR(__xludf.DUMMYFUNCTION("""COMPUTED_VALUE"""),"35")</f>
        <v>35</v>
      </c>
      <c r="G42" t="str">
        <f>IFERROR(__xludf.DUMMYFUNCTION("""COMPUTED_VALUE"""),"4")</f>
        <v>4</v>
      </c>
      <c r="H42" t="str">
        <f>IFERROR(__xludf.DUMMYFUNCTION("""COMPUTED_VALUE"""),"10")</f>
        <v>10</v>
      </c>
      <c r="I42" t="str">
        <f>IFERROR(__xludf.DUMMYFUNCTION("""COMPUTED_VALUE"""),"1")</f>
        <v>1</v>
      </c>
      <c r="J42" t="str">
        <f>IFERROR(__xludf.DUMMYFUNCTION("""COMPUTED_VALUE"""),"2")</f>
        <v>2</v>
      </c>
      <c r="K42" t="str">
        <f>IFERROR(__xludf.DUMMYFUNCTION("""COMPUTED_VALUE"""),"4")</f>
        <v>4</v>
      </c>
      <c r="L42" t="str">
        <f>IFERROR(__xludf.DUMMYFUNCTION("""COMPUTED_VALUE"""),"1")</f>
        <v>1</v>
      </c>
      <c r="M42" t="str">
        <f>IFERROR(__xludf.DUMMYFUNCTION("""COMPUTED_VALUE"""),"1")</f>
        <v>1</v>
      </c>
      <c r="N42" t="str">
        <f>IFERROR(__xludf.DUMMYFUNCTION("""COMPUTED_VALUE"""),"0")</f>
        <v>0</v>
      </c>
      <c r="O42" t="str">
        <f>IFERROR(__xludf.DUMMYFUNCTION("""COMPUTED_VALUE"""),"1")</f>
        <v>1</v>
      </c>
      <c r="P42" t="str">
        <f>IFERROR(__xludf.DUMMYFUNCTION("""COMPUTED_VALUE"""),"9")</f>
        <v>9</v>
      </c>
      <c r="Q42">
        <f>IFERROR(__xludf.DUMMYFUNCTION("""COMPUTED_VALUE"""),7.0)</f>
        <v>7</v>
      </c>
      <c r="R42" s="9">
        <f>IFERROR(__xludf.DUMMYFUNCTION("""COMPUTED_VALUE"""),7.0)</f>
        <v>7</v>
      </c>
      <c r="S42" s="14">
        <f>IFERROR(__xludf.DUMMYFUNCTION("""COMPUTED_VALUE"""),0.2)</f>
        <v>0.2</v>
      </c>
      <c r="T42" s="15">
        <f>IFERROR(__xludf.DUMMYFUNCTION("""COMPUTED_VALUE"""),38.800000000000004)</f>
        <v>38.8</v>
      </c>
      <c r="U42" s="15">
        <f>IFERROR(__xludf.DUMMYFUNCTION("""COMPUTED_VALUE"""),38.800000000000004)</f>
        <v>38.8</v>
      </c>
      <c r="V42" s="15">
        <f>IFERROR(__xludf.DUMMYFUNCTION("""COMPUTED_VALUE"""),14.899999999999999)</f>
        <v>14.9</v>
      </c>
      <c r="W42" s="15">
        <f>IFERROR(__xludf.DUMMYFUNCTION("""COMPUTED_VALUE"""),309.99300000000005)</f>
        <v>309.993</v>
      </c>
    </row>
    <row r="43">
      <c r="A43" t="str">
        <f>IFERROR(__xludf.DUMMYFUNCTION("""COMPUTED_VALUE"""),"Mitchell Robinson")</f>
        <v>Mitchell Robinson</v>
      </c>
      <c r="B43" t="str">
        <f>IFERROR(__xludf.DUMMYFUNCTION("""COMPUTED_VALUE"""),"C")</f>
        <v>C</v>
      </c>
      <c r="C43" t="str">
        <f>IFERROR(__xludf.DUMMYFUNCTION("""COMPUTED_VALUE"""),"28")</f>
        <v>28</v>
      </c>
      <c r="D43" t="str">
        <f>IFERROR(__xludf.DUMMYFUNCTION("""COMPUTED_VALUE"""),"BOS")</f>
        <v>BOS</v>
      </c>
      <c r="E43" t="str">
        <f>IFERROR(__xludf.DUMMYFUNCTION("""COMPUTED_VALUE"""),"1")</f>
        <v>1</v>
      </c>
      <c r="F43" t="str">
        <f>IFERROR(__xludf.DUMMYFUNCTION("""COMPUTED_VALUE"""),"18")</f>
        <v>18</v>
      </c>
      <c r="G43" t="str">
        <f>IFERROR(__xludf.DUMMYFUNCTION("""COMPUTED_VALUE"""),"2")</f>
        <v>2</v>
      </c>
      <c r="H43" t="str">
        <f>IFERROR(__xludf.DUMMYFUNCTION("""COMPUTED_VALUE"""),"2")</f>
        <v>2</v>
      </c>
      <c r="I43" t="str">
        <f>IFERROR(__xludf.DUMMYFUNCTION("""COMPUTED_VALUE"""),"0")</f>
        <v>0</v>
      </c>
      <c r="J43" t="str">
        <f>IFERROR(__xludf.DUMMYFUNCTION("""COMPUTED_VALUE"""),"2")</f>
        <v>2</v>
      </c>
      <c r="K43" t="str">
        <f>IFERROR(__xludf.DUMMYFUNCTION("""COMPUTED_VALUE"""),"3")</f>
        <v>3</v>
      </c>
      <c r="L43" t="str">
        <f>IFERROR(__xludf.DUMMYFUNCTION("""COMPUTED_VALUE"""),"1")</f>
        <v>1</v>
      </c>
      <c r="M43" t="str">
        <f>IFERROR(__xludf.DUMMYFUNCTION("""COMPUTED_VALUE"""),"1")</f>
        <v>1</v>
      </c>
      <c r="N43" t="str">
        <f>IFERROR(__xludf.DUMMYFUNCTION("""COMPUTED_VALUE"""),"2")</f>
        <v>2</v>
      </c>
      <c r="O43" t="str">
        <f>IFERROR(__xludf.DUMMYFUNCTION("""COMPUTED_VALUE"""),"2")</f>
        <v>2</v>
      </c>
      <c r="P43" t="str">
        <f>IFERROR(__xludf.DUMMYFUNCTION("""COMPUTED_VALUE"""),"4")</f>
        <v>4</v>
      </c>
      <c r="Q43">
        <f>IFERROR(__xludf.DUMMYFUNCTION("""COMPUTED_VALUE"""),7.0)</f>
        <v>7</v>
      </c>
      <c r="R43" s="9">
        <f>IFERROR(__xludf.DUMMYFUNCTION("""COMPUTED_VALUE"""),7.0)</f>
        <v>7</v>
      </c>
      <c r="S43" s="14">
        <f>IFERROR(__xludf.DUMMYFUNCTION("""COMPUTED_VALUE"""),0.3888888888888889)</f>
        <v>0.3888888889</v>
      </c>
      <c r="T43" s="15">
        <f>IFERROR(__xludf.DUMMYFUNCTION("""COMPUTED_VALUE"""),38.800000000000004)</f>
        <v>38.8</v>
      </c>
      <c r="U43" s="15">
        <f>IFERROR(__xludf.DUMMYFUNCTION("""COMPUTED_VALUE"""),38.800000000000004)</f>
        <v>38.8</v>
      </c>
      <c r="V43" s="15">
        <f>IFERROR(__xludf.DUMMYFUNCTION("""COMPUTED_VALUE"""),34.300000000000004)</f>
        <v>34.3</v>
      </c>
      <c r="W43" s="15">
        <f>IFERROR(__xludf.DUMMYFUNCTION("""COMPUTED_VALUE"""),295.843)</f>
        <v>295.843</v>
      </c>
    </row>
    <row r="44">
      <c r="A44" t="str">
        <f>IFERROR(__xludf.DUMMYFUNCTION("""COMPUTED_VALUE"""),"Cason Wallace")</f>
        <v>Cason Wallace</v>
      </c>
      <c r="B44" t="str">
        <f>IFERROR(__xludf.DUMMYFUNCTION("""COMPUTED_VALUE"""),"SG")</f>
        <v>SG</v>
      </c>
      <c r="C44" t="str">
        <f>IFERROR(__xludf.DUMMYFUNCTION("""COMPUTED_VALUE"""),"23")</f>
        <v>23</v>
      </c>
      <c r="D44" t="str">
        <f>IFERROR(__xludf.DUMMYFUNCTION("""COMPUTED_VALUE"""),"OKC")</f>
        <v>OKC</v>
      </c>
      <c r="E44" t="str">
        <f>IFERROR(__xludf.DUMMYFUNCTION("""COMPUTED_VALUE"""),"1")</f>
        <v>1</v>
      </c>
      <c r="F44" t="str">
        <f>IFERROR(__xludf.DUMMYFUNCTION("""COMPUTED_VALUE"""),"19")</f>
        <v>19</v>
      </c>
      <c r="G44" t="str">
        <f>IFERROR(__xludf.DUMMYFUNCTION("""COMPUTED_VALUE"""),"3")</f>
        <v>3</v>
      </c>
      <c r="H44" t="str">
        <f>IFERROR(__xludf.DUMMYFUNCTION("""COMPUTED_VALUE"""),"8")</f>
        <v>8</v>
      </c>
      <c r="I44" t="str">
        <f>IFERROR(__xludf.DUMMYFUNCTION("""COMPUTED_VALUE"""),"0")</f>
        <v>0</v>
      </c>
      <c r="J44" t="str">
        <f>IFERROR(__xludf.DUMMYFUNCTION("""COMPUTED_VALUE"""),"0")</f>
        <v>0</v>
      </c>
      <c r="K44" t="str">
        <f>IFERROR(__xludf.DUMMYFUNCTION("""COMPUTED_VALUE"""),"3")</f>
        <v>3</v>
      </c>
      <c r="L44" t="str">
        <f>IFERROR(__xludf.DUMMYFUNCTION("""COMPUTED_VALUE"""),"2")</f>
        <v>2</v>
      </c>
      <c r="M44" t="str">
        <f>IFERROR(__xludf.DUMMYFUNCTION("""COMPUTED_VALUE"""),"1")</f>
        <v>1</v>
      </c>
      <c r="N44" t="str">
        <f>IFERROR(__xludf.DUMMYFUNCTION("""COMPUTED_VALUE"""),"0")</f>
        <v>0</v>
      </c>
      <c r="O44" t="str">
        <f>IFERROR(__xludf.DUMMYFUNCTION("""COMPUTED_VALUE"""),"1")</f>
        <v>1</v>
      </c>
      <c r="P44" t="str">
        <f>IFERROR(__xludf.DUMMYFUNCTION("""COMPUTED_VALUE"""),"6")</f>
        <v>6</v>
      </c>
      <c r="Q44">
        <f>IFERROR(__xludf.DUMMYFUNCTION("""COMPUTED_VALUE"""),6.0)</f>
        <v>6</v>
      </c>
      <c r="R44" s="9">
        <f>IFERROR(__xludf.DUMMYFUNCTION("""COMPUTED_VALUE"""),6.0)</f>
        <v>6</v>
      </c>
      <c r="S44" s="14">
        <f>IFERROR(__xludf.DUMMYFUNCTION("""COMPUTED_VALUE"""),0.3157894736842105)</f>
        <v>0.3157894737</v>
      </c>
      <c r="T44" s="15">
        <f>IFERROR(__xludf.DUMMYFUNCTION("""COMPUTED_VALUE"""),34.300000000000004)</f>
        <v>34.3</v>
      </c>
      <c r="U44" s="15">
        <f>IFERROR(__xludf.DUMMYFUNCTION("""COMPUTED_VALUE"""),34.300000000000004)</f>
        <v>34.3</v>
      </c>
      <c r="V44" s="15">
        <f>IFERROR(__xludf.DUMMYFUNCTION("""COMPUTED_VALUE"""),23.9)</f>
        <v>23.9</v>
      </c>
      <c r="W44" s="15">
        <f>IFERROR(__xludf.DUMMYFUNCTION("""COMPUTED_VALUE"""),288.47300000000007)</f>
        <v>288.473</v>
      </c>
    </row>
    <row r="45">
      <c r="A45" t="str">
        <f>IFERROR(__xludf.DUMMYFUNCTION("""COMPUTED_VALUE"""),"Adem Bona")</f>
        <v>Adem Bona</v>
      </c>
      <c r="B45" t="str">
        <f>IFERROR(__xludf.DUMMYFUNCTION("""COMPUTED_VALUE"""),"C")</f>
        <v>C</v>
      </c>
      <c r="C45" t="str">
        <f>IFERROR(__xludf.DUMMYFUNCTION("""COMPUTED_VALUE"""),"23")</f>
        <v>23</v>
      </c>
      <c r="D45" t="str">
        <f>IFERROR(__xludf.DUMMYFUNCTION("""COMPUTED_VALUE"""),"PHI")</f>
        <v>PHI</v>
      </c>
      <c r="E45" t="str">
        <f>IFERROR(__xludf.DUMMYFUNCTION("""COMPUTED_VALUE"""),"1")</f>
        <v>1</v>
      </c>
      <c r="F45" t="str">
        <f>IFERROR(__xludf.DUMMYFUNCTION("""COMPUTED_VALUE"""),"10")</f>
        <v>10</v>
      </c>
      <c r="G45" t="str">
        <f>IFERROR(__xludf.DUMMYFUNCTION("""COMPUTED_VALUE"""),"0")</f>
        <v>0</v>
      </c>
      <c r="H45" t="str">
        <f>IFERROR(__xludf.DUMMYFUNCTION("""COMPUTED_VALUE"""),"0")</f>
        <v>0</v>
      </c>
      <c r="I45" t="str">
        <f>IFERROR(__xludf.DUMMYFUNCTION("""COMPUTED_VALUE"""),"0")</f>
        <v>0</v>
      </c>
      <c r="J45" t="str">
        <f>IFERROR(__xludf.DUMMYFUNCTION("""COMPUTED_VALUE"""),"0")</f>
        <v>0</v>
      </c>
      <c r="K45" t="str">
        <f>IFERROR(__xludf.DUMMYFUNCTION("""COMPUTED_VALUE"""),"3")</f>
        <v>3</v>
      </c>
      <c r="L45" t="str">
        <f>IFERROR(__xludf.DUMMYFUNCTION("""COMPUTED_VALUE"""),"1")</f>
        <v>1</v>
      </c>
      <c r="M45" t="str">
        <f>IFERROR(__xludf.DUMMYFUNCTION("""COMPUTED_VALUE"""),"0")</f>
        <v>0</v>
      </c>
      <c r="N45" t="str">
        <f>IFERROR(__xludf.DUMMYFUNCTION("""COMPUTED_VALUE"""),"1")</f>
        <v>1</v>
      </c>
      <c r="O45" t="str">
        <f>IFERROR(__xludf.DUMMYFUNCTION("""COMPUTED_VALUE"""),"0")</f>
        <v>0</v>
      </c>
      <c r="P45" t="str">
        <f>IFERROR(__xludf.DUMMYFUNCTION("""COMPUTED_VALUE"""),"0")</f>
        <v>0</v>
      </c>
      <c r="Q45">
        <f>IFERROR(__xludf.DUMMYFUNCTION("""COMPUTED_VALUE"""),5.0)</f>
        <v>5</v>
      </c>
      <c r="R45" s="9">
        <f>IFERROR(__xludf.DUMMYFUNCTION("""COMPUTED_VALUE"""),5.0)</f>
        <v>5</v>
      </c>
      <c r="S45" s="14">
        <f>IFERROR(__xludf.DUMMYFUNCTION("""COMPUTED_VALUE"""),0.5)</f>
        <v>0.5</v>
      </c>
      <c r="T45" s="15">
        <f>IFERROR(__xludf.DUMMYFUNCTION("""COMPUTED_VALUE"""),25.4)</f>
        <v>25.4</v>
      </c>
      <c r="U45" s="15">
        <f>IFERROR(__xludf.DUMMYFUNCTION("""COMPUTED_VALUE"""),25.4)</f>
        <v>25.4</v>
      </c>
      <c r="V45" s="15">
        <f>IFERROR(__xludf.DUMMYFUNCTION("""COMPUTED_VALUE"""),49.3)</f>
        <v>49.3</v>
      </c>
      <c r="W45" s="15">
        <f>IFERROR(__xludf.DUMMYFUNCTION("""COMPUTED_VALUE"""),268.069)</f>
        <v>268.069</v>
      </c>
    </row>
    <row r="46">
      <c r="A46" t="str">
        <f>IFERROR(__xludf.DUMMYFUNCTION("""COMPUTED_VALUE"""),"Luke Kornet")</f>
        <v>Luke Kornet</v>
      </c>
      <c r="B46" t="str">
        <f>IFERROR(__xludf.DUMMYFUNCTION("""COMPUTED_VALUE"""),"C")</f>
        <v>C</v>
      </c>
      <c r="C46" t="str">
        <f>IFERROR(__xludf.DUMMYFUNCTION("""COMPUTED_VALUE"""),"31")</f>
        <v>31</v>
      </c>
      <c r="D46" t="str">
        <f>IFERROR(__xludf.DUMMYFUNCTION("""COMPUTED_VALUE"""),"SAS")</f>
        <v>SAS</v>
      </c>
      <c r="E46" t="str">
        <f>IFERROR(__xludf.DUMMYFUNCTION("""COMPUTED_VALUE"""),"1")</f>
        <v>1</v>
      </c>
      <c r="F46" t="str">
        <f>IFERROR(__xludf.DUMMYFUNCTION("""COMPUTED_VALUE"""),"13")</f>
        <v>13</v>
      </c>
      <c r="G46" t="str">
        <f>IFERROR(__xludf.DUMMYFUNCTION("""COMPUTED_VALUE"""),"2")</f>
        <v>2</v>
      </c>
      <c r="H46" t="str">
        <f>IFERROR(__xludf.DUMMYFUNCTION("""COMPUTED_VALUE"""),"2")</f>
        <v>2</v>
      </c>
      <c r="I46" t="str">
        <f>IFERROR(__xludf.DUMMYFUNCTION("""COMPUTED_VALUE"""),"0")</f>
        <v>0</v>
      </c>
      <c r="J46" t="str">
        <f>IFERROR(__xludf.DUMMYFUNCTION("""COMPUTED_VALUE"""),"0")</f>
        <v>0</v>
      </c>
      <c r="K46" t="str">
        <f>IFERROR(__xludf.DUMMYFUNCTION("""COMPUTED_VALUE"""),"1")</f>
        <v>1</v>
      </c>
      <c r="L46" t="str">
        <f>IFERROR(__xludf.DUMMYFUNCTION("""COMPUTED_VALUE"""),"0")</f>
        <v>0</v>
      </c>
      <c r="M46" t="str">
        <f>IFERROR(__xludf.DUMMYFUNCTION("""COMPUTED_VALUE"""),"0")</f>
        <v>0</v>
      </c>
      <c r="N46" t="str">
        <f>IFERROR(__xludf.DUMMYFUNCTION("""COMPUTED_VALUE"""),"1")</f>
        <v>1</v>
      </c>
      <c r="O46" t="str">
        <f>IFERROR(__xludf.DUMMYFUNCTION("""COMPUTED_VALUE"""),"0")</f>
        <v>0</v>
      </c>
      <c r="P46" t="str">
        <f>IFERROR(__xludf.DUMMYFUNCTION("""COMPUTED_VALUE"""),"4")</f>
        <v>4</v>
      </c>
      <c r="Q46">
        <f>IFERROR(__xludf.DUMMYFUNCTION("""COMPUTED_VALUE"""),6.0)</f>
        <v>6</v>
      </c>
      <c r="R46" s="9">
        <f>IFERROR(__xludf.DUMMYFUNCTION("""COMPUTED_VALUE"""),6.0)</f>
        <v>6</v>
      </c>
      <c r="S46" s="14">
        <f>IFERROR(__xludf.DUMMYFUNCTION("""COMPUTED_VALUE"""),0.46153846153846156)</f>
        <v>0.4615384615</v>
      </c>
      <c r="T46" s="15">
        <f>IFERROR(__xludf.DUMMYFUNCTION("""COMPUTED_VALUE"""),34.300000000000004)</f>
        <v>34.3</v>
      </c>
      <c r="U46" s="15">
        <f>IFERROR(__xludf.DUMMYFUNCTION("""COMPUTED_VALUE"""),34.300000000000004)</f>
        <v>34.3</v>
      </c>
      <c r="V46" s="15">
        <f>IFERROR(__xludf.DUMMYFUNCTION("""COMPUTED_VALUE"""),44.800000000000004)</f>
        <v>44.8</v>
      </c>
      <c r="W46" s="15">
        <f>IFERROR(__xludf.DUMMYFUNCTION("""COMPUTED_VALUE"""),263.398)</f>
        <v>263.398</v>
      </c>
    </row>
    <row r="47">
      <c r="A47" t="str">
        <f>IFERROR(__xludf.DUMMYFUNCTION("""COMPUTED_VALUE"""),"Kenrich Williams")</f>
        <v>Kenrich Williams</v>
      </c>
      <c r="B47" t="str">
        <f>IFERROR(__xludf.DUMMYFUNCTION("""COMPUTED_VALUE"""),"PF")</f>
        <v>PF</v>
      </c>
      <c r="C47" t="str">
        <f>IFERROR(__xludf.DUMMYFUNCTION("""COMPUTED_VALUE"""),"32")</f>
        <v>32</v>
      </c>
      <c r="D47" t="str">
        <f>IFERROR(__xludf.DUMMYFUNCTION("""COMPUTED_VALUE"""),"OKC")</f>
        <v>OKC</v>
      </c>
      <c r="E47" t="str">
        <f>IFERROR(__xludf.DUMMYFUNCTION("""COMPUTED_VALUE"""),"1")</f>
        <v>1</v>
      </c>
      <c r="F47" t="str">
        <f>IFERROR(__xludf.DUMMYFUNCTION("""COMPUTED_VALUE"""),"7")</f>
        <v>7</v>
      </c>
      <c r="G47" t="str">
        <f>IFERROR(__xludf.DUMMYFUNCTION("""COMPUTED_VALUE"""),"1")</f>
        <v>1</v>
      </c>
      <c r="H47" t="str">
        <f>IFERROR(__xludf.DUMMYFUNCTION("""COMPUTED_VALUE"""),"1")</f>
        <v>1</v>
      </c>
      <c r="I47" t="str">
        <f>IFERROR(__xludf.DUMMYFUNCTION("""COMPUTED_VALUE"""),"0")</f>
        <v>0</v>
      </c>
      <c r="J47" t="str">
        <f>IFERROR(__xludf.DUMMYFUNCTION("""COMPUTED_VALUE"""),"0")</f>
        <v>0</v>
      </c>
      <c r="K47" t="str">
        <f>IFERROR(__xludf.DUMMYFUNCTION("""COMPUTED_VALUE"""),"2")</f>
        <v>2</v>
      </c>
      <c r="L47" t="str">
        <f>IFERROR(__xludf.DUMMYFUNCTION("""COMPUTED_VALUE"""),"0")</f>
        <v>0</v>
      </c>
      <c r="M47" t="str">
        <f>IFERROR(__xludf.DUMMYFUNCTION("""COMPUTED_VALUE"""),"0")</f>
        <v>0</v>
      </c>
      <c r="N47" t="str">
        <f>IFERROR(__xludf.DUMMYFUNCTION("""COMPUTED_VALUE"""),"0")</f>
        <v>0</v>
      </c>
      <c r="O47" t="str">
        <f>IFERROR(__xludf.DUMMYFUNCTION("""COMPUTED_VALUE"""),"0")</f>
        <v>0</v>
      </c>
      <c r="P47" t="str">
        <f>IFERROR(__xludf.DUMMYFUNCTION("""COMPUTED_VALUE"""),"3")</f>
        <v>3</v>
      </c>
      <c r="Q47">
        <f>IFERROR(__xludf.DUMMYFUNCTION("""COMPUTED_VALUE"""),5.0)</f>
        <v>5</v>
      </c>
      <c r="R47" s="9">
        <f>IFERROR(__xludf.DUMMYFUNCTION("""COMPUTED_VALUE"""),5.0)</f>
        <v>5</v>
      </c>
      <c r="S47" s="14">
        <f>IFERROR(__xludf.DUMMYFUNCTION("""COMPUTED_VALUE"""),0.7142857142857143)</f>
        <v>0.7142857143</v>
      </c>
      <c r="T47" s="15">
        <f>IFERROR(__xludf.DUMMYFUNCTION("""COMPUTED_VALUE"""),25.4)</f>
        <v>25.4</v>
      </c>
      <c r="U47" s="15">
        <f>IFERROR(__xludf.DUMMYFUNCTION("""COMPUTED_VALUE"""),25.4)</f>
        <v>25.4</v>
      </c>
      <c r="V47" s="15">
        <f>IFERROR(__xludf.DUMMYFUNCTION("""COMPUTED_VALUE"""),79.10000000000001)</f>
        <v>79.1</v>
      </c>
      <c r="W47" s="15">
        <f>IFERROR(__xludf.DUMMYFUNCTION("""COMPUTED_VALUE"""),247.719)</f>
        <v>247.719</v>
      </c>
    </row>
    <row r="48">
      <c r="A48" t="str">
        <f>IFERROR(__xludf.DUMMYFUNCTION("""COMPUTED_VALUE"""),"OG Anunoby")</f>
        <v>OG Anunoby</v>
      </c>
      <c r="B48" t="str">
        <f>IFERROR(__xludf.DUMMYFUNCTION("""COMPUTED_VALUE"""),"PF")</f>
        <v>PF</v>
      </c>
      <c r="C48" t="str">
        <f>IFERROR(__xludf.DUMMYFUNCTION("""COMPUTED_VALUE"""),"29")</f>
        <v>29</v>
      </c>
      <c r="D48" t="str">
        <f>IFERROR(__xludf.DUMMYFUNCTION("""COMPUTED_VALUE"""),"NYK")</f>
        <v>NYK</v>
      </c>
      <c r="E48" t="str">
        <f>IFERROR(__xludf.DUMMYFUNCTION("""COMPUTED_VALUE"""),"1")</f>
        <v>1</v>
      </c>
      <c r="F48" t="str">
        <f>IFERROR(__xludf.DUMMYFUNCTION("""COMPUTED_VALUE"""),"32")</f>
        <v>32</v>
      </c>
      <c r="G48" t="str">
        <f>IFERROR(__xludf.DUMMYFUNCTION("""COMPUTED_VALUE"""),"3")</f>
        <v>3</v>
      </c>
      <c r="H48" t="str">
        <f>IFERROR(__xludf.DUMMYFUNCTION("""COMPUTED_VALUE"""),"12")</f>
        <v>12</v>
      </c>
      <c r="I48" t="str">
        <f>IFERROR(__xludf.DUMMYFUNCTION("""COMPUTED_VALUE"""),"3")</f>
        <v>3</v>
      </c>
      <c r="J48" t="str">
        <f>IFERROR(__xludf.DUMMYFUNCTION("""COMPUTED_VALUE"""),"3")</f>
        <v>3</v>
      </c>
      <c r="K48" t="str">
        <f>IFERROR(__xludf.DUMMYFUNCTION("""COMPUTED_VALUE"""),"5")</f>
        <v>5</v>
      </c>
      <c r="L48" t="str">
        <f>IFERROR(__xludf.DUMMYFUNCTION("""COMPUTED_VALUE"""),"0")</f>
        <v>0</v>
      </c>
      <c r="M48" t="str">
        <f>IFERROR(__xludf.DUMMYFUNCTION("""COMPUTED_VALUE"""),"1")</f>
        <v>1</v>
      </c>
      <c r="N48" t="str">
        <f>IFERROR(__xludf.DUMMYFUNCTION("""COMPUTED_VALUE"""),"1")</f>
        <v>1</v>
      </c>
      <c r="O48" t="str">
        <f>IFERROR(__xludf.DUMMYFUNCTION("""COMPUTED_VALUE"""),"2")</f>
        <v>2</v>
      </c>
      <c r="P48" t="str">
        <f>IFERROR(__xludf.DUMMYFUNCTION("""COMPUTED_VALUE"""),"10")</f>
        <v>10</v>
      </c>
      <c r="Q48">
        <f>IFERROR(__xludf.DUMMYFUNCTION("""COMPUTED_VALUE"""),6.0)</f>
        <v>6</v>
      </c>
      <c r="R48" s="9">
        <f>IFERROR(__xludf.DUMMYFUNCTION("""COMPUTED_VALUE"""),6.0)</f>
        <v>6</v>
      </c>
      <c r="S48" s="14">
        <f>IFERROR(__xludf.DUMMYFUNCTION("""COMPUTED_VALUE"""),0.1875)</f>
        <v>0.1875</v>
      </c>
      <c r="T48" s="15">
        <f>IFERROR(__xludf.DUMMYFUNCTION("""COMPUTED_VALUE"""),34.300000000000004)</f>
        <v>34.3</v>
      </c>
      <c r="U48" s="15">
        <f>IFERROR(__xludf.DUMMYFUNCTION("""COMPUTED_VALUE"""),34.300000000000004)</f>
        <v>34.3</v>
      </c>
      <c r="V48" s="15">
        <f>IFERROR(__xludf.DUMMYFUNCTION("""COMPUTED_VALUE"""),13.4)</f>
        <v>13.4</v>
      </c>
      <c r="W48" s="15">
        <f>IFERROR(__xludf.DUMMYFUNCTION("""COMPUTED_VALUE"""),236.94800000000004)</f>
        <v>236.948</v>
      </c>
    </row>
    <row r="49">
      <c r="A49" t="str">
        <f>IFERROR(__xludf.DUMMYFUNCTION("""COMPUTED_VALUE"""),"Daniss Jenkins")</f>
        <v>Daniss Jenkins</v>
      </c>
      <c r="B49" t="str">
        <f>IFERROR(__xludf.DUMMYFUNCTION("""COMPUTED_VALUE"""),"PG")</f>
        <v>PG</v>
      </c>
      <c r="C49" t="str">
        <f>IFERROR(__xludf.DUMMYFUNCTION("""COMPUTED_VALUE"""),"25")</f>
        <v>25</v>
      </c>
      <c r="D49" t="str">
        <f>IFERROR(__xludf.DUMMYFUNCTION("""COMPUTED_VALUE"""),"DET")</f>
        <v>DET</v>
      </c>
      <c r="E49" t="str">
        <f>IFERROR(__xludf.DUMMYFUNCTION("""COMPUTED_VALUE"""),"1")</f>
        <v>1</v>
      </c>
      <c r="F49" t="str">
        <f>IFERROR(__xludf.DUMMYFUNCTION("""COMPUTED_VALUE"""),"15")</f>
        <v>15</v>
      </c>
      <c r="G49" t="str">
        <f>IFERROR(__xludf.DUMMYFUNCTION("""COMPUTED_VALUE"""),"1")</f>
        <v>1</v>
      </c>
      <c r="H49" t="str">
        <f>IFERROR(__xludf.DUMMYFUNCTION("""COMPUTED_VALUE"""),"3")</f>
        <v>3</v>
      </c>
      <c r="I49" t="str">
        <f>IFERROR(__xludf.DUMMYFUNCTION("""COMPUTED_VALUE"""),"0")</f>
        <v>0</v>
      </c>
      <c r="J49" t="str">
        <f>IFERROR(__xludf.DUMMYFUNCTION("""COMPUTED_VALUE"""),"0")</f>
        <v>0</v>
      </c>
      <c r="K49" t="str">
        <f>IFERROR(__xludf.DUMMYFUNCTION("""COMPUTED_VALUE"""),"2")</f>
        <v>2</v>
      </c>
      <c r="L49" t="str">
        <f>IFERROR(__xludf.DUMMYFUNCTION("""COMPUTED_VALUE"""),"3")</f>
        <v>3</v>
      </c>
      <c r="M49" t="str">
        <f>IFERROR(__xludf.DUMMYFUNCTION("""COMPUTED_VALUE"""),"0")</f>
        <v>0</v>
      </c>
      <c r="N49" t="str">
        <f>IFERROR(__xludf.DUMMYFUNCTION("""COMPUTED_VALUE"""),"0")</f>
        <v>0</v>
      </c>
      <c r="O49" t="str">
        <f>IFERROR(__xludf.DUMMYFUNCTION("""COMPUTED_VALUE"""),"1")</f>
        <v>1</v>
      </c>
      <c r="P49" t="str">
        <f>IFERROR(__xludf.DUMMYFUNCTION("""COMPUTED_VALUE"""),"3")</f>
        <v>3</v>
      </c>
      <c r="Q49">
        <f>IFERROR(__xludf.DUMMYFUNCTION("""COMPUTED_VALUE"""),5.0)</f>
        <v>5</v>
      </c>
      <c r="R49" s="9">
        <f>IFERROR(__xludf.DUMMYFUNCTION("""COMPUTED_VALUE"""),5.0)</f>
        <v>5</v>
      </c>
      <c r="S49" s="14">
        <f>IFERROR(__xludf.DUMMYFUNCTION("""COMPUTED_VALUE"""),0.3333333333333333)</f>
        <v>0.3333333333</v>
      </c>
      <c r="T49" s="15">
        <f>IFERROR(__xludf.DUMMYFUNCTION("""COMPUTED_VALUE"""),25.4)</f>
        <v>25.4</v>
      </c>
      <c r="U49" s="15">
        <f>IFERROR(__xludf.DUMMYFUNCTION("""COMPUTED_VALUE"""),25.4)</f>
        <v>25.4</v>
      </c>
      <c r="V49" s="15">
        <f>IFERROR(__xludf.DUMMYFUNCTION("""COMPUTED_VALUE"""),25.4)</f>
        <v>25.4</v>
      </c>
      <c r="W49" s="15">
        <f>IFERROR(__xludf.DUMMYFUNCTION("""COMPUTED_VALUE"""),225.394)</f>
        <v>225.394</v>
      </c>
    </row>
    <row r="50">
      <c r="A50" t="str">
        <f>IFERROR(__xludf.DUMMYFUNCTION("""COMPUTED_VALUE"""),"Ja'Kobi Gillespie")</f>
        <v>Ja'Kobi Gillespie</v>
      </c>
      <c r="B50" t="str">
        <f>IFERROR(__xludf.DUMMYFUNCTION("""COMPUTED_VALUE"""),"PG")</f>
        <v>PG</v>
      </c>
      <c r="C50" t="str">
        <f>IFERROR(__xludf.DUMMYFUNCTION("""COMPUTED_VALUE"""),"22")</f>
        <v>22</v>
      </c>
      <c r="D50" t="str">
        <f>IFERROR(__xludf.DUMMYFUNCTION("""COMPUTED_VALUE"""),"SAS")</f>
        <v>SAS</v>
      </c>
      <c r="E50" t="str">
        <f>IFERROR(__xludf.DUMMYFUNCTION("""COMPUTED_VALUE"""),"1")</f>
        <v>1</v>
      </c>
      <c r="F50" t="str">
        <f>IFERROR(__xludf.DUMMYFUNCTION("""COMPUTED_VALUE"""),"1")</f>
        <v>1</v>
      </c>
      <c r="G50" t="str">
        <f>IFERROR(__xludf.DUMMYFUNCTION("""COMPUTED_VALUE"""),"1")</f>
        <v>1</v>
      </c>
      <c r="H50" t="str">
        <f>IFERROR(__xludf.DUMMYFUNCTION("""COMPUTED_VALUE"""),"2")</f>
        <v>2</v>
      </c>
      <c r="I50" t="str">
        <f>IFERROR(__xludf.DUMMYFUNCTION("""COMPUTED_VALUE"""),"0")</f>
        <v>0</v>
      </c>
      <c r="J50" t="str">
        <f>IFERROR(__xludf.DUMMYFUNCTION("""COMPUTED_VALUE"""),"0")</f>
        <v>0</v>
      </c>
      <c r="K50" t="str">
        <f>IFERROR(__xludf.DUMMYFUNCTION("""COMPUTED_VALUE"""),"0")</f>
        <v>0</v>
      </c>
      <c r="L50" t="str">
        <f>IFERROR(__xludf.DUMMYFUNCTION("""COMPUTED_VALUE"""),"0")</f>
        <v>0</v>
      </c>
      <c r="M50" t="str">
        <f>IFERROR(__xludf.DUMMYFUNCTION("""COMPUTED_VALUE"""),"0")</f>
        <v>0</v>
      </c>
      <c r="N50" t="str">
        <f>IFERROR(__xludf.DUMMYFUNCTION("""COMPUTED_VALUE"""),"0")</f>
        <v>0</v>
      </c>
      <c r="O50" t="str">
        <f>IFERROR(__xludf.DUMMYFUNCTION("""COMPUTED_VALUE"""),"0")</f>
        <v>0</v>
      </c>
      <c r="P50" t="str">
        <f>IFERROR(__xludf.DUMMYFUNCTION("""COMPUTED_VALUE"""),"2")</f>
        <v>2</v>
      </c>
      <c r="Q50">
        <f>IFERROR(__xludf.DUMMYFUNCTION("""COMPUTED_VALUE"""),1.0)</f>
        <v>1</v>
      </c>
      <c r="R50" s="9">
        <f>IFERROR(__xludf.DUMMYFUNCTION("""COMPUTED_VALUE"""),1.0)</f>
        <v>1</v>
      </c>
      <c r="S50" s="14">
        <f>IFERROR(__xludf.DUMMYFUNCTION("""COMPUTED_VALUE"""),1.0)</f>
        <v>1</v>
      </c>
      <c r="T50" s="15">
        <f>IFERROR(__xludf.DUMMYFUNCTION("""COMPUTED_VALUE"""),6.0)</f>
        <v>6</v>
      </c>
      <c r="U50" s="15">
        <f>IFERROR(__xludf.DUMMYFUNCTION("""COMPUTED_VALUE"""),6.0)</f>
        <v>6</v>
      </c>
      <c r="V50" s="15">
        <f>IFERROR(__xludf.DUMMYFUNCTION("""COMPUTED_VALUE"""),92.5)</f>
        <v>92.5</v>
      </c>
      <c r="W50" s="15">
        <f>IFERROR(__xludf.DUMMYFUNCTION("""COMPUTED_VALUE"""),214.785)</f>
        <v>214.785</v>
      </c>
    </row>
    <row r="51">
      <c r="A51" t="str">
        <f>IFERROR(__xludf.DUMMYFUNCTION("""COMPUTED_VALUE"""),"Maliq Brown")</f>
        <v>Maliq Brown</v>
      </c>
      <c r="B51" t="str">
        <f>IFERROR(__xludf.DUMMYFUNCTION("""COMPUTED_VALUE"""),"PF")</f>
        <v>PF</v>
      </c>
      <c r="C51" t="str">
        <f>IFERROR(__xludf.DUMMYFUNCTION("""COMPUTED_VALUE"""),"23")</f>
        <v>23</v>
      </c>
      <c r="D51" t="str">
        <f>IFERROR(__xludf.DUMMYFUNCTION("""COMPUTED_VALUE"""),"SAS")</f>
        <v>SAS</v>
      </c>
      <c r="E51" t="str">
        <f>IFERROR(__xludf.DUMMYFUNCTION("""COMPUTED_VALUE"""),"1")</f>
        <v>1</v>
      </c>
      <c r="F51" t="str">
        <f>IFERROR(__xludf.DUMMYFUNCTION("""COMPUTED_VALUE"""),"1")</f>
        <v>1</v>
      </c>
      <c r="G51" t="str">
        <f>IFERROR(__xludf.DUMMYFUNCTION("""COMPUTED_VALUE"""),"0")</f>
        <v>0</v>
      </c>
      <c r="H51" t="str">
        <f>IFERROR(__xludf.DUMMYFUNCTION("""COMPUTED_VALUE"""),"0")</f>
        <v>0</v>
      </c>
      <c r="I51" t="str">
        <f>IFERROR(__xludf.DUMMYFUNCTION("""COMPUTED_VALUE"""),"0")</f>
        <v>0</v>
      </c>
      <c r="J51" t="str">
        <f>IFERROR(__xludf.DUMMYFUNCTION("""COMPUTED_VALUE"""),"0")</f>
        <v>0</v>
      </c>
      <c r="K51" t="str">
        <f>IFERROR(__xludf.DUMMYFUNCTION("""COMPUTED_VALUE"""),"0")</f>
        <v>0</v>
      </c>
      <c r="L51" t="str">
        <f>IFERROR(__xludf.DUMMYFUNCTION("""COMPUTED_VALUE"""),"1")</f>
        <v>1</v>
      </c>
      <c r="M51" t="str">
        <f>IFERROR(__xludf.DUMMYFUNCTION("""COMPUTED_VALUE"""),"0")</f>
        <v>0</v>
      </c>
      <c r="N51" t="str">
        <f>IFERROR(__xludf.DUMMYFUNCTION("""COMPUTED_VALUE"""),"0")</f>
        <v>0</v>
      </c>
      <c r="O51" t="str">
        <f>IFERROR(__xludf.DUMMYFUNCTION("""COMPUTED_VALUE"""),"0")</f>
        <v>0</v>
      </c>
      <c r="P51" t="str">
        <f>IFERROR(__xludf.DUMMYFUNCTION("""COMPUTED_VALUE"""),"0")</f>
        <v>0</v>
      </c>
      <c r="Q51">
        <f>IFERROR(__xludf.DUMMYFUNCTION("""COMPUTED_VALUE"""),1.0)</f>
        <v>1</v>
      </c>
      <c r="R51" s="9">
        <f>IFERROR(__xludf.DUMMYFUNCTION("""COMPUTED_VALUE"""),1.0)</f>
        <v>1</v>
      </c>
      <c r="S51" s="14">
        <f>IFERROR(__xludf.DUMMYFUNCTION("""COMPUTED_VALUE"""),1.0)</f>
        <v>1</v>
      </c>
      <c r="T51" s="15">
        <f>IFERROR(__xludf.DUMMYFUNCTION("""COMPUTED_VALUE"""),6.0)</f>
        <v>6</v>
      </c>
      <c r="U51" s="15">
        <f>IFERROR(__xludf.DUMMYFUNCTION("""COMPUTED_VALUE"""),6.0)</f>
        <v>6</v>
      </c>
      <c r="V51" s="15">
        <f>IFERROR(__xludf.DUMMYFUNCTION("""COMPUTED_VALUE"""),92.5)</f>
        <v>92.5</v>
      </c>
      <c r="W51" s="15">
        <f>IFERROR(__xludf.DUMMYFUNCTION("""COMPUTED_VALUE"""),208.385)</f>
        <v>208.385</v>
      </c>
    </row>
    <row r="52">
      <c r="A52" t="str">
        <f>IFERROR(__xludf.DUMMYFUNCTION("""COMPUTED_VALUE"""),"Isaiah Joe")</f>
        <v>Isaiah Joe</v>
      </c>
      <c r="B52" t="str">
        <f>IFERROR(__xludf.DUMMYFUNCTION("""COMPUTED_VALUE"""),"SG")</f>
        <v>SG</v>
      </c>
      <c r="C52" t="str">
        <f>IFERROR(__xludf.DUMMYFUNCTION("""COMPUTED_VALUE"""),"27")</f>
        <v>27</v>
      </c>
      <c r="D52" t="str">
        <f>IFERROR(__xludf.DUMMYFUNCTION("""COMPUTED_VALUE"""),"DET")</f>
        <v>DET</v>
      </c>
      <c r="E52" t="str">
        <f>IFERROR(__xludf.DUMMYFUNCTION("""COMPUTED_VALUE"""),"1")</f>
        <v>1</v>
      </c>
      <c r="F52" t="str">
        <f>IFERROR(__xludf.DUMMYFUNCTION("""COMPUTED_VALUE"""),"19")</f>
        <v>19</v>
      </c>
      <c r="G52" t="str">
        <f>IFERROR(__xludf.DUMMYFUNCTION("""COMPUTED_VALUE"""),"2")</f>
        <v>2</v>
      </c>
      <c r="H52" t="str">
        <f>IFERROR(__xludf.DUMMYFUNCTION("""COMPUTED_VALUE"""),"9")</f>
        <v>9</v>
      </c>
      <c r="I52" t="str">
        <f>IFERROR(__xludf.DUMMYFUNCTION("""COMPUTED_VALUE"""),"2")</f>
        <v>2</v>
      </c>
      <c r="J52" t="str">
        <f>IFERROR(__xludf.DUMMYFUNCTION("""COMPUTED_VALUE"""),"3")</f>
        <v>3</v>
      </c>
      <c r="K52" t="str">
        <f>IFERROR(__xludf.DUMMYFUNCTION("""COMPUTED_VALUE"""),"2")</f>
        <v>2</v>
      </c>
      <c r="L52" t="str">
        <f>IFERROR(__xludf.DUMMYFUNCTION("""COMPUTED_VALUE"""),"2")</f>
        <v>2</v>
      </c>
      <c r="M52" t="str">
        <f>IFERROR(__xludf.DUMMYFUNCTION("""COMPUTED_VALUE"""),"1")</f>
        <v>1</v>
      </c>
      <c r="N52" t="str">
        <f>IFERROR(__xludf.DUMMYFUNCTION("""COMPUTED_VALUE"""),"1")</f>
        <v>1</v>
      </c>
      <c r="O52" t="str">
        <f>IFERROR(__xludf.DUMMYFUNCTION("""COMPUTED_VALUE"""),"1")</f>
        <v>1</v>
      </c>
      <c r="P52" t="str">
        <f>IFERROR(__xludf.DUMMYFUNCTION("""COMPUTED_VALUE"""),"8")</f>
        <v>8</v>
      </c>
      <c r="Q52">
        <f>IFERROR(__xludf.DUMMYFUNCTION("""COMPUTED_VALUE"""),5.0)</f>
        <v>5</v>
      </c>
      <c r="R52" s="9">
        <f>IFERROR(__xludf.DUMMYFUNCTION("""COMPUTED_VALUE"""),5.0)</f>
        <v>5</v>
      </c>
      <c r="S52" s="14">
        <f>IFERROR(__xludf.DUMMYFUNCTION("""COMPUTED_VALUE"""),0.2631578947368421)</f>
        <v>0.2631578947</v>
      </c>
      <c r="T52" s="15">
        <f>IFERROR(__xludf.DUMMYFUNCTION("""COMPUTED_VALUE"""),25.4)</f>
        <v>25.4</v>
      </c>
      <c r="U52" s="15">
        <f>IFERROR(__xludf.DUMMYFUNCTION("""COMPUTED_VALUE"""),25.4)</f>
        <v>25.4</v>
      </c>
      <c r="V52" s="15">
        <f>IFERROR(__xludf.DUMMYFUNCTION("""COMPUTED_VALUE"""),20.9)</f>
        <v>20.9</v>
      </c>
      <c r="W52" s="15">
        <f>IFERROR(__xludf.DUMMYFUNCTION("""COMPUTED_VALUE"""),206.969)</f>
        <v>206.969</v>
      </c>
    </row>
    <row r="53">
      <c r="A53" t="str">
        <f>IFERROR(__xludf.DUMMYFUNCTION("""COMPUTED_VALUE"""),"Kevin Huerter")</f>
        <v>Kevin Huerter</v>
      </c>
      <c r="B53" t="str">
        <f>IFERROR(__xludf.DUMMYFUNCTION("""COMPUTED_VALUE"""),"SG")</f>
        <v>SG</v>
      </c>
      <c r="C53" t="str">
        <f>IFERROR(__xludf.DUMMYFUNCTION("""COMPUTED_VALUE"""),"28")</f>
        <v>28</v>
      </c>
      <c r="D53" t="str">
        <f>IFERROR(__xludf.DUMMYFUNCTION("""COMPUTED_VALUE"""),"DET")</f>
        <v>DET</v>
      </c>
      <c r="E53" t="str">
        <f>IFERROR(__xludf.DUMMYFUNCTION("""COMPUTED_VALUE"""),"1")</f>
        <v>1</v>
      </c>
      <c r="F53" t="str">
        <f>IFERROR(__xludf.DUMMYFUNCTION("""COMPUTED_VALUE"""),"18")</f>
        <v>18</v>
      </c>
      <c r="G53" t="str">
        <f>IFERROR(__xludf.DUMMYFUNCTION("""COMPUTED_VALUE"""),"1")</f>
        <v>1</v>
      </c>
      <c r="H53" t="str">
        <f>IFERROR(__xludf.DUMMYFUNCTION("""COMPUTED_VALUE"""),"4")</f>
        <v>4</v>
      </c>
      <c r="I53" t="str">
        <f>IFERROR(__xludf.DUMMYFUNCTION("""COMPUTED_VALUE"""),"0")</f>
        <v>0</v>
      </c>
      <c r="J53" t="str">
        <f>IFERROR(__xludf.DUMMYFUNCTION("""COMPUTED_VALUE"""),"0")</f>
        <v>0</v>
      </c>
      <c r="K53" t="str">
        <f>IFERROR(__xludf.DUMMYFUNCTION("""COMPUTED_VALUE"""),"3")</f>
        <v>3</v>
      </c>
      <c r="L53" t="str">
        <f>IFERROR(__xludf.DUMMYFUNCTION("""COMPUTED_VALUE"""),"2")</f>
        <v>2</v>
      </c>
      <c r="M53" t="str">
        <f>IFERROR(__xludf.DUMMYFUNCTION("""COMPUTED_VALUE"""),"0")</f>
        <v>0</v>
      </c>
      <c r="N53" t="str">
        <f>IFERROR(__xludf.DUMMYFUNCTION("""COMPUTED_VALUE"""),"0")</f>
        <v>0</v>
      </c>
      <c r="O53" t="str">
        <f>IFERROR(__xludf.DUMMYFUNCTION("""COMPUTED_VALUE"""),"0")</f>
        <v>0</v>
      </c>
      <c r="P53" t="str">
        <f>IFERROR(__xludf.DUMMYFUNCTION("""COMPUTED_VALUE"""),"3")</f>
        <v>3</v>
      </c>
      <c r="Q53">
        <f>IFERROR(__xludf.DUMMYFUNCTION("""COMPUTED_VALUE"""),5.0)</f>
        <v>5</v>
      </c>
      <c r="R53" s="9">
        <f>IFERROR(__xludf.DUMMYFUNCTION("""COMPUTED_VALUE"""),5.0)</f>
        <v>5</v>
      </c>
      <c r="S53" s="14">
        <f>IFERROR(__xludf.DUMMYFUNCTION("""COMPUTED_VALUE"""),0.2777777777777778)</f>
        <v>0.2777777778</v>
      </c>
      <c r="T53" s="15">
        <f>IFERROR(__xludf.DUMMYFUNCTION("""COMPUTED_VALUE"""),25.4)</f>
        <v>25.4</v>
      </c>
      <c r="U53" s="15">
        <f>IFERROR(__xludf.DUMMYFUNCTION("""COMPUTED_VALUE"""),25.4)</f>
        <v>25.4</v>
      </c>
      <c r="V53" s="15">
        <f>IFERROR(__xludf.DUMMYFUNCTION("""COMPUTED_VALUE"""),22.400000000000002)</f>
        <v>22.4</v>
      </c>
      <c r="W53" s="15">
        <f>IFERROR(__xludf.DUMMYFUNCTION("""COMPUTED_VALUE"""),202.44400000000002)</f>
        <v>202.444</v>
      </c>
    </row>
    <row r="54">
      <c r="A54" t="str">
        <f>IFERROR(__xludf.DUMMYFUNCTION("""COMPUTED_VALUE"""),"Devin Vassell")</f>
        <v>Devin Vassell</v>
      </c>
      <c r="B54" t="str">
        <f>IFERROR(__xludf.DUMMYFUNCTION("""COMPUTED_VALUE"""),"SG")</f>
        <v>SG</v>
      </c>
      <c r="C54" t="str">
        <f>IFERROR(__xludf.DUMMYFUNCTION("""COMPUTED_VALUE"""),"26")</f>
        <v>26</v>
      </c>
      <c r="D54" t="str">
        <f>IFERROR(__xludf.DUMMYFUNCTION("""COMPUTED_VALUE"""),"SAS")</f>
        <v>SAS</v>
      </c>
      <c r="E54" t="str">
        <f>IFERROR(__xludf.DUMMYFUNCTION("""COMPUTED_VALUE"""),"1")</f>
        <v>1</v>
      </c>
      <c r="F54" t="str">
        <f>IFERROR(__xludf.DUMMYFUNCTION("""COMPUTED_VALUE"""),"31")</f>
        <v>31</v>
      </c>
      <c r="G54" t="str">
        <f>IFERROR(__xludf.DUMMYFUNCTION("""COMPUTED_VALUE"""),"2")</f>
        <v>2</v>
      </c>
      <c r="H54" t="str">
        <f>IFERROR(__xludf.DUMMYFUNCTION("""COMPUTED_VALUE"""),"8")</f>
        <v>8</v>
      </c>
      <c r="I54" t="str">
        <f>IFERROR(__xludf.DUMMYFUNCTION("""COMPUTED_VALUE"""),"2")</f>
        <v>2</v>
      </c>
      <c r="J54" t="str">
        <f>IFERROR(__xludf.DUMMYFUNCTION("""COMPUTED_VALUE"""),"2")</f>
        <v>2</v>
      </c>
      <c r="K54" t="str">
        <f>IFERROR(__xludf.DUMMYFUNCTION("""COMPUTED_VALUE"""),"3")</f>
        <v>3</v>
      </c>
      <c r="L54" t="str">
        <f>IFERROR(__xludf.DUMMYFUNCTION("""COMPUTED_VALUE"""),"1")</f>
        <v>1</v>
      </c>
      <c r="M54" t="str">
        <f>IFERROR(__xludf.DUMMYFUNCTION("""COMPUTED_VALUE"""),"0")</f>
        <v>0</v>
      </c>
      <c r="N54" t="str">
        <f>IFERROR(__xludf.DUMMYFUNCTION("""COMPUTED_VALUE"""),"0")</f>
        <v>0</v>
      </c>
      <c r="O54" t="str">
        <f>IFERROR(__xludf.DUMMYFUNCTION("""COMPUTED_VALUE"""),"0")</f>
        <v>0</v>
      </c>
      <c r="P54" t="str">
        <f>IFERROR(__xludf.DUMMYFUNCTION("""COMPUTED_VALUE"""),"7")</f>
        <v>7</v>
      </c>
      <c r="Q54">
        <f>IFERROR(__xludf.DUMMYFUNCTION("""COMPUTED_VALUE"""),5.0)</f>
        <v>5</v>
      </c>
      <c r="R54" s="9">
        <f>IFERROR(__xludf.DUMMYFUNCTION("""COMPUTED_VALUE"""),5.0)</f>
        <v>5</v>
      </c>
      <c r="S54" s="14">
        <f>IFERROR(__xludf.DUMMYFUNCTION("""COMPUTED_VALUE"""),0.16129032258064516)</f>
        <v>0.1612903226</v>
      </c>
      <c r="T54" s="15">
        <f>IFERROR(__xludf.DUMMYFUNCTION("""COMPUTED_VALUE"""),25.4)</f>
        <v>25.4</v>
      </c>
      <c r="U54" s="15">
        <f>IFERROR(__xludf.DUMMYFUNCTION("""COMPUTED_VALUE"""),25.4)</f>
        <v>25.4</v>
      </c>
      <c r="V54" s="15">
        <f>IFERROR(__xludf.DUMMYFUNCTION("""COMPUTED_VALUE"""),11.899999999999999)</f>
        <v>11.9</v>
      </c>
      <c r="W54" s="15">
        <f>IFERROR(__xludf.DUMMYFUNCTION("""COMPUTED_VALUE"""),202.11899999999997)</f>
        <v>202.119</v>
      </c>
    </row>
    <row r="55">
      <c r="A55" t="str">
        <f>IFERROR(__xludf.DUMMYFUNCTION("""COMPUTED_VALUE"""),"Jaylin Williams")</f>
        <v>Jaylin Williams</v>
      </c>
      <c r="B55" t="str">
        <f>IFERROR(__xludf.DUMMYFUNCTION("""COMPUTED_VALUE"""),"PF")</f>
        <v>PF</v>
      </c>
      <c r="C55" t="str">
        <f>IFERROR(__xludf.DUMMYFUNCTION("""COMPUTED_VALUE"""),"24")</f>
        <v>24</v>
      </c>
      <c r="D55" t="str">
        <f>IFERROR(__xludf.DUMMYFUNCTION("""COMPUTED_VALUE"""),"OKC")</f>
        <v>OKC</v>
      </c>
      <c r="E55" t="str">
        <f>IFERROR(__xludf.DUMMYFUNCTION("""COMPUTED_VALUE"""),"1")</f>
        <v>1</v>
      </c>
      <c r="F55" t="str">
        <f>IFERROR(__xludf.DUMMYFUNCTION("""COMPUTED_VALUE"""),"17")</f>
        <v>17</v>
      </c>
      <c r="G55" t="str">
        <f>IFERROR(__xludf.DUMMYFUNCTION("""COMPUTED_VALUE"""),"1")</f>
        <v>1</v>
      </c>
      <c r="H55" t="str">
        <f>IFERROR(__xludf.DUMMYFUNCTION("""COMPUTED_VALUE"""),"6")</f>
        <v>6</v>
      </c>
      <c r="I55" t="str">
        <f>IFERROR(__xludf.DUMMYFUNCTION("""COMPUTED_VALUE"""),"2")</f>
        <v>2</v>
      </c>
      <c r="J55" t="str">
        <f>IFERROR(__xludf.DUMMYFUNCTION("""COMPUTED_VALUE"""),"2")</f>
        <v>2</v>
      </c>
      <c r="K55" t="str">
        <f>IFERROR(__xludf.DUMMYFUNCTION("""COMPUTED_VALUE"""),"4")</f>
        <v>4</v>
      </c>
      <c r="L55" t="str">
        <f>IFERROR(__xludf.DUMMYFUNCTION("""COMPUTED_VALUE"""),"1")</f>
        <v>1</v>
      </c>
      <c r="M55" t="str">
        <f>IFERROR(__xludf.DUMMYFUNCTION("""COMPUTED_VALUE"""),"0")</f>
        <v>0</v>
      </c>
      <c r="N55" t="str">
        <f>IFERROR(__xludf.DUMMYFUNCTION("""COMPUTED_VALUE"""),"0")</f>
        <v>0</v>
      </c>
      <c r="O55" t="str">
        <f>IFERROR(__xludf.DUMMYFUNCTION("""COMPUTED_VALUE"""),"1")</f>
        <v>1</v>
      </c>
      <c r="P55" t="str">
        <f>IFERROR(__xludf.DUMMYFUNCTION("""COMPUTED_VALUE"""),"5")</f>
        <v>5</v>
      </c>
      <c r="Q55">
        <f>IFERROR(__xludf.DUMMYFUNCTION("""COMPUTED_VALUE"""),4.0)</f>
        <v>4</v>
      </c>
      <c r="R55" s="9">
        <f>IFERROR(__xludf.DUMMYFUNCTION("""COMPUTED_VALUE"""),4.0)</f>
        <v>4</v>
      </c>
      <c r="S55" s="14">
        <f>IFERROR(__xludf.DUMMYFUNCTION("""COMPUTED_VALUE"""),0.23529411764705882)</f>
        <v>0.2352941176</v>
      </c>
      <c r="T55" s="15">
        <f>IFERROR(__xludf.DUMMYFUNCTION("""COMPUTED_VALUE"""),20.9)</f>
        <v>20.9</v>
      </c>
      <c r="U55" s="15">
        <f>IFERROR(__xludf.DUMMYFUNCTION("""COMPUTED_VALUE"""),20.9)</f>
        <v>20.9</v>
      </c>
      <c r="V55" s="15">
        <f>IFERROR(__xludf.DUMMYFUNCTION("""COMPUTED_VALUE"""),17.9)</f>
        <v>17.9</v>
      </c>
      <c r="W55" s="15">
        <f>IFERROR(__xludf.DUMMYFUNCTION("""COMPUTED_VALUE"""),196.04899999999998)</f>
        <v>196.049</v>
      </c>
    </row>
    <row r="56">
      <c r="A56" t="str">
        <f>IFERROR(__xludf.DUMMYFUNCTION("""COMPUTED_VALUE"""),"David Jones García")</f>
        <v>David Jones García</v>
      </c>
      <c r="B56" t="str">
        <f>IFERROR(__xludf.DUMMYFUNCTION("""COMPUTED_VALUE"""),"SF")</f>
        <v>SF</v>
      </c>
      <c r="C56" t="str">
        <f>IFERROR(__xludf.DUMMYFUNCTION("""COMPUTED_VALUE"""),"25")</f>
        <v>25</v>
      </c>
      <c r="D56" t="str">
        <f>IFERROR(__xludf.DUMMYFUNCTION("""COMPUTED_VALUE"""),"SAS")</f>
        <v>SAS</v>
      </c>
      <c r="E56" t="str">
        <f>IFERROR(__xludf.DUMMYFUNCTION("""COMPUTED_VALUE"""),"1")</f>
        <v>1</v>
      </c>
      <c r="F56" t="str">
        <f>IFERROR(__xludf.DUMMYFUNCTION("""COMPUTED_VALUE"""),"1")</f>
        <v>1</v>
      </c>
      <c r="G56" t="str">
        <f>IFERROR(__xludf.DUMMYFUNCTION("""COMPUTED_VALUE"""),"0")</f>
        <v>0</v>
      </c>
      <c r="H56" t="str">
        <f>IFERROR(__xludf.DUMMYFUNCTION("""COMPUTED_VALUE"""),"1")</f>
        <v>1</v>
      </c>
      <c r="I56" t="str">
        <f>IFERROR(__xludf.DUMMYFUNCTION("""COMPUTED_VALUE"""),"2")</f>
        <v>2</v>
      </c>
      <c r="J56" t="str">
        <f>IFERROR(__xludf.DUMMYFUNCTION("""COMPUTED_VALUE"""),"2")</f>
        <v>2</v>
      </c>
      <c r="K56" t="str">
        <f>IFERROR(__xludf.DUMMYFUNCTION("""COMPUTED_VALUE"""),"0")</f>
        <v>0</v>
      </c>
      <c r="L56" t="str">
        <f>IFERROR(__xludf.DUMMYFUNCTION("""COMPUTED_VALUE"""),"0")</f>
        <v>0</v>
      </c>
      <c r="M56" t="str">
        <f>IFERROR(__xludf.DUMMYFUNCTION("""COMPUTED_VALUE"""),"0")</f>
        <v>0</v>
      </c>
      <c r="N56" t="str">
        <f>IFERROR(__xludf.DUMMYFUNCTION("""COMPUTED_VALUE"""),"0")</f>
        <v>0</v>
      </c>
      <c r="O56" t="str">
        <f>IFERROR(__xludf.DUMMYFUNCTION("""COMPUTED_VALUE"""),"0")</f>
        <v>0</v>
      </c>
      <c r="P56" t="str">
        <f>IFERROR(__xludf.DUMMYFUNCTION("""COMPUTED_VALUE"""),"2")</f>
        <v>2</v>
      </c>
      <c r="Q56">
        <f>IFERROR(__xludf.DUMMYFUNCTION("""COMPUTED_VALUE"""),1.0)</f>
        <v>1</v>
      </c>
      <c r="R56" s="9">
        <f>IFERROR(__xludf.DUMMYFUNCTION("""COMPUTED_VALUE"""),1.0)</f>
        <v>1</v>
      </c>
      <c r="S56" s="14">
        <f>IFERROR(__xludf.DUMMYFUNCTION("""COMPUTED_VALUE"""),1.0)</f>
        <v>1</v>
      </c>
      <c r="T56" s="15">
        <f>IFERROR(__xludf.DUMMYFUNCTION("""COMPUTED_VALUE"""),6.0)</f>
        <v>6</v>
      </c>
      <c r="U56" s="15">
        <f>IFERROR(__xludf.DUMMYFUNCTION("""COMPUTED_VALUE"""),6.0)</f>
        <v>6</v>
      </c>
      <c r="V56" s="15">
        <f>IFERROR(__xludf.DUMMYFUNCTION("""COMPUTED_VALUE"""),92.5)</f>
        <v>92.5</v>
      </c>
      <c r="W56" s="15">
        <f>IFERROR(__xludf.DUMMYFUNCTION("""COMPUTED_VALUE"""),195.585)</f>
        <v>195.585</v>
      </c>
    </row>
    <row r="57">
      <c r="A57" t="str">
        <f>IFERROR(__xludf.DUMMYFUNCTION("""COMPUTED_VALUE"""),"Jordan Clarkson")</f>
        <v>Jordan Clarkson</v>
      </c>
      <c r="B57" t="str">
        <f>IFERROR(__xludf.DUMMYFUNCTION("""COMPUTED_VALUE"""),"SG")</f>
        <v>SG</v>
      </c>
      <c r="C57" t="str">
        <f>IFERROR(__xludf.DUMMYFUNCTION("""COMPUTED_VALUE"""),"34")</f>
        <v>34</v>
      </c>
      <c r="D57" t="str">
        <f>IFERROR(__xludf.DUMMYFUNCTION("""COMPUTED_VALUE"""),"NYK")</f>
        <v>NYK</v>
      </c>
      <c r="E57" t="str">
        <f>IFERROR(__xludf.DUMMYFUNCTION("""COMPUTED_VALUE"""),"1")</f>
        <v>1</v>
      </c>
      <c r="F57" t="str">
        <f>IFERROR(__xludf.DUMMYFUNCTION("""COMPUTED_VALUE"""),"8")</f>
        <v>8</v>
      </c>
      <c r="G57" t="str">
        <f>IFERROR(__xludf.DUMMYFUNCTION("""COMPUTED_VALUE"""),"2")</f>
        <v>2</v>
      </c>
      <c r="H57" t="str">
        <f>IFERROR(__xludf.DUMMYFUNCTION("""COMPUTED_VALUE"""),"4")</f>
        <v>4</v>
      </c>
      <c r="I57" t="str">
        <f>IFERROR(__xludf.DUMMYFUNCTION("""COMPUTED_VALUE"""),"0")</f>
        <v>0</v>
      </c>
      <c r="J57" t="str">
        <f>IFERROR(__xludf.DUMMYFUNCTION("""COMPUTED_VALUE"""),"0")</f>
        <v>0</v>
      </c>
      <c r="K57" t="str">
        <f>IFERROR(__xludf.DUMMYFUNCTION("""COMPUTED_VALUE"""),"1")</f>
        <v>1</v>
      </c>
      <c r="L57" t="str">
        <f>IFERROR(__xludf.DUMMYFUNCTION("""COMPUTED_VALUE"""),"1")</f>
        <v>1</v>
      </c>
      <c r="M57" t="str">
        <f>IFERROR(__xludf.DUMMYFUNCTION("""COMPUTED_VALUE"""),"0")</f>
        <v>0</v>
      </c>
      <c r="N57" t="str">
        <f>IFERROR(__xludf.DUMMYFUNCTION("""COMPUTED_VALUE"""),"0")</f>
        <v>0</v>
      </c>
      <c r="O57" t="str">
        <f>IFERROR(__xludf.DUMMYFUNCTION("""COMPUTED_VALUE"""),"0")</f>
        <v>0</v>
      </c>
      <c r="P57" t="str">
        <f>IFERROR(__xludf.DUMMYFUNCTION("""COMPUTED_VALUE"""),"4")</f>
        <v>4</v>
      </c>
      <c r="Q57">
        <f>IFERROR(__xludf.DUMMYFUNCTION("""COMPUTED_VALUE"""),4.0)</f>
        <v>4</v>
      </c>
      <c r="R57" s="9">
        <f>IFERROR(__xludf.DUMMYFUNCTION("""COMPUTED_VALUE"""),4.0)</f>
        <v>4</v>
      </c>
      <c r="S57" s="14">
        <f>IFERROR(__xludf.DUMMYFUNCTION("""COMPUTED_VALUE"""),0.5)</f>
        <v>0.5</v>
      </c>
      <c r="T57" s="15">
        <f>IFERROR(__xludf.DUMMYFUNCTION("""COMPUTED_VALUE"""),20.9)</f>
        <v>20.9</v>
      </c>
      <c r="U57" s="15">
        <f>IFERROR(__xludf.DUMMYFUNCTION("""COMPUTED_VALUE"""),20.9)</f>
        <v>20.9</v>
      </c>
      <c r="V57" s="15">
        <f>IFERROR(__xludf.DUMMYFUNCTION("""COMPUTED_VALUE"""),49.3)</f>
        <v>49.3</v>
      </c>
      <c r="W57" s="15">
        <f>IFERROR(__xludf.DUMMYFUNCTION("""COMPUTED_VALUE"""),184.099)</f>
        <v>184.099</v>
      </c>
    </row>
    <row r="58">
      <c r="A58" t="str">
        <f>IFERROR(__xludf.DUMMYFUNCTION("""COMPUTED_VALUE"""),"Hugo González")</f>
        <v>Hugo González</v>
      </c>
      <c r="B58" t="str">
        <f>IFERROR(__xludf.DUMMYFUNCTION("""COMPUTED_VALUE"""),"SG")</f>
        <v>SG</v>
      </c>
      <c r="C58" t="str">
        <f>IFERROR(__xludf.DUMMYFUNCTION("""COMPUTED_VALUE"""),"20")</f>
        <v>20</v>
      </c>
      <c r="D58" t="str">
        <f>IFERROR(__xludf.DUMMYFUNCTION("""COMPUTED_VALUE"""),"BOS")</f>
        <v>BOS</v>
      </c>
      <c r="E58" t="str">
        <f>IFERROR(__xludf.DUMMYFUNCTION("""COMPUTED_VALUE"""),"1")</f>
        <v>1</v>
      </c>
      <c r="F58" t="str">
        <f>IFERROR(__xludf.DUMMYFUNCTION("""COMPUTED_VALUE"""),"10")</f>
        <v>10</v>
      </c>
      <c r="G58" t="str">
        <f>IFERROR(__xludf.DUMMYFUNCTION("""COMPUTED_VALUE"""),"0")</f>
        <v>0</v>
      </c>
      <c r="H58" t="str">
        <f>IFERROR(__xludf.DUMMYFUNCTION("""COMPUTED_VALUE"""),"1")</f>
        <v>1</v>
      </c>
      <c r="I58" t="str">
        <f>IFERROR(__xludf.DUMMYFUNCTION("""COMPUTED_VALUE"""),"0")</f>
        <v>0</v>
      </c>
      <c r="J58" t="str">
        <f>IFERROR(__xludf.DUMMYFUNCTION("""COMPUTED_VALUE"""),"0")</f>
        <v>0</v>
      </c>
      <c r="K58" t="str">
        <f>IFERROR(__xludf.DUMMYFUNCTION("""COMPUTED_VALUE"""),"3")</f>
        <v>3</v>
      </c>
      <c r="L58" t="str">
        <f>IFERROR(__xludf.DUMMYFUNCTION("""COMPUTED_VALUE"""),"0")</f>
        <v>0</v>
      </c>
      <c r="M58" t="str">
        <f>IFERROR(__xludf.DUMMYFUNCTION("""COMPUTED_VALUE"""),"0")</f>
        <v>0</v>
      </c>
      <c r="N58" t="str">
        <f>IFERROR(__xludf.DUMMYFUNCTION("""COMPUTED_VALUE"""),"0")</f>
        <v>0</v>
      </c>
      <c r="O58" t="str">
        <f>IFERROR(__xludf.DUMMYFUNCTION("""COMPUTED_VALUE"""),"0")</f>
        <v>0</v>
      </c>
      <c r="P58" t="str">
        <f>IFERROR(__xludf.DUMMYFUNCTION("""COMPUTED_VALUE"""),"0")</f>
        <v>0</v>
      </c>
      <c r="Q58">
        <f>IFERROR(__xludf.DUMMYFUNCTION("""COMPUTED_VALUE"""),2.0)</f>
        <v>2</v>
      </c>
      <c r="R58" s="9">
        <f>IFERROR(__xludf.DUMMYFUNCTION("""COMPUTED_VALUE"""),2.0)</f>
        <v>2</v>
      </c>
      <c r="S58" s="14">
        <f>IFERROR(__xludf.DUMMYFUNCTION("""COMPUTED_VALUE"""),0.2)</f>
        <v>0.2</v>
      </c>
      <c r="T58" s="15">
        <f>IFERROR(__xludf.DUMMYFUNCTION("""COMPUTED_VALUE"""),16.400000000000002)</f>
        <v>16.4</v>
      </c>
      <c r="U58" s="15">
        <f>IFERROR(__xludf.DUMMYFUNCTION("""COMPUTED_VALUE"""),16.400000000000002)</f>
        <v>16.4</v>
      </c>
      <c r="V58" s="15">
        <f>IFERROR(__xludf.DUMMYFUNCTION("""COMPUTED_VALUE"""),14.899999999999999)</f>
        <v>14.9</v>
      </c>
      <c r="W58" s="15">
        <f>IFERROR(__xludf.DUMMYFUNCTION("""COMPUTED_VALUE"""),178.729)</f>
        <v>178.729</v>
      </c>
    </row>
    <row r="59">
      <c r="A59" t="str">
        <f>IFERROR(__xludf.DUMMYFUNCTION("""COMPUTED_VALUE"""),"Harrison Barnes")</f>
        <v>Harrison Barnes</v>
      </c>
      <c r="B59" t="str">
        <f>IFERROR(__xludf.DUMMYFUNCTION("""COMPUTED_VALUE"""),"PF")</f>
        <v>PF</v>
      </c>
      <c r="C59" t="str">
        <f>IFERROR(__xludf.DUMMYFUNCTION("""COMPUTED_VALUE"""),"34")</f>
        <v>34</v>
      </c>
      <c r="D59" t="str">
        <f>IFERROR(__xludf.DUMMYFUNCTION("""COMPUTED_VALUE"""),"SAS")</f>
        <v>SAS</v>
      </c>
      <c r="E59" t="str">
        <f>IFERROR(__xludf.DUMMYFUNCTION("""COMPUTED_VALUE"""),"1")</f>
        <v>1</v>
      </c>
      <c r="F59" t="str">
        <f>IFERROR(__xludf.DUMMYFUNCTION("""COMPUTED_VALUE"""),"9")</f>
        <v>9</v>
      </c>
      <c r="G59" t="str">
        <f>IFERROR(__xludf.DUMMYFUNCTION("""COMPUTED_VALUE"""),"1")</f>
        <v>1</v>
      </c>
      <c r="H59" t="str">
        <f>IFERROR(__xludf.DUMMYFUNCTION("""COMPUTED_VALUE"""),"1")</f>
        <v>1</v>
      </c>
      <c r="I59" t="str">
        <f>IFERROR(__xludf.DUMMYFUNCTION("""COMPUTED_VALUE"""),"0")</f>
        <v>0</v>
      </c>
      <c r="J59" t="str">
        <f>IFERROR(__xludf.DUMMYFUNCTION("""COMPUTED_VALUE"""),"0")</f>
        <v>0</v>
      </c>
      <c r="K59" t="str">
        <f>IFERROR(__xludf.DUMMYFUNCTION("""COMPUTED_VALUE"""),"0")</f>
        <v>0</v>
      </c>
      <c r="L59" t="str">
        <f>IFERROR(__xludf.DUMMYFUNCTION("""COMPUTED_VALUE"""),"0")</f>
        <v>0</v>
      </c>
      <c r="M59" t="str">
        <f>IFERROR(__xludf.DUMMYFUNCTION("""COMPUTED_VALUE"""),"0")</f>
        <v>0</v>
      </c>
      <c r="N59" t="str">
        <f>IFERROR(__xludf.DUMMYFUNCTION("""COMPUTED_VALUE"""),"1")</f>
        <v>1</v>
      </c>
      <c r="O59" t="str">
        <f>IFERROR(__xludf.DUMMYFUNCTION("""COMPUTED_VALUE"""),"0")</f>
        <v>0</v>
      </c>
      <c r="P59" t="str">
        <f>IFERROR(__xludf.DUMMYFUNCTION("""COMPUTED_VALUE"""),"3")</f>
        <v>3</v>
      </c>
      <c r="Q59">
        <f>IFERROR(__xludf.DUMMYFUNCTION("""COMPUTED_VALUE"""),4.0)</f>
        <v>4</v>
      </c>
      <c r="R59" s="9">
        <f>IFERROR(__xludf.DUMMYFUNCTION("""COMPUTED_VALUE"""),4.0)</f>
        <v>4</v>
      </c>
      <c r="S59" s="14">
        <f>IFERROR(__xludf.DUMMYFUNCTION("""COMPUTED_VALUE"""),0.4444444444444444)</f>
        <v>0.4444444444</v>
      </c>
      <c r="T59" s="15">
        <f>IFERROR(__xludf.DUMMYFUNCTION("""COMPUTED_VALUE"""),20.9)</f>
        <v>20.9</v>
      </c>
      <c r="U59" s="15">
        <f>IFERROR(__xludf.DUMMYFUNCTION("""COMPUTED_VALUE"""),20.9)</f>
        <v>20.9</v>
      </c>
      <c r="V59" s="15">
        <f>IFERROR(__xludf.DUMMYFUNCTION("""COMPUTED_VALUE"""),43.3)</f>
        <v>43.3</v>
      </c>
      <c r="W59" s="15">
        <f>IFERROR(__xludf.DUMMYFUNCTION("""COMPUTED_VALUE"""),176.599)</f>
        <v>176.599</v>
      </c>
    </row>
    <row r="60">
      <c r="A60" t="str">
        <f>IFERROR(__xludf.DUMMYFUNCTION("""COMPUTED_VALUE"""),"Mikal Bridges")</f>
        <v>Mikal Bridges</v>
      </c>
      <c r="B60" t="str">
        <f>IFERROR(__xludf.DUMMYFUNCTION("""COMPUTED_VALUE"""),"SF")</f>
        <v>SF</v>
      </c>
      <c r="C60" t="str">
        <f>IFERROR(__xludf.DUMMYFUNCTION("""COMPUTED_VALUE"""),"30")</f>
        <v>30</v>
      </c>
      <c r="D60" t="str">
        <f>IFERROR(__xludf.DUMMYFUNCTION("""COMPUTED_VALUE"""),"NYK")</f>
        <v>NYK</v>
      </c>
      <c r="E60" t="str">
        <f>IFERROR(__xludf.DUMMYFUNCTION("""COMPUTED_VALUE"""),"1")</f>
        <v>1</v>
      </c>
      <c r="F60" t="str">
        <f>IFERROR(__xludf.DUMMYFUNCTION("""COMPUTED_VALUE"""),"33")</f>
        <v>33</v>
      </c>
      <c r="G60" t="str">
        <f>IFERROR(__xludf.DUMMYFUNCTION("""COMPUTED_VALUE"""),"2")</f>
        <v>2</v>
      </c>
      <c r="H60" t="str">
        <f>IFERROR(__xludf.DUMMYFUNCTION("""COMPUTED_VALUE"""),"8")</f>
        <v>8</v>
      </c>
      <c r="I60" t="str">
        <f>IFERROR(__xludf.DUMMYFUNCTION("""COMPUTED_VALUE"""),"0")</f>
        <v>0</v>
      </c>
      <c r="J60" t="str">
        <f>IFERROR(__xludf.DUMMYFUNCTION("""COMPUTED_VALUE"""),"0")</f>
        <v>0</v>
      </c>
      <c r="K60" t="str">
        <f>IFERROR(__xludf.DUMMYFUNCTION("""COMPUTED_VALUE"""),"3")</f>
        <v>3</v>
      </c>
      <c r="L60" t="str">
        <f>IFERROR(__xludf.DUMMYFUNCTION("""COMPUTED_VALUE"""),"1")</f>
        <v>1</v>
      </c>
      <c r="M60" t="str">
        <f>IFERROR(__xludf.DUMMYFUNCTION("""COMPUTED_VALUE"""),"0")</f>
        <v>0</v>
      </c>
      <c r="N60" t="str">
        <f>IFERROR(__xludf.DUMMYFUNCTION("""COMPUTED_VALUE"""),"1")</f>
        <v>1</v>
      </c>
      <c r="O60" t="str">
        <f>IFERROR(__xludf.DUMMYFUNCTION("""COMPUTED_VALUE"""),"0")</f>
        <v>0</v>
      </c>
      <c r="P60" t="str">
        <f>IFERROR(__xludf.DUMMYFUNCTION("""COMPUTED_VALUE"""),"4")</f>
        <v>4</v>
      </c>
      <c r="Q60">
        <f>IFERROR(__xludf.DUMMYFUNCTION("""COMPUTED_VALUE"""),3.0)</f>
        <v>3</v>
      </c>
      <c r="R60" s="9">
        <f>IFERROR(__xludf.DUMMYFUNCTION("""COMPUTED_VALUE"""),3.0)</f>
        <v>3</v>
      </c>
      <c r="S60" s="14">
        <f>IFERROR(__xludf.DUMMYFUNCTION("""COMPUTED_VALUE"""),0.09090909090909091)</f>
        <v>0.09090909091</v>
      </c>
      <c r="T60" s="15">
        <f>IFERROR(__xludf.DUMMYFUNCTION("""COMPUTED_VALUE"""),19.400000000000002)</f>
        <v>19.4</v>
      </c>
      <c r="U60" s="15">
        <f>IFERROR(__xludf.DUMMYFUNCTION("""COMPUTED_VALUE"""),19.400000000000002)</f>
        <v>19.4</v>
      </c>
      <c r="V60" s="15">
        <f>IFERROR(__xludf.DUMMYFUNCTION("""COMPUTED_VALUE"""),9.0)</f>
        <v>9</v>
      </c>
      <c r="W60" s="15">
        <f>IFERROR(__xludf.DUMMYFUNCTION("""COMPUTED_VALUE"""),137.734)</f>
        <v>137.734</v>
      </c>
    </row>
    <row r="61">
      <c r="A61" t="str">
        <f>IFERROR(__xludf.DUMMYFUNCTION("""COMPUTED_VALUE"""),"Ron Holland")</f>
        <v>Ron Holland</v>
      </c>
      <c r="B61" t="str">
        <f>IFERROR(__xludf.DUMMYFUNCTION("""COMPUTED_VALUE"""),"SF")</f>
        <v>SF</v>
      </c>
      <c r="C61" t="str">
        <f>IFERROR(__xludf.DUMMYFUNCTION("""COMPUTED_VALUE"""),"21")</f>
        <v>21</v>
      </c>
      <c r="D61" t="str">
        <f>IFERROR(__xludf.DUMMYFUNCTION("""COMPUTED_VALUE"""),"DET")</f>
        <v>DET</v>
      </c>
      <c r="E61" t="str">
        <f>IFERROR(__xludf.DUMMYFUNCTION("""COMPUTED_VALUE"""),"1")</f>
        <v>1</v>
      </c>
      <c r="F61" t="str">
        <f>IFERROR(__xludf.DUMMYFUNCTION("""COMPUTED_VALUE"""),"3")</f>
        <v>3</v>
      </c>
      <c r="G61" t="str">
        <f>IFERROR(__xludf.DUMMYFUNCTION("""COMPUTED_VALUE"""),"0")</f>
        <v>0</v>
      </c>
      <c r="H61" t="str">
        <f>IFERROR(__xludf.DUMMYFUNCTION("""COMPUTED_VALUE"""),"1")</f>
        <v>1</v>
      </c>
      <c r="I61" t="str">
        <f>IFERROR(__xludf.DUMMYFUNCTION("""COMPUTED_VALUE"""),"0")</f>
        <v>0</v>
      </c>
      <c r="J61" t="str">
        <f>IFERROR(__xludf.DUMMYFUNCTION("""COMPUTED_VALUE"""),"0")</f>
        <v>0</v>
      </c>
      <c r="K61" t="str">
        <f>IFERROR(__xludf.DUMMYFUNCTION("""COMPUTED_VALUE"""),"1")</f>
        <v>1</v>
      </c>
      <c r="L61" t="str">
        <f>IFERROR(__xludf.DUMMYFUNCTION("""COMPUTED_VALUE"""),"1")</f>
        <v>1</v>
      </c>
      <c r="M61" t="str">
        <f>IFERROR(__xludf.DUMMYFUNCTION("""COMPUTED_VALUE"""),"0")</f>
        <v>0</v>
      </c>
      <c r="N61" t="str">
        <f>IFERROR(__xludf.DUMMYFUNCTION("""COMPUTED_VALUE"""),"1")</f>
        <v>1</v>
      </c>
      <c r="O61" t="str">
        <f>IFERROR(__xludf.DUMMYFUNCTION("""COMPUTED_VALUE"""),"1")</f>
        <v>1</v>
      </c>
      <c r="P61" t="str">
        <f>IFERROR(__xludf.DUMMYFUNCTION("""COMPUTED_VALUE"""),"0")</f>
        <v>0</v>
      </c>
      <c r="Q61">
        <f>IFERROR(__xludf.DUMMYFUNCTION("""COMPUTED_VALUE"""),1.0)</f>
        <v>1</v>
      </c>
      <c r="R61" s="9">
        <f>IFERROR(__xludf.DUMMYFUNCTION("""COMPUTED_VALUE"""),1.0)</f>
        <v>1</v>
      </c>
      <c r="S61" s="14">
        <f>IFERROR(__xludf.DUMMYFUNCTION("""COMPUTED_VALUE"""),0.3333333333333333)</f>
        <v>0.3333333333</v>
      </c>
      <c r="T61" s="15">
        <f>IFERROR(__xludf.DUMMYFUNCTION("""COMPUTED_VALUE"""),6.0)</f>
        <v>6</v>
      </c>
      <c r="U61" s="15">
        <f>IFERROR(__xludf.DUMMYFUNCTION("""COMPUTED_VALUE"""),6.0)</f>
        <v>6</v>
      </c>
      <c r="V61" s="15">
        <f>IFERROR(__xludf.DUMMYFUNCTION("""COMPUTED_VALUE"""),25.4)</f>
        <v>25.4</v>
      </c>
      <c r="W61" s="15">
        <f>IFERROR(__xludf.DUMMYFUNCTION("""COMPUTED_VALUE"""),130.91)</f>
        <v>130.91</v>
      </c>
    </row>
    <row r="62">
      <c r="A62" t="str">
        <f>IFERROR(__xludf.DUMMYFUNCTION("""COMPUTED_VALUE"""),"Landry Shamet")</f>
        <v>Landry Shamet</v>
      </c>
      <c r="B62" t="str">
        <f>IFERROR(__xludf.DUMMYFUNCTION("""COMPUTED_VALUE"""),"SG")</f>
        <v>SG</v>
      </c>
      <c r="C62" t="str">
        <f>IFERROR(__xludf.DUMMYFUNCTION("""COMPUTED_VALUE"""),"29")</f>
        <v>29</v>
      </c>
      <c r="D62" t="str">
        <f>IFERROR(__xludf.DUMMYFUNCTION("""COMPUTED_VALUE"""),"NYK")</f>
        <v>NYK</v>
      </c>
      <c r="E62" t="str">
        <f>IFERROR(__xludf.DUMMYFUNCTION("""COMPUTED_VALUE"""),"1")</f>
        <v>1</v>
      </c>
      <c r="F62" t="str">
        <f>IFERROR(__xludf.DUMMYFUNCTION("""COMPUTED_VALUE"""),"25")</f>
        <v>25</v>
      </c>
      <c r="G62" t="str">
        <f>IFERROR(__xludf.DUMMYFUNCTION("""COMPUTED_VALUE"""),"2")</f>
        <v>2</v>
      </c>
      <c r="H62" t="str">
        <f>IFERROR(__xludf.DUMMYFUNCTION("""COMPUTED_VALUE"""),"7")</f>
        <v>7</v>
      </c>
      <c r="I62" t="str">
        <f>IFERROR(__xludf.DUMMYFUNCTION("""COMPUTED_VALUE"""),"0")</f>
        <v>0</v>
      </c>
      <c r="J62" t="str">
        <f>IFERROR(__xludf.DUMMYFUNCTION("""COMPUTED_VALUE"""),"2")</f>
        <v>2</v>
      </c>
      <c r="K62" t="str">
        <f>IFERROR(__xludf.DUMMYFUNCTION("""COMPUTED_VALUE"""),"2")</f>
        <v>2</v>
      </c>
      <c r="L62" t="str">
        <f>IFERROR(__xludf.DUMMYFUNCTION("""COMPUTED_VALUE"""),"4")</f>
        <v>4</v>
      </c>
      <c r="M62" t="str">
        <f>IFERROR(__xludf.DUMMYFUNCTION("""COMPUTED_VALUE"""),"0")</f>
        <v>0</v>
      </c>
      <c r="N62" t="str">
        <f>IFERROR(__xludf.DUMMYFUNCTION("""COMPUTED_VALUE"""),"0")</f>
        <v>0</v>
      </c>
      <c r="O62" t="str">
        <f>IFERROR(__xludf.DUMMYFUNCTION("""COMPUTED_VALUE"""),"2")</f>
        <v>2</v>
      </c>
      <c r="P62" t="str">
        <f>IFERROR(__xludf.DUMMYFUNCTION("""COMPUTED_VALUE"""),"5")</f>
        <v>5</v>
      </c>
      <c r="Q62">
        <f>IFERROR(__xludf.DUMMYFUNCTION("""COMPUTED_VALUE"""),2.0)</f>
        <v>2</v>
      </c>
      <c r="R62" s="9">
        <f>IFERROR(__xludf.DUMMYFUNCTION("""COMPUTED_VALUE"""),2.0)</f>
        <v>2</v>
      </c>
      <c r="S62" s="14">
        <f>IFERROR(__xludf.DUMMYFUNCTION("""COMPUTED_VALUE"""),0.08)</f>
        <v>0.08</v>
      </c>
      <c r="T62" s="15">
        <f>IFERROR(__xludf.DUMMYFUNCTION("""COMPUTED_VALUE"""),16.400000000000002)</f>
        <v>16.4</v>
      </c>
      <c r="U62" s="15">
        <f>IFERROR(__xludf.DUMMYFUNCTION("""COMPUTED_VALUE"""),16.400000000000002)</f>
        <v>16.4</v>
      </c>
      <c r="V62" s="15">
        <f>IFERROR(__xludf.DUMMYFUNCTION("""COMPUTED_VALUE"""),7.5)</f>
        <v>7.5</v>
      </c>
      <c r="W62" s="15">
        <f>IFERROR(__xludf.DUMMYFUNCTION("""COMPUTED_VALUE"""),124.679)</f>
        <v>124.679</v>
      </c>
    </row>
    <row r="63">
      <c r="A63" t="str">
        <f>IFERROR(__xludf.DUMMYFUNCTION("""COMPUTED_VALUE"""),"Jabari Walker")</f>
        <v>Jabari Walker</v>
      </c>
      <c r="B63" t="str">
        <f>IFERROR(__xludf.DUMMYFUNCTION("""COMPUTED_VALUE"""),"SF")</f>
        <v>SF</v>
      </c>
      <c r="C63" t="str">
        <f>IFERROR(__xludf.DUMMYFUNCTION("""COMPUTED_VALUE"""),"24")</f>
        <v>24</v>
      </c>
      <c r="D63" t="str">
        <f>IFERROR(__xludf.DUMMYFUNCTION("""COMPUTED_VALUE"""),"PHI")</f>
        <v>PHI</v>
      </c>
      <c r="E63" t="str">
        <f>IFERROR(__xludf.DUMMYFUNCTION("""COMPUTED_VALUE"""),"1")</f>
        <v>1</v>
      </c>
      <c r="F63" t="str">
        <f>IFERROR(__xludf.DUMMYFUNCTION("""COMPUTED_VALUE"""),"3")</f>
        <v>3</v>
      </c>
      <c r="G63" t="str">
        <f>IFERROR(__xludf.DUMMYFUNCTION("""COMPUTED_VALUE"""),"0")</f>
        <v>0</v>
      </c>
      <c r="H63" t="str">
        <f>IFERROR(__xludf.DUMMYFUNCTION("""COMPUTED_VALUE"""),"0")</f>
        <v>0</v>
      </c>
      <c r="I63" t="str">
        <f>IFERROR(__xludf.DUMMYFUNCTION("""COMPUTED_VALUE"""),"0")</f>
        <v>0</v>
      </c>
      <c r="J63" t="str">
        <f>IFERROR(__xludf.DUMMYFUNCTION("""COMPUTED_VALUE"""),"0")</f>
        <v>0</v>
      </c>
      <c r="K63" t="str">
        <f>IFERROR(__xludf.DUMMYFUNCTION("""COMPUTED_VALUE"""),"0")</f>
        <v>0</v>
      </c>
      <c r="L63" t="str">
        <f>IFERROR(__xludf.DUMMYFUNCTION("""COMPUTED_VALUE"""),"1")</f>
        <v>1</v>
      </c>
      <c r="M63" t="str">
        <f>IFERROR(__xludf.DUMMYFUNCTION("""COMPUTED_VALUE"""),"0")</f>
        <v>0</v>
      </c>
      <c r="N63" t="str">
        <f>IFERROR(__xludf.DUMMYFUNCTION("""COMPUTED_VALUE"""),"0")</f>
        <v>0</v>
      </c>
      <c r="O63" t="str">
        <f>IFERROR(__xludf.DUMMYFUNCTION("""COMPUTED_VALUE"""),"0")</f>
        <v>0</v>
      </c>
      <c r="P63" t="str">
        <f>IFERROR(__xludf.DUMMYFUNCTION("""COMPUTED_VALUE"""),"0")</f>
        <v>0</v>
      </c>
      <c r="Q63">
        <f>IFERROR(__xludf.DUMMYFUNCTION("""COMPUTED_VALUE"""),1.0)</f>
        <v>1</v>
      </c>
      <c r="R63" s="9">
        <f>IFERROR(__xludf.DUMMYFUNCTION("""COMPUTED_VALUE"""),1.0)</f>
        <v>1</v>
      </c>
      <c r="S63" s="14">
        <f>IFERROR(__xludf.DUMMYFUNCTION("""COMPUTED_VALUE"""),0.3333333333333333)</f>
        <v>0.3333333333</v>
      </c>
      <c r="T63" s="15">
        <f>IFERROR(__xludf.DUMMYFUNCTION("""COMPUTED_VALUE"""),6.0)</f>
        <v>6</v>
      </c>
      <c r="U63" s="15">
        <f>IFERROR(__xludf.DUMMYFUNCTION("""COMPUTED_VALUE"""),6.0)</f>
        <v>6</v>
      </c>
      <c r="V63" s="15">
        <f>IFERROR(__xludf.DUMMYFUNCTION("""COMPUTED_VALUE"""),25.4)</f>
        <v>25.4</v>
      </c>
      <c r="W63" s="15">
        <f>IFERROR(__xludf.DUMMYFUNCTION("""COMPUTED_VALUE"""),118.11)</f>
        <v>118.11</v>
      </c>
    </row>
    <row r="64">
      <c r="A64" t="str">
        <f>IFERROR(__xludf.DUMMYFUNCTION("""COMPUTED_VALUE"""),"Miles McBride")</f>
        <v>Miles McBride</v>
      </c>
      <c r="B64" t="str">
        <f>IFERROR(__xludf.DUMMYFUNCTION("""COMPUTED_VALUE"""),"PG")</f>
        <v>PG</v>
      </c>
      <c r="C64" t="str">
        <f>IFERROR(__xludf.DUMMYFUNCTION("""COMPUTED_VALUE"""),"26")</f>
        <v>26</v>
      </c>
      <c r="D64" t="str">
        <f>IFERROR(__xludf.DUMMYFUNCTION("""COMPUTED_VALUE"""),"NYK")</f>
        <v>NYK</v>
      </c>
      <c r="E64" t="str">
        <f>IFERROR(__xludf.DUMMYFUNCTION("""COMPUTED_VALUE"""),"1")</f>
        <v>1</v>
      </c>
      <c r="F64" t="str">
        <f>IFERROR(__xludf.DUMMYFUNCTION("""COMPUTED_VALUE"""),"14")</f>
        <v>14</v>
      </c>
      <c r="G64" t="str">
        <f>IFERROR(__xludf.DUMMYFUNCTION("""COMPUTED_VALUE"""),"1")</f>
        <v>1</v>
      </c>
      <c r="H64" t="str">
        <f>IFERROR(__xludf.DUMMYFUNCTION("""COMPUTED_VALUE"""),"5")</f>
        <v>5</v>
      </c>
      <c r="I64" t="str">
        <f>IFERROR(__xludf.DUMMYFUNCTION("""COMPUTED_VALUE"""),"0")</f>
        <v>0</v>
      </c>
      <c r="J64" t="str">
        <f>IFERROR(__xludf.DUMMYFUNCTION("""COMPUTED_VALUE"""),"0")</f>
        <v>0</v>
      </c>
      <c r="K64" t="str">
        <f>IFERROR(__xludf.DUMMYFUNCTION("""COMPUTED_VALUE"""),"1")</f>
        <v>1</v>
      </c>
      <c r="L64" t="str">
        <f>IFERROR(__xludf.DUMMYFUNCTION("""COMPUTED_VALUE"""),"1")</f>
        <v>1</v>
      </c>
      <c r="M64" t="str">
        <f>IFERROR(__xludf.DUMMYFUNCTION("""COMPUTED_VALUE"""),"0")</f>
        <v>0</v>
      </c>
      <c r="N64" t="str">
        <f>IFERROR(__xludf.DUMMYFUNCTION("""COMPUTED_VALUE"""),"1")</f>
        <v>1</v>
      </c>
      <c r="O64" t="str">
        <f>IFERROR(__xludf.DUMMYFUNCTION("""COMPUTED_VALUE"""),"1")</f>
        <v>1</v>
      </c>
      <c r="P64" t="str">
        <f>IFERROR(__xludf.DUMMYFUNCTION("""COMPUTED_VALUE"""),"3")</f>
        <v>3</v>
      </c>
      <c r="Q64">
        <f>IFERROR(__xludf.DUMMYFUNCTION("""COMPUTED_VALUE"""),1.0)</f>
        <v>1</v>
      </c>
      <c r="R64" s="9">
        <f>IFERROR(__xludf.DUMMYFUNCTION("""COMPUTED_VALUE"""),1.0)</f>
        <v>1</v>
      </c>
      <c r="S64" s="14">
        <f>IFERROR(__xludf.DUMMYFUNCTION("""COMPUTED_VALUE"""),0.07142857142857142)</f>
        <v>0.07142857143</v>
      </c>
      <c r="T64" s="15">
        <f>IFERROR(__xludf.DUMMYFUNCTION("""COMPUTED_VALUE"""),6.0)</f>
        <v>6</v>
      </c>
      <c r="U64" s="15">
        <f>IFERROR(__xludf.DUMMYFUNCTION("""COMPUTED_VALUE"""),6.0)</f>
        <v>6</v>
      </c>
      <c r="V64" s="15">
        <f>IFERROR(__xludf.DUMMYFUNCTION("""COMPUTED_VALUE"""),6.0)</f>
        <v>6</v>
      </c>
      <c r="W64" s="15">
        <f>IFERROR(__xludf.DUMMYFUNCTION("""COMPUTED_VALUE"""),81.06)</f>
        <v>81.06</v>
      </c>
    </row>
    <row r="65">
      <c r="A65" t="str">
        <f>IFERROR(__xludf.DUMMYFUNCTION("""COMPUTED_VALUE"""),"League Average")</f>
        <v>League Average</v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  <c r="M65" t="str">
        <f>IFERROR(__xludf.DUMMYFUNCTION("""COMPUTED_VALUE"""),"")</f>
        <v/>
      </c>
      <c r="N65" t="str">
        <f>IFERROR(__xludf.DUMMYFUNCTION("""COMPUTED_VALUE"""),"")</f>
        <v/>
      </c>
      <c r="O65" t="str">
        <f>IFERROR(__xludf.DUMMYFUNCTION("""COMPUTED_VALUE"""),"")</f>
        <v/>
      </c>
      <c r="P65" t="str">
        <f>IFERROR(__xludf.DUMMYFUNCTION("""COMPUTED_VALUE"""),"")</f>
        <v/>
      </c>
      <c r="Q65">
        <f>IFERROR(__xludf.DUMMYFUNCTION("""COMPUTED_VALUE"""),0.0)</f>
        <v>0</v>
      </c>
      <c r="R65" s="9">
        <f>IFERROR(__xludf.DUMMYFUNCTION("""COMPUTED_VALUE"""),0.0)</f>
        <v>0</v>
      </c>
      <c r="S65" s="14">
        <f>IFERROR(__xludf.DUMMYFUNCTION("""COMPUTED_VALUE"""),0.0)</f>
        <v>0</v>
      </c>
      <c r="T65" s="15">
        <f>IFERROR(__xludf.DUMMYFUNCTION("""COMPUTED_VALUE"""),1.5)</f>
        <v>1.5</v>
      </c>
      <c r="U65" s="15">
        <f>IFERROR(__xludf.DUMMYFUNCTION("""COMPUTED_VALUE"""),1.5)</f>
        <v>1.5</v>
      </c>
      <c r="V65" s="15">
        <f>IFERROR(__xludf.DUMMYFUNCTION("""COMPUTED_VALUE"""),1.5)</f>
        <v>1.5</v>
      </c>
      <c r="W65" s="15">
        <f>IFERROR(__xludf.DUMMYFUNCTION("""COMPUTED_VALUE"""),74.665)</f>
        <v>74.665</v>
      </c>
    </row>
    <row r="66">
      <c r="A66" t="str">
        <f>IFERROR(__xludf.DUMMYFUNCTION("""COMPUTED_VALUE"""),"Luka Garza")</f>
        <v>Luka Garza</v>
      </c>
      <c r="B66" t="str">
        <f>IFERROR(__xludf.DUMMYFUNCTION("""COMPUTED_VALUE"""),"C")</f>
        <v>C</v>
      </c>
      <c r="C66" t="str">
        <f>IFERROR(__xludf.DUMMYFUNCTION("""COMPUTED_VALUE"""),"28")</f>
        <v>28</v>
      </c>
      <c r="D66" t="str">
        <f>IFERROR(__xludf.DUMMYFUNCTION("""COMPUTED_VALUE"""),"BOS")</f>
        <v>BOS</v>
      </c>
      <c r="E66" t="str">
        <f>IFERROR(__xludf.DUMMYFUNCTION("""COMPUTED_VALUE"""),"1")</f>
        <v>1</v>
      </c>
      <c r="F66" t="str">
        <f>IFERROR(__xludf.DUMMYFUNCTION("""COMPUTED_VALUE"""),"8")</f>
        <v>8</v>
      </c>
      <c r="G66" t="str">
        <f>IFERROR(__xludf.DUMMYFUNCTION("""COMPUTED_VALUE"""),"1")</f>
        <v>1</v>
      </c>
      <c r="H66" t="str">
        <f>IFERROR(__xludf.DUMMYFUNCTION("""COMPUTED_VALUE"""),"3")</f>
        <v>3</v>
      </c>
      <c r="I66" t="str">
        <f>IFERROR(__xludf.DUMMYFUNCTION("""COMPUTED_VALUE"""),"0")</f>
        <v>0</v>
      </c>
      <c r="J66" t="str">
        <f>IFERROR(__xludf.DUMMYFUNCTION("""COMPUTED_VALUE"""),"0")</f>
        <v>0</v>
      </c>
      <c r="K66" t="str">
        <f>IFERROR(__xludf.DUMMYFUNCTION("""COMPUTED_VALUE"""),"2")</f>
        <v>2</v>
      </c>
      <c r="L66" t="str">
        <f>IFERROR(__xludf.DUMMYFUNCTION("""COMPUTED_VALUE"""),"0")</f>
        <v>0</v>
      </c>
      <c r="M66" t="str">
        <f>IFERROR(__xludf.DUMMYFUNCTION("""COMPUTED_VALUE"""),"0")</f>
        <v>0</v>
      </c>
      <c r="N66" t="str">
        <f>IFERROR(__xludf.DUMMYFUNCTION("""COMPUTED_VALUE"""),"0")</f>
        <v>0</v>
      </c>
      <c r="O66" t="str">
        <f>IFERROR(__xludf.DUMMYFUNCTION("""COMPUTED_VALUE"""),"1")</f>
        <v>1</v>
      </c>
      <c r="P66" t="str">
        <f>IFERROR(__xludf.DUMMYFUNCTION("""COMPUTED_VALUE"""),"2")</f>
        <v>2</v>
      </c>
      <c r="Q66">
        <f>IFERROR(__xludf.DUMMYFUNCTION("""COMPUTED_VALUE"""),1.0)</f>
        <v>1</v>
      </c>
      <c r="R66" s="9">
        <f>IFERROR(__xludf.DUMMYFUNCTION("""COMPUTED_VALUE"""),1.0)</f>
        <v>1</v>
      </c>
      <c r="S66" s="14">
        <f>IFERROR(__xludf.DUMMYFUNCTION("""COMPUTED_VALUE"""),0.125)</f>
        <v>0.125</v>
      </c>
      <c r="T66" s="15">
        <f>IFERROR(__xludf.DUMMYFUNCTION("""COMPUTED_VALUE"""),6.0)</f>
        <v>6</v>
      </c>
      <c r="U66" s="15">
        <f>IFERROR(__xludf.DUMMYFUNCTION("""COMPUTED_VALUE"""),6.0)</f>
        <v>6</v>
      </c>
      <c r="V66" s="15">
        <f>IFERROR(__xludf.DUMMYFUNCTION("""COMPUTED_VALUE"""),10.4)</f>
        <v>10.4</v>
      </c>
      <c r="W66" s="15">
        <f>IFERROR(__xludf.DUMMYFUNCTION("""COMPUTED_VALUE"""),73.76)</f>
        <v>73.76</v>
      </c>
    </row>
    <row r="67">
      <c r="A67" t="str">
        <f>IFERROR(__xludf.DUMMYFUNCTION("""COMPUTED_VALUE"""),"Tarris Reed Jr.")</f>
        <v>Tarris Reed Jr.</v>
      </c>
      <c r="B67" t="str">
        <f>IFERROR(__xludf.DUMMYFUNCTION("""COMPUTED_VALUE"""),"C")</f>
        <v>C</v>
      </c>
      <c r="C67" t="str">
        <f>IFERROR(__xludf.DUMMYFUNCTION("""COMPUTED_VALUE"""),"23")</f>
        <v>23</v>
      </c>
      <c r="D67" t="str">
        <f>IFERROR(__xludf.DUMMYFUNCTION("""COMPUTED_VALUE"""),"SAS")</f>
        <v>SAS</v>
      </c>
      <c r="E67" t="str">
        <f>IFERROR(__xludf.DUMMYFUNCTION("""COMPUTED_VALUE"""),"1")</f>
        <v>1</v>
      </c>
      <c r="F67" t="str">
        <f>IFERROR(__xludf.DUMMYFUNCTION("""COMPUTED_VALUE"""),"1")</f>
        <v>1</v>
      </c>
      <c r="G67" t="str">
        <f>IFERROR(__xludf.DUMMYFUNCTION("""COMPUTED_VALUE"""),"0")</f>
        <v>0</v>
      </c>
      <c r="H67" t="str">
        <f>IFERROR(__xludf.DUMMYFUNCTION("""COMPUTED_VALUE"""),"0")</f>
        <v>0</v>
      </c>
      <c r="I67" t="str">
        <f>IFERROR(__xludf.DUMMYFUNCTION("""COMPUTED_VALUE"""),"0")</f>
        <v>0</v>
      </c>
      <c r="J67" t="str">
        <f>IFERROR(__xludf.DUMMYFUNCTION("""COMPUTED_VALUE"""),"0")</f>
        <v>0</v>
      </c>
      <c r="K67" t="str">
        <f>IFERROR(__xludf.DUMMYFUNCTION("""COMPUTED_VALUE"""),"0")</f>
        <v>0</v>
      </c>
      <c r="L67" t="str">
        <f>IFERROR(__xludf.DUMMYFUNCTION("""COMPUTED_VALUE"""),"0")</f>
        <v>0</v>
      </c>
      <c r="M67" t="str">
        <f>IFERROR(__xludf.DUMMYFUNCTION("""COMPUTED_VALUE"""),"0")</f>
        <v>0</v>
      </c>
      <c r="N67" t="str">
        <f>IFERROR(__xludf.DUMMYFUNCTION("""COMPUTED_VALUE"""),"0")</f>
        <v>0</v>
      </c>
      <c r="O67" t="str">
        <f>IFERROR(__xludf.DUMMYFUNCTION("""COMPUTED_VALUE"""),"0")</f>
        <v>0</v>
      </c>
      <c r="P67" t="str">
        <f>IFERROR(__xludf.DUMMYFUNCTION("""COMPUTED_VALUE"""),"0")</f>
        <v>0</v>
      </c>
      <c r="Q67">
        <f>IFERROR(__xludf.DUMMYFUNCTION("""COMPUTED_VALUE"""),0.0)</f>
        <v>0</v>
      </c>
      <c r="R67" s="9">
        <f>IFERROR(__xludf.DUMMYFUNCTION("""COMPUTED_VALUE"""),0.0)</f>
        <v>0</v>
      </c>
      <c r="S67" s="14">
        <f>IFERROR(__xludf.DUMMYFUNCTION("""COMPUTED_VALUE"""),0.0)</f>
        <v>0</v>
      </c>
      <c r="T67" s="15">
        <f>IFERROR(__xludf.DUMMYFUNCTION("""COMPUTED_VALUE"""),1.5)</f>
        <v>1.5</v>
      </c>
      <c r="U67" s="15">
        <f>IFERROR(__xludf.DUMMYFUNCTION("""COMPUTED_VALUE"""),1.5)</f>
        <v>1.5</v>
      </c>
      <c r="V67" s="15">
        <f>IFERROR(__xludf.DUMMYFUNCTION("""COMPUTED_VALUE"""),1.5)</f>
        <v>1.5</v>
      </c>
      <c r="W67" s="15">
        <f>IFERROR(__xludf.DUMMYFUNCTION("""COMPUTED_VALUE"""),68.265)</f>
        <v>68.265</v>
      </c>
    </row>
    <row r="68">
      <c r="A68" t="str">
        <f>IFERROR(__xludf.DUMMYFUNCTION("""COMPUTED_VALUE"""),"Bennett Stirtz")</f>
        <v>Bennett Stirtz</v>
      </c>
      <c r="B68" t="str">
        <f>IFERROR(__xludf.DUMMYFUNCTION("""COMPUTED_VALUE"""),"PG")</f>
        <v>PG</v>
      </c>
      <c r="C68" t="str">
        <f>IFERROR(__xludf.DUMMYFUNCTION("""COMPUTED_VALUE"""),"23")</f>
        <v>23</v>
      </c>
      <c r="D68" t="str">
        <f>IFERROR(__xludf.DUMMYFUNCTION("""COMPUTED_VALUE"""),"OKC")</f>
        <v>OKC</v>
      </c>
      <c r="E68" t="str">
        <f>IFERROR(__xludf.DUMMYFUNCTION("""COMPUTED_VALUE"""),"1")</f>
        <v>1</v>
      </c>
      <c r="F68" t="str">
        <f>IFERROR(__xludf.DUMMYFUNCTION("""COMPUTED_VALUE"""),"1")</f>
        <v>1</v>
      </c>
      <c r="G68" t="str">
        <f>IFERROR(__xludf.DUMMYFUNCTION("""COMPUTED_VALUE"""),"0")</f>
        <v>0</v>
      </c>
      <c r="H68" t="str">
        <f>IFERROR(__xludf.DUMMYFUNCTION("""COMPUTED_VALUE"""),"0")</f>
        <v>0</v>
      </c>
      <c r="I68" t="str">
        <f>IFERROR(__xludf.DUMMYFUNCTION("""COMPUTED_VALUE"""),"0")</f>
        <v>0</v>
      </c>
      <c r="J68" t="str">
        <f>IFERROR(__xludf.DUMMYFUNCTION("""COMPUTED_VALUE"""),"0")</f>
        <v>0</v>
      </c>
      <c r="K68" t="str">
        <f>IFERROR(__xludf.DUMMYFUNCTION("""COMPUTED_VALUE"""),"0")</f>
        <v>0</v>
      </c>
      <c r="L68" t="str">
        <f>IFERROR(__xludf.DUMMYFUNCTION("""COMPUTED_VALUE"""),"0")</f>
        <v>0</v>
      </c>
      <c r="M68" t="str">
        <f>IFERROR(__xludf.DUMMYFUNCTION("""COMPUTED_VALUE"""),"0")</f>
        <v>0</v>
      </c>
      <c r="N68" t="str">
        <f>IFERROR(__xludf.DUMMYFUNCTION("""COMPUTED_VALUE"""),"0")</f>
        <v>0</v>
      </c>
      <c r="O68" t="str">
        <f>IFERROR(__xludf.DUMMYFUNCTION("""COMPUTED_VALUE"""),"0")</f>
        <v>0</v>
      </c>
      <c r="P68" t="str">
        <f>IFERROR(__xludf.DUMMYFUNCTION("""COMPUTED_VALUE"""),"0")</f>
        <v>0</v>
      </c>
      <c r="Q68">
        <f>IFERROR(__xludf.DUMMYFUNCTION("""COMPUTED_VALUE"""),0.0)</f>
        <v>0</v>
      </c>
      <c r="R68" s="9">
        <f>IFERROR(__xludf.DUMMYFUNCTION("""COMPUTED_VALUE"""),0.0)</f>
        <v>0</v>
      </c>
      <c r="S68" s="14">
        <f>IFERROR(__xludf.DUMMYFUNCTION("""COMPUTED_VALUE"""),0.0)</f>
        <v>0</v>
      </c>
      <c r="T68" s="15">
        <f>IFERROR(__xludf.DUMMYFUNCTION("""COMPUTED_VALUE"""),1.5)</f>
        <v>1.5</v>
      </c>
      <c r="U68" s="15">
        <f>IFERROR(__xludf.DUMMYFUNCTION("""COMPUTED_VALUE"""),1.5)</f>
        <v>1.5</v>
      </c>
      <c r="V68" s="15">
        <f>IFERROR(__xludf.DUMMYFUNCTION("""COMPUTED_VALUE"""),1.5)</f>
        <v>1.5</v>
      </c>
      <c r="W68" s="15">
        <f>IFERROR(__xludf.DUMMYFUNCTION("""COMPUTED_VALUE"""),68.265)</f>
        <v>68.265</v>
      </c>
    </row>
    <row r="69">
      <c r="A69" t="str">
        <f>IFERROR(__xludf.DUMMYFUNCTION("""COMPUTED_VALUE"""),"Carter Bryant")</f>
        <v>Carter Bryant</v>
      </c>
      <c r="B69" t="str">
        <f>IFERROR(__xludf.DUMMYFUNCTION("""COMPUTED_VALUE"""),"PF")</f>
        <v>PF</v>
      </c>
      <c r="C69" t="str">
        <f>IFERROR(__xludf.DUMMYFUNCTION("""COMPUTED_VALUE"""),"21")</f>
        <v>21</v>
      </c>
      <c r="D69" t="str">
        <f>IFERROR(__xludf.DUMMYFUNCTION("""COMPUTED_VALUE"""),"SAS")</f>
        <v>SAS</v>
      </c>
      <c r="E69" t="str">
        <f>IFERROR(__xludf.DUMMYFUNCTION("""COMPUTED_VALUE"""),"1")</f>
        <v>1</v>
      </c>
      <c r="F69" t="str">
        <f>IFERROR(__xludf.DUMMYFUNCTION("""COMPUTED_VALUE"""),"6")</f>
        <v>6</v>
      </c>
      <c r="G69" t="str">
        <f>IFERROR(__xludf.DUMMYFUNCTION("""COMPUTED_VALUE"""),"0")</f>
        <v>0</v>
      </c>
      <c r="H69" t="str">
        <f>IFERROR(__xludf.DUMMYFUNCTION("""COMPUTED_VALUE"""),"3")</f>
        <v>3</v>
      </c>
      <c r="I69" t="str">
        <f>IFERROR(__xludf.DUMMYFUNCTION("""COMPUTED_VALUE"""),"0")</f>
        <v>0</v>
      </c>
      <c r="J69" t="str">
        <f>IFERROR(__xludf.DUMMYFUNCTION("""COMPUTED_VALUE"""),"0")</f>
        <v>0</v>
      </c>
      <c r="K69" t="str">
        <f>IFERROR(__xludf.DUMMYFUNCTION("""COMPUTED_VALUE"""),"0")</f>
        <v>0</v>
      </c>
      <c r="L69" t="str">
        <f>IFERROR(__xludf.DUMMYFUNCTION("""COMPUTED_VALUE"""),"1")</f>
        <v>1</v>
      </c>
      <c r="M69" t="str">
        <f>IFERROR(__xludf.DUMMYFUNCTION("""COMPUTED_VALUE"""),"0")</f>
        <v>0</v>
      </c>
      <c r="N69" t="str">
        <f>IFERROR(__xludf.DUMMYFUNCTION("""COMPUTED_VALUE"""),"0")</f>
        <v>0</v>
      </c>
      <c r="O69" t="str">
        <f>IFERROR(__xludf.DUMMYFUNCTION("""COMPUTED_VALUE"""),"0")</f>
        <v>0</v>
      </c>
      <c r="P69" t="str">
        <f>IFERROR(__xludf.DUMMYFUNCTION("""COMPUTED_VALUE"""),"0")</f>
        <v>0</v>
      </c>
      <c r="Q69">
        <f>IFERROR(__xludf.DUMMYFUNCTION("""COMPUTED_VALUE"""),-2.0)</f>
        <v>-2</v>
      </c>
      <c r="R69" s="9">
        <f>IFERROR(__xludf.DUMMYFUNCTION("""COMPUTED_VALUE"""),-2.0)</f>
        <v>-2</v>
      </c>
      <c r="S69" s="14">
        <f>IFERROR(__xludf.DUMMYFUNCTION("""COMPUTED_VALUE"""),-0.3333333333333333)</f>
        <v>-0.3333333333</v>
      </c>
      <c r="T69" s="15">
        <f>IFERROR(__xludf.DUMMYFUNCTION("""COMPUTED_VALUE"""),0.0)</f>
        <v>0</v>
      </c>
      <c r="U69" s="15">
        <f>IFERROR(__xludf.DUMMYFUNCTION("""COMPUTED_VALUE"""),0.0)</f>
        <v>0</v>
      </c>
      <c r="V69" s="15">
        <f>IFERROR(__xludf.DUMMYFUNCTION("""COMPUTED_VALUE"""),0.0)</f>
        <v>0</v>
      </c>
      <c r="W69" s="15">
        <f>IFERROR(__xludf.DUMMYFUNCTION("""COMPUTED_VALUE"""),64.0)</f>
        <v>64</v>
      </c>
    </row>
    <row r="70">
      <c r="A70" t="str">
        <f>IFERROR(__xludf.DUMMYFUNCTION("""COMPUTED_VALUE"""),"Brooks Barnhizer")</f>
        <v>Brooks Barnhizer</v>
      </c>
      <c r="B70" t="str">
        <f>IFERROR(__xludf.DUMMYFUNCTION("""COMPUTED_VALUE"""),"SG")</f>
        <v>SG</v>
      </c>
      <c r="C70" t="str">
        <f>IFERROR(__xludf.DUMMYFUNCTION("""COMPUTED_VALUE"""),"24")</f>
        <v>24</v>
      </c>
      <c r="D70" t="str">
        <f>IFERROR(__xludf.DUMMYFUNCTION("""COMPUTED_VALUE"""),"OKC")</f>
        <v>OKC</v>
      </c>
      <c r="E70" t="str">
        <f>IFERROR(__xludf.DUMMYFUNCTION("""COMPUTED_VALUE"""),"1")</f>
        <v>1</v>
      </c>
      <c r="F70" t="str">
        <f>IFERROR(__xludf.DUMMYFUNCTION("""COMPUTED_VALUE"""),"1")</f>
        <v>1</v>
      </c>
      <c r="G70" t="str">
        <f>IFERROR(__xludf.DUMMYFUNCTION("""COMPUTED_VALUE"""),"0")</f>
        <v>0</v>
      </c>
      <c r="H70" t="str">
        <f>IFERROR(__xludf.DUMMYFUNCTION("""COMPUTED_VALUE"""),"0")</f>
        <v>0</v>
      </c>
      <c r="I70" t="str">
        <f>IFERROR(__xludf.DUMMYFUNCTION("""COMPUTED_VALUE"""),"0")</f>
        <v>0</v>
      </c>
      <c r="J70" t="str">
        <f>IFERROR(__xludf.DUMMYFUNCTION("""COMPUTED_VALUE"""),"0")</f>
        <v>0</v>
      </c>
      <c r="K70" t="str">
        <f>IFERROR(__xludf.DUMMYFUNCTION("""COMPUTED_VALUE"""),"0")</f>
        <v>0</v>
      </c>
      <c r="L70" t="str">
        <f>IFERROR(__xludf.DUMMYFUNCTION("""COMPUTED_VALUE"""),"0")</f>
        <v>0</v>
      </c>
      <c r="M70" t="str">
        <f>IFERROR(__xludf.DUMMYFUNCTION("""COMPUTED_VALUE"""),"0")</f>
        <v>0</v>
      </c>
      <c r="N70" t="str">
        <f>IFERROR(__xludf.DUMMYFUNCTION("""COMPUTED_VALUE"""),"0")</f>
        <v>0</v>
      </c>
      <c r="O70" t="str">
        <f>IFERROR(__xludf.DUMMYFUNCTION("""COMPUTED_VALUE"""),"0")</f>
        <v>0</v>
      </c>
      <c r="P70" t="str">
        <f>IFERROR(__xludf.DUMMYFUNCTION("""COMPUTED_VALUE"""),"0")</f>
        <v>0</v>
      </c>
      <c r="Q70">
        <f>IFERROR(__xludf.DUMMYFUNCTION("""COMPUTED_VALUE"""),0.0)</f>
        <v>0</v>
      </c>
      <c r="R70" s="9">
        <f>IFERROR(__xludf.DUMMYFUNCTION("""COMPUTED_VALUE"""),0.0)</f>
        <v>0</v>
      </c>
      <c r="S70" s="14">
        <f>IFERROR(__xludf.DUMMYFUNCTION("""COMPUTED_VALUE"""),0.0)</f>
        <v>0</v>
      </c>
      <c r="T70" s="15">
        <f>IFERROR(__xludf.DUMMYFUNCTION("""COMPUTED_VALUE"""),1.5)</f>
        <v>1.5</v>
      </c>
      <c r="U70" s="15">
        <f>IFERROR(__xludf.DUMMYFUNCTION("""COMPUTED_VALUE"""),1.5)</f>
        <v>1.5</v>
      </c>
      <c r="V70" s="15">
        <f>IFERROR(__xludf.DUMMYFUNCTION("""COMPUTED_VALUE"""),1.5)</f>
        <v>1.5</v>
      </c>
      <c r="W70" s="15">
        <f>IFERROR(__xludf.DUMMYFUNCTION("""COMPUTED_VALUE"""),61.865)</f>
        <v>61.865</v>
      </c>
    </row>
  </sheetData>
  <customSheetViews>
    <customSheetView guid="{5DD29FD3-8619-41A3-915E-EA9DCE45E7DC}" filter="1" showAutoFilter="1">
      <autoFilter ref="$Y$11"/>
    </customSheetView>
  </customSheetViews>
  <conditionalFormatting sqref="T1:V2165 W1">
    <cfRule type="colorScale" priority="1">
      <colorScale>
        <cfvo type="min"/>
        <cfvo type="percent" val="50"/>
        <cfvo type="max"/>
        <color rgb="FFE67C73"/>
        <color rgb="FFFFFFFF"/>
        <color rgb="FF57BB8A"/>
      </colorScale>
    </cfRule>
  </conditionalFormatting>
  <conditionalFormatting sqref="W1:W2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qref="X2">
      <formula1>"Pos,Age,FPTS,FPPG,FPPM,FPTS RANK,FPPG RANK,FPPM RANK,EDSA RANK"</formula1>
    </dataValidation>
    <dataValidation type="list" allowBlank="1" showErrorMessage="1" sqref="Y2">
      <formula1>"TRUE,FALSE"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.0"/>
    <col customWidth="1" min="3" max="3" width="4.13"/>
    <col customWidth="1" min="4" max="4" width="5.13"/>
    <col customWidth="1" min="5" max="5" width="3.75"/>
    <col customWidth="1" min="6" max="6" width="4.63"/>
    <col customWidth="1" min="7" max="7" width="4.5"/>
    <col customWidth="1" min="8" max="8" width="4.63"/>
    <col customWidth="1" min="9" max="9" width="3.75"/>
    <col customWidth="1" min="10" max="10" width="4.0"/>
    <col customWidth="1" min="11" max="11" width="4.63"/>
    <col customWidth="1" min="12" max="12" width="4.25"/>
    <col customWidth="1" min="13" max="13" width="4.13"/>
    <col customWidth="1" min="14" max="14" width="4.38"/>
    <col customWidth="1" min="15" max="15" width="4.25"/>
    <col customWidth="1" min="16" max="16" width="4.63"/>
    <col customWidth="1" min="17" max="17" width="5.13"/>
    <col customWidth="1" min="18" max="18" width="5.38"/>
    <col customWidth="1" min="19" max="19" width="5.5"/>
    <col customWidth="1" min="20" max="20" width="10.25"/>
    <col customWidth="1" min="21" max="23" width="10.63"/>
    <col customWidth="1" min="24" max="24" width="10.75"/>
    <col customWidth="1" min="25" max="25" width="10.25"/>
  </cols>
  <sheetData>
    <row r="1">
      <c r="A1" s="5" t="str">
        <f>'Day Range Format Data'!A$1</f>
        <v>Player</v>
      </c>
      <c r="B1" s="5" t="str">
        <f>'Day Range Format Data'!B$1</f>
        <v>Pos</v>
      </c>
      <c r="C1" s="5" t="str">
        <f>'Day Range Format Data'!C$1</f>
        <v>Age</v>
      </c>
      <c r="D1" s="5" t="str">
        <f>'Day Range Format Data'!D$1</f>
        <v>Team</v>
      </c>
      <c r="E1" s="5" t="str">
        <f>'Day Range Format Data'!E$1</f>
        <v>G</v>
      </c>
      <c r="F1" s="5" t="str">
        <f>'Day Range Format Data'!F$1</f>
        <v>MIN</v>
      </c>
      <c r="G1" s="5" t="str">
        <f>'Day Range Format Data'!G$1</f>
        <v>FG</v>
      </c>
      <c r="H1" s="5" t="str">
        <f>'Day Range Format Data'!H$1</f>
        <v>FGA</v>
      </c>
      <c r="I1" s="5" t="str">
        <f>'Day Range Format Data'!I$1</f>
        <v>FT</v>
      </c>
      <c r="J1" s="5" t="str">
        <f>'Day Range Format Data'!J$1</f>
        <v>FTA</v>
      </c>
      <c r="K1" s="5" t="str">
        <f>'Day Range Format Data'!K$1</f>
        <v>TRB</v>
      </c>
      <c r="L1" s="5" t="str">
        <f>'Day Range Format Data'!L$1</f>
        <v>AST</v>
      </c>
      <c r="M1" s="5" t="str">
        <f>'Day Range Format Data'!M$1</f>
        <v>STL</v>
      </c>
      <c r="N1" s="5" t="str">
        <f>'Day Range Format Data'!N$1</f>
        <v>BLK</v>
      </c>
      <c r="O1" s="5" t="str">
        <f>'Day Range Format Data'!O$1</f>
        <v>TOV</v>
      </c>
      <c r="P1" s="5" t="str">
        <f>'Day Range Format Data'!P$1</f>
        <v>PTS</v>
      </c>
      <c r="Q1" s="5" t="str">
        <f>'Day Range Format Data'!Q$1</f>
        <v>FPTS</v>
      </c>
      <c r="R1" s="39" t="str">
        <f>'Day Range Format Data'!R$1</f>
        <v>FPPG</v>
      </c>
      <c r="S1" s="40" t="str">
        <f>'Day Range Format Data'!S$1</f>
        <v>FPPM</v>
      </c>
      <c r="T1" s="5" t="str">
        <f>'Day Range Format Data'!T$1</f>
        <v>FPTS RANK</v>
      </c>
      <c r="U1" s="5" t="str">
        <f>'Day Range Format Data'!U$1</f>
        <v>FPPG RANK</v>
      </c>
      <c r="V1" s="5" t="str">
        <f>'Day Range Format Data'!V$1</f>
        <v>FPPM RANK</v>
      </c>
      <c r="W1" s="41" t="str">
        <f>'Day Range Format Data'!W$1</f>
        <v>EDSA RANK</v>
      </c>
      <c r="X1" s="42" t="s">
        <v>1295</v>
      </c>
      <c r="Y1" s="43" t="s">
        <v>1296</v>
      </c>
      <c r="Z1" s="43" t="s">
        <v>1297</v>
      </c>
    </row>
    <row r="2">
      <c r="A2" t="str">
        <f>IFERROR(__xludf.DUMMYFUNCTION("SORT(FILTER('Day Range Format Data'!A2:W1561,'Day Range Format Data'!A2:A1561&lt;&gt;""""),MATCH(X2,1:1,0),Y2)"),"#N/A")</f>
        <v>#N/A</v>
      </c>
      <c r="X2" s="44" t="s">
        <v>17</v>
      </c>
      <c r="Y2" s="45" t="b">
        <v>0</v>
      </c>
      <c r="Z2" s="45">
        <f>DATEDIF(X4,TODAY(),"D")</f>
        <v>266</v>
      </c>
    </row>
    <row r="3">
      <c r="X3" s="46" t="s">
        <v>1298</v>
      </c>
      <c r="Y3" s="46" t="s">
        <v>1299</v>
      </c>
    </row>
    <row r="4">
      <c r="X4" s="47">
        <v>46054.0</v>
      </c>
      <c r="Y4" s="45" t="b">
        <v>1</v>
      </c>
    </row>
  </sheetData>
  <conditionalFormatting sqref="T1:T1561 U1:U1561 V1:V1561">
    <cfRule type="colorScale" priority="1">
      <colorScale>
        <cfvo type="min"/>
        <cfvo type="percent" val="50"/>
        <cfvo type="max"/>
        <color rgb="FFE67C73"/>
        <color rgb="FFFFFFFF"/>
        <color rgb="FF57BB8A"/>
      </colorScale>
    </cfRule>
  </conditionalFormatting>
  <conditionalFormatting sqref="W1:W156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2:S1561">
    <cfRule type="expression" dxfId="0" priority="3">
      <formula>AND(IFERROR(MATCH($A2,INDIRECT("Free Agents!A:A"),0)&lt;0,TRUE),$Y$4=TRUE)</formula>
    </cfRule>
  </conditionalFormatting>
  <dataValidations>
    <dataValidation type="list" allowBlank="1" sqref="X2">
      <formula1>"Pos,Age,FPTS,FPPG,FPPM,FPTS RANK,FPPG RANK,FPPM RANK,EDSA RANK"</formula1>
    </dataValidation>
    <dataValidation type="list" allowBlank="1" showErrorMessage="1" sqref="Y2 Y4">
      <formula1>"TRUE,FALSE"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4.0"/>
    <col customWidth="1" min="3" max="3" width="4.13"/>
    <col customWidth="1" min="4" max="4" width="5.13"/>
    <col customWidth="1" min="5" max="5" width="4.0"/>
    <col customWidth="1" min="6" max="6" width="3.25"/>
    <col customWidth="1" min="7" max="7" width="4.38"/>
    <col customWidth="1" min="8" max="8" width="3.0"/>
    <col customWidth="1" min="9" max="9" width="4.0"/>
    <col customWidth="1" min="10" max="10" width="4.38"/>
    <col customWidth="1" min="11" max="11" width="4.25"/>
    <col customWidth="1" min="12" max="12" width="4.13"/>
    <col customWidth="1" min="13" max="13" width="4.38"/>
    <col customWidth="1" min="14" max="14" width="4.25"/>
    <col customWidth="1" min="15" max="15" width="4.13"/>
    <col customWidth="1" min="16" max="16" width="5.13"/>
    <col customWidth="1" min="17" max="17" width="5.5"/>
    <col customWidth="1" min="18" max="18" width="10.25"/>
    <col customWidth="1" min="19" max="19" width="10.63"/>
    <col customWidth="1" min="20" max="20" width="12.88"/>
    <col customWidth="1" min="21" max="21" width="10.25"/>
  </cols>
  <sheetData>
    <row r="1">
      <c r="A1" s="48" t="str">
        <f>'Player Format Data'!A$1</f>
        <v>Player</v>
      </c>
      <c r="B1" s="49" t="str">
        <f>'Player Format Data'!B$1</f>
        <v>Pos</v>
      </c>
      <c r="C1" s="49" t="str">
        <f>'Player Format Data'!C$1</f>
        <v>Age</v>
      </c>
      <c r="D1" s="49" t="str">
        <f>'Player Format Data'!D$1</f>
        <v>Team</v>
      </c>
      <c r="E1" s="49" t="str">
        <f>'Player Format Data'!F$1</f>
        <v>MIN</v>
      </c>
      <c r="F1" s="49" t="str">
        <f>'Player Format Data'!G$1</f>
        <v>FG</v>
      </c>
      <c r="G1" s="49" t="str">
        <f>'Player Format Data'!H$1</f>
        <v>FGA</v>
      </c>
      <c r="H1" s="49" t="str">
        <f>'Player Format Data'!I$1</f>
        <v>FT</v>
      </c>
      <c r="I1" s="49" t="str">
        <f>'Player Format Data'!J$1</f>
        <v>FTA</v>
      </c>
      <c r="J1" s="49" t="str">
        <f>'Player Format Data'!K$1</f>
        <v>TRB</v>
      </c>
      <c r="K1" s="49" t="str">
        <f>'Player Format Data'!L$1</f>
        <v>AST</v>
      </c>
      <c r="L1" s="49" t="str">
        <f>'Player Format Data'!M$1</f>
        <v>STL</v>
      </c>
      <c r="M1" s="49" t="str">
        <f>'Player Format Data'!N$1</f>
        <v>BLK</v>
      </c>
      <c r="N1" s="49" t="str">
        <f>'Player Format Data'!O$1</f>
        <v>TOV</v>
      </c>
      <c r="O1" s="49" t="str">
        <f>'Player Format Data'!P$1</f>
        <v>PTS</v>
      </c>
      <c r="P1" s="49" t="str">
        <f>'Player Format Data'!Q$1</f>
        <v>FPTS</v>
      </c>
      <c r="Q1" s="50" t="str">
        <f>'Player Format Data'!S$1</f>
        <v>FPPM</v>
      </c>
      <c r="R1" s="49" t="str">
        <f>'Player Format Data'!T$1</f>
        <v>FPTS RANK</v>
      </c>
      <c r="S1" s="49" t="str">
        <f>'Player Format Data'!V$1</f>
        <v>FPPM RANK</v>
      </c>
      <c r="T1" s="51" t="s">
        <v>1295</v>
      </c>
      <c r="U1" s="52" t="s">
        <v>1296</v>
      </c>
      <c r="V1" s="52" t="s">
        <v>1300</v>
      </c>
    </row>
    <row r="2">
      <c r="A2" s="53" t="str">
        <f>IFERROR(__xludf.DUMMYFUNCTION("SORT(FILTER('Daily Format Data'!A2:S1000,'Daily Format Data'!A2:A1000&lt;&gt;""""),MATCH(T2,1:1,0),U2)"),"Shai Gilgeous-Alexander")</f>
        <v>Shai Gilgeous-Alexander</v>
      </c>
      <c r="B2" s="53" t="str">
        <f>IFERROR(__xludf.DUMMYFUNCTION("""COMPUTED_VALUE"""),"28")</f>
        <v>28</v>
      </c>
      <c r="C2" s="53" t="str">
        <f>IFERROR(__xludf.DUMMYFUNCTION("""COMPUTED_VALUE"""),"OKC")</f>
        <v>OKC</v>
      </c>
      <c r="D2" s="53" t="str">
        <f>IFERROR(__xludf.DUMMYFUNCTION("""COMPUTED_VALUE"""),"PG")</f>
        <v>PG</v>
      </c>
      <c r="E2" s="53">
        <f>IFERROR(__xludf.DUMMYFUNCTION("""COMPUTED_VALUE"""),35.0)</f>
        <v>35</v>
      </c>
      <c r="F2" s="53">
        <f>IFERROR(__xludf.DUMMYFUNCTION("""COMPUTED_VALUE"""),13.0)</f>
        <v>13</v>
      </c>
      <c r="G2" s="53">
        <f>IFERROR(__xludf.DUMMYFUNCTION("""COMPUTED_VALUE"""),17.0)</f>
        <v>17</v>
      </c>
      <c r="H2" s="53">
        <f>IFERROR(__xludf.DUMMYFUNCTION("""COMPUTED_VALUE"""),11.0)</f>
        <v>11</v>
      </c>
      <c r="I2" s="53">
        <f>IFERROR(__xludf.DUMMYFUNCTION("""COMPUTED_VALUE"""),11.0)</f>
        <v>11</v>
      </c>
      <c r="J2" s="53">
        <f>IFERROR(__xludf.DUMMYFUNCTION("""COMPUTED_VALUE"""),4.0)</f>
        <v>4</v>
      </c>
      <c r="K2" s="53">
        <f>IFERROR(__xludf.DUMMYFUNCTION("""COMPUTED_VALUE"""),3.0)</f>
        <v>3</v>
      </c>
      <c r="L2" s="53">
        <f>IFERROR(__xludf.DUMMYFUNCTION("""COMPUTED_VALUE"""),2.0)</f>
        <v>2</v>
      </c>
      <c r="M2" s="53">
        <f>IFERROR(__xludf.DUMMYFUNCTION("""COMPUTED_VALUE"""),0.0)</f>
        <v>0</v>
      </c>
      <c r="N2" s="53">
        <f>IFERROR(__xludf.DUMMYFUNCTION("""COMPUTED_VALUE"""),4.0)</f>
        <v>4</v>
      </c>
      <c r="O2" s="53">
        <f>IFERROR(__xludf.DUMMYFUNCTION("""COMPUTED_VALUE"""),37.0)</f>
        <v>37</v>
      </c>
      <c r="P2" s="53">
        <f>IFERROR(__xludf.DUMMYFUNCTION("""COMPUTED_VALUE"""),38.0)</f>
        <v>38</v>
      </c>
      <c r="Q2" s="54">
        <f>IFERROR(__xludf.DUMMYFUNCTION("""COMPUTED_VALUE"""),1.0857142857142856)</f>
        <v>1.085714286</v>
      </c>
      <c r="R2" s="55">
        <f>IFERROR(__xludf.DUMMYFUNCTION("""COMPUTED_VALUE"""),100.0)</f>
        <v>100</v>
      </c>
      <c r="S2" s="55">
        <f>IFERROR(__xludf.DUMMYFUNCTION("""COMPUTED_VALUE"""),97.5)</f>
        <v>97.5</v>
      </c>
      <c r="T2" s="56" t="s">
        <v>16</v>
      </c>
      <c r="U2" s="57" t="b">
        <v>0</v>
      </c>
      <c r="V2" s="58">
        <v>44868.0</v>
      </c>
    </row>
    <row r="3">
      <c r="A3" s="53" t="str">
        <f>IFERROR(__xludf.DUMMYFUNCTION("""COMPUTED_VALUE"""),"Stephen Curry")</f>
        <v>Stephen Curry</v>
      </c>
      <c r="B3" s="53" t="str">
        <f>IFERROR(__xludf.DUMMYFUNCTION("""COMPUTED_VALUE"""),"")</f>
        <v/>
      </c>
      <c r="C3" s="53" t="str">
        <f>IFERROR(__xludf.DUMMYFUNCTION("""COMPUTED_VALUE"""),"")</f>
        <v/>
      </c>
      <c r="D3" s="53" t="str">
        <f>IFERROR(__xludf.DUMMYFUNCTION("""COMPUTED_VALUE"""),"")</f>
        <v/>
      </c>
      <c r="E3" s="53">
        <f>IFERROR(__xludf.DUMMYFUNCTION("""COMPUTED_VALUE"""),38.0)</f>
        <v>38</v>
      </c>
      <c r="F3" s="53">
        <f>IFERROR(__xludf.DUMMYFUNCTION("""COMPUTED_VALUE"""),13.0)</f>
        <v>13</v>
      </c>
      <c r="G3" s="53">
        <f>IFERROR(__xludf.DUMMYFUNCTION("""COMPUTED_VALUE"""),22.0)</f>
        <v>22</v>
      </c>
      <c r="H3" s="53">
        <f>IFERROR(__xludf.DUMMYFUNCTION("""COMPUTED_VALUE"""),5.0)</f>
        <v>5</v>
      </c>
      <c r="I3" s="53">
        <f>IFERROR(__xludf.DUMMYFUNCTION("""COMPUTED_VALUE"""),5.0)</f>
        <v>5</v>
      </c>
      <c r="J3" s="53">
        <f>IFERROR(__xludf.DUMMYFUNCTION("""COMPUTED_VALUE"""),3.0)</f>
        <v>3</v>
      </c>
      <c r="K3" s="53">
        <f>IFERROR(__xludf.DUMMYFUNCTION("""COMPUTED_VALUE"""),9.0)</f>
        <v>9</v>
      </c>
      <c r="L3" s="53">
        <f>IFERROR(__xludf.DUMMYFUNCTION("""COMPUTED_VALUE"""),0.0)</f>
        <v>0</v>
      </c>
      <c r="M3" s="53">
        <f>IFERROR(__xludf.DUMMYFUNCTION("""COMPUTED_VALUE"""),0.0)</f>
        <v>0</v>
      </c>
      <c r="N3" s="53">
        <f>IFERROR(__xludf.DUMMYFUNCTION("""COMPUTED_VALUE"""),5.0)</f>
        <v>5</v>
      </c>
      <c r="O3" s="53">
        <f>IFERROR(__xludf.DUMMYFUNCTION("""COMPUTED_VALUE"""),39.0)</f>
        <v>39</v>
      </c>
      <c r="P3" s="53">
        <f>IFERROR(__xludf.DUMMYFUNCTION("""COMPUTED_VALUE"""),37.0)</f>
        <v>37</v>
      </c>
      <c r="Q3" s="54">
        <f>IFERROR(__xludf.DUMMYFUNCTION("""COMPUTED_VALUE"""),0.9736842105263158)</f>
        <v>0.9736842105</v>
      </c>
      <c r="R3" s="55">
        <f>IFERROR(__xludf.DUMMYFUNCTION("""COMPUTED_VALUE"""),97.5)</f>
        <v>97.5</v>
      </c>
      <c r="S3" s="55">
        <f>IFERROR(__xludf.DUMMYFUNCTION("""COMPUTED_VALUE"""),95.0)</f>
        <v>95</v>
      </c>
      <c r="T3" s="53"/>
      <c r="U3" s="53"/>
      <c r="V3" s="53"/>
    </row>
    <row r="4">
      <c r="A4" s="53" t="str">
        <f>IFERROR(__xludf.DUMMYFUNCTION("""COMPUTED_VALUE"""),"Aaron Gordon")</f>
        <v>Aaron Gordon</v>
      </c>
      <c r="B4" s="53" t="str">
        <f>IFERROR(__xludf.DUMMYFUNCTION("""COMPUTED_VALUE"""),"")</f>
        <v/>
      </c>
      <c r="C4" s="53" t="str">
        <f>IFERROR(__xludf.DUMMYFUNCTION("""COMPUTED_VALUE"""),"")</f>
        <v/>
      </c>
      <c r="D4" s="53" t="str">
        <f>IFERROR(__xludf.DUMMYFUNCTION("""COMPUTED_VALUE"""),"")</f>
        <v/>
      </c>
      <c r="E4" s="53">
        <f>IFERROR(__xludf.DUMMYFUNCTION("""COMPUTED_VALUE"""),35.0)</f>
        <v>35</v>
      </c>
      <c r="F4" s="53">
        <f>IFERROR(__xludf.DUMMYFUNCTION("""COMPUTED_VALUE"""),10.0)</f>
        <v>10</v>
      </c>
      <c r="G4" s="53">
        <f>IFERROR(__xludf.DUMMYFUNCTION("""COMPUTED_VALUE"""),13.0)</f>
        <v>13</v>
      </c>
      <c r="H4" s="53">
        <f>IFERROR(__xludf.DUMMYFUNCTION("""COMPUTED_VALUE"""),4.0)</f>
        <v>4</v>
      </c>
      <c r="I4" s="53">
        <f>IFERROR(__xludf.DUMMYFUNCTION("""COMPUTED_VALUE"""),5.0)</f>
        <v>5</v>
      </c>
      <c r="J4" s="53">
        <f>IFERROR(__xludf.DUMMYFUNCTION("""COMPUTED_VALUE"""),5.0)</f>
        <v>5</v>
      </c>
      <c r="K4" s="53">
        <f>IFERROR(__xludf.DUMMYFUNCTION("""COMPUTED_VALUE"""),3.0)</f>
        <v>3</v>
      </c>
      <c r="L4" s="53">
        <f>IFERROR(__xludf.DUMMYFUNCTION("""COMPUTED_VALUE"""),1.0)</f>
        <v>1</v>
      </c>
      <c r="M4" s="53">
        <f>IFERROR(__xludf.DUMMYFUNCTION("""COMPUTED_VALUE"""),0.0)</f>
        <v>0</v>
      </c>
      <c r="N4" s="53">
        <f>IFERROR(__xludf.DUMMYFUNCTION("""COMPUTED_VALUE"""),0.0)</f>
        <v>0</v>
      </c>
      <c r="O4" s="53">
        <f>IFERROR(__xludf.DUMMYFUNCTION("""COMPUTED_VALUE"""),27.0)</f>
        <v>27</v>
      </c>
      <c r="P4" s="53">
        <f>IFERROR(__xludf.DUMMYFUNCTION("""COMPUTED_VALUE"""),32.0)</f>
        <v>32</v>
      </c>
      <c r="Q4" s="54">
        <f>IFERROR(__xludf.DUMMYFUNCTION("""COMPUTED_VALUE"""),0.9142857142857143)</f>
        <v>0.9142857143</v>
      </c>
      <c r="R4" s="55">
        <f>IFERROR(__xludf.DUMMYFUNCTION("""COMPUTED_VALUE"""),95.0)</f>
        <v>95</v>
      </c>
      <c r="S4" s="55">
        <f>IFERROR(__xludf.DUMMYFUNCTION("""COMPUTED_VALUE"""),90.0)</f>
        <v>90</v>
      </c>
      <c r="T4" s="53"/>
      <c r="U4" s="53"/>
      <c r="V4" s="53"/>
    </row>
    <row r="5">
      <c r="A5" s="53" t="str">
        <f>IFERROR(__xludf.DUMMYFUNCTION("""COMPUTED_VALUE"""),"Nikola Jokić")</f>
        <v>Nikola Jokić</v>
      </c>
      <c r="B5" s="53" t="str">
        <f>IFERROR(__xludf.DUMMYFUNCTION("""COMPUTED_VALUE"""),"")</f>
        <v/>
      </c>
      <c r="C5" s="53" t="str">
        <f>IFERROR(__xludf.DUMMYFUNCTION("""COMPUTED_VALUE"""),"")</f>
        <v/>
      </c>
      <c r="D5" s="53" t="str">
        <f>IFERROR(__xludf.DUMMYFUNCTION("""COMPUTED_VALUE"""),"")</f>
        <v/>
      </c>
      <c r="E5" s="53">
        <f>IFERROR(__xludf.DUMMYFUNCTION("""COMPUTED_VALUE"""),35.0)</f>
        <v>35</v>
      </c>
      <c r="F5" s="53">
        <f>IFERROR(__xludf.DUMMYFUNCTION("""COMPUTED_VALUE"""),6.0)</f>
        <v>6</v>
      </c>
      <c r="G5" s="53">
        <f>IFERROR(__xludf.DUMMYFUNCTION("""COMPUTED_VALUE"""),9.0)</f>
        <v>9</v>
      </c>
      <c r="H5" s="53">
        <f>IFERROR(__xludf.DUMMYFUNCTION("""COMPUTED_VALUE"""),3.0)</f>
        <v>3</v>
      </c>
      <c r="I5" s="53">
        <f>IFERROR(__xludf.DUMMYFUNCTION("""COMPUTED_VALUE"""),3.0)</f>
        <v>3</v>
      </c>
      <c r="J5" s="53">
        <f>IFERROR(__xludf.DUMMYFUNCTION("""COMPUTED_VALUE"""),13.0)</f>
        <v>13</v>
      </c>
      <c r="K5" s="53">
        <f>IFERROR(__xludf.DUMMYFUNCTION("""COMPUTED_VALUE"""),14.0)</f>
        <v>14</v>
      </c>
      <c r="L5" s="53">
        <f>IFERROR(__xludf.DUMMYFUNCTION("""COMPUTED_VALUE"""),1.0)</f>
        <v>1</v>
      </c>
      <c r="M5" s="53">
        <f>IFERROR(__xludf.DUMMYFUNCTION("""COMPUTED_VALUE"""),0.0)</f>
        <v>0</v>
      </c>
      <c r="N5" s="53">
        <f>IFERROR(__xludf.DUMMYFUNCTION("""COMPUTED_VALUE"""),10.0)</f>
        <v>10</v>
      </c>
      <c r="O5" s="53">
        <f>IFERROR(__xludf.DUMMYFUNCTION("""COMPUTED_VALUE"""),15.0)</f>
        <v>15</v>
      </c>
      <c r="P5" s="53">
        <f>IFERROR(__xludf.DUMMYFUNCTION("""COMPUTED_VALUE"""),30.0)</f>
        <v>30</v>
      </c>
      <c r="Q5" s="54">
        <f>IFERROR(__xludf.DUMMYFUNCTION("""COMPUTED_VALUE"""),0.8571428571428571)</f>
        <v>0.8571428571</v>
      </c>
      <c r="R5" s="55">
        <f>IFERROR(__xludf.DUMMYFUNCTION("""COMPUTED_VALUE"""),92.5)</f>
        <v>92.5</v>
      </c>
      <c r="S5" s="55">
        <f>IFERROR(__xludf.DUMMYFUNCTION("""COMPUTED_VALUE"""),85.0)</f>
        <v>85</v>
      </c>
      <c r="T5" s="53"/>
      <c r="U5" s="53"/>
      <c r="V5" s="53"/>
    </row>
    <row r="6">
      <c r="A6" s="53" t="str">
        <f>IFERROR(__xludf.DUMMYFUNCTION("""COMPUTED_VALUE"""),"Chuma Okeke")</f>
        <v>Chuma Okeke</v>
      </c>
      <c r="B6" s="53" t="str">
        <f>IFERROR(__xludf.DUMMYFUNCTION("""COMPUTED_VALUE"""),"")</f>
        <v/>
      </c>
      <c r="C6" s="53" t="str">
        <f>IFERROR(__xludf.DUMMYFUNCTION("""COMPUTED_VALUE"""),"")</f>
        <v/>
      </c>
      <c r="D6" s="53" t="str">
        <f>IFERROR(__xludf.DUMMYFUNCTION("""COMPUTED_VALUE"""),"")</f>
        <v/>
      </c>
      <c r="E6" s="53">
        <f>IFERROR(__xludf.DUMMYFUNCTION("""COMPUTED_VALUE"""),27.0)</f>
        <v>27</v>
      </c>
      <c r="F6" s="53">
        <f>IFERROR(__xludf.DUMMYFUNCTION("""COMPUTED_VALUE"""),4.0)</f>
        <v>4</v>
      </c>
      <c r="G6" s="53">
        <f>IFERROR(__xludf.DUMMYFUNCTION("""COMPUTED_VALUE"""),6.0)</f>
        <v>6</v>
      </c>
      <c r="H6" s="53">
        <f>IFERROR(__xludf.DUMMYFUNCTION("""COMPUTED_VALUE"""),5.0)</f>
        <v>5</v>
      </c>
      <c r="I6" s="53">
        <f>IFERROR(__xludf.DUMMYFUNCTION("""COMPUTED_VALUE"""),6.0)</f>
        <v>6</v>
      </c>
      <c r="J6" s="53">
        <f>IFERROR(__xludf.DUMMYFUNCTION("""COMPUTED_VALUE"""),9.0)</f>
        <v>9</v>
      </c>
      <c r="K6" s="53">
        <f>IFERROR(__xludf.DUMMYFUNCTION("""COMPUTED_VALUE"""),3.0)</f>
        <v>3</v>
      </c>
      <c r="L6" s="53">
        <f>IFERROR(__xludf.DUMMYFUNCTION("""COMPUTED_VALUE"""),0.0)</f>
        <v>0</v>
      </c>
      <c r="M6" s="53">
        <f>IFERROR(__xludf.DUMMYFUNCTION("""COMPUTED_VALUE"""),1.0)</f>
        <v>1</v>
      </c>
      <c r="N6" s="53">
        <f>IFERROR(__xludf.DUMMYFUNCTION("""COMPUTED_VALUE"""),0.0)</f>
        <v>0</v>
      </c>
      <c r="O6" s="53">
        <f>IFERROR(__xludf.DUMMYFUNCTION("""COMPUTED_VALUE"""),16.0)</f>
        <v>16</v>
      </c>
      <c r="P6" s="53">
        <f>IFERROR(__xludf.DUMMYFUNCTION("""COMPUTED_VALUE"""),26.0)</f>
        <v>26</v>
      </c>
      <c r="Q6" s="54">
        <f>IFERROR(__xludf.DUMMYFUNCTION("""COMPUTED_VALUE"""),0.9629629629629629)</f>
        <v>0.962962963</v>
      </c>
      <c r="R6" s="55">
        <f>IFERROR(__xludf.DUMMYFUNCTION("""COMPUTED_VALUE"""),87.5)</f>
        <v>87.5</v>
      </c>
      <c r="S6" s="55">
        <f>IFERROR(__xludf.DUMMYFUNCTION("""COMPUTED_VALUE"""),92.5)</f>
        <v>92.5</v>
      </c>
      <c r="T6" s="53"/>
      <c r="U6" s="53"/>
      <c r="V6" s="53"/>
    </row>
    <row r="7">
      <c r="A7" s="53" t="str">
        <f>IFERROR(__xludf.DUMMYFUNCTION("""COMPUTED_VALUE"""),"Bruce Brown")</f>
        <v>Bruce Brown</v>
      </c>
      <c r="B7" s="53" t="str">
        <f>IFERROR(__xludf.DUMMYFUNCTION("""COMPUTED_VALUE"""),"")</f>
        <v/>
      </c>
      <c r="C7" s="53" t="str">
        <f>IFERROR(__xludf.DUMMYFUNCTION("""COMPUTED_VALUE"""),"")</f>
        <v/>
      </c>
      <c r="D7" s="53" t="str">
        <f>IFERROR(__xludf.DUMMYFUNCTION("""COMPUTED_VALUE"""),"")</f>
        <v/>
      </c>
      <c r="E7" s="53">
        <f>IFERROR(__xludf.DUMMYFUNCTION("""COMPUTED_VALUE"""),31.0)</f>
        <v>31</v>
      </c>
      <c r="F7" s="53">
        <f>IFERROR(__xludf.DUMMYFUNCTION("""COMPUTED_VALUE"""),6.0)</f>
        <v>6</v>
      </c>
      <c r="G7" s="53">
        <f>IFERROR(__xludf.DUMMYFUNCTION("""COMPUTED_VALUE"""),11.0)</f>
        <v>11</v>
      </c>
      <c r="H7" s="53">
        <f>IFERROR(__xludf.DUMMYFUNCTION("""COMPUTED_VALUE"""),0.0)</f>
        <v>0</v>
      </c>
      <c r="I7" s="53">
        <f>IFERROR(__xludf.DUMMYFUNCTION("""COMPUTED_VALUE"""),0.0)</f>
        <v>0</v>
      </c>
      <c r="J7" s="53">
        <f>IFERROR(__xludf.DUMMYFUNCTION("""COMPUTED_VALUE"""),5.0)</f>
        <v>5</v>
      </c>
      <c r="K7" s="53">
        <f>IFERROR(__xludf.DUMMYFUNCTION("""COMPUTED_VALUE"""),9.0)</f>
        <v>9</v>
      </c>
      <c r="L7" s="53">
        <f>IFERROR(__xludf.DUMMYFUNCTION("""COMPUTED_VALUE"""),1.0)</f>
        <v>1</v>
      </c>
      <c r="M7" s="53">
        <f>IFERROR(__xludf.DUMMYFUNCTION("""COMPUTED_VALUE"""),1.0)</f>
        <v>1</v>
      </c>
      <c r="N7" s="53">
        <f>IFERROR(__xludf.DUMMYFUNCTION("""COMPUTED_VALUE"""),0.0)</f>
        <v>0</v>
      </c>
      <c r="O7" s="53">
        <f>IFERROR(__xludf.DUMMYFUNCTION("""COMPUTED_VALUE"""),15.0)</f>
        <v>15</v>
      </c>
      <c r="P7" s="53">
        <f>IFERROR(__xludf.DUMMYFUNCTION("""COMPUTED_VALUE"""),26.0)</f>
        <v>26</v>
      </c>
      <c r="Q7" s="54">
        <f>IFERROR(__xludf.DUMMYFUNCTION("""COMPUTED_VALUE"""),0.8387096774193549)</f>
        <v>0.8387096774</v>
      </c>
      <c r="R7" s="55">
        <f>IFERROR(__xludf.DUMMYFUNCTION("""COMPUTED_VALUE"""),87.5)</f>
        <v>87.5</v>
      </c>
      <c r="S7" s="55">
        <f>IFERROR(__xludf.DUMMYFUNCTION("""COMPUTED_VALUE"""),82.5)</f>
        <v>82.5</v>
      </c>
      <c r="T7" s="53"/>
      <c r="U7" s="53"/>
      <c r="V7" s="53"/>
    </row>
    <row r="8">
      <c r="A8" s="53" t="str">
        <f>IFERROR(__xludf.DUMMYFUNCTION("""COMPUTED_VALUE"""),"Kevon Looney")</f>
        <v>Kevon Looney</v>
      </c>
      <c r="B8" s="53" t="str">
        <f>IFERROR(__xludf.DUMMYFUNCTION("""COMPUTED_VALUE"""),"")</f>
        <v/>
      </c>
      <c r="C8" s="53" t="str">
        <f>IFERROR(__xludf.DUMMYFUNCTION("""COMPUTED_VALUE"""),"")</f>
        <v/>
      </c>
      <c r="D8" s="53" t="str">
        <f>IFERROR(__xludf.DUMMYFUNCTION("""COMPUTED_VALUE"""),"")</f>
        <v/>
      </c>
      <c r="E8" s="53">
        <f>IFERROR(__xludf.DUMMYFUNCTION("""COMPUTED_VALUE"""),29.0)</f>
        <v>29</v>
      </c>
      <c r="F8" s="53">
        <f>IFERROR(__xludf.DUMMYFUNCTION("""COMPUTED_VALUE"""),8.0)</f>
        <v>8</v>
      </c>
      <c r="G8" s="53">
        <f>IFERROR(__xludf.DUMMYFUNCTION("""COMPUTED_VALUE"""),11.0)</f>
        <v>11</v>
      </c>
      <c r="H8" s="53">
        <f>IFERROR(__xludf.DUMMYFUNCTION("""COMPUTED_VALUE"""),1.0)</f>
        <v>1</v>
      </c>
      <c r="I8" s="53">
        <f>IFERROR(__xludf.DUMMYFUNCTION("""COMPUTED_VALUE"""),1.0)</f>
        <v>1</v>
      </c>
      <c r="J8" s="53">
        <f>IFERROR(__xludf.DUMMYFUNCTION("""COMPUTED_VALUE"""),7.0)</f>
        <v>7</v>
      </c>
      <c r="K8" s="53">
        <f>IFERROR(__xludf.DUMMYFUNCTION("""COMPUTED_VALUE"""),3.0)</f>
        <v>3</v>
      </c>
      <c r="L8" s="53">
        <f>IFERROR(__xludf.DUMMYFUNCTION("""COMPUTED_VALUE"""),1.0)</f>
        <v>1</v>
      </c>
      <c r="M8" s="53">
        <f>IFERROR(__xludf.DUMMYFUNCTION("""COMPUTED_VALUE"""),0.0)</f>
        <v>0</v>
      </c>
      <c r="N8" s="53">
        <f>IFERROR(__xludf.DUMMYFUNCTION("""COMPUTED_VALUE"""),0.0)</f>
        <v>0</v>
      </c>
      <c r="O8" s="53">
        <f>IFERROR(__xludf.DUMMYFUNCTION("""COMPUTED_VALUE"""),17.0)</f>
        <v>17</v>
      </c>
      <c r="P8" s="53">
        <f>IFERROR(__xludf.DUMMYFUNCTION("""COMPUTED_VALUE"""),25.0)</f>
        <v>25</v>
      </c>
      <c r="Q8" s="54">
        <f>IFERROR(__xludf.DUMMYFUNCTION("""COMPUTED_VALUE"""),0.8620689655172413)</f>
        <v>0.8620689655</v>
      </c>
      <c r="R8" s="55">
        <f>IFERROR(__xludf.DUMMYFUNCTION("""COMPUTED_VALUE"""),85.0)</f>
        <v>85</v>
      </c>
      <c r="S8" s="55">
        <f>IFERROR(__xludf.DUMMYFUNCTION("""COMPUTED_VALUE"""),87.5)</f>
        <v>87.5</v>
      </c>
      <c r="T8" s="53"/>
      <c r="U8" s="53"/>
      <c r="V8" s="53"/>
    </row>
    <row r="9">
      <c r="A9" s="53" t="str">
        <f>IFERROR(__xludf.DUMMYFUNCTION("""COMPUTED_VALUE"""),"Jalen Suggs")</f>
        <v>Jalen Suggs</v>
      </c>
      <c r="B9" s="53" t="str">
        <f>IFERROR(__xludf.DUMMYFUNCTION("""COMPUTED_VALUE"""),"")</f>
        <v/>
      </c>
      <c r="C9" s="53" t="str">
        <f>IFERROR(__xludf.DUMMYFUNCTION("""COMPUTED_VALUE"""),"")</f>
        <v/>
      </c>
      <c r="D9" s="53" t="str">
        <f>IFERROR(__xludf.DUMMYFUNCTION("""COMPUTED_VALUE"""),"")</f>
        <v/>
      </c>
      <c r="E9" s="53">
        <f>IFERROR(__xludf.DUMMYFUNCTION("""COMPUTED_VALUE"""),36.0)</f>
        <v>36</v>
      </c>
      <c r="F9" s="53">
        <f>IFERROR(__xludf.DUMMYFUNCTION("""COMPUTED_VALUE"""),9.0)</f>
        <v>9</v>
      </c>
      <c r="G9" s="53">
        <f>IFERROR(__xludf.DUMMYFUNCTION("""COMPUTED_VALUE"""),17.0)</f>
        <v>17</v>
      </c>
      <c r="H9" s="53">
        <f>IFERROR(__xludf.DUMMYFUNCTION("""COMPUTED_VALUE"""),6.0)</f>
        <v>6</v>
      </c>
      <c r="I9" s="53">
        <f>IFERROR(__xludf.DUMMYFUNCTION("""COMPUTED_VALUE"""),11.0)</f>
        <v>11</v>
      </c>
      <c r="J9" s="53">
        <f>IFERROR(__xludf.DUMMYFUNCTION("""COMPUTED_VALUE"""),1.0)</f>
        <v>1</v>
      </c>
      <c r="K9" s="53">
        <f>IFERROR(__xludf.DUMMYFUNCTION("""COMPUTED_VALUE"""),9.0)</f>
        <v>9</v>
      </c>
      <c r="L9" s="53">
        <f>IFERROR(__xludf.DUMMYFUNCTION("""COMPUTED_VALUE"""),4.0)</f>
        <v>4</v>
      </c>
      <c r="M9" s="53">
        <f>IFERROR(__xludf.DUMMYFUNCTION("""COMPUTED_VALUE"""),0.0)</f>
        <v>0</v>
      </c>
      <c r="N9" s="53">
        <f>IFERROR(__xludf.DUMMYFUNCTION("""COMPUTED_VALUE"""),3.0)</f>
        <v>3</v>
      </c>
      <c r="O9" s="53">
        <f>IFERROR(__xludf.DUMMYFUNCTION("""COMPUTED_VALUE"""),26.0)</f>
        <v>26</v>
      </c>
      <c r="P9" s="53">
        <f>IFERROR(__xludf.DUMMYFUNCTION("""COMPUTED_VALUE"""),24.0)</f>
        <v>24</v>
      </c>
      <c r="Q9" s="54">
        <f>IFERROR(__xludf.DUMMYFUNCTION("""COMPUTED_VALUE"""),0.6666666666666666)</f>
        <v>0.6666666667</v>
      </c>
      <c r="R9" s="55">
        <f>IFERROR(__xludf.DUMMYFUNCTION("""COMPUTED_VALUE"""),82.5)</f>
        <v>82.5</v>
      </c>
      <c r="S9" s="55">
        <f>IFERROR(__xludf.DUMMYFUNCTION("""COMPUTED_VALUE"""),70.0)</f>
        <v>70</v>
      </c>
      <c r="T9" s="53"/>
      <c r="U9" s="53"/>
      <c r="V9" s="53"/>
    </row>
    <row r="10">
      <c r="A10" s="53" t="str">
        <f>IFERROR(__xludf.DUMMYFUNCTION("""COMPUTED_VALUE"""),"Klay Thompson")</f>
        <v>Klay Thompson</v>
      </c>
      <c r="B10" s="53" t="str">
        <f>IFERROR(__xludf.DUMMYFUNCTION("""COMPUTED_VALUE"""),"")</f>
        <v/>
      </c>
      <c r="C10" s="53" t="str">
        <f>IFERROR(__xludf.DUMMYFUNCTION("""COMPUTED_VALUE"""),"")</f>
        <v/>
      </c>
      <c r="D10" s="53" t="str">
        <f>IFERROR(__xludf.DUMMYFUNCTION("""COMPUTED_VALUE"""),"")</f>
        <v/>
      </c>
      <c r="E10" s="53">
        <f>IFERROR(__xludf.DUMMYFUNCTION("""COMPUTED_VALUE"""),34.0)</f>
        <v>34</v>
      </c>
      <c r="F10" s="53">
        <f>IFERROR(__xludf.DUMMYFUNCTION("""COMPUTED_VALUE"""),10.0)</f>
        <v>10</v>
      </c>
      <c r="G10" s="53">
        <f>IFERROR(__xludf.DUMMYFUNCTION("""COMPUTED_VALUE"""),24.0)</f>
        <v>24</v>
      </c>
      <c r="H10" s="53">
        <f>IFERROR(__xludf.DUMMYFUNCTION("""COMPUTED_VALUE"""),0.0)</f>
        <v>0</v>
      </c>
      <c r="I10" s="53">
        <f>IFERROR(__xludf.DUMMYFUNCTION("""COMPUTED_VALUE"""),0.0)</f>
        <v>0</v>
      </c>
      <c r="J10" s="53">
        <f>IFERROR(__xludf.DUMMYFUNCTION("""COMPUTED_VALUE"""),4.0)</f>
        <v>4</v>
      </c>
      <c r="K10" s="53">
        <f>IFERROR(__xludf.DUMMYFUNCTION("""COMPUTED_VALUE"""),3.0)</f>
        <v>3</v>
      </c>
      <c r="L10" s="53">
        <f>IFERROR(__xludf.DUMMYFUNCTION("""COMPUTED_VALUE"""),1.0)</f>
        <v>1</v>
      </c>
      <c r="M10" s="53">
        <f>IFERROR(__xludf.DUMMYFUNCTION("""COMPUTED_VALUE"""),0.0)</f>
        <v>0</v>
      </c>
      <c r="N10" s="53">
        <f>IFERROR(__xludf.DUMMYFUNCTION("""COMPUTED_VALUE"""),0.0)</f>
        <v>0</v>
      </c>
      <c r="O10" s="53">
        <f>IFERROR(__xludf.DUMMYFUNCTION("""COMPUTED_VALUE"""),27.0)</f>
        <v>27</v>
      </c>
      <c r="P10" s="53">
        <f>IFERROR(__xludf.DUMMYFUNCTION("""COMPUTED_VALUE"""),21.0)</f>
        <v>21</v>
      </c>
      <c r="Q10" s="54">
        <f>IFERROR(__xludf.DUMMYFUNCTION("""COMPUTED_VALUE"""),0.6176470588235294)</f>
        <v>0.6176470588</v>
      </c>
      <c r="R10" s="55">
        <f>IFERROR(__xludf.DUMMYFUNCTION("""COMPUTED_VALUE"""),80.0)</f>
        <v>80</v>
      </c>
      <c r="S10" s="55">
        <f>IFERROR(__xludf.DUMMYFUNCTION("""COMPUTED_VALUE"""),62.5)</f>
        <v>62.5</v>
      </c>
      <c r="T10" s="53"/>
      <c r="U10" s="53"/>
      <c r="V10" s="53"/>
    </row>
    <row r="11">
      <c r="A11" s="53" t="str">
        <f>IFERROR(__xludf.DUMMYFUNCTION("""COMPUTED_VALUE"""),"Draymond Green")</f>
        <v>Draymond Green</v>
      </c>
      <c r="B11" s="53" t="str">
        <f>IFERROR(__xludf.DUMMYFUNCTION("""COMPUTED_VALUE"""),"")</f>
        <v/>
      </c>
      <c r="C11" s="53" t="str">
        <f>IFERROR(__xludf.DUMMYFUNCTION("""COMPUTED_VALUE"""),"")</f>
        <v/>
      </c>
      <c r="D11" s="53" t="str">
        <f>IFERROR(__xludf.DUMMYFUNCTION("""COMPUTED_VALUE"""),"")</f>
        <v/>
      </c>
      <c r="E11" s="53">
        <f>IFERROR(__xludf.DUMMYFUNCTION("""COMPUTED_VALUE"""),29.0)</f>
        <v>29</v>
      </c>
      <c r="F11" s="53">
        <f>IFERROR(__xludf.DUMMYFUNCTION("""COMPUTED_VALUE"""),4.0)</f>
        <v>4</v>
      </c>
      <c r="G11" s="53">
        <f>IFERROR(__xludf.DUMMYFUNCTION("""COMPUTED_VALUE"""),5.0)</f>
        <v>5</v>
      </c>
      <c r="H11" s="53">
        <f>IFERROR(__xludf.DUMMYFUNCTION("""COMPUTED_VALUE"""),0.0)</f>
        <v>0</v>
      </c>
      <c r="I11" s="53">
        <f>IFERROR(__xludf.DUMMYFUNCTION("""COMPUTED_VALUE"""),1.0)</f>
        <v>1</v>
      </c>
      <c r="J11" s="53">
        <f>IFERROR(__xludf.DUMMYFUNCTION("""COMPUTED_VALUE"""),5.0)</f>
        <v>5</v>
      </c>
      <c r="K11" s="53">
        <f>IFERROR(__xludf.DUMMYFUNCTION("""COMPUTED_VALUE"""),7.0)</f>
        <v>7</v>
      </c>
      <c r="L11" s="53">
        <f>IFERROR(__xludf.DUMMYFUNCTION("""COMPUTED_VALUE"""),1.0)</f>
        <v>1</v>
      </c>
      <c r="M11" s="53">
        <f>IFERROR(__xludf.DUMMYFUNCTION("""COMPUTED_VALUE"""),0.0)</f>
        <v>0</v>
      </c>
      <c r="N11" s="53">
        <f>IFERROR(__xludf.DUMMYFUNCTION("""COMPUTED_VALUE"""),0.0)</f>
        <v>0</v>
      </c>
      <c r="O11" s="53">
        <f>IFERROR(__xludf.DUMMYFUNCTION("""COMPUTED_VALUE"""),8.0)</f>
        <v>8</v>
      </c>
      <c r="P11" s="53">
        <f>IFERROR(__xludf.DUMMYFUNCTION("""COMPUTED_VALUE"""),19.0)</f>
        <v>19</v>
      </c>
      <c r="Q11" s="54">
        <f>IFERROR(__xludf.DUMMYFUNCTION("""COMPUTED_VALUE"""),0.6551724137931034)</f>
        <v>0.6551724138</v>
      </c>
      <c r="R11" s="55">
        <f>IFERROR(__xludf.DUMMYFUNCTION("""COMPUTED_VALUE"""),77.5)</f>
        <v>77.5</v>
      </c>
      <c r="S11" s="55">
        <f>IFERROR(__xludf.DUMMYFUNCTION("""COMPUTED_VALUE"""),67.5)</f>
        <v>67.5</v>
      </c>
      <c r="T11" s="53"/>
      <c r="U11" s="53"/>
      <c r="V11" s="53"/>
    </row>
    <row r="12">
      <c r="A12" s="53" t="str">
        <f>IFERROR(__xludf.DUMMYFUNCTION("""COMPUTED_VALUE"""),"Jamal Murray")</f>
        <v>Jamal Murray</v>
      </c>
      <c r="B12" s="53" t="str">
        <f>IFERROR(__xludf.DUMMYFUNCTION("""COMPUTED_VALUE"""),"")</f>
        <v/>
      </c>
      <c r="C12" s="53" t="str">
        <f>IFERROR(__xludf.DUMMYFUNCTION("""COMPUTED_VALUE"""),"")</f>
        <v/>
      </c>
      <c r="D12" s="53" t="str">
        <f>IFERROR(__xludf.DUMMYFUNCTION("""COMPUTED_VALUE"""),"")</f>
        <v/>
      </c>
      <c r="E12" s="53">
        <f>IFERROR(__xludf.DUMMYFUNCTION("""COMPUTED_VALUE"""),32.0)</f>
        <v>32</v>
      </c>
      <c r="F12" s="53">
        <f>IFERROR(__xludf.DUMMYFUNCTION("""COMPUTED_VALUE"""),8.0)</f>
        <v>8</v>
      </c>
      <c r="G12" s="53">
        <f>IFERROR(__xludf.DUMMYFUNCTION("""COMPUTED_VALUE"""),19.0)</f>
        <v>19</v>
      </c>
      <c r="H12" s="53">
        <f>IFERROR(__xludf.DUMMYFUNCTION("""COMPUTED_VALUE"""),4.0)</f>
        <v>4</v>
      </c>
      <c r="I12" s="53">
        <f>IFERROR(__xludf.DUMMYFUNCTION("""COMPUTED_VALUE"""),4.0)</f>
        <v>4</v>
      </c>
      <c r="J12" s="53">
        <f>IFERROR(__xludf.DUMMYFUNCTION("""COMPUTED_VALUE"""),5.0)</f>
        <v>5</v>
      </c>
      <c r="K12" s="53">
        <f>IFERROR(__xludf.DUMMYFUNCTION("""COMPUTED_VALUE"""),2.0)</f>
        <v>2</v>
      </c>
      <c r="L12" s="53">
        <f>IFERROR(__xludf.DUMMYFUNCTION("""COMPUTED_VALUE"""),0.0)</f>
        <v>0</v>
      </c>
      <c r="M12" s="53">
        <f>IFERROR(__xludf.DUMMYFUNCTION("""COMPUTED_VALUE"""),0.0)</f>
        <v>0</v>
      </c>
      <c r="N12" s="53">
        <f>IFERROR(__xludf.DUMMYFUNCTION("""COMPUTED_VALUE"""),2.0)</f>
        <v>2</v>
      </c>
      <c r="O12" s="53">
        <f>IFERROR(__xludf.DUMMYFUNCTION("""COMPUTED_VALUE"""),24.0)</f>
        <v>24</v>
      </c>
      <c r="P12" s="53">
        <f>IFERROR(__xludf.DUMMYFUNCTION("""COMPUTED_VALUE"""),18.0)</f>
        <v>18</v>
      </c>
      <c r="Q12" s="54">
        <f>IFERROR(__xludf.DUMMYFUNCTION("""COMPUTED_VALUE"""),0.5625)</f>
        <v>0.5625</v>
      </c>
      <c r="R12" s="55">
        <f>IFERROR(__xludf.DUMMYFUNCTION("""COMPUTED_VALUE"""),70.0)</f>
        <v>70</v>
      </c>
      <c r="S12" s="55">
        <f>IFERROR(__xludf.DUMMYFUNCTION("""COMPUTED_VALUE"""),55.00000000000001)</f>
        <v>55</v>
      </c>
      <c r="T12" s="53"/>
      <c r="U12" s="53"/>
      <c r="V12" s="53"/>
    </row>
    <row r="13">
      <c r="A13" s="53" t="str">
        <f>IFERROR(__xludf.DUMMYFUNCTION("""COMPUTED_VALUE"""),"Paolo Banchero")</f>
        <v>Paolo Banchero</v>
      </c>
      <c r="B13" s="53" t="str">
        <f>IFERROR(__xludf.DUMMYFUNCTION("""COMPUTED_VALUE"""),"")</f>
        <v/>
      </c>
      <c r="C13" s="53" t="str">
        <f>IFERROR(__xludf.DUMMYFUNCTION("""COMPUTED_VALUE"""),"")</f>
        <v/>
      </c>
      <c r="D13" s="53" t="str">
        <f>IFERROR(__xludf.DUMMYFUNCTION("""COMPUTED_VALUE"""),"")</f>
        <v/>
      </c>
      <c r="E13" s="53">
        <f>IFERROR(__xludf.DUMMYFUNCTION("""COMPUTED_VALUE"""),36.0)</f>
        <v>36</v>
      </c>
      <c r="F13" s="53">
        <f>IFERROR(__xludf.DUMMYFUNCTION("""COMPUTED_VALUE"""),8.0)</f>
        <v>8</v>
      </c>
      <c r="G13" s="53">
        <f>IFERROR(__xludf.DUMMYFUNCTION("""COMPUTED_VALUE"""),17.0)</f>
        <v>17</v>
      </c>
      <c r="H13" s="53">
        <f>IFERROR(__xludf.DUMMYFUNCTION("""COMPUTED_VALUE"""),6.0)</f>
        <v>6</v>
      </c>
      <c r="I13" s="53">
        <f>IFERROR(__xludf.DUMMYFUNCTION("""COMPUTED_VALUE"""),9.0)</f>
        <v>9</v>
      </c>
      <c r="J13" s="53">
        <f>IFERROR(__xludf.DUMMYFUNCTION("""COMPUTED_VALUE"""),8.0)</f>
        <v>8</v>
      </c>
      <c r="K13" s="53">
        <f>IFERROR(__xludf.DUMMYFUNCTION("""COMPUTED_VALUE"""),3.0)</f>
        <v>3</v>
      </c>
      <c r="L13" s="53">
        <f>IFERROR(__xludf.DUMMYFUNCTION("""COMPUTED_VALUE"""),1.0)</f>
        <v>1</v>
      </c>
      <c r="M13" s="53">
        <f>IFERROR(__xludf.DUMMYFUNCTION("""COMPUTED_VALUE"""),1.0)</f>
        <v>1</v>
      </c>
      <c r="N13" s="53">
        <f>IFERROR(__xludf.DUMMYFUNCTION("""COMPUTED_VALUE"""),5.0)</f>
        <v>5</v>
      </c>
      <c r="O13" s="53">
        <f>IFERROR(__xludf.DUMMYFUNCTION("""COMPUTED_VALUE"""),22.0)</f>
        <v>22</v>
      </c>
      <c r="P13" s="53">
        <f>IFERROR(__xludf.DUMMYFUNCTION("""COMPUTED_VALUE"""),18.0)</f>
        <v>18</v>
      </c>
      <c r="Q13" s="54">
        <f>IFERROR(__xludf.DUMMYFUNCTION("""COMPUTED_VALUE"""),0.5)</f>
        <v>0.5</v>
      </c>
      <c r="R13" s="55">
        <f>IFERROR(__xludf.DUMMYFUNCTION("""COMPUTED_VALUE"""),70.0)</f>
        <v>70</v>
      </c>
      <c r="S13" s="55">
        <f>IFERROR(__xludf.DUMMYFUNCTION("""COMPUTED_VALUE"""),42.5)</f>
        <v>42.5</v>
      </c>
      <c r="T13" s="53"/>
      <c r="U13" s="53"/>
      <c r="V13" s="53"/>
    </row>
    <row r="14">
      <c r="A14" s="53" t="str">
        <f>IFERROR(__xludf.DUMMYFUNCTION("""COMPUTED_VALUE"""),"Wendell Carter Jr.")</f>
        <v>Wendell Carter Jr.</v>
      </c>
      <c r="B14" s="53" t="str">
        <f>IFERROR(__xludf.DUMMYFUNCTION("""COMPUTED_VALUE"""),"")</f>
        <v/>
      </c>
      <c r="C14" s="53" t="str">
        <f>IFERROR(__xludf.DUMMYFUNCTION("""COMPUTED_VALUE"""),"")</f>
        <v/>
      </c>
      <c r="D14" s="53" t="str">
        <f>IFERROR(__xludf.DUMMYFUNCTION("""COMPUTED_VALUE"""),"")</f>
        <v/>
      </c>
      <c r="E14" s="53">
        <f>IFERROR(__xludf.DUMMYFUNCTION("""COMPUTED_VALUE"""),33.0)</f>
        <v>33</v>
      </c>
      <c r="F14" s="53">
        <f>IFERROR(__xludf.DUMMYFUNCTION("""COMPUTED_VALUE"""),4.0)</f>
        <v>4</v>
      </c>
      <c r="G14" s="53">
        <f>IFERROR(__xludf.DUMMYFUNCTION("""COMPUTED_VALUE"""),9.0)</f>
        <v>9</v>
      </c>
      <c r="H14" s="53">
        <f>IFERROR(__xludf.DUMMYFUNCTION("""COMPUTED_VALUE"""),4.0)</f>
        <v>4</v>
      </c>
      <c r="I14" s="53">
        <f>IFERROR(__xludf.DUMMYFUNCTION("""COMPUTED_VALUE"""),6.0)</f>
        <v>6</v>
      </c>
      <c r="J14" s="53">
        <f>IFERROR(__xludf.DUMMYFUNCTION("""COMPUTED_VALUE"""),9.0)</f>
        <v>9</v>
      </c>
      <c r="K14" s="53">
        <f>IFERROR(__xludf.DUMMYFUNCTION("""COMPUTED_VALUE"""),2.0)</f>
        <v>2</v>
      </c>
      <c r="L14" s="53">
        <f>IFERROR(__xludf.DUMMYFUNCTION("""COMPUTED_VALUE"""),1.0)</f>
        <v>1</v>
      </c>
      <c r="M14" s="53">
        <f>IFERROR(__xludf.DUMMYFUNCTION("""COMPUTED_VALUE"""),1.0)</f>
        <v>1</v>
      </c>
      <c r="N14" s="53">
        <f>IFERROR(__xludf.DUMMYFUNCTION("""COMPUTED_VALUE"""),2.0)</f>
        <v>2</v>
      </c>
      <c r="O14" s="53">
        <f>IFERROR(__xludf.DUMMYFUNCTION("""COMPUTED_VALUE"""),14.0)</f>
        <v>14</v>
      </c>
      <c r="P14" s="53">
        <f>IFERROR(__xludf.DUMMYFUNCTION("""COMPUTED_VALUE"""),18.0)</f>
        <v>18</v>
      </c>
      <c r="Q14" s="54">
        <f>IFERROR(__xludf.DUMMYFUNCTION("""COMPUTED_VALUE"""),0.5454545454545454)</f>
        <v>0.5454545455</v>
      </c>
      <c r="R14" s="55">
        <f>IFERROR(__xludf.DUMMYFUNCTION("""COMPUTED_VALUE"""),70.0)</f>
        <v>70</v>
      </c>
      <c r="S14" s="55">
        <f>IFERROR(__xludf.DUMMYFUNCTION("""COMPUTED_VALUE"""),47.5)</f>
        <v>47.5</v>
      </c>
      <c r="T14" s="53"/>
      <c r="U14" s="53"/>
      <c r="V14" s="53"/>
    </row>
    <row r="15">
      <c r="A15" s="53" t="str">
        <f>IFERROR(__xludf.DUMMYFUNCTION("""COMPUTED_VALUE"""),"Luguentz Dort")</f>
        <v>Luguentz Dort</v>
      </c>
      <c r="B15" s="53" t="str">
        <f>IFERROR(__xludf.DUMMYFUNCTION("""COMPUTED_VALUE"""),"")</f>
        <v/>
      </c>
      <c r="C15" s="53" t="str">
        <f>IFERROR(__xludf.DUMMYFUNCTION("""COMPUTED_VALUE"""),"")</f>
        <v/>
      </c>
      <c r="D15" s="53" t="str">
        <f>IFERROR(__xludf.DUMMYFUNCTION("""COMPUTED_VALUE"""),"")</f>
        <v/>
      </c>
      <c r="E15" s="53">
        <f>IFERROR(__xludf.DUMMYFUNCTION("""COMPUTED_VALUE"""),30.0)</f>
        <v>30</v>
      </c>
      <c r="F15" s="53">
        <f>IFERROR(__xludf.DUMMYFUNCTION("""COMPUTED_VALUE"""),8.0)</f>
        <v>8</v>
      </c>
      <c r="G15" s="53">
        <f>IFERROR(__xludf.DUMMYFUNCTION("""COMPUTED_VALUE"""),15.0)</f>
        <v>15</v>
      </c>
      <c r="H15" s="53">
        <f>IFERROR(__xludf.DUMMYFUNCTION("""COMPUTED_VALUE"""),2.0)</f>
        <v>2</v>
      </c>
      <c r="I15" s="53">
        <f>IFERROR(__xludf.DUMMYFUNCTION("""COMPUTED_VALUE"""),3.0)</f>
        <v>3</v>
      </c>
      <c r="J15" s="53">
        <f>IFERROR(__xludf.DUMMYFUNCTION("""COMPUTED_VALUE"""),3.0)</f>
        <v>3</v>
      </c>
      <c r="K15" s="53">
        <f>IFERROR(__xludf.DUMMYFUNCTION("""COMPUTED_VALUE"""),1.0)</f>
        <v>1</v>
      </c>
      <c r="L15" s="53">
        <f>IFERROR(__xludf.DUMMYFUNCTION("""COMPUTED_VALUE"""),1.0)</f>
        <v>1</v>
      </c>
      <c r="M15" s="53">
        <f>IFERROR(__xludf.DUMMYFUNCTION("""COMPUTED_VALUE"""),1.0)</f>
        <v>1</v>
      </c>
      <c r="N15" s="53">
        <f>IFERROR(__xludf.DUMMYFUNCTION("""COMPUTED_VALUE"""),0.0)</f>
        <v>0</v>
      </c>
      <c r="O15" s="53">
        <f>IFERROR(__xludf.DUMMYFUNCTION("""COMPUTED_VALUE"""),19.0)</f>
        <v>19</v>
      </c>
      <c r="P15" s="53">
        <f>IFERROR(__xludf.DUMMYFUNCTION("""COMPUTED_VALUE"""),17.0)</f>
        <v>17</v>
      </c>
      <c r="Q15" s="54">
        <f>IFERROR(__xludf.DUMMYFUNCTION("""COMPUTED_VALUE"""),0.5666666666666667)</f>
        <v>0.5666666667</v>
      </c>
      <c r="R15" s="55">
        <f>IFERROR(__xludf.DUMMYFUNCTION("""COMPUTED_VALUE"""),67.5)</f>
        <v>67.5</v>
      </c>
      <c r="S15" s="55">
        <f>IFERROR(__xludf.DUMMYFUNCTION("""COMPUTED_VALUE"""),57.49999999999999)</f>
        <v>57.5</v>
      </c>
      <c r="T15" s="53"/>
      <c r="U15" s="53"/>
      <c r="V15" s="53"/>
    </row>
    <row r="16">
      <c r="A16" s="53" t="str">
        <f>IFERROR(__xludf.DUMMYFUNCTION("""COMPUTED_VALUE"""),"R.J. Hampton")</f>
        <v>R.J. Hampton</v>
      </c>
      <c r="B16" s="53" t="str">
        <f>IFERROR(__xludf.DUMMYFUNCTION("""COMPUTED_VALUE"""),"")</f>
        <v/>
      </c>
      <c r="C16" s="53" t="str">
        <f>IFERROR(__xludf.DUMMYFUNCTION("""COMPUTED_VALUE"""),"")</f>
        <v/>
      </c>
      <c r="D16" s="53" t="str">
        <f>IFERROR(__xludf.DUMMYFUNCTION("""COMPUTED_VALUE"""),"")</f>
        <v/>
      </c>
      <c r="E16" s="53">
        <f>IFERROR(__xludf.DUMMYFUNCTION("""COMPUTED_VALUE"""),20.0)</f>
        <v>20</v>
      </c>
      <c r="F16" s="53">
        <f>IFERROR(__xludf.DUMMYFUNCTION("""COMPUTED_VALUE"""),4.0)</f>
        <v>4</v>
      </c>
      <c r="G16" s="53">
        <f>IFERROR(__xludf.DUMMYFUNCTION("""COMPUTED_VALUE"""),6.0)</f>
        <v>6</v>
      </c>
      <c r="H16" s="53">
        <f>IFERROR(__xludf.DUMMYFUNCTION("""COMPUTED_VALUE"""),4.0)</f>
        <v>4</v>
      </c>
      <c r="I16" s="53">
        <f>IFERROR(__xludf.DUMMYFUNCTION("""COMPUTED_VALUE"""),4.0)</f>
        <v>4</v>
      </c>
      <c r="J16" s="53">
        <f>IFERROR(__xludf.DUMMYFUNCTION("""COMPUTED_VALUE"""),2.0)</f>
        <v>2</v>
      </c>
      <c r="K16" s="53">
        <f>IFERROR(__xludf.DUMMYFUNCTION("""COMPUTED_VALUE"""),0.0)</f>
        <v>0</v>
      </c>
      <c r="L16" s="53">
        <f>IFERROR(__xludf.DUMMYFUNCTION("""COMPUTED_VALUE"""),1.0)</f>
        <v>1</v>
      </c>
      <c r="M16" s="53">
        <f>IFERROR(__xludf.DUMMYFUNCTION("""COMPUTED_VALUE"""),1.0)</f>
        <v>1</v>
      </c>
      <c r="N16" s="53">
        <f>IFERROR(__xludf.DUMMYFUNCTION("""COMPUTED_VALUE"""),3.0)</f>
        <v>3</v>
      </c>
      <c r="O16" s="53">
        <f>IFERROR(__xludf.DUMMYFUNCTION("""COMPUTED_VALUE"""),15.0)</f>
        <v>15</v>
      </c>
      <c r="P16" s="53">
        <f>IFERROR(__xludf.DUMMYFUNCTION("""COMPUTED_VALUE"""),14.0)</f>
        <v>14</v>
      </c>
      <c r="Q16" s="54">
        <f>IFERROR(__xludf.DUMMYFUNCTION("""COMPUTED_VALUE"""),0.7)</f>
        <v>0.7</v>
      </c>
      <c r="R16" s="55">
        <f>IFERROR(__xludf.DUMMYFUNCTION("""COMPUTED_VALUE"""),62.5)</f>
        <v>62.5</v>
      </c>
      <c r="S16" s="55">
        <f>IFERROR(__xludf.DUMMYFUNCTION("""COMPUTED_VALUE"""),77.5)</f>
        <v>77.5</v>
      </c>
      <c r="T16" s="53"/>
      <c r="U16" s="53"/>
      <c r="V16" s="53"/>
    </row>
    <row r="17">
      <c r="A17" s="53" t="str">
        <f>IFERROR(__xludf.DUMMYFUNCTION("""COMPUTED_VALUE"""),"Franz Wagner")</f>
        <v>Franz Wagner</v>
      </c>
      <c r="B17" s="53" t="str">
        <f>IFERROR(__xludf.DUMMYFUNCTION("""COMPUTED_VALUE"""),"")</f>
        <v/>
      </c>
      <c r="C17" s="53" t="str">
        <f>IFERROR(__xludf.DUMMYFUNCTION("""COMPUTED_VALUE"""),"")</f>
        <v/>
      </c>
      <c r="D17" s="53" t="str">
        <f>IFERROR(__xludf.DUMMYFUNCTION("""COMPUTED_VALUE"""),"")</f>
        <v/>
      </c>
      <c r="E17" s="53">
        <f>IFERROR(__xludf.DUMMYFUNCTION("""COMPUTED_VALUE"""),36.0)</f>
        <v>36</v>
      </c>
      <c r="F17" s="53">
        <f>IFERROR(__xludf.DUMMYFUNCTION("""COMPUTED_VALUE"""),7.0)</f>
        <v>7</v>
      </c>
      <c r="G17" s="53">
        <f>IFERROR(__xludf.DUMMYFUNCTION("""COMPUTED_VALUE"""),12.0)</f>
        <v>12</v>
      </c>
      <c r="H17" s="53">
        <f>IFERROR(__xludf.DUMMYFUNCTION("""COMPUTED_VALUE"""),4.0)</f>
        <v>4</v>
      </c>
      <c r="I17" s="53">
        <f>IFERROR(__xludf.DUMMYFUNCTION("""COMPUTED_VALUE"""),5.0)</f>
        <v>5</v>
      </c>
      <c r="J17" s="53">
        <f>IFERROR(__xludf.DUMMYFUNCTION("""COMPUTED_VALUE"""),3.0)</f>
        <v>3</v>
      </c>
      <c r="K17" s="53">
        <f>IFERROR(__xludf.DUMMYFUNCTION("""COMPUTED_VALUE"""),2.0)</f>
        <v>2</v>
      </c>
      <c r="L17" s="53">
        <f>IFERROR(__xludf.DUMMYFUNCTION("""COMPUTED_VALUE"""),0.0)</f>
        <v>0</v>
      </c>
      <c r="M17" s="53">
        <f>IFERROR(__xludf.DUMMYFUNCTION("""COMPUTED_VALUE"""),0.0)</f>
        <v>0</v>
      </c>
      <c r="N17" s="53">
        <f>IFERROR(__xludf.DUMMYFUNCTION("""COMPUTED_VALUE"""),4.0)</f>
        <v>4</v>
      </c>
      <c r="O17" s="53">
        <f>IFERROR(__xludf.DUMMYFUNCTION("""COMPUTED_VALUE"""),19.0)</f>
        <v>19</v>
      </c>
      <c r="P17" s="53">
        <f>IFERROR(__xludf.DUMMYFUNCTION("""COMPUTED_VALUE"""),14.0)</f>
        <v>14</v>
      </c>
      <c r="Q17" s="54">
        <f>IFERROR(__xludf.DUMMYFUNCTION("""COMPUTED_VALUE"""),0.3888888888888889)</f>
        <v>0.3888888889</v>
      </c>
      <c r="R17" s="55">
        <f>IFERROR(__xludf.DUMMYFUNCTION("""COMPUTED_VALUE"""),62.5)</f>
        <v>62.5</v>
      </c>
      <c r="S17" s="55">
        <f>IFERROR(__xludf.DUMMYFUNCTION("""COMPUTED_VALUE"""),30.0)</f>
        <v>30</v>
      </c>
      <c r="T17" s="53"/>
      <c r="U17" s="53"/>
      <c r="V17" s="53"/>
    </row>
    <row r="18">
      <c r="A18" s="53" t="str">
        <f>IFERROR(__xludf.DUMMYFUNCTION("""COMPUTED_VALUE"""),"Kevon Harris")</f>
        <v>Kevon Harris</v>
      </c>
      <c r="B18" s="53" t="str">
        <f>IFERROR(__xludf.DUMMYFUNCTION("""COMPUTED_VALUE"""),"")</f>
        <v/>
      </c>
      <c r="C18" s="53" t="str">
        <f>IFERROR(__xludf.DUMMYFUNCTION("""COMPUTED_VALUE"""),"")</f>
        <v/>
      </c>
      <c r="D18" s="53" t="str">
        <f>IFERROR(__xludf.DUMMYFUNCTION("""COMPUTED_VALUE"""),"")</f>
        <v/>
      </c>
      <c r="E18" s="53">
        <f>IFERROR(__xludf.DUMMYFUNCTION("""COMPUTED_VALUE"""),20.0)</f>
        <v>20</v>
      </c>
      <c r="F18" s="53">
        <f>IFERROR(__xludf.DUMMYFUNCTION("""COMPUTED_VALUE"""),4.0)</f>
        <v>4</v>
      </c>
      <c r="G18" s="53">
        <f>IFERROR(__xludf.DUMMYFUNCTION("""COMPUTED_VALUE"""),7.0)</f>
        <v>7</v>
      </c>
      <c r="H18" s="53">
        <f>IFERROR(__xludf.DUMMYFUNCTION("""COMPUTED_VALUE"""),2.0)</f>
        <v>2</v>
      </c>
      <c r="I18" s="53">
        <f>IFERROR(__xludf.DUMMYFUNCTION("""COMPUTED_VALUE"""),3.0)</f>
        <v>3</v>
      </c>
      <c r="J18" s="53">
        <f>IFERROR(__xludf.DUMMYFUNCTION("""COMPUTED_VALUE"""),5.0)</f>
        <v>5</v>
      </c>
      <c r="K18" s="53">
        <f>IFERROR(__xludf.DUMMYFUNCTION("""COMPUTED_VALUE"""),0.0)</f>
        <v>0</v>
      </c>
      <c r="L18" s="53">
        <f>IFERROR(__xludf.DUMMYFUNCTION("""COMPUTED_VALUE"""),1.0)</f>
        <v>1</v>
      </c>
      <c r="M18" s="53">
        <f>IFERROR(__xludf.DUMMYFUNCTION("""COMPUTED_VALUE"""),0.0)</f>
        <v>0</v>
      </c>
      <c r="N18" s="53">
        <f>IFERROR(__xludf.DUMMYFUNCTION("""COMPUTED_VALUE"""),1.0)</f>
        <v>1</v>
      </c>
      <c r="O18" s="53">
        <f>IFERROR(__xludf.DUMMYFUNCTION("""COMPUTED_VALUE"""),12.0)</f>
        <v>12</v>
      </c>
      <c r="P18" s="53">
        <f>IFERROR(__xludf.DUMMYFUNCTION("""COMPUTED_VALUE"""),13.0)</f>
        <v>13</v>
      </c>
      <c r="Q18" s="54">
        <f>IFERROR(__xludf.DUMMYFUNCTION("""COMPUTED_VALUE"""),0.65)</f>
        <v>0.65</v>
      </c>
      <c r="R18" s="55">
        <f>IFERROR(__xludf.DUMMYFUNCTION("""COMPUTED_VALUE"""),60.0)</f>
        <v>60</v>
      </c>
      <c r="S18" s="55">
        <f>IFERROR(__xludf.DUMMYFUNCTION("""COMPUTED_VALUE"""),65.0)</f>
        <v>65</v>
      </c>
      <c r="T18" s="53"/>
      <c r="U18" s="53"/>
      <c r="V18" s="53"/>
    </row>
    <row r="19">
      <c r="A19" s="53" t="str">
        <f>IFERROR(__xludf.DUMMYFUNCTION("""COMPUTED_VALUE"""),"Andrew Wiggins")</f>
        <v>Andrew Wiggins</v>
      </c>
      <c r="B19" s="53" t="str">
        <f>IFERROR(__xludf.DUMMYFUNCTION("""COMPUTED_VALUE"""),"")</f>
        <v/>
      </c>
      <c r="C19" s="53" t="str">
        <f>IFERROR(__xludf.DUMMYFUNCTION("""COMPUTED_VALUE"""),"")</f>
        <v/>
      </c>
      <c r="D19" s="53" t="str">
        <f>IFERROR(__xludf.DUMMYFUNCTION("""COMPUTED_VALUE"""),"")</f>
        <v/>
      </c>
      <c r="E19" s="53">
        <f>IFERROR(__xludf.DUMMYFUNCTION("""COMPUTED_VALUE"""),32.0)</f>
        <v>32</v>
      </c>
      <c r="F19" s="53">
        <f>IFERROR(__xludf.DUMMYFUNCTION("""COMPUTED_VALUE"""),6.0)</f>
        <v>6</v>
      </c>
      <c r="G19" s="53">
        <f>IFERROR(__xludf.DUMMYFUNCTION("""COMPUTED_VALUE"""),12.0)</f>
        <v>12</v>
      </c>
      <c r="H19" s="53">
        <f>IFERROR(__xludf.DUMMYFUNCTION("""COMPUTED_VALUE"""),1.0)</f>
        <v>1</v>
      </c>
      <c r="I19" s="53">
        <f>IFERROR(__xludf.DUMMYFUNCTION("""COMPUTED_VALUE"""),3.0)</f>
        <v>3</v>
      </c>
      <c r="J19" s="53">
        <f>IFERROR(__xludf.DUMMYFUNCTION("""COMPUTED_VALUE"""),3.0)</f>
        <v>3</v>
      </c>
      <c r="K19" s="53">
        <f>IFERROR(__xludf.DUMMYFUNCTION("""COMPUTED_VALUE"""),3.0)</f>
        <v>3</v>
      </c>
      <c r="L19" s="53">
        <f>IFERROR(__xludf.DUMMYFUNCTION("""COMPUTED_VALUE"""),0.0)</f>
        <v>0</v>
      </c>
      <c r="M19" s="53">
        <f>IFERROR(__xludf.DUMMYFUNCTION("""COMPUTED_VALUE"""),2.0)</f>
        <v>2</v>
      </c>
      <c r="N19" s="53">
        <f>IFERROR(__xludf.DUMMYFUNCTION("""COMPUTED_VALUE"""),3.0)</f>
        <v>3</v>
      </c>
      <c r="O19" s="53">
        <f>IFERROR(__xludf.DUMMYFUNCTION("""COMPUTED_VALUE"""),15.0)</f>
        <v>15</v>
      </c>
      <c r="P19" s="53">
        <f>IFERROR(__xludf.DUMMYFUNCTION("""COMPUTED_VALUE"""),12.0)</f>
        <v>12</v>
      </c>
      <c r="Q19" s="54">
        <f>IFERROR(__xludf.DUMMYFUNCTION("""COMPUTED_VALUE"""),0.375)</f>
        <v>0.375</v>
      </c>
      <c r="R19" s="55">
        <f>IFERROR(__xludf.DUMMYFUNCTION("""COMPUTED_VALUE"""),47.5)</f>
        <v>47.5</v>
      </c>
      <c r="S19" s="55">
        <f>IFERROR(__xludf.DUMMYFUNCTION("""COMPUTED_VALUE"""),25.0)</f>
        <v>25</v>
      </c>
      <c r="T19" s="53"/>
      <c r="U19" s="53"/>
      <c r="V19" s="53"/>
    </row>
    <row r="20">
      <c r="A20" s="53" t="str">
        <f>IFERROR(__xludf.DUMMYFUNCTION("""COMPUTED_VALUE"""),"Josh Giddey")</f>
        <v>Josh Giddey</v>
      </c>
      <c r="B20" s="53" t="str">
        <f>IFERROR(__xludf.DUMMYFUNCTION("""COMPUTED_VALUE"""),"")</f>
        <v/>
      </c>
      <c r="C20" s="53" t="str">
        <f>IFERROR(__xludf.DUMMYFUNCTION("""COMPUTED_VALUE"""),"")</f>
        <v/>
      </c>
      <c r="D20" s="53" t="str">
        <f>IFERROR(__xludf.DUMMYFUNCTION("""COMPUTED_VALUE"""),"")</f>
        <v/>
      </c>
      <c r="E20" s="53">
        <f>IFERROR(__xludf.DUMMYFUNCTION("""COMPUTED_VALUE"""),31.0)</f>
        <v>31</v>
      </c>
      <c r="F20" s="53">
        <f>IFERROR(__xludf.DUMMYFUNCTION("""COMPUTED_VALUE"""),7.0)</f>
        <v>7</v>
      </c>
      <c r="G20" s="53">
        <f>IFERROR(__xludf.DUMMYFUNCTION("""COMPUTED_VALUE"""),14.0)</f>
        <v>14</v>
      </c>
      <c r="H20" s="53">
        <f>IFERROR(__xludf.DUMMYFUNCTION("""COMPUTED_VALUE"""),0.0)</f>
        <v>0</v>
      </c>
      <c r="I20" s="53">
        <f>IFERROR(__xludf.DUMMYFUNCTION("""COMPUTED_VALUE"""),0.0)</f>
        <v>0</v>
      </c>
      <c r="J20" s="53">
        <f>IFERROR(__xludf.DUMMYFUNCTION("""COMPUTED_VALUE"""),1.0)</f>
        <v>1</v>
      </c>
      <c r="K20" s="53">
        <f>IFERROR(__xludf.DUMMYFUNCTION("""COMPUTED_VALUE"""),5.0)</f>
        <v>5</v>
      </c>
      <c r="L20" s="53">
        <f>IFERROR(__xludf.DUMMYFUNCTION("""COMPUTED_VALUE"""),1.0)</f>
        <v>1</v>
      </c>
      <c r="M20" s="53">
        <f>IFERROR(__xludf.DUMMYFUNCTION("""COMPUTED_VALUE"""),0.0)</f>
        <v>0</v>
      </c>
      <c r="N20" s="53">
        <f>IFERROR(__xludf.DUMMYFUNCTION("""COMPUTED_VALUE"""),4.0)</f>
        <v>4</v>
      </c>
      <c r="O20" s="53">
        <f>IFERROR(__xludf.DUMMYFUNCTION("""COMPUTED_VALUE"""),16.0)</f>
        <v>16</v>
      </c>
      <c r="P20" s="53">
        <f>IFERROR(__xludf.DUMMYFUNCTION("""COMPUTED_VALUE"""),12.0)</f>
        <v>12</v>
      </c>
      <c r="Q20" s="54">
        <f>IFERROR(__xludf.DUMMYFUNCTION("""COMPUTED_VALUE"""),0.3870967741935484)</f>
        <v>0.3870967742</v>
      </c>
      <c r="R20" s="55">
        <f>IFERROR(__xludf.DUMMYFUNCTION("""COMPUTED_VALUE"""),47.5)</f>
        <v>47.5</v>
      </c>
      <c r="S20" s="55">
        <f>IFERROR(__xludf.DUMMYFUNCTION("""COMPUTED_VALUE"""),27.500000000000004)</f>
        <v>27.5</v>
      </c>
      <c r="T20" s="53"/>
      <c r="U20" s="53"/>
      <c r="V20" s="53"/>
    </row>
    <row r="21">
      <c r="A21" s="53" t="str">
        <f>IFERROR(__xludf.DUMMYFUNCTION("""COMPUTED_VALUE"""),"Jeremiah Robinson-Earl")</f>
        <v>Jeremiah Robinson-Earl</v>
      </c>
      <c r="B21" s="53" t="str">
        <f>IFERROR(__xludf.DUMMYFUNCTION("""COMPUTED_VALUE"""),"")</f>
        <v/>
      </c>
      <c r="C21" s="53" t="str">
        <f>IFERROR(__xludf.DUMMYFUNCTION("""COMPUTED_VALUE"""),"")</f>
        <v/>
      </c>
      <c r="D21" s="53" t="str">
        <f>IFERROR(__xludf.DUMMYFUNCTION("""COMPUTED_VALUE"""),"")</f>
        <v/>
      </c>
      <c r="E21" s="53">
        <f>IFERROR(__xludf.DUMMYFUNCTION("""COMPUTED_VALUE"""),22.0)</f>
        <v>22</v>
      </c>
      <c r="F21" s="53">
        <f>IFERROR(__xludf.DUMMYFUNCTION("""COMPUTED_VALUE"""),4.0)</f>
        <v>4</v>
      </c>
      <c r="G21" s="53">
        <f>IFERROR(__xludf.DUMMYFUNCTION("""COMPUTED_VALUE"""),10.0)</f>
        <v>10</v>
      </c>
      <c r="H21" s="53">
        <f>IFERROR(__xludf.DUMMYFUNCTION("""COMPUTED_VALUE"""),0.0)</f>
        <v>0</v>
      </c>
      <c r="I21" s="53">
        <f>IFERROR(__xludf.DUMMYFUNCTION("""COMPUTED_VALUE"""),2.0)</f>
        <v>2</v>
      </c>
      <c r="J21" s="53">
        <f>IFERROR(__xludf.DUMMYFUNCTION("""COMPUTED_VALUE"""),7.0)</f>
        <v>7</v>
      </c>
      <c r="K21" s="53">
        <f>IFERROR(__xludf.DUMMYFUNCTION("""COMPUTED_VALUE"""),1.0)</f>
        <v>1</v>
      </c>
      <c r="L21" s="53">
        <f>IFERROR(__xludf.DUMMYFUNCTION("""COMPUTED_VALUE"""),2.0)</f>
        <v>2</v>
      </c>
      <c r="M21" s="53">
        <f>IFERROR(__xludf.DUMMYFUNCTION("""COMPUTED_VALUE"""),0.0)</f>
        <v>0</v>
      </c>
      <c r="N21" s="53">
        <f>IFERROR(__xludf.DUMMYFUNCTION("""COMPUTED_VALUE"""),0.0)</f>
        <v>0</v>
      </c>
      <c r="O21" s="53">
        <f>IFERROR(__xludf.DUMMYFUNCTION("""COMPUTED_VALUE"""),10.0)</f>
        <v>10</v>
      </c>
      <c r="P21" s="53">
        <f>IFERROR(__xludf.DUMMYFUNCTION("""COMPUTED_VALUE"""),12.0)</f>
        <v>12</v>
      </c>
      <c r="Q21" s="54">
        <f>IFERROR(__xludf.DUMMYFUNCTION("""COMPUTED_VALUE"""),0.5454545454545454)</f>
        <v>0.5454545455</v>
      </c>
      <c r="R21" s="55">
        <f>IFERROR(__xludf.DUMMYFUNCTION("""COMPUTED_VALUE"""),47.5)</f>
        <v>47.5</v>
      </c>
      <c r="S21" s="55">
        <f>IFERROR(__xludf.DUMMYFUNCTION("""COMPUTED_VALUE"""),47.5)</f>
        <v>47.5</v>
      </c>
      <c r="T21" s="53"/>
      <c r="U21" s="53"/>
      <c r="V21" s="53"/>
    </row>
    <row r="22">
      <c r="A22" s="53" t="str">
        <f>IFERROR(__xludf.DUMMYFUNCTION("""COMPUTED_VALUE"""),"Michael Porter Jr.")</f>
        <v>Michael Porter Jr.</v>
      </c>
      <c r="B22" s="53" t="str">
        <f>IFERROR(__xludf.DUMMYFUNCTION("""COMPUTED_VALUE"""),"")</f>
        <v/>
      </c>
      <c r="C22" s="53" t="str">
        <f>IFERROR(__xludf.DUMMYFUNCTION("""COMPUTED_VALUE"""),"")</f>
        <v/>
      </c>
      <c r="D22" s="53" t="str">
        <f>IFERROR(__xludf.DUMMYFUNCTION("""COMPUTED_VALUE"""),"")</f>
        <v/>
      </c>
      <c r="E22" s="53">
        <f>IFERROR(__xludf.DUMMYFUNCTION("""COMPUTED_VALUE"""),28.0)</f>
        <v>28</v>
      </c>
      <c r="F22" s="53">
        <f>IFERROR(__xludf.DUMMYFUNCTION("""COMPUTED_VALUE"""),4.0)</f>
        <v>4</v>
      </c>
      <c r="G22" s="53">
        <f>IFERROR(__xludf.DUMMYFUNCTION("""COMPUTED_VALUE"""),10.0)</f>
        <v>10</v>
      </c>
      <c r="H22" s="53">
        <f>IFERROR(__xludf.DUMMYFUNCTION("""COMPUTED_VALUE"""),0.0)</f>
        <v>0</v>
      </c>
      <c r="I22" s="53">
        <f>IFERROR(__xludf.DUMMYFUNCTION("""COMPUTED_VALUE"""),0.0)</f>
        <v>0</v>
      </c>
      <c r="J22" s="53">
        <f>IFERROR(__xludf.DUMMYFUNCTION("""COMPUTED_VALUE"""),6.0)</f>
        <v>6</v>
      </c>
      <c r="K22" s="53">
        <f>IFERROR(__xludf.DUMMYFUNCTION("""COMPUTED_VALUE"""),2.0)</f>
        <v>2</v>
      </c>
      <c r="L22" s="53">
        <f>IFERROR(__xludf.DUMMYFUNCTION("""COMPUTED_VALUE"""),0.0)</f>
        <v>0</v>
      </c>
      <c r="M22" s="53">
        <f>IFERROR(__xludf.DUMMYFUNCTION("""COMPUTED_VALUE"""),0.0)</f>
        <v>0</v>
      </c>
      <c r="N22" s="53">
        <f>IFERROR(__xludf.DUMMYFUNCTION("""COMPUTED_VALUE"""),1.0)</f>
        <v>1</v>
      </c>
      <c r="O22" s="53">
        <f>IFERROR(__xludf.DUMMYFUNCTION("""COMPUTED_VALUE"""),11.0)</f>
        <v>11</v>
      </c>
      <c r="P22" s="53">
        <f>IFERROR(__xludf.DUMMYFUNCTION("""COMPUTED_VALUE"""),12.0)</f>
        <v>12</v>
      </c>
      <c r="Q22" s="54">
        <f>IFERROR(__xludf.DUMMYFUNCTION("""COMPUTED_VALUE"""),0.42857142857142855)</f>
        <v>0.4285714286</v>
      </c>
      <c r="R22" s="55">
        <f>IFERROR(__xludf.DUMMYFUNCTION("""COMPUTED_VALUE"""),47.5)</f>
        <v>47.5</v>
      </c>
      <c r="S22" s="55">
        <f>IFERROR(__xludf.DUMMYFUNCTION("""COMPUTED_VALUE"""),35.0)</f>
        <v>35</v>
      </c>
      <c r="T22" s="53"/>
      <c r="U22" s="53"/>
      <c r="V22" s="53"/>
    </row>
    <row r="23">
      <c r="A23" s="53" t="str">
        <f>IFERROR(__xludf.DUMMYFUNCTION("""COMPUTED_VALUE"""),"Bol Bol")</f>
        <v>Bol Bol</v>
      </c>
      <c r="B23" s="53" t="str">
        <f>IFERROR(__xludf.DUMMYFUNCTION("""COMPUTED_VALUE"""),"")</f>
        <v/>
      </c>
      <c r="C23" s="53" t="str">
        <f>IFERROR(__xludf.DUMMYFUNCTION("""COMPUTED_VALUE"""),"")</f>
        <v/>
      </c>
      <c r="D23" s="53" t="str">
        <f>IFERROR(__xludf.DUMMYFUNCTION("""COMPUTED_VALUE"""),"")</f>
        <v/>
      </c>
      <c r="E23" s="53">
        <f>IFERROR(__xludf.DUMMYFUNCTION("""COMPUTED_VALUE"""),18.0)</f>
        <v>18</v>
      </c>
      <c r="F23" s="53">
        <f>IFERROR(__xludf.DUMMYFUNCTION("""COMPUTED_VALUE"""),2.0)</f>
        <v>2</v>
      </c>
      <c r="G23" s="53">
        <f>IFERROR(__xludf.DUMMYFUNCTION("""COMPUTED_VALUE"""),3.0)</f>
        <v>3</v>
      </c>
      <c r="H23" s="53">
        <f>IFERROR(__xludf.DUMMYFUNCTION("""COMPUTED_VALUE"""),0.0)</f>
        <v>0</v>
      </c>
      <c r="I23" s="53">
        <f>IFERROR(__xludf.DUMMYFUNCTION("""COMPUTED_VALUE"""),0.0)</f>
        <v>0</v>
      </c>
      <c r="J23" s="53">
        <f>IFERROR(__xludf.DUMMYFUNCTION("""COMPUTED_VALUE"""),6.0)</f>
        <v>6</v>
      </c>
      <c r="K23" s="53">
        <f>IFERROR(__xludf.DUMMYFUNCTION("""COMPUTED_VALUE"""),1.0)</f>
        <v>1</v>
      </c>
      <c r="L23" s="53">
        <f>IFERROR(__xludf.DUMMYFUNCTION("""COMPUTED_VALUE"""),0.0)</f>
        <v>0</v>
      </c>
      <c r="M23" s="53">
        <f>IFERROR(__xludf.DUMMYFUNCTION("""COMPUTED_VALUE"""),2.0)</f>
        <v>2</v>
      </c>
      <c r="N23" s="53">
        <f>IFERROR(__xludf.DUMMYFUNCTION("""COMPUTED_VALUE"""),0.0)</f>
        <v>0</v>
      </c>
      <c r="O23" s="53">
        <f>IFERROR(__xludf.DUMMYFUNCTION("""COMPUTED_VALUE"""),4.0)</f>
        <v>4</v>
      </c>
      <c r="P23" s="53">
        <f>IFERROR(__xludf.DUMMYFUNCTION("""COMPUTED_VALUE"""),12.0)</f>
        <v>12</v>
      </c>
      <c r="Q23" s="54">
        <f>IFERROR(__xludf.DUMMYFUNCTION("""COMPUTED_VALUE"""),0.6666666666666666)</f>
        <v>0.6666666667</v>
      </c>
      <c r="R23" s="55">
        <f>IFERROR(__xludf.DUMMYFUNCTION("""COMPUTED_VALUE"""),47.5)</f>
        <v>47.5</v>
      </c>
      <c r="S23" s="55">
        <f>IFERROR(__xludf.DUMMYFUNCTION("""COMPUTED_VALUE"""),70.0)</f>
        <v>70</v>
      </c>
      <c r="T23" s="53"/>
      <c r="U23" s="53"/>
      <c r="V23" s="53"/>
    </row>
    <row r="24">
      <c r="A24" s="53" t="str">
        <f>IFERROR(__xludf.DUMMYFUNCTION("""COMPUTED_VALUE"""),"Kentavious Caldwell-Pope")</f>
        <v>Kentavious Caldwell-Pope</v>
      </c>
      <c r="B24" s="53" t="str">
        <f>IFERROR(__xludf.DUMMYFUNCTION("""COMPUTED_VALUE"""),"33")</f>
        <v>33</v>
      </c>
      <c r="C24" s="53" t="str">
        <f>IFERROR(__xludf.DUMMYFUNCTION("""COMPUTED_VALUE"""),"PHI")</f>
        <v>PHI</v>
      </c>
      <c r="D24" s="53" t="str">
        <f>IFERROR(__xludf.DUMMYFUNCTION("""COMPUTED_VALUE"""),"SG")</f>
        <v>SG</v>
      </c>
      <c r="E24" s="53">
        <f>IFERROR(__xludf.DUMMYFUNCTION("""COMPUTED_VALUE"""),35.0)</f>
        <v>35</v>
      </c>
      <c r="F24" s="53">
        <f>IFERROR(__xludf.DUMMYFUNCTION("""COMPUTED_VALUE"""),4.0)</f>
        <v>4</v>
      </c>
      <c r="G24" s="53">
        <f>IFERROR(__xludf.DUMMYFUNCTION("""COMPUTED_VALUE"""),9.0)</f>
        <v>9</v>
      </c>
      <c r="H24" s="53">
        <f>IFERROR(__xludf.DUMMYFUNCTION("""COMPUTED_VALUE"""),0.0)</f>
        <v>0</v>
      </c>
      <c r="I24" s="53">
        <f>IFERROR(__xludf.DUMMYFUNCTION("""COMPUTED_VALUE"""),0.0)</f>
        <v>0</v>
      </c>
      <c r="J24" s="53">
        <f>IFERROR(__xludf.DUMMYFUNCTION("""COMPUTED_VALUE"""),3.0)</f>
        <v>3</v>
      </c>
      <c r="K24" s="53">
        <f>IFERROR(__xludf.DUMMYFUNCTION("""COMPUTED_VALUE"""),1.0)</f>
        <v>1</v>
      </c>
      <c r="L24" s="53">
        <f>IFERROR(__xludf.DUMMYFUNCTION("""COMPUTED_VALUE"""),0.0)</f>
        <v>0</v>
      </c>
      <c r="M24" s="53">
        <f>IFERROR(__xludf.DUMMYFUNCTION("""COMPUTED_VALUE"""),1.0)</f>
        <v>1</v>
      </c>
      <c r="N24" s="53">
        <f>IFERROR(__xludf.DUMMYFUNCTION("""COMPUTED_VALUE"""),0.0)</f>
        <v>0</v>
      </c>
      <c r="O24" s="53">
        <f>IFERROR(__xludf.DUMMYFUNCTION("""COMPUTED_VALUE"""),11.0)</f>
        <v>11</v>
      </c>
      <c r="P24" s="53">
        <f>IFERROR(__xludf.DUMMYFUNCTION("""COMPUTED_VALUE"""),11.0)</f>
        <v>11</v>
      </c>
      <c r="Q24" s="54">
        <f>IFERROR(__xludf.DUMMYFUNCTION("""COMPUTED_VALUE"""),0.3142857142857143)</f>
        <v>0.3142857143</v>
      </c>
      <c r="R24" s="55">
        <f>IFERROR(__xludf.DUMMYFUNCTION("""COMPUTED_VALUE"""),40.0)</f>
        <v>40</v>
      </c>
      <c r="S24" s="55">
        <f>IFERROR(__xludf.DUMMYFUNCTION("""COMPUTED_VALUE"""),20.0)</f>
        <v>20</v>
      </c>
      <c r="T24" s="53"/>
      <c r="U24" s="53"/>
      <c r="V24" s="53"/>
    </row>
    <row r="25">
      <c r="A25" s="53" t="str">
        <f>IFERROR(__xludf.DUMMYFUNCTION("""COMPUTED_VALUE"""),"Aleksej Pokusevski")</f>
        <v>Aleksej Pokusevski</v>
      </c>
      <c r="B25" s="53" t="str">
        <f>IFERROR(__xludf.DUMMYFUNCTION("""COMPUTED_VALUE"""),"")</f>
        <v/>
      </c>
      <c r="C25" s="53" t="str">
        <f>IFERROR(__xludf.DUMMYFUNCTION("""COMPUTED_VALUE"""),"")</f>
        <v/>
      </c>
      <c r="D25" s="53" t="str">
        <f>IFERROR(__xludf.DUMMYFUNCTION("""COMPUTED_VALUE"""),"")</f>
        <v/>
      </c>
      <c r="E25" s="53">
        <f>IFERROR(__xludf.DUMMYFUNCTION("""COMPUTED_VALUE"""),27.0)</f>
        <v>27</v>
      </c>
      <c r="F25" s="53">
        <f>IFERROR(__xludf.DUMMYFUNCTION("""COMPUTED_VALUE"""),3.0)</f>
        <v>3</v>
      </c>
      <c r="G25" s="53">
        <f>IFERROR(__xludf.DUMMYFUNCTION("""COMPUTED_VALUE"""),9.0)</f>
        <v>9</v>
      </c>
      <c r="H25" s="53">
        <f>IFERROR(__xludf.DUMMYFUNCTION("""COMPUTED_VALUE"""),0.0)</f>
        <v>0</v>
      </c>
      <c r="I25" s="53">
        <f>IFERROR(__xludf.DUMMYFUNCTION("""COMPUTED_VALUE"""),0.0)</f>
        <v>0</v>
      </c>
      <c r="J25" s="53">
        <f>IFERROR(__xludf.DUMMYFUNCTION("""COMPUTED_VALUE"""),7.0)</f>
        <v>7</v>
      </c>
      <c r="K25" s="53">
        <f>IFERROR(__xludf.DUMMYFUNCTION("""COMPUTED_VALUE"""),1.0)</f>
        <v>1</v>
      </c>
      <c r="L25" s="53">
        <f>IFERROR(__xludf.DUMMYFUNCTION("""COMPUTED_VALUE"""),1.0)</f>
        <v>1</v>
      </c>
      <c r="M25" s="53">
        <f>IFERROR(__xludf.DUMMYFUNCTION("""COMPUTED_VALUE"""),2.0)</f>
        <v>2</v>
      </c>
      <c r="N25" s="53">
        <f>IFERROR(__xludf.DUMMYFUNCTION("""COMPUTED_VALUE"""),0.0)</f>
        <v>0</v>
      </c>
      <c r="O25" s="53">
        <f>IFERROR(__xludf.DUMMYFUNCTION("""COMPUTED_VALUE"""),6.0)</f>
        <v>6</v>
      </c>
      <c r="P25" s="53">
        <f>IFERROR(__xludf.DUMMYFUNCTION("""COMPUTED_VALUE"""),11.0)</f>
        <v>11</v>
      </c>
      <c r="Q25" s="54">
        <f>IFERROR(__xludf.DUMMYFUNCTION("""COMPUTED_VALUE"""),0.4074074074074074)</f>
        <v>0.4074074074</v>
      </c>
      <c r="R25" s="55">
        <f>IFERROR(__xludf.DUMMYFUNCTION("""COMPUTED_VALUE"""),40.0)</f>
        <v>40</v>
      </c>
      <c r="S25" s="55">
        <f>IFERROR(__xludf.DUMMYFUNCTION("""COMPUTED_VALUE"""),32.5)</f>
        <v>32.5</v>
      </c>
      <c r="T25" s="53"/>
      <c r="U25" s="53"/>
      <c r="V25" s="53"/>
    </row>
    <row r="26">
      <c r="A26" s="53" t="str">
        <f>IFERROR(__xludf.DUMMYFUNCTION("""COMPUTED_VALUE"""),"JaMychal Green")</f>
        <v>JaMychal Green</v>
      </c>
      <c r="B26" s="53" t="str">
        <f>IFERROR(__xludf.DUMMYFUNCTION("""COMPUTED_VALUE"""),"")</f>
        <v/>
      </c>
      <c r="C26" s="53" t="str">
        <f>IFERROR(__xludf.DUMMYFUNCTION("""COMPUTED_VALUE"""),"")</f>
        <v/>
      </c>
      <c r="D26" s="53" t="str">
        <f>IFERROR(__xludf.DUMMYFUNCTION("""COMPUTED_VALUE"""),"")</f>
        <v/>
      </c>
      <c r="E26" s="53">
        <f>IFERROR(__xludf.DUMMYFUNCTION("""COMPUTED_VALUE"""),16.0)</f>
        <v>16</v>
      </c>
      <c r="F26" s="53">
        <f>IFERROR(__xludf.DUMMYFUNCTION("""COMPUTED_VALUE"""),3.0)</f>
        <v>3</v>
      </c>
      <c r="G26" s="53">
        <f>IFERROR(__xludf.DUMMYFUNCTION("""COMPUTED_VALUE"""),5.0)</f>
        <v>5</v>
      </c>
      <c r="H26" s="53">
        <f>IFERROR(__xludf.DUMMYFUNCTION("""COMPUTED_VALUE"""),0.0)</f>
        <v>0</v>
      </c>
      <c r="I26" s="53">
        <f>IFERROR(__xludf.DUMMYFUNCTION("""COMPUTED_VALUE"""),0.0)</f>
        <v>0</v>
      </c>
      <c r="J26" s="53">
        <f>IFERROR(__xludf.DUMMYFUNCTION("""COMPUTED_VALUE"""),6.0)</f>
        <v>6</v>
      </c>
      <c r="K26" s="53">
        <f>IFERROR(__xludf.DUMMYFUNCTION("""COMPUTED_VALUE"""),0.0)</f>
        <v>0</v>
      </c>
      <c r="L26" s="53">
        <f>IFERROR(__xludf.DUMMYFUNCTION("""COMPUTED_VALUE"""),0.0)</f>
        <v>0</v>
      </c>
      <c r="M26" s="53">
        <f>IFERROR(__xludf.DUMMYFUNCTION("""COMPUTED_VALUE"""),1.0)</f>
        <v>1</v>
      </c>
      <c r="N26" s="53">
        <f>IFERROR(__xludf.DUMMYFUNCTION("""COMPUTED_VALUE"""),1.0)</f>
        <v>1</v>
      </c>
      <c r="O26" s="53">
        <f>IFERROR(__xludf.DUMMYFUNCTION("""COMPUTED_VALUE"""),7.0)</f>
        <v>7</v>
      </c>
      <c r="P26" s="53">
        <f>IFERROR(__xludf.DUMMYFUNCTION("""COMPUTED_VALUE"""),11.0)</f>
        <v>11</v>
      </c>
      <c r="Q26" s="54">
        <f>IFERROR(__xludf.DUMMYFUNCTION("""COMPUTED_VALUE"""),0.6875)</f>
        <v>0.6875</v>
      </c>
      <c r="R26" s="55">
        <f>IFERROR(__xludf.DUMMYFUNCTION("""COMPUTED_VALUE"""),40.0)</f>
        <v>40</v>
      </c>
      <c r="S26" s="55">
        <f>IFERROR(__xludf.DUMMYFUNCTION("""COMPUTED_VALUE"""),75.0)</f>
        <v>75</v>
      </c>
      <c r="T26" s="53"/>
      <c r="U26" s="53"/>
      <c r="V26" s="53"/>
    </row>
    <row r="27">
      <c r="A27" s="53" t="str">
        <f>IFERROR(__xludf.DUMMYFUNCTION("""COMPUTED_VALUE"""),"Kenrich Williams")</f>
        <v>Kenrich Williams</v>
      </c>
      <c r="B27" s="53" t="str">
        <f>IFERROR(__xludf.DUMMYFUNCTION("""COMPUTED_VALUE"""),"32")</f>
        <v>32</v>
      </c>
      <c r="C27" s="53" t="str">
        <f>IFERROR(__xludf.DUMMYFUNCTION("""COMPUTED_VALUE"""),"OKC")</f>
        <v>OKC</v>
      </c>
      <c r="D27" s="53" t="str">
        <f>IFERROR(__xludf.DUMMYFUNCTION("""COMPUTED_VALUE"""),"PF")</f>
        <v>PF</v>
      </c>
      <c r="E27" s="53">
        <f>IFERROR(__xludf.DUMMYFUNCTION("""COMPUTED_VALUE"""),22.0)</f>
        <v>22</v>
      </c>
      <c r="F27" s="53">
        <f>IFERROR(__xludf.DUMMYFUNCTION("""COMPUTED_VALUE"""),2.0)</f>
        <v>2</v>
      </c>
      <c r="G27" s="53">
        <f>IFERROR(__xludf.DUMMYFUNCTION("""COMPUTED_VALUE"""),5.0)</f>
        <v>5</v>
      </c>
      <c r="H27" s="53">
        <f>IFERROR(__xludf.DUMMYFUNCTION("""COMPUTED_VALUE"""),0.0)</f>
        <v>0</v>
      </c>
      <c r="I27" s="53">
        <f>IFERROR(__xludf.DUMMYFUNCTION("""COMPUTED_VALUE"""),0.0)</f>
        <v>0</v>
      </c>
      <c r="J27" s="53">
        <f>IFERROR(__xludf.DUMMYFUNCTION("""COMPUTED_VALUE"""),6.0)</f>
        <v>6</v>
      </c>
      <c r="K27" s="53">
        <f>IFERROR(__xludf.DUMMYFUNCTION("""COMPUTED_VALUE"""),1.0)</f>
        <v>1</v>
      </c>
      <c r="L27" s="53">
        <f>IFERROR(__xludf.DUMMYFUNCTION("""COMPUTED_VALUE"""),1.0)</f>
        <v>1</v>
      </c>
      <c r="M27" s="53">
        <f>IFERROR(__xludf.DUMMYFUNCTION("""COMPUTED_VALUE"""),0.0)</f>
        <v>0</v>
      </c>
      <c r="N27" s="53">
        <f>IFERROR(__xludf.DUMMYFUNCTION("""COMPUTED_VALUE"""),0.0)</f>
        <v>0</v>
      </c>
      <c r="O27" s="53">
        <f>IFERROR(__xludf.DUMMYFUNCTION("""COMPUTED_VALUE"""),5.0)</f>
        <v>5</v>
      </c>
      <c r="P27" s="53">
        <f>IFERROR(__xludf.DUMMYFUNCTION("""COMPUTED_VALUE"""),10.0)</f>
        <v>10</v>
      </c>
      <c r="Q27" s="54">
        <f>IFERROR(__xludf.DUMMYFUNCTION("""COMPUTED_VALUE"""),0.45454545454545453)</f>
        <v>0.4545454545</v>
      </c>
      <c r="R27" s="55">
        <f>IFERROR(__xludf.DUMMYFUNCTION("""COMPUTED_VALUE"""),37.5)</f>
        <v>37.5</v>
      </c>
      <c r="S27" s="55">
        <f>IFERROR(__xludf.DUMMYFUNCTION("""COMPUTED_VALUE"""),37.5)</f>
        <v>37.5</v>
      </c>
      <c r="T27" s="53"/>
      <c r="U27" s="53"/>
      <c r="V27" s="53"/>
    </row>
    <row r="28">
      <c r="A28" s="53" t="str">
        <f>IFERROR(__xludf.DUMMYFUNCTION("""COMPUTED_VALUE"""),"Jalen Williams")</f>
        <v>Jalen Williams</v>
      </c>
      <c r="B28" s="53" t="str">
        <f>IFERROR(__xludf.DUMMYFUNCTION("""COMPUTED_VALUE"""),"25")</f>
        <v>25</v>
      </c>
      <c r="C28" s="53" t="str">
        <f>IFERROR(__xludf.DUMMYFUNCTION("""COMPUTED_VALUE"""),"OKC")</f>
        <v>OKC</v>
      </c>
      <c r="D28" s="53" t="str">
        <f>IFERROR(__xludf.DUMMYFUNCTION("""COMPUTED_VALUE"""),"SG")</f>
        <v>SG</v>
      </c>
      <c r="E28" s="53">
        <f>IFERROR(__xludf.DUMMYFUNCTION("""COMPUTED_VALUE"""),14.0)</f>
        <v>14</v>
      </c>
      <c r="F28" s="53">
        <f>IFERROR(__xludf.DUMMYFUNCTION("""COMPUTED_VALUE"""),4.0)</f>
        <v>4</v>
      </c>
      <c r="G28" s="53">
        <f>IFERROR(__xludf.DUMMYFUNCTION("""COMPUTED_VALUE"""),7.0)</f>
        <v>7</v>
      </c>
      <c r="H28" s="53">
        <f>IFERROR(__xludf.DUMMYFUNCTION("""COMPUTED_VALUE"""),0.0)</f>
        <v>0</v>
      </c>
      <c r="I28" s="53">
        <f>IFERROR(__xludf.DUMMYFUNCTION("""COMPUTED_VALUE"""),0.0)</f>
        <v>0</v>
      </c>
      <c r="J28" s="53">
        <f>IFERROR(__xludf.DUMMYFUNCTION("""COMPUTED_VALUE"""),0.0)</f>
        <v>0</v>
      </c>
      <c r="K28" s="53">
        <f>IFERROR(__xludf.DUMMYFUNCTION("""COMPUTED_VALUE"""),2.0)</f>
        <v>2</v>
      </c>
      <c r="L28" s="53">
        <f>IFERROR(__xludf.DUMMYFUNCTION("""COMPUTED_VALUE"""),0.0)</f>
        <v>0</v>
      </c>
      <c r="M28" s="53">
        <f>IFERROR(__xludf.DUMMYFUNCTION("""COMPUTED_VALUE"""),0.0)</f>
        <v>0</v>
      </c>
      <c r="N28" s="53">
        <f>IFERROR(__xludf.DUMMYFUNCTION("""COMPUTED_VALUE"""),0.0)</f>
        <v>0</v>
      </c>
      <c r="O28" s="53">
        <f>IFERROR(__xludf.DUMMYFUNCTION("""COMPUTED_VALUE"""),8.0)</f>
        <v>8</v>
      </c>
      <c r="P28" s="53">
        <f>IFERROR(__xludf.DUMMYFUNCTION("""COMPUTED_VALUE"""),7.0)</f>
        <v>7</v>
      </c>
      <c r="Q28" s="54">
        <f>IFERROR(__xludf.DUMMYFUNCTION("""COMPUTED_VALUE"""),0.5)</f>
        <v>0.5</v>
      </c>
      <c r="R28" s="55">
        <f>IFERROR(__xludf.DUMMYFUNCTION("""COMPUTED_VALUE"""),30.0)</f>
        <v>30</v>
      </c>
      <c r="S28" s="55">
        <f>IFERROR(__xludf.DUMMYFUNCTION("""COMPUTED_VALUE"""),42.5)</f>
        <v>42.5</v>
      </c>
      <c r="T28" s="53"/>
      <c r="U28" s="53"/>
      <c r="V28" s="53"/>
    </row>
    <row r="29">
      <c r="A29" s="53" t="str">
        <f>IFERROR(__xludf.DUMMYFUNCTION("""COMPUTED_VALUE"""),"Zeke Nnaji")</f>
        <v>Zeke Nnaji</v>
      </c>
      <c r="B29" s="53" t="str">
        <f>IFERROR(__xludf.DUMMYFUNCTION("""COMPUTED_VALUE"""),"")</f>
        <v/>
      </c>
      <c r="C29" s="53" t="str">
        <f>IFERROR(__xludf.DUMMYFUNCTION("""COMPUTED_VALUE"""),"")</f>
        <v/>
      </c>
      <c r="D29" s="53" t="str">
        <f>IFERROR(__xludf.DUMMYFUNCTION("""COMPUTED_VALUE"""),"")</f>
        <v/>
      </c>
      <c r="E29" s="53">
        <f>IFERROR(__xludf.DUMMYFUNCTION("""COMPUTED_VALUE"""),5.0)</f>
        <v>5</v>
      </c>
      <c r="F29" s="53">
        <f>IFERROR(__xludf.DUMMYFUNCTION("""COMPUTED_VALUE"""),1.0)</f>
        <v>1</v>
      </c>
      <c r="G29" s="53">
        <f>IFERROR(__xludf.DUMMYFUNCTION("""COMPUTED_VALUE"""),3.0)</f>
        <v>3</v>
      </c>
      <c r="H29" s="53">
        <f>IFERROR(__xludf.DUMMYFUNCTION("""COMPUTED_VALUE"""),2.0)</f>
        <v>2</v>
      </c>
      <c r="I29" s="53">
        <f>IFERROR(__xludf.DUMMYFUNCTION("""COMPUTED_VALUE"""),2.0)</f>
        <v>2</v>
      </c>
      <c r="J29" s="53">
        <f>IFERROR(__xludf.DUMMYFUNCTION("""COMPUTED_VALUE"""),5.0)</f>
        <v>5</v>
      </c>
      <c r="K29" s="53">
        <f>IFERROR(__xludf.DUMMYFUNCTION("""COMPUTED_VALUE"""),0.0)</f>
        <v>0</v>
      </c>
      <c r="L29" s="53">
        <f>IFERROR(__xludf.DUMMYFUNCTION("""COMPUTED_VALUE"""),0.0)</f>
        <v>0</v>
      </c>
      <c r="M29" s="53">
        <f>IFERROR(__xludf.DUMMYFUNCTION("""COMPUTED_VALUE"""),0.0)</f>
        <v>0</v>
      </c>
      <c r="N29" s="53">
        <f>IFERROR(__xludf.DUMMYFUNCTION("""COMPUTED_VALUE"""),0.0)</f>
        <v>0</v>
      </c>
      <c r="O29" s="53">
        <f>IFERROR(__xludf.DUMMYFUNCTION("""COMPUTED_VALUE"""),4.0)</f>
        <v>4</v>
      </c>
      <c r="P29" s="53">
        <f>IFERROR(__xludf.DUMMYFUNCTION("""COMPUTED_VALUE"""),7.0)</f>
        <v>7</v>
      </c>
      <c r="Q29" s="54">
        <f>IFERROR(__xludf.DUMMYFUNCTION("""COMPUTED_VALUE"""),1.4)</f>
        <v>1.4</v>
      </c>
      <c r="R29" s="55">
        <f>IFERROR(__xludf.DUMMYFUNCTION("""COMPUTED_VALUE"""),30.0)</f>
        <v>30</v>
      </c>
      <c r="S29" s="55">
        <f>IFERROR(__xludf.DUMMYFUNCTION("""COMPUTED_VALUE"""),100.0)</f>
        <v>100</v>
      </c>
      <c r="T29" s="53"/>
      <c r="U29" s="53"/>
      <c r="V29" s="53"/>
    </row>
    <row r="30">
      <c r="A30" s="53" t="str">
        <f>IFERROR(__xludf.DUMMYFUNCTION("""COMPUTED_VALUE"""),"Jeff Green")</f>
        <v>Jeff Green</v>
      </c>
      <c r="B30" s="53" t="str">
        <f>IFERROR(__xludf.DUMMYFUNCTION("""COMPUTED_VALUE"""),"")</f>
        <v/>
      </c>
      <c r="C30" s="53" t="str">
        <f>IFERROR(__xludf.DUMMYFUNCTION("""COMPUTED_VALUE"""),"")</f>
        <v/>
      </c>
      <c r="D30" s="53" t="str">
        <f>IFERROR(__xludf.DUMMYFUNCTION("""COMPUTED_VALUE"""),"")</f>
        <v/>
      </c>
      <c r="E30" s="53">
        <f>IFERROR(__xludf.DUMMYFUNCTION("""COMPUTED_VALUE"""),19.0)</f>
        <v>19</v>
      </c>
      <c r="F30" s="53">
        <f>IFERROR(__xludf.DUMMYFUNCTION("""COMPUTED_VALUE"""),3.0)</f>
        <v>3</v>
      </c>
      <c r="G30" s="53">
        <f>IFERROR(__xludf.DUMMYFUNCTION("""COMPUTED_VALUE"""),5.0)</f>
        <v>5</v>
      </c>
      <c r="H30" s="53">
        <f>IFERROR(__xludf.DUMMYFUNCTION("""COMPUTED_VALUE"""),1.0)</f>
        <v>1</v>
      </c>
      <c r="I30" s="53">
        <f>IFERROR(__xludf.DUMMYFUNCTION("""COMPUTED_VALUE"""),2.0)</f>
        <v>2</v>
      </c>
      <c r="J30" s="53">
        <f>IFERROR(__xludf.DUMMYFUNCTION("""COMPUTED_VALUE"""),4.0)</f>
        <v>4</v>
      </c>
      <c r="K30" s="53">
        <f>IFERROR(__xludf.DUMMYFUNCTION("""COMPUTED_VALUE"""),0.0)</f>
        <v>0</v>
      </c>
      <c r="L30" s="53">
        <f>IFERROR(__xludf.DUMMYFUNCTION("""COMPUTED_VALUE"""),2.0)</f>
        <v>2</v>
      </c>
      <c r="M30" s="53">
        <f>IFERROR(__xludf.DUMMYFUNCTION("""COMPUTED_VALUE"""),0.0)</f>
        <v>0</v>
      </c>
      <c r="N30" s="53">
        <f>IFERROR(__xludf.DUMMYFUNCTION("""COMPUTED_VALUE"""),3.0)</f>
        <v>3</v>
      </c>
      <c r="O30" s="53">
        <f>IFERROR(__xludf.DUMMYFUNCTION("""COMPUTED_VALUE"""),7.0)</f>
        <v>7</v>
      </c>
      <c r="P30" s="53">
        <f>IFERROR(__xludf.DUMMYFUNCTION("""COMPUTED_VALUE"""),7.0)</f>
        <v>7</v>
      </c>
      <c r="Q30" s="54">
        <f>IFERROR(__xludf.DUMMYFUNCTION("""COMPUTED_VALUE"""),0.3684210526315789)</f>
        <v>0.3684210526</v>
      </c>
      <c r="R30" s="55">
        <f>IFERROR(__xludf.DUMMYFUNCTION("""COMPUTED_VALUE"""),30.0)</f>
        <v>30</v>
      </c>
      <c r="S30" s="55">
        <f>IFERROR(__xludf.DUMMYFUNCTION("""COMPUTED_VALUE"""),22.5)</f>
        <v>22.5</v>
      </c>
      <c r="T30" s="53"/>
      <c r="U30" s="53"/>
      <c r="V30" s="53"/>
    </row>
    <row r="31">
      <c r="A31" s="53" t="str">
        <f>IFERROR(__xludf.DUMMYFUNCTION("""COMPUTED_VALUE"""),"Darius Bazley")</f>
        <v>Darius Bazley</v>
      </c>
      <c r="B31" s="53" t="str">
        <f>IFERROR(__xludf.DUMMYFUNCTION("""COMPUTED_VALUE"""),"")</f>
        <v/>
      </c>
      <c r="C31" s="53" t="str">
        <f>IFERROR(__xludf.DUMMYFUNCTION("""COMPUTED_VALUE"""),"")</f>
        <v/>
      </c>
      <c r="D31" s="53" t="str">
        <f>IFERROR(__xludf.DUMMYFUNCTION("""COMPUTED_VALUE"""),"")</f>
        <v/>
      </c>
      <c r="E31" s="53">
        <f>IFERROR(__xludf.DUMMYFUNCTION("""COMPUTED_VALUE"""),13.0)</f>
        <v>13</v>
      </c>
      <c r="F31" s="53">
        <f>IFERROR(__xludf.DUMMYFUNCTION("""COMPUTED_VALUE"""),1.0)</f>
        <v>1</v>
      </c>
      <c r="G31" s="53">
        <f>IFERROR(__xludf.DUMMYFUNCTION("""COMPUTED_VALUE"""),5.0)</f>
        <v>5</v>
      </c>
      <c r="H31" s="53">
        <f>IFERROR(__xludf.DUMMYFUNCTION("""COMPUTED_VALUE"""),0.0)</f>
        <v>0</v>
      </c>
      <c r="I31" s="53">
        <f>IFERROR(__xludf.DUMMYFUNCTION("""COMPUTED_VALUE"""),0.0)</f>
        <v>0</v>
      </c>
      <c r="J31" s="53">
        <f>IFERROR(__xludf.DUMMYFUNCTION("""COMPUTED_VALUE"""),5.0)</f>
        <v>5</v>
      </c>
      <c r="K31" s="53">
        <f>IFERROR(__xludf.DUMMYFUNCTION("""COMPUTED_VALUE"""),2.0)</f>
        <v>2</v>
      </c>
      <c r="L31" s="53">
        <f>IFERROR(__xludf.DUMMYFUNCTION("""COMPUTED_VALUE"""),1.0)</f>
        <v>1</v>
      </c>
      <c r="M31" s="53">
        <f>IFERROR(__xludf.DUMMYFUNCTION("""COMPUTED_VALUE"""),1.0)</f>
        <v>1</v>
      </c>
      <c r="N31" s="53">
        <f>IFERROR(__xludf.DUMMYFUNCTION("""COMPUTED_VALUE"""),1.0)</f>
        <v>1</v>
      </c>
      <c r="O31" s="53">
        <f>IFERROR(__xludf.DUMMYFUNCTION("""COMPUTED_VALUE"""),2.0)</f>
        <v>2</v>
      </c>
      <c r="P31" s="53">
        <f>IFERROR(__xludf.DUMMYFUNCTION("""COMPUTED_VALUE"""),6.0)</f>
        <v>6</v>
      </c>
      <c r="Q31" s="54">
        <f>IFERROR(__xludf.DUMMYFUNCTION("""COMPUTED_VALUE"""),0.46153846153846156)</f>
        <v>0.4615384615</v>
      </c>
      <c r="R31" s="55">
        <f>IFERROR(__xludf.DUMMYFUNCTION("""COMPUTED_VALUE"""),27.500000000000004)</f>
        <v>27.5</v>
      </c>
      <c r="S31" s="55">
        <f>IFERROR(__xludf.DUMMYFUNCTION("""COMPUTED_VALUE"""),40.0)</f>
        <v>40</v>
      </c>
      <c r="T31" s="53"/>
      <c r="U31" s="53"/>
      <c r="V31" s="53"/>
    </row>
    <row r="32">
      <c r="A32" s="53" t="str">
        <f>IFERROR(__xludf.DUMMYFUNCTION("""COMPUTED_VALUE"""),"Tre Mann")</f>
        <v>Tre Mann</v>
      </c>
      <c r="B32" s="53" t="str">
        <f>IFERROR(__xludf.DUMMYFUNCTION("""COMPUTED_VALUE"""),"")</f>
        <v/>
      </c>
      <c r="C32" s="53" t="str">
        <f>IFERROR(__xludf.DUMMYFUNCTION("""COMPUTED_VALUE"""),"")</f>
        <v/>
      </c>
      <c r="D32" s="53" t="str">
        <f>IFERROR(__xludf.DUMMYFUNCTION("""COMPUTED_VALUE"""),"")</f>
        <v/>
      </c>
      <c r="E32" s="53">
        <f>IFERROR(__xludf.DUMMYFUNCTION("""COMPUTED_VALUE"""),17.0)</f>
        <v>17</v>
      </c>
      <c r="F32" s="53">
        <f>IFERROR(__xludf.DUMMYFUNCTION("""COMPUTED_VALUE"""),2.0)</f>
        <v>2</v>
      </c>
      <c r="G32" s="53">
        <f>IFERROR(__xludf.DUMMYFUNCTION("""COMPUTED_VALUE"""),5.0)</f>
        <v>5</v>
      </c>
      <c r="H32" s="53">
        <f>IFERROR(__xludf.DUMMYFUNCTION("""COMPUTED_VALUE"""),0.0)</f>
        <v>0</v>
      </c>
      <c r="I32" s="53">
        <f>IFERROR(__xludf.DUMMYFUNCTION("""COMPUTED_VALUE"""),1.0)</f>
        <v>1</v>
      </c>
      <c r="J32" s="53">
        <f>IFERROR(__xludf.DUMMYFUNCTION("""COMPUTED_VALUE"""),2.0)</f>
        <v>2</v>
      </c>
      <c r="K32" s="53">
        <f>IFERROR(__xludf.DUMMYFUNCTION("""COMPUTED_VALUE"""),2.0)</f>
        <v>2</v>
      </c>
      <c r="L32" s="53">
        <f>IFERROR(__xludf.DUMMYFUNCTION("""COMPUTED_VALUE"""),0.0)</f>
        <v>0</v>
      </c>
      <c r="M32" s="53">
        <f>IFERROR(__xludf.DUMMYFUNCTION("""COMPUTED_VALUE"""),1.0)</f>
        <v>1</v>
      </c>
      <c r="N32" s="53">
        <f>IFERROR(__xludf.DUMMYFUNCTION("""COMPUTED_VALUE"""),0.0)</f>
        <v>0</v>
      </c>
      <c r="O32" s="53">
        <f>IFERROR(__xludf.DUMMYFUNCTION("""COMPUTED_VALUE"""),4.0)</f>
        <v>4</v>
      </c>
      <c r="P32" s="53">
        <f>IFERROR(__xludf.DUMMYFUNCTION("""COMPUTED_VALUE"""),5.0)</f>
        <v>5</v>
      </c>
      <c r="Q32" s="54">
        <f>IFERROR(__xludf.DUMMYFUNCTION("""COMPUTED_VALUE"""),0.29411764705882354)</f>
        <v>0.2941176471</v>
      </c>
      <c r="R32" s="55">
        <f>IFERROR(__xludf.DUMMYFUNCTION("""COMPUTED_VALUE"""),22.5)</f>
        <v>22.5</v>
      </c>
      <c r="S32" s="55">
        <f>IFERROR(__xludf.DUMMYFUNCTION("""COMPUTED_VALUE"""),17.5)</f>
        <v>17.5</v>
      </c>
      <c r="T32" s="53"/>
      <c r="U32" s="53"/>
      <c r="V32" s="53"/>
    </row>
    <row r="33">
      <c r="A33" s="53" t="str">
        <f>IFERROR(__xludf.DUMMYFUNCTION("""COMPUTED_VALUE"""),"James Wiseman")</f>
        <v>James Wiseman</v>
      </c>
      <c r="B33" s="53" t="str">
        <f>IFERROR(__xludf.DUMMYFUNCTION("""COMPUTED_VALUE"""),"")</f>
        <v/>
      </c>
      <c r="C33" s="53" t="str">
        <f>IFERROR(__xludf.DUMMYFUNCTION("""COMPUTED_VALUE"""),"")</f>
        <v/>
      </c>
      <c r="D33" s="53" t="str">
        <f>IFERROR(__xludf.DUMMYFUNCTION("""COMPUTED_VALUE"""),"")</f>
        <v/>
      </c>
      <c r="E33" s="53">
        <f>IFERROR(__xludf.DUMMYFUNCTION("""COMPUTED_VALUE"""),9.0)</f>
        <v>9</v>
      </c>
      <c r="F33" s="53">
        <f>IFERROR(__xludf.DUMMYFUNCTION("""COMPUTED_VALUE"""),1.0)</f>
        <v>1</v>
      </c>
      <c r="G33" s="53">
        <f>IFERROR(__xludf.DUMMYFUNCTION("""COMPUTED_VALUE"""),3.0)</f>
        <v>3</v>
      </c>
      <c r="H33" s="53">
        <f>IFERROR(__xludf.DUMMYFUNCTION("""COMPUTED_VALUE"""),0.0)</f>
        <v>0</v>
      </c>
      <c r="I33" s="53">
        <f>IFERROR(__xludf.DUMMYFUNCTION("""COMPUTED_VALUE"""),0.0)</f>
        <v>0</v>
      </c>
      <c r="J33" s="53">
        <f>IFERROR(__xludf.DUMMYFUNCTION("""COMPUTED_VALUE"""),3.0)</f>
        <v>3</v>
      </c>
      <c r="K33" s="53">
        <f>IFERROR(__xludf.DUMMYFUNCTION("""COMPUTED_VALUE"""),1.0)</f>
        <v>1</v>
      </c>
      <c r="L33" s="53">
        <f>IFERROR(__xludf.DUMMYFUNCTION("""COMPUTED_VALUE"""),1.0)</f>
        <v>1</v>
      </c>
      <c r="M33" s="53">
        <f>IFERROR(__xludf.DUMMYFUNCTION("""COMPUTED_VALUE"""),0.0)</f>
        <v>0</v>
      </c>
      <c r="N33" s="53">
        <f>IFERROR(__xludf.DUMMYFUNCTION("""COMPUTED_VALUE"""),0.0)</f>
        <v>0</v>
      </c>
      <c r="O33" s="53">
        <f>IFERROR(__xludf.DUMMYFUNCTION("""COMPUTED_VALUE"""),2.0)</f>
        <v>2</v>
      </c>
      <c r="P33" s="53">
        <f>IFERROR(__xludf.DUMMYFUNCTION("""COMPUTED_VALUE"""),5.0)</f>
        <v>5</v>
      </c>
      <c r="Q33" s="54">
        <f>IFERROR(__xludf.DUMMYFUNCTION("""COMPUTED_VALUE"""),0.5555555555555556)</f>
        <v>0.5555555556</v>
      </c>
      <c r="R33" s="55">
        <f>IFERROR(__xludf.DUMMYFUNCTION("""COMPUTED_VALUE"""),22.5)</f>
        <v>22.5</v>
      </c>
      <c r="S33" s="55">
        <f>IFERROR(__xludf.DUMMYFUNCTION("""COMPUTED_VALUE"""),52.5)</f>
        <v>52.5</v>
      </c>
      <c r="T33" s="53"/>
      <c r="U33" s="53"/>
      <c r="V33" s="53"/>
    </row>
    <row r="34">
      <c r="A34" s="53" t="str">
        <f>IFERROR(__xludf.DUMMYFUNCTION("""COMPUTED_VALUE"""),"Christian Braun")</f>
        <v>Christian Braun</v>
      </c>
      <c r="B34" s="53" t="str">
        <f>IFERROR(__xludf.DUMMYFUNCTION("""COMPUTED_VALUE"""),"")</f>
        <v/>
      </c>
      <c r="C34" s="53" t="str">
        <f>IFERROR(__xludf.DUMMYFUNCTION("""COMPUTED_VALUE"""),"")</f>
        <v/>
      </c>
      <c r="D34" s="53" t="str">
        <f>IFERROR(__xludf.DUMMYFUNCTION("""COMPUTED_VALUE"""),"")</f>
        <v/>
      </c>
      <c r="E34" s="53">
        <f>IFERROR(__xludf.DUMMYFUNCTION("""COMPUTED_VALUE"""),7.0)</f>
        <v>7</v>
      </c>
      <c r="F34" s="53">
        <f>IFERROR(__xludf.DUMMYFUNCTION("""COMPUTED_VALUE"""),1.0)</f>
        <v>1</v>
      </c>
      <c r="G34" s="53">
        <f>IFERROR(__xludf.DUMMYFUNCTION("""COMPUTED_VALUE"""),1.0)</f>
        <v>1</v>
      </c>
      <c r="H34" s="53">
        <f>IFERROR(__xludf.DUMMYFUNCTION("""COMPUTED_VALUE"""),0.0)</f>
        <v>0</v>
      </c>
      <c r="I34" s="53">
        <f>IFERROR(__xludf.DUMMYFUNCTION("""COMPUTED_VALUE"""),0.0)</f>
        <v>0</v>
      </c>
      <c r="J34" s="53">
        <f>IFERROR(__xludf.DUMMYFUNCTION("""COMPUTED_VALUE"""),0.0)</f>
        <v>0</v>
      </c>
      <c r="K34" s="53">
        <f>IFERROR(__xludf.DUMMYFUNCTION("""COMPUTED_VALUE"""),1.0)</f>
        <v>1</v>
      </c>
      <c r="L34" s="53">
        <f>IFERROR(__xludf.DUMMYFUNCTION("""COMPUTED_VALUE"""),0.0)</f>
        <v>0</v>
      </c>
      <c r="M34" s="53">
        <f>IFERROR(__xludf.DUMMYFUNCTION("""COMPUTED_VALUE"""),0.0)</f>
        <v>0</v>
      </c>
      <c r="N34" s="53">
        <f>IFERROR(__xludf.DUMMYFUNCTION("""COMPUTED_VALUE"""),0.0)</f>
        <v>0</v>
      </c>
      <c r="O34" s="53">
        <f>IFERROR(__xludf.DUMMYFUNCTION("""COMPUTED_VALUE"""),3.0)</f>
        <v>3</v>
      </c>
      <c r="P34" s="53">
        <f>IFERROR(__xludf.DUMMYFUNCTION("""COMPUTED_VALUE"""),4.0)</f>
        <v>4</v>
      </c>
      <c r="Q34" s="54">
        <f>IFERROR(__xludf.DUMMYFUNCTION("""COMPUTED_VALUE"""),0.5714285714285714)</f>
        <v>0.5714285714</v>
      </c>
      <c r="R34" s="55">
        <f>IFERROR(__xludf.DUMMYFUNCTION("""COMPUTED_VALUE"""),20.0)</f>
        <v>20</v>
      </c>
      <c r="S34" s="55">
        <f>IFERROR(__xludf.DUMMYFUNCTION("""COMPUTED_VALUE"""),60.0)</f>
        <v>60</v>
      </c>
      <c r="T34" s="53"/>
      <c r="U34" s="53"/>
      <c r="V34" s="53"/>
    </row>
    <row r="35">
      <c r="A35" s="53" t="str">
        <f>IFERROR(__xludf.DUMMYFUNCTION("""COMPUTED_VALUE"""),"Caleb Houstan")</f>
        <v>Caleb Houstan</v>
      </c>
      <c r="B35" s="53" t="str">
        <f>IFERROR(__xludf.DUMMYFUNCTION("""COMPUTED_VALUE"""),"")</f>
        <v/>
      </c>
      <c r="C35" s="53" t="str">
        <f>IFERROR(__xludf.DUMMYFUNCTION("""COMPUTED_VALUE"""),"")</f>
        <v/>
      </c>
      <c r="D35" s="53" t="str">
        <f>IFERROR(__xludf.DUMMYFUNCTION("""COMPUTED_VALUE"""),"")</f>
        <v/>
      </c>
      <c r="E35" s="53">
        <f>IFERROR(__xludf.DUMMYFUNCTION("""COMPUTED_VALUE"""),4.0)</f>
        <v>4</v>
      </c>
      <c r="F35" s="53">
        <f>IFERROR(__xludf.DUMMYFUNCTION("""COMPUTED_VALUE"""),0.0)</f>
        <v>0</v>
      </c>
      <c r="G35" s="53">
        <f>IFERROR(__xludf.DUMMYFUNCTION("""COMPUTED_VALUE"""),1.0)</f>
        <v>1</v>
      </c>
      <c r="H35" s="53">
        <f>IFERROR(__xludf.DUMMYFUNCTION("""COMPUTED_VALUE"""),2.0)</f>
        <v>2</v>
      </c>
      <c r="I35" s="53">
        <f>IFERROR(__xludf.DUMMYFUNCTION("""COMPUTED_VALUE"""),2.0)</f>
        <v>2</v>
      </c>
      <c r="J35" s="53">
        <f>IFERROR(__xludf.DUMMYFUNCTION("""COMPUTED_VALUE"""),1.0)</f>
        <v>1</v>
      </c>
      <c r="K35" s="53">
        <f>IFERROR(__xludf.DUMMYFUNCTION("""COMPUTED_VALUE"""),0.0)</f>
        <v>0</v>
      </c>
      <c r="L35" s="53">
        <f>IFERROR(__xludf.DUMMYFUNCTION("""COMPUTED_VALUE"""),1.0)</f>
        <v>1</v>
      </c>
      <c r="M35" s="53">
        <f>IFERROR(__xludf.DUMMYFUNCTION("""COMPUTED_VALUE"""),0.0)</f>
        <v>0</v>
      </c>
      <c r="N35" s="53">
        <f>IFERROR(__xludf.DUMMYFUNCTION("""COMPUTED_VALUE"""),0.0)</f>
        <v>0</v>
      </c>
      <c r="O35" s="53">
        <f>IFERROR(__xludf.DUMMYFUNCTION("""COMPUTED_VALUE"""),2.0)</f>
        <v>2</v>
      </c>
      <c r="P35" s="53">
        <f>IFERROR(__xludf.DUMMYFUNCTION("""COMPUTED_VALUE"""),3.0)</f>
        <v>3</v>
      </c>
      <c r="Q35" s="54">
        <f>IFERROR(__xludf.DUMMYFUNCTION("""COMPUTED_VALUE"""),0.75)</f>
        <v>0.75</v>
      </c>
      <c r="R35" s="55">
        <f>IFERROR(__xludf.DUMMYFUNCTION("""COMPUTED_VALUE"""),12.5)</f>
        <v>12.5</v>
      </c>
      <c r="S35" s="55">
        <f>IFERROR(__xludf.DUMMYFUNCTION("""COMPUTED_VALUE"""),80.0)</f>
        <v>80</v>
      </c>
      <c r="T35" s="53"/>
      <c r="U35" s="53"/>
      <c r="V35" s="53"/>
    </row>
    <row r="36">
      <c r="A36" s="53" t="str">
        <f>IFERROR(__xludf.DUMMYFUNCTION("""COMPUTED_VALUE"""),"Ty Jerome")</f>
        <v>Ty Jerome</v>
      </c>
      <c r="B36" s="53" t="str">
        <f>IFERROR(__xludf.DUMMYFUNCTION("""COMPUTED_VALUE"""),"")</f>
        <v/>
      </c>
      <c r="C36" s="53" t="str">
        <f>IFERROR(__xludf.DUMMYFUNCTION("""COMPUTED_VALUE"""),"")</f>
        <v/>
      </c>
      <c r="D36" s="53" t="str">
        <f>IFERROR(__xludf.DUMMYFUNCTION("""COMPUTED_VALUE"""),"")</f>
        <v/>
      </c>
      <c r="E36" s="53">
        <f>IFERROR(__xludf.DUMMYFUNCTION("""COMPUTED_VALUE"""),13.0)</f>
        <v>13</v>
      </c>
      <c r="F36" s="53">
        <f>IFERROR(__xludf.DUMMYFUNCTION("""COMPUTED_VALUE"""),1.0)</f>
        <v>1</v>
      </c>
      <c r="G36" s="53">
        <f>IFERROR(__xludf.DUMMYFUNCTION("""COMPUTED_VALUE"""),2.0)</f>
        <v>2</v>
      </c>
      <c r="H36" s="53">
        <f>IFERROR(__xludf.DUMMYFUNCTION("""COMPUTED_VALUE"""),0.0)</f>
        <v>0</v>
      </c>
      <c r="I36" s="53">
        <f>IFERROR(__xludf.DUMMYFUNCTION("""COMPUTED_VALUE"""),0.0)</f>
        <v>0</v>
      </c>
      <c r="J36" s="53">
        <f>IFERROR(__xludf.DUMMYFUNCTION("""COMPUTED_VALUE"""),0.0)</f>
        <v>0</v>
      </c>
      <c r="K36" s="53">
        <f>IFERROR(__xludf.DUMMYFUNCTION("""COMPUTED_VALUE"""),3.0)</f>
        <v>3</v>
      </c>
      <c r="L36" s="53">
        <f>IFERROR(__xludf.DUMMYFUNCTION("""COMPUTED_VALUE"""),0.0)</f>
        <v>0</v>
      </c>
      <c r="M36" s="53">
        <f>IFERROR(__xludf.DUMMYFUNCTION("""COMPUTED_VALUE"""),0.0)</f>
        <v>0</v>
      </c>
      <c r="N36" s="53">
        <f>IFERROR(__xludf.DUMMYFUNCTION("""COMPUTED_VALUE"""),1.0)</f>
        <v>1</v>
      </c>
      <c r="O36" s="53">
        <f>IFERROR(__xludf.DUMMYFUNCTION("""COMPUTED_VALUE"""),2.0)</f>
        <v>2</v>
      </c>
      <c r="P36" s="53">
        <f>IFERROR(__xludf.DUMMYFUNCTION("""COMPUTED_VALUE"""),3.0)</f>
        <v>3</v>
      </c>
      <c r="Q36" s="54">
        <f>IFERROR(__xludf.DUMMYFUNCTION("""COMPUTED_VALUE"""),0.23076923076923078)</f>
        <v>0.2307692308</v>
      </c>
      <c r="R36" s="55">
        <f>IFERROR(__xludf.DUMMYFUNCTION("""COMPUTED_VALUE"""),12.5)</f>
        <v>12.5</v>
      </c>
      <c r="S36" s="55">
        <f>IFERROR(__xludf.DUMMYFUNCTION("""COMPUTED_VALUE"""),10.0)</f>
        <v>10</v>
      </c>
      <c r="T36" s="53"/>
      <c r="U36" s="53"/>
      <c r="V36" s="53"/>
    </row>
    <row r="37">
      <c r="A37" s="53" t="str">
        <f>IFERROR(__xludf.DUMMYFUNCTION("""COMPUTED_VALUE"""),"Ousmane Dieng")</f>
        <v>Ousmane Dieng</v>
      </c>
      <c r="B37" s="53" t="str">
        <f>IFERROR(__xludf.DUMMYFUNCTION("""COMPUTED_VALUE"""),"")</f>
        <v/>
      </c>
      <c r="C37" s="53" t="str">
        <f>IFERROR(__xludf.DUMMYFUNCTION("""COMPUTED_VALUE"""),"")</f>
        <v/>
      </c>
      <c r="D37" s="53" t="str">
        <f>IFERROR(__xludf.DUMMYFUNCTION("""COMPUTED_VALUE"""),"")</f>
        <v/>
      </c>
      <c r="E37" s="53">
        <f>IFERROR(__xludf.DUMMYFUNCTION("""COMPUTED_VALUE"""),12.0)</f>
        <v>12</v>
      </c>
      <c r="F37" s="53">
        <f>IFERROR(__xludf.DUMMYFUNCTION("""COMPUTED_VALUE"""),1.0)</f>
        <v>1</v>
      </c>
      <c r="G37" s="53">
        <f>IFERROR(__xludf.DUMMYFUNCTION("""COMPUTED_VALUE"""),3.0)</f>
        <v>3</v>
      </c>
      <c r="H37" s="53">
        <f>IFERROR(__xludf.DUMMYFUNCTION("""COMPUTED_VALUE"""),1.0)</f>
        <v>1</v>
      </c>
      <c r="I37" s="53">
        <f>IFERROR(__xludf.DUMMYFUNCTION("""COMPUTED_VALUE"""),2.0)</f>
        <v>2</v>
      </c>
      <c r="J37" s="53">
        <f>IFERROR(__xludf.DUMMYFUNCTION("""COMPUTED_VALUE"""),3.0)</f>
        <v>3</v>
      </c>
      <c r="K37" s="53">
        <f>IFERROR(__xludf.DUMMYFUNCTION("""COMPUTED_VALUE"""),1.0)</f>
        <v>1</v>
      </c>
      <c r="L37" s="53">
        <f>IFERROR(__xludf.DUMMYFUNCTION("""COMPUTED_VALUE"""),0.0)</f>
        <v>0</v>
      </c>
      <c r="M37" s="53">
        <f>IFERROR(__xludf.DUMMYFUNCTION("""COMPUTED_VALUE"""),0.0)</f>
        <v>0</v>
      </c>
      <c r="N37" s="53">
        <f>IFERROR(__xludf.DUMMYFUNCTION("""COMPUTED_VALUE"""),1.0)</f>
        <v>1</v>
      </c>
      <c r="O37" s="53">
        <f>IFERROR(__xludf.DUMMYFUNCTION("""COMPUTED_VALUE"""),3.0)</f>
        <v>3</v>
      </c>
      <c r="P37" s="53">
        <f>IFERROR(__xludf.DUMMYFUNCTION("""COMPUTED_VALUE"""),3.0)</f>
        <v>3</v>
      </c>
      <c r="Q37" s="54">
        <f>IFERROR(__xludf.DUMMYFUNCTION("""COMPUTED_VALUE"""),0.25)</f>
        <v>0.25</v>
      </c>
      <c r="R37" s="55">
        <f>IFERROR(__xludf.DUMMYFUNCTION("""COMPUTED_VALUE"""),12.5)</f>
        <v>12.5</v>
      </c>
      <c r="S37" s="55">
        <f>IFERROR(__xludf.DUMMYFUNCTION("""COMPUTED_VALUE"""),12.5)</f>
        <v>12.5</v>
      </c>
      <c r="T37" s="53"/>
      <c r="U37" s="53"/>
      <c r="V37" s="53"/>
    </row>
    <row r="38">
      <c r="A38" s="53" t="str">
        <f>IFERROR(__xludf.DUMMYFUNCTION("""COMPUTED_VALUE"""),"Jordan Poole")</f>
        <v>Jordan Poole</v>
      </c>
      <c r="B38" s="53" t="str">
        <f>IFERROR(__xludf.DUMMYFUNCTION("""COMPUTED_VALUE"""),"")</f>
        <v/>
      </c>
      <c r="C38" s="53" t="str">
        <f>IFERROR(__xludf.DUMMYFUNCTION("""COMPUTED_VALUE"""),"")</f>
        <v/>
      </c>
      <c r="D38" s="53" t="str">
        <f>IFERROR(__xludf.DUMMYFUNCTION("""COMPUTED_VALUE"""),"")</f>
        <v/>
      </c>
      <c r="E38" s="53">
        <f>IFERROR(__xludf.DUMMYFUNCTION("""COMPUTED_VALUE"""),24.0)</f>
        <v>24</v>
      </c>
      <c r="F38" s="53">
        <f>IFERROR(__xludf.DUMMYFUNCTION("""COMPUTED_VALUE"""),4.0)</f>
        <v>4</v>
      </c>
      <c r="G38" s="53">
        <f>IFERROR(__xludf.DUMMYFUNCTION("""COMPUTED_VALUE"""),12.0)</f>
        <v>12</v>
      </c>
      <c r="H38" s="53">
        <f>IFERROR(__xludf.DUMMYFUNCTION("""COMPUTED_VALUE"""),2.0)</f>
        <v>2</v>
      </c>
      <c r="I38" s="53">
        <f>IFERROR(__xludf.DUMMYFUNCTION("""COMPUTED_VALUE"""),3.0)</f>
        <v>3</v>
      </c>
      <c r="J38" s="53">
        <f>IFERROR(__xludf.DUMMYFUNCTION("""COMPUTED_VALUE"""),2.0)</f>
        <v>2</v>
      </c>
      <c r="K38" s="53">
        <f>IFERROR(__xludf.DUMMYFUNCTION("""COMPUTED_VALUE"""),2.0)</f>
        <v>2</v>
      </c>
      <c r="L38" s="53">
        <f>IFERROR(__xludf.DUMMYFUNCTION("""COMPUTED_VALUE"""),0.0)</f>
        <v>0</v>
      </c>
      <c r="M38" s="53">
        <f>IFERROR(__xludf.DUMMYFUNCTION("""COMPUTED_VALUE"""),0.0)</f>
        <v>0</v>
      </c>
      <c r="N38" s="53">
        <f>IFERROR(__xludf.DUMMYFUNCTION("""COMPUTED_VALUE"""),4.0)</f>
        <v>4</v>
      </c>
      <c r="O38" s="53">
        <f>IFERROR(__xludf.DUMMYFUNCTION("""COMPUTED_VALUE"""),11.0)</f>
        <v>11</v>
      </c>
      <c r="P38" s="53">
        <f>IFERROR(__xludf.DUMMYFUNCTION("""COMPUTED_VALUE"""),2.0)</f>
        <v>2</v>
      </c>
      <c r="Q38" s="54">
        <f>IFERROR(__xludf.DUMMYFUNCTION("""COMPUTED_VALUE"""),0.08333333333333333)</f>
        <v>0.08333333333</v>
      </c>
      <c r="R38" s="55">
        <f>IFERROR(__xludf.DUMMYFUNCTION("""COMPUTED_VALUE"""),5.0)</f>
        <v>5</v>
      </c>
      <c r="S38" s="55">
        <f>IFERROR(__xludf.DUMMYFUNCTION("""COMPUTED_VALUE"""),2.5)</f>
        <v>2.5</v>
      </c>
      <c r="T38" s="53"/>
      <c r="U38" s="53"/>
      <c r="V38" s="53"/>
    </row>
    <row r="39">
      <c r="A39" s="53" t="str">
        <f>IFERROR(__xludf.DUMMYFUNCTION("""COMPUTED_VALUE"""),"Davon Reed")</f>
        <v>Davon Reed</v>
      </c>
      <c r="B39" s="53" t="str">
        <f>IFERROR(__xludf.DUMMYFUNCTION("""COMPUTED_VALUE"""),"")</f>
        <v/>
      </c>
      <c r="C39" s="53" t="str">
        <f>IFERROR(__xludf.DUMMYFUNCTION("""COMPUTED_VALUE"""),"")</f>
        <v/>
      </c>
      <c r="D39" s="53" t="str">
        <f>IFERROR(__xludf.DUMMYFUNCTION("""COMPUTED_VALUE"""),"")</f>
        <v/>
      </c>
      <c r="E39" s="53">
        <f>IFERROR(__xludf.DUMMYFUNCTION("""COMPUTED_VALUE"""),8.0)</f>
        <v>8</v>
      </c>
      <c r="F39" s="53">
        <f>IFERROR(__xludf.DUMMYFUNCTION("""COMPUTED_VALUE"""),2.0)</f>
        <v>2</v>
      </c>
      <c r="G39" s="53">
        <f>IFERROR(__xludf.DUMMYFUNCTION("""COMPUTED_VALUE"""),4.0)</f>
        <v>4</v>
      </c>
      <c r="H39" s="53">
        <f>IFERROR(__xludf.DUMMYFUNCTION("""COMPUTED_VALUE"""),0.0)</f>
        <v>0</v>
      </c>
      <c r="I39" s="53">
        <f>IFERROR(__xludf.DUMMYFUNCTION("""COMPUTED_VALUE"""),0.0)</f>
        <v>0</v>
      </c>
      <c r="J39" s="53">
        <f>IFERROR(__xludf.DUMMYFUNCTION("""COMPUTED_VALUE"""),1.0)</f>
        <v>1</v>
      </c>
      <c r="K39" s="53">
        <f>IFERROR(__xludf.DUMMYFUNCTION("""COMPUTED_VALUE"""),0.0)</f>
        <v>0</v>
      </c>
      <c r="L39" s="53">
        <f>IFERROR(__xludf.DUMMYFUNCTION("""COMPUTED_VALUE"""),0.0)</f>
        <v>0</v>
      </c>
      <c r="M39" s="53">
        <f>IFERROR(__xludf.DUMMYFUNCTION("""COMPUTED_VALUE"""),0.0)</f>
        <v>0</v>
      </c>
      <c r="N39" s="53">
        <f>IFERROR(__xludf.DUMMYFUNCTION("""COMPUTED_VALUE"""),2.0)</f>
        <v>2</v>
      </c>
      <c r="O39" s="53">
        <f>IFERROR(__xludf.DUMMYFUNCTION("""COMPUTED_VALUE"""),5.0)</f>
        <v>5</v>
      </c>
      <c r="P39" s="53">
        <f>IFERROR(__xludf.DUMMYFUNCTION("""COMPUTED_VALUE"""),2.0)</f>
        <v>2</v>
      </c>
      <c r="Q39" s="54">
        <f>IFERROR(__xludf.DUMMYFUNCTION("""COMPUTED_VALUE"""),0.25)</f>
        <v>0.25</v>
      </c>
      <c r="R39" s="55">
        <f>IFERROR(__xludf.DUMMYFUNCTION("""COMPUTED_VALUE"""),5.0)</f>
        <v>5</v>
      </c>
      <c r="S39" s="55">
        <f>IFERROR(__xludf.DUMMYFUNCTION("""COMPUTED_VALUE"""),12.5)</f>
        <v>12.5</v>
      </c>
      <c r="T39" s="53"/>
      <c r="U39" s="53"/>
      <c r="V39" s="53"/>
    </row>
    <row r="40">
      <c r="A40" s="53" t="str">
        <f>IFERROR(__xludf.DUMMYFUNCTION("""COMPUTED_VALUE"""),"Moses Moody")</f>
        <v>Moses Moody</v>
      </c>
      <c r="B40" s="53" t="str">
        <f>IFERROR(__xludf.DUMMYFUNCTION("""COMPUTED_VALUE"""),"")</f>
        <v/>
      </c>
      <c r="C40" s="53" t="str">
        <f>IFERROR(__xludf.DUMMYFUNCTION("""COMPUTED_VALUE"""),"")</f>
        <v/>
      </c>
      <c r="D40" s="53" t="str">
        <f>IFERROR(__xludf.DUMMYFUNCTION("""COMPUTED_VALUE"""),"")</f>
        <v/>
      </c>
      <c r="E40" s="53">
        <f>IFERROR(__xludf.DUMMYFUNCTION("""COMPUTED_VALUE"""),11.0)</f>
        <v>11</v>
      </c>
      <c r="F40" s="53">
        <f>IFERROR(__xludf.DUMMYFUNCTION("""COMPUTED_VALUE"""),0.0)</f>
        <v>0</v>
      </c>
      <c r="G40" s="53">
        <f>IFERROR(__xludf.DUMMYFUNCTION("""COMPUTED_VALUE"""),1.0)</f>
        <v>1</v>
      </c>
      <c r="H40" s="53">
        <f>IFERROR(__xludf.DUMMYFUNCTION("""COMPUTED_VALUE"""),1.0)</f>
        <v>1</v>
      </c>
      <c r="I40" s="53">
        <f>IFERROR(__xludf.DUMMYFUNCTION("""COMPUTED_VALUE"""),2.0)</f>
        <v>2</v>
      </c>
      <c r="J40" s="53">
        <f>IFERROR(__xludf.DUMMYFUNCTION("""COMPUTED_VALUE"""),2.0)</f>
        <v>2</v>
      </c>
      <c r="K40" s="53">
        <f>IFERROR(__xludf.DUMMYFUNCTION("""COMPUTED_VALUE"""),0.0)</f>
        <v>0</v>
      </c>
      <c r="L40" s="53">
        <f>IFERROR(__xludf.DUMMYFUNCTION("""COMPUTED_VALUE"""),1.0)</f>
        <v>1</v>
      </c>
      <c r="M40" s="53">
        <f>IFERROR(__xludf.DUMMYFUNCTION("""COMPUTED_VALUE"""),0.0)</f>
        <v>0</v>
      </c>
      <c r="N40" s="53">
        <f>IFERROR(__xludf.DUMMYFUNCTION("""COMPUTED_VALUE"""),0.0)</f>
        <v>0</v>
      </c>
      <c r="O40" s="53">
        <f>IFERROR(__xludf.DUMMYFUNCTION("""COMPUTED_VALUE"""),1.0)</f>
        <v>1</v>
      </c>
      <c r="P40" s="53">
        <f>IFERROR(__xludf.DUMMYFUNCTION("""COMPUTED_VALUE"""),2.0)</f>
        <v>2</v>
      </c>
      <c r="Q40" s="54">
        <f>IFERROR(__xludf.DUMMYFUNCTION("""COMPUTED_VALUE"""),0.18181818181818182)</f>
        <v>0.1818181818</v>
      </c>
      <c r="R40" s="55">
        <f>IFERROR(__xludf.DUMMYFUNCTION("""COMPUTED_VALUE"""),5.0)</f>
        <v>5</v>
      </c>
      <c r="S40" s="55">
        <f>IFERROR(__xludf.DUMMYFUNCTION("""COMPUTED_VALUE"""),5.0)</f>
        <v>5</v>
      </c>
      <c r="T40" s="53"/>
      <c r="U40" s="53"/>
      <c r="V40" s="53"/>
    </row>
    <row r="41">
      <c r="A41" s="53" t="str">
        <f>IFERROR(__xludf.DUMMYFUNCTION("""COMPUTED_VALUE"""),"Mo Bamba")</f>
        <v>Mo Bamba</v>
      </c>
      <c r="B41" s="53" t="str">
        <f>IFERROR(__xludf.DUMMYFUNCTION("""COMPUTED_VALUE"""),"")</f>
        <v/>
      </c>
      <c r="C41" s="53" t="str">
        <f>IFERROR(__xludf.DUMMYFUNCTION("""COMPUTED_VALUE"""),"")</f>
        <v/>
      </c>
      <c r="D41" s="53" t="str">
        <f>IFERROR(__xludf.DUMMYFUNCTION("""COMPUTED_VALUE"""),"")</f>
        <v/>
      </c>
      <c r="E41" s="53">
        <f>IFERROR(__xludf.DUMMYFUNCTION("""COMPUTED_VALUE"""),5.0)</f>
        <v>5</v>
      </c>
      <c r="F41" s="53">
        <f>IFERROR(__xludf.DUMMYFUNCTION("""COMPUTED_VALUE"""),0.0)</f>
        <v>0</v>
      </c>
      <c r="G41" s="53">
        <f>IFERROR(__xludf.DUMMYFUNCTION("""COMPUTED_VALUE"""),0.0)</f>
        <v>0</v>
      </c>
      <c r="H41" s="53">
        <f>IFERROR(__xludf.DUMMYFUNCTION("""COMPUTED_VALUE"""),0.0)</f>
        <v>0</v>
      </c>
      <c r="I41" s="53">
        <f>IFERROR(__xludf.DUMMYFUNCTION("""COMPUTED_VALUE"""),0.0)</f>
        <v>0</v>
      </c>
      <c r="J41" s="53">
        <f>IFERROR(__xludf.DUMMYFUNCTION("""COMPUTED_VALUE"""),2.0)</f>
        <v>2</v>
      </c>
      <c r="K41" s="53">
        <f>IFERROR(__xludf.DUMMYFUNCTION("""COMPUTED_VALUE"""),0.0)</f>
        <v>0</v>
      </c>
      <c r="L41" s="53">
        <f>IFERROR(__xludf.DUMMYFUNCTION("""COMPUTED_VALUE"""),0.0)</f>
        <v>0</v>
      </c>
      <c r="M41" s="53">
        <f>IFERROR(__xludf.DUMMYFUNCTION("""COMPUTED_VALUE"""),0.0)</f>
        <v>0</v>
      </c>
      <c r="N41" s="53">
        <f>IFERROR(__xludf.DUMMYFUNCTION("""COMPUTED_VALUE"""),1.0)</f>
        <v>1</v>
      </c>
      <c r="O41" s="53">
        <f>IFERROR(__xludf.DUMMYFUNCTION("""COMPUTED_VALUE"""),0.0)</f>
        <v>0</v>
      </c>
      <c r="P41" s="53">
        <f>IFERROR(__xludf.DUMMYFUNCTION("""COMPUTED_VALUE"""),1.0)</f>
        <v>1</v>
      </c>
      <c r="Q41" s="54">
        <f>IFERROR(__xludf.DUMMYFUNCTION("""COMPUTED_VALUE"""),0.2)</f>
        <v>0.2</v>
      </c>
      <c r="R41" s="55">
        <f>IFERROR(__xludf.DUMMYFUNCTION("""COMPUTED_VALUE"""),2.5)</f>
        <v>2.5</v>
      </c>
      <c r="S41" s="55">
        <f>IFERROR(__xludf.DUMMYFUNCTION("""COMPUTED_VALUE"""),7.5)</f>
        <v>7.5</v>
      </c>
      <c r="T41" s="53"/>
      <c r="U41" s="53"/>
      <c r="V41" s="53"/>
    </row>
    <row r="42">
      <c r="A42" s="53" t="str">
        <f>IFERROR(__xludf.DUMMYFUNCTION("""COMPUTED_VALUE"""),"Mike Muscala")</f>
        <v>Mike Muscala</v>
      </c>
      <c r="B42" s="53" t="str">
        <f>IFERROR(__xludf.DUMMYFUNCTION("""COMPUTED_VALUE"""),"")</f>
        <v/>
      </c>
      <c r="C42" s="53" t="str">
        <f>IFERROR(__xludf.DUMMYFUNCTION("""COMPUTED_VALUE"""),"")</f>
        <v/>
      </c>
      <c r="D42" s="53" t="str">
        <f>IFERROR(__xludf.DUMMYFUNCTION("""COMPUTED_VALUE"""),"")</f>
        <v/>
      </c>
      <c r="E42" s="53">
        <f>IFERROR(__xludf.DUMMYFUNCTION("""COMPUTED_VALUE"""),12.0)</f>
        <v>12</v>
      </c>
      <c r="F42" s="53">
        <f>IFERROR(__xludf.DUMMYFUNCTION("""COMPUTED_VALUE"""),0.0)</f>
        <v>0</v>
      </c>
      <c r="G42" s="53">
        <f>IFERROR(__xludf.DUMMYFUNCTION("""COMPUTED_VALUE"""),3.0)</f>
        <v>3</v>
      </c>
      <c r="H42" s="53">
        <f>IFERROR(__xludf.DUMMYFUNCTION("""COMPUTED_VALUE"""),0.0)</f>
        <v>0</v>
      </c>
      <c r="I42" s="53">
        <f>IFERROR(__xludf.DUMMYFUNCTION("""COMPUTED_VALUE"""),0.0)</f>
        <v>0</v>
      </c>
      <c r="J42" s="53">
        <f>IFERROR(__xludf.DUMMYFUNCTION("""COMPUTED_VALUE"""),2.0)</f>
        <v>2</v>
      </c>
      <c r="K42" s="53">
        <f>IFERROR(__xludf.DUMMYFUNCTION("""COMPUTED_VALUE"""),0.0)</f>
        <v>0</v>
      </c>
      <c r="L42" s="53">
        <f>IFERROR(__xludf.DUMMYFUNCTION("""COMPUTED_VALUE"""),0.0)</f>
        <v>0</v>
      </c>
      <c r="M42" s="53">
        <f>IFERROR(__xludf.DUMMYFUNCTION("""COMPUTED_VALUE"""),0.0)</f>
        <v>0</v>
      </c>
      <c r="N42" s="53">
        <f>IFERROR(__xludf.DUMMYFUNCTION("""COMPUTED_VALUE"""),0.0)</f>
        <v>0</v>
      </c>
      <c r="O42" s="53">
        <f>IFERROR(__xludf.DUMMYFUNCTION("""COMPUTED_VALUE"""),0.0)</f>
        <v>0</v>
      </c>
      <c r="P42" s="53">
        <f>IFERROR(__xludf.DUMMYFUNCTION("""COMPUTED_VALUE"""),-1.0)</f>
        <v>-1</v>
      </c>
      <c r="Q42" s="54">
        <f>IFERROR(__xludf.DUMMYFUNCTION("""COMPUTED_VALUE"""),-0.08333333333333333)</f>
        <v>-0.08333333333</v>
      </c>
      <c r="R42" s="55">
        <f>IFERROR(__xludf.DUMMYFUNCTION("""COMPUTED_VALUE"""),0.0)</f>
        <v>0</v>
      </c>
      <c r="S42" s="55">
        <f>IFERROR(__xludf.DUMMYFUNCTION("""COMPUTED_VALUE"""),0.0)</f>
        <v>0</v>
      </c>
      <c r="T42" s="53"/>
      <c r="U42" s="53"/>
      <c r="V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</sheetData>
  <conditionalFormatting sqref="R1:R1000 S1:S1000">
    <cfRule type="colorScale" priority="1">
      <colorScale>
        <cfvo type="min"/>
        <cfvo type="percent" val="50"/>
        <cfvo type="max"/>
        <color rgb="FFE67C73"/>
        <color rgb="FFFFFFFF"/>
        <color rgb="FF57BB8A"/>
      </colorScale>
    </cfRule>
  </conditionalFormatting>
  <conditionalFormatting sqref="A2:Q1000">
    <cfRule type="expression" dxfId="1" priority="2">
      <formula>IFERROR(MATCH($A2,INDIRECT("Free Agents!A:A"),0)&lt;0,TRUE)</formula>
    </cfRule>
  </conditionalFormatting>
  <dataValidations>
    <dataValidation type="list" allowBlank="1" sqref="T2">
      <formula1>"Pos,Age,FPTS,FPPG,FPPM,FPTS RANK,FPPG RANK,FPPM RANK,EDSA RANK"</formula1>
    </dataValidation>
    <dataValidation type="list" allowBlank="1" showErrorMessage="1" sqref="U2">
      <formula1>"TRUE,FALSE"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.88"/>
    <col customWidth="1" min="3" max="3" width="4.0"/>
    <col customWidth="1" min="4" max="4" width="5.0"/>
    <col customWidth="1" min="5" max="5" width="2.75"/>
    <col customWidth="1" min="6" max="6" width="3.88"/>
    <col customWidth="1" min="7" max="7" width="3.13"/>
    <col customWidth="1" min="8" max="8" width="4.25"/>
    <col customWidth="1" min="9" max="9" width="2.88"/>
    <col customWidth="1" min="10" max="10" width="3.88"/>
    <col customWidth="1" min="11" max="11" width="4.25"/>
    <col customWidth="1" min="12" max="12" width="4.13"/>
    <col customWidth="1" min="13" max="13" width="4.0"/>
    <col customWidth="1" min="14" max="14" width="4.25"/>
    <col customWidth="1" min="15" max="15" width="4.13"/>
    <col customWidth="1" min="16" max="16" width="4.0"/>
    <col customWidth="1" min="17" max="17" width="5.0"/>
    <col customWidth="1" min="18" max="18" width="5.25"/>
    <col customWidth="1" min="19" max="19" width="5.38"/>
    <col customWidth="1" min="20" max="20" width="10.13"/>
    <col customWidth="1" min="21" max="22" width="10.5"/>
    <col customWidth="1" min="24" max="24" width="12.88"/>
    <col customWidth="1" min="26" max="26" width="22.88"/>
  </cols>
  <sheetData>
    <row r="1">
      <c r="A1" s="5" t="str">
        <f>'Player Format Data'!A$1</f>
        <v>Player</v>
      </c>
      <c r="B1" s="5" t="str">
        <f>'Player Format Data'!B$1</f>
        <v>Pos</v>
      </c>
      <c r="C1" s="5" t="str">
        <f>'Player Format Data'!C$1</f>
        <v>Age</v>
      </c>
      <c r="D1" s="5" t="str">
        <f>'Player Format Data'!D$1</f>
        <v>Team</v>
      </c>
      <c r="E1" s="5" t="str">
        <f>'Player Format Data'!E$1</f>
        <v>G</v>
      </c>
      <c r="F1" s="5" t="str">
        <f>'Player Format Data'!F$1</f>
        <v>MIN</v>
      </c>
      <c r="G1" s="5" t="str">
        <f>'Player Format Data'!G$1</f>
        <v>FG</v>
      </c>
      <c r="H1" s="5" t="str">
        <f>'Player Format Data'!H$1</f>
        <v>FGA</v>
      </c>
      <c r="I1" s="5" t="str">
        <f>'Player Format Data'!I$1</f>
        <v>FT</v>
      </c>
      <c r="J1" s="5" t="str">
        <f>'Player Format Data'!J$1</f>
        <v>FTA</v>
      </c>
      <c r="K1" s="5" t="str">
        <f>'Player Format Data'!K$1</f>
        <v>TRB</v>
      </c>
      <c r="L1" s="5" t="str">
        <f>'Player Format Data'!L$1</f>
        <v>AST</v>
      </c>
      <c r="M1" s="5" t="str">
        <f>'Player Format Data'!M$1</f>
        <v>STL</v>
      </c>
      <c r="N1" s="5" t="str">
        <f>'Player Format Data'!N$1</f>
        <v>BLK</v>
      </c>
      <c r="O1" s="5" t="str">
        <f>'Player Format Data'!O$1</f>
        <v>TOV</v>
      </c>
      <c r="P1" s="5" t="str">
        <f>'Player Format Data'!P$1</f>
        <v>PTS</v>
      </c>
      <c r="Q1" s="5" t="str">
        <f>'Player Format Data'!Q$1</f>
        <v>FPTS</v>
      </c>
      <c r="R1" s="39" t="str">
        <f>'Player Format Data'!R$1</f>
        <v>FPPG</v>
      </c>
      <c r="S1" s="40" t="str">
        <f>'Player Format Data'!S$1</f>
        <v>FPPM</v>
      </c>
      <c r="T1" s="5" t="str">
        <f>'Player Format Data'!T$1</f>
        <v>FPTS RANK</v>
      </c>
      <c r="U1" s="5" t="str">
        <f>'Player Format Data'!U$1</f>
        <v>FPPG RANK</v>
      </c>
      <c r="V1" s="5" t="str">
        <f>'Player Format Data'!V$1</f>
        <v>FPPM RANK</v>
      </c>
      <c r="W1" s="41" t="str">
        <f>'Player Format Data'!W$1</f>
        <v>EDSA RANK</v>
      </c>
      <c r="X1" s="42" t="s">
        <v>1295</v>
      </c>
      <c r="Y1" s="43" t="s">
        <v>1296</v>
      </c>
      <c r="Z1" s="43" t="s">
        <v>1301</v>
      </c>
    </row>
    <row r="2">
      <c r="A2" t="str">
        <f>IFERROR(__xludf.DUMMYFUNCTION("SORT(FILTER(INDIRECT(CONCATENATE($Z$2,""!A2:W"")),ISNA(MATCH(INDIRECT(CONCATENATE($Z$2,""!A2:A"")),Teams!B:B,0)),ISNA(MATCH(INDIRECT(CONCATENATE($Z$2,""!A2:A"")),Teams!L:L,0))),MATCH(X2,1:1,0),Y2)"),"#N/A")</f>
        <v>#N/A</v>
      </c>
      <c r="X2" s="44" t="s">
        <v>20</v>
      </c>
      <c r="Y2" s="45" t="b">
        <v>0</v>
      </c>
      <c r="Z2" s="45" t="s">
        <v>1302</v>
      </c>
    </row>
    <row r="28">
      <c r="Z28" s="1"/>
    </row>
  </sheetData>
  <dataValidations>
    <dataValidation type="list" allowBlank="1" showErrorMessage="1" sqref="Z2">
      <formula1>"Player Sortable,Day Range Sortable"</formula1>
    </dataValidation>
    <dataValidation type="list" allowBlank="1" sqref="X2">
      <formula1>"Pos,Age,FPTS,FPPG,FPPM,FPTS RANK,FPPG RANK,FPPM RANK,EDSA RANK"</formula1>
    </dataValidation>
    <dataValidation type="list" allowBlank="1" showErrorMessage="1" sqref="Y2">
      <formula1>"TRUE,FALSE"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8.25"/>
    <col customWidth="1" min="3" max="5" width="6.13"/>
    <col customWidth="1" min="6" max="9" width="8.0"/>
    <col customWidth="1" min="11" max="11" width="5.13"/>
    <col customWidth="1" min="12" max="12" width="19.75"/>
    <col customWidth="1" min="13" max="15" width="6.13"/>
    <col customWidth="1" min="16" max="19" width="8.0"/>
    <col customWidth="1" min="20" max="20" width="23.13"/>
  </cols>
  <sheetData>
    <row r="1">
      <c r="A1" s="59" t="s">
        <v>1303</v>
      </c>
      <c r="J1" s="15"/>
      <c r="K1" s="59" t="s">
        <v>1304</v>
      </c>
      <c r="T1" s="60" t="s">
        <v>1301</v>
      </c>
    </row>
    <row r="2">
      <c r="A2" s="61"/>
      <c r="B2" s="62"/>
      <c r="I2" s="63"/>
      <c r="J2" s="15"/>
      <c r="K2" s="61"/>
      <c r="L2" s="62"/>
      <c r="S2" s="64"/>
      <c r="T2" s="65" t="s">
        <v>1305</v>
      </c>
    </row>
    <row r="3">
      <c r="A3" s="66" t="s">
        <v>1306</v>
      </c>
      <c r="C3" s="67" t="s">
        <v>1</v>
      </c>
      <c r="D3" s="68" t="s">
        <v>2</v>
      </c>
      <c r="E3" s="69" t="s">
        <v>3</v>
      </c>
      <c r="F3" s="69" t="s">
        <v>16</v>
      </c>
      <c r="G3" s="70" t="s">
        <v>17</v>
      </c>
      <c r="H3" s="69" t="s">
        <v>18</v>
      </c>
      <c r="I3" s="71" t="s">
        <v>1307</v>
      </c>
      <c r="J3" s="15"/>
      <c r="K3" s="66" t="s">
        <v>1308</v>
      </c>
      <c r="M3" s="67" t="s">
        <v>1</v>
      </c>
      <c r="N3" s="68" t="s">
        <v>2</v>
      </c>
      <c r="O3" s="72" t="s">
        <v>3</v>
      </c>
      <c r="P3" s="69" t="s">
        <v>16</v>
      </c>
      <c r="Q3" s="73" t="s">
        <v>17</v>
      </c>
      <c r="R3" s="69" t="s">
        <v>18</v>
      </c>
      <c r="S3" s="74" t="s">
        <v>1307</v>
      </c>
      <c r="T3" s="15"/>
    </row>
    <row r="4">
      <c r="A4" s="75">
        <v>1.0</v>
      </c>
      <c r="B4" s="76"/>
      <c r="C4" s="77" t="str">
        <f t="array" ref="C4">IF(B4="","", INDEX('Player Format Data'!B:B,MATCH($B4,'Player Format Data'!$A:$A,0)))</f>
        <v/>
      </c>
      <c r="D4" s="78" t="str">
        <f t="array" ref="D4">IF(C4="","", INDEX('Player Format Data'!C:C,MATCH($B4,'Player Format Data'!$A:$A,0)))</f>
        <v/>
      </c>
      <c r="E4" s="77" t="str">
        <f t="array" ref="E4">IF(D4="","", IF(INDEX('Player Format Data'!D:D,MATCH($B4,'Player Format Data'!$A:$A,0))="2TM",INDEX('Player Format Data'!D:D,MATCH($B4,'Player Format Data'!$A:$A,0)+2),INDEX('Player Format Data'!D:D,MATCH($B4,'Player Format Data'!$A:$A,0))))</f>
        <v/>
      </c>
      <c r="F4" s="77" t="str">
        <f t="shared" ref="F4:F17" si="1">IFERROR(IF(E4="","", INDEX(INDIRECT(CONCATENATE($T$2,"!Q:Q")),MATCH($B4,INDIRECT(CONCATENATE($T$2,"!$A:$A")),0))),0)</f>
        <v/>
      </c>
      <c r="G4" s="79">
        <f t="shared" ref="G4:G17" si="2">IFERROR(IF(F4="",0, INDEX(INDIRECT(CONCATENATE($T$2,"!R:R")),MATCH($B4,INDIRECT(CONCATENATE($T$2,"!$A:$A")),0))),0)</f>
        <v>0</v>
      </c>
      <c r="H4" s="80">
        <f t="shared" ref="H4:H17" si="3">IFERROR(IF(G4="","", INDEX(INDIRECT(CONCATENATE($T$2,"!S:S")),MATCH($B4,INDIRECT(CONCATENATE($T$2,"!$A:$A")),0))),0)</f>
        <v>0</v>
      </c>
      <c r="I4" s="63">
        <f t="shared" ref="I4:I17" si="4">IFERROR(IF(H4="","", INDEX(INDIRECT(CONCATENATE($T$2,"!W:W")),MATCH($B4,INDIRECT(CONCATENATE($T$2,"!$A:$A")),0))),0)</f>
        <v>0</v>
      </c>
      <c r="J4" s="81"/>
      <c r="K4" s="75">
        <v>1.0</v>
      </c>
      <c r="L4" s="21"/>
      <c r="M4" s="77" t="str">
        <f t="array" ref="M4">IF(L4="","", INDEX('Player Format Data'!B:B,MATCH($L4,'Player Format Data'!$A:$A,0)))</f>
        <v/>
      </c>
      <c r="N4" s="82" t="str">
        <f t="array" ref="N4">IF(M4="","", INDEX('Player Format Data'!C:C,MATCH($L4,'Player Format Data'!$A:$A,0)))</f>
        <v/>
      </c>
      <c r="O4" s="83" t="str">
        <f t="array" ref="O4">IF(M4="","", IF(INDEX('Player Format Data'!D:D,MATCH($L4,'Player Format Data'!$A:$A,0))="2TM",INDEX('Player Format Data'!D:D,MATCH($L4,'Player Format Data'!$A:$A,0)+2),INDEX('Player Format Data'!D:D,MATCH($L4,'Player Format Data'!$A:$A,0))))</f>
        <v/>
      </c>
      <c r="P4" s="77" t="str">
        <f t="shared" ref="P4:P17" si="5">IFERROR(IF(O4="","", INDEX(INDIRECT(CONCATENATE($T$2,"!Q:Q")),MATCH($L4,INDIRECT(CONCATENATE($T$2,"!$A:$A")),0))),0)</f>
        <v/>
      </c>
      <c r="Q4" s="79">
        <f t="shared" ref="Q4:Q17" si="6">IFERROR(IF(P4="",0, INDEX(INDIRECT(CONCATENATE($T$2,"!R:R")),MATCH($L4,INDIRECT(CONCATENATE($T$2,"!$A:$A")),0))),0)</f>
        <v>0</v>
      </c>
      <c r="R4" s="80">
        <f t="shared" ref="R4:R17" si="7">IFERROR(IF(Q4="","", INDEX(INDIRECT(CONCATENATE($T$2,"!S:S")),MATCH($L4,INDIRECT(CONCATENATE($T$2,"!$A:$A")),0))),0)</f>
        <v>0</v>
      </c>
      <c r="S4" s="63">
        <f t="shared" ref="S4:S17" si="8">IFERROR(IF(R4="","", INDEX(INDIRECT(CONCATENATE($T$2,"!W:W")),MATCH($L4,INDIRECT(CONCATENATE($T$2,"!$A:$A")),0))),0)</f>
        <v>0</v>
      </c>
      <c r="T4" s="77"/>
    </row>
    <row r="5">
      <c r="A5" s="75">
        <v>2.0</v>
      </c>
      <c r="B5" s="76"/>
      <c r="C5" s="77" t="str">
        <f t="array" ref="C5">IF(B5="","", INDEX('Player Format Data'!B:B,MATCH($B5,'Player Format Data'!$A:$A,0)))</f>
        <v/>
      </c>
      <c r="D5" s="78" t="str">
        <f t="array" ref="D5">IF(C5="","", INDEX('Player Format Data'!C:C,MATCH($B5,'Player Format Data'!$A:$A,0)))</f>
        <v/>
      </c>
      <c r="E5" s="77" t="str">
        <f t="array" ref="E5">IF(D5="","", IF(INDEX('Player Format Data'!D:D,MATCH($B5,'Player Format Data'!$A:$A,0))="2TM",INDEX('Player Format Data'!D:D,MATCH($B5,'Player Format Data'!$A:$A,0)+2),INDEX('Player Format Data'!D:D,MATCH($B5,'Player Format Data'!$A:$A,0))))</f>
        <v/>
      </c>
      <c r="F5" s="77" t="str">
        <f t="shared" si="1"/>
        <v/>
      </c>
      <c r="G5" s="79">
        <f t="shared" si="2"/>
        <v>0</v>
      </c>
      <c r="H5" s="80">
        <f t="shared" si="3"/>
        <v>0</v>
      </c>
      <c r="I5" s="63">
        <f t="shared" si="4"/>
        <v>0</v>
      </c>
      <c r="J5" s="31"/>
      <c r="K5" s="75">
        <v>2.0</v>
      </c>
      <c r="L5" s="20"/>
      <c r="M5" s="77" t="str">
        <f t="array" ref="M5">IF(L5="","", INDEX('Player Format Data'!B:B,MATCH($L5,'Player Format Data'!$A:$A,0)))</f>
        <v/>
      </c>
      <c r="N5" s="82" t="str">
        <f t="array" ref="N5">IF(M5="","", INDEX('Player Format Data'!C:C,MATCH($L5,'Player Format Data'!$A:$A,0)))</f>
        <v/>
      </c>
      <c r="O5" s="83" t="str">
        <f t="array" ref="O5">IF(M5="","", IF(INDEX('Player Format Data'!D:D,MATCH($L5,'Player Format Data'!$A:$A,0))="2TM",INDEX('Player Format Data'!D:D,MATCH($L5,'Player Format Data'!$A:$A,0)+2),INDEX('Player Format Data'!D:D,MATCH($L5,'Player Format Data'!$A:$A,0))))</f>
        <v/>
      </c>
      <c r="P5" s="77" t="str">
        <f t="shared" si="5"/>
        <v/>
      </c>
      <c r="Q5" s="79">
        <f t="shared" si="6"/>
        <v>0</v>
      </c>
      <c r="R5" s="80">
        <f t="shared" si="7"/>
        <v>0</v>
      </c>
      <c r="S5" s="63">
        <f t="shared" si="8"/>
        <v>0</v>
      </c>
      <c r="T5" s="84"/>
    </row>
    <row r="6">
      <c r="A6" s="75">
        <v>3.0</v>
      </c>
      <c r="B6" s="76"/>
      <c r="C6" s="77" t="str">
        <f t="array" ref="C6">IF(B6="","", INDEX('Player Format Data'!B:B,MATCH($B6,'Player Format Data'!$A:$A,0)))</f>
        <v/>
      </c>
      <c r="D6" s="78" t="str">
        <f t="array" ref="D6">IF(C6="","", INDEX('Player Format Data'!C:C,MATCH($B6,'Player Format Data'!$A:$A,0)))</f>
        <v/>
      </c>
      <c r="E6" s="77" t="str">
        <f t="array" ref="E6">IF(D6="","", IF(INDEX('Player Format Data'!D:D,MATCH($B6,'Player Format Data'!$A:$A,0))="2TM",INDEX('Player Format Data'!D:D,MATCH($B6,'Player Format Data'!$A:$A,0)+2),INDEX('Player Format Data'!D:D,MATCH($B6,'Player Format Data'!$A:$A,0))))</f>
        <v/>
      </c>
      <c r="F6" s="77" t="str">
        <f t="shared" si="1"/>
        <v/>
      </c>
      <c r="G6" s="79">
        <f t="shared" si="2"/>
        <v>0</v>
      </c>
      <c r="H6" s="80">
        <f t="shared" si="3"/>
        <v>0</v>
      </c>
      <c r="I6" s="63">
        <f t="shared" si="4"/>
        <v>0</v>
      </c>
      <c r="J6" s="31"/>
      <c r="K6" s="75">
        <v>3.0</v>
      </c>
      <c r="L6" s="21"/>
      <c r="M6" s="77" t="str">
        <f t="array" ref="M6">IF(L6="","", INDEX('Player Format Data'!B:B,MATCH($L6,'Player Format Data'!$A:$A,0)))</f>
        <v/>
      </c>
      <c r="N6" s="82" t="str">
        <f t="array" ref="N6">IF(M6="","", INDEX('Player Format Data'!C:C,MATCH($L6,'Player Format Data'!$A:$A,0)))</f>
        <v/>
      </c>
      <c r="O6" s="83" t="str">
        <f t="array" ref="O6">IF(M6="","", IF(INDEX('Player Format Data'!D:D,MATCH($L6,'Player Format Data'!$A:$A,0))="2TM",INDEX('Player Format Data'!D:D,MATCH($L6,'Player Format Data'!$A:$A,0)+2),INDEX('Player Format Data'!D:D,MATCH($L6,'Player Format Data'!$A:$A,0))))</f>
        <v/>
      </c>
      <c r="P6" s="77" t="str">
        <f t="shared" si="5"/>
        <v/>
      </c>
      <c r="Q6" s="79">
        <f t="shared" si="6"/>
        <v>0</v>
      </c>
      <c r="R6" s="80">
        <f t="shared" si="7"/>
        <v>0</v>
      </c>
      <c r="S6" s="63">
        <f t="shared" si="8"/>
        <v>0</v>
      </c>
      <c r="T6" s="31"/>
    </row>
    <row r="7">
      <c r="A7" s="75">
        <v>4.0</v>
      </c>
      <c r="B7" s="21"/>
      <c r="C7" s="77" t="str">
        <f t="array" ref="C7">IF(B7="","", INDEX('Player Format Data'!B:B,MATCH($B7,'Player Format Data'!$A:$A,0)))</f>
        <v/>
      </c>
      <c r="D7" s="78" t="str">
        <f t="array" ref="D7">IF(C7="","", INDEX('Player Format Data'!C:C,MATCH($B7,'Player Format Data'!$A:$A,0)))</f>
        <v/>
      </c>
      <c r="E7" s="77" t="str">
        <f t="array" ref="E7">IF(D7="","", IF(INDEX('Player Format Data'!D:D,MATCH($B7,'Player Format Data'!$A:$A,0))="2TM",INDEX('Player Format Data'!D:D,MATCH($B7,'Player Format Data'!$A:$A,0)+2),INDEX('Player Format Data'!D:D,MATCH($B7,'Player Format Data'!$A:$A,0))))</f>
        <v/>
      </c>
      <c r="F7" s="77" t="str">
        <f t="shared" si="1"/>
        <v/>
      </c>
      <c r="G7" s="79">
        <f t="shared" si="2"/>
        <v>0</v>
      </c>
      <c r="H7" s="80">
        <f t="shared" si="3"/>
        <v>0</v>
      </c>
      <c r="I7" s="63">
        <f t="shared" si="4"/>
        <v>0</v>
      </c>
      <c r="J7" s="31"/>
      <c r="K7" s="75">
        <v>4.0</v>
      </c>
      <c r="L7" s="21"/>
      <c r="M7" s="77" t="str">
        <f t="array" ref="M7">IF(L7="","", INDEX('Player Format Data'!B:B,MATCH($L7,'Player Format Data'!$A:$A,0)))</f>
        <v/>
      </c>
      <c r="N7" s="82" t="str">
        <f t="array" ref="N7">IF(M7="","", INDEX('Player Format Data'!C:C,MATCH($L7,'Player Format Data'!$A:$A,0)))</f>
        <v/>
      </c>
      <c r="O7" s="83" t="str">
        <f t="array" ref="O7">IF(M7="","", IF(INDEX('Player Format Data'!D:D,MATCH($L7,'Player Format Data'!$A:$A,0))="2TM",INDEX('Player Format Data'!D:D,MATCH($L7,'Player Format Data'!$A:$A,0)+2),INDEX('Player Format Data'!D:D,MATCH($L7,'Player Format Data'!$A:$A,0))))</f>
        <v/>
      </c>
      <c r="P7" s="77" t="str">
        <f t="shared" si="5"/>
        <v/>
      </c>
      <c r="Q7" s="79">
        <f t="shared" si="6"/>
        <v>0</v>
      </c>
      <c r="R7" s="80">
        <f t="shared" si="7"/>
        <v>0</v>
      </c>
      <c r="S7" s="63">
        <f t="shared" si="8"/>
        <v>0</v>
      </c>
      <c r="T7" s="31"/>
    </row>
    <row r="8">
      <c r="A8" s="75">
        <v>5.0</v>
      </c>
      <c r="B8" s="21"/>
      <c r="C8" s="77" t="str">
        <f t="array" ref="C8">IF(B8="","", INDEX('Player Format Data'!B:B,MATCH($B8,'Player Format Data'!$A:$A,0)))</f>
        <v/>
      </c>
      <c r="D8" s="78" t="str">
        <f t="array" ref="D8">IF(C8="","", INDEX('Player Format Data'!C:C,MATCH($B8,'Player Format Data'!$A:$A,0)))</f>
        <v/>
      </c>
      <c r="E8" s="77" t="str">
        <f t="array" ref="E8">IF(D8="","", IF(INDEX('Player Format Data'!D:D,MATCH($B8,'Player Format Data'!$A:$A,0))="2TM",INDEX('Player Format Data'!D:D,MATCH($B8,'Player Format Data'!$A:$A,0)+2),INDEX('Player Format Data'!D:D,MATCH($B8,'Player Format Data'!$A:$A,0))))</f>
        <v/>
      </c>
      <c r="F8" s="77" t="str">
        <f t="shared" si="1"/>
        <v/>
      </c>
      <c r="G8" s="79">
        <f t="shared" si="2"/>
        <v>0</v>
      </c>
      <c r="H8" s="80">
        <f t="shared" si="3"/>
        <v>0</v>
      </c>
      <c r="I8" s="63">
        <f t="shared" si="4"/>
        <v>0</v>
      </c>
      <c r="J8" s="31"/>
      <c r="K8" s="75">
        <v>5.0</v>
      </c>
      <c r="L8" s="21"/>
      <c r="M8" s="77" t="str">
        <f t="array" ref="M8">IF(L8="","", INDEX('Player Format Data'!B:B,MATCH($L8,'Player Format Data'!$A:$A,0)))</f>
        <v/>
      </c>
      <c r="N8" s="82" t="str">
        <f t="array" ref="N8">IF(M8="","", INDEX('Player Format Data'!C:C,MATCH($L8,'Player Format Data'!$A:$A,0)))</f>
        <v/>
      </c>
      <c r="O8" s="83" t="str">
        <f t="array" ref="O8">IF(M8="","", IF(INDEX('Player Format Data'!D:D,MATCH($L8,'Player Format Data'!$A:$A,0))="2TM",INDEX('Player Format Data'!D:D,MATCH($L8,'Player Format Data'!$A:$A,0)+2),INDEX('Player Format Data'!D:D,MATCH($L8,'Player Format Data'!$A:$A,0))))</f>
        <v/>
      </c>
      <c r="P8" s="77" t="str">
        <f t="shared" si="5"/>
        <v/>
      </c>
      <c r="Q8" s="79">
        <f t="shared" si="6"/>
        <v>0</v>
      </c>
      <c r="R8" s="80">
        <f t="shared" si="7"/>
        <v>0</v>
      </c>
      <c r="S8" s="63">
        <f t="shared" si="8"/>
        <v>0</v>
      </c>
      <c r="T8" s="31"/>
    </row>
    <row r="9">
      <c r="A9" s="75">
        <v>6.0</v>
      </c>
      <c r="B9" s="76"/>
      <c r="C9" s="77" t="str">
        <f t="array" ref="C9">IF(B9="","", INDEX('Player Format Data'!B:B,MATCH($B9,'Player Format Data'!$A:$A,0)))</f>
        <v/>
      </c>
      <c r="D9" s="78" t="str">
        <f t="array" ref="D9">IF(C9="","", INDEX('Player Format Data'!C:C,MATCH($B9,'Player Format Data'!$A:$A,0)))</f>
        <v/>
      </c>
      <c r="E9" s="77" t="str">
        <f t="array" ref="E9">IF(D9="","", IF(INDEX('Player Format Data'!D:D,MATCH($B9,'Player Format Data'!$A:$A,0))="2TM",INDEX('Player Format Data'!D:D,MATCH($B9,'Player Format Data'!$A:$A,0)+2),INDEX('Player Format Data'!D:D,MATCH($B9,'Player Format Data'!$A:$A,0))))</f>
        <v/>
      </c>
      <c r="F9" s="77" t="str">
        <f t="shared" si="1"/>
        <v/>
      </c>
      <c r="G9" s="79">
        <f t="shared" si="2"/>
        <v>0</v>
      </c>
      <c r="H9" s="80">
        <f t="shared" si="3"/>
        <v>0</v>
      </c>
      <c r="I9" s="63">
        <f t="shared" si="4"/>
        <v>0</v>
      </c>
      <c r="J9" s="31"/>
      <c r="K9" s="75">
        <v>6.0</v>
      </c>
      <c r="L9" s="21"/>
      <c r="M9" s="77" t="str">
        <f t="array" ref="M9">IF(L9="","", INDEX('Player Format Data'!B:B,MATCH($L9,'Player Format Data'!$A:$A,0)))</f>
        <v/>
      </c>
      <c r="N9" s="82" t="str">
        <f t="array" ref="N9">IF(M9="","", INDEX('Player Format Data'!C:C,MATCH($L9,'Player Format Data'!$A:$A,0)))</f>
        <v/>
      </c>
      <c r="O9" s="83" t="str">
        <f t="array" ref="O9">IF(M9="","", IF(INDEX('Player Format Data'!D:D,MATCH($L9,'Player Format Data'!$A:$A,0))="2TM",INDEX('Player Format Data'!D:D,MATCH($L9,'Player Format Data'!$A:$A,0)+2),INDEX('Player Format Data'!D:D,MATCH($L9,'Player Format Data'!$A:$A,0))))</f>
        <v/>
      </c>
      <c r="P9" s="77" t="str">
        <f t="shared" si="5"/>
        <v/>
      </c>
      <c r="Q9" s="79">
        <f t="shared" si="6"/>
        <v>0</v>
      </c>
      <c r="R9" s="80">
        <f t="shared" si="7"/>
        <v>0</v>
      </c>
      <c r="S9" s="63">
        <f t="shared" si="8"/>
        <v>0</v>
      </c>
      <c r="T9" s="31"/>
    </row>
    <row r="10">
      <c r="A10" s="75">
        <v>7.0</v>
      </c>
      <c r="B10" s="76"/>
      <c r="C10" s="77" t="str">
        <f t="array" ref="C10">IF(B10="","", INDEX('Player Format Data'!B:B,MATCH($B10,'Player Format Data'!$A:$A,0)))</f>
        <v/>
      </c>
      <c r="D10" s="78" t="str">
        <f t="array" ref="D10">IF(C10="","", INDEX('Player Format Data'!C:C,MATCH($B10,'Player Format Data'!$A:$A,0)))</f>
        <v/>
      </c>
      <c r="E10" s="77" t="str">
        <f t="array" ref="E10">IF(D10="","", IF(INDEX('Player Format Data'!D:D,MATCH($B10,'Player Format Data'!$A:$A,0))="2TM",INDEX('Player Format Data'!D:D,MATCH($B10,'Player Format Data'!$A:$A,0)+2),INDEX('Player Format Data'!D:D,MATCH($B10,'Player Format Data'!$A:$A,0))))</f>
        <v/>
      </c>
      <c r="F10" s="77" t="str">
        <f t="shared" si="1"/>
        <v/>
      </c>
      <c r="G10" s="79">
        <f t="shared" si="2"/>
        <v>0</v>
      </c>
      <c r="H10" s="80">
        <f t="shared" si="3"/>
        <v>0</v>
      </c>
      <c r="I10" s="63">
        <f t="shared" si="4"/>
        <v>0</v>
      </c>
      <c r="J10" s="31"/>
      <c r="K10" s="75">
        <v>7.0</v>
      </c>
      <c r="L10" s="21"/>
      <c r="M10" s="77" t="str">
        <f t="array" ref="M10">IF(L10="","", INDEX('Player Format Data'!B:B,MATCH($L10,'Player Format Data'!$A:$A,0)))</f>
        <v/>
      </c>
      <c r="N10" s="82" t="str">
        <f t="array" ref="N10">IF(M10="","", INDEX('Player Format Data'!C:C,MATCH($L10,'Player Format Data'!$A:$A,0)))</f>
        <v/>
      </c>
      <c r="O10" s="83" t="str">
        <f t="array" ref="O10">IF(M10="","", IF(INDEX('Player Format Data'!D:D,MATCH($L10,'Player Format Data'!$A:$A,0))="2TM",INDEX('Player Format Data'!D:D,MATCH($L10,'Player Format Data'!$A:$A,0)+2),INDEX('Player Format Data'!D:D,MATCH($L10,'Player Format Data'!$A:$A,0))))</f>
        <v/>
      </c>
      <c r="P10" s="77" t="str">
        <f t="shared" si="5"/>
        <v/>
      </c>
      <c r="Q10" s="79">
        <f t="shared" si="6"/>
        <v>0</v>
      </c>
      <c r="R10" s="80">
        <f t="shared" si="7"/>
        <v>0</v>
      </c>
      <c r="S10" s="63">
        <f t="shared" si="8"/>
        <v>0</v>
      </c>
      <c r="T10" s="31"/>
    </row>
    <row r="11">
      <c r="A11" s="75">
        <v>8.0</v>
      </c>
      <c r="B11" s="76"/>
      <c r="C11" s="77" t="str">
        <f t="array" ref="C11">IF(B11="","", INDEX('Player Format Data'!B:B,MATCH($B11,'Player Format Data'!$A:$A,0)))</f>
        <v/>
      </c>
      <c r="D11" s="78" t="str">
        <f t="array" ref="D11">IF(C11="","", INDEX('Player Format Data'!C:C,MATCH($B11,'Player Format Data'!$A:$A,0)))</f>
        <v/>
      </c>
      <c r="E11" s="77" t="str">
        <f t="array" ref="E11">IF(D11="","", IF(INDEX('Player Format Data'!D:D,MATCH($B11,'Player Format Data'!$A:$A,0))="2TM",INDEX('Player Format Data'!D:D,MATCH($B11,'Player Format Data'!$A:$A,0)+2),INDEX('Player Format Data'!D:D,MATCH($B11,'Player Format Data'!$A:$A,0))))</f>
        <v/>
      </c>
      <c r="F11" s="77" t="str">
        <f t="shared" si="1"/>
        <v/>
      </c>
      <c r="G11" s="79">
        <f t="shared" si="2"/>
        <v>0</v>
      </c>
      <c r="H11" s="80">
        <f t="shared" si="3"/>
        <v>0</v>
      </c>
      <c r="I11" s="63">
        <f t="shared" si="4"/>
        <v>0</v>
      </c>
      <c r="J11" s="31"/>
      <c r="K11" s="75">
        <v>8.0</v>
      </c>
      <c r="L11" s="21"/>
      <c r="M11" s="77" t="str">
        <f t="array" ref="M11">IF(L11="","", INDEX('Player Format Data'!B:B,MATCH($L11,'Player Format Data'!$A:$A,0)))</f>
        <v/>
      </c>
      <c r="N11" s="82" t="str">
        <f t="array" ref="N11">IF(M11="","", INDEX('Player Format Data'!C:C,MATCH($L11,'Player Format Data'!$A:$A,0)))</f>
        <v/>
      </c>
      <c r="O11" s="83" t="str">
        <f t="array" ref="O11">IF(M11="","", IF(INDEX('Player Format Data'!D:D,MATCH($L11,'Player Format Data'!$A:$A,0))="2TM",INDEX('Player Format Data'!D:D,MATCH($L11,'Player Format Data'!$A:$A,0)+2),INDEX('Player Format Data'!D:D,MATCH($L11,'Player Format Data'!$A:$A,0))))</f>
        <v/>
      </c>
      <c r="P11" s="77" t="str">
        <f t="shared" si="5"/>
        <v/>
      </c>
      <c r="Q11" s="79">
        <f t="shared" si="6"/>
        <v>0</v>
      </c>
      <c r="R11" s="80">
        <f t="shared" si="7"/>
        <v>0</v>
      </c>
      <c r="S11" s="63">
        <f t="shared" si="8"/>
        <v>0</v>
      </c>
      <c r="T11" s="85"/>
    </row>
    <row r="12">
      <c r="A12" s="86">
        <v>9.0</v>
      </c>
      <c r="B12" s="76"/>
      <c r="C12" s="77" t="str">
        <f t="array" ref="C12">IF(B12="","", INDEX('Player Format Data'!B:B,MATCH($B12,'Player Format Data'!$A:$A,0)))</f>
        <v/>
      </c>
      <c r="D12" s="78" t="str">
        <f t="array" ref="D12">IF(C12="","", INDEX('Player Format Data'!C:C,MATCH($B12,'Player Format Data'!$A:$A,0)))</f>
        <v/>
      </c>
      <c r="E12" s="77" t="str">
        <f t="array" ref="E12">IF(D12="","", IF(INDEX('Player Format Data'!D:D,MATCH($B12,'Player Format Data'!$A:$A,0))="2TM",INDEX('Player Format Data'!D:D,MATCH($B12,'Player Format Data'!$A:$A,0)+2),INDEX('Player Format Data'!D:D,MATCH($B12,'Player Format Data'!$A:$A,0))))</f>
        <v/>
      </c>
      <c r="F12" s="77" t="str">
        <f t="shared" si="1"/>
        <v/>
      </c>
      <c r="G12" s="79">
        <f t="shared" si="2"/>
        <v>0</v>
      </c>
      <c r="H12" s="80">
        <f t="shared" si="3"/>
        <v>0</v>
      </c>
      <c r="I12" s="63">
        <f t="shared" si="4"/>
        <v>0</v>
      </c>
      <c r="J12" s="31"/>
      <c r="K12" s="86">
        <v>9.0</v>
      </c>
      <c r="L12" s="76"/>
      <c r="M12" s="77" t="str">
        <f t="array" ref="M12">IF(L12="","", INDEX('Player Format Data'!B:B,MATCH($L12,'Player Format Data'!$A:$A,0)))</f>
        <v/>
      </c>
      <c r="N12" s="82" t="str">
        <f t="array" ref="N12">IF(M12="","", INDEX('Player Format Data'!C:C,MATCH($L12,'Player Format Data'!$A:$A,0)))</f>
        <v/>
      </c>
      <c r="O12" s="83" t="str">
        <f t="array" ref="O12">IF(M12="","", IF(INDEX('Player Format Data'!D:D,MATCH($L12,'Player Format Data'!$A:$A,0))="2TM",INDEX('Player Format Data'!D:D,MATCH($L12,'Player Format Data'!$A:$A,0)+2),INDEX('Player Format Data'!D:D,MATCH($L12,'Player Format Data'!$A:$A,0))))</f>
        <v/>
      </c>
      <c r="P12" s="77" t="str">
        <f t="shared" si="5"/>
        <v/>
      </c>
      <c r="Q12" s="79">
        <f t="shared" si="6"/>
        <v>0</v>
      </c>
      <c r="R12" s="80">
        <f t="shared" si="7"/>
        <v>0</v>
      </c>
      <c r="S12" s="63">
        <f t="shared" si="8"/>
        <v>0</v>
      </c>
      <c r="T12" s="31"/>
    </row>
    <row r="13">
      <c r="A13" s="86">
        <v>10.0</v>
      </c>
      <c r="B13" s="76"/>
      <c r="C13" s="77" t="str">
        <f t="array" ref="C13">IF(B13="","", INDEX('Player Format Data'!B:B,MATCH($B13,'Player Format Data'!$A:$A,0)))</f>
        <v/>
      </c>
      <c r="D13" s="78" t="str">
        <f t="array" ref="D13">IF(C13="","", INDEX('Player Format Data'!C:C,MATCH($B13,'Player Format Data'!$A:$A,0)))</f>
        <v/>
      </c>
      <c r="E13" s="77" t="str">
        <f t="array" ref="E13">IF(D13="","", IF(INDEX('Player Format Data'!D:D,MATCH($B13,'Player Format Data'!$A:$A,0))="2TM",INDEX('Player Format Data'!D:D,MATCH($B13,'Player Format Data'!$A:$A,0)+2),INDEX('Player Format Data'!D:D,MATCH($B13,'Player Format Data'!$A:$A,0))))</f>
        <v/>
      </c>
      <c r="F13" s="77" t="str">
        <f t="shared" si="1"/>
        <v/>
      </c>
      <c r="G13" s="79">
        <f t="shared" si="2"/>
        <v>0</v>
      </c>
      <c r="H13" s="80">
        <f t="shared" si="3"/>
        <v>0</v>
      </c>
      <c r="I13" s="63">
        <f t="shared" si="4"/>
        <v>0</v>
      </c>
      <c r="J13" s="85"/>
      <c r="K13" s="86">
        <v>10.0</v>
      </c>
      <c r="L13" s="20"/>
      <c r="M13" s="77" t="str">
        <f t="array" ref="M13">IF(L13="","", INDEX('Player Format Data'!B:B,MATCH($L13,'Player Format Data'!$A:$A,0)))</f>
        <v/>
      </c>
      <c r="N13" s="82" t="str">
        <f t="array" ref="N13">IF(M13="","", INDEX('Player Format Data'!C:C,MATCH($L13,'Player Format Data'!$A:$A,0)))</f>
        <v/>
      </c>
      <c r="O13" s="83" t="str">
        <f t="array" ref="O13">IF(M13="","", IF(INDEX('Player Format Data'!D:D,MATCH($L13,'Player Format Data'!$A:$A,0))="2TM",INDEX('Player Format Data'!D:D,MATCH($L13,'Player Format Data'!$A:$A,0)+2),INDEX('Player Format Data'!D:D,MATCH($L13,'Player Format Data'!$A:$A,0))))</f>
        <v/>
      </c>
      <c r="P13" s="77" t="str">
        <f t="shared" si="5"/>
        <v/>
      </c>
      <c r="Q13" s="79">
        <f t="shared" si="6"/>
        <v>0</v>
      </c>
      <c r="R13" s="80">
        <f t="shared" si="7"/>
        <v>0</v>
      </c>
      <c r="S13" s="63">
        <f t="shared" si="8"/>
        <v>0</v>
      </c>
      <c r="T13" s="63"/>
    </row>
    <row r="14">
      <c r="A14" s="86">
        <v>11.0</v>
      </c>
      <c r="B14" s="76"/>
      <c r="C14" s="77" t="str">
        <f t="array" ref="C14">IF(B14="","", INDEX('Player Format Data'!B:B,MATCH($B14,'Player Format Data'!$A:$A,0)))</f>
        <v/>
      </c>
      <c r="D14" s="78" t="str">
        <f t="array" ref="D14">IF(C14="","", INDEX('Player Format Data'!C:C,MATCH($B14,'Player Format Data'!$A:$A,0)))</f>
        <v/>
      </c>
      <c r="E14" s="77" t="str">
        <f t="array" ref="E14">IF(D14="","", IF(INDEX('Player Format Data'!D:D,MATCH($B14,'Player Format Data'!$A:$A,0))="2TM",INDEX('Player Format Data'!D:D,MATCH($B14,'Player Format Data'!$A:$A,0)+2),INDEX('Player Format Data'!D:D,MATCH($B14,'Player Format Data'!$A:$A,0))))</f>
        <v/>
      </c>
      <c r="F14" s="77" t="str">
        <f t="shared" si="1"/>
        <v/>
      </c>
      <c r="G14" s="79">
        <f t="shared" si="2"/>
        <v>0</v>
      </c>
      <c r="H14" s="80">
        <f t="shared" si="3"/>
        <v>0</v>
      </c>
      <c r="I14" s="63">
        <f t="shared" si="4"/>
        <v>0</v>
      </c>
      <c r="J14" s="31"/>
      <c r="K14" s="86">
        <v>11.0</v>
      </c>
      <c r="L14" s="21"/>
      <c r="M14" s="77" t="str">
        <f t="array" ref="M14">IF(L14="","", INDEX('Player Format Data'!B:B,MATCH($L14,'Player Format Data'!$A:$A,0)))</f>
        <v/>
      </c>
      <c r="N14" s="82" t="str">
        <f t="array" ref="N14">IF(M14="","", INDEX('Player Format Data'!C:C,MATCH($L14,'Player Format Data'!$A:$A,0)))</f>
        <v/>
      </c>
      <c r="O14" s="83" t="str">
        <f t="array" ref="O14">IF(M14="","", IF(INDEX('Player Format Data'!D:D,MATCH($L14,'Player Format Data'!$A:$A,0))="2TM",INDEX('Player Format Data'!D:D,MATCH($L14,'Player Format Data'!$A:$A,0)+2),INDEX('Player Format Data'!D:D,MATCH($L14,'Player Format Data'!$A:$A,0))))</f>
        <v/>
      </c>
      <c r="P14" s="77" t="str">
        <f t="shared" si="5"/>
        <v/>
      </c>
      <c r="Q14" s="79">
        <f t="shared" si="6"/>
        <v>0</v>
      </c>
      <c r="R14" s="80">
        <f t="shared" si="7"/>
        <v>0</v>
      </c>
      <c r="S14" s="63">
        <f t="shared" si="8"/>
        <v>0</v>
      </c>
      <c r="T14" s="31"/>
    </row>
    <row r="15">
      <c r="A15" s="86" t="s">
        <v>1309</v>
      </c>
      <c r="B15" s="21"/>
      <c r="C15" s="77" t="str">
        <f t="array" ref="C15">IF(B15="","", INDEX('Player Format Data'!B:B,MATCH($B15,'Player Format Data'!$A:$A,0)))</f>
        <v/>
      </c>
      <c r="D15" s="78" t="str">
        <f t="array" ref="D15">IF(C15="","", INDEX('Player Format Data'!C:C,MATCH($B15,'Player Format Data'!$A:$A,0)))</f>
        <v/>
      </c>
      <c r="E15" s="77" t="str">
        <f t="array" ref="E15">IF(D15="","", IF(INDEX('Player Format Data'!D:D,MATCH($B15,'Player Format Data'!$A:$A,0))="2TM",INDEX('Player Format Data'!D:D,MATCH($B15,'Player Format Data'!$A:$A,0)+2),INDEX('Player Format Data'!D:D,MATCH($B15,'Player Format Data'!$A:$A,0))))</f>
        <v/>
      </c>
      <c r="F15" s="77" t="str">
        <f t="shared" si="1"/>
        <v/>
      </c>
      <c r="G15" s="79">
        <f t="shared" si="2"/>
        <v>0</v>
      </c>
      <c r="H15" s="80">
        <f t="shared" si="3"/>
        <v>0</v>
      </c>
      <c r="I15" s="63">
        <f t="shared" si="4"/>
        <v>0</v>
      </c>
      <c r="J15" s="31"/>
      <c r="K15" s="86" t="s">
        <v>1309</v>
      </c>
      <c r="L15" s="21"/>
      <c r="M15" s="77" t="str">
        <f t="array" ref="M15">IF(L15="","", INDEX('Player Format Data'!B:B,MATCH($L15,'Player Format Data'!$A:$A,0)))</f>
        <v/>
      </c>
      <c r="N15" s="82" t="str">
        <f t="array" ref="N15">IF(M15="","", INDEX('Player Format Data'!C:C,MATCH($L15,'Player Format Data'!$A:$A,0)))</f>
        <v/>
      </c>
      <c r="O15" s="83" t="str">
        <f t="array" ref="O15">IF(M15="","", IF(INDEX('Player Format Data'!D:D,MATCH($L15,'Player Format Data'!$A:$A,0))="2TM",INDEX('Player Format Data'!D:D,MATCH($L15,'Player Format Data'!$A:$A,0)+2),INDEX('Player Format Data'!D:D,MATCH($L15,'Player Format Data'!$A:$A,0))))</f>
        <v/>
      </c>
      <c r="P15" s="77" t="str">
        <f t="shared" si="5"/>
        <v/>
      </c>
      <c r="Q15" s="79">
        <f t="shared" si="6"/>
        <v>0</v>
      </c>
      <c r="R15" s="80">
        <f t="shared" si="7"/>
        <v>0</v>
      </c>
      <c r="S15" s="63">
        <f t="shared" si="8"/>
        <v>0</v>
      </c>
      <c r="T15" s="63"/>
    </row>
    <row r="16">
      <c r="A16" s="86" t="s">
        <v>1310</v>
      </c>
      <c r="B16" s="21"/>
      <c r="C16" s="77" t="str">
        <f t="array" ref="C16">IF(B16="","", INDEX('Player Format Data'!B:B,MATCH($B16,'Player Format Data'!$A:$A,0)))</f>
        <v/>
      </c>
      <c r="D16" s="78" t="str">
        <f t="array" ref="D16">IF(C16="","", INDEX('Player Format Data'!C:C,MATCH($B16,'Player Format Data'!$A:$A,0)))</f>
        <v/>
      </c>
      <c r="E16" s="77" t="str">
        <f t="array" ref="E16">IF(D16="","", IF(INDEX('Player Format Data'!D:D,MATCH($B16,'Player Format Data'!$A:$A,0))="2TM",INDEX('Player Format Data'!D:D,MATCH($B16,'Player Format Data'!$A:$A,0)+2),INDEX('Player Format Data'!D:D,MATCH($B16,'Player Format Data'!$A:$A,0))))</f>
        <v/>
      </c>
      <c r="F16" s="77" t="str">
        <f t="shared" si="1"/>
        <v/>
      </c>
      <c r="G16" s="79">
        <f t="shared" si="2"/>
        <v>0</v>
      </c>
      <c r="H16" s="80">
        <f t="shared" si="3"/>
        <v>0</v>
      </c>
      <c r="I16" s="63">
        <f t="shared" si="4"/>
        <v>0</v>
      </c>
      <c r="J16" s="31"/>
      <c r="K16" s="86" t="s">
        <v>1310</v>
      </c>
      <c r="L16" s="21"/>
      <c r="M16" s="77" t="str">
        <f t="array" ref="M16">IF(L16="","", INDEX('Player Format Data'!B:B,MATCH($L16,'Player Format Data'!$A:$A,0)))</f>
        <v/>
      </c>
      <c r="N16" s="82" t="str">
        <f t="array" ref="N16">IF(M16="","", INDEX('Player Format Data'!C:C,MATCH($L16,'Player Format Data'!$A:$A,0)))</f>
        <v/>
      </c>
      <c r="O16" s="83" t="str">
        <f t="array" ref="O16">IF(M16="","", IF(INDEX('Player Format Data'!D:D,MATCH($L16,'Player Format Data'!$A:$A,0))="2TM",INDEX('Player Format Data'!D:D,MATCH($L16,'Player Format Data'!$A:$A,0)+2),INDEX('Player Format Data'!D:D,MATCH($L16,'Player Format Data'!$A:$A,0))))</f>
        <v/>
      </c>
      <c r="P16" s="77" t="str">
        <f t="shared" si="5"/>
        <v/>
      </c>
      <c r="Q16" s="79">
        <f t="shared" si="6"/>
        <v>0</v>
      </c>
      <c r="R16" s="80">
        <f t="shared" si="7"/>
        <v>0</v>
      </c>
      <c r="S16" s="63">
        <f t="shared" si="8"/>
        <v>0</v>
      </c>
      <c r="T16" s="31"/>
    </row>
    <row r="17">
      <c r="A17" s="87" t="s">
        <v>1310</v>
      </c>
      <c r="B17" s="76"/>
      <c r="C17" s="77" t="str">
        <f t="array" ref="C17">IF(B17="","", INDEX('Player Format Data'!B:B,MATCH($B17,'Player Format Data'!$A:$A,0)))</f>
        <v/>
      </c>
      <c r="D17" s="78" t="str">
        <f t="array" ref="D17">IF(C17="","", INDEX('Player Format Data'!C:C,MATCH($B17,'Player Format Data'!$A:$A,0)))</f>
        <v/>
      </c>
      <c r="E17" s="77" t="str">
        <f t="array" ref="E17">IF(D17="","", IF(INDEX('Player Format Data'!D:D,MATCH($B17,'Player Format Data'!$A:$A,0))="2TM",INDEX('Player Format Data'!D:D,MATCH($B17,'Player Format Data'!$A:$A,0)+2),INDEX('Player Format Data'!D:D,MATCH($B17,'Player Format Data'!$A:$A,0))))</f>
        <v/>
      </c>
      <c r="F17" s="77" t="str">
        <f t="shared" si="1"/>
        <v/>
      </c>
      <c r="G17" s="79">
        <f t="shared" si="2"/>
        <v>0</v>
      </c>
      <c r="H17" s="80">
        <f t="shared" si="3"/>
        <v>0</v>
      </c>
      <c r="I17" s="63">
        <f t="shared" si="4"/>
        <v>0</v>
      </c>
      <c r="J17" s="31"/>
      <c r="K17" s="87" t="s">
        <v>1310</v>
      </c>
      <c r="L17" s="21"/>
      <c r="M17" s="77" t="str">
        <f t="array" ref="M17">IF(L17="","", INDEX('Player Format Data'!B:B,MATCH($L17,'Player Format Data'!$A:$A,0)))</f>
        <v/>
      </c>
      <c r="N17" s="82" t="str">
        <f t="array" ref="N17">IF(M17="","", INDEX('Player Format Data'!C:C,MATCH($L17,'Player Format Data'!$A:$A,0)))</f>
        <v/>
      </c>
      <c r="O17" s="83" t="str">
        <f t="array" ref="O17">IF(M17="","", IF(INDEX('Player Format Data'!D:D,MATCH($L17,'Player Format Data'!$A:$A,0))="2TM",INDEX('Player Format Data'!D:D,MATCH($L17,'Player Format Data'!$A:$A,0)+2),INDEX('Player Format Data'!D:D,MATCH($L17,'Player Format Data'!$A:$A,0))))</f>
        <v/>
      </c>
      <c r="P17" s="77" t="str">
        <f t="shared" si="5"/>
        <v/>
      </c>
      <c r="Q17" s="79">
        <f t="shared" si="6"/>
        <v>0</v>
      </c>
      <c r="R17" s="80">
        <f t="shared" si="7"/>
        <v>0</v>
      </c>
      <c r="S17" s="63">
        <f t="shared" si="8"/>
        <v>0</v>
      </c>
      <c r="T17" s="63"/>
    </row>
    <row r="18">
      <c r="A18" s="88"/>
      <c r="B18" s="76"/>
      <c r="C18" s="77"/>
      <c r="D18" s="78"/>
      <c r="E18" s="77"/>
      <c r="F18" s="77"/>
      <c r="G18" s="79"/>
      <c r="H18" s="80"/>
      <c r="I18" s="63"/>
      <c r="J18" s="31"/>
      <c r="K18" s="88"/>
      <c r="L18" s="21"/>
      <c r="M18" s="77"/>
      <c r="N18" s="78"/>
      <c r="O18" s="83" t="str">
        <f t="array" ref="O18">IF(M18="","", IF(INDEX('Player Format Data'!D:D,MATCH($L18,'Player Format Data'!$A:$A,0))="2TM",INDEX('Player Format Data'!D:D,MATCH($L18,'Player Format Data'!$A:$A,0)+2),INDEX('Player Format Data'!D:D,MATCH($L18,'Player Format Data'!$A:$A,0))))</f>
        <v/>
      </c>
      <c r="P18" s="77"/>
      <c r="Q18" s="79"/>
      <c r="R18" s="80"/>
      <c r="S18" s="63"/>
      <c r="T18" s="63"/>
    </row>
    <row r="19">
      <c r="A19" s="66" t="s">
        <v>1311</v>
      </c>
      <c r="C19" s="67" t="s">
        <v>1</v>
      </c>
      <c r="D19" s="68" t="s">
        <v>2</v>
      </c>
      <c r="E19" s="69" t="s">
        <v>3</v>
      </c>
      <c r="F19" s="69" t="s">
        <v>16</v>
      </c>
      <c r="G19" s="70" t="s">
        <v>17</v>
      </c>
      <c r="H19" s="69" t="s">
        <v>18</v>
      </c>
      <c r="I19" s="71" t="s">
        <v>1307</v>
      </c>
      <c r="J19" s="31"/>
      <c r="K19" s="66" t="s">
        <v>1312</v>
      </c>
      <c r="M19" s="67" t="s">
        <v>1</v>
      </c>
      <c r="N19" s="68" t="s">
        <v>2</v>
      </c>
      <c r="O19" s="72" t="s">
        <v>3</v>
      </c>
      <c r="P19" s="69" t="s">
        <v>16</v>
      </c>
      <c r="Q19" s="73" t="s">
        <v>17</v>
      </c>
      <c r="R19" s="69" t="s">
        <v>18</v>
      </c>
      <c r="S19" s="74" t="s">
        <v>1307</v>
      </c>
      <c r="T19" s="85"/>
    </row>
    <row r="20">
      <c r="A20" s="75">
        <v>1.0</v>
      </c>
      <c r="B20" s="21"/>
      <c r="C20" s="77" t="str">
        <f t="array" ref="C20">IF(B20="","", INDEX('Player Format Data'!B:B,MATCH($B20,'Player Format Data'!$A:$A,0)))</f>
        <v/>
      </c>
      <c r="D20" s="78" t="str">
        <f t="array" ref="D20">IF(C20="","", INDEX('Player Format Data'!C:C,MATCH($B20,'Player Format Data'!$A:$A,0)))</f>
        <v/>
      </c>
      <c r="E20" s="77" t="str">
        <f t="array" ref="E20">IF(D20="","", IF(INDEX('Player Format Data'!D:D,MATCH($B20,'Player Format Data'!$A:$A,0))="2TM",INDEX('Player Format Data'!D:D,MATCH($B20,'Player Format Data'!$A:$A,0)+2),INDEX('Player Format Data'!D:D,MATCH($B20,'Player Format Data'!$A:$A,0))))</f>
        <v/>
      </c>
      <c r="F20" s="77" t="str">
        <f t="shared" ref="F20:F34" si="9">IFERROR(IF(E20="","", INDEX(INDIRECT(CONCATENATE($T$2,"!Q:Q")),MATCH($B20,INDIRECT(CONCATENATE($T$2,"!$A:$A")),0))),0)</f>
        <v/>
      </c>
      <c r="G20" s="79">
        <f t="shared" ref="G20:G33" si="10">IFERROR(IF(F20="",0, INDEX(INDIRECT(CONCATENATE($T$2,"!R:R")),MATCH($B20,INDIRECT(CONCATENATE($T$2,"!$A:$A")),0))),0)</f>
        <v>0</v>
      </c>
      <c r="H20" s="80">
        <f t="shared" ref="H20:H34" si="11">IFERROR(IF(G20="","", INDEX(INDIRECT(CONCATENATE($T$2,"!S:S")),MATCH($B20,INDIRECT(CONCATENATE($T$2,"!$A:$A")),0))),0)</f>
        <v>0</v>
      </c>
      <c r="I20" s="63">
        <f t="shared" ref="I20:I34" si="12">IFERROR(IF(H20="","", INDEX(INDIRECT(CONCATENATE($T$2,"!W:W")),MATCH($B20,INDIRECT(CONCATENATE($T$2,"!$A:$A")),0))),0)</f>
        <v>0</v>
      </c>
      <c r="J20" s="31"/>
      <c r="K20" s="75">
        <v>1.0</v>
      </c>
      <c r="M20" s="77" t="str">
        <f t="array" ref="M20">IF(L20="","", INDEX('Player Format Data'!B:B,MATCH($L20,'Player Format Data'!$A:$A,0)))</f>
        <v/>
      </c>
      <c r="N20" s="82" t="str">
        <f t="array" ref="N20">IF(M20="","", INDEX('Player Format Data'!C:C,MATCH($L20,'Player Format Data'!$A:$A,0)))</f>
        <v/>
      </c>
      <c r="O20" s="83" t="str">
        <f t="array" ref="O20">IF(M20="","", IF(INDEX('Player Format Data'!D:D,MATCH($L20,'Player Format Data'!$A:$A,0))="2TM",INDEX('Player Format Data'!D:D,MATCH($L20,'Player Format Data'!$A:$A,0)+2),INDEX('Player Format Data'!D:D,MATCH($L20,'Player Format Data'!$A:$A,0))))</f>
        <v/>
      </c>
      <c r="P20" s="77" t="str">
        <f t="shared" ref="P20:P34" si="13">IFERROR(IF(O20="","", INDEX(INDIRECT(CONCATENATE($T$2,"!Q:Q")),MATCH($L20,INDIRECT(CONCATENATE($T$2,"!$A:$A")),0))),0)</f>
        <v/>
      </c>
      <c r="Q20" s="79">
        <f t="shared" ref="Q20:Q33" si="14">IFERROR(IF(P20="",0, INDEX(INDIRECT(CONCATENATE($T$2,"!R:R")),MATCH($L20,INDIRECT(CONCATENATE($T$2,"!$A:$A")),0))),0)</f>
        <v>0</v>
      </c>
      <c r="R20" s="80">
        <f t="shared" ref="R20:R34" si="15">IFERROR(IF(Q20="","", INDEX(INDIRECT(CONCATENATE($T$2,"!S:S")),MATCH($L20,INDIRECT(CONCATENATE($T$2,"!$A:$A")),0))),0)</f>
        <v>0</v>
      </c>
      <c r="S20" s="63">
        <f t="shared" ref="S20:S34" si="16">IFERROR(IF(R20="","", INDEX(INDIRECT(CONCATENATE($T$2,"!W:W")),MATCH($L20,INDIRECT(CONCATENATE($T$2,"!$A:$A")),0))),0)</f>
        <v>0</v>
      </c>
      <c r="T20" s="31"/>
    </row>
    <row r="21">
      <c r="A21" s="75">
        <v>2.0</v>
      </c>
      <c r="B21" s="21"/>
      <c r="C21" s="77" t="str">
        <f t="array" ref="C21">IF(B21="","", INDEX('Player Format Data'!B:B,MATCH($B21,'Player Format Data'!$A:$A,0)))</f>
        <v/>
      </c>
      <c r="D21" s="78" t="str">
        <f t="array" ref="D21">IF(C21="","", INDEX('Player Format Data'!C:C,MATCH($B21,'Player Format Data'!$A:$A,0)))</f>
        <v/>
      </c>
      <c r="E21" s="77" t="str">
        <f t="array" ref="E21">IF(D21="","", IF(INDEX('Player Format Data'!D:D,MATCH($B21,'Player Format Data'!$A:$A,0))="2TM",INDEX('Player Format Data'!D:D,MATCH($B21,'Player Format Data'!$A:$A,0)+2),INDEX('Player Format Data'!D:D,MATCH($B21,'Player Format Data'!$A:$A,0))))</f>
        <v/>
      </c>
      <c r="F21" s="77" t="str">
        <f t="shared" si="9"/>
        <v/>
      </c>
      <c r="G21" s="79">
        <f t="shared" si="10"/>
        <v>0</v>
      </c>
      <c r="H21" s="80">
        <f t="shared" si="11"/>
        <v>0</v>
      </c>
      <c r="I21" s="63">
        <f t="shared" si="12"/>
        <v>0</v>
      </c>
      <c r="J21" s="31"/>
      <c r="K21" s="75">
        <v>2.0</v>
      </c>
      <c r="L21" s="89"/>
      <c r="M21" s="77" t="str">
        <f t="array" ref="M21">IF(L21="","", INDEX('Player Format Data'!B:B,MATCH($L21,'Player Format Data'!$A:$A,0)))</f>
        <v/>
      </c>
      <c r="N21" s="82" t="str">
        <f t="array" ref="N21">IF(M21="","", INDEX('Player Format Data'!C:C,MATCH($L21,'Player Format Data'!$A:$A,0)))</f>
        <v/>
      </c>
      <c r="O21" s="83" t="str">
        <f t="array" ref="O21">IF(M21="","", IF(INDEX('Player Format Data'!D:D,MATCH($L21,'Player Format Data'!$A:$A,0))="2TM",INDEX('Player Format Data'!D:D,MATCH($L21,'Player Format Data'!$A:$A,0)+2),INDEX('Player Format Data'!D:D,MATCH($L21,'Player Format Data'!$A:$A,0))))</f>
        <v/>
      </c>
      <c r="P21" s="77" t="str">
        <f t="shared" si="13"/>
        <v/>
      </c>
      <c r="Q21" s="79">
        <f t="shared" si="14"/>
        <v>0</v>
      </c>
      <c r="R21" s="80">
        <f t="shared" si="15"/>
        <v>0</v>
      </c>
      <c r="S21" s="63">
        <f t="shared" si="16"/>
        <v>0</v>
      </c>
      <c r="T21" s="31"/>
    </row>
    <row r="22">
      <c r="A22" s="75">
        <v>3.0</v>
      </c>
      <c r="B22" s="21"/>
      <c r="C22" s="77" t="str">
        <f t="array" ref="C22">IF(B22="","", INDEX('Player Format Data'!B:B,MATCH($B22,'Player Format Data'!$A:$A,0)))</f>
        <v/>
      </c>
      <c r="D22" s="78" t="str">
        <f t="array" ref="D22">IF(C22="","", INDEX('Player Format Data'!C:C,MATCH($B22,'Player Format Data'!$A:$A,0)))</f>
        <v/>
      </c>
      <c r="E22" s="77" t="str">
        <f t="array" ref="E22">IF(D22="","", IF(INDEX('Player Format Data'!D:D,MATCH($B22,'Player Format Data'!$A:$A,0))="2TM",INDEX('Player Format Data'!D:D,MATCH($B22,'Player Format Data'!$A:$A,0)+2),INDEX('Player Format Data'!D:D,MATCH($B22,'Player Format Data'!$A:$A,0))))</f>
        <v/>
      </c>
      <c r="F22" s="77" t="str">
        <f t="shared" si="9"/>
        <v/>
      </c>
      <c r="G22" s="79">
        <f t="shared" si="10"/>
        <v>0</v>
      </c>
      <c r="H22" s="80">
        <f t="shared" si="11"/>
        <v>0</v>
      </c>
      <c r="I22" s="63">
        <f t="shared" si="12"/>
        <v>0</v>
      </c>
      <c r="J22" s="31"/>
      <c r="K22" s="75">
        <v>3.0</v>
      </c>
      <c r="L22" s="89"/>
      <c r="M22" s="77" t="str">
        <f t="array" ref="M22">IF(L22="","", INDEX('Player Format Data'!B:B,MATCH($L22,'Player Format Data'!$A:$A,0)))</f>
        <v/>
      </c>
      <c r="N22" s="82" t="str">
        <f t="array" ref="N22">IF(M22="","", INDEX('Player Format Data'!C:C,MATCH($L22,'Player Format Data'!$A:$A,0)))</f>
        <v/>
      </c>
      <c r="O22" s="83" t="str">
        <f t="array" ref="O22">IF(M22="","", IF(INDEX('Player Format Data'!D:D,MATCH($L22,'Player Format Data'!$A:$A,0))="2TM",INDEX('Player Format Data'!D:D,MATCH($L22,'Player Format Data'!$A:$A,0)+2),INDEX('Player Format Data'!D:D,MATCH($L22,'Player Format Data'!$A:$A,0))))</f>
        <v/>
      </c>
      <c r="P22" s="77" t="str">
        <f t="shared" si="13"/>
        <v/>
      </c>
      <c r="Q22" s="79">
        <f t="shared" si="14"/>
        <v>0</v>
      </c>
      <c r="R22" s="80">
        <f t="shared" si="15"/>
        <v>0</v>
      </c>
      <c r="S22" s="63">
        <f t="shared" si="16"/>
        <v>0</v>
      </c>
      <c r="T22" s="31"/>
    </row>
    <row r="23">
      <c r="A23" s="75">
        <v>4.0</v>
      </c>
      <c r="B23" s="21"/>
      <c r="C23" s="77" t="str">
        <f t="array" ref="C23">IF(B23="","", INDEX('Player Format Data'!B:B,MATCH($B23,'Player Format Data'!$A:$A,0)))</f>
        <v/>
      </c>
      <c r="D23" s="78" t="str">
        <f t="array" ref="D23">IF(C23="","", INDEX('Player Format Data'!C:C,MATCH($B23,'Player Format Data'!$A:$A,0)))</f>
        <v/>
      </c>
      <c r="E23" s="77" t="str">
        <f t="array" ref="E23">IF(D23="","", IF(INDEX('Player Format Data'!D:D,MATCH($B23,'Player Format Data'!$A:$A,0))="2TM",INDEX('Player Format Data'!D:D,MATCH($B23,'Player Format Data'!$A:$A,0)+2),INDEX('Player Format Data'!D:D,MATCH($B23,'Player Format Data'!$A:$A,0))))</f>
        <v/>
      </c>
      <c r="F23" s="77" t="str">
        <f t="shared" si="9"/>
        <v/>
      </c>
      <c r="G23" s="79">
        <f t="shared" si="10"/>
        <v>0</v>
      </c>
      <c r="H23" s="80">
        <f t="shared" si="11"/>
        <v>0</v>
      </c>
      <c r="I23" s="63">
        <f t="shared" si="12"/>
        <v>0</v>
      </c>
      <c r="J23" s="31"/>
      <c r="K23" s="75">
        <v>4.0</v>
      </c>
      <c r="L23" s="89"/>
      <c r="M23" s="77" t="str">
        <f t="array" ref="M23">IF(L23="","", INDEX('Player Format Data'!B:B,MATCH($L23,'Player Format Data'!$A:$A,0)))</f>
        <v/>
      </c>
      <c r="N23" s="82" t="str">
        <f t="array" ref="N23">IF(M23="","", INDEX('Player Format Data'!C:C,MATCH($L23,'Player Format Data'!$A:$A,0)))</f>
        <v/>
      </c>
      <c r="O23" s="83" t="str">
        <f t="array" ref="O23">IF(M23="","", IF(INDEX('Player Format Data'!D:D,MATCH($L23,'Player Format Data'!$A:$A,0))="2TM",INDEX('Player Format Data'!D:D,MATCH($L23,'Player Format Data'!$A:$A,0)+2),INDEX('Player Format Data'!D:D,MATCH($L23,'Player Format Data'!$A:$A,0))))</f>
        <v/>
      </c>
      <c r="P23" s="77" t="str">
        <f t="shared" si="13"/>
        <v/>
      </c>
      <c r="Q23" s="79">
        <f t="shared" si="14"/>
        <v>0</v>
      </c>
      <c r="R23" s="80">
        <f t="shared" si="15"/>
        <v>0</v>
      </c>
      <c r="S23" s="63">
        <f t="shared" si="16"/>
        <v>0</v>
      </c>
      <c r="T23" s="85"/>
    </row>
    <row r="24">
      <c r="A24" s="75">
        <v>5.0</v>
      </c>
      <c r="B24" s="21"/>
      <c r="C24" s="77" t="str">
        <f t="array" ref="C24">IF(B24="","", INDEX('Player Format Data'!B:B,MATCH($B24,'Player Format Data'!$A:$A,0)))</f>
        <v/>
      </c>
      <c r="D24" s="78" t="str">
        <f t="array" ref="D24">IF(C24="","", INDEX('Player Format Data'!C:C,MATCH($B24,'Player Format Data'!$A:$A,0)))</f>
        <v/>
      </c>
      <c r="E24" s="77" t="str">
        <f t="array" ref="E24">IF(D24="","", IF(INDEX('Player Format Data'!D:D,MATCH($B24,'Player Format Data'!$A:$A,0))="2TM",INDEX('Player Format Data'!D:D,MATCH($B24,'Player Format Data'!$A:$A,0)+2),INDEX('Player Format Data'!D:D,MATCH($B24,'Player Format Data'!$A:$A,0))))</f>
        <v/>
      </c>
      <c r="F24" s="77" t="str">
        <f t="shared" si="9"/>
        <v/>
      </c>
      <c r="G24" s="79">
        <f t="shared" si="10"/>
        <v>0</v>
      </c>
      <c r="H24" s="80">
        <f t="shared" si="11"/>
        <v>0</v>
      </c>
      <c r="I24" s="63">
        <f t="shared" si="12"/>
        <v>0</v>
      </c>
      <c r="J24" s="31"/>
      <c r="K24" s="75">
        <v>5.0</v>
      </c>
      <c r="L24" s="21"/>
      <c r="M24" s="77" t="str">
        <f t="array" ref="M24">IF(L24="","", INDEX('Player Format Data'!B:B,MATCH($L24,'Player Format Data'!$A:$A,0)))</f>
        <v/>
      </c>
      <c r="N24" s="82" t="str">
        <f t="array" ref="N24">IF(M24="","", INDEX('Player Format Data'!C:C,MATCH($L24,'Player Format Data'!$A:$A,0)))</f>
        <v/>
      </c>
      <c r="O24" s="83" t="str">
        <f t="array" ref="O24">IF(M24="","", IF(INDEX('Player Format Data'!D:D,MATCH($L24,'Player Format Data'!$A:$A,0))="2TM",INDEX('Player Format Data'!D:D,MATCH($L24,'Player Format Data'!$A:$A,0)+2),INDEX('Player Format Data'!D:D,MATCH($L24,'Player Format Data'!$A:$A,0))))</f>
        <v/>
      </c>
      <c r="P24" s="77" t="str">
        <f t="shared" si="13"/>
        <v/>
      </c>
      <c r="Q24" s="79">
        <f t="shared" si="14"/>
        <v>0</v>
      </c>
      <c r="R24" s="80">
        <f t="shared" si="15"/>
        <v>0</v>
      </c>
      <c r="S24" s="63">
        <f t="shared" si="16"/>
        <v>0</v>
      </c>
      <c r="T24" s="31"/>
    </row>
    <row r="25">
      <c r="A25" s="75">
        <v>6.0</v>
      </c>
      <c r="B25" s="21"/>
      <c r="C25" s="77" t="str">
        <f t="array" ref="C25">IF(B25="","", INDEX('Player Format Data'!B:B,MATCH($B25,'Player Format Data'!$A:$A,0)))</f>
        <v/>
      </c>
      <c r="D25" s="78" t="str">
        <f t="array" ref="D25">IF(C25="","", INDEX('Player Format Data'!C:C,MATCH($B25,'Player Format Data'!$A:$A,0)))</f>
        <v/>
      </c>
      <c r="E25" s="77" t="str">
        <f t="array" ref="E25">IF(D25="","", IF(INDEX('Player Format Data'!D:D,MATCH($B25,'Player Format Data'!$A:$A,0))="2TM",INDEX('Player Format Data'!D:D,MATCH($B25,'Player Format Data'!$A:$A,0)+2),INDEX('Player Format Data'!D:D,MATCH($B25,'Player Format Data'!$A:$A,0))))</f>
        <v/>
      </c>
      <c r="F25" s="77" t="str">
        <f t="shared" si="9"/>
        <v/>
      </c>
      <c r="G25" s="79">
        <f t="shared" si="10"/>
        <v>0</v>
      </c>
      <c r="H25" s="80">
        <f t="shared" si="11"/>
        <v>0</v>
      </c>
      <c r="I25" s="63">
        <f t="shared" si="12"/>
        <v>0</v>
      </c>
      <c r="J25" s="31"/>
      <c r="K25" s="75">
        <v>6.0</v>
      </c>
      <c r="L25" s="21"/>
      <c r="M25" s="77" t="str">
        <f t="array" ref="M25">IF(L25="","", INDEX('Player Format Data'!B:B,MATCH($L25,'Player Format Data'!$A:$A,0)))</f>
        <v/>
      </c>
      <c r="N25" s="82" t="str">
        <f t="array" ref="N25">IF(M25="","", INDEX('Player Format Data'!C:C,MATCH($L25,'Player Format Data'!$A:$A,0)))</f>
        <v/>
      </c>
      <c r="O25" s="83" t="str">
        <f t="array" ref="O25">IF(M25="","", IF(INDEX('Player Format Data'!D:D,MATCH($L25,'Player Format Data'!$A:$A,0))="2TM",INDEX('Player Format Data'!D:D,MATCH($L25,'Player Format Data'!$A:$A,0)+2),INDEX('Player Format Data'!D:D,MATCH($L25,'Player Format Data'!$A:$A,0))))</f>
        <v/>
      </c>
      <c r="P25" s="77" t="str">
        <f t="shared" si="13"/>
        <v/>
      </c>
      <c r="Q25" s="79">
        <f t="shared" si="14"/>
        <v>0</v>
      </c>
      <c r="R25" s="80">
        <f t="shared" si="15"/>
        <v>0</v>
      </c>
      <c r="S25" s="63">
        <f t="shared" si="16"/>
        <v>0</v>
      </c>
      <c r="T25" s="31"/>
    </row>
    <row r="26">
      <c r="A26" s="75">
        <v>7.0</v>
      </c>
      <c r="B26" s="21"/>
      <c r="C26" s="77" t="str">
        <f t="array" ref="C26">IF(B26="","", INDEX('Player Format Data'!B:B,MATCH($B26,'Player Format Data'!$A:$A,0)))</f>
        <v/>
      </c>
      <c r="D26" s="78" t="str">
        <f t="array" ref="D26">IF(C26="","", INDEX('Player Format Data'!C:C,MATCH($B26,'Player Format Data'!$A:$A,0)))</f>
        <v/>
      </c>
      <c r="E26" s="77" t="str">
        <f t="array" ref="E26">IF(D26="","", IF(INDEX('Player Format Data'!D:D,MATCH($B26,'Player Format Data'!$A:$A,0))="2TM",INDEX('Player Format Data'!D:D,MATCH($B26,'Player Format Data'!$A:$A,0)+2),INDEX('Player Format Data'!D:D,MATCH($B26,'Player Format Data'!$A:$A,0))))</f>
        <v/>
      </c>
      <c r="F26" s="77" t="str">
        <f t="shared" si="9"/>
        <v/>
      </c>
      <c r="G26" s="79">
        <f t="shared" si="10"/>
        <v>0</v>
      </c>
      <c r="H26" s="80">
        <f t="shared" si="11"/>
        <v>0</v>
      </c>
      <c r="I26" s="63">
        <f t="shared" si="12"/>
        <v>0</v>
      </c>
      <c r="J26" s="31"/>
      <c r="K26" s="75">
        <v>7.0</v>
      </c>
      <c r="L26" s="76"/>
      <c r="M26" s="77" t="str">
        <f t="array" ref="M26">IF(L26="","", INDEX('Player Format Data'!B:B,MATCH($L26,'Player Format Data'!$A:$A,0)))</f>
        <v/>
      </c>
      <c r="N26" s="82" t="str">
        <f t="array" ref="N26">IF(M26="","", INDEX('Player Format Data'!C:C,MATCH($L26,'Player Format Data'!$A:$A,0)))</f>
        <v/>
      </c>
      <c r="O26" s="83" t="str">
        <f t="array" ref="O26">IF(M26="","", IF(INDEX('Player Format Data'!D:D,MATCH($L26,'Player Format Data'!$A:$A,0))="2TM",INDEX('Player Format Data'!D:D,MATCH($L26,'Player Format Data'!$A:$A,0)+2),INDEX('Player Format Data'!D:D,MATCH($L26,'Player Format Data'!$A:$A,0))))</f>
        <v/>
      </c>
      <c r="P26" s="77" t="str">
        <f t="shared" si="13"/>
        <v/>
      </c>
      <c r="Q26" s="79">
        <f t="shared" si="14"/>
        <v>0</v>
      </c>
      <c r="R26" s="80">
        <f t="shared" si="15"/>
        <v>0</v>
      </c>
      <c r="S26" s="63">
        <f t="shared" si="16"/>
        <v>0</v>
      </c>
      <c r="T26" s="31"/>
    </row>
    <row r="27">
      <c r="A27" s="75">
        <v>8.0</v>
      </c>
      <c r="B27" s="21"/>
      <c r="C27" s="77" t="str">
        <f t="array" ref="C27">IF(B27="","", INDEX('Player Format Data'!B:B,MATCH($B27,'Player Format Data'!$A:$A,0)))</f>
        <v/>
      </c>
      <c r="D27" s="78" t="str">
        <f t="array" ref="D27">IF(C27="","", INDEX('Player Format Data'!C:C,MATCH($B27,'Player Format Data'!$A:$A,0)))</f>
        <v/>
      </c>
      <c r="E27" s="77" t="str">
        <f t="array" ref="E27">IF(D27="","", IF(INDEX('Player Format Data'!D:D,MATCH($B27,'Player Format Data'!$A:$A,0))="2TM",INDEX('Player Format Data'!D:D,MATCH($B27,'Player Format Data'!$A:$A,0)+2),INDEX('Player Format Data'!D:D,MATCH($B27,'Player Format Data'!$A:$A,0))))</f>
        <v/>
      </c>
      <c r="F27" s="77" t="str">
        <f t="shared" si="9"/>
        <v/>
      </c>
      <c r="G27" s="79">
        <f t="shared" si="10"/>
        <v>0</v>
      </c>
      <c r="H27" s="80">
        <f t="shared" si="11"/>
        <v>0</v>
      </c>
      <c r="I27" s="63">
        <f t="shared" si="12"/>
        <v>0</v>
      </c>
      <c r="J27" s="31"/>
      <c r="K27" s="75">
        <v>8.0</v>
      </c>
      <c r="L27" s="89"/>
      <c r="M27" s="77" t="str">
        <f t="array" ref="M27">IF(L27="","", INDEX('Player Format Data'!B:B,MATCH($L27,'Player Format Data'!$A:$A,0)))</f>
        <v/>
      </c>
      <c r="N27" s="82" t="str">
        <f t="array" ref="N27">IF(M27="","", INDEX('Player Format Data'!C:C,MATCH($L27,'Player Format Data'!$A:$A,0)))</f>
        <v/>
      </c>
      <c r="O27" s="83" t="str">
        <f t="array" ref="O27">IF(M27="","", IF(INDEX('Player Format Data'!D:D,MATCH($L27,'Player Format Data'!$A:$A,0))="2TM",INDEX('Player Format Data'!D:D,MATCH($L27,'Player Format Data'!$A:$A,0)+2),INDEX('Player Format Data'!D:D,MATCH($L27,'Player Format Data'!$A:$A,0))))</f>
        <v/>
      </c>
      <c r="P27" s="77" t="str">
        <f t="shared" si="13"/>
        <v/>
      </c>
      <c r="Q27" s="79">
        <f t="shared" si="14"/>
        <v>0</v>
      </c>
      <c r="R27" s="80">
        <f t="shared" si="15"/>
        <v>0</v>
      </c>
      <c r="S27" s="63">
        <f t="shared" si="16"/>
        <v>0</v>
      </c>
      <c r="T27" s="31"/>
    </row>
    <row r="28">
      <c r="A28" s="86">
        <v>9.0</v>
      </c>
      <c r="B28" s="21"/>
      <c r="C28" s="77" t="str">
        <f t="array" ref="C28">IF(B28="","", INDEX('Player Format Data'!B:B,MATCH($B28,'Player Format Data'!$A:$A,0)))</f>
        <v/>
      </c>
      <c r="D28" s="78" t="str">
        <f t="array" ref="D28">IF(C28="","", INDEX('Player Format Data'!C:C,MATCH($B28,'Player Format Data'!$A:$A,0)))</f>
        <v/>
      </c>
      <c r="E28" s="77" t="str">
        <f t="array" ref="E28">IF(D28="","", IF(INDEX('Player Format Data'!D:D,MATCH($B28,'Player Format Data'!$A:$A,0))="2TM",INDEX('Player Format Data'!D:D,MATCH($B28,'Player Format Data'!$A:$A,0)+2),INDEX('Player Format Data'!D:D,MATCH($B28,'Player Format Data'!$A:$A,0))))</f>
        <v/>
      </c>
      <c r="F28" s="77" t="str">
        <f t="shared" si="9"/>
        <v/>
      </c>
      <c r="G28" s="79">
        <f t="shared" si="10"/>
        <v>0</v>
      </c>
      <c r="H28" s="80">
        <f t="shared" si="11"/>
        <v>0</v>
      </c>
      <c r="I28" s="63">
        <f t="shared" si="12"/>
        <v>0</v>
      </c>
      <c r="J28" s="31"/>
      <c r="K28" s="86">
        <v>9.0</v>
      </c>
      <c r="M28" s="77" t="str">
        <f t="array" ref="M28">IF(L28="","", INDEX('Player Format Data'!B:B,MATCH($L28,'Player Format Data'!$A:$A,0)))</f>
        <v/>
      </c>
      <c r="N28" s="82" t="str">
        <f t="array" ref="N28">IF(M28="","", INDEX('Player Format Data'!C:C,MATCH($L28,'Player Format Data'!$A:$A,0)))</f>
        <v/>
      </c>
      <c r="O28" s="83" t="str">
        <f t="array" ref="O28">IF(M28="","", IF(INDEX('Player Format Data'!D:D,MATCH($L28,'Player Format Data'!$A:$A,0))="2TM",INDEX('Player Format Data'!D:D,MATCH($L28,'Player Format Data'!$A:$A,0)+2),INDEX('Player Format Data'!D:D,MATCH($L28,'Player Format Data'!$A:$A,0))))</f>
        <v/>
      </c>
      <c r="P28" s="77" t="str">
        <f t="shared" si="13"/>
        <v/>
      </c>
      <c r="Q28" s="79">
        <f t="shared" si="14"/>
        <v>0</v>
      </c>
      <c r="R28" s="80">
        <f t="shared" si="15"/>
        <v>0</v>
      </c>
      <c r="S28" s="63">
        <f t="shared" si="16"/>
        <v>0</v>
      </c>
      <c r="T28" s="31"/>
    </row>
    <row r="29">
      <c r="A29" s="86">
        <v>10.0</v>
      </c>
      <c r="B29" s="21"/>
      <c r="C29" s="77" t="str">
        <f t="array" ref="C29">IF(B29="","", INDEX('Player Format Data'!B:B,MATCH($B29,'Player Format Data'!$A:$A,0)))</f>
        <v/>
      </c>
      <c r="D29" s="78" t="str">
        <f t="array" ref="D29">IF(C29="","", INDEX('Player Format Data'!C:C,MATCH($B29,'Player Format Data'!$A:$A,0)))</f>
        <v/>
      </c>
      <c r="E29" s="77" t="str">
        <f t="array" ref="E29">IF(D29="","", IF(INDEX('Player Format Data'!D:D,MATCH($B29,'Player Format Data'!$A:$A,0))="2TM",INDEX('Player Format Data'!D:D,MATCH($B29,'Player Format Data'!$A:$A,0)+2),INDEX('Player Format Data'!D:D,MATCH($B29,'Player Format Data'!$A:$A,0))))</f>
        <v/>
      </c>
      <c r="F29" s="77" t="str">
        <f t="shared" si="9"/>
        <v/>
      </c>
      <c r="G29" s="79">
        <f t="shared" si="10"/>
        <v>0</v>
      </c>
      <c r="H29" s="80">
        <f t="shared" si="11"/>
        <v>0</v>
      </c>
      <c r="I29" s="63">
        <f t="shared" si="12"/>
        <v>0</v>
      </c>
      <c r="J29" s="31"/>
      <c r="K29" s="86">
        <v>10.0</v>
      </c>
      <c r="L29" s="89"/>
      <c r="M29" s="77" t="str">
        <f t="array" ref="M29">IF(L29="","", INDEX('Player Format Data'!B:B,MATCH($L29,'Player Format Data'!$A:$A,0)))</f>
        <v/>
      </c>
      <c r="N29" s="82" t="str">
        <f t="array" ref="N29">IF(M29="","", INDEX('Player Format Data'!C:C,MATCH($L29,'Player Format Data'!$A:$A,0)))</f>
        <v/>
      </c>
      <c r="O29" s="83" t="str">
        <f t="array" ref="O29">IF(M29="","", IF(INDEX('Player Format Data'!D:D,MATCH($L29,'Player Format Data'!$A:$A,0))="2TM",INDEX('Player Format Data'!D:D,MATCH($L29,'Player Format Data'!$A:$A,0)+2),INDEX('Player Format Data'!D:D,MATCH($L29,'Player Format Data'!$A:$A,0))))</f>
        <v/>
      </c>
      <c r="P29" s="77" t="str">
        <f t="shared" si="13"/>
        <v/>
      </c>
      <c r="Q29" s="79">
        <f t="shared" si="14"/>
        <v>0</v>
      </c>
      <c r="R29" s="80">
        <f t="shared" si="15"/>
        <v>0</v>
      </c>
      <c r="S29" s="63">
        <f t="shared" si="16"/>
        <v>0</v>
      </c>
      <c r="T29" s="31"/>
    </row>
    <row r="30">
      <c r="A30" s="86">
        <v>11.0</v>
      </c>
      <c r="B30" s="21"/>
      <c r="C30" s="77" t="str">
        <f t="array" ref="C30">IF(B30="","", INDEX('Player Format Data'!B:B,MATCH($B30,'Player Format Data'!$A:$A,0)))</f>
        <v/>
      </c>
      <c r="D30" s="78" t="str">
        <f t="array" ref="D30">IF(C30="","", INDEX('Player Format Data'!C:C,MATCH($B30,'Player Format Data'!$A:$A,0)))</f>
        <v/>
      </c>
      <c r="E30" s="77" t="str">
        <f t="array" ref="E30">IF(D30="","", IF(INDEX('Player Format Data'!D:D,MATCH($B30,'Player Format Data'!$A:$A,0))="2TM",INDEX('Player Format Data'!D:D,MATCH($B30,'Player Format Data'!$A:$A,0)+2),INDEX('Player Format Data'!D:D,MATCH($B30,'Player Format Data'!$A:$A,0))))</f>
        <v/>
      </c>
      <c r="F30" s="77" t="str">
        <f t="shared" si="9"/>
        <v/>
      </c>
      <c r="G30" s="79">
        <f t="shared" si="10"/>
        <v>0</v>
      </c>
      <c r="H30" s="80">
        <f t="shared" si="11"/>
        <v>0</v>
      </c>
      <c r="I30" s="63">
        <f t="shared" si="12"/>
        <v>0</v>
      </c>
      <c r="J30" s="31"/>
      <c r="K30" s="86">
        <v>11.0</v>
      </c>
      <c r="M30" s="77" t="str">
        <f t="array" ref="M30">IF(L30="","", INDEX('Player Format Data'!B:B,MATCH($L30,'Player Format Data'!$A:$A,0)))</f>
        <v/>
      </c>
      <c r="N30" s="82" t="str">
        <f t="array" ref="N30">IF(M30="","", INDEX('Player Format Data'!C:C,MATCH($L30,'Player Format Data'!$A:$A,0)))</f>
        <v/>
      </c>
      <c r="O30" s="83" t="str">
        <f t="array" ref="O30">IF(M30="","", IF(INDEX('Player Format Data'!D:D,MATCH($L30,'Player Format Data'!$A:$A,0))="2TM",INDEX('Player Format Data'!D:D,MATCH($L30,'Player Format Data'!$A:$A,0)+2),INDEX('Player Format Data'!D:D,MATCH($L30,'Player Format Data'!$A:$A,0))))</f>
        <v/>
      </c>
      <c r="P30" s="77" t="str">
        <f t="shared" si="13"/>
        <v/>
      </c>
      <c r="Q30" s="79">
        <f t="shared" si="14"/>
        <v>0</v>
      </c>
      <c r="R30" s="80">
        <f t="shared" si="15"/>
        <v>0</v>
      </c>
      <c r="S30" s="63">
        <f t="shared" si="16"/>
        <v>0</v>
      </c>
      <c r="T30" s="31"/>
    </row>
    <row r="31">
      <c r="A31" s="86" t="s">
        <v>1309</v>
      </c>
      <c r="B31" s="21"/>
      <c r="C31" s="77" t="str">
        <f t="array" ref="C31">IF(B31="","", INDEX('Player Format Data'!B:B,MATCH($B31,'Player Format Data'!$A:$A,0)))</f>
        <v/>
      </c>
      <c r="D31" s="78" t="str">
        <f t="array" ref="D31">IF(C31="","", INDEX('Player Format Data'!C:C,MATCH($B31,'Player Format Data'!$A:$A,0)))</f>
        <v/>
      </c>
      <c r="E31" s="77" t="str">
        <f t="array" ref="E31">IF(D31="","", IF(INDEX('Player Format Data'!D:D,MATCH($B31,'Player Format Data'!$A:$A,0))="2TM",INDEX('Player Format Data'!D:D,MATCH($B31,'Player Format Data'!$A:$A,0)+2),INDEX('Player Format Data'!D:D,MATCH($B31,'Player Format Data'!$A:$A,0))))</f>
        <v/>
      </c>
      <c r="F31" s="77" t="str">
        <f t="shared" si="9"/>
        <v/>
      </c>
      <c r="G31" s="79">
        <f t="shared" si="10"/>
        <v>0</v>
      </c>
      <c r="H31" s="80">
        <f t="shared" si="11"/>
        <v>0</v>
      </c>
      <c r="I31" s="63">
        <f t="shared" si="12"/>
        <v>0</v>
      </c>
      <c r="J31" s="31"/>
      <c r="K31" s="86" t="s">
        <v>1309</v>
      </c>
      <c r="L31" s="21"/>
      <c r="M31" s="77" t="str">
        <f t="array" ref="M31">IF(L31="","", INDEX('Player Format Data'!B:B,MATCH($L31,'Player Format Data'!$A:$A,0)))</f>
        <v/>
      </c>
      <c r="N31" s="82" t="str">
        <f t="array" ref="N31">IF(M31="","", INDEX('Player Format Data'!C:C,MATCH($L31,'Player Format Data'!$A:$A,0)))</f>
        <v/>
      </c>
      <c r="O31" s="83" t="str">
        <f t="array" ref="O31">IF(M31="","", IF(INDEX('Player Format Data'!D:D,MATCH($L31,'Player Format Data'!$A:$A,0))="2TM",INDEX('Player Format Data'!D:D,MATCH($L31,'Player Format Data'!$A:$A,0)+2),INDEX('Player Format Data'!D:D,MATCH($L31,'Player Format Data'!$A:$A,0))))</f>
        <v/>
      </c>
      <c r="P31" s="77" t="str">
        <f t="shared" si="13"/>
        <v/>
      </c>
      <c r="Q31" s="79">
        <f t="shared" si="14"/>
        <v>0</v>
      </c>
      <c r="R31" s="80">
        <f t="shared" si="15"/>
        <v>0</v>
      </c>
      <c r="S31" s="63">
        <f t="shared" si="16"/>
        <v>0</v>
      </c>
      <c r="T31" s="31"/>
    </row>
    <row r="32">
      <c r="A32" s="86" t="s">
        <v>1310</v>
      </c>
      <c r="B32" s="21"/>
      <c r="C32" s="77" t="str">
        <f t="array" ref="C32">IF(B32="","", INDEX('Player Format Data'!B:B,MATCH($B32,'Player Format Data'!$A:$A,0)))</f>
        <v/>
      </c>
      <c r="D32" s="78" t="str">
        <f t="array" ref="D32">IF(C32="","", INDEX('Player Format Data'!C:C,MATCH($B32,'Player Format Data'!$A:$A,0)))</f>
        <v/>
      </c>
      <c r="E32" s="77" t="str">
        <f t="array" ref="E32">IF(D32="","", IF(INDEX('Player Format Data'!D:D,MATCH($B32,'Player Format Data'!$A:$A,0))="2TM",INDEX('Player Format Data'!D:D,MATCH($B32,'Player Format Data'!$A:$A,0)+2),INDEX('Player Format Data'!D:D,MATCH($B32,'Player Format Data'!$A:$A,0))))</f>
        <v/>
      </c>
      <c r="F32" s="77" t="str">
        <f t="shared" si="9"/>
        <v/>
      </c>
      <c r="G32" s="79">
        <f t="shared" si="10"/>
        <v>0</v>
      </c>
      <c r="H32" s="80">
        <f t="shared" si="11"/>
        <v>0</v>
      </c>
      <c r="I32" s="63">
        <f t="shared" si="12"/>
        <v>0</v>
      </c>
      <c r="J32" s="31"/>
      <c r="K32" s="86" t="s">
        <v>1310</v>
      </c>
      <c r="M32" s="77" t="str">
        <f t="array" ref="M32">IF(L32="","", INDEX('Player Format Data'!B:B,MATCH($L32,'Player Format Data'!$A:$A,0)))</f>
        <v/>
      </c>
      <c r="N32" s="82" t="str">
        <f t="array" ref="N32">IF(M32="","", INDEX('Player Format Data'!C:C,MATCH($L32,'Player Format Data'!$A:$A,0)))</f>
        <v/>
      </c>
      <c r="O32" s="83" t="str">
        <f t="array" ref="O32">IF(M32="","", IF(INDEX('Player Format Data'!D:D,MATCH($L32,'Player Format Data'!$A:$A,0))="2TM",INDEX('Player Format Data'!D:D,MATCH($L32,'Player Format Data'!$A:$A,0)+2),INDEX('Player Format Data'!D:D,MATCH($L32,'Player Format Data'!$A:$A,0))))</f>
        <v/>
      </c>
      <c r="P32" s="77" t="str">
        <f t="shared" si="13"/>
        <v/>
      </c>
      <c r="Q32" s="79">
        <f t="shared" si="14"/>
        <v>0</v>
      </c>
      <c r="R32" s="80">
        <f t="shared" si="15"/>
        <v>0</v>
      </c>
      <c r="S32" s="63">
        <f t="shared" si="16"/>
        <v>0</v>
      </c>
      <c r="T32" s="31"/>
    </row>
    <row r="33">
      <c r="A33" s="87" t="s">
        <v>1310</v>
      </c>
      <c r="B33" s="21"/>
      <c r="C33" s="77" t="str">
        <f t="array" ref="C33">IF(B33="","", INDEX('Player Format Data'!B:B,MATCH($B33,'Player Format Data'!$A:$A,0)))</f>
        <v/>
      </c>
      <c r="D33" s="78" t="str">
        <f t="array" ref="D33">IF(C33="","", INDEX('Player Format Data'!C:C,MATCH($B33,'Player Format Data'!$A:$A,0)))</f>
        <v/>
      </c>
      <c r="E33" s="77" t="str">
        <f t="array" ref="E33">IF(D33="","", IF(INDEX('Player Format Data'!D:D,MATCH($B33,'Player Format Data'!$A:$A,0))="2TM",INDEX('Player Format Data'!D:D,MATCH($B33,'Player Format Data'!$A:$A,0)+2),INDEX('Player Format Data'!D:D,MATCH($B33,'Player Format Data'!$A:$A,0))))</f>
        <v/>
      </c>
      <c r="F33" s="77" t="str">
        <f t="shared" si="9"/>
        <v/>
      </c>
      <c r="G33" s="79">
        <f t="shared" si="10"/>
        <v>0</v>
      </c>
      <c r="H33" s="80">
        <f t="shared" si="11"/>
        <v>0</v>
      </c>
      <c r="I33" s="63">
        <f t="shared" si="12"/>
        <v>0</v>
      </c>
      <c r="J33" s="31"/>
      <c r="K33" s="87" t="s">
        <v>1310</v>
      </c>
      <c r="L33" s="89"/>
      <c r="M33" s="77" t="str">
        <f t="array" ref="M33">IF(L33="","", INDEX('Player Format Data'!B:B,MATCH($L33,'Player Format Data'!$A:$A,0)))</f>
        <v/>
      </c>
      <c r="N33" s="82" t="str">
        <f t="array" ref="N33">IF(M33="","", INDEX('Player Format Data'!C:C,MATCH($L33,'Player Format Data'!$A:$A,0)))</f>
        <v/>
      </c>
      <c r="O33" s="83" t="str">
        <f t="array" ref="O33">IF(M33="","", IF(INDEX('Player Format Data'!D:D,MATCH($L33,'Player Format Data'!$A:$A,0))="2TM",INDEX('Player Format Data'!D:D,MATCH($L33,'Player Format Data'!$A:$A,0)+2),INDEX('Player Format Data'!D:D,MATCH($L33,'Player Format Data'!$A:$A,0))))</f>
        <v/>
      </c>
      <c r="P33" s="77" t="str">
        <f t="shared" si="13"/>
        <v/>
      </c>
      <c r="Q33" s="79">
        <f t="shared" si="14"/>
        <v>0</v>
      </c>
      <c r="R33" s="80">
        <f t="shared" si="15"/>
        <v>0</v>
      </c>
      <c r="S33" s="63">
        <f t="shared" si="16"/>
        <v>0</v>
      </c>
      <c r="T33" s="31"/>
    </row>
    <row r="34">
      <c r="A34" s="88"/>
      <c r="B34" s="21"/>
      <c r="C34" s="77"/>
      <c r="D34" s="78"/>
      <c r="E34" s="77" t="str">
        <f t="array" ref="E34">IF(D34="","", IF(INDEX('Player Format Data'!D:D,MATCH($B34,'Player Format Data'!$A:$A,0))="2TM",INDEX('Player Format Data'!D:D,MATCH($B34,'Player Format Data'!$A:$A,0)+2),INDEX('Player Format Data'!D:D,MATCH($B34,'Player Format Data'!$A:$A,0))))</f>
        <v/>
      </c>
      <c r="F34" s="77" t="str">
        <f t="shared" si="9"/>
        <v/>
      </c>
      <c r="G34" s="79"/>
      <c r="H34" s="80" t="str">
        <f t="shared" si="11"/>
        <v/>
      </c>
      <c r="I34" s="63" t="str">
        <f t="shared" si="12"/>
        <v/>
      </c>
      <c r="J34" s="31"/>
      <c r="K34" s="88"/>
      <c r="L34" s="89"/>
      <c r="M34" s="77" t="str">
        <f t="array" ref="M34">IF(L34="","", INDEX('Player Format Data'!B:B,MATCH($L34,'Player Format Data'!$A:$A,0)))</f>
        <v/>
      </c>
      <c r="N34" s="78" t="str">
        <f t="array" ref="N34">IF(M34="","", INDEX('Player Format Data'!C:C,MATCH($L34,'Player Format Data'!$A:$A,0)))</f>
        <v/>
      </c>
      <c r="O34" s="83" t="str">
        <f t="array" ref="O34">IF(M34="","", IF(INDEX('Player Format Data'!D:D,MATCH($L34,'Player Format Data'!$A:$A,0))="2TM",INDEX('Player Format Data'!D:D,MATCH($L34,'Player Format Data'!$A:$A,0)+2),INDEX('Player Format Data'!D:D,MATCH($L34,'Player Format Data'!$A:$A,0))))</f>
        <v/>
      </c>
      <c r="P34" s="77" t="str">
        <f t="shared" si="13"/>
        <v/>
      </c>
      <c r="Q34" s="79"/>
      <c r="R34" s="80" t="str">
        <f t="shared" si="15"/>
        <v/>
      </c>
      <c r="S34" s="63" t="str">
        <f t="shared" si="16"/>
        <v/>
      </c>
      <c r="T34" s="31"/>
    </row>
    <row r="35">
      <c r="A35" s="66" t="s">
        <v>1324</v>
      </c>
      <c r="C35" s="67" t="s">
        <v>1</v>
      </c>
      <c r="D35" s="68" t="s">
        <v>2</v>
      </c>
      <c r="E35" s="69" t="s">
        <v>3</v>
      </c>
      <c r="F35" s="69" t="s">
        <v>16</v>
      </c>
      <c r="G35" s="70" t="s">
        <v>17</v>
      </c>
      <c r="H35" s="69" t="s">
        <v>18</v>
      </c>
      <c r="I35" s="71" t="s">
        <v>1307</v>
      </c>
      <c r="J35" s="31"/>
      <c r="K35" s="66" t="s">
        <v>1325</v>
      </c>
      <c r="M35" s="67" t="s">
        <v>1</v>
      </c>
      <c r="N35" s="68" t="s">
        <v>2</v>
      </c>
      <c r="O35" s="72" t="s">
        <v>3</v>
      </c>
      <c r="P35" s="69" t="s">
        <v>16</v>
      </c>
      <c r="Q35" s="73" t="s">
        <v>17</v>
      </c>
      <c r="R35" s="69" t="s">
        <v>18</v>
      </c>
      <c r="S35" s="74" t="s">
        <v>1307</v>
      </c>
      <c r="T35" s="31"/>
    </row>
    <row r="36">
      <c r="A36" s="75">
        <v>1.0</v>
      </c>
      <c r="B36" s="21"/>
      <c r="C36" s="77" t="str">
        <f t="array" ref="C36">IF(B36="","", INDEX('Player Format Data'!B:B,MATCH($B36,'Player Format Data'!$A:$A,0)))</f>
        <v/>
      </c>
      <c r="D36" s="78" t="str">
        <f t="array" ref="D36">IF(C36="","", INDEX('Player Format Data'!C:C,MATCH($B36,'Player Format Data'!$A:$A,0)))</f>
        <v/>
      </c>
      <c r="E36" s="77" t="str">
        <f t="array" ref="E36">IF(D36="","", IF(INDEX('Player Format Data'!D:D,MATCH($B36,'Player Format Data'!$A:$A,0))="2TM",INDEX('Player Format Data'!D:D,MATCH($B36,'Player Format Data'!$A:$A,0)+2),INDEX('Player Format Data'!D:D,MATCH($B36,'Player Format Data'!$A:$A,0))))</f>
        <v/>
      </c>
      <c r="F36" s="77" t="str">
        <f t="shared" ref="F36:F49" si="17">IFERROR(IF(E36="","", INDEX(INDIRECT(CONCATENATE($T$2,"!Q:Q")),MATCH($B36,INDIRECT(CONCATENATE($T$2,"!$A:$A")),0))),0)</f>
        <v/>
      </c>
      <c r="G36" s="79">
        <f t="shared" ref="G36:G49" si="18">IFERROR(IF(F36="",0, INDEX(INDIRECT(CONCATENATE($T$2,"!R:R")),MATCH($B36,INDIRECT(CONCATENATE($T$2,"!$A:$A")),0))),0)</f>
        <v>0</v>
      </c>
      <c r="H36" s="80">
        <f t="shared" ref="H36:H49" si="19">IFERROR(IF(G36="","", INDEX(INDIRECT(CONCATENATE($T$2,"!S:S")),MATCH($B36,INDIRECT(CONCATENATE($T$2,"!$A:$A")),0))),0)</f>
        <v>0</v>
      </c>
      <c r="I36" s="63">
        <f t="shared" ref="I36:I49" si="20">IFERROR(IF(H36="","", INDEX(INDIRECT(CONCATENATE($T$2,"!W:W")),MATCH($B36,INDIRECT(CONCATENATE($T$2,"!$A:$A")),0))),0)</f>
        <v>0</v>
      </c>
      <c r="J36" s="31"/>
      <c r="K36" s="75">
        <v>1.0</v>
      </c>
      <c r="M36" s="77" t="str">
        <f t="array" ref="M36">IF(L36="","", INDEX('Player Format Data'!B:B,MATCH($L36,'Player Format Data'!$A:$A,0)))</f>
        <v/>
      </c>
      <c r="N36" s="82" t="str">
        <f t="array" ref="N36">IF(M36="","", INDEX('Player Format Data'!C:C,MATCH($L36,'Player Format Data'!$A:$A,0)))</f>
        <v/>
      </c>
      <c r="O36" s="83" t="str">
        <f t="array" ref="O36">IF(M36="","", IF(INDEX('Player Format Data'!D:D,MATCH($L36,'Player Format Data'!$A:$A,0))="2TM",INDEX('Player Format Data'!D:D,MATCH($L36,'Player Format Data'!$A:$A,0)+2),INDEX('Player Format Data'!D:D,MATCH($L36,'Player Format Data'!$A:$A,0))))</f>
        <v/>
      </c>
      <c r="P36" s="77" t="str">
        <f t="shared" ref="P36:P49" si="21">IFERROR(IF(O36="","", INDEX(INDIRECT(CONCATENATE($T$2,"!Q:Q")),MATCH($L36,INDIRECT(CONCATENATE($T$2,"!$A:$A")),0))),0)</f>
        <v/>
      </c>
      <c r="Q36" s="79">
        <f t="shared" ref="Q36:Q49" si="22">IFERROR(IF(P36="",0, INDEX(INDIRECT(CONCATENATE($T$2,"!R:R")),MATCH($L36,INDIRECT(CONCATENATE($T$2,"!$A:$A")),0))),0)</f>
        <v>0</v>
      </c>
      <c r="R36" s="80">
        <f t="shared" ref="R36:R49" si="23">IFERROR(IF(Q36="","", INDEX(INDIRECT(CONCATENATE($T$2,"!S:S")),MATCH($L36,INDIRECT(CONCATENATE($T$2,"!$A:$A")),0))),0)</f>
        <v>0</v>
      </c>
      <c r="S36" s="63">
        <f t="shared" ref="S36:S49" si="24">IFERROR(IF(R36="","", INDEX(INDIRECT(CONCATENATE($T$2,"!W:W")),MATCH($L36,INDIRECT(CONCATENATE($T$2,"!$A:$A")),0))),0)</f>
        <v>0</v>
      </c>
      <c r="T36" s="31"/>
    </row>
    <row r="37">
      <c r="A37" s="75">
        <v>2.0</v>
      </c>
      <c r="B37" s="21"/>
      <c r="C37" s="77" t="str">
        <f t="array" ref="C37">IF(B37="","", INDEX('Player Format Data'!B:B,MATCH($B37,'Player Format Data'!$A:$A,0)))</f>
        <v/>
      </c>
      <c r="D37" s="78" t="str">
        <f t="array" ref="D37">IF(C37="","", INDEX('Player Format Data'!C:C,MATCH($B37,'Player Format Data'!$A:$A,0)))</f>
        <v/>
      </c>
      <c r="E37" s="77" t="str">
        <f t="array" ref="E37">IF(D37="","", IF(INDEX('Player Format Data'!D:D,MATCH($B37,'Player Format Data'!$A:$A,0))="2TM",INDEX('Player Format Data'!D:D,MATCH($B37,'Player Format Data'!$A:$A,0)+2),INDEX('Player Format Data'!D:D,MATCH($B37,'Player Format Data'!$A:$A,0))))</f>
        <v/>
      </c>
      <c r="F37" s="77" t="str">
        <f t="shared" si="17"/>
        <v/>
      </c>
      <c r="G37" s="79">
        <f t="shared" si="18"/>
        <v>0</v>
      </c>
      <c r="H37" s="80">
        <f t="shared" si="19"/>
        <v>0</v>
      </c>
      <c r="I37" s="63">
        <f t="shared" si="20"/>
        <v>0</v>
      </c>
      <c r="J37" s="31"/>
      <c r="K37" s="75">
        <v>2.0</v>
      </c>
      <c r="L37" s="89"/>
      <c r="M37" s="77" t="str">
        <f t="array" ref="M37">IF(L37="","", INDEX('Player Format Data'!B:B,MATCH($L37,'Player Format Data'!$A:$A,0)))</f>
        <v/>
      </c>
      <c r="N37" s="82" t="str">
        <f t="array" ref="N37">IF(M37="","", INDEX('Player Format Data'!C:C,MATCH($L37,'Player Format Data'!$A:$A,0)))</f>
        <v/>
      </c>
      <c r="O37" s="83" t="str">
        <f t="array" ref="O37">IF(M37="","", IF(INDEX('Player Format Data'!D:D,MATCH($L37,'Player Format Data'!$A:$A,0))="2TM",INDEX('Player Format Data'!D:D,MATCH($L37,'Player Format Data'!$A:$A,0)+2),INDEX('Player Format Data'!D:D,MATCH($L37,'Player Format Data'!$A:$A,0))))</f>
        <v/>
      </c>
      <c r="P37" s="77" t="str">
        <f t="shared" si="21"/>
        <v/>
      </c>
      <c r="Q37" s="79">
        <f t="shared" si="22"/>
        <v>0</v>
      </c>
      <c r="R37" s="80">
        <f t="shared" si="23"/>
        <v>0</v>
      </c>
      <c r="S37" s="63">
        <f t="shared" si="24"/>
        <v>0</v>
      </c>
      <c r="T37" s="31"/>
    </row>
    <row r="38">
      <c r="A38" s="75">
        <v>3.0</v>
      </c>
      <c r="B38" s="103"/>
      <c r="C38" s="77" t="str">
        <f t="array" ref="C38">IF(B38="","", INDEX('Player Format Data'!B:B,MATCH($B38,'Player Format Data'!$A:$A,0)))</f>
        <v/>
      </c>
      <c r="D38" s="78" t="str">
        <f t="array" ref="D38">IF(C38="","", INDEX('Player Format Data'!C:C,MATCH($B38,'Player Format Data'!$A:$A,0)))</f>
        <v/>
      </c>
      <c r="E38" s="77" t="str">
        <f t="array" ref="E38">IF(D38="","", IF(INDEX('Player Format Data'!D:D,MATCH($B38,'Player Format Data'!$A:$A,0))="2TM",INDEX('Player Format Data'!D:D,MATCH($B38,'Player Format Data'!$A:$A,0)+2),INDEX('Player Format Data'!D:D,MATCH($B38,'Player Format Data'!$A:$A,0))))</f>
        <v/>
      </c>
      <c r="F38" s="77" t="str">
        <f t="shared" si="17"/>
        <v/>
      </c>
      <c r="G38" s="79">
        <f t="shared" si="18"/>
        <v>0</v>
      </c>
      <c r="H38" s="80">
        <f t="shared" si="19"/>
        <v>0</v>
      </c>
      <c r="I38" s="63">
        <f t="shared" si="20"/>
        <v>0</v>
      </c>
      <c r="J38" s="31"/>
      <c r="K38" s="75">
        <v>3.0</v>
      </c>
      <c r="L38" s="89"/>
      <c r="M38" s="77" t="str">
        <f t="array" ref="M38">IF(L38="","", INDEX('Player Format Data'!B:B,MATCH($L38,'Player Format Data'!$A:$A,0)))</f>
        <v/>
      </c>
      <c r="N38" s="82" t="str">
        <f t="array" ref="N38">IF(M38="","", INDEX('Player Format Data'!C:C,MATCH($L38,'Player Format Data'!$A:$A,0)))</f>
        <v/>
      </c>
      <c r="O38" s="83" t="str">
        <f t="array" ref="O38">IF(M38="","", IF(INDEX('Player Format Data'!D:D,MATCH($L38,'Player Format Data'!$A:$A,0))="2TM",INDEX('Player Format Data'!D:D,MATCH($L38,'Player Format Data'!$A:$A,0)+2),INDEX('Player Format Data'!D:D,MATCH($L38,'Player Format Data'!$A:$A,0))))</f>
        <v/>
      </c>
      <c r="P38" s="77" t="str">
        <f t="shared" si="21"/>
        <v/>
      </c>
      <c r="Q38" s="79">
        <f t="shared" si="22"/>
        <v>0</v>
      </c>
      <c r="R38" s="80">
        <f t="shared" si="23"/>
        <v>0</v>
      </c>
      <c r="S38" s="63">
        <f t="shared" si="24"/>
        <v>0</v>
      </c>
      <c r="T38" s="31"/>
    </row>
    <row r="39">
      <c r="A39" s="75">
        <v>4.0</v>
      </c>
      <c r="B39" s="21"/>
      <c r="C39" s="77" t="str">
        <f t="array" ref="C39">IF(B39="","", INDEX('Player Format Data'!B:B,MATCH($B39,'Player Format Data'!$A:$A,0)))</f>
        <v/>
      </c>
      <c r="D39" s="78" t="str">
        <f t="array" ref="D39">IF(C39="","", INDEX('Player Format Data'!C:C,MATCH($B39,'Player Format Data'!$A:$A,0)))</f>
        <v/>
      </c>
      <c r="E39" s="77" t="str">
        <f t="array" ref="E39">IF(D39="","", IF(INDEX('Player Format Data'!D:D,MATCH($B39,'Player Format Data'!$A:$A,0))="2TM",INDEX('Player Format Data'!D:D,MATCH($B39,'Player Format Data'!$A:$A,0)+2),INDEX('Player Format Data'!D:D,MATCH($B39,'Player Format Data'!$A:$A,0))))</f>
        <v/>
      </c>
      <c r="F39" s="77" t="str">
        <f t="shared" si="17"/>
        <v/>
      </c>
      <c r="G39" s="79">
        <f t="shared" si="18"/>
        <v>0</v>
      </c>
      <c r="H39" s="80">
        <f t="shared" si="19"/>
        <v>0</v>
      </c>
      <c r="I39" s="63">
        <f t="shared" si="20"/>
        <v>0</v>
      </c>
      <c r="J39" s="31"/>
      <c r="K39" s="75">
        <v>4.0</v>
      </c>
      <c r="L39" s="89"/>
      <c r="M39" s="77" t="str">
        <f t="array" ref="M39">IF(L39="","", INDEX('Player Format Data'!B:B,MATCH($L39,'Player Format Data'!$A:$A,0)))</f>
        <v/>
      </c>
      <c r="N39" s="82" t="str">
        <f t="array" ref="N39">IF(M39="","", INDEX('Player Format Data'!C:C,MATCH($L39,'Player Format Data'!$A:$A,0)))</f>
        <v/>
      </c>
      <c r="O39" s="83" t="str">
        <f t="array" ref="O39">IF(M39="","", IF(INDEX('Player Format Data'!D:D,MATCH($L39,'Player Format Data'!$A:$A,0))="2TM",INDEX('Player Format Data'!D:D,MATCH($L39,'Player Format Data'!$A:$A,0)+2),INDEX('Player Format Data'!D:D,MATCH($L39,'Player Format Data'!$A:$A,0))))</f>
        <v/>
      </c>
      <c r="P39" s="77" t="str">
        <f t="shared" si="21"/>
        <v/>
      </c>
      <c r="Q39" s="79">
        <f t="shared" si="22"/>
        <v>0</v>
      </c>
      <c r="R39" s="80">
        <f t="shared" si="23"/>
        <v>0</v>
      </c>
      <c r="S39" s="63">
        <f t="shared" si="24"/>
        <v>0</v>
      </c>
      <c r="T39" s="31"/>
    </row>
    <row r="40">
      <c r="A40" s="75">
        <v>5.0</v>
      </c>
      <c r="B40" s="20"/>
      <c r="C40" s="77" t="str">
        <f t="array" ref="C40">IF(B40="","", INDEX('Player Format Data'!B:B,MATCH($B40,'Player Format Data'!$A:$A,0)))</f>
        <v/>
      </c>
      <c r="D40" s="78" t="str">
        <f t="array" ref="D40">IF(C40="","", INDEX('Player Format Data'!C:C,MATCH($B40,'Player Format Data'!$A:$A,0)))</f>
        <v/>
      </c>
      <c r="E40" s="77" t="str">
        <f t="array" ref="E40">IF(D40="","", IF(INDEX('Player Format Data'!D:D,MATCH($B40,'Player Format Data'!$A:$A,0))="2TM",INDEX('Player Format Data'!D:D,MATCH($B40,'Player Format Data'!$A:$A,0)+2),INDEX('Player Format Data'!D:D,MATCH($B40,'Player Format Data'!$A:$A,0))))</f>
        <v/>
      </c>
      <c r="F40" s="77" t="str">
        <f t="shared" si="17"/>
        <v/>
      </c>
      <c r="G40" s="79">
        <f t="shared" si="18"/>
        <v>0</v>
      </c>
      <c r="H40" s="80">
        <f t="shared" si="19"/>
        <v>0</v>
      </c>
      <c r="I40" s="63">
        <f t="shared" si="20"/>
        <v>0</v>
      </c>
      <c r="J40" s="31"/>
      <c r="K40" s="75">
        <v>5.0</v>
      </c>
      <c r="L40" s="21"/>
      <c r="M40" s="77" t="str">
        <f t="array" ref="M40">IF(L40="","", INDEX('Player Format Data'!B:B,MATCH($L40,'Player Format Data'!$A:$A,0)))</f>
        <v/>
      </c>
      <c r="N40" s="82" t="str">
        <f t="array" ref="N40">IF(M40="","", INDEX('Player Format Data'!C:C,MATCH($L40,'Player Format Data'!$A:$A,0)))</f>
        <v/>
      </c>
      <c r="O40" s="83" t="str">
        <f t="array" ref="O40">IF(M40="","", IF(INDEX('Player Format Data'!D:D,MATCH($L40,'Player Format Data'!$A:$A,0))="2TM",INDEX('Player Format Data'!D:D,MATCH($L40,'Player Format Data'!$A:$A,0)+2),INDEX('Player Format Data'!D:D,MATCH($L40,'Player Format Data'!$A:$A,0))))</f>
        <v/>
      </c>
      <c r="P40" s="77" t="str">
        <f t="shared" si="21"/>
        <v/>
      </c>
      <c r="Q40" s="79">
        <f t="shared" si="22"/>
        <v>0</v>
      </c>
      <c r="R40" s="80">
        <f t="shared" si="23"/>
        <v>0</v>
      </c>
      <c r="S40" s="63">
        <f t="shared" si="24"/>
        <v>0</v>
      </c>
      <c r="T40" s="31"/>
    </row>
    <row r="41">
      <c r="A41" s="75">
        <v>6.0</v>
      </c>
      <c r="B41" s="21"/>
      <c r="C41" s="77" t="str">
        <f t="array" ref="C41">IF(B41="","", INDEX('Player Format Data'!B:B,MATCH($B41,'Player Format Data'!$A:$A,0)))</f>
        <v/>
      </c>
      <c r="D41" s="78" t="str">
        <f t="array" ref="D41">IF(C41="","", INDEX('Player Format Data'!C:C,MATCH($B41,'Player Format Data'!$A:$A,0)))</f>
        <v/>
      </c>
      <c r="E41" s="77" t="str">
        <f t="array" ref="E41">IF(D41="","", IF(INDEX('Player Format Data'!D:D,MATCH($B41,'Player Format Data'!$A:$A,0))="2TM",INDEX('Player Format Data'!D:D,MATCH($B41,'Player Format Data'!$A:$A,0)+2),INDEX('Player Format Data'!D:D,MATCH($B41,'Player Format Data'!$A:$A,0))))</f>
        <v/>
      </c>
      <c r="F41" s="77" t="str">
        <f t="shared" si="17"/>
        <v/>
      </c>
      <c r="G41" s="79">
        <f t="shared" si="18"/>
        <v>0</v>
      </c>
      <c r="H41" s="80">
        <f t="shared" si="19"/>
        <v>0</v>
      </c>
      <c r="I41" s="63">
        <f t="shared" si="20"/>
        <v>0</v>
      </c>
      <c r="J41" s="31"/>
      <c r="K41" s="75">
        <v>6.0</v>
      </c>
      <c r="L41" s="21"/>
      <c r="M41" s="77" t="str">
        <f t="array" ref="M41">IF(L41="","", INDEX('Player Format Data'!B:B,MATCH($L41,'Player Format Data'!$A:$A,0)))</f>
        <v/>
      </c>
      <c r="N41" s="82" t="str">
        <f t="array" ref="N41">IF(M41="","", INDEX('Player Format Data'!C:C,MATCH($L41,'Player Format Data'!$A:$A,0)))</f>
        <v/>
      </c>
      <c r="O41" s="83" t="str">
        <f t="array" ref="O41">IF(M41="","", IF(INDEX('Player Format Data'!D:D,MATCH($L41,'Player Format Data'!$A:$A,0))="2TM",INDEX('Player Format Data'!D:D,MATCH($L41,'Player Format Data'!$A:$A,0)+2),INDEX('Player Format Data'!D:D,MATCH($L41,'Player Format Data'!$A:$A,0))))</f>
        <v/>
      </c>
      <c r="P41" s="77" t="str">
        <f t="shared" si="21"/>
        <v/>
      </c>
      <c r="Q41" s="79">
        <f t="shared" si="22"/>
        <v>0</v>
      </c>
      <c r="R41" s="80">
        <f t="shared" si="23"/>
        <v>0</v>
      </c>
      <c r="S41" s="63">
        <f t="shared" si="24"/>
        <v>0</v>
      </c>
      <c r="T41" s="31"/>
    </row>
    <row r="42">
      <c r="A42" s="75">
        <v>7.0</v>
      </c>
      <c r="B42" s="103"/>
      <c r="C42" s="77" t="str">
        <f t="array" ref="C42">IF(B42="","", INDEX('Player Format Data'!B:B,MATCH($B42,'Player Format Data'!$A:$A,0)))</f>
        <v/>
      </c>
      <c r="D42" s="78" t="str">
        <f t="array" ref="D42">IF(C42="","", INDEX('Player Format Data'!C:C,MATCH($B42,'Player Format Data'!$A:$A,0)))</f>
        <v/>
      </c>
      <c r="E42" s="77" t="str">
        <f t="array" ref="E42">IF(D42="","", IF(INDEX('Player Format Data'!D:D,MATCH($B42,'Player Format Data'!$A:$A,0))="2TM",INDEX('Player Format Data'!D:D,MATCH($B42,'Player Format Data'!$A:$A,0)+2),INDEX('Player Format Data'!D:D,MATCH($B42,'Player Format Data'!$A:$A,0))))</f>
        <v/>
      </c>
      <c r="F42" s="77" t="str">
        <f t="shared" si="17"/>
        <v/>
      </c>
      <c r="G42" s="79">
        <f t="shared" si="18"/>
        <v>0</v>
      </c>
      <c r="H42" s="80">
        <f t="shared" si="19"/>
        <v>0</v>
      </c>
      <c r="I42" s="63">
        <f t="shared" si="20"/>
        <v>0</v>
      </c>
      <c r="J42" s="31"/>
      <c r="K42" s="75">
        <v>7.0</v>
      </c>
      <c r="L42" s="76"/>
      <c r="M42" s="77" t="str">
        <f t="array" ref="M42">IF(L42="","", INDEX('Player Format Data'!B:B,MATCH($L42,'Player Format Data'!$A:$A,0)))</f>
        <v/>
      </c>
      <c r="N42" s="82" t="str">
        <f t="array" ref="N42">IF(M42="","", INDEX('Player Format Data'!C:C,MATCH($L42,'Player Format Data'!$A:$A,0)))</f>
        <v/>
      </c>
      <c r="O42" s="83" t="str">
        <f t="array" ref="O42">IF(M42="","", IF(INDEX('Player Format Data'!D:D,MATCH($L42,'Player Format Data'!$A:$A,0))="2TM",INDEX('Player Format Data'!D:D,MATCH($L42,'Player Format Data'!$A:$A,0)+2),INDEX('Player Format Data'!D:D,MATCH($L42,'Player Format Data'!$A:$A,0))))</f>
        <v/>
      </c>
      <c r="P42" s="77" t="str">
        <f t="shared" si="21"/>
        <v/>
      </c>
      <c r="Q42" s="79">
        <f t="shared" si="22"/>
        <v>0</v>
      </c>
      <c r="R42" s="80">
        <f t="shared" si="23"/>
        <v>0</v>
      </c>
      <c r="S42" s="63">
        <f t="shared" si="24"/>
        <v>0</v>
      </c>
      <c r="T42" s="31"/>
    </row>
    <row r="43">
      <c r="A43" s="75">
        <v>8.0</v>
      </c>
      <c r="B43" s="76"/>
      <c r="C43" s="77" t="str">
        <f t="array" ref="C43">IF(B43="","", INDEX('Player Format Data'!B:B,MATCH($B43,'Player Format Data'!$A:$A,0)))</f>
        <v/>
      </c>
      <c r="D43" s="78" t="str">
        <f t="array" ref="D43">IF(C43="","", INDEX('Player Format Data'!C:C,MATCH($B43,'Player Format Data'!$A:$A,0)))</f>
        <v/>
      </c>
      <c r="E43" s="77" t="str">
        <f t="array" ref="E43">IF(D43="","", IF(INDEX('Player Format Data'!D:D,MATCH($B43,'Player Format Data'!$A:$A,0))="2TM",INDEX('Player Format Data'!D:D,MATCH($B43,'Player Format Data'!$A:$A,0)+2),INDEX('Player Format Data'!D:D,MATCH($B43,'Player Format Data'!$A:$A,0))))</f>
        <v/>
      </c>
      <c r="F43" s="77" t="str">
        <f t="shared" si="17"/>
        <v/>
      </c>
      <c r="G43" s="79">
        <f t="shared" si="18"/>
        <v>0</v>
      </c>
      <c r="H43" s="80">
        <f t="shared" si="19"/>
        <v>0</v>
      </c>
      <c r="I43" s="63">
        <f t="shared" si="20"/>
        <v>0</v>
      </c>
      <c r="J43" s="31"/>
      <c r="K43" s="75">
        <v>8.0</v>
      </c>
      <c r="L43" s="89"/>
      <c r="M43" s="77" t="str">
        <f t="array" ref="M43">IF(L43="","", INDEX('Player Format Data'!B:B,MATCH($L43,'Player Format Data'!$A:$A,0)))</f>
        <v/>
      </c>
      <c r="N43" s="82" t="str">
        <f t="array" ref="N43">IF(M43="","", INDEX('Player Format Data'!C:C,MATCH($L43,'Player Format Data'!$A:$A,0)))</f>
        <v/>
      </c>
      <c r="O43" s="83" t="str">
        <f t="array" ref="O43">IF(M43="","", IF(INDEX('Player Format Data'!D:D,MATCH($L43,'Player Format Data'!$A:$A,0))="2TM",INDEX('Player Format Data'!D:D,MATCH($L43,'Player Format Data'!$A:$A,0)+2),INDEX('Player Format Data'!D:D,MATCH($L43,'Player Format Data'!$A:$A,0))))</f>
        <v/>
      </c>
      <c r="P43" s="77" t="str">
        <f t="shared" si="21"/>
        <v/>
      </c>
      <c r="Q43" s="79">
        <f t="shared" si="22"/>
        <v>0</v>
      </c>
      <c r="R43" s="80">
        <f t="shared" si="23"/>
        <v>0</v>
      </c>
      <c r="S43" s="63">
        <f t="shared" si="24"/>
        <v>0</v>
      </c>
      <c r="T43" s="31"/>
    </row>
    <row r="44">
      <c r="A44" s="86">
        <v>9.0</v>
      </c>
      <c r="B44" s="76"/>
      <c r="C44" s="77" t="str">
        <f t="array" ref="C44">IF(B44="","", INDEX('Player Format Data'!B:B,MATCH($B44,'Player Format Data'!$A:$A,0)))</f>
        <v/>
      </c>
      <c r="D44" s="78" t="str">
        <f t="array" ref="D44">IF(C44="","", INDEX('Player Format Data'!C:C,MATCH($B44,'Player Format Data'!$A:$A,0)))</f>
        <v/>
      </c>
      <c r="E44" s="77" t="str">
        <f t="array" ref="E44">IF(D44="","", IF(INDEX('Player Format Data'!D:D,MATCH($B44,'Player Format Data'!$A:$A,0))="2TM",INDEX('Player Format Data'!D:D,MATCH($B44,'Player Format Data'!$A:$A,0)+2),INDEX('Player Format Data'!D:D,MATCH($B44,'Player Format Data'!$A:$A,0))))</f>
        <v/>
      </c>
      <c r="F44" s="77" t="str">
        <f t="shared" si="17"/>
        <v/>
      </c>
      <c r="G44" s="79">
        <f t="shared" si="18"/>
        <v>0</v>
      </c>
      <c r="H44" s="80">
        <f t="shared" si="19"/>
        <v>0</v>
      </c>
      <c r="I44" s="63">
        <f t="shared" si="20"/>
        <v>0</v>
      </c>
      <c r="J44" s="31"/>
      <c r="K44" s="86">
        <v>9.0</v>
      </c>
      <c r="M44" s="77" t="str">
        <f t="array" ref="M44">IF(L44="","", INDEX('Player Format Data'!B:B,MATCH($L44,'Player Format Data'!$A:$A,0)))</f>
        <v/>
      </c>
      <c r="N44" s="82" t="str">
        <f t="array" ref="N44">IF(M44="","", INDEX('Player Format Data'!C:C,MATCH($L44,'Player Format Data'!$A:$A,0)))</f>
        <v/>
      </c>
      <c r="O44" s="83" t="str">
        <f t="array" ref="O44">IF(M44="","", IF(INDEX('Player Format Data'!D:D,MATCH($L44,'Player Format Data'!$A:$A,0))="2TM",INDEX('Player Format Data'!D:D,MATCH($L44,'Player Format Data'!$A:$A,0)+2),INDEX('Player Format Data'!D:D,MATCH($L44,'Player Format Data'!$A:$A,0))))</f>
        <v/>
      </c>
      <c r="P44" s="77" t="str">
        <f t="shared" si="21"/>
        <v/>
      </c>
      <c r="Q44" s="79">
        <f t="shared" si="22"/>
        <v>0</v>
      </c>
      <c r="R44" s="80">
        <f t="shared" si="23"/>
        <v>0</v>
      </c>
      <c r="S44" s="63">
        <f t="shared" si="24"/>
        <v>0</v>
      </c>
      <c r="T44" s="31"/>
    </row>
    <row r="45">
      <c r="A45" s="86">
        <v>10.0</v>
      </c>
      <c r="B45" s="21"/>
      <c r="C45" s="77" t="str">
        <f t="array" ref="C45">IF(B45="","", INDEX('Player Format Data'!B:B,MATCH($B45,'Player Format Data'!$A:$A,0)))</f>
        <v/>
      </c>
      <c r="D45" s="78" t="str">
        <f t="array" ref="D45">IF(C45="","", INDEX('Player Format Data'!C:C,MATCH($B45,'Player Format Data'!$A:$A,0)))</f>
        <v/>
      </c>
      <c r="E45" s="77" t="str">
        <f t="array" ref="E45">IF(D45="","", IF(INDEX('Player Format Data'!D:D,MATCH($B45,'Player Format Data'!$A:$A,0))="2TM",INDEX('Player Format Data'!D:D,MATCH($B45,'Player Format Data'!$A:$A,0)+2),INDEX('Player Format Data'!D:D,MATCH($B45,'Player Format Data'!$A:$A,0))))</f>
        <v/>
      </c>
      <c r="F45" s="77" t="str">
        <f t="shared" si="17"/>
        <v/>
      </c>
      <c r="G45" s="79">
        <f t="shared" si="18"/>
        <v>0</v>
      </c>
      <c r="H45" s="80">
        <f t="shared" si="19"/>
        <v>0</v>
      </c>
      <c r="I45" s="63">
        <f t="shared" si="20"/>
        <v>0</v>
      </c>
      <c r="J45" s="31"/>
      <c r="K45" s="86">
        <v>10.0</v>
      </c>
      <c r="L45" s="89"/>
      <c r="M45" s="77" t="str">
        <f t="array" ref="M45">IF(L45="","", INDEX('Player Format Data'!B:B,MATCH($L45,'Player Format Data'!$A:$A,0)))</f>
        <v/>
      </c>
      <c r="N45" s="82" t="str">
        <f t="array" ref="N45">IF(M45="","", INDEX('Player Format Data'!C:C,MATCH($L45,'Player Format Data'!$A:$A,0)))</f>
        <v/>
      </c>
      <c r="O45" s="83" t="str">
        <f t="array" ref="O45">IF(M45="","", IF(INDEX('Player Format Data'!D:D,MATCH($L45,'Player Format Data'!$A:$A,0))="2TM",INDEX('Player Format Data'!D:D,MATCH($L45,'Player Format Data'!$A:$A,0)+2),INDEX('Player Format Data'!D:D,MATCH($L45,'Player Format Data'!$A:$A,0))))</f>
        <v/>
      </c>
      <c r="P45" s="77" t="str">
        <f t="shared" si="21"/>
        <v/>
      </c>
      <c r="Q45" s="79">
        <f t="shared" si="22"/>
        <v>0</v>
      </c>
      <c r="R45" s="80">
        <f t="shared" si="23"/>
        <v>0</v>
      </c>
      <c r="S45" s="63">
        <f t="shared" si="24"/>
        <v>0</v>
      </c>
      <c r="T45" s="31"/>
    </row>
    <row r="46">
      <c r="A46" s="86">
        <v>11.0</v>
      </c>
      <c r="B46" s="104"/>
      <c r="C46" s="77" t="str">
        <f t="array" ref="C46">IF(B46="","", INDEX('Player Format Data'!B:B,MATCH($B46,'Player Format Data'!$A:$A,0)))</f>
        <v/>
      </c>
      <c r="D46" s="78" t="str">
        <f t="array" ref="D46">IF(C46="","", INDEX('Player Format Data'!C:C,MATCH($B46,'Player Format Data'!$A:$A,0)))</f>
        <v/>
      </c>
      <c r="E46" s="77" t="str">
        <f t="array" ref="E46">IF(D46="","", IF(INDEX('Player Format Data'!D:D,MATCH($B46,'Player Format Data'!$A:$A,0))="2TM",INDEX('Player Format Data'!D:D,MATCH($B46,'Player Format Data'!$A:$A,0)+2),INDEX('Player Format Data'!D:D,MATCH($B46,'Player Format Data'!$A:$A,0))))</f>
        <v/>
      </c>
      <c r="F46" s="77" t="str">
        <f t="shared" si="17"/>
        <v/>
      </c>
      <c r="G46" s="79">
        <f t="shared" si="18"/>
        <v>0</v>
      </c>
      <c r="H46" s="80">
        <f t="shared" si="19"/>
        <v>0</v>
      </c>
      <c r="I46" s="63">
        <f t="shared" si="20"/>
        <v>0</v>
      </c>
      <c r="J46" s="31"/>
      <c r="K46" s="86">
        <v>11.0</v>
      </c>
      <c r="M46" s="77" t="str">
        <f t="array" ref="M46">IF(L46="","", INDEX('Player Format Data'!B:B,MATCH($L46,'Player Format Data'!$A:$A,0)))</f>
        <v/>
      </c>
      <c r="N46" s="82" t="str">
        <f t="array" ref="N46">IF(M46="","", INDEX('Player Format Data'!C:C,MATCH($L46,'Player Format Data'!$A:$A,0)))</f>
        <v/>
      </c>
      <c r="O46" s="83" t="str">
        <f t="array" ref="O46">IF(M46="","", IF(INDEX('Player Format Data'!D:D,MATCH($L46,'Player Format Data'!$A:$A,0))="2TM",INDEX('Player Format Data'!D:D,MATCH($L46,'Player Format Data'!$A:$A,0)+2),INDEX('Player Format Data'!D:D,MATCH($L46,'Player Format Data'!$A:$A,0))))</f>
        <v/>
      </c>
      <c r="P46" s="77" t="str">
        <f t="shared" si="21"/>
        <v/>
      </c>
      <c r="Q46" s="79">
        <f t="shared" si="22"/>
        <v>0</v>
      </c>
      <c r="R46" s="80">
        <f t="shared" si="23"/>
        <v>0</v>
      </c>
      <c r="S46" s="63">
        <f t="shared" si="24"/>
        <v>0</v>
      </c>
      <c r="T46" s="31"/>
    </row>
    <row r="47">
      <c r="A47" s="86" t="s">
        <v>1309</v>
      </c>
      <c r="B47" s="21"/>
      <c r="C47" s="77" t="str">
        <f t="array" ref="C47">IF(B47="","", INDEX('Player Format Data'!B:B,MATCH($B47,'Player Format Data'!$A:$A,0)))</f>
        <v/>
      </c>
      <c r="D47" s="78" t="str">
        <f t="array" ref="D47">IF(C47="","", INDEX('Player Format Data'!C:C,MATCH($B47,'Player Format Data'!$A:$A,0)))</f>
        <v/>
      </c>
      <c r="E47" s="77" t="str">
        <f t="array" ref="E47">IF(D47="","", IF(INDEX('Player Format Data'!D:D,MATCH($B47,'Player Format Data'!$A:$A,0))="2TM",INDEX('Player Format Data'!D:D,MATCH($B47,'Player Format Data'!$A:$A,0)+2),INDEX('Player Format Data'!D:D,MATCH($B47,'Player Format Data'!$A:$A,0))))</f>
        <v/>
      </c>
      <c r="F47" s="77" t="str">
        <f t="shared" si="17"/>
        <v/>
      </c>
      <c r="G47" s="79">
        <f t="shared" si="18"/>
        <v>0</v>
      </c>
      <c r="H47" s="80">
        <f t="shared" si="19"/>
        <v>0</v>
      </c>
      <c r="I47" s="63">
        <f t="shared" si="20"/>
        <v>0</v>
      </c>
      <c r="J47" s="31"/>
      <c r="K47" s="86" t="s">
        <v>1309</v>
      </c>
      <c r="L47" s="21"/>
      <c r="M47" s="77" t="str">
        <f t="array" ref="M47">IF(L47="","", INDEX('Player Format Data'!B:B,MATCH($L47,'Player Format Data'!$A:$A,0)))</f>
        <v/>
      </c>
      <c r="N47" s="82" t="str">
        <f t="array" ref="N47">IF(M47="","", INDEX('Player Format Data'!C:C,MATCH($L47,'Player Format Data'!$A:$A,0)))</f>
        <v/>
      </c>
      <c r="O47" s="83" t="str">
        <f t="array" ref="O47">IF(M47="","", IF(INDEX('Player Format Data'!D:D,MATCH($L47,'Player Format Data'!$A:$A,0))="2TM",INDEX('Player Format Data'!D:D,MATCH($L47,'Player Format Data'!$A:$A,0)+2),INDEX('Player Format Data'!D:D,MATCH($L47,'Player Format Data'!$A:$A,0))))</f>
        <v/>
      </c>
      <c r="P47" s="77" t="str">
        <f t="shared" si="21"/>
        <v/>
      </c>
      <c r="Q47" s="79">
        <f t="shared" si="22"/>
        <v>0</v>
      </c>
      <c r="R47" s="80">
        <f t="shared" si="23"/>
        <v>0</v>
      </c>
      <c r="S47" s="63">
        <f t="shared" si="24"/>
        <v>0</v>
      </c>
      <c r="T47" s="31"/>
    </row>
    <row r="48">
      <c r="A48" s="86" t="s">
        <v>1310</v>
      </c>
      <c r="B48" s="76"/>
      <c r="C48" s="77" t="str">
        <f t="array" ref="C48">IF(B48="","", INDEX('Player Format Data'!B:B,MATCH($B48,'Player Format Data'!$A:$A,0)))</f>
        <v/>
      </c>
      <c r="D48" s="78" t="str">
        <f t="array" ref="D48">IF(C48="","", INDEX('Player Format Data'!C:C,MATCH($B48,'Player Format Data'!$A:$A,0)))</f>
        <v/>
      </c>
      <c r="E48" s="77" t="str">
        <f t="array" ref="E48">IF(D48="","", IF(INDEX('Player Format Data'!D:D,MATCH($B48,'Player Format Data'!$A:$A,0))="2TM",INDEX('Player Format Data'!D:D,MATCH($B48,'Player Format Data'!$A:$A,0)+2),INDEX('Player Format Data'!D:D,MATCH($B48,'Player Format Data'!$A:$A,0))))</f>
        <v/>
      </c>
      <c r="F48" s="77" t="str">
        <f t="shared" si="17"/>
        <v/>
      </c>
      <c r="G48" s="79">
        <f t="shared" si="18"/>
        <v>0</v>
      </c>
      <c r="H48" s="80">
        <f t="shared" si="19"/>
        <v>0</v>
      </c>
      <c r="I48" s="63">
        <f t="shared" si="20"/>
        <v>0</v>
      </c>
      <c r="J48" s="31"/>
      <c r="K48" s="86" t="s">
        <v>1310</v>
      </c>
      <c r="M48" s="77" t="str">
        <f t="array" ref="M48">IF(L48="","", INDEX('Player Format Data'!B:B,MATCH($L48,'Player Format Data'!$A:$A,0)))</f>
        <v/>
      </c>
      <c r="N48" s="82" t="str">
        <f t="array" ref="N48">IF(M48="","", INDEX('Player Format Data'!C:C,MATCH($L48,'Player Format Data'!$A:$A,0)))</f>
        <v/>
      </c>
      <c r="O48" s="83" t="str">
        <f t="array" ref="O48">IF(M48="","", IF(INDEX('Player Format Data'!D:D,MATCH($L48,'Player Format Data'!$A:$A,0))="2TM",INDEX('Player Format Data'!D:D,MATCH($L48,'Player Format Data'!$A:$A,0)+2),INDEX('Player Format Data'!D:D,MATCH($L48,'Player Format Data'!$A:$A,0))))</f>
        <v/>
      </c>
      <c r="P48" s="77" t="str">
        <f t="shared" si="21"/>
        <v/>
      </c>
      <c r="Q48" s="79">
        <f t="shared" si="22"/>
        <v>0</v>
      </c>
      <c r="R48" s="80">
        <f t="shared" si="23"/>
        <v>0</v>
      </c>
      <c r="S48" s="63">
        <f t="shared" si="24"/>
        <v>0</v>
      </c>
      <c r="T48" s="31"/>
    </row>
    <row r="49">
      <c r="A49" s="87" t="s">
        <v>1310</v>
      </c>
      <c r="B49" s="76"/>
      <c r="C49" s="77" t="str">
        <f t="array" ref="C49">IF(B49="","", INDEX('Player Format Data'!B:B,MATCH($B49,'Player Format Data'!$A:$A,0)))</f>
        <v/>
      </c>
      <c r="D49" s="78" t="str">
        <f t="array" ref="D49">IF(C49="","", INDEX('Player Format Data'!C:C,MATCH($B49,'Player Format Data'!$A:$A,0)))</f>
        <v/>
      </c>
      <c r="E49" s="77" t="str">
        <f t="array" ref="E49">IF(D49="","", IF(INDEX('Player Format Data'!D:D,MATCH($B49,'Player Format Data'!$A:$A,0))="2TM",INDEX('Player Format Data'!D:D,MATCH($B49,'Player Format Data'!$A:$A,0)+2),INDEX('Player Format Data'!D:D,MATCH($B49,'Player Format Data'!$A:$A,0))))</f>
        <v/>
      </c>
      <c r="F49" s="77" t="str">
        <f t="shared" si="17"/>
        <v/>
      </c>
      <c r="G49" s="79">
        <f t="shared" si="18"/>
        <v>0</v>
      </c>
      <c r="H49" s="80">
        <f t="shared" si="19"/>
        <v>0</v>
      </c>
      <c r="I49" s="63">
        <f t="shared" si="20"/>
        <v>0</v>
      </c>
      <c r="J49" s="31"/>
      <c r="K49" s="87" t="s">
        <v>1310</v>
      </c>
      <c r="L49" s="89"/>
      <c r="M49" s="77" t="str">
        <f t="array" ref="M49">IF(L49="","", INDEX('Player Format Data'!B:B,MATCH($L49,'Player Format Data'!$A:$A,0)))</f>
        <v/>
      </c>
      <c r="N49" s="82" t="str">
        <f t="array" ref="N49">IF(M49="","", INDEX('Player Format Data'!C:C,MATCH($L49,'Player Format Data'!$A:$A,0)))</f>
        <v/>
      </c>
      <c r="O49" s="83" t="str">
        <f t="array" ref="O49">IF(M49="","", IF(INDEX('Player Format Data'!D:D,MATCH($L49,'Player Format Data'!$A:$A,0))="2TM",INDEX('Player Format Data'!D:D,MATCH($L49,'Player Format Data'!$A:$A,0)+2),INDEX('Player Format Data'!D:D,MATCH($L49,'Player Format Data'!$A:$A,0))))</f>
        <v/>
      </c>
      <c r="P49" s="77" t="str">
        <f t="shared" si="21"/>
        <v/>
      </c>
      <c r="Q49" s="79">
        <f t="shared" si="22"/>
        <v>0</v>
      </c>
      <c r="R49" s="80">
        <f t="shared" si="23"/>
        <v>0</v>
      </c>
      <c r="S49" s="63">
        <f t="shared" si="24"/>
        <v>0</v>
      </c>
      <c r="T49" s="31"/>
    </row>
    <row r="50">
      <c r="A50" s="88"/>
      <c r="B50" s="104"/>
      <c r="C50" s="77"/>
      <c r="D50" s="78"/>
      <c r="E50" s="77" t="str">
        <f t="array" ref="E50">IF(D50="","", IF(INDEX('Player Format Data'!D:D,MATCH($B50,'Player Format Data'!$A:$A,0))="2TM",INDEX('Player Format Data'!D:D,MATCH($B50,'Player Format Data'!$A:$A,0)+2),INDEX('Player Format Data'!D:D,MATCH($B50,'Player Format Data'!$A:$A,0))))</f>
        <v/>
      </c>
      <c r="F50" s="77"/>
      <c r="G50" s="79"/>
      <c r="H50" s="80"/>
      <c r="I50" s="63"/>
      <c r="J50" s="31"/>
      <c r="K50" s="88"/>
      <c r="L50" s="89"/>
      <c r="M50" s="77"/>
      <c r="N50" s="78"/>
      <c r="O50" s="83" t="str">
        <f t="array" ref="O50">IF(M50="","", IF(INDEX('Player Format Data'!D:D,MATCH($L50,'Player Format Data'!$A:$A,0))="2TM",INDEX('Player Format Data'!D:D,MATCH($L50,'Player Format Data'!$A:$A,0)+2),INDEX('Player Format Data'!D:D,MATCH($L50,'Player Format Data'!$A:$A,0))))</f>
        <v/>
      </c>
      <c r="P50" s="77"/>
      <c r="Q50" s="79"/>
      <c r="R50" s="80"/>
      <c r="S50" s="63"/>
      <c r="T50" s="31"/>
    </row>
    <row r="51">
      <c r="A51" s="66" t="s">
        <v>1326</v>
      </c>
      <c r="C51" s="67" t="s">
        <v>1</v>
      </c>
      <c r="D51" s="68" t="s">
        <v>2</v>
      </c>
      <c r="E51" s="69" t="s">
        <v>3</v>
      </c>
      <c r="F51" s="69" t="s">
        <v>16</v>
      </c>
      <c r="G51" s="70" t="s">
        <v>17</v>
      </c>
      <c r="H51" s="69" t="s">
        <v>18</v>
      </c>
      <c r="I51" s="71" t="s">
        <v>1307</v>
      </c>
      <c r="J51" s="31"/>
      <c r="K51" s="66" t="s">
        <v>1327</v>
      </c>
      <c r="M51" s="67" t="s">
        <v>1</v>
      </c>
      <c r="N51" s="68" t="s">
        <v>2</v>
      </c>
      <c r="O51" s="72" t="s">
        <v>3</v>
      </c>
      <c r="P51" s="69" t="s">
        <v>16</v>
      </c>
      <c r="Q51" s="73" t="s">
        <v>17</v>
      </c>
      <c r="R51" s="69" t="s">
        <v>18</v>
      </c>
      <c r="S51" s="74" t="s">
        <v>1307</v>
      </c>
      <c r="T51" s="31"/>
    </row>
    <row r="52">
      <c r="A52" s="75">
        <v>1.0</v>
      </c>
      <c r="B52" s="103"/>
      <c r="C52" s="77" t="str">
        <f t="array" ref="C52">IF(B52="","", INDEX('Player Format Data'!B:B,MATCH($B52,'Player Format Data'!$A:$A,0)))</f>
        <v/>
      </c>
      <c r="D52" s="78" t="str">
        <f t="array" ref="D52">IF(C52="","", INDEX('Player Format Data'!C:C,MATCH($B52,'Player Format Data'!$A:$A,0)))</f>
        <v/>
      </c>
      <c r="E52" s="77" t="str">
        <f t="array" ref="E52">IF(D52="","", IF(INDEX('Player Format Data'!D:D,MATCH($B52,'Player Format Data'!$A:$A,0))="2TM",INDEX('Player Format Data'!D:D,MATCH($B52,'Player Format Data'!$A:$A,0)+2),INDEX('Player Format Data'!D:D,MATCH($B52,'Player Format Data'!$A:$A,0))))</f>
        <v/>
      </c>
      <c r="F52" s="77" t="str">
        <f t="shared" ref="F52:F65" si="25">IFERROR(IF(E52="","", INDEX(INDIRECT(CONCATENATE($T$2,"!Q:Q")),MATCH($B52,INDIRECT(CONCATENATE($T$2,"!$A:$A")),0))),0)</f>
        <v/>
      </c>
      <c r="G52" s="79">
        <f t="shared" ref="G52:G65" si="26">IFERROR(IF(F52="",0, INDEX(INDIRECT(CONCATENATE($T$2,"!R:R")),MATCH($B52,INDIRECT(CONCATENATE($T$2,"!$A:$A")),0))),0)</f>
        <v>0</v>
      </c>
      <c r="H52" s="80">
        <f t="shared" ref="H52:H65" si="27">IFERROR(IF(G52="","", INDEX(INDIRECT(CONCATENATE($T$2,"!S:S")),MATCH($B52,INDIRECT(CONCATENATE($T$2,"!$A:$A")),0))),0)</f>
        <v>0</v>
      </c>
      <c r="I52" s="63">
        <f t="shared" ref="I52:I65" si="28">IFERROR(IF(H52="","", INDEX(INDIRECT(CONCATENATE($T$2,"!W:W")),MATCH($B52,INDIRECT(CONCATENATE($T$2,"!$A:$A")),0))),0)</f>
        <v>0</v>
      </c>
      <c r="J52" s="31"/>
      <c r="K52" s="75">
        <v>1.0</v>
      </c>
      <c r="L52" s="76"/>
      <c r="M52" s="77" t="str">
        <f t="array" ref="M52">IF(L52="","", INDEX('Player Format Data'!B:B,MATCH($L52,'Player Format Data'!$A:$A,0)))</f>
        <v/>
      </c>
      <c r="N52" s="82" t="str">
        <f t="array" ref="N52">IF(M52="","", INDEX('Player Format Data'!C:C,MATCH($L52,'Player Format Data'!$A:$A,0)))</f>
        <v/>
      </c>
      <c r="O52" s="83" t="str">
        <f t="array" ref="O52">IF(M52="","", IF(INDEX('Player Format Data'!D:D,MATCH($L52,'Player Format Data'!$A:$A,0))="2TM",INDEX('Player Format Data'!D:D,MATCH($L52,'Player Format Data'!$A:$A,0)+2),INDEX('Player Format Data'!D:D,MATCH($L52,'Player Format Data'!$A:$A,0))))</f>
        <v/>
      </c>
      <c r="P52" s="77" t="str">
        <f t="shared" ref="P52:P65" si="29">IFERROR(IF(O52="","", INDEX(INDIRECT(CONCATENATE($T$2,"!Q:Q")),MATCH($L52,INDIRECT(CONCATENATE($T$2,"!$A:$A")),0))),0)</f>
        <v/>
      </c>
      <c r="Q52" s="79">
        <f t="shared" ref="Q52:Q65" si="30">IFERROR(IF(P52="",0, INDEX(INDIRECT(CONCATENATE($T$2,"!R:R")),MATCH($L52,INDIRECT(CONCATENATE($T$2,"!$A:$A")),0))),0)</f>
        <v>0</v>
      </c>
      <c r="R52" s="80">
        <f t="shared" ref="R52:R65" si="31">IFERROR(IF(Q52="","", INDEX(INDIRECT(CONCATENATE($T$2,"!S:S")),MATCH($L52,INDIRECT(CONCATENATE($T$2,"!$A:$A")),0))),0)</f>
        <v>0</v>
      </c>
      <c r="S52" s="63">
        <f t="shared" ref="S52:S65" si="32">IFERROR(IF(R52="","", INDEX(INDIRECT(CONCATENATE($T$2,"!W:W")),MATCH($L52,INDIRECT(CONCATENATE($T$2,"!$A:$A")),0))),0)</f>
        <v>0</v>
      </c>
      <c r="T52" s="31"/>
    </row>
    <row r="53">
      <c r="A53" s="75">
        <v>2.0</v>
      </c>
      <c r="C53" s="77" t="str">
        <f t="array" ref="C53">IF(B53="","", INDEX('Player Format Data'!B:B,MATCH($B53,'Player Format Data'!$A:$A,0)))</f>
        <v/>
      </c>
      <c r="D53" s="78" t="str">
        <f t="array" ref="D53">IF(C53="","", INDEX('Player Format Data'!C:C,MATCH($B53,'Player Format Data'!$A:$A,0)))</f>
        <v/>
      </c>
      <c r="E53" s="77" t="str">
        <f t="array" ref="E53">IF(D53="","", IF(INDEX('Player Format Data'!D:D,MATCH($B53,'Player Format Data'!$A:$A,0))="2TM",INDEX('Player Format Data'!D:D,MATCH($B53,'Player Format Data'!$A:$A,0)+2),INDEX('Player Format Data'!D:D,MATCH($B53,'Player Format Data'!$A:$A,0))))</f>
        <v/>
      </c>
      <c r="F53" s="77" t="str">
        <f t="shared" si="25"/>
        <v/>
      </c>
      <c r="G53" s="79">
        <f t="shared" si="26"/>
        <v>0</v>
      </c>
      <c r="H53" s="80">
        <f t="shared" si="27"/>
        <v>0</v>
      </c>
      <c r="I53" s="63">
        <f t="shared" si="28"/>
        <v>0</v>
      </c>
      <c r="J53" s="31"/>
      <c r="K53" s="75">
        <v>2.0</v>
      </c>
      <c r="L53" s="21"/>
      <c r="M53" s="77" t="str">
        <f t="array" ref="M53">IF(L53="","", INDEX('Player Format Data'!B:B,MATCH($L53,'Player Format Data'!$A:$A,0)))</f>
        <v/>
      </c>
      <c r="N53" s="82" t="str">
        <f t="array" ref="N53">IF(M53="","", INDEX('Player Format Data'!C:C,MATCH($L53,'Player Format Data'!$A:$A,0)))</f>
        <v/>
      </c>
      <c r="O53" s="83" t="str">
        <f t="array" ref="O53">IF(M53="","", IF(INDEX('Player Format Data'!D:D,MATCH($L53,'Player Format Data'!$A:$A,0))="2TM",INDEX('Player Format Data'!D:D,MATCH($L53,'Player Format Data'!$A:$A,0)+2),INDEX('Player Format Data'!D:D,MATCH($L53,'Player Format Data'!$A:$A,0))))</f>
        <v/>
      </c>
      <c r="P53" s="77" t="str">
        <f t="shared" si="29"/>
        <v/>
      </c>
      <c r="Q53" s="79">
        <f t="shared" si="30"/>
        <v>0</v>
      </c>
      <c r="R53" s="80">
        <f t="shared" si="31"/>
        <v>0</v>
      </c>
      <c r="S53" s="63">
        <f t="shared" si="32"/>
        <v>0</v>
      </c>
      <c r="T53" s="31"/>
    </row>
    <row r="54">
      <c r="A54" s="75">
        <v>3.0</v>
      </c>
      <c r="B54" s="21"/>
      <c r="C54" s="77" t="str">
        <f t="array" ref="C54">IF(B54="","", INDEX('Player Format Data'!B:B,MATCH($B54,'Player Format Data'!$A:$A,0)))</f>
        <v/>
      </c>
      <c r="D54" s="78" t="str">
        <f t="array" ref="D54">IF(C54="","", INDEX('Player Format Data'!C:C,MATCH($B54,'Player Format Data'!$A:$A,0)))</f>
        <v/>
      </c>
      <c r="E54" s="77" t="str">
        <f t="array" ref="E54">IF(D54="","", IF(INDEX('Player Format Data'!D:D,MATCH($B54,'Player Format Data'!$A:$A,0))="2TM",INDEX('Player Format Data'!D:D,MATCH($B54,'Player Format Data'!$A:$A,0)+2),INDEX('Player Format Data'!D:D,MATCH($B54,'Player Format Data'!$A:$A,0))))</f>
        <v/>
      </c>
      <c r="F54" s="77" t="str">
        <f t="shared" si="25"/>
        <v/>
      </c>
      <c r="G54" s="79">
        <f t="shared" si="26"/>
        <v>0</v>
      </c>
      <c r="H54" s="80">
        <f t="shared" si="27"/>
        <v>0</v>
      </c>
      <c r="I54" s="63">
        <f t="shared" si="28"/>
        <v>0</v>
      </c>
      <c r="J54" s="31"/>
      <c r="K54" s="75">
        <v>3.0</v>
      </c>
      <c r="L54" s="76"/>
      <c r="M54" s="77" t="str">
        <f t="array" ref="M54">IF(L54="","", INDEX('Player Format Data'!B:B,MATCH($L54,'Player Format Data'!$A:$A,0)))</f>
        <v/>
      </c>
      <c r="N54" s="82" t="str">
        <f t="array" ref="N54">IF(M54="","", INDEX('Player Format Data'!C:C,MATCH($L54,'Player Format Data'!$A:$A,0)))</f>
        <v/>
      </c>
      <c r="O54" s="83" t="str">
        <f t="array" ref="O54">IF(M54="","", IF(INDEX('Player Format Data'!D:D,MATCH($L54,'Player Format Data'!$A:$A,0))="2TM",INDEX('Player Format Data'!D:D,MATCH($L54,'Player Format Data'!$A:$A,0)+2),INDEX('Player Format Data'!D:D,MATCH($L54,'Player Format Data'!$A:$A,0))))</f>
        <v/>
      </c>
      <c r="P54" s="77" t="str">
        <f t="shared" si="29"/>
        <v/>
      </c>
      <c r="Q54" s="79">
        <f t="shared" si="30"/>
        <v>0</v>
      </c>
      <c r="R54" s="80">
        <f t="shared" si="31"/>
        <v>0</v>
      </c>
      <c r="S54" s="63">
        <f t="shared" si="32"/>
        <v>0</v>
      </c>
      <c r="T54" s="31"/>
    </row>
    <row r="55">
      <c r="A55" s="75">
        <v>4.0</v>
      </c>
      <c r="C55" s="77" t="str">
        <f t="array" ref="C55">IF(B55="","", INDEX('Player Format Data'!B:B,MATCH($B55,'Player Format Data'!$A:$A,0)))</f>
        <v/>
      </c>
      <c r="D55" s="78" t="str">
        <f t="array" ref="D55">IF(C55="","", INDEX('Player Format Data'!C:C,MATCH($B55,'Player Format Data'!$A:$A,0)))</f>
        <v/>
      </c>
      <c r="E55" s="77" t="str">
        <f t="array" ref="E55">IF(D55="","", IF(INDEX('Player Format Data'!D:D,MATCH($B55,'Player Format Data'!$A:$A,0))="2TM",INDEX('Player Format Data'!D:D,MATCH($B55,'Player Format Data'!$A:$A,0)+2),INDEX('Player Format Data'!D:D,MATCH($B55,'Player Format Data'!$A:$A,0))))</f>
        <v/>
      </c>
      <c r="F55" s="77" t="str">
        <f t="shared" si="25"/>
        <v/>
      </c>
      <c r="G55" s="79">
        <f t="shared" si="26"/>
        <v>0</v>
      </c>
      <c r="H55" s="80">
        <f t="shared" si="27"/>
        <v>0</v>
      </c>
      <c r="I55" s="63">
        <f t="shared" si="28"/>
        <v>0</v>
      </c>
      <c r="J55" s="31"/>
      <c r="K55" s="75">
        <v>4.0</v>
      </c>
      <c r="L55" s="21"/>
      <c r="M55" s="77" t="str">
        <f t="array" ref="M55">IF(L55="","", INDEX('Player Format Data'!B:B,MATCH($L55,'Player Format Data'!$A:$A,0)))</f>
        <v/>
      </c>
      <c r="N55" s="82" t="str">
        <f t="array" ref="N55">IF(M55="","", INDEX('Player Format Data'!C:C,MATCH($L55,'Player Format Data'!$A:$A,0)))</f>
        <v/>
      </c>
      <c r="O55" s="83" t="str">
        <f t="array" ref="O55">IF(M55="","", IF(INDEX('Player Format Data'!D:D,MATCH($L55,'Player Format Data'!$A:$A,0))="2TM",INDEX('Player Format Data'!D:D,MATCH($L55,'Player Format Data'!$A:$A,0)+2),INDEX('Player Format Data'!D:D,MATCH($L55,'Player Format Data'!$A:$A,0))))</f>
        <v/>
      </c>
      <c r="P55" s="77" t="str">
        <f t="shared" si="29"/>
        <v/>
      </c>
      <c r="Q55" s="79">
        <f t="shared" si="30"/>
        <v>0</v>
      </c>
      <c r="R55" s="80">
        <f t="shared" si="31"/>
        <v>0</v>
      </c>
      <c r="S55" s="63">
        <f t="shared" si="32"/>
        <v>0</v>
      </c>
      <c r="T55" s="31"/>
    </row>
    <row r="56">
      <c r="A56" s="75">
        <v>5.0</v>
      </c>
      <c r="B56" s="76"/>
      <c r="C56" s="77" t="str">
        <f t="array" ref="C56">IF(B56="","", INDEX('Player Format Data'!B:B,MATCH($B56,'Player Format Data'!$A:$A,0)))</f>
        <v/>
      </c>
      <c r="D56" s="78" t="str">
        <f t="array" ref="D56">IF(C56="","", INDEX('Player Format Data'!C:C,MATCH($B56,'Player Format Data'!$A:$A,0)))</f>
        <v/>
      </c>
      <c r="E56" s="77" t="str">
        <f t="array" ref="E56">IF(D56="","", IF(INDEX('Player Format Data'!D:D,MATCH($B56,'Player Format Data'!$A:$A,0))="2TM",INDEX('Player Format Data'!D:D,MATCH($B56,'Player Format Data'!$A:$A,0)+2),INDEX('Player Format Data'!D:D,MATCH($B56,'Player Format Data'!$A:$A,0))))</f>
        <v/>
      </c>
      <c r="F56" s="77" t="str">
        <f t="shared" si="25"/>
        <v/>
      </c>
      <c r="G56" s="79">
        <f t="shared" si="26"/>
        <v>0</v>
      </c>
      <c r="H56" s="80">
        <f t="shared" si="27"/>
        <v>0</v>
      </c>
      <c r="I56" s="63">
        <f t="shared" si="28"/>
        <v>0</v>
      </c>
      <c r="J56" s="31"/>
      <c r="K56" s="75">
        <v>5.0</v>
      </c>
      <c r="L56" s="76"/>
      <c r="M56" s="77" t="str">
        <f t="array" ref="M56">IF(L56="","", INDEX('Player Format Data'!B:B,MATCH($L56,'Player Format Data'!$A:$A,0)))</f>
        <v/>
      </c>
      <c r="N56" s="82" t="str">
        <f t="array" ref="N56">IF(M56="","", INDEX('Player Format Data'!C:C,MATCH($L56,'Player Format Data'!$A:$A,0)))</f>
        <v/>
      </c>
      <c r="O56" s="83" t="str">
        <f t="array" ref="O56">IF(M56="","", IF(INDEX('Player Format Data'!D:D,MATCH($L56,'Player Format Data'!$A:$A,0))="2TM",INDEX('Player Format Data'!D:D,MATCH($L56,'Player Format Data'!$A:$A,0)+2),INDEX('Player Format Data'!D:D,MATCH($L56,'Player Format Data'!$A:$A,0))))</f>
        <v/>
      </c>
      <c r="P56" s="77" t="str">
        <f t="shared" si="29"/>
        <v/>
      </c>
      <c r="Q56" s="79">
        <f t="shared" si="30"/>
        <v>0</v>
      </c>
      <c r="R56" s="80">
        <f t="shared" si="31"/>
        <v>0</v>
      </c>
      <c r="S56" s="63">
        <f t="shared" si="32"/>
        <v>0</v>
      </c>
      <c r="T56" s="31"/>
    </row>
    <row r="57">
      <c r="A57" s="75">
        <v>6.0</v>
      </c>
      <c r="B57" s="76"/>
      <c r="C57" s="77" t="str">
        <f t="array" ref="C57">IF(B57="","", INDEX('Player Format Data'!B:B,MATCH($B57,'Player Format Data'!$A:$A,0)))</f>
        <v/>
      </c>
      <c r="D57" s="78" t="str">
        <f t="array" ref="D57">IF(C57="","", INDEX('Player Format Data'!C:C,MATCH($B57,'Player Format Data'!$A:$A,0)))</f>
        <v/>
      </c>
      <c r="E57" s="77" t="str">
        <f t="array" ref="E57">IF(D57="","", IF(INDEX('Player Format Data'!D:D,MATCH($B57,'Player Format Data'!$A:$A,0))="2TM",INDEX('Player Format Data'!D:D,MATCH($B57,'Player Format Data'!$A:$A,0)+2),INDEX('Player Format Data'!D:D,MATCH($B57,'Player Format Data'!$A:$A,0))))</f>
        <v/>
      </c>
      <c r="F57" s="77" t="str">
        <f t="shared" si="25"/>
        <v/>
      </c>
      <c r="G57" s="79">
        <f t="shared" si="26"/>
        <v>0</v>
      </c>
      <c r="H57" s="80">
        <f t="shared" si="27"/>
        <v>0</v>
      </c>
      <c r="I57" s="63">
        <f t="shared" si="28"/>
        <v>0</v>
      </c>
      <c r="J57" s="31"/>
      <c r="K57" s="75">
        <v>6.0</v>
      </c>
      <c r="L57" s="21"/>
      <c r="M57" s="77" t="str">
        <f t="array" ref="M57">IF(L57="","", INDEX('Player Format Data'!B:B,MATCH($L57,'Player Format Data'!$A:$A,0)))</f>
        <v/>
      </c>
      <c r="N57" s="82" t="str">
        <f t="array" ref="N57">IF(M57="","", INDEX('Player Format Data'!C:C,MATCH($L57,'Player Format Data'!$A:$A,0)))</f>
        <v/>
      </c>
      <c r="O57" s="83" t="str">
        <f t="array" ref="O57">IF(M57="","", IF(INDEX('Player Format Data'!D:D,MATCH($L57,'Player Format Data'!$A:$A,0))="2TM",INDEX('Player Format Data'!D:D,MATCH($L57,'Player Format Data'!$A:$A,0)+2),INDEX('Player Format Data'!D:D,MATCH($L57,'Player Format Data'!$A:$A,0))))</f>
        <v/>
      </c>
      <c r="P57" s="77" t="str">
        <f t="shared" si="29"/>
        <v/>
      </c>
      <c r="Q57" s="79">
        <f t="shared" si="30"/>
        <v>0</v>
      </c>
      <c r="R57" s="80">
        <f t="shared" si="31"/>
        <v>0</v>
      </c>
      <c r="S57" s="63">
        <f t="shared" si="32"/>
        <v>0</v>
      </c>
      <c r="T57" s="31"/>
    </row>
    <row r="58">
      <c r="A58" s="75">
        <v>7.0</v>
      </c>
      <c r="B58" s="21"/>
      <c r="C58" s="77" t="str">
        <f t="array" ref="C58">IF(B58="","", INDEX('Player Format Data'!B:B,MATCH($B58,'Player Format Data'!$A:$A,0)))</f>
        <v/>
      </c>
      <c r="D58" s="78" t="str">
        <f t="array" ref="D58">IF(C58="","", INDEX('Player Format Data'!C:C,MATCH($B58,'Player Format Data'!$A:$A,0)))</f>
        <v/>
      </c>
      <c r="E58" s="77" t="str">
        <f t="array" ref="E58">IF(D58="","", IF(INDEX('Player Format Data'!D:D,MATCH($B58,'Player Format Data'!$A:$A,0))="2TM",INDEX('Player Format Data'!D:D,MATCH($B58,'Player Format Data'!$A:$A,0)+2),INDEX('Player Format Data'!D:D,MATCH($B58,'Player Format Data'!$A:$A,0))))</f>
        <v/>
      </c>
      <c r="F58" s="77" t="str">
        <f t="shared" si="25"/>
        <v/>
      </c>
      <c r="G58" s="79">
        <f t="shared" si="26"/>
        <v>0</v>
      </c>
      <c r="H58" s="80">
        <f t="shared" si="27"/>
        <v>0</v>
      </c>
      <c r="I58" s="63">
        <f t="shared" si="28"/>
        <v>0</v>
      </c>
      <c r="J58" s="31"/>
      <c r="K58" s="75">
        <v>7.0</v>
      </c>
      <c r="L58" s="21"/>
      <c r="M58" s="77" t="str">
        <f t="array" ref="M58">IF(L58="","", INDEX('Player Format Data'!B:B,MATCH($L58,'Player Format Data'!$A:$A,0)))</f>
        <v/>
      </c>
      <c r="N58" s="82" t="str">
        <f t="array" ref="N58">IF(M58="","", INDEX('Player Format Data'!C:C,MATCH($L58,'Player Format Data'!$A:$A,0)))</f>
        <v/>
      </c>
      <c r="O58" s="83" t="str">
        <f t="array" ref="O58">IF(M58="","", IF(INDEX('Player Format Data'!D:D,MATCH($L58,'Player Format Data'!$A:$A,0))="2TM",INDEX('Player Format Data'!D:D,MATCH($L58,'Player Format Data'!$A:$A,0)+2),INDEX('Player Format Data'!D:D,MATCH($L58,'Player Format Data'!$A:$A,0))))</f>
        <v/>
      </c>
      <c r="P58" s="77" t="str">
        <f t="shared" si="29"/>
        <v/>
      </c>
      <c r="Q58" s="79">
        <f t="shared" si="30"/>
        <v>0</v>
      </c>
      <c r="R58" s="80">
        <f t="shared" si="31"/>
        <v>0</v>
      </c>
      <c r="S58" s="63">
        <f t="shared" si="32"/>
        <v>0</v>
      </c>
      <c r="T58" s="31"/>
    </row>
    <row r="59">
      <c r="A59" s="75">
        <v>8.0</v>
      </c>
      <c r="B59" s="103"/>
      <c r="C59" s="77" t="str">
        <f t="array" ref="C59">IF(B59="","", INDEX('Player Format Data'!B:B,MATCH($B59,'Player Format Data'!$A:$A,0)))</f>
        <v/>
      </c>
      <c r="D59" s="78" t="str">
        <f t="array" ref="D59">IF(C59="","", INDEX('Player Format Data'!C:C,MATCH($B59,'Player Format Data'!$A:$A,0)))</f>
        <v/>
      </c>
      <c r="E59" s="77" t="str">
        <f t="array" ref="E59">IF(D59="","", IF(INDEX('Player Format Data'!D:D,MATCH($B59,'Player Format Data'!$A:$A,0))="2TM",INDEX('Player Format Data'!D:D,MATCH($B59,'Player Format Data'!$A:$A,0)+2),INDEX('Player Format Data'!D:D,MATCH($B59,'Player Format Data'!$A:$A,0))))</f>
        <v/>
      </c>
      <c r="F59" s="77" t="str">
        <f t="shared" si="25"/>
        <v/>
      </c>
      <c r="G59" s="79">
        <f t="shared" si="26"/>
        <v>0</v>
      </c>
      <c r="H59" s="80">
        <f t="shared" si="27"/>
        <v>0</v>
      </c>
      <c r="I59" s="63">
        <f t="shared" si="28"/>
        <v>0</v>
      </c>
      <c r="J59" s="31"/>
      <c r="K59" s="75">
        <v>8.0</v>
      </c>
      <c r="L59" s="76"/>
      <c r="M59" s="77" t="str">
        <f t="array" ref="M59">IF(L59="","", INDEX('Player Format Data'!B:B,MATCH($L59,'Player Format Data'!$A:$A,0)))</f>
        <v/>
      </c>
      <c r="N59" s="82" t="str">
        <f t="array" ref="N59">IF(M59="","", INDEX('Player Format Data'!C:C,MATCH($L59,'Player Format Data'!$A:$A,0)))</f>
        <v/>
      </c>
      <c r="O59" s="83" t="str">
        <f t="array" ref="O59">IF(M59="","", IF(INDEX('Player Format Data'!D:D,MATCH($L59,'Player Format Data'!$A:$A,0))="2TM",INDEX('Player Format Data'!D:D,MATCH($L59,'Player Format Data'!$A:$A,0)+2),INDEX('Player Format Data'!D:D,MATCH($L59,'Player Format Data'!$A:$A,0))))</f>
        <v/>
      </c>
      <c r="P59" s="77" t="str">
        <f t="shared" si="29"/>
        <v/>
      </c>
      <c r="Q59" s="79">
        <f t="shared" si="30"/>
        <v>0</v>
      </c>
      <c r="R59" s="80">
        <f t="shared" si="31"/>
        <v>0</v>
      </c>
      <c r="S59" s="63">
        <f t="shared" si="32"/>
        <v>0</v>
      </c>
      <c r="T59" s="31"/>
    </row>
    <row r="60">
      <c r="A60" s="86">
        <v>9.0</v>
      </c>
      <c r="B60" s="103"/>
      <c r="C60" s="77" t="str">
        <f t="array" ref="C60">IF(B60="","", INDEX('Player Format Data'!B:B,MATCH($B60,'Player Format Data'!$A:$A,0)))</f>
        <v/>
      </c>
      <c r="D60" s="78" t="str">
        <f t="array" ref="D60">IF(C60="","", INDEX('Player Format Data'!C:C,MATCH($B60,'Player Format Data'!$A:$A,0)))</f>
        <v/>
      </c>
      <c r="E60" s="77" t="str">
        <f t="array" ref="E60">IF(D60="","", IF(INDEX('Player Format Data'!D:D,MATCH($B60,'Player Format Data'!$A:$A,0))="2TM",INDEX('Player Format Data'!D:D,MATCH($B60,'Player Format Data'!$A:$A,0)+2),INDEX('Player Format Data'!D:D,MATCH($B60,'Player Format Data'!$A:$A,0))))</f>
        <v/>
      </c>
      <c r="F60" s="77" t="str">
        <f t="shared" si="25"/>
        <v/>
      </c>
      <c r="G60" s="79">
        <f t="shared" si="26"/>
        <v>0</v>
      </c>
      <c r="H60" s="80">
        <f t="shared" si="27"/>
        <v>0</v>
      </c>
      <c r="I60" s="63">
        <f t="shared" si="28"/>
        <v>0</v>
      </c>
      <c r="J60" s="31"/>
      <c r="K60" s="86">
        <v>9.0</v>
      </c>
      <c r="L60" s="76"/>
      <c r="M60" s="77" t="str">
        <f t="array" ref="M60">IF(L60="","", INDEX('Player Format Data'!B:B,MATCH($L60,'Player Format Data'!$A:$A,0)))</f>
        <v/>
      </c>
      <c r="N60" s="82" t="str">
        <f t="array" ref="N60">IF(M60="","", INDEX('Player Format Data'!C:C,MATCH($L60,'Player Format Data'!$A:$A,0)))</f>
        <v/>
      </c>
      <c r="O60" s="83" t="str">
        <f t="array" ref="O60">IF(M60="","", IF(INDEX('Player Format Data'!D:D,MATCH($L60,'Player Format Data'!$A:$A,0))="2TM",INDEX('Player Format Data'!D:D,MATCH($L60,'Player Format Data'!$A:$A,0)+2),INDEX('Player Format Data'!D:D,MATCH($L60,'Player Format Data'!$A:$A,0))))</f>
        <v/>
      </c>
      <c r="P60" s="77" t="str">
        <f t="shared" si="29"/>
        <v/>
      </c>
      <c r="Q60" s="79">
        <f t="shared" si="30"/>
        <v>0</v>
      </c>
      <c r="R60" s="80">
        <f t="shared" si="31"/>
        <v>0</v>
      </c>
      <c r="S60" s="63">
        <f t="shared" si="32"/>
        <v>0</v>
      </c>
      <c r="T60" s="31"/>
    </row>
    <row r="61">
      <c r="A61" s="86">
        <v>10.0</v>
      </c>
      <c r="C61" s="77" t="str">
        <f t="array" ref="C61">IF(B61="","", INDEX('Player Format Data'!B:B,MATCH($B61,'Player Format Data'!$A:$A,0)))</f>
        <v/>
      </c>
      <c r="D61" s="78" t="str">
        <f t="array" ref="D61">IF(C61="","", INDEX('Player Format Data'!C:C,MATCH($B61,'Player Format Data'!$A:$A,0)))</f>
        <v/>
      </c>
      <c r="E61" s="77" t="str">
        <f t="array" ref="E61">IF(D61="","", IF(INDEX('Player Format Data'!D:D,MATCH($B61,'Player Format Data'!$A:$A,0))="2TM",INDEX('Player Format Data'!D:D,MATCH($B61,'Player Format Data'!$A:$A,0)+2),INDEX('Player Format Data'!D:D,MATCH($B61,'Player Format Data'!$A:$A,0))))</f>
        <v/>
      </c>
      <c r="F61" s="77" t="str">
        <f t="shared" si="25"/>
        <v/>
      </c>
      <c r="G61" s="79">
        <f t="shared" si="26"/>
        <v>0</v>
      </c>
      <c r="H61" s="80">
        <f t="shared" si="27"/>
        <v>0</v>
      </c>
      <c r="I61" s="63">
        <f t="shared" si="28"/>
        <v>0</v>
      </c>
      <c r="J61" s="31"/>
      <c r="K61" s="86">
        <v>10.0</v>
      </c>
      <c r="L61" s="76"/>
      <c r="M61" s="77" t="str">
        <f t="array" ref="M61">IF(L61="","", INDEX('Player Format Data'!B:B,MATCH($L61,'Player Format Data'!$A:$A,0)))</f>
        <v/>
      </c>
      <c r="N61" s="82" t="str">
        <f t="array" ref="N61">IF(M61="","", INDEX('Player Format Data'!C:C,MATCH($L61,'Player Format Data'!$A:$A,0)))</f>
        <v/>
      </c>
      <c r="O61" s="83" t="str">
        <f t="array" ref="O61">IF(M61="","", IF(INDEX('Player Format Data'!D:D,MATCH($L61,'Player Format Data'!$A:$A,0))="2TM",INDEX('Player Format Data'!D:D,MATCH($L61,'Player Format Data'!$A:$A,0)+2),INDEX('Player Format Data'!D:D,MATCH($L61,'Player Format Data'!$A:$A,0))))</f>
        <v/>
      </c>
      <c r="P61" s="77" t="str">
        <f t="shared" si="29"/>
        <v/>
      </c>
      <c r="Q61" s="79">
        <f t="shared" si="30"/>
        <v>0</v>
      </c>
      <c r="R61" s="80">
        <f t="shared" si="31"/>
        <v>0</v>
      </c>
      <c r="S61" s="63">
        <f t="shared" si="32"/>
        <v>0</v>
      </c>
      <c r="T61" s="31"/>
    </row>
    <row r="62">
      <c r="A62" s="86">
        <v>11.0</v>
      </c>
      <c r="C62" s="77" t="str">
        <f t="array" ref="C62">IF(B62="","", INDEX('Player Format Data'!B:B,MATCH($B62,'Player Format Data'!$A:$A,0)))</f>
        <v/>
      </c>
      <c r="D62" s="78" t="str">
        <f t="array" ref="D62">IF(C62="","", INDEX('Player Format Data'!C:C,MATCH($B62,'Player Format Data'!$A:$A,0)))</f>
        <v/>
      </c>
      <c r="E62" s="77" t="str">
        <f t="array" ref="E62">IF(D62="","", IF(INDEX('Player Format Data'!D:D,MATCH($B62,'Player Format Data'!$A:$A,0))="2TM",INDEX('Player Format Data'!D:D,MATCH($B62,'Player Format Data'!$A:$A,0)+2),INDEX('Player Format Data'!D:D,MATCH($B62,'Player Format Data'!$A:$A,0))))</f>
        <v/>
      </c>
      <c r="F62" s="77" t="str">
        <f t="shared" si="25"/>
        <v/>
      </c>
      <c r="G62" s="79">
        <f t="shared" si="26"/>
        <v>0</v>
      </c>
      <c r="H62" s="80">
        <f t="shared" si="27"/>
        <v>0</v>
      </c>
      <c r="I62" s="63">
        <f t="shared" si="28"/>
        <v>0</v>
      </c>
      <c r="J62" s="31"/>
      <c r="K62" s="86">
        <v>11.0</v>
      </c>
      <c r="L62" s="76"/>
      <c r="M62" s="77" t="str">
        <f t="array" ref="M62">IF(L62="","", INDEX('Player Format Data'!B:B,MATCH($L62,'Player Format Data'!$A:$A,0)))</f>
        <v/>
      </c>
      <c r="N62" s="82" t="str">
        <f t="array" ref="N62">IF(M62="","", INDEX('Player Format Data'!C:C,MATCH($L62,'Player Format Data'!$A:$A,0)))</f>
        <v/>
      </c>
      <c r="O62" s="83" t="str">
        <f t="array" ref="O62">IF(M62="","", IF(INDEX('Player Format Data'!D:D,MATCH($L62,'Player Format Data'!$A:$A,0))="2TM",INDEX('Player Format Data'!D:D,MATCH($L62,'Player Format Data'!$A:$A,0)+2),INDEX('Player Format Data'!D:D,MATCH($L62,'Player Format Data'!$A:$A,0))))</f>
        <v/>
      </c>
      <c r="P62" s="77" t="str">
        <f t="shared" si="29"/>
        <v/>
      </c>
      <c r="Q62" s="79">
        <f t="shared" si="30"/>
        <v>0</v>
      </c>
      <c r="R62" s="80">
        <f t="shared" si="31"/>
        <v>0</v>
      </c>
      <c r="S62" s="63">
        <f t="shared" si="32"/>
        <v>0</v>
      </c>
      <c r="T62" s="31"/>
    </row>
    <row r="63">
      <c r="A63" s="86" t="s">
        <v>1309</v>
      </c>
      <c r="B63" s="103"/>
      <c r="C63" s="77" t="str">
        <f t="array" ref="C63">IF(B63="","", INDEX('Player Format Data'!B:B,MATCH($B63,'Player Format Data'!$A:$A,0)))</f>
        <v/>
      </c>
      <c r="D63" s="78" t="str">
        <f t="array" ref="D63">IF(C63="","", INDEX('Player Format Data'!C:C,MATCH($B63,'Player Format Data'!$A:$A,0)))</f>
        <v/>
      </c>
      <c r="E63" s="77" t="str">
        <f t="array" ref="E63">IF(D63="","", IF(INDEX('Player Format Data'!D:D,MATCH($B63,'Player Format Data'!$A:$A,0))="2TM",INDEX('Player Format Data'!D:D,MATCH($B63,'Player Format Data'!$A:$A,0)+2),INDEX('Player Format Data'!D:D,MATCH($B63,'Player Format Data'!$A:$A,0))))</f>
        <v/>
      </c>
      <c r="F63" s="77" t="str">
        <f t="shared" si="25"/>
        <v/>
      </c>
      <c r="G63" s="79">
        <f t="shared" si="26"/>
        <v>0</v>
      </c>
      <c r="H63" s="80">
        <f t="shared" si="27"/>
        <v>0</v>
      </c>
      <c r="I63" s="63">
        <f t="shared" si="28"/>
        <v>0</v>
      </c>
      <c r="J63" s="31"/>
      <c r="K63" s="86" t="s">
        <v>1309</v>
      </c>
      <c r="L63" s="76"/>
      <c r="M63" s="77" t="str">
        <f t="array" ref="M63">IF(L63="","", INDEX('Player Format Data'!B:B,MATCH($L63,'Player Format Data'!$A:$A,0)))</f>
        <v/>
      </c>
      <c r="N63" s="82" t="str">
        <f t="array" ref="N63">IF(M63="","", INDEX('Player Format Data'!C:C,MATCH($L63,'Player Format Data'!$A:$A,0)))</f>
        <v/>
      </c>
      <c r="O63" s="83" t="str">
        <f t="array" ref="O63">IF(M63="","", IF(INDEX('Player Format Data'!D:D,MATCH($L63,'Player Format Data'!$A:$A,0))="2TM",INDEX('Player Format Data'!D:D,MATCH($L63,'Player Format Data'!$A:$A,0)+2),INDEX('Player Format Data'!D:D,MATCH($L63,'Player Format Data'!$A:$A,0))))</f>
        <v/>
      </c>
      <c r="P63" s="77" t="str">
        <f t="shared" si="29"/>
        <v/>
      </c>
      <c r="Q63" s="79">
        <f t="shared" si="30"/>
        <v>0</v>
      </c>
      <c r="R63" s="80">
        <f t="shared" si="31"/>
        <v>0</v>
      </c>
      <c r="S63" s="63">
        <f t="shared" si="32"/>
        <v>0</v>
      </c>
      <c r="T63" s="31"/>
    </row>
    <row r="64">
      <c r="A64" s="86" t="s">
        <v>1310</v>
      </c>
      <c r="B64" s="76"/>
      <c r="C64" s="77" t="str">
        <f t="array" ref="C64">IF(B64="","", INDEX('Player Format Data'!B:B,MATCH($B64,'Player Format Data'!$A:$A,0)))</f>
        <v/>
      </c>
      <c r="D64" s="78" t="str">
        <f t="array" ref="D64">IF(C64="","", INDEX('Player Format Data'!C:C,MATCH($B64,'Player Format Data'!$A:$A,0)))</f>
        <v/>
      </c>
      <c r="E64" s="77" t="str">
        <f t="array" ref="E64">IF(D64="","", IF(INDEX('Player Format Data'!D:D,MATCH($B64,'Player Format Data'!$A:$A,0))="2TM",INDEX('Player Format Data'!D:D,MATCH($B64,'Player Format Data'!$A:$A,0)+2),INDEX('Player Format Data'!D:D,MATCH($B64,'Player Format Data'!$A:$A,0))))</f>
        <v/>
      </c>
      <c r="F64" s="77" t="str">
        <f t="shared" si="25"/>
        <v/>
      </c>
      <c r="G64" s="79">
        <f t="shared" si="26"/>
        <v>0</v>
      </c>
      <c r="H64" s="80">
        <f t="shared" si="27"/>
        <v>0</v>
      </c>
      <c r="I64" s="63">
        <f t="shared" si="28"/>
        <v>0</v>
      </c>
      <c r="J64" s="31"/>
      <c r="K64" s="86" t="s">
        <v>1310</v>
      </c>
      <c r="L64" s="104"/>
      <c r="M64" s="77" t="str">
        <f t="array" ref="M64">IF(L64="","", INDEX('Player Format Data'!B:B,MATCH($L64,'Player Format Data'!$A:$A,0)))</f>
        <v/>
      </c>
      <c r="N64" s="82" t="str">
        <f t="array" ref="N64">IF(M64="","", INDEX('Player Format Data'!C:C,MATCH($L64,'Player Format Data'!$A:$A,0)))</f>
        <v/>
      </c>
      <c r="O64" s="83" t="str">
        <f t="array" ref="O64">IF(M64="","", IF(INDEX('Player Format Data'!D:D,MATCH($L64,'Player Format Data'!$A:$A,0))="2TM",INDEX('Player Format Data'!D:D,MATCH($L64,'Player Format Data'!$A:$A,0)+2),INDEX('Player Format Data'!D:D,MATCH($L64,'Player Format Data'!$A:$A,0))))</f>
        <v/>
      </c>
      <c r="P64" s="77" t="str">
        <f t="shared" si="29"/>
        <v/>
      </c>
      <c r="Q64" s="79">
        <f t="shared" si="30"/>
        <v>0</v>
      </c>
      <c r="R64" s="80">
        <f t="shared" si="31"/>
        <v>0</v>
      </c>
      <c r="S64" s="63">
        <f t="shared" si="32"/>
        <v>0</v>
      </c>
      <c r="T64" s="31"/>
    </row>
    <row r="65">
      <c r="A65" s="87" t="s">
        <v>1310</v>
      </c>
      <c r="B65" s="76"/>
      <c r="C65" s="77" t="str">
        <f t="array" ref="C65">IF(B65="","", INDEX('Player Format Data'!B:B,MATCH($B65,'Player Format Data'!$A:$A,0)))</f>
        <v/>
      </c>
      <c r="D65" s="78" t="str">
        <f t="array" ref="D65">IF(C65="","", INDEX('Player Format Data'!C:C,MATCH($B65,'Player Format Data'!$A:$A,0)))</f>
        <v/>
      </c>
      <c r="E65" s="77" t="str">
        <f t="array" ref="E65">IF(D65="","", IF(INDEX('Player Format Data'!D:D,MATCH($B65,'Player Format Data'!$A:$A,0))="2TM",INDEX('Player Format Data'!D:D,MATCH($B65,'Player Format Data'!$A:$A,0)+2),INDEX('Player Format Data'!D:D,MATCH($B65,'Player Format Data'!$A:$A,0))))</f>
        <v/>
      </c>
      <c r="F65" s="77" t="str">
        <f t="shared" si="25"/>
        <v/>
      </c>
      <c r="G65" s="79">
        <f t="shared" si="26"/>
        <v>0</v>
      </c>
      <c r="H65" s="80">
        <f t="shared" si="27"/>
        <v>0</v>
      </c>
      <c r="I65" s="63">
        <f t="shared" si="28"/>
        <v>0</v>
      </c>
      <c r="J65" s="31"/>
      <c r="K65" s="87" t="s">
        <v>1310</v>
      </c>
      <c r="L65" s="76"/>
      <c r="M65" s="77" t="str">
        <f t="array" ref="M65">IF(L65="","", INDEX('Player Format Data'!B:B,MATCH($L65,'Player Format Data'!$A:$A,0)))</f>
        <v/>
      </c>
      <c r="N65" s="82" t="str">
        <f t="array" ref="N65">IF(M65="","", INDEX('Player Format Data'!C:C,MATCH($L65,'Player Format Data'!$A:$A,0)))</f>
        <v/>
      </c>
      <c r="O65" s="83" t="str">
        <f t="array" ref="O65">IF(M65="","", IF(INDEX('Player Format Data'!D:D,MATCH($L65,'Player Format Data'!$A:$A,0))="2TM",INDEX('Player Format Data'!D:D,MATCH($L65,'Player Format Data'!$A:$A,0)+2),INDEX('Player Format Data'!D:D,MATCH($L65,'Player Format Data'!$A:$A,0))))</f>
        <v/>
      </c>
      <c r="P65" s="77" t="str">
        <f t="shared" si="29"/>
        <v/>
      </c>
      <c r="Q65" s="79">
        <f t="shared" si="30"/>
        <v>0</v>
      </c>
      <c r="R65" s="80">
        <f t="shared" si="31"/>
        <v>0</v>
      </c>
      <c r="S65" s="63">
        <f t="shared" si="32"/>
        <v>0</v>
      </c>
      <c r="T65" s="31"/>
    </row>
    <row r="66">
      <c r="A66" s="86"/>
      <c r="B66" s="76"/>
      <c r="C66" s="77"/>
      <c r="D66" s="78"/>
      <c r="E66" s="77" t="str">
        <f t="array" ref="E66">IF(D66="","", IF(INDEX('Player Format Data'!D:D,MATCH($B66,'Player Format Data'!$A:$A,0))="2TM",INDEX('Player Format Data'!D:D,MATCH($B66,'Player Format Data'!$A:$A,0)+2),INDEX('Player Format Data'!D:D,MATCH($B66,'Player Format Data'!$A:$A,0))))</f>
        <v/>
      </c>
      <c r="F66" s="77"/>
      <c r="G66" s="79"/>
      <c r="H66" s="80"/>
      <c r="I66" s="63"/>
      <c r="J66" s="31"/>
      <c r="K66" s="86"/>
      <c r="L66" s="76"/>
      <c r="M66" s="77"/>
      <c r="N66" s="82"/>
      <c r="O66" s="83" t="str">
        <f t="array" ref="O66">IF(M66="","", IF(INDEX('Player Format Data'!D:D,MATCH($L66,'Player Format Data'!$A:$A,0))="2TM",INDEX('Player Format Data'!D:D,MATCH($L66,'Player Format Data'!$A:$A,0)+2),INDEX('Player Format Data'!D:D,MATCH($L66,'Player Format Data'!$A:$A,0))))</f>
        <v/>
      </c>
      <c r="P66" s="77"/>
      <c r="Q66" s="79"/>
      <c r="R66" s="80"/>
      <c r="S66" s="63"/>
      <c r="T66" s="31"/>
    </row>
    <row r="67">
      <c r="A67" s="59" t="s">
        <v>1329</v>
      </c>
      <c r="B67" s="59"/>
      <c r="C67" s="59"/>
      <c r="D67" s="107"/>
      <c r="E67" s="59"/>
      <c r="F67" s="77" t="str">
        <f t="shared" ref="F67:F68" si="33">IFERROR(IF(E67="","", INDEX(INDIRECT(CONCATENATE($T$2,"!Q:Q")),MATCH($B67,INDIRECT(CONCATENATE($T$2,"!$A:$A")),0))),0)</f>
        <v/>
      </c>
      <c r="G67" s="79"/>
      <c r="H67" s="80" t="str">
        <f t="shared" ref="H67:H68" si="34">IFERROR(IF(G67="","", INDEX(INDIRECT(CONCATENATE($T$2,"!S:S")),MATCH($B67,INDIRECT(CONCATENATE($T$2,"!$A:$A")),0))),0)</f>
        <v/>
      </c>
      <c r="I67" s="63" t="str">
        <f t="shared" ref="I67:I68" si="35">IFERROR(IF(H67="","", INDEX(INDIRECT(CONCATENATE($T$2,"!W:W")),MATCH($B67,INDIRECT(CONCATENATE($T$2,"!$A:$A")),0))),0)</f>
        <v/>
      </c>
      <c r="J67" s="31"/>
      <c r="K67" s="59" t="s">
        <v>1330</v>
      </c>
      <c r="L67" s="59"/>
      <c r="M67" s="59"/>
      <c r="N67" s="107"/>
      <c r="O67" s="59"/>
      <c r="P67" s="77" t="str">
        <f t="shared" ref="P67:P68" si="36">IFERROR(IF(O67="","", INDEX(INDIRECT(CONCATENATE($T$2,"!Q:Q")),MATCH($L67,INDIRECT(CONCATENATE($T$2,"!$A:$A")),0))),0)</f>
        <v/>
      </c>
      <c r="Q67" s="79"/>
      <c r="R67" s="80" t="str">
        <f t="shared" ref="R67:R68" si="37">IFERROR(IF(Q67="","", INDEX(INDIRECT(CONCATENATE($T$2,"!S:S")),MATCH($L67,INDIRECT(CONCATENATE($T$2,"!$A:$A")),0))),0)</f>
        <v/>
      </c>
      <c r="S67" s="63" t="str">
        <f t="shared" ref="S67:S68" si="38">IFERROR(IF(R67="","", INDEX(INDIRECT(CONCATENATE($T$2,"!W:W")),MATCH($L67,INDIRECT(CONCATENATE($T$2,"!$A:$A")),0))),0)</f>
        <v/>
      </c>
      <c r="T67" s="31"/>
    </row>
    <row r="68">
      <c r="A68" s="61"/>
      <c r="B68" s="76"/>
      <c r="C68" s="62"/>
      <c r="D68" s="108"/>
      <c r="E68" s="77" t="str">
        <f t="array" ref="E68">IF(D68="","", IF(INDEX('Player Format Data'!D:D,MATCH($B68,'Player Format Data'!$A:$A,0))="TOT",INDEX('Player Format Data'!D:D,MATCH($B68,'Player Format Data'!$A:$A,0)+2),INDEX('Player Format Data'!D:D,MATCH($B68,'Player Format Data'!$A:$A,0))))</f>
        <v/>
      </c>
      <c r="F68" s="77" t="str">
        <f t="shared" si="33"/>
        <v/>
      </c>
      <c r="G68" s="79"/>
      <c r="H68" s="80" t="str">
        <f t="shared" si="34"/>
        <v/>
      </c>
      <c r="I68" s="63" t="str">
        <f t="shared" si="35"/>
        <v/>
      </c>
      <c r="J68" s="31"/>
      <c r="K68" s="61"/>
      <c r="L68" s="21"/>
      <c r="M68" s="77" t="str">
        <f t="array" ref="M68">IF(L68="","", INDEX('Player Format Data'!B:B,MATCH($L68,'Player Format Data'!$A:$A,0)))</f>
        <v/>
      </c>
      <c r="N68" s="78" t="str">
        <f t="array" ref="N68">IF(M68="","", INDEX('Player Format Data'!C:C,MATCH($L68,'Player Format Data'!$A:$A,0)))</f>
        <v/>
      </c>
      <c r="O68" s="109" t="str">
        <f t="array" ref="O68">IF(M68="","", IF(INDEX('Player Format Data'!D:D,MATCH($L68,'Player Format Data'!$A:$A,0))="TOT",INDEX('Player Format Data'!D:D,MATCH($L68,'Player Format Data'!$A:$A,0)+2),INDEX('Player Format Data'!D:D,MATCH($L68,'Player Format Data'!$A:$A,0))))</f>
        <v/>
      </c>
      <c r="P68" s="77" t="str">
        <f t="shared" si="36"/>
        <v/>
      </c>
      <c r="Q68" s="79"/>
      <c r="R68" s="80" t="str">
        <f t="shared" si="37"/>
        <v/>
      </c>
      <c r="S68" s="63" t="str">
        <f t="shared" si="38"/>
        <v/>
      </c>
      <c r="T68" s="31"/>
    </row>
    <row r="69">
      <c r="A69" s="66" t="s">
        <v>1335</v>
      </c>
      <c r="C69" s="67" t="s">
        <v>1</v>
      </c>
      <c r="D69" s="68" t="s">
        <v>2</v>
      </c>
      <c r="E69" s="69" t="s">
        <v>3</v>
      </c>
      <c r="F69" s="69" t="s">
        <v>16</v>
      </c>
      <c r="G69" s="70" t="s">
        <v>17</v>
      </c>
      <c r="H69" s="69" t="s">
        <v>18</v>
      </c>
      <c r="I69" s="71" t="s">
        <v>1307</v>
      </c>
      <c r="J69" s="31"/>
      <c r="K69" s="66" t="s">
        <v>1336</v>
      </c>
      <c r="M69" s="67" t="s">
        <v>1</v>
      </c>
      <c r="N69" s="68" t="s">
        <v>2</v>
      </c>
      <c r="O69" s="72" t="s">
        <v>3</v>
      </c>
      <c r="P69" s="69" t="s">
        <v>16</v>
      </c>
      <c r="Q69" s="73" t="s">
        <v>17</v>
      </c>
      <c r="R69" s="69" t="s">
        <v>18</v>
      </c>
      <c r="S69" s="74" t="s">
        <v>1307</v>
      </c>
      <c r="T69" s="31"/>
    </row>
    <row r="70">
      <c r="A70" s="75">
        <v>1.0</v>
      </c>
      <c r="B70" s="76"/>
      <c r="C70" s="77" t="str">
        <f t="array" ref="C70">IF(B70="","", INDEX('Player Format Data'!B:B,MATCH($B70,'Player Format Data'!$A:$A,0)))</f>
        <v/>
      </c>
      <c r="D70" s="78" t="str">
        <f t="array" ref="D70">IF(C70="","", INDEX('Player Format Data'!C:C,MATCH($B70,'Player Format Data'!$A:$A,0)))</f>
        <v/>
      </c>
      <c r="E70" s="77" t="str">
        <f t="array" ref="E70">IF(D70="","", IF(INDEX('Player Format Data'!D:D,MATCH($B70,'Player Format Data'!$A:$A,0))="2TM",INDEX('Player Format Data'!D:D,MATCH($B70,'Player Format Data'!$A:$A,0)+2),INDEX('Player Format Data'!D:D,MATCH($B70,'Player Format Data'!$A:$A,0))))</f>
        <v/>
      </c>
      <c r="F70" s="77" t="str">
        <f t="shared" ref="F70:F84" si="39">IFERROR(IF(E70="","", INDEX(INDIRECT(CONCATENATE($T$2,"!Q:Q")),MATCH($B70,INDIRECT(CONCATENATE($T$2,"!$A:$A")),0))),0)</f>
        <v/>
      </c>
      <c r="G70" s="79">
        <f t="shared" ref="G70:G83" si="40">IFERROR(IF(F70="",0, INDEX(INDIRECT(CONCATENATE($T$2,"!R:R")),MATCH($B70,INDIRECT(CONCATENATE($T$2,"!$A:$A")),0))),0)</f>
        <v>0</v>
      </c>
      <c r="H70" s="80">
        <f t="shared" ref="H70:H84" si="41">IFERROR(IF(G70="","", INDEX(INDIRECT(CONCATENATE($T$2,"!S:S")),MATCH($B70,INDIRECT(CONCATENATE($T$2,"!$A:$A")),0))),0)</f>
        <v>0</v>
      </c>
      <c r="I70" s="63">
        <f t="shared" ref="I70:I84" si="42">IFERROR(IF(H70="","", INDEX(INDIRECT(CONCATENATE($T$2,"!W:W")),MATCH($B70,INDIRECT(CONCATENATE($T$2,"!$A:$A")),0))),0)</f>
        <v>0</v>
      </c>
      <c r="J70" s="31"/>
      <c r="K70" s="75">
        <v>1.0</v>
      </c>
      <c r="L70" s="89"/>
      <c r="M70" s="110" t="str">
        <f t="array" ref="M70">IF(L70="","", INDEX('Player Format Data'!B:B,MATCH($L70,'Player Format Data'!$A:$A,0)))</f>
        <v/>
      </c>
      <c r="N70" s="82" t="str">
        <f t="array" ref="N70">IF(M70="","", INDEX('Player Format Data'!C:C,MATCH($L70,'Player Format Data'!$A:$A,0)))</f>
        <v/>
      </c>
      <c r="O70" s="83" t="str">
        <f t="array" ref="O70">IF(M70="","", IF(INDEX('Player Format Data'!D:D,MATCH($L70,'Player Format Data'!$A:$A,0))="2TM",INDEX('Player Format Data'!D:D,MATCH($L70,'Player Format Data'!$A:$A,0)+2),INDEX('Player Format Data'!D:D,MATCH($L70,'Player Format Data'!$A:$A,0))))</f>
        <v/>
      </c>
      <c r="P70" s="77" t="str">
        <f t="shared" ref="P70:P84" si="43">IFERROR(IF(O70="","", INDEX(INDIRECT(CONCATENATE($T$2,"!Q:Q")),MATCH($L70,INDIRECT(CONCATENATE($T$2,"!$A:$A")),0))),0)</f>
        <v/>
      </c>
      <c r="Q70" s="79">
        <f t="shared" ref="Q70:Q83" si="44">IFERROR(IF(P70="",0, INDEX(INDIRECT(CONCATENATE($T$2,"!R:R")),MATCH($L70,INDIRECT(CONCATENATE($T$2,"!$A:$A")),0))),0)</f>
        <v>0</v>
      </c>
      <c r="R70" s="80">
        <f t="shared" ref="R70:R84" si="45">IFERROR(IF(Q70="","", INDEX(INDIRECT(CONCATENATE($T$2,"!S:S")),MATCH($L70,INDIRECT(CONCATENATE($T$2,"!$A:$A")),0))),0)</f>
        <v>0</v>
      </c>
      <c r="S70" s="63">
        <f t="shared" ref="S70:S84" si="46">IFERROR(IF(R70="","", INDEX(INDIRECT(CONCATENATE($T$2,"!W:W")),MATCH($L70,INDIRECT(CONCATENATE($T$2,"!$A:$A")),0))),0)</f>
        <v>0</v>
      </c>
      <c r="T70" s="31"/>
    </row>
    <row r="71">
      <c r="A71" s="75">
        <v>2.0</v>
      </c>
      <c r="B71" s="76"/>
      <c r="C71" s="77" t="str">
        <f t="array" ref="C71">IF(B71="","", INDEX('Player Format Data'!B:B,MATCH($B71,'Player Format Data'!$A:$A,0)))</f>
        <v/>
      </c>
      <c r="D71" s="78" t="str">
        <f t="array" ref="D71">IF(C71="","", INDEX('Player Format Data'!C:C,MATCH($B71,'Player Format Data'!$A:$A,0)))</f>
        <v/>
      </c>
      <c r="E71" s="77" t="str">
        <f t="array" ref="E71">IF(D71="","", IF(INDEX('Player Format Data'!D:D,MATCH($B71,'Player Format Data'!$A:$A,0))="2TM",INDEX('Player Format Data'!D:D,MATCH($B71,'Player Format Data'!$A:$A,0)+2),INDEX('Player Format Data'!D:D,MATCH($B71,'Player Format Data'!$A:$A,0))))</f>
        <v/>
      </c>
      <c r="F71" s="77" t="str">
        <f t="shared" si="39"/>
        <v/>
      </c>
      <c r="G71" s="79">
        <f t="shared" si="40"/>
        <v>0</v>
      </c>
      <c r="H71" s="80">
        <f t="shared" si="41"/>
        <v>0</v>
      </c>
      <c r="I71" s="63">
        <f t="shared" si="42"/>
        <v>0</v>
      </c>
      <c r="J71" s="31"/>
      <c r="K71" s="75">
        <v>2.0</v>
      </c>
      <c r="L71" s="76"/>
      <c r="M71" s="110" t="str">
        <f t="array" ref="M71">IF(L71="","", INDEX('Player Format Data'!B:B,MATCH($L71,'Player Format Data'!$A:$A,0)))</f>
        <v/>
      </c>
      <c r="N71" s="82" t="str">
        <f t="array" ref="N71">IF(M71="","", INDEX('Player Format Data'!C:C,MATCH($L71,'Player Format Data'!$A:$A,0)))</f>
        <v/>
      </c>
      <c r="O71" s="83" t="str">
        <f t="array" ref="O71">IF(M71="","", IF(INDEX('Player Format Data'!D:D,MATCH($L71,'Player Format Data'!$A:$A,0))="2TM",INDEX('Player Format Data'!D:D,MATCH($L71,'Player Format Data'!$A:$A,0)+2),INDEX('Player Format Data'!D:D,MATCH($L71,'Player Format Data'!$A:$A,0))))</f>
        <v/>
      </c>
      <c r="P71" s="77" t="str">
        <f t="shared" si="43"/>
        <v/>
      </c>
      <c r="Q71" s="79">
        <f t="shared" si="44"/>
        <v>0</v>
      </c>
      <c r="R71" s="80">
        <f t="shared" si="45"/>
        <v>0</v>
      </c>
      <c r="S71" s="63">
        <f t="shared" si="46"/>
        <v>0</v>
      </c>
      <c r="T71" s="31"/>
    </row>
    <row r="72">
      <c r="A72" s="75">
        <v>3.0</v>
      </c>
      <c r="B72" s="21"/>
      <c r="C72" s="77" t="str">
        <f t="array" ref="C72">IF(B72="","", INDEX('Player Format Data'!B:B,MATCH($B72,'Player Format Data'!$A:$A,0)))</f>
        <v/>
      </c>
      <c r="D72" s="78" t="str">
        <f t="array" ref="D72">IF(C72="","", INDEX('Player Format Data'!C:C,MATCH($B72,'Player Format Data'!$A:$A,0)))</f>
        <v/>
      </c>
      <c r="E72" s="77" t="str">
        <f t="array" ref="E72">IF(D72="","", IF(INDEX('Player Format Data'!D:D,MATCH($B72,'Player Format Data'!$A:$A,0))="2TM",INDEX('Player Format Data'!D:D,MATCH($B72,'Player Format Data'!$A:$A,0)+2),INDEX('Player Format Data'!D:D,MATCH($B72,'Player Format Data'!$A:$A,0))))</f>
        <v/>
      </c>
      <c r="F72" s="77" t="str">
        <f t="shared" si="39"/>
        <v/>
      </c>
      <c r="G72" s="79">
        <f t="shared" si="40"/>
        <v>0</v>
      </c>
      <c r="H72" s="80">
        <f t="shared" si="41"/>
        <v>0</v>
      </c>
      <c r="I72" s="63">
        <f t="shared" si="42"/>
        <v>0</v>
      </c>
      <c r="J72" s="31"/>
      <c r="K72" s="75">
        <v>3.0</v>
      </c>
      <c r="L72" s="89"/>
      <c r="M72" s="110" t="str">
        <f t="array" ref="M72">IF(L72="","", INDEX('Player Format Data'!B:B,MATCH($L72,'Player Format Data'!$A:$A,0)))</f>
        <v/>
      </c>
      <c r="N72" s="82" t="str">
        <f t="array" ref="N72">IF(M72="","", INDEX('Player Format Data'!C:C,MATCH($L72,'Player Format Data'!$A:$A,0)))</f>
        <v/>
      </c>
      <c r="O72" s="83" t="str">
        <f t="array" ref="O72">IF(M72="","", IF(INDEX('Player Format Data'!D:D,MATCH($L72,'Player Format Data'!$A:$A,0))="2TM",INDEX('Player Format Data'!D:D,MATCH($L72,'Player Format Data'!$A:$A,0)+2),INDEX('Player Format Data'!D:D,MATCH($L72,'Player Format Data'!$A:$A,0))))</f>
        <v/>
      </c>
      <c r="P72" s="77" t="str">
        <f t="shared" si="43"/>
        <v/>
      </c>
      <c r="Q72" s="79">
        <f t="shared" si="44"/>
        <v>0</v>
      </c>
      <c r="R72" s="80">
        <f t="shared" si="45"/>
        <v>0</v>
      </c>
      <c r="S72" s="63">
        <f t="shared" si="46"/>
        <v>0</v>
      </c>
      <c r="T72" s="31"/>
    </row>
    <row r="73">
      <c r="A73" s="75">
        <v>4.0</v>
      </c>
      <c r="B73" s="76"/>
      <c r="C73" s="77" t="str">
        <f t="array" ref="C73">IF(B73="","", INDEX('Player Format Data'!B:B,MATCH($B73,'Player Format Data'!$A:$A,0)))</f>
        <v/>
      </c>
      <c r="D73" s="78" t="str">
        <f t="array" ref="D73">IF(C73="","", INDEX('Player Format Data'!C:C,MATCH($B73,'Player Format Data'!$A:$A,0)))</f>
        <v/>
      </c>
      <c r="E73" s="77" t="str">
        <f t="array" ref="E73">IF(D73="","", IF(INDEX('Player Format Data'!D:D,MATCH($B73,'Player Format Data'!$A:$A,0))="2TM",INDEX('Player Format Data'!D:D,MATCH($B73,'Player Format Data'!$A:$A,0)+2),INDEX('Player Format Data'!D:D,MATCH($B73,'Player Format Data'!$A:$A,0))))</f>
        <v/>
      </c>
      <c r="F73" s="77" t="str">
        <f t="shared" si="39"/>
        <v/>
      </c>
      <c r="G73" s="79">
        <f t="shared" si="40"/>
        <v>0</v>
      </c>
      <c r="H73" s="80">
        <f t="shared" si="41"/>
        <v>0</v>
      </c>
      <c r="I73" s="63">
        <f t="shared" si="42"/>
        <v>0</v>
      </c>
      <c r="J73" s="31"/>
      <c r="K73" s="75">
        <v>4.0</v>
      </c>
      <c r="L73" s="89"/>
      <c r="M73" s="110" t="str">
        <f t="array" ref="M73">IF(L73="","", INDEX('Player Format Data'!B:B,MATCH($L73,'Player Format Data'!$A:$A,0)))</f>
        <v/>
      </c>
      <c r="N73" s="82" t="str">
        <f t="array" ref="N73">IF(M73="","", INDEX('Player Format Data'!C:C,MATCH($L73,'Player Format Data'!$A:$A,0)))</f>
        <v/>
      </c>
      <c r="O73" s="83" t="str">
        <f t="array" ref="O73">IF(M73="","", IF(INDEX('Player Format Data'!D:D,MATCH($L73,'Player Format Data'!$A:$A,0))="2TM",INDEX('Player Format Data'!D:D,MATCH($L73,'Player Format Data'!$A:$A,0)+2),INDEX('Player Format Data'!D:D,MATCH($L73,'Player Format Data'!$A:$A,0))))</f>
        <v/>
      </c>
      <c r="P73" s="77" t="str">
        <f t="shared" si="43"/>
        <v/>
      </c>
      <c r="Q73" s="79">
        <f t="shared" si="44"/>
        <v>0</v>
      </c>
      <c r="R73" s="80">
        <f t="shared" si="45"/>
        <v>0</v>
      </c>
      <c r="S73" s="63">
        <f t="shared" si="46"/>
        <v>0</v>
      </c>
      <c r="T73" s="31"/>
    </row>
    <row r="74">
      <c r="A74" s="75">
        <v>5.0</v>
      </c>
      <c r="B74" s="76"/>
      <c r="C74" s="77" t="str">
        <f t="array" ref="C74">IF(B74="","", INDEX('Player Format Data'!B:B,MATCH($B74,'Player Format Data'!$A:$A,0)))</f>
        <v/>
      </c>
      <c r="D74" s="78" t="str">
        <f t="array" ref="D74">IF(C74="","", INDEX('Player Format Data'!C:C,MATCH($B74,'Player Format Data'!$A:$A,0)))</f>
        <v/>
      </c>
      <c r="E74" s="77" t="str">
        <f t="array" ref="E74">IF(D74="","", IF(INDEX('Player Format Data'!D:D,MATCH($B74,'Player Format Data'!$A:$A,0))="2TM",INDEX('Player Format Data'!D:D,MATCH($B74,'Player Format Data'!$A:$A,0)+2),INDEX('Player Format Data'!D:D,MATCH($B74,'Player Format Data'!$A:$A,0))))</f>
        <v/>
      </c>
      <c r="F74" s="77" t="str">
        <f t="shared" si="39"/>
        <v/>
      </c>
      <c r="G74" s="79">
        <f t="shared" si="40"/>
        <v>0</v>
      </c>
      <c r="H74" s="80">
        <f t="shared" si="41"/>
        <v>0</v>
      </c>
      <c r="I74" s="63">
        <f t="shared" si="42"/>
        <v>0</v>
      </c>
      <c r="J74" s="31"/>
      <c r="K74" s="75">
        <v>5.0</v>
      </c>
      <c r="L74" s="76"/>
      <c r="M74" s="110" t="str">
        <f t="array" ref="M74">IF(L74="","", INDEX('Player Format Data'!B:B,MATCH($L74,'Player Format Data'!$A:$A,0)))</f>
        <v/>
      </c>
      <c r="N74" s="82" t="str">
        <f t="array" ref="N74">IF(M74="","", INDEX('Player Format Data'!C:C,MATCH($L74,'Player Format Data'!$A:$A,0)))</f>
        <v/>
      </c>
      <c r="O74" s="83" t="str">
        <f t="array" ref="O74">IF(M74="","", IF(INDEX('Player Format Data'!D:D,MATCH($L74,'Player Format Data'!$A:$A,0))="2TM",INDEX('Player Format Data'!D:D,MATCH($L74,'Player Format Data'!$A:$A,0)+2),INDEX('Player Format Data'!D:D,MATCH($L74,'Player Format Data'!$A:$A,0))))</f>
        <v/>
      </c>
      <c r="P74" s="77" t="str">
        <f t="shared" si="43"/>
        <v/>
      </c>
      <c r="Q74" s="79">
        <f t="shared" si="44"/>
        <v>0</v>
      </c>
      <c r="R74" s="80">
        <f t="shared" si="45"/>
        <v>0</v>
      </c>
      <c r="S74" s="63">
        <f t="shared" si="46"/>
        <v>0</v>
      </c>
      <c r="T74" s="31"/>
    </row>
    <row r="75">
      <c r="A75" s="75">
        <v>6.0</v>
      </c>
      <c r="B75" s="76"/>
      <c r="C75" s="77" t="str">
        <f t="array" ref="C75">IF(B75="","", INDEX('Player Format Data'!B:B,MATCH($B75,'Player Format Data'!$A:$A,0)))</f>
        <v/>
      </c>
      <c r="D75" s="78" t="str">
        <f t="array" ref="D75">IF(C75="","", INDEX('Player Format Data'!C:C,MATCH($B75,'Player Format Data'!$A:$A,0)))</f>
        <v/>
      </c>
      <c r="E75" s="77" t="str">
        <f t="array" ref="E75">IF(D75="","", IF(INDEX('Player Format Data'!D:D,MATCH($B75,'Player Format Data'!$A:$A,0))="2TM",INDEX('Player Format Data'!D:D,MATCH($B75,'Player Format Data'!$A:$A,0)+2),INDEX('Player Format Data'!D:D,MATCH($B75,'Player Format Data'!$A:$A,0))))</f>
        <v/>
      </c>
      <c r="F75" s="77" t="str">
        <f t="shared" si="39"/>
        <v/>
      </c>
      <c r="G75" s="79">
        <f t="shared" si="40"/>
        <v>0</v>
      </c>
      <c r="H75" s="80">
        <f t="shared" si="41"/>
        <v>0</v>
      </c>
      <c r="I75" s="63">
        <f t="shared" si="42"/>
        <v>0</v>
      </c>
      <c r="J75" s="31"/>
      <c r="K75" s="75">
        <v>6.0</v>
      </c>
      <c r="L75" s="89"/>
      <c r="M75" s="110" t="str">
        <f t="array" ref="M75">IF(L75="","", INDEX('Player Format Data'!B:B,MATCH($L75,'Player Format Data'!$A:$A,0)))</f>
        <v/>
      </c>
      <c r="N75" s="82" t="str">
        <f t="array" ref="N75">IF(M75="","", INDEX('Player Format Data'!C:C,MATCH($L75,'Player Format Data'!$A:$A,0)))</f>
        <v/>
      </c>
      <c r="O75" s="83" t="str">
        <f t="array" ref="O75">IF(M75="","", IF(INDEX('Player Format Data'!D:D,MATCH($L75,'Player Format Data'!$A:$A,0))="2TM",INDEX('Player Format Data'!D:D,MATCH($L75,'Player Format Data'!$A:$A,0)+2),INDEX('Player Format Data'!D:D,MATCH($L75,'Player Format Data'!$A:$A,0))))</f>
        <v/>
      </c>
      <c r="P75" s="77" t="str">
        <f t="shared" si="43"/>
        <v/>
      </c>
      <c r="Q75" s="79">
        <f t="shared" si="44"/>
        <v>0</v>
      </c>
      <c r="R75" s="80">
        <f t="shared" si="45"/>
        <v>0</v>
      </c>
      <c r="S75" s="63">
        <f t="shared" si="46"/>
        <v>0</v>
      </c>
      <c r="T75" s="31"/>
    </row>
    <row r="76">
      <c r="A76" s="75">
        <v>7.0</v>
      </c>
      <c r="B76" s="21"/>
      <c r="C76" s="77" t="str">
        <f t="array" ref="C76">IF(B76="","", INDEX('Player Format Data'!B:B,MATCH($B76,'Player Format Data'!$A:$A,0)))</f>
        <v/>
      </c>
      <c r="D76" s="78" t="str">
        <f t="array" ref="D76">IF(C76="","", INDEX('Player Format Data'!C:C,MATCH($B76,'Player Format Data'!$A:$A,0)))</f>
        <v/>
      </c>
      <c r="E76" s="77" t="str">
        <f t="array" ref="E76">IF(D76="","", IF(INDEX('Player Format Data'!D:D,MATCH($B76,'Player Format Data'!$A:$A,0))="2TM",INDEX('Player Format Data'!D:D,MATCH($B76,'Player Format Data'!$A:$A,0)+2),INDEX('Player Format Data'!D:D,MATCH($B76,'Player Format Data'!$A:$A,0))))</f>
        <v/>
      </c>
      <c r="F76" s="77" t="str">
        <f t="shared" si="39"/>
        <v/>
      </c>
      <c r="G76" s="79">
        <f t="shared" si="40"/>
        <v>0</v>
      </c>
      <c r="H76" s="80">
        <f t="shared" si="41"/>
        <v>0</v>
      </c>
      <c r="I76" s="63">
        <f t="shared" si="42"/>
        <v>0</v>
      </c>
      <c r="J76" s="31"/>
      <c r="K76" s="75">
        <v>7.0</v>
      </c>
      <c r="L76" s="76"/>
      <c r="M76" s="110" t="str">
        <f t="array" ref="M76">IF(L76="","", INDEX('Player Format Data'!B:B,MATCH($L76,'Player Format Data'!$A:$A,0)))</f>
        <v/>
      </c>
      <c r="N76" s="82" t="str">
        <f t="array" ref="N76">IF(M76="","", INDEX('Player Format Data'!C:C,MATCH($L76,'Player Format Data'!$A:$A,0)))</f>
        <v/>
      </c>
      <c r="O76" s="83" t="str">
        <f t="array" ref="O76">IF(M76="","", IF(INDEX('Player Format Data'!D:D,MATCH($L76,'Player Format Data'!$A:$A,0))="2TM",INDEX('Player Format Data'!D:D,MATCH($L76,'Player Format Data'!$A:$A,0)+2),INDEX('Player Format Data'!D:D,MATCH($L76,'Player Format Data'!$A:$A,0))))</f>
        <v/>
      </c>
      <c r="P76" s="77" t="str">
        <f t="shared" si="43"/>
        <v/>
      </c>
      <c r="Q76" s="79">
        <f t="shared" si="44"/>
        <v>0</v>
      </c>
      <c r="R76" s="80">
        <f t="shared" si="45"/>
        <v>0</v>
      </c>
      <c r="S76" s="63">
        <f t="shared" si="46"/>
        <v>0</v>
      </c>
      <c r="T76" s="31"/>
    </row>
    <row r="77">
      <c r="A77" s="75">
        <v>8.0</v>
      </c>
      <c r="B77" s="76"/>
      <c r="C77" s="77" t="str">
        <f t="array" ref="C77">IF(B77="","", INDEX('Player Format Data'!B:B,MATCH($B77,'Player Format Data'!$A:$A,0)))</f>
        <v/>
      </c>
      <c r="D77" s="78" t="str">
        <f t="array" ref="D77">IF(C77="","", INDEX('Player Format Data'!C:C,MATCH($B77,'Player Format Data'!$A:$A,0)))</f>
        <v/>
      </c>
      <c r="E77" s="77" t="str">
        <f t="array" ref="E77">IF(D77="","", IF(INDEX('Player Format Data'!D:D,MATCH($B77,'Player Format Data'!$A:$A,0))="2TM",INDEX('Player Format Data'!D:D,MATCH($B77,'Player Format Data'!$A:$A,0)+2),INDEX('Player Format Data'!D:D,MATCH($B77,'Player Format Data'!$A:$A,0))))</f>
        <v/>
      </c>
      <c r="F77" s="77" t="str">
        <f t="shared" si="39"/>
        <v/>
      </c>
      <c r="G77" s="79">
        <f t="shared" si="40"/>
        <v>0</v>
      </c>
      <c r="H77" s="80">
        <f t="shared" si="41"/>
        <v>0</v>
      </c>
      <c r="I77" s="63">
        <f t="shared" si="42"/>
        <v>0</v>
      </c>
      <c r="J77" s="31"/>
      <c r="K77" s="75">
        <v>8.0</v>
      </c>
      <c r="L77" s="89"/>
      <c r="M77" s="110" t="str">
        <f t="array" ref="M77">IF(L77="","", INDEX('Player Format Data'!B:B,MATCH($L77,'Player Format Data'!$A:$A,0)))</f>
        <v/>
      </c>
      <c r="N77" s="82" t="str">
        <f t="array" ref="N77">IF(M77="","", INDEX('Player Format Data'!C:C,MATCH($L77,'Player Format Data'!$A:$A,0)))</f>
        <v/>
      </c>
      <c r="O77" s="83" t="str">
        <f t="array" ref="O77">IF(M77="","", IF(INDEX('Player Format Data'!D:D,MATCH($L77,'Player Format Data'!$A:$A,0))="2TM",INDEX('Player Format Data'!D:D,MATCH($L77,'Player Format Data'!$A:$A,0)+2),INDEX('Player Format Data'!D:D,MATCH($L77,'Player Format Data'!$A:$A,0))))</f>
        <v/>
      </c>
      <c r="P77" s="77" t="str">
        <f t="shared" si="43"/>
        <v/>
      </c>
      <c r="Q77" s="79">
        <f t="shared" si="44"/>
        <v>0</v>
      </c>
      <c r="R77" s="80">
        <f t="shared" si="45"/>
        <v>0</v>
      </c>
      <c r="S77" s="63">
        <f t="shared" si="46"/>
        <v>0</v>
      </c>
      <c r="T77" s="31"/>
    </row>
    <row r="78">
      <c r="A78" s="86">
        <v>9.0</v>
      </c>
      <c r="B78" s="21"/>
      <c r="C78" s="77" t="str">
        <f t="array" ref="C78">IF(B78="","", INDEX('Player Format Data'!B:B,MATCH($B78,'Player Format Data'!$A:$A,0)))</f>
        <v/>
      </c>
      <c r="D78" s="78" t="str">
        <f t="array" ref="D78">IF(C78="","", INDEX('Player Format Data'!C:C,MATCH($B78,'Player Format Data'!$A:$A,0)))</f>
        <v/>
      </c>
      <c r="E78" s="77" t="str">
        <f t="array" ref="E78">IF(D78="","", IF(INDEX('Player Format Data'!D:D,MATCH($B78,'Player Format Data'!$A:$A,0))="2TM",INDEX('Player Format Data'!D:D,MATCH($B78,'Player Format Data'!$A:$A,0)+2),INDEX('Player Format Data'!D:D,MATCH($B78,'Player Format Data'!$A:$A,0))))</f>
        <v/>
      </c>
      <c r="F78" s="77" t="str">
        <f t="shared" si="39"/>
        <v/>
      </c>
      <c r="G78" s="79">
        <f t="shared" si="40"/>
        <v>0</v>
      </c>
      <c r="H78" s="80">
        <f t="shared" si="41"/>
        <v>0</v>
      </c>
      <c r="I78" s="63">
        <f t="shared" si="42"/>
        <v>0</v>
      </c>
      <c r="J78" s="31"/>
      <c r="K78" s="86">
        <v>9.0</v>
      </c>
      <c r="L78" s="76"/>
      <c r="M78" s="110" t="str">
        <f t="array" ref="M78">IF(L78="","", INDEX('Player Format Data'!B:B,MATCH($L78,'Player Format Data'!$A:$A,0)))</f>
        <v/>
      </c>
      <c r="N78" s="82" t="str">
        <f t="array" ref="N78">IF(M78="","", INDEX('Player Format Data'!C:C,MATCH($L78,'Player Format Data'!$A:$A,0)))</f>
        <v/>
      </c>
      <c r="O78" s="83" t="str">
        <f t="array" ref="O78">IF(M78="","", IF(INDEX('Player Format Data'!D:D,MATCH($L78,'Player Format Data'!$A:$A,0))="2TM",INDEX('Player Format Data'!D:D,MATCH($L78,'Player Format Data'!$A:$A,0)+2),INDEX('Player Format Data'!D:D,MATCH($L78,'Player Format Data'!$A:$A,0))))</f>
        <v/>
      </c>
      <c r="P78" s="77" t="str">
        <f t="shared" si="43"/>
        <v/>
      </c>
      <c r="Q78" s="79">
        <f t="shared" si="44"/>
        <v>0</v>
      </c>
      <c r="R78" s="80">
        <f t="shared" si="45"/>
        <v>0</v>
      </c>
      <c r="S78" s="63">
        <f t="shared" si="46"/>
        <v>0</v>
      </c>
      <c r="T78" s="31"/>
    </row>
    <row r="79">
      <c r="A79" s="86">
        <v>10.0</v>
      </c>
      <c r="B79" s="104"/>
      <c r="C79" s="77" t="str">
        <f t="array" ref="C79">IF(B79="","", INDEX('Player Format Data'!B:B,MATCH($B79,'Player Format Data'!$A:$A,0)))</f>
        <v/>
      </c>
      <c r="D79" s="78" t="str">
        <f t="array" ref="D79">IF(C79="","", INDEX('Player Format Data'!C:C,MATCH($B79,'Player Format Data'!$A:$A,0)))</f>
        <v/>
      </c>
      <c r="E79" s="77" t="str">
        <f t="array" ref="E79">IF(D79="","", IF(INDEX('Player Format Data'!D:D,MATCH($B79,'Player Format Data'!$A:$A,0))="2TM",INDEX('Player Format Data'!D:D,MATCH($B79,'Player Format Data'!$A:$A,0)+2),INDEX('Player Format Data'!D:D,MATCH($B79,'Player Format Data'!$A:$A,0))))</f>
        <v/>
      </c>
      <c r="F79" s="77" t="str">
        <f t="shared" si="39"/>
        <v/>
      </c>
      <c r="G79" s="79">
        <f t="shared" si="40"/>
        <v>0</v>
      </c>
      <c r="H79" s="80">
        <f t="shared" si="41"/>
        <v>0</v>
      </c>
      <c r="I79" s="63">
        <f t="shared" si="42"/>
        <v>0</v>
      </c>
      <c r="J79" s="31"/>
      <c r="K79" s="86">
        <v>10.0</v>
      </c>
      <c r="L79" s="76"/>
      <c r="M79" s="110" t="str">
        <f t="array" ref="M79">IF(L79="","", INDEX('Player Format Data'!B:B,MATCH($L79,'Player Format Data'!$A:$A,0)))</f>
        <v/>
      </c>
      <c r="N79" s="82" t="str">
        <f t="array" ref="N79">IF(M79="","", INDEX('Player Format Data'!C:C,MATCH($L79,'Player Format Data'!$A:$A,0)))</f>
        <v/>
      </c>
      <c r="O79" s="83" t="str">
        <f t="array" ref="O79">IF(M79="","", IF(INDEX('Player Format Data'!D:D,MATCH($L79,'Player Format Data'!$A:$A,0))="2TM",INDEX('Player Format Data'!D:D,MATCH($L79,'Player Format Data'!$A:$A,0)+2),INDEX('Player Format Data'!D:D,MATCH($L79,'Player Format Data'!$A:$A,0))))</f>
        <v/>
      </c>
      <c r="P79" s="77" t="str">
        <f t="shared" si="43"/>
        <v/>
      </c>
      <c r="Q79" s="79">
        <f t="shared" si="44"/>
        <v>0</v>
      </c>
      <c r="R79" s="80">
        <f t="shared" si="45"/>
        <v>0</v>
      </c>
      <c r="S79" s="63">
        <f t="shared" si="46"/>
        <v>0</v>
      </c>
      <c r="T79" s="31"/>
    </row>
    <row r="80">
      <c r="A80" s="86">
        <v>11.0</v>
      </c>
      <c r="B80" s="21"/>
      <c r="C80" s="77" t="str">
        <f t="array" ref="C80">IF(B80="","", INDEX('Player Format Data'!B:B,MATCH($B80,'Player Format Data'!$A:$A,0)))</f>
        <v/>
      </c>
      <c r="D80" s="78" t="str">
        <f t="array" ref="D80">IF(C80="","", INDEX('Player Format Data'!C:C,MATCH($B80,'Player Format Data'!$A:$A,0)))</f>
        <v/>
      </c>
      <c r="E80" s="77" t="str">
        <f t="array" ref="E80">IF(D80="","", IF(INDEX('Player Format Data'!D:D,MATCH($B80,'Player Format Data'!$A:$A,0))="2TM",INDEX('Player Format Data'!D:D,MATCH($B80,'Player Format Data'!$A:$A,0)+2),INDEX('Player Format Data'!D:D,MATCH($B80,'Player Format Data'!$A:$A,0))))</f>
        <v/>
      </c>
      <c r="F80" s="77" t="str">
        <f t="shared" si="39"/>
        <v/>
      </c>
      <c r="G80" s="79">
        <f t="shared" si="40"/>
        <v>0</v>
      </c>
      <c r="H80" s="80">
        <f t="shared" si="41"/>
        <v>0</v>
      </c>
      <c r="I80" s="63">
        <f t="shared" si="42"/>
        <v>0</v>
      </c>
      <c r="J80" s="31"/>
      <c r="K80" s="86">
        <v>11.0</v>
      </c>
      <c r="L80" s="76"/>
      <c r="M80" s="110" t="str">
        <f t="array" ref="M80">IF(L80="","", INDEX('Player Format Data'!B:B,MATCH($L80,'Player Format Data'!$A:$A,0)))</f>
        <v/>
      </c>
      <c r="N80" s="82" t="str">
        <f t="array" ref="N80">IF(M80="","", INDEX('Player Format Data'!C:C,MATCH($L80,'Player Format Data'!$A:$A,0)))</f>
        <v/>
      </c>
      <c r="O80" s="83" t="str">
        <f t="array" ref="O80">IF(M80="","", IF(INDEX('Player Format Data'!D:D,MATCH($L80,'Player Format Data'!$A:$A,0))="2TM",INDEX('Player Format Data'!D:D,MATCH($L80,'Player Format Data'!$A:$A,0)+2),INDEX('Player Format Data'!D:D,MATCH($L80,'Player Format Data'!$A:$A,0))))</f>
        <v/>
      </c>
      <c r="P80" s="77" t="str">
        <f t="shared" si="43"/>
        <v/>
      </c>
      <c r="Q80" s="79">
        <f t="shared" si="44"/>
        <v>0</v>
      </c>
      <c r="R80" s="80">
        <f t="shared" si="45"/>
        <v>0</v>
      </c>
      <c r="S80" s="63">
        <f t="shared" si="46"/>
        <v>0</v>
      </c>
      <c r="T80" s="31"/>
    </row>
    <row r="81">
      <c r="A81" s="86" t="s">
        <v>1309</v>
      </c>
      <c r="B81" s="76"/>
      <c r="C81" s="77" t="str">
        <f t="array" ref="C81">IF(B81="","", INDEX('Player Format Data'!B:B,MATCH($B81,'Player Format Data'!$A:$A,0)))</f>
        <v/>
      </c>
      <c r="D81" s="78" t="str">
        <f t="array" ref="D81">IF(C81="","", INDEX('Player Format Data'!C:C,MATCH($B81,'Player Format Data'!$A:$A,0)))</f>
        <v/>
      </c>
      <c r="E81" s="77" t="str">
        <f t="array" ref="E81">IF(D81="","", IF(INDEX('Player Format Data'!D:D,MATCH($B81,'Player Format Data'!$A:$A,0))="2TM",INDEX('Player Format Data'!D:D,MATCH($B81,'Player Format Data'!$A:$A,0)+2),INDEX('Player Format Data'!D:D,MATCH($B81,'Player Format Data'!$A:$A,0))))</f>
        <v/>
      </c>
      <c r="F81" s="77" t="str">
        <f t="shared" si="39"/>
        <v/>
      </c>
      <c r="G81" s="79">
        <f t="shared" si="40"/>
        <v>0</v>
      </c>
      <c r="H81" s="80">
        <f t="shared" si="41"/>
        <v>0</v>
      </c>
      <c r="I81" s="63">
        <f t="shared" si="42"/>
        <v>0</v>
      </c>
      <c r="J81" s="31"/>
      <c r="K81" s="86" t="s">
        <v>1309</v>
      </c>
      <c r="L81" s="89"/>
      <c r="M81" s="110" t="str">
        <f t="array" ref="M81">IF(L81="","", INDEX('Player Format Data'!B:B,MATCH($L81,'Player Format Data'!$A:$A,0)))</f>
        <v/>
      </c>
      <c r="N81" s="82" t="str">
        <f t="array" ref="N81">IF(M81="","", INDEX('Player Format Data'!C:C,MATCH($L81,'Player Format Data'!$A:$A,0)))</f>
        <v/>
      </c>
      <c r="O81" s="83" t="str">
        <f t="array" ref="O81">IF(M81="","", IF(INDEX('Player Format Data'!D:D,MATCH($L81,'Player Format Data'!$A:$A,0))="2TM",INDEX('Player Format Data'!D:D,MATCH($L81,'Player Format Data'!$A:$A,0)+2),INDEX('Player Format Data'!D:D,MATCH($L81,'Player Format Data'!$A:$A,0))))</f>
        <v/>
      </c>
      <c r="P81" s="77" t="str">
        <f t="shared" si="43"/>
        <v/>
      </c>
      <c r="Q81" s="79">
        <f t="shared" si="44"/>
        <v>0</v>
      </c>
      <c r="R81" s="80">
        <f t="shared" si="45"/>
        <v>0</v>
      </c>
      <c r="S81" s="63">
        <f t="shared" si="46"/>
        <v>0</v>
      </c>
      <c r="T81" s="31"/>
    </row>
    <row r="82">
      <c r="A82" s="86" t="s">
        <v>1310</v>
      </c>
      <c r="B82" s="21"/>
      <c r="C82" s="77" t="str">
        <f t="array" ref="C82">IF(B82="","", INDEX('Player Format Data'!B:B,MATCH($B82,'Player Format Data'!$A:$A,0)))</f>
        <v/>
      </c>
      <c r="D82" s="78" t="str">
        <f t="array" ref="D82">IF(C82="","", INDEX('Player Format Data'!C:C,MATCH($B82,'Player Format Data'!$A:$A,0)))</f>
        <v/>
      </c>
      <c r="E82" s="77" t="str">
        <f t="array" ref="E82">IF(D82="","", IF(INDEX('Player Format Data'!D:D,MATCH($B82,'Player Format Data'!$A:$A,0))="2TM",INDEX('Player Format Data'!D:D,MATCH($B82,'Player Format Data'!$A:$A,0)+2),INDEX('Player Format Data'!D:D,MATCH($B82,'Player Format Data'!$A:$A,0))))</f>
        <v/>
      </c>
      <c r="F82" s="77" t="str">
        <f t="shared" si="39"/>
        <v/>
      </c>
      <c r="G82" s="79">
        <f t="shared" si="40"/>
        <v>0</v>
      </c>
      <c r="H82" s="80">
        <f t="shared" si="41"/>
        <v>0</v>
      </c>
      <c r="I82" s="63">
        <f t="shared" si="42"/>
        <v>0</v>
      </c>
      <c r="J82" s="31"/>
      <c r="K82" s="86" t="s">
        <v>1310</v>
      </c>
      <c r="L82" s="76"/>
      <c r="M82" s="110" t="str">
        <f t="array" ref="M82">IF(L82="","", INDEX('Player Format Data'!B:B,MATCH($L82,'Player Format Data'!$A:$A,0)))</f>
        <v/>
      </c>
      <c r="N82" s="82" t="str">
        <f t="array" ref="N82">IF(M82="","", INDEX('Player Format Data'!C:C,MATCH($L82,'Player Format Data'!$A:$A,0)))</f>
        <v/>
      </c>
      <c r="O82" s="83" t="str">
        <f t="array" ref="O82">IF(M82="","", IF(INDEX('Player Format Data'!D:D,MATCH($L82,'Player Format Data'!$A:$A,0))="2TM",INDEX('Player Format Data'!D:D,MATCH($L82,'Player Format Data'!$A:$A,0)+2),INDEX('Player Format Data'!D:D,MATCH($L82,'Player Format Data'!$A:$A,0))))</f>
        <v/>
      </c>
      <c r="P82" s="77" t="str">
        <f t="shared" si="43"/>
        <v/>
      </c>
      <c r="Q82" s="79">
        <f t="shared" si="44"/>
        <v>0</v>
      </c>
      <c r="R82" s="80">
        <f t="shared" si="45"/>
        <v>0</v>
      </c>
      <c r="S82" s="63">
        <f t="shared" si="46"/>
        <v>0</v>
      </c>
      <c r="T82" s="31"/>
    </row>
    <row r="83">
      <c r="A83" s="87" t="s">
        <v>1310</v>
      </c>
      <c r="B83" s="21"/>
      <c r="C83" s="77" t="str">
        <f t="array" ref="C83">IF(B83="","", INDEX('Player Format Data'!B:B,MATCH($B83,'Player Format Data'!$A:$A,0)))</f>
        <v/>
      </c>
      <c r="D83" s="78" t="str">
        <f t="array" ref="D83">IF(C83="","", INDEX('Player Format Data'!C:C,MATCH($B83,'Player Format Data'!$A:$A,0)))</f>
        <v/>
      </c>
      <c r="E83" s="77" t="str">
        <f t="array" ref="E83">IF(D83="","", IF(INDEX('Player Format Data'!D:D,MATCH($B83,'Player Format Data'!$A:$A,0))="2TM",INDEX('Player Format Data'!D:D,MATCH($B83,'Player Format Data'!$A:$A,0)+2),INDEX('Player Format Data'!D:D,MATCH($B83,'Player Format Data'!$A:$A,0))))</f>
        <v/>
      </c>
      <c r="F83" s="77" t="str">
        <f t="shared" si="39"/>
        <v/>
      </c>
      <c r="G83" s="79">
        <f t="shared" si="40"/>
        <v>0</v>
      </c>
      <c r="H83" s="80">
        <f t="shared" si="41"/>
        <v>0</v>
      </c>
      <c r="I83" s="63">
        <f t="shared" si="42"/>
        <v>0</v>
      </c>
      <c r="J83" s="31"/>
      <c r="K83" s="87" t="s">
        <v>1310</v>
      </c>
      <c r="L83" s="76"/>
      <c r="M83" s="110" t="str">
        <f t="array" ref="M83">IF(L83="","", INDEX('Player Format Data'!B:B,MATCH($L83,'Player Format Data'!$A:$A,0)))</f>
        <v/>
      </c>
      <c r="N83" s="82" t="str">
        <f t="array" ref="N83">IF(M83="","", INDEX('Player Format Data'!C:C,MATCH($L83,'Player Format Data'!$A:$A,0)))</f>
        <v/>
      </c>
      <c r="O83" s="83" t="str">
        <f t="array" ref="O83">IF(M83="","", IF(INDEX('Player Format Data'!D:D,MATCH($L83,'Player Format Data'!$A:$A,0))="2TM",INDEX('Player Format Data'!D:D,MATCH($L83,'Player Format Data'!$A:$A,0)+2),INDEX('Player Format Data'!D:D,MATCH($L83,'Player Format Data'!$A:$A,0))))</f>
        <v/>
      </c>
      <c r="P83" s="77" t="str">
        <f t="shared" si="43"/>
        <v/>
      </c>
      <c r="Q83" s="79">
        <f t="shared" si="44"/>
        <v>0</v>
      </c>
      <c r="R83" s="80">
        <f t="shared" si="45"/>
        <v>0</v>
      </c>
      <c r="S83" s="63">
        <f t="shared" si="46"/>
        <v>0</v>
      </c>
      <c r="T83" s="31"/>
    </row>
    <row r="84">
      <c r="A84" s="88"/>
      <c r="B84" s="76"/>
      <c r="C84" s="77" t="str">
        <f t="array" ref="C84">IF(B84="","", INDEX('Player Format Data'!B:B,MATCH($B84,'Player Format Data'!$A:$A,0)))</f>
        <v/>
      </c>
      <c r="D84" s="78" t="str">
        <f t="array" ref="D84">IF(C84="","", INDEX('Player Format Data'!C:C,MATCH($B84,'Player Format Data'!$A:$A,0)))</f>
        <v/>
      </c>
      <c r="E84" s="77" t="str">
        <f t="array" ref="E84">IF(D84="","", IF(INDEX('Player Format Data'!D:D,MATCH($B84,'Player Format Data'!$A:$A,0))="2TM",INDEX('Player Format Data'!D:D,MATCH($B84,'Player Format Data'!$A:$A,0)+2),INDEX('Player Format Data'!D:D,MATCH($B84,'Player Format Data'!$A:$A,0))))</f>
        <v/>
      </c>
      <c r="F84" s="77" t="str">
        <f t="shared" si="39"/>
        <v/>
      </c>
      <c r="G84" s="79"/>
      <c r="H84" s="80" t="str">
        <f t="shared" si="41"/>
        <v/>
      </c>
      <c r="I84" s="63" t="str">
        <f t="shared" si="42"/>
        <v/>
      </c>
      <c r="J84" s="31"/>
      <c r="K84" s="88"/>
      <c r="L84" s="76"/>
      <c r="M84" s="77" t="str">
        <f t="array" ref="M84">IF(L84="","", INDEX('Player Format Data'!B:B,MATCH($L84,'Player Format Data'!$A:$A,0)))</f>
        <v/>
      </c>
      <c r="N84" s="78" t="str">
        <f t="array" ref="N84">IF(M84="","", INDEX('Player Format Data'!C:C,MATCH($L84,'Player Format Data'!$A:$A,0)))</f>
        <v/>
      </c>
      <c r="O84" s="83" t="str">
        <f t="array" ref="O84">IF(M84="","", IF(INDEX('Player Format Data'!D:D,MATCH($L84,'Player Format Data'!$A:$A,0))="2TM",INDEX('Player Format Data'!D:D,MATCH($L84,'Player Format Data'!$A:$A,0)+2),INDEX('Player Format Data'!D:D,MATCH($L84,'Player Format Data'!$A:$A,0))))</f>
        <v/>
      </c>
      <c r="P84" s="77" t="str">
        <f t="shared" si="43"/>
        <v/>
      </c>
      <c r="Q84" s="79"/>
      <c r="R84" s="80" t="str">
        <f t="shared" si="45"/>
        <v/>
      </c>
      <c r="S84" s="63" t="str">
        <f t="shared" si="46"/>
        <v/>
      </c>
      <c r="T84" s="31"/>
    </row>
    <row r="85">
      <c r="A85" s="66" t="s">
        <v>1338</v>
      </c>
      <c r="C85" s="67" t="s">
        <v>1</v>
      </c>
      <c r="D85" s="68" t="s">
        <v>2</v>
      </c>
      <c r="E85" s="69" t="s">
        <v>3</v>
      </c>
      <c r="F85" s="69" t="s">
        <v>16</v>
      </c>
      <c r="G85" s="70" t="s">
        <v>17</v>
      </c>
      <c r="H85" s="69" t="s">
        <v>18</v>
      </c>
      <c r="I85" s="71" t="s">
        <v>1307</v>
      </c>
      <c r="J85" s="31"/>
      <c r="K85" s="66" t="s">
        <v>1339</v>
      </c>
      <c r="M85" s="67" t="s">
        <v>1</v>
      </c>
      <c r="N85" s="68" t="s">
        <v>2</v>
      </c>
      <c r="O85" s="72" t="s">
        <v>3</v>
      </c>
      <c r="P85" s="69" t="s">
        <v>16</v>
      </c>
      <c r="Q85" s="73" t="s">
        <v>17</v>
      </c>
      <c r="R85" s="69" t="s">
        <v>18</v>
      </c>
      <c r="S85" s="74" t="s">
        <v>1307</v>
      </c>
      <c r="T85" s="31"/>
    </row>
    <row r="86">
      <c r="A86" s="75">
        <v>1.0</v>
      </c>
      <c r="B86" s="76"/>
      <c r="C86" s="77" t="str">
        <f t="array" ref="C86">IF(B86="","", INDEX('Player Format Data'!B:B,MATCH($B86,'Player Format Data'!$A:$A,0)))</f>
        <v/>
      </c>
      <c r="D86" s="78" t="str">
        <f t="array" ref="D86">IF(C86="","", INDEX('Player Format Data'!C:C,MATCH($B86,'Player Format Data'!$A:$A,0)))</f>
        <v/>
      </c>
      <c r="E86" s="77" t="str">
        <f t="array" ref="E86">IF(D86="","", IF(INDEX('Player Format Data'!D:D,MATCH($B86,'Player Format Data'!$A:$A,0))="2TM",INDEX('Player Format Data'!D:D,MATCH($B86,'Player Format Data'!$A:$A,0)+2),INDEX('Player Format Data'!D:D,MATCH($B86,'Player Format Data'!$A:$A,0))))</f>
        <v/>
      </c>
      <c r="F86" s="77" t="str">
        <f t="shared" ref="F86:F99" si="47">IFERROR(IF(E86="","", INDEX(INDIRECT(CONCATENATE($T$2,"!Q:Q")),MATCH($B86,INDIRECT(CONCATENATE($T$2,"!$A:$A")),0))),0)</f>
        <v/>
      </c>
      <c r="G86" s="79">
        <f t="shared" ref="G86:G99" si="48">IFERROR(IF(F86="",0, INDEX(INDIRECT(CONCATENATE($T$2,"!R:R")),MATCH($B86,INDIRECT(CONCATENATE($T$2,"!$A:$A")),0))),0)</f>
        <v>0</v>
      </c>
      <c r="H86" s="80">
        <f t="shared" ref="H86:H99" si="49">IFERROR(IF(G86="","", INDEX(INDIRECT(CONCATENATE($T$2,"!S:S")),MATCH($B86,INDIRECT(CONCATENATE($T$2,"!$A:$A")),0))),0)</f>
        <v>0</v>
      </c>
      <c r="I86" s="63">
        <f t="shared" ref="I86:I99" si="50">IFERROR(IF(H86="","", INDEX(INDIRECT(CONCATENATE($T$2,"!W:W")),MATCH($B86,INDIRECT(CONCATENATE($T$2,"!$A:$A")),0))),0)</f>
        <v>0</v>
      </c>
      <c r="J86" s="31"/>
      <c r="K86" s="75">
        <v>1.0</v>
      </c>
      <c r="L86" s="21"/>
      <c r="M86" s="110" t="str">
        <f t="array" ref="M86">IF(L86="","", INDEX('Player Format Data'!B:B,MATCH($L86,'Player Format Data'!$A:$A,0)))</f>
        <v/>
      </c>
      <c r="N86" s="82" t="str">
        <f t="array" ref="N86">IF(M86="","", INDEX('Player Format Data'!C:C,MATCH($L86,'Player Format Data'!$A:$A,0)))</f>
        <v/>
      </c>
      <c r="O86" s="83" t="str">
        <f t="array" ref="O86">IF(M86="","", IF(INDEX('Player Format Data'!D:D,MATCH($L86,'Player Format Data'!$A:$A,0))="2TM",INDEX('Player Format Data'!D:D,MATCH($L86,'Player Format Data'!$A:$A,0)+2),INDEX('Player Format Data'!D:D,MATCH($L86,'Player Format Data'!$A:$A,0))))</f>
        <v/>
      </c>
      <c r="P86" s="77" t="str">
        <f t="shared" ref="P86:P99" si="51">IFERROR(IF(O86="","", INDEX(INDIRECT(CONCATENATE($T$2,"!Q:Q")),MATCH($L86,INDIRECT(CONCATENATE($T$2,"!$A:$A")),0))),0)</f>
        <v/>
      </c>
      <c r="Q86" s="79">
        <f t="shared" ref="Q86:Q99" si="52">IFERROR(IF(P86="",0, INDEX(INDIRECT(CONCATENATE($T$2,"!R:R")),MATCH($L86,INDIRECT(CONCATENATE($T$2,"!$A:$A")),0))),0)</f>
        <v>0</v>
      </c>
      <c r="R86" s="80">
        <f t="shared" ref="R86:R99" si="53">IFERROR(IF(Q86="","", INDEX(INDIRECT(CONCATENATE($T$2,"!S:S")),MATCH($L86,INDIRECT(CONCATENATE($T$2,"!$A:$A")),0))),0)</f>
        <v>0</v>
      </c>
      <c r="S86" s="63">
        <f t="shared" ref="S86:S99" si="54">IFERROR(IF(R86="","", INDEX(INDIRECT(CONCATENATE($T$2,"!W:W")),MATCH($L86,INDIRECT(CONCATENATE($T$2,"!$A:$A")),0))),0)</f>
        <v>0</v>
      </c>
      <c r="T86" s="111"/>
    </row>
    <row r="87">
      <c r="A87" s="75">
        <v>2.0</v>
      </c>
      <c r="B87" s="76"/>
      <c r="C87" s="77" t="str">
        <f t="array" ref="C87">IF(B87="","", INDEX('Player Format Data'!B:B,MATCH($B87,'Player Format Data'!$A:$A,0)))</f>
        <v/>
      </c>
      <c r="D87" s="78" t="str">
        <f t="array" ref="D87">IF(C87="","", INDEX('Player Format Data'!C:C,MATCH($B87,'Player Format Data'!$A:$A,0)))</f>
        <v/>
      </c>
      <c r="E87" s="77" t="str">
        <f t="array" ref="E87">IF(D87="","", IF(INDEX('Player Format Data'!D:D,MATCH($B87,'Player Format Data'!$A:$A,0))="2TM",INDEX('Player Format Data'!D:D,MATCH($B87,'Player Format Data'!$A:$A,0)+2),INDEX('Player Format Data'!D:D,MATCH($B87,'Player Format Data'!$A:$A,0))))</f>
        <v/>
      </c>
      <c r="F87" s="77" t="str">
        <f t="shared" si="47"/>
        <v/>
      </c>
      <c r="G87" s="79">
        <f t="shared" si="48"/>
        <v>0</v>
      </c>
      <c r="H87" s="80">
        <f t="shared" si="49"/>
        <v>0</v>
      </c>
      <c r="I87" s="63">
        <f t="shared" si="50"/>
        <v>0</v>
      </c>
      <c r="J87" s="31"/>
      <c r="K87" s="75">
        <v>2.0</v>
      </c>
      <c r="L87" s="21"/>
      <c r="M87" s="110" t="str">
        <f t="array" ref="M87">IF(L87="","", INDEX('Player Format Data'!B:B,MATCH($L87,'Player Format Data'!$A:$A,0)))</f>
        <v/>
      </c>
      <c r="N87" s="82" t="str">
        <f t="array" ref="N87">IF(M87="","", INDEX('Player Format Data'!C:C,MATCH($L87,'Player Format Data'!$A:$A,0)))</f>
        <v/>
      </c>
      <c r="O87" s="83" t="str">
        <f t="array" ref="O87">IF(M87="","", IF(INDEX('Player Format Data'!D:D,MATCH($L87,'Player Format Data'!$A:$A,0))="2TM",INDEX('Player Format Data'!D:D,MATCH($L87,'Player Format Data'!$A:$A,0)+2),INDEX('Player Format Data'!D:D,MATCH($L87,'Player Format Data'!$A:$A,0))))</f>
        <v/>
      </c>
      <c r="P87" s="77" t="str">
        <f t="shared" si="51"/>
        <v/>
      </c>
      <c r="Q87" s="79">
        <f t="shared" si="52"/>
        <v>0</v>
      </c>
      <c r="R87" s="80">
        <f t="shared" si="53"/>
        <v>0</v>
      </c>
      <c r="S87" s="63">
        <f t="shared" si="54"/>
        <v>0</v>
      </c>
      <c r="T87" s="31"/>
    </row>
    <row r="88">
      <c r="A88" s="75">
        <v>3.0</v>
      </c>
      <c r="B88" s="21"/>
      <c r="C88" s="77" t="str">
        <f t="array" ref="C88">IF(B88="","", INDEX('Player Format Data'!B:B,MATCH($B88,'Player Format Data'!$A:$A,0)))</f>
        <v/>
      </c>
      <c r="D88" s="78" t="str">
        <f t="array" ref="D88">IF(C88="","", INDEX('Player Format Data'!C:C,MATCH($B88,'Player Format Data'!$A:$A,0)))</f>
        <v/>
      </c>
      <c r="E88" s="77" t="str">
        <f t="array" ref="E88">IF(D88="","", IF(INDEX('Player Format Data'!D:D,MATCH($B88,'Player Format Data'!$A:$A,0))="2TM",INDEX('Player Format Data'!D:D,MATCH($B88,'Player Format Data'!$A:$A,0)+2),INDEX('Player Format Data'!D:D,MATCH($B88,'Player Format Data'!$A:$A,0))))</f>
        <v/>
      </c>
      <c r="F88" s="77" t="str">
        <f t="shared" si="47"/>
        <v/>
      </c>
      <c r="G88" s="79">
        <f t="shared" si="48"/>
        <v>0</v>
      </c>
      <c r="H88" s="80">
        <f t="shared" si="49"/>
        <v>0</v>
      </c>
      <c r="I88" s="63">
        <f t="shared" si="50"/>
        <v>0</v>
      </c>
      <c r="J88" s="31"/>
      <c r="K88" s="75">
        <v>3.0</v>
      </c>
      <c r="L88" s="76"/>
      <c r="M88" s="110" t="str">
        <f t="array" ref="M88">IF(L88="","", INDEX('Player Format Data'!B:B,MATCH($L88,'Player Format Data'!$A:$A,0)))</f>
        <v/>
      </c>
      <c r="N88" s="82" t="str">
        <f t="array" ref="N88">IF(M88="","", INDEX('Player Format Data'!C:C,MATCH($L88,'Player Format Data'!$A:$A,0)))</f>
        <v/>
      </c>
      <c r="O88" s="83" t="str">
        <f t="array" ref="O88">IF(M88="","", IF(INDEX('Player Format Data'!D:D,MATCH($L88,'Player Format Data'!$A:$A,0))="2TM",INDEX('Player Format Data'!D:D,MATCH($L88,'Player Format Data'!$A:$A,0)+2),INDEX('Player Format Data'!D:D,MATCH($L88,'Player Format Data'!$A:$A,0))))</f>
        <v/>
      </c>
      <c r="P88" s="77" t="str">
        <f t="shared" si="51"/>
        <v/>
      </c>
      <c r="Q88" s="79">
        <f t="shared" si="52"/>
        <v>0</v>
      </c>
      <c r="R88" s="80">
        <f t="shared" si="53"/>
        <v>0</v>
      </c>
      <c r="S88" s="63">
        <f t="shared" si="54"/>
        <v>0</v>
      </c>
      <c r="T88" s="31"/>
    </row>
    <row r="89">
      <c r="A89" s="75">
        <v>4.0</v>
      </c>
      <c r="B89" s="21"/>
      <c r="C89" s="77" t="str">
        <f t="array" ref="C89">IF(B89="","", INDEX('Player Format Data'!B:B,MATCH($B89,'Player Format Data'!$A:$A,0)))</f>
        <v/>
      </c>
      <c r="D89" s="78" t="str">
        <f t="array" ref="D89">IF(C89="","", INDEX('Player Format Data'!C:C,MATCH($B89,'Player Format Data'!$A:$A,0)))</f>
        <v/>
      </c>
      <c r="E89" s="77" t="str">
        <f t="array" ref="E89">IF(D89="","", IF(INDEX('Player Format Data'!D:D,MATCH($B89,'Player Format Data'!$A:$A,0))="2TM",INDEX('Player Format Data'!D:D,MATCH($B89,'Player Format Data'!$A:$A,0)+2),INDEX('Player Format Data'!D:D,MATCH($B89,'Player Format Data'!$A:$A,0))))</f>
        <v/>
      </c>
      <c r="F89" s="77" t="str">
        <f t="shared" si="47"/>
        <v/>
      </c>
      <c r="G89" s="79">
        <f t="shared" si="48"/>
        <v>0</v>
      </c>
      <c r="H89" s="80">
        <f t="shared" si="49"/>
        <v>0</v>
      </c>
      <c r="I89" s="63">
        <f t="shared" si="50"/>
        <v>0</v>
      </c>
      <c r="J89" s="31"/>
      <c r="K89" s="75">
        <v>4.0</v>
      </c>
      <c r="L89" s="21"/>
      <c r="M89" s="110" t="str">
        <f t="array" ref="M89">IF(L89="","", INDEX('Player Format Data'!B:B,MATCH($L89,'Player Format Data'!$A:$A,0)))</f>
        <v/>
      </c>
      <c r="N89" s="82" t="str">
        <f t="array" ref="N89">IF(M89="","", INDEX('Player Format Data'!C:C,MATCH($L89,'Player Format Data'!$A:$A,0)))</f>
        <v/>
      </c>
      <c r="O89" s="83" t="str">
        <f t="array" ref="O89">IF(M89="","", IF(INDEX('Player Format Data'!D:D,MATCH($L89,'Player Format Data'!$A:$A,0))="2TM",INDEX('Player Format Data'!D:D,MATCH($L89,'Player Format Data'!$A:$A,0)+2),INDEX('Player Format Data'!D:D,MATCH($L89,'Player Format Data'!$A:$A,0))))</f>
        <v/>
      </c>
      <c r="P89" s="77" t="str">
        <f t="shared" si="51"/>
        <v/>
      </c>
      <c r="Q89" s="79">
        <f t="shared" si="52"/>
        <v>0</v>
      </c>
      <c r="R89" s="80">
        <f t="shared" si="53"/>
        <v>0</v>
      </c>
      <c r="S89" s="63">
        <f t="shared" si="54"/>
        <v>0</v>
      </c>
      <c r="T89" s="31"/>
    </row>
    <row r="90">
      <c r="A90" s="75">
        <v>5.0</v>
      </c>
      <c r="B90" s="76"/>
      <c r="C90" s="77" t="str">
        <f t="array" ref="C90">IF(B90="","", INDEX('Player Format Data'!B:B,MATCH($B90,'Player Format Data'!$A:$A,0)))</f>
        <v/>
      </c>
      <c r="D90" s="78" t="str">
        <f t="array" ref="D90">IF(C90="","", INDEX('Player Format Data'!C:C,MATCH($B90,'Player Format Data'!$A:$A,0)))</f>
        <v/>
      </c>
      <c r="E90" s="77" t="str">
        <f t="array" ref="E90">IF(D90="","", IF(INDEX('Player Format Data'!D:D,MATCH($B90,'Player Format Data'!$A:$A,0))="2TM",INDEX('Player Format Data'!D:D,MATCH($B90,'Player Format Data'!$A:$A,0)+2),INDEX('Player Format Data'!D:D,MATCH($B90,'Player Format Data'!$A:$A,0))))</f>
        <v/>
      </c>
      <c r="F90" s="77" t="str">
        <f t="shared" si="47"/>
        <v/>
      </c>
      <c r="G90" s="79">
        <f t="shared" si="48"/>
        <v>0</v>
      </c>
      <c r="H90" s="80">
        <f t="shared" si="49"/>
        <v>0</v>
      </c>
      <c r="I90" s="63">
        <f t="shared" si="50"/>
        <v>0</v>
      </c>
      <c r="J90" s="31"/>
      <c r="K90" s="75">
        <v>5.0</v>
      </c>
      <c r="L90" s="21"/>
      <c r="M90" s="110" t="str">
        <f t="array" ref="M90">IF(L90="","", INDEX('Player Format Data'!B:B,MATCH($L90,'Player Format Data'!$A:$A,0)))</f>
        <v/>
      </c>
      <c r="N90" s="82" t="str">
        <f t="array" ref="N90">IF(M90="","", INDEX('Player Format Data'!C:C,MATCH($L90,'Player Format Data'!$A:$A,0)))</f>
        <v/>
      </c>
      <c r="O90" s="83" t="str">
        <f t="array" ref="O90">IF(M90="","", IF(INDEX('Player Format Data'!D:D,MATCH($L90,'Player Format Data'!$A:$A,0))="2TM",INDEX('Player Format Data'!D:D,MATCH($L90,'Player Format Data'!$A:$A,0)+2),INDEX('Player Format Data'!D:D,MATCH($L90,'Player Format Data'!$A:$A,0))))</f>
        <v/>
      </c>
      <c r="P90" s="77" t="str">
        <f t="shared" si="51"/>
        <v/>
      </c>
      <c r="Q90" s="79">
        <f t="shared" si="52"/>
        <v>0</v>
      </c>
      <c r="R90" s="80">
        <f t="shared" si="53"/>
        <v>0</v>
      </c>
      <c r="S90" s="63">
        <f t="shared" si="54"/>
        <v>0</v>
      </c>
      <c r="T90" s="31"/>
    </row>
    <row r="91">
      <c r="A91" s="75">
        <v>6.0</v>
      </c>
      <c r="B91" s="20"/>
      <c r="C91" s="77" t="str">
        <f t="array" ref="C91">IF(B91="","", INDEX('Player Format Data'!B:B,MATCH($B91,'Player Format Data'!$A:$A,0)))</f>
        <v/>
      </c>
      <c r="D91" s="78" t="str">
        <f t="array" ref="D91">IF(C91="","", INDEX('Player Format Data'!C:C,MATCH($B91,'Player Format Data'!$A:$A,0)))</f>
        <v/>
      </c>
      <c r="E91" s="77" t="str">
        <f t="array" ref="E91">IF(D91="","", IF(INDEX('Player Format Data'!D:D,MATCH($B91,'Player Format Data'!$A:$A,0))="2TM",INDEX('Player Format Data'!D:D,MATCH($B91,'Player Format Data'!$A:$A,0)+2),INDEX('Player Format Data'!D:D,MATCH($B91,'Player Format Data'!$A:$A,0))))</f>
        <v/>
      </c>
      <c r="F91" s="77" t="str">
        <f t="shared" si="47"/>
        <v/>
      </c>
      <c r="G91" s="79">
        <f t="shared" si="48"/>
        <v>0</v>
      </c>
      <c r="H91" s="80">
        <f t="shared" si="49"/>
        <v>0</v>
      </c>
      <c r="I91" s="63">
        <f t="shared" si="50"/>
        <v>0</v>
      </c>
      <c r="J91" s="31"/>
      <c r="K91" s="75">
        <v>6.0</v>
      </c>
      <c r="L91" s="21"/>
      <c r="M91" s="110" t="str">
        <f t="array" ref="M91">IF(L91="","", INDEX('Player Format Data'!B:B,MATCH($L91,'Player Format Data'!$A:$A,0)))</f>
        <v/>
      </c>
      <c r="N91" s="82" t="str">
        <f t="array" ref="N91">IF(M91="","", INDEX('Player Format Data'!C:C,MATCH($L91,'Player Format Data'!$A:$A,0)))</f>
        <v/>
      </c>
      <c r="O91" s="83" t="str">
        <f t="array" ref="O91">IF(M91="","", IF(INDEX('Player Format Data'!D:D,MATCH($L91,'Player Format Data'!$A:$A,0))="2TM",INDEX('Player Format Data'!D:D,MATCH($L91,'Player Format Data'!$A:$A,0)+2),INDEX('Player Format Data'!D:D,MATCH($L91,'Player Format Data'!$A:$A,0))))</f>
        <v/>
      </c>
      <c r="P91" s="77" t="str">
        <f t="shared" si="51"/>
        <v/>
      </c>
      <c r="Q91" s="79">
        <f t="shared" si="52"/>
        <v>0</v>
      </c>
      <c r="R91" s="80">
        <f t="shared" si="53"/>
        <v>0</v>
      </c>
      <c r="S91" s="63">
        <f t="shared" si="54"/>
        <v>0</v>
      </c>
      <c r="T91" s="31"/>
    </row>
    <row r="92">
      <c r="A92" s="75">
        <v>7.0</v>
      </c>
      <c r="B92" s="21"/>
      <c r="C92" s="77" t="str">
        <f t="array" ref="C92">IF(B92="","", INDEX('Player Format Data'!B:B,MATCH($B92,'Player Format Data'!$A:$A,0)))</f>
        <v/>
      </c>
      <c r="D92" s="78" t="str">
        <f t="array" ref="D92">IF(C92="","", INDEX('Player Format Data'!C:C,MATCH($B92,'Player Format Data'!$A:$A,0)))</f>
        <v/>
      </c>
      <c r="E92" s="77" t="str">
        <f t="array" ref="E92">IF(D92="","", IF(INDEX('Player Format Data'!D:D,MATCH($B92,'Player Format Data'!$A:$A,0))="2TM",INDEX('Player Format Data'!D:D,MATCH($B92,'Player Format Data'!$A:$A,0)+2),INDEX('Player Format Data'!D:D,MATCH($B92,'Player Format Data'!$A:$A,0))))</f>
        <v/>
      </c>
      <c r="F92" s="77" t="str">
        <f t="shared" si="47"/>
        <v/>
      </c>
      <c r="G92" s="79">
        <f t="shared" si="48"/>
        <v>0</v>
      </c>
      <c r="H92" s="80">
        <f t="shared" si="49"/>
        <v>0</v>
      </c>
      <c r="I92" s="63">
        <f t="shared" si="50"/>
        <v>0</v>
      </c>
      <c r="J92" s="31"/>
      <c r="K92" s="75">
        <v>7.0</v>
      </c>
      <c r="L92" s="21"/>
      <c r="M92" s="110" t="str">
        <f t="array" ref="M92">IF(L92="","", INDEX('Player Format Data'!B:B,MATCH($L92,'Player Format Data'!$A:$A,0)))</f>
        <v/>
      </c>
      <c r="N92" s="82" t="str">
        <f t="array" ref="N92">IF(M92="","", INDEX('Player Format Data'!C:C,MATCH($L92,'Player Format Data'!$A:$A,0)))</f>
        <v/>
      </c>
      <c r="O92" s="83" t="str">
        <f t="array" ref="O92">IF(M92="","", IF(INDEX('Player Format Data'!D:D,MATCH($L92,'Player Format Data'!$A:$A,0))="2TM",INDEX('Player Format Data'!D:D,MATCH($L92,'Player Format Data'!$A:$A,0)+2),INDEX('Player Format Data'!D:D,MATCH($L92,'Player Format Data'!$A:$A,0))))</f>
        <v/>
      </c>
      <c r="P92" s="77" t="str">
        <f t="shared" si="51"/>
        <v/>
      </c>
      <c r="Q92" s="79">
        <f t="shared" si="52"/>
        <v>0</v>
      </c>
      <c r="R92" s="80">
        <f t="shared" si="53"/>
        <v>0</v>
      </c>
      <c r="S92" s="63">
        <f t="shared" si="54"/>
        <v>0</v>
      </c>
      <c r="T92" s="31"/>
    </row>
    <row r="93">
      <c r="A93" s="75">
        <v>8.0</v>
      </c>
      <c r="B93" s="21"/>
      <c r="C93" s="77" t="str">
        <f t="array" ref="C93">IF(B93="","", INDEX('Player Format Data'!B:B,MATCH($B93,'Player Format Data'!$A:$A,0)))</f>
        <v/>
      </c>
      <c r="D93" s="78" t="str">
        <f t="array" ref="D93">IF(C93="","", INDEX('Player Format Data'!C:C,MATCH($B93,'Player Format Data'!$A:$A,0)))</f>
        <v/>
      </c>
      <c r="E93" s="77" t="str">
        <f t="array" ref="E93">IF(D93="","", IF(INDEX('Player Format Data'!D:D,MATCH($B93,'Player Format Data'!$A:$A,0))="2TM",INDEX('Player Format Data'!D:D,MATCH($B93,'Player Format Data'!$A:$A,0)+2),INDEX('Player Format Data'!D:D,MATCH($B93,'Player Format Data'!$A:$A,0))))</f>
        <v/>
      </c>
      <c r="F93" s="77" t="str">
        <f t="shared" si="47"/>
        <v/>
      </c>
      <c r="G93" s="79">
        <f t="shared" si="48"/>
        <v>0</v>
      </c>
      <c r="H93" s="80">
        <f t="shared" si="49"/>
        <v>0</v>
      </c>
      <c r="I93" s="63">
        <f t="shared" si="50"/>
        <v>0</v>
      </c>
      <c r="J93" s="31"/>
      <c r="K93" s="75">
        <v>8.0</v>
      </c>
      <c r="L93" s="21"/>
      <c r="M93" s="110" t="str">
        <f t="array" ref="M93">IF(L93="","", INDEX('Player Format Data'!B:B,MATCH($L93,'Player Format Data'!$A:$A,0)))</f>
        <v/>
      </c>
      <c r="N93" s="82" t="str">
        <f t="array" ref="N93">IF(M93="","", INDEX('Player Format Data'!C:C,MATCH($L93,'Player Format Data'!$A:$A,0)))</f>
        <v/>
      </c>
      <c r="O93" s="83" t="str">
        <f t="array" ref="O93">IF(M93="","", IF(INDEX('Player Format Data'!D:D,MATCH($L93,'Player Format Data'!$A:$A,0))="2TM",INDEX('Player Format Data'!D:D,MATCH($L93,'Player Format Data'!$A:$A,0)+2),INDEX('Player Format Data'!D:D,MATCH($L93,'Player Format Data'!$A:$A,0))))</f>
        <v/>
      </c>
      <c r="P93" s="77" t="str">
        <f t="shared" si="51"/>
        <v/>
      </c>
      <c r="Q93" s="79">
        <f t="shared" si="52"/>
        <v>0</v>
      </c>
      <c r="R93" s="80">
        <f t="shared" si="53"/>
        <v>0</v>
      </c>
      <c r="S93" s="63">
        <f t="shared" si="54"/>
        <v>0</v>
      </c>
      <c r="T93" s="31"/>
    </row>
    <row r="94">
      <c r="A94" s="86">
        <v>9.0</v>
      </c>
      <c r="B94" s="76"/>
      <c r="C94" s="77" t="str">
        <f t="array" ref="C94">IF(B94="","", INDEX('Player Format Data'!B:B,MATCH($B94,'Player Format Data'!$A:$A,0)))</f>
        <v/>
      </c>
      <c r="D94" s="78" t="str">
        <f t="array" ref="D94">IF(C94="","", INDEX('Player Format Data'!C:C,MATCH($B94,'Player Format Data'!$A:$A,0)))</f>
        <v/>
      </c>
      <c r="E94" s="77" t="str">
        <f t="array" ref="E94">IF(D94="","", IF(INDEX('Player Format Data'!D:D,MATCH($B94,'Player Format Data'!$A:$A,0))="2TM",INDEX('Player Format Data'!D:D,MATCH($B94,'Player Format Data'!$A:$A,0)+2),INDEX('Player Format Data'!D:D,MATCH($B94,'Player Format Data'!$A:$A,0))))</f>
        <v/>
      </c>
      <c r="F94" s="77" t="str">
        <f t="shared" si="47"/>
        <v/>
      </c>
      <c r="G94" s="79">
        <f t="shared" si="48"/>
        <v>0</v>
      </c>
      <c r="H94" s="80">
        <f t="shared" si="49"/>
        <v>0</v>
      </c>
      <c r="I94" s="63">
        <f t="shared" si="50"/>
        <v>0</v>
      </c>
      <c r="J94" s="31"/>
      <c r="K94" s="86">
        <v>9.0</v>
      </c>
      <c r="L94" s="20"/>
      <c r="M94" s="110" t="str">
        <f t="array" ref="M94">IF(L94="","", INDEX('Player Format Data'!B:B,MATCH($L94,'Player Format Data'!$A:$A,0)))</f>
        <v/>
      </c>
      <c r="N94" s="82" t="str">
        <f t="array" ref="N94">IF(M94="","", INDEX('Player Format Data'!C:C,MATCH($L94,'Player Format Data'!$A:$A,0)))</f>
        <v/>
      </c>
      <c r="O94" s="83" t="str">
        <f t="array" ref="O94">IF(M94="","", IF(INDEX('Player Format Data'!D:D,MATCH($L94,'Player Format Data'!$A:$A,0))="2TM",INDEX('Player Format Data'!D:D,MATCH($L94,'Player Format Data'!$A:$A,0)+2),INDEX('Player Format Data'!D:D,MATCH($L94,'Player Format Data'!$A:$A,0))))</f>
        <v/>
      </c>
      <c r="P94" s="77" t="str">
        <f t="shared" si="51"/>
        <v/>
      </c>
      <c r="Q94" s="79">
        <f t="shared" si="52"/>
        <v>0</v>
      </c>
      <c r="R94" s="80">
        <f t="shared" si="53"/>
        <v>0</v>
      </c>
      <c r="S94" s="63">
        <f t="shared" si="54"/>
        <v>0</v>
      </c>
      <c r="T94" s="31"/>
    </row>
    <row r="95">
      <c r="A95" s="86">
        <v>10.0</v>
      </c>
      <c r="B95" s="76"/>
      <c r="C95" s="77" t="str">
        <f t="array" ref="C95">IF(B95="","", INDEX('Player Format Data'!B:B,MATCH($B95,'Player Format Data'!$A:$A,0)))</f>
        <v/>
      </c>
      <c r="D95" s="78" t="str">
        <f t="array" ref="D95">IF(C95="","", INDEX('Player Format Data'!C:C,MATCH($B95,'Player Format Data'!$A:$A,0)))</f>
        <v/>
      </c>
      <c r="E95" s="77" t="str">
        <f t="array" ref="E95">IF(D95="","", IF(INDEX('Player Format Data'!D:D,MATCH($B95,'Player Format Data'!$A:$A,0))="2TM",INDEX('Player Format Data'!D:D,MATCH($B95,'Player Format Data'!$A:$A,0)+2),INDEX('Player Format Data'!D:D,MATCH($B95,'Player Format Data'!$A:$A,0))))</f>
        <v/>
      </c>
      <c r="F95" s="77" t="str">
        <f t="shared" si="47"/>
        <v/>
      </c>
      <c r="G95" s="79">
        <f t="shared" si="48"/>
        <v>0</v>
      </c>
      <c r="H95" s="80">
        <f t="shared" si="49"/>
        <v>0</v>
      </c>
      <c r="I95" s="63">
        <f t="shared" si="50"/>
        <v>0</v>
      </c>
      <c r="J95" s="31"/>
      <c r="K95" s="86">
        <v>10.0</v>
      </c>
      <c r="L95" s="21"/>
      <c r="M95" s="110" t="str">
        <f t="array" ref="M95">IF(L95="","", INDEX('Player Format Data'!B:B,MATCH($L95,'Player Format Data'!$A:$A,0)))</f>
        <v/>
      </c>
      <c r="N95" s="82" t="str">
        <f t="array" ref="N95">IF(M95="","", INDEX('Player Format Data'!C:C,MATCH($L95,'Player Format Data'!$A:$A,0)))</f>
        <v/>
      </c>
      <c r="O95" s="83" t="str">
        <f t="array" ref="O95">IF(M95="","", IF(INDEX('Player Format Data'!D:D,MATCH($L95,'Player Format Data'!$A:$A,0))="2TM",INDEX('Player Format Data'!D:D,MATCH($L95,'Player Format Data'!$A:$A,0)+2),INDEX('Player Format Data'!D:D,MATCH($L95,'Player Format Data'!$A:$A,0))))</f>
        <v/>
      </c>
      <c r="P95" s="77" t="str">
        <f t="shared" si="51"/>
        <v/>
      </c>
      <c r="Q95" s="79">
        <f t="shared" si="52"/>
        <v>0</v>
      </c>
      <c r="R95" s="80">
        <f t="shared" si="53"/>
        <v>0</v>
      </c>
      <c r="S95" s="63">
        <f t="shared" si="54"/>
        <v>0</v>
      </c>
      <c r="T95" s="31"/>
    </row>
    <row r="96">
      <c r="A96" s="86">
        <v>11.0</v>
      </c>
      <c r="B96" s="21"/>
      <c r="C96" s="77" t="str">
        <f t="array" ref="C96">IF(B96="","", INDEX('Player Format Data'!B:B,MATCH($B96,'Player Format Data'!$A:$A,0)))</f>
        <v/>
      </c>
      <c r="D96" s="78" t="str">
        <f t="array" ref="D96">IF(C96="","", INDEX('Player Format Data'!C:C,MATCH($B96,'Player Format Data'!$A:$A,0)))</f>
        <v/>
      </c>
      <c r="E96" s="77" t="str">
        <f t="array" ref="E96">IF(D96="","", IF(INDEX('Player Format Data'!D:D,MATCH($B96,'Player Format Data'!$A:$A,0))="2TM",INDEX('Player Format Data'!D:D,MATCH($B96,'Player Format Data'!$A:$A,0)+2),INDEX('Player Format Data'!D:D,MATCH($B96,'Player Format Data'!$A:$A,0))))</f>
        <v/>
      </c>
      <c r="F96" s="77" t="str">
        <f t="shared" si="47"/>
        <v/>
      </c>
      <c r="G96" s="79">
        <f t="shared" si="48"/>
        <v>0</v>
      </c>
      <c r="H96" s="80">
        <f t="shared" si="49"/>
        <v>0</v>
      </c>
      <c r="I96" s="63">
        <f t="shared" si="50"/>
        <v>0</v>
      </c>
      <c r="J96" s="31"/>
      <c r="K96" s="86">
        <v>11.0</v>
      </c>
      <c r="L96" s="21"/>
      <c r="M96" s="110" t="str">
        <f t="array" ref="M96">IF(L96="","", INDEX('Player Format Data'!B:B,MATCH($L96,'Player Format Data'!$A:$A,0)))</f>
        <v/>
      </c>
      <c r="N96" s="82" t="str">
        <f t="array" ref="N96">IF(M96="","", INDEX('Player Format Data'!C:C,MATCH($L96,'Player Format Data'!$A:$A,0)))</f>
        <v/>
      </c>
      <c r="O96" s="83" t="str">
        <f t="array" ref="O96">IF(M96="","", IF(INDEX('Player Format Data'!D:D,MATCH($L96,'Player Format Data'!$A:$A,0))="2TM",INDEX('Player Format Data'!D:D,MATCH($L96,'Player Format Data'!$A:$A,0)+2),INDEX('Player Format Data'!D:D,MATCH($L96,'Player Format Data'!$A:$A,0))))</f>
        <v/>
      </c>
      <c r="P96" s="77" t="str">
        <f t="shared" si="51"/>
        <v/>
      </c>
      <c r="Q96" s="79">
        <f t="shared" si="52"/>
        <v>0</v>
      </c>
      <c r="R96" s="80">
        <f t="shared" si="53"/>
        <v>0</v>
      </c>
      <c r="S96" s="63">
        <f t="shared" si="54"/>
        <v>0</v>
      </c>
      <c r="T96" s="31"/>
    </row>
    <row r="97">
      <c r="A97" s="86" t="s">
        <v>1309</v>
      </c>
      <c r="B97" s="21"/>
      <c r="C97" s="77" t="str">
        <f t="array" ref="C97">IF(B97="","", INDEX('Player Format Data'!B:B,MATCH($B97,'Player Format Data'!$A:$A,0)))</f>
        <v/>
      </c>
      <c r="D97" s="78" t="str">
        <f t="array" ref="D97">IF(C97="","", INDEX('Player Format Data'!C:C,MATCH($B97,'Player Format Data'!$A:$A,0)))</f>
        <v/>
      </c>
      <c r="E97" s="77" t="str">
        <f t="array" ref="E97">IF(D97="","", IF(INDEX('Player Format Data'!D:D,MATCH($B97,'Player Format Data'!$A:$A,0))="2TM",INDEX('Player Format Data'!D:D,MATCH($B97,'Player Format Data'!$A:$A,0)+2),INDEX('Player Format Data'!D:D,MATCH($B97,'Player Format Data'!$A:$A,0))))</f>
        <v/>
      </c>
      <c r="F97" s="77" t="str">
        <f t="shared" si="47"/>
        <v/>
      </c>
      <c r="G97" s="79">
        <f t="shared" si="48"/>
        <v>0</v>
      </c>
      <c r="H97" s="80">
        <f t="shared" si="49"/>
        <v>0</v>
      </c>
      <c r="I97" s="63">
        <f t="shared" si="50"/>
        <v>0</v>
      </c>
      <c r="J97" s="31"/>
      <c r="K97" s="86" t="s">
        <v>1309</v>
      </c>
      <c r="L97" s="76"/>
      <c r="M97" s="110" t="str">
        <f t="array" ref="M97">IF(L97="","", INDEX('Player Format Data'!B:B,MATCH($L97,'Player Format Data'!$A:$A,0)))</f>
        <v/>
      </c>
      <c r="N97" s="82" t="str">
        <f t="array" ref="N97">IF(M97="","", INDEX('Player Format Data'!C:C,MATCH($L97,'Player Format Data'!$A:$A,0)))</f>
        <v/>
      </c>
      <c r="O97" s="83" t="str">
        <f t="array" ref="O97">IF(M97="","", IF(INDEX('Player Format Data'!D:D,MATCH($L97,'Player Format Data'!$A:$A,0))="2TM",INDEX('Player Format Data'!D:D,MATCH($L97,'Player Format Data'!$A:$A,0)+2),INDEX('Player Format Data'!D:D,MATCH($L97,'Player Format Data'!$A:$A,0))))</f>
        <v/>
      </c>
      <c r="P97" s="77" t="str">
        <f t="shared" si="51"/>
        <v/>
      </c>
      <c r="Q97" s="79">
        <f t="shared" si="52"/>
        <v>0</v>
      </c>
      <c r="R97" s="80">
        <f t="shared" si="53"/>
        <v>0</v>
      </c>
      <c r="S97" s="63">
        <f t="shared" si="54"/>
        <v>0</v>
      </c>
      <c r="T97" s="31"/>
    </row>
    <row r="98">
      <c r="A98" s="86" t="s">
        <v>1310</v>
      </c>
      <c r="B98" s="76"/>
      <c r="C98" s="77" t="str">
        <f t="array" ref="C98">IF(B98="","", INDEX('Player Format Data'!B:B,MATCH($B98,'Player Format Data'!$A:$A,0)))</f>
        <v/>
      </c>
      <c r="D98" s="78" t="str">
        <f t="array" ref="D98">IF(C98="","", INDEX('Player Format Data'!C:C,MATCH($B98,'Player Format Data'!$A:$A,0)))</f>
        <v/>
      </c>
      <c r="E98" s="77" t="str">
        <f t="array" ref="E98">IF(D98="","", IF(INDEX('Player Format Data'!D:D,MATCH($B98,'Player Format Data'!$A:$A,0))="2TM",INDEX('Player Format Data'!D:D,MATCH($B98,'Player Format Data'!$A:$A,0)+2),INDEX('Player Format Data'!D:D,MATCH($B98,'Player Format Data'!$A:$A,0))))</f>
        <v/>
      </c>
      <c r="F98" s="77" t="str">
        <f t="shared" si="47"/>
        <v/>
      </c>
      <c r="G98" s="79">
        <f t="shared" si="48"/>
        <v>0</v>
      </c>
      <c r="H98" s="80">
        <f t="shared" si="49"/>
        <v>0</v>
      </c>
      <c r="I98" s="63">
        <f t="shared" si="50"/>
        <v>0</v>
      </c>
      <c r="J98" s="31"/>
      <c r="K98" s="86" t="s">
        <v>1310</v>
      </c>
      <c r="L98" s="20"/>
      <c r="M98" s="110" t="str">
        <f t="array" ref="M98">IF(L98="","", INDEX('Player Format Data'!B:B,MATCH($L98,'Player Format Data'!$A:$A,0)))</f>
        <v/>
      </c>
      <c r="N98" s="82" t="str">
        <f t="array" ref="N98">IF(M98="","", INDEX('Player Format Data'!C:C,MATCH($L98,'Player Format Data'!$A:$A,0)))</f>
        <v/>
      </c>
      <c r="O98" s="83" t="str">
        <f t="array" ref="O98">IF(M98="","", IF(INDEX('Player Format Data'!D:D,MATCH($L98,'Player Format Data'!$A:$A,0))="2TM",INDEX('Player Format Data'!D:D,MATCH($L98,'Player Format Data'!$A:$A,0)+2),INDEX('Player Format Data'!D:D,MATCH($L98,'Player Format Data'!$A:$A,0))))</f>
        <v/>
      </c>
      <c r="P98" s="77" t="str">
        <f t="shared" si="51"/>
        <v/>
      </c>
      <c r="Q98" s="79">
        <f t="shared" si="52"/>
        <v>0</v>
      </c>
      <c r="R98" s="80">
        <f t="shared" si="53"/>
        <v>0</v>
      </c>
      <c r="S98" s="63">
        <f t="shared" si="54"/>
        <v>0</v>
      </c>
      <c r="T98" s="31"/>
    </row>
    <row r="99">
      <c r="A99" s="87" t="s">
        <v>1310</v>
      </c>
      <c r="B99" s="76"/>
      <c r="C99" s="77" t="str">
        <f t="array" ref="C99">IF(B99="","", INDEX('Player Format Data'!B:B,MATCH($B99,'Player Format Data'!$A:$A,0)))</f>
        <v/>
      </c>
      <c r="D99" s="78" t="str">
        <f t="array" ref="D99">IF(C99="","", INDEX('Player Format Data'!C:C,MATCH($B99,'Player Format Data'!$A:$A,0)))</f>
        <v/>
      </c>
      <c r="E99" s="77" t="str">
        <f t="array" ref="E99">IF(D99="","", IF(INDEX('Player Format Data'!D:D,MATCH($B99,'Player Format Data'!$A:$A,0))="2TM",INDEX('Player Format Data'!D:D,MATCH($B99,'Player Format Data'!$A:$A,0)+2),INDEX('Player Format Data'!D:D,MATCH($B99,'Player Format Data'!$A:$A,0))))</f>
        <v/>
      </c>
      <c r="F99" s="77" t="str">
        <f t="shared" si="47"/>
        <v/>
      </c>
      <c r="G99" s="79">
        <f t="shared" si="48"/>
        <v>0</v>
      </c>
      <c r="H99" s="80">
        <f t="shared" si="49"/>
        <v>0</v>
      </c>
      <c r="I99" s="63">
        <f t="shared" si="50"/>
        <v>0</v>
      </c>
      <c r="J99" s="31"/>
      <c r="K99" s="87" t="s">
        <v>1310</v>
      </c>
      <c r="L99" s="21"/>
      <c r="M99" s="110" t="str">
        <f t="array" ref="M99">IF(L99="","", INDEX('Player Format Data'!B:B,MATCH($L99,'Player Format Data'!$A:$A,0)))</f>
        <v/>
      </c>
      <c r="N99" s="82" t="str">
        <f t="array" ref="N99">IF(M99="","", INDEX('Player Format Data'!C:C,MATCH($L99,'Player Format Data'!$A:$A,0)))</f>
        <v/>
      </c>
      <c r="O99" s="83" t="str">
        <f t="array" ref="O99">IF(M99="","", IF(INDEX('Player Format Data'!D:D,MATCH($L99,'Player Format Data'!$A:$A,0))="2TM",INDEX('Player Format Data'!D:D,MATCH($L99,'Player Format Data'!$A:$A,0)+2),INDEX('Player Format Data'!D:D,MATCH($L99,'Player Format Data'!$A:$A,0))))</f>
        <v/>
      </c>
      <c r="P99" s="77" t="str">
        <f t="shared" si="51"/>
        <v/>
      </c>
      <c r="Q99" s="79">
        <f t="shared" si="52"/>
        <v>0</v>
      </c>
      <c r="R99" s="80">
        <f t="shared" si="53"/>
        <v>0</v>
      </c>
      <c r="S99" s="63">
        <f t="shared" si="54"/>
        <v>0</v>
      </c>
      <c r="T99" s="31"/>
    </row>
    <row r="100">
      <c r="A100" s="88"/>
      <c r="B100" s="76"/>
      <c r="C100" s="77"/>
      <c r="D100" s="78"/>
      <c r="E100" s="77" t="str">
        <f t="array" ref="E100">IF(D100="","", IF(INDEX('Player Format Data'!D:D,MATCH($B100,'Player Format Data'!$A:$A,0))="2TM",INDEX('Player Format Data'!D:D,MATCH($B100,'Player Format Data'!$A:$A,0)+2),INDEX('Player Format Data'!D:D,MATCH($B100,'Player Format Data'!$A:$A,0))))</f>
        <v/>
      </c>
      <c r="F100" s="77"/>
      <c r="G100" s="79"/>
      <c r="H100" s="80"/>
      <c r="I100" s="63"/>
      <c r="J100" s="31"/>
      <c r="K100" s="88"/>
      <c r="L100" s="76"/>
      <c r="M100" s="77"/>
      <c r="N100" s="78"/>
      <c r="O100" s="83" t="str">
        <f t="array" ref="O100">IF(M100="","", IF(INDEX('Player Format Data'!D:D,MATCH($L100,'Player Format Data'!$A:$A,0))="2TM",INDEX('Player Format Data'!D:D,MATCH($L100,'Player Format Data'!$A:$A,0)+2),INDEX('Player Format Data'!D:D,MATCH($L100,'Player Format Data'!$A:$A,0))))</f>
        <v/>
      </c>
      <c r="P100" s="77"/>
      <c r="Q100" s="79"/>
      <c r="R100" s="80"/>
      <c r="S100" s="63"/>
      <c r="T100" s="31"/>
    </row>
    <row r="101">
      <c r="A101" s="66" t="s">
        <v>1341</v>
      </c>
      <c r="C101" s="67" t="s">
        <v>1</v>
      </c>
      <c r="D101" s="68" t="s">
        <v>2</v>
      </c>
      <c r="E101" s="69" t="s">
        <v>3</v>
      </c>
      <c r="F101" s="69" t="s">
        <v>16</v>
      </c>
      <c r="G101" s="70" t="s">
        <v>17</v>
      </c>
      <c r="H101" s="69" t="s">
        <v>18</v>
      </c>
      <c r="I101" s="71" t="s">
        <v>1307</v>
      </c>
      <c r="J101" s="31"/>
      <c r="K101" s="66" t="s">
        <v>1342</v>
      </c>
      <c r="M101" s="67" t="s">
        <v>1</v>
      </c>
      <c r="N101" s="68" t="s">
        <v>2</v>
      </c>
      <c r="O101" s="72" t="s">
        <v>3</v>
      </c>
      <c r="P101" s="69" t="s">
        <v>16</v>
      </c>
      <c r="Q101" s="73" t="s">
        <v>17</v>
      </c>
      <c r="R101" s="69" t="s">
        <v>18</v>
      </c>
      <c r="S101" s="74" t="s">
        <v>1307</v>
      </c>
      <c r="T101" s="31"/>
    </row>
    <row r="102">
      <c r="A102" s="75">
        <v>1.0</v>
      </c>
      <c r="B102" s="76"/>
      <c r="C102" s="77" t="str">
        <f t="array" ref="C102">IF(B102="","", INDEX('Player Format Data'!B:B,MATCH($B102,'Player Format Data'!$A:$A,0)))</f>
        <v/>
      </c>
      <c r="D102" s="78" t="str">
        <f t="array" ref="D102">IF(C102="","", INDEX('Player Format Data'!C:C,MATCH($B102,'Player Format Data'!$A:$A,0)))</f>
        <v/>
      </c>
      <c r="E102" s="77" t="str">
        <f t="array" ref="E102">IF(D102="","", IF(INDEX('Player Format Data'!D:D,MATCH($B102,'Player Format Data'!$A:$A,0))="2TM",INDEX('Player Format Data'!D:D,MATCH($B102,'Player Format Data'!$A:$A,0)+2),INDEX('Player Format Data'!D:D,MATCH($B102,'Player Format Data'!$A:$A,0))))</f>
        <v/>
      </c>
      <c r="F102" s="77" t="str">
        <f t="shared" ref="F102:F115" si="55">IFERROR(IF(E102="","", INDEX(INDIRECT(CONCATENATE($T$2,"!Q:Q")),MATCH($B102,INDIRECT(CONCATENATE($T$2,"!$A:$A")),0))),0)</f>
        <v/>
      </c>
      <c r="G102" s="79">
        <f t="shared" ref="G102:G115" si="56">IFERROR(IF(F102="",0, INDEX(INDIRECT(CONCATENATE($T$2,"!R:R")),MATCH($B102,INDIRECT(CONCATENATE($T$2,"!$A:$A")),0))),0)</f>
        <v>0</v>
      </c>
      <c r="H102" s="80">
        <f t="shared" ref="H102:H115" si="57">IFERROR(IF(G102="","", INDEX(INDIRECT(CONCATENATE($T$2,"!S:S")),MATCH($B102,INDIRECT(CONCATENATE($T$2,"!$A:$A")),0))),0)</f>
        <v>0</v>
      </c>
      <c r="I102" s="63">
        <f t="shared" ref="I102:I115" si="58">IFERROR(IF(H102="","", INDEX(INDIRECT(CONCATENATE($T$2,"!W:W")),MATCH($B102,INDIRECT(CONCATENATE($T$2,"!$A:$A")),0))),0)</f>
        <v>0</v>
      </c>
      <c r="J102" s="31"/>
      <c r="K102" s="75">
        <v>1.0</v>
      </c>
      <c r="L102" s="21"/>
      <c r="M102" s="110" t="str">
        <f t="array" ref="M102">IF(L102="","", INDEX('Player Format Data'!B:B,MATCH($L102,'Player Format Data'!$A:$A,0)))</f>
        <v/>
      </c>
      <c r="N102" s="82" t="str">
        <f t="array" ref="N102">IF(M102="","", INDEX('Player Format Data'!C:C,MATCH($L102,'Player Format Data'!$A:$A,0)))</f>
        <v/>
      </c>
      <c r="O102" s="83" t="str">
        <f t="array" ref="O102">IF(M102="","", IF(INDEX('Player Format Data'!D:D,MATCH($L102,'Player Format Data'!$A:$A,0))="2TM",INDEX('Player Format Data'!D:D,MATCH($L102,'Player Format Data'!$A:$A,0)+2),INDEX('Player Format Data'!D:D,MATCH($L102,'Player Format Data'!$A:$A,0))))</f>
        <v/>
      </c>
      <c r="P102" s="77" t="str">
        <f t="shared" ref="P102:P115" si="59">IFERROR(IF(O102="","", INDEX(INDIRECT(CONCATENATE($T$2,"!Q:Q")),MATCH($L102,INDIRECT(CONCATENATE($T$2,"!$A:$A")),0))),0)</f>
        <v/>
      </c>
      <c r="Q102" s="79">
        <f t="shared" ref="Q102:Q115" si="60">IFERROR(IF(P102="",0, INDEX(INDIRECT(CONCATENATE($T$2,"!R:R")),MATCH($L102,INDIRECT(CONCATENATE($T$2,"!$A:$A")),0))),0)</f>
        <v>0</v>
      </c>
      <c r="R102" s="80">
        <f t="shared" ref="R102:R115" si="61">IFERROR(IF(Q102="","", INDEX(INDIRECT(CONCATENATE($T$2,"!S:S")),MATCH($L102,INDIRECT(CONCATENATE($T$2,"!$A:$A")),0))),0)</f>
        <v>0</v>
      </c>
      <c r="S102" s="63">
        <f t="shared" ref="S102:S115" si="62">IFERROR(IF(R102="","", INDEX(INDIRECT(CONCATENATE($T$2,"!W:W")),MATCH($L102,INDIRECT(CONCATENATE($T$2,"!$A:$A")),0))),0)</f>
        <v>0</v>
      </c>
      <c r="T102" s="31"/>
    </row>
    <row r="103">
      <c r="A103" s="75">
        <v>2.0</v>
      </c>
      <c r="B103" s="76"/>
      <c r="C103" s="77" t="str">
        <f t="array" ref="C103">IF(B103="","", INDEX('Player Format Data'!B:B,MATCH($B103,'Player Format Data'!$A:$A,0)))</f>
        <v/>
      </c>
      <c r="D103" s="78" t="str">
        <f t="array" ref="D103">IF(C103="","", INDEX('Player Format Data'!C:C,MATCH($B103,'Player Format Data'!$A:$A,0)))</f>
        <v/>
      </c>
      <c r="E103" s="77" t="str">
        <f t="array" ref="E103">IF(D103="","", IF(INDEX('Player Format Data'!D:D,MATCH($B103,'Player Format Data'!$A:$A,0))="2TM",INDEX('Player Format Data'!D:D,MATCH($B103,'Player Format Data'!$A:$A,0)+2),INDEX('Player Format Data'!D:D,MATCH($B103,'Player Format Data'!$A:$A,0))))</f>
        <v/>
      </c>
      <c r="F103" s="77" t="str">
        <f t="shared" si="55"/>
        <v/>
      </c>
      <c r="G103" s="79">
        <f t="shared" si="56"/>
        <v>0</v>
      </c>
      <c r="H103" s="80">
        <f t="shared" si="57"/>
        <v>0</v>
      </c>
      <c r="I103" s="63">
        <f t="shared" si="58"/>
        <v>0</v>
      </c>
      <c r="J103" s="31"/>
      <c r="K103" s="75">
        <v>2.0</v>
      </c>
      <c r="L103" s="21"/>
      <c r="M103" s="110" t="str">
        <f t="array" ref="M103">IF(L103="","", INDEX('Player Format Data'!B:B,MATCH($L103,'Player Format Data'!$A:$A,0)))</f>
        <v/>
      </c>
      <c r="N103" s="82" t="str">
        <f t="array" ref="N103">IF(M103="","", INDEX('Player Format Data'!C:C,MATCH($L103,'Player Format Data'!$A:$A,0)))</f>
        <v/>
      </c>
      <c r="O103" s="83" t="str">
        <f t="array" ref="O103">IF(M103="","", IF(INDEX('Player Format Data'!D:D,MATCH($L103,'Player Format Data'!$A:$A,0))="2TM",INDEX('Player Format Data'!D:D,MATCH($L103,'Player Format Data'!$A:$A,0)+2),INDEX('Player Format Data'!D:D,MATCH($L103,'Player Format Data'!$A:$A,0))))</f>
        <v/>
      </c>
      <c r="P103" s="77" t="str">
        <f t="shared" si="59"/>
        <v/>
      </c>
      <c r="Q103" s="79">
        <f t="shared" si="60"/>
        <v>0</v>
      </c>
      <c r="R103" s="80">
        <f t="shared" si="61"/>
        <v>0</v>
      </c>
      <c r="S103" s="63">
        <f t="shared" si="62"/>
        <v>0</v>
      </c>
      <c r="T103" s="31"/>
    </row>
    <row r="104">
      <c r="A104" s="75">
        <v>3.0</v>
      </c>
      <c r="B104" s="76"/>
      <c r="C104" s="77" t="str">
        <f t="array" ref="C104">IF(B104="","", INDEX('Player Format Data'!B:B,MATCH($B104,'Player Format Data'!$A:$A,0)))</f>
        <v/>
      </c>
      <c r="D104" s="78" t="str">
        <f t="array" ref="D104">IF(C104="","", INDEX('Player Format Data'!C:C,MATCH($B104,'Player Format Data'!$A:$A,0)))</f>
        <v/>
      </c>
      <c r="E104" s="77" t="str">
        <f t="array" ref="E104">IF(D104="","", IF(INDEX('Player Format Data'!D:D,MATCH($B104,'Player Format Data'!$A:$A,0))="2TM",INDEX('Player Format Data'!D:D,MATCH($B104,'Player Format Data'!$A:$A,0)+2),INDEX('Player Format Data'!D:D,MATCH($B104,'Player Format Data'!$A:$A,0))))</f>
        <v/>
      </c>
      <c r="F104" s="77" t="str">
        <f t="shared" si="55"/>
        <v/>
      </c>
      <c r="G104" s="79">
        <f t="shared" si="56"/>
        <v>0</v>
      </c>
      <c r="H104" s="80">
        <f t="shared" si="57"/>
        <v>0</v>
      </c>
      <c r="I104" s="63">
        <f t="shared" si="58"/>
        <v>0</v>
      </c>
      <c r="J104" s="31"/>
      <c r="K104" s="75">
        <v>3.0</v>
      </c>
      <c r="L104" s="89"/>
      <c r="M104" s="110" t="str">
        <f t="array" ref="M104">IF(L104="","", INDEX('Player Format Data'!B:B,MATCH($L104,'Player Format Data'!$A:$A,0)))</f>
        <v/>
      </c>
      <c r="N104" s="82" t="str">
        <f t="array" ref="N104">IF(M104="","", INDEX('Player Format Data'!C:C,MATCH($L104,'Player Format Data'!$A:$A,0)))</f>
        <v/>
      </c>
      <c r="O104" s="83" t="str">
        <f t="array" ref="O104">IF(M104="","", IF(INDEX('Player Format Data'!D:D,MATCH($L104,'Player Format Data'!$A:$A,0))="2TM",INDEX('Player Format Data'!D:D,MATCH($L104,'Player Format Data'!$A:$A,0)+2),INDEX('Player Format Data'!D:D,MATCH($L104,'Player Format Data'!$A:$A,0))))</f>
        <v/>
      </c>
      <c r="P104" s="77" t="str">
        <f t="shared" si="59"/>
        <v/>
      </c>
      <c r="Q104" s="79">
        <f t="shared" si="60"/>
        <v>0</v>
      </c>
      <c r="R104" s="80">
        <f t="shared" si="61"/>
        <v>0</v>
      </c>
      <c r="S104" s="63">
        <f t="shared" si="62"/>
        <v>0</v>
      </c>
      <c r="T104" s="31"/>
    </row>
    <row r="105">
      <c r="A105" s="75">
        <v>4.0</v>
      </c>
      <c r="B105" s="76"/>
      <c r="C105" s="77" t="str">
        <f t="array" ref="C105">IF(B105="","", INDEX('Player Format Data'!B:B,MATCH($B105,'Player Format Data'!$A:$A,0)))</f>
        <v/>
      </c>
      <c r="D105" s="78" t="str">
        <f t="array" ref="D105">IF(C105="","", INDEX('Player Format Data'!C:C,MATCH($B105,'Player Format Data'!$A:$A,0)))</f>
        <v/>
      </c>
      <c r="E105" s="77" t="str">
        <f t="array" ref="E105">IF(D105="","", IF(INDEX('Player Format Data'!D:D,MATCH($B105,'Player Format Data'!$A:$A,0))="2TM",INDEX('Player Format Data'!D:D,MATCH($B105,'Player Format Data'!$A:$A,0)+2),INDEX('Player Format Data'!D:D,MATCH($B105,'Player Format Data'!$A:$A,0))))</f>
        <v/>
      </c>
      <c r="F105" s="77" t="str">
        <f t="shared" si="55"/>
        <v/>
      </c>
      <c r="G105" s="79">
        <f t="shared" si="56"/>
        <v>0</v>
      </c>
      <c r="H105" s="80">
        <f t="shared" si="57"/>
        <v>0</v>
      </c>
      <c r="I105" s="63">
        <f t="shared" si="58"/>
        <v>0</v>
      </c>
      <c r="J105" s="31"/>
      <c r="K105" s="75">
        <v>4.0</v>
      </c>
      <c r="L105" s="21"/>
      <c r="M105" s="110" t="str">
        <f t="array" ref="M105">IF(L105="","", INDEX('Player Format Data'!B:B,MATCH($L105,'Player Format Data'!$A:$A,0)))</f>
        <v/>
      </c>
      <c r="N105" s="82" t="str">
        <f t="array" ref="N105">IF(M105="","", INDEX('Player Format Data'!C:C,MATCH($L105,'Player Format Data'!$A:$A,0)))</f>
        <v/>
      </c>
      <c r="O105" s="83" t="str">
        <f t="array" ref="O105">IF(M105="","", IF(INDEX('Player Format Data'!D:D,MATCH($L105,'Player Format Data'!$A:$A,0))="2TM",INDEX('Player Format Data'!D:D,MATCH($L105,'Player Format Data'!$A:$A,0)+2),INDEX('Player Format Data'!D:D,MATCH($L105,'Player Format Data'!$A:$A,0))))</f>
        <v/>
      </c>
      <c r="P105" s="77" t="str">
        <f t="shared" si="59"/>
        <v/>
      </c>
      <c r="Q105" s="79">
        <f t="shared" si="60"/>
        <v>0</v>
      </c>
      <c r="R105" s="80">
        <f t="shared" si="61"/>
        <v>0</v>
      </c>
      <c r="S105" s="63">
        <f t="shared" si="62"/>
        <v>0</v>
      </c>
      <c r="T105" s="31"/>
    </row>
    <row r="106">
      <c r="A106" s="75">
        <v>5.0</v>
      </c>
      <c r="B106" s="76"/>
      <c r="C106" s="77" t="str">
        <f t="array" ref="C106">IF(B106="","", INDEX('Player Format Data'!B:B,MATCH($B106,'Player Format Data'!$A:$A,0)))</f>
        <v/>
      </c>
      <c r="D106" s="78" t="str">
        <f t="array" ref="D106">IF(C106="","", INDEX('Player Format Data'!C:C,MATCH($B106,'Player Format Data'!$A:$A,0)))</f>
        <v/>
      </c>
      <c r="E106" s="77" t="str">
        <f t="array" ref="E106">IF(D106="","", IF(INDEX('Player Format Data'!D:D,MATCH($B106,'Player Format Data'!$A:$A,0))="2TM",INDEX('Player Format Data'!D:D,MATCH($B106,'Player Format Data'!$A:$A,0)+2),INDEX('Player Format Data'!D:D,MATCH($B106,'Player Format Data'!$A:$A,0))))</f>
        <v/>
      </c>
      <c r="F106" s="77" t="str">
        <f t="shared" si="55"/>
        <v/>
      </c>
      <c r="G106" s="79">
        <f t="shared" si="56"/>
        <v>0</v>
      </c>
      <c r="H106" s="80">
        <f t="shared" si="57"/>
        <v>0</v>
      </c>
      <c r="I106" s="63">
        <f t="shared" si="58"/>
        <v>0</v>
      </c>
      <c r="J106" s="31"/>
      <c r="K106" s="75">
        <v>5.0</v>
      </c>
      <c r="L106" s="21"/>
      <c r="M106" s="110" t="str">
        <f t="array" ref="M106">IF(L106="","", INDEX('Player Format Data'!B:B,MATCH($L106,'Player Format Data'!$A:$A,0)))</f>
        <v/>
      </c>
      <c r="N106" s="82" t="str">
        <f t="array" ref="N106">IF(M106="","", INDEX('Player Format Data'!C:C,MATCH($L106,'Player Format Data'!$A:$A,0)))</f>
        <v/>
      </c>
      <c r="O106" s="83" t="str">
        <f t="array" ref="O106">IF(M106="","", IF(INDEX('Player Format Data'!D:D,MATCH($L106,'Player Format Data'!$A:$A,0))="2TM",INDEX('Player Format Data'!D:D,MATCH($L106,'Player Format Data'!$A:$A,0)+2),INDEX('Player Format Data'!D:D,MATCH($L106,'Player Format Data'!$A:$A,0))))</f>
        <v/>
      </c>
      <c r="P106" s="77" t="str">
        <f t="shared" si="59"/>
        <v/>
      </c>
      <c r="Q106" s="79">
        <f t="shared" si="60"/>
        <v>0</v>
      </c>
      <c r="R106" s="80">
        <f t="shared" si="61"/>
        <v>0</v>
      </c>
      <c r="S106" s="63">
        <f t="shared" si="62"/>
        <v>0</v>
      </c>
      <c r="T106" s="31"/>
    </row>
    <row r="107">
      <c r="A107" s="75">
        <v>6.0</v>
      </c>
      <c r="C107" s="77" t="str">
        <f t="array" ref="C107">IF(B107="","", INDEX('Player Format Data'!B:B,MATCH($B107,'Player Format Data'!$A:$A,0)))</f>
        <v/>
      </c>
      <c r="D107" s="78" t="str">
        <f t="array" ref="D107">IF(C107="","", INDEX('Player Format Data'!C:C,MATCH($B107,'Player Format Data'!$A:$A,0)))</f>
        <v/>
      </c>
      <c r="E107" s="77" t="str">
        <f t="array" ref="E107">IF(D107="","", IF(INDEX('Player Format Data'!D:D,MATCH($B107,'Player Format Data'!$A:$A,0))="2TM",INDEX('Player Format Data'!D:D,MATCH($B107,'Player Format Data'!$A:$A,0)+2),INDEX('Player Format Data'!D:D,MATCH($B107,'Player Format Data'!$A:$A,0))))</f>
        <v/>
      </c>
      <c r="F107" s="77" t="str">
        <f t="shared" si="55"/>
        <v/>
      </c>
      <c r="G107" s="79">
        <f t="shared" si="56"/>
        <v>0</v>
      </c>
      <c r="H107" s="80">
        <f t="shared" si="57"/>
        <v>0</v>
      </c>
      <c r="I107" s="63">
        <f t="shared" si="58"/>
        <v>0</v>
      </c>
      <c r="J107" s="31"/>
      <c r="K107" s="75">
        <v>6.0</v>
      </c>
      <c r="L107" s="89"/>
      <c r="M107" s="110" t="str">
        <f t="array" ref="M107">IF(L107="","", INDEX('Player Format Data'!B:B,MATCH($L107,'Player Format Data'!$A:$A,0)))</f>
        <v/>
      </c>
      <c r="N107" s="82" t="str">
        <f t="array" ref="N107">IF(M107="","", INDEX('Player Format Data'!C:C,MATCH($L107,'Player Format Data'!$A:$A,0)))</f>
        <v/>
      </c>
      <c r="O107" s="83" t="str">
        <f t="array" ref="O107">IF(M107="","", IF(INDEX('Player Format Data'!D:D,MATCH($L107,'Player Format Data'!$A:$A,0))="2TM",INDEX('Player Format Data'!D:D,MATCH($L107,'Player Format Data'!$A:$A,0)+2),INDEX('Player Format Data'!D:D,MATCH($L107,'Player Format Data'!$A:$A,0))))</f>
        <v/>
      </c>
      <c r="P107" s="77" t="str">
        <f t="shared" si="59"/>
        <v/>
      </c>
      <c r="Q107" s="79">
        <f t="shared" si="60"/>
        <v>0</v>
      </c>
      <c r="R107" s="80">
        <f t="shared" si="61"/>
        <v>0</v>
      </c>
      <c r="S107" s="63">
        <f t="shared" si="62"/>
        <v>0</v>
      </c>
      <c r="T107" s="31"/>
    </row>
    <row r="108">
      <c r="A108" s="75">
        <v>7.0</v>
      </c>
      <c r="B108" s="76"/>
      <c r="C108" s="77" t="str">
        <f t="array" ref="C108">IF(B108="","", INDEX('Player Format Data'!B:B,MATCH($B108,'Player Format Data'!$A:$A,0)))</f>
        <v/>
      </c>
      <c r="D108" s="78" t="str">
        <f t="array" ref="D108">IF(C108="","", INDEX('Player Format Data'!C:C,MATCH($B108,'Player Format Data'!$A:$A,0)))</f>
        <v/>
      </c>
      <c r="E108" s="77" t="str">
        <f t="array" ref="E108">IF(D108="","", IF(INDEX('Player Format Data'!D:D,MATCH($B108,'Player Format Data'!$A:$A,0))="2TM",INDEX('Player Format Data'!D:D,MATCH($B108,'Player Format Data'!$A:$A,0)+2),INDEX('Player Format Data'!D:D,MATCH($B108,'Player Format Data'!$A:$A,0))))</f>
        <v/>
      </c>
      <c r="F108" s="77" t="str">
        <f t="shared" si="55"/>
        <v/>
      </c>
      <c r="G108" s="79">
        <f t="shared" si="56"/>
        <v>0</v>
      </c>
      <c r="H108" s="80">
        <f t="shared" si="57"/>
        <v>0</v>
      </c>
      <c r="I108" s="63">
        <f t="shared" si="58"/>
        <v>0</v>
      </c>
      <c r="J108" s="31"/>
      <c r="K108" s="75">
        <v>7.0</v>
      </c>
      <c r="L108" s="21"/>
      <c r="M108" s="110" t="str">
        <f t="array" ref="M108">IF(L108="","", INDEX('Player Format Data'!B:B,MATCH($L108,'Player Format Data'!$A:$A,0)))</f>
        <v/>
      </c>
      <c r="N108" s="82" t="str">
        <f t="array" ref="N108">IF(M108="","", INDEX('Player Format Data'!C:C,MATCH($L108,'Player Format Data'!$A:$A,0)))</f>
        <v/>
      </c>
      <c r="O108" s="83" t="str">
        <f t="array" ref="O108">IF(M108="","", IF(INDEX('Player Format Data'!D:D,MATCH($L108,'Player Format Data'!$A:$A,0))="2TM",INDEX('Player Format Data'!D:D,MATCH($L108,'Player Format Data'!$A:$A,0)+2),INDEX('Player Format Data'!D:D,MATCH($L108,'Player Format Data'!$A:$A,0))))</f>
        <v/>
      </c>
      <c r="P108" s="77" t="str">
        <f t="shared" si="59"/>
        <v/>
      </c>
      <c r="Q108" s="79">
        <f t="shared" si="60"/>
        <v>0</v>
      </c>
      <c r="R108" s="80">
        <f t="shared" si="61"/>
        <v>0</v>
      </c>
      <c r="S108" s="63">
        <f t="shared" si="62"/>
        <v>0</v>
      </c>
      <c r="T108" s="31"/>
    </row>
    <row r="109">
      <c r="A109" s="75">
        <v>8.0</v>
      </c>
      <c r="B109" s="76"/>
      <c r="C109" s="77" t="str">
        <f t="array" ref="C109">IF(B109="","", INDEX('Player Format Data'!B:B,MATCH($B109,'Player Format Data'!$A:$A,0)))</f>
        <v/>
      </c>
      <c r="D109" s="78" t="str">
        <f t="array" ref="D109">IF(C109="","", INDEX('Player Format Data'!C:C,MATCH($B109,'Player Format Data'!$A:$A,0)))</f>
        <v/>
      </c>
      <c r="E109" s="77" t="str">
        <f t="array" ref="E109">IF(D109="","", IF(INDEX('Player Format Data'!D:D,MATCH($B109,'Player Format Data'!$A:$A,0))="2TM",INDEX('Player Format Data'!D:D,MATCH($B109,'Player Format Data'!$A:$A,0)+2),INDEX('Player Format Data'!D:D,MATCH($B109,'Player Format Data'!$A:$A,0))))</f>
        <v/>
      </c>
      <c r="F109" s="77" t="str">
        <f t="shared" si="55"/>
        <v/>
      </c>
      <c r="G109" s="79">
        <f t="shared" si="56"/>
        <v>0</v>
      </c>
      <c r="H109" s="80">
        <f t="shared" si="57"/>
        <v>0</v>
      </c>
      <c r="I109" s="63">
        <f t="shared" si="58"/>
        <v>0</v>
      </c>
      <c r="J109" s="31"/>
      <c r="K109" s="75">
        <v>8.0</v>
      </c>
      <c r="L109" s="21"/>
      <c r="M109" s="110" t="str">
        <f t="array" ref="M109">IF(L109="","", INDEX('Player Format Data'!B:B,MATCH($L109,'Player Format Data'!$A:$A,0)))</f>
        <v/>
      </c>
      <c r="N109" s="82" t="str">
        <f t="array" ref="N109">IF(M109="","", INDEX('Player Format Data'!C:C,MATCH($L109,'Player Format Data'!$A:$A,0)))</f>
        <v/>
      </c>
      <c r="O109" s="83" t="str">
        <f t="array" ref="O109">IF(M109="","", IF(INDEX('Player Format Data'!D:D,MATCH($L109,'Player Format Data'!$A:$A,0))="2TM",INDEX('Player Format Data'!D:D,MATCH($L109,'Player Format Data'!$A:$A,0)+2),INDEX('Player Format Data'!D:D,MATCH($L109,'Player Format Data'!$A:$A,0))))</f>
        <v/>
      </c>
      <c r="P109" s="77" t="str">
        <f t="shared" si="59"/>
        <v/>
      </c>
      <c r="Q109" s="79">
        <f t="shared" si="60"/>
        <v>0</v>
      </c>
      <c r="R109" s="80">
        <f t="shared" si="61"/>
        <v>0</v>
      </c>
      <c r="S109" s="63">
        <f t="shared" si="62"/>
        <v>0</v>
      </c>
      <c r="T109" s="31"/>
    </row>
    <row r="110">
      <c r="A110" s="86">
        <v>9.0</v>
      </c>
      <c r="B110" s="76"/>
      <c r="C110" s="77" t="str">
        <f t="array" ref="C110">IF(B110="","", INDEX('Player Format Data'!B:B,MATCH($B110,'Player Format Data'!$A:$A,0)))</f>
        <v/>
      </c>
      <c r="D110" s="78" t="str">
        <f t="array" ref="D110">IF(C110="","", INDEX('Player Format Data'!C:C,MATCH($B110,'Player Format Data'!$A:$A,0)))</f>
        <v/>
      </c>
      <c r="E110" s="77" t="str">
        <f t="array" ref="E110">IF(D110="","", IF(INDEX('Player Format Data'!D:D,MATCH($B110,'Player Format Data'!$A:$A,0))="2TM",INDEX('Player Format Data'!D:D,MATCH($B110,'Player Format Data'!$A:$A,0)+2),INDEX('Player Format Data'!D:D,MATCH($B110,'Player Format Data'!$A:$A,0))))</f>
        <v/>
      </c>
      <c r="F110" s="77" t="str">
        <f t="shared" si="55"/>
        <v/>
      </c>
      <c r="G110" s="79">
        <f t="shared" si="56"/>
        <v>0</v>
      </c>
      <c r="H110" s="80">
        <f t="shared" si="57"/>
        <v>0</v>
      </c>
      <c r="I110" s="63">
        <f t="shared" si="58"/>
        <v>0</v>
      </c>
      <c r="J110" s="31"/>
      <c r="K110" s="86">
        <v>9.0</v>
      </c>
      <c r="L110" s="89"/>
      <c r="M110" s="110" t="str">
        <f t="array" ref="M110">IF(L110="","", INDEX('Player Format Data'!B:B,MATCH($L110,'Player Format Data'!$A:$A,0)))</f>
        <v/>
      </c>
      <c r="N110" s="82" t="str">
        <f t="array" ref="N110">IF(M110="","", INDEX('Player Format Data'!C:C,MATCH($L110,'Player Format Data'!$A:$A,0)))</f>
        <v/>
      </c>
      <c r="O110" s="83" t="str">
        <f t="array" ref="O110">IF(M110="","", IF(INDEX('Player Format Data'!D:D,MATCH($L110,'Player Format Data'!$A:$A,0))="2TM",INDEX('Player Format Data'!D:D,MATCH($L110,'Player Format Data'!$A:$A,0)+2),INDEX('Player Format Data'!D:D,MATCH($L110,'Player Format Data'!$A:$A,0))))</f>
        <v/>
      </c>
      <c r="P110" s="77" t="str">
        <f t="shared" si="59"/>
        <v/>
      </c>
      <c r="Q110" s="79">
        <f t="shared" si="60"/>
        <v>0</v>
      </c>
      <c r="R110" s="80">
        <f t="shared" si="61"/>
        <v>0</v>
      </c>
      <c r="S110" s="63">
        <f t="shared" si="62"/>
        <v>0</v>
      </c>
      <c r="T110" s="31"/>
    </row>
    <row r="111">
      <c r="A111" s="86">
        <v>10.0</v>
      </c>
      <c r="B111" s="21"/>
      <c r="C111" s="77" t="str">
        <f t="array" ref="C111">IF(B111="","", INDEX('Player Format Data'!B:B,MATCH($B111,'Player Format Data'!$A:$A,0)))</f>
        <v/>
      </c>
      <c r="D111" s="78" t="str">
        <f t="array" ref="D111">IF(C111="","", INDEX('Player Format Data'!C:C,MATCH($B111,'Player Format Data'!$A:$A,0)))</f>
        <v/>
      </c>
      <c r="E111" s="77" t="str">
        <f t="array" ref="E111">IF(D111="","", IF(INDEX('Player Format Data'!D:D,MATCH($B111,'Player Format Data'!$A:$A,0))="2TM",INDEX('Player Format Data'!D:D,MATCH($B111,'Player Format Data'!$A:$A,0)+2),INDEX('Player Format Data'!D:D,MATCH($B111,'Player Format Data'!$A:$A,0))))</f>
        <v/>
      </c>
      <c r="F111" s="77" t="str">
        <f t="shared" si="55"/>
        <v/>
      </c>
      <c r="G111" s="79">
        <f t="shared" si="56"/>
        <v>0</v>
      </c>
      <c r="H111" s="80">
        <f t="shared" si="57"/>
        <v>0</v>
      </c>
      <c r="I111" s="63">
        <f t="shared" si="58"/>
        <v>0</v>
      </c>
      <c r="J111" s="31"/>
      <c r="K111" s="86">
        <v>10.0</v>
      </c>
      <c r="L111" s="21"/>
      <c r="M111" s="110" t="str">
        <f t="array" ref="M111">IF(L111="","", INDEX('Player Format Data'!B:B,MATCH($L111,'Player Format Data'!$A:$A,0)))</f>
        <v/>
      </c>
      <c r="N111" s="82" t="str">
        <f t="array" ref="N111">IF(M111="","", INDEX('Player Format Data'!C:C,MATCH($L111,'Player Format Data'!$A:$A,0)))</f>
        <v/>
      </c>
      <c r="O111" s="83" t="str">
        <f t="array" ref="O111">IF(M111="","", IF(INDEX('Player Format Data'!D:D,MATCH($L111,'Player Format Data'!$A:$A,0))="2TM",INDEX('Player Format Data'!D:D,MATCH($L111,'Player Format Data'!$A:$A,0)+2),INDEX('Player Format Data'!D:D,MATCH($L111,'Player Format Data'!$A:$A,0))))</f>
        <v/>
      </c>
      <c r="P111" s="77" t="str">
        <f t="shared" si="59"/>
        <v/>
      </c>
      <c r="Q111" s="79">
        <f t="shared" si="60"/>
        <v>0</v>
      </c>
      <c r="R111" s="80">
        <f t="shared" si="61"/>
        <v>0</v>
      </c>
      <c r="S111" s="63">
        <f t="shared" si="62"/>
        <v>0</v>
      </c>
      <c r="T111" s="31"/>
    </row>
    <row r="112">
      <c r="A112" s="86">
        <v>11.0</v>
      </c>
      <c r="C112" s="77" t="str">
        <f t="array" ref="C112">IF(B112="","", INDEX('Player Format Data'!B:B,MATCH($B112,'Player Format Data'!$A:$A,0)))</f>
        <v/>
      </c>
      <c r="D112" s="78" t="str">
        <f t="array" ref="D112">IF(C112="","", INDEX('Player Format Data'!C:C,MATCH($B112,'Player Format Data'!$A:$A,0)))</f>
        <v/>
      </c>
      <c r="E112" s="77" t="str">
        <f t="array" ref="E112">IF(D112="","", IF(INDEX('Player Format Data'!D:D,MATCH($B112,'Player Format Data'!$A:$A,0))="2TM",INDEX('Player Format Data'!D:D,MATCH($B112,'Player Format Data'!$A:$A,0)+2),INDEX('Player Format Data'!D:D,MATCH($B112,'Player Format Data'!$A:$A,0))))</f>
        <v/>
      </c>
      <c r="F112" s="77" t="str">
        <f t="shared" si="55"/>
        <v/>
      </c>
      <c r="G112" s="79">
        <f t="shared" si="56"/>
        <v>0</v>
      </c>
      <c r="H112" s="80">
        <f t="shared" si="57"/>
        <v>0</v>
      </c>
      <c r="I112" s="63">
        <f t="shared" si="58"/>
        <v>0</v>
      </c>
      <c r="J112" s="31"/>
      <c r="K112" s="86">
        <v>11.0</v>
      </c>
      <c r="L112" s="21"/>
      <c r="M112" s="110" t="str">
        <f t="array" ref="M112">IF(L112="","", INDEX('Player Format Data'!B:B,MATCH($L112,'Player Format Data'!$A:$A,0)))</f>
        <v/>
      </c>
      <c r="N112" s="82" t="str">
        <f t="array" ref="N112">IF(M112="","", INDEX('Player Format Data'!C:C,MATCH($L112,'Player Format Data'!$A:$A,0)))</f>
        <v/>
      </c>
      <c r="O112" s="83" t="str">
        <f t="array" ref="O112">IF(M112="","", IF(INDEX('Player Format Data'!D:D,MATCH($L112,'Player Format Data'!$A:$A,0))="2TM",INDEX('Player Format Data'!D:D,MATCH($L112,'Player Format Data'!$A:$A,0)+2),INDEX('Player Format Data'!D:D,MATCH($L112,'Player Format Data'!$A:$A,0))))</f>
        <v/>
      </c>
      <c r="P112" s="77" t="str">
        <f t="shared" si="59"/>
        <v/>
      </c>
      <c r="Q112" s="79">
        <f t="shared" si="60"/>
        <v>0</v>
      </c>
      <c r="R112" s="80">
        <f t="shared" si="61"/>
        <v>0</v>
      </c>
      <c r="S112" s="63">
        <f t="shared" si="62"/>
        <v>0</v>
      </c>
      <c r="T112" s="31"/>
    </row>
    <row r="113">
      <c r="A113" s="86" t="s">
        <v>1309</v>
      </c>
      <c r="B113" s="76"/>
      <c r="C113" s="77" t="str">
        <f t="array" ref="C113">IF(B113="","", INDEX('Player Format Data'!B:B,MATCH($B113,'Player Format Data'!$A:$A,0)))</f>
        <v/>
      </c>
      <c r="D113" s="78" t="str">
        <f t="array" ref="D113">IF(C113="","", INDEX('Player Format Data'!C:C,MATCH($B113,'Player Format Data'!$A:$A,0)))</f>
        <v/>
      </c>
      <c r="E113" s="77" t="str">
        <f t="array" ref="E113">IF(D113="","", IF(INDEX('Player Format Data'!D:D,MATCH($B113,'Player Format Data'!$A:$A,0))="2TM",INDEX('Player Format Data'!D:D,MATCH($B113,'Player Format Data'!$A:$A,0)+2),INDEX('Player Format Data'!D:D,MATCH($B113,'Player Format Data'!$A:$A,0))))</f>
        <v/>
      </c>
      <c r="F113" s="77" t="str">
        <f t="shared" si="55"/>
        <v/>
      </c>
      <c r="G113" s="79">
        <f t="shared" si="56"/>
        <v>0</v>
      </c>
      <c r="H113" s="80">
        <f t="shared" si="57"/>
        <v>0</v>
      </c>
      <c r="I113" s="63">
        <f t="shared" si="58"/>
        <v>0</v>
      </c>
      <c r="J113" s="31"/>
      <c r="K113" s="86" t="s">
        <v>1309</v>
      </c>
      <c r="L113" s="21"/>
      <c r="M113" s="110" t="str">
        <f t="array" ref="M113">IF(L113="","", INDEX('Player Format Data'!B:B,MATCH($L113,'Player Format Data'!$A:$A,0)))</f>
        <v/>
      </c>
      <c r="N113" s="82" t="str">
        <f t="array" ref="N113">IF(M113="","", INDEX('Player Format Data'!C:C,MATCH($L113,'Player Format Data'!$A:$A,0)))</f>
        <v/>
      </c>
      <c r="O113" s="83" t="str">
        <f t="array" ref="O113">IF(M113="","", IF(INDEX('Player Format Data'!D:D,MATCH($L113,'Player Format Data'!$A:$A,0))="2TM",INDEX('Player Format Data'!D:D,MATCH($L113,'Player Format Data'!$A:$A,0)+2),INDEX('Player Format Data'!D:D,MATCH($L113,'Player Format Data'!$A:$A,0))))</f>
        <v/>
      </c>
      <c r="P113" s="77" t="str">
        <f t="shared" si="59"/>
        <v/>
      </c>
      <c r="Q113" s="79">
        <f t="shared" si="60"/>
        <v>0</v>
      </c>
      <c r="R113" s="80">
        <f t="shared" si="61"/>
        <v>0</v>
      </c>
      <c r="S113" s="63">
        <f t="shared" si="62"/>
        <v>0</v>
      </c>
      <c r="T113" s="31"/>
    </row>
    <row r="114">
      <c r="A114" s="86" t="s">
        <v>1310</v>
      </c>
      <c r="B114" s="76"/>
      <c r="C114" s="77" t="str">
        <f t="array" ref="C114">IF(B114="","", INDEX('Player Format Data'!B:B,MATCH($B114,'Player Format Data'!$A:$A,0)))</f>
        <v/>
      </c>
      <c r="D114" s="78" t="str">
        <f t="array" ref="D114">IF(C114="","", INDEX('Player Format Data'!C:C,MATCH($B114,'Player Format Data'!$A:$A,0)))</f>
        <v/>
      </c>
      <c r="E114" s="77" t="str">
        <f t="array" ref="E114">IF(D114="","", IF(INDEX('Player Format Data'!D:D,MATCH($B114,'Player Format Data'!$A:$A,0))="2TM",INDEX('Player Format Data'!D:D,MATCH($B114,'Player Format Data'!$A:$A,0)+2),INDEX('Player Format Data'!D:D,MATCH($B114,'Player Format Data'!$A:$A,0))))</f>
        <v/>
      </c>
      <c r="F114" s="77" t="str">
        <f t="shared" si="55"/>
        <v/>
      </c>
      <c r="G114" s="79">
        <f t="shared" si="56"/>
        <v>0</v>
      </c>
      <c r="H114" s="80">
        <f t="shared" si="57"/>
        <v>0</v>
      </c>
      <c r="I114" s="63">
        <f t="shared" si="58"/>
        <v>0</v>
      </c>
      <c r="J114" s="31"/>
      <c r="K114" s="86" t="s">
        <v>1310</v>
      </c>
      <c r="L114" s="21"/>
      <c r="M114" s="110" t="str">
        <f t="array" ref="M114">IF(L114="","", INDEX('Player Format Data'!B:B,MATCH($L114,'Player Format Data'!$A:$A,0)))</f>
        <v/>
      </c>
      <c r="N114" s="82" t="str">
        <f t="array" ref="N114">IF(M114="","", INDEX('Player Format Data'!C:C,MATCH($L114,'Player Format Data'!$A:$A,0)))</f>
        <v/>
      </c>
      <c r="O114" s="83" t="str">
        <f t="array" ref="O114">IF(M114="","", IF(INDEX('Player Format Data'!D:D,MATCH($L114,'Player Format Data'!$A:$A,0))="2TM",INDEX('Player Format Data'!D:D,MATCH($L114,'Player Format Data'!$A:$A,0)+2),INDEX('Player Format Data'!D:D,MATCH($L114,'Player Format Data'!$A:$A,0))))</f>
        <v/>
      </c>
      <c r="P114" s="77" t="str">
        <f t="shared" si="59"/>
        <v/>
      </c>
      <c r="Q114" s="79">
        <f t="shared" si="60"/>
        <v>0</v>
      </c>
      <c r="R114" s="80">
        <f t="shared" si="61"/>
        <v>0</v>
      </c>
      <c r="S114" s="63">
        <f t="shared" si="62"/>
        <v>0</v>
      </c>
      <c r="T114" s="31"/>
    </row>
    <row r="115">
      <c r="A115" s="87" t="s">
        <v>1310</v>
      </c>
      <c r="B115" s="21"/>
      <c r="C115" s="77" t="str">
        <f t="array" ref="C115">IF(B115="","", INDEX('Player Format Data'!B:B,MATCH($B115,'Player Format Data'!$A:$A,0)))</f>
        <v/>
      </c>
      <c r="D115" s="78" t="str">
        <f t="array" ref="D115">IF(C115="","", INDEX('Player Format Data'!C:C,MATCH($B115,'Player Format Data'!$A:$A,0)))</f>
        <v/>
      </c>
      <c r="E115" s="77" t="str">
        <f t="array" ref="E115">IF(D115="","", IF(INDEX('Player Format Data'!D:D,MATCH($B115,'Player Format Data'!$A:$A,0))="2TM",INDEX('Player Format Data'!D:D,MATCH($B115,'Player Format Data'!$A:$A,0)+2),INDEX('Player Format Data'!D:D,MATCH($B115,'Player Format Data'!$A:$A,0))))</f>
        <v/>
      </c>
      <c r="F115" s="77" t="str">
        <f t="shared" si="55"/>
        <v/>
      </c>
      <c r="G115" s="79">
        <f t="shared" si="56"/>
        <v>0</v>
      </c>
      <c r="H115" s="80">
        <f t="shared" si="57"/>
        <v>0</v>
      </c>
      <c r="I115" s="63">
        <f t="shared" si="58"/>
        <v>0</v>
      </c>
      <c r="J115" s="31"/>
      <c r="K115" s="87" t="s">
        <v>1310</v>
      </c>
      <c r="L115" s="89"/>
      <c r="M115" s="110" t="str">
        <f t="array" ref="M115">IF(L115="","", INDEX('Player Format Data'!B:B,MATCH($L115,'Player Format Data'!$A:$A,0)))</f>
        <v/>
      </c>
      <c r="N115" s="82" t="str">
        <f t="array" ref="N115">IF(M115="","", INDEX('Player Format Data'!C:C,MATCH($L115,'Player Format Data'!$A:$A,0)))</f>
        <v/>
      </c>
      <c r="O115" s="83" t="str">
        <f t="array" ref="O115">IF(M115="","", IF(INDEX('Player Format Data'!D:D,MATCH($L115,'Player Format Data'!$A:$A,0))="2TM",INDEX('Player Format Data'!D:D,MATCH($L115,'Player Format Data'!$A:$A,0)+2),INDEX('Player Format Data'!D:D,MATCH($L115,'Player Format Data'!$A:$A,0))))</f>
        <v/>
      </c>
      <c r="P115" s="77" t="str">
        <f t="shared" si="59"/>
        <v/>
      </c>
      <c r="Q115" s="79">
        <f t="shared" si="60"/>
        <v>0</v>
      </c>
      <c r="R115" s="80">
        <f t="shared" si="61"/>
        <v>0</v>
      </c>
      <c r="S115" s="63">
        <f t="shared" si="62"/>
        <v>0</v>
      </c>
      <c r="T115" s="31"/>
    </row>
    <row r="116">
      <c r="A116" s="17"/>
      <c r="B116" s="76"/>
      <c r="C116" s="77"/>
      <c r="D116" s="78"/>
      <c r="E116" s="77" t="str">
        <f t="array" ref="E116">IF(D116="","", IF(INDEX('Player Format Data'!D:D,MATCH($B116,'Player Format Data'!$A:$A,0))="2TM",INDEX('Player Format Data'!D:D,MATCH($B116,'Player Format Data'!$A:$A,0)+2),INDEX('Player Format Data'!D:D,MATCH($B116,'Player Format Data'!$A:$A,0))))</f>
        <v/>
      </c>
      <c r="F116" s="77"/>
      <c r="G116" s="79"/>
      <c r="H116" s="80"/>
      <c r="I116" s="63"/>
      <c r="J116" s="31"/>
      <c r="K116" s="17"/>
      <c r="L116" s="21"/>
      <c r="M116" s="77"/>
      <c r="N116" s="78"/>
      <c r="O116" s="83" t="str">
        <f t="array" ref="O116">IF(M116="","", IF(INDEX('Player Format Data'!D:D,MATCH($L116,'Player Format Data'!$A:$A,0))="2TM",INDEX('Player Format Data'!D:D,MATCH($L116,'Player Format Data'!$A:$A,0)+2),INDEX('Player Format Data'!D:D,MATCH($L116,'Player Format Data'!$A:$A,0))))</f>
        <v/>
      </c>
      <c r="P116" s="77"/>
      <c r="Q116" s="79"/>
      <c r="R116" s="80"/>
      <c r="S116" s="63"/>
      <c r="T116" s="31"/>
    </row>
    <row r="117">
      <c r="A117" s="66" t="s">
        <v>1343</v>
      </c>
      <c r="C117" s="67" t="s">
        <v>1</v>
      </c>
      <c r="D117" s="68" t="s">
        <v>2</v>
      </c>
      <c r="E117" s="69" t="s">
        <v>3</v>
      </c>
      <c r="F117" s="69" t="s">
        <v>16</v>
      </c>
      <c r="G117" s="70" t="s">
        <v>17</v>
      </c>
      <c r="H117" s="69" t="s">
        <v>18</v>
      </c>
      <c r="I117" s="71" t="s">
        <v>1307</v>
      </c>
      <c r="J117" s="85"/>
      <c r="K117" s="66" t="s">
        <v>1344</v>
      </c>
      <c r="M117" s="67" t="s">
        <v>1</v>
      </c>
      <c r="N117" s="68" t="s">
        <v>2</v>
      </c>
      <c r="O117" s="72" t="s">
        <v>3</v>
      </c>
      <c r="P117" s="69" t="s">
        <v>16</v>
      </c>
      <c r="Q117" s="73" t="s">
        <v>17</v>
      </c>
      <c r="R117" s="69" t="s">
        <v>18</v>
      </c>
      <c r="S117" s="74" t="s">
        <v>1307</v>
      </c>
      <c r="T117" s="31"/>
    </row>
    <row r="118">
      <c r="A118" s="75">
        <v>1.0</v>
      </c>
      <c r="B118" s="21"/>
      <c r="C118" s="77" t="str">
        <f t="array" ref="C118">IF(B118="","", INDEX('Player Format Data'!B:B,MATCH($B118,'Player Format Data'!$A:$A,0)))</f>
        <v/>
      </c>
      <c r="D118" s="78" t="str">
        <f t="array" ref="D118">IF(C118="","", INDEX('Player Format Data'!C:C,MATCH($B118,'Player Format Data'!$A:$A,0)))</f>
        <v/>
      </c>
      <c r="E118" s="77" t="str">
        <f t="array" ref="E118">IF(D118="","", IF(INDEX('Player Format Data'!D:D,MATCH($B118,'Player Format Data'!$A:$A,0))="2TM",INDEX('Player Format Data'!D:D,MATCH($B118,'Player Format Data'!$A:$A,0)+2),INDEX('Player Format Data'!D:D,MATCH($B118,'Player Format Data'!$A:$A,0))))</f>
        <v/>
      </c>
      <c r="F118" s="77" t="str">
        <f t="shared" ref="F118:F131" si="63">IFERROR(IF(E118="","", INDEX(INDIRECT(CONCATENATE($T$2,"!Q:Q")),MATCH($B118,INDIRECT(CONCATENATE($T$2,"!$A:$A")),0))),0)</f>
        <v/>
      </c>
      <c r="G118" s="79">
        <f t="shared" ref="G118:G131" si="64">IFERROR(IF(F118="",0, INDEX(INDIRECT(CONCATENATE($T$2,"!R:R")),MATCH($B118,INDIRECT(CONCATENATE($T$2,"!$A:$A")),0))),0)</f>
        <v>0</v>
      </c>
      <c r="H118" s="80">
        <f t="shared" ref="H118:H131" si="65">IFERROR(IF(G118="","", INDEX(INDIRECT(CONCATENATE($T$2,"!S:S")),MATCH($B118,INDIRECT(CONCATENATE($T$2,"!$A:$A")),0))),0)</f>
        <v>0</v>
      </c>
      <c r="I118" s="63">
        <f t="shared" ref="I118:I131" si="66">IFERROR(IF(H118="","", INDEX(INDIRECT(CONCATENATE($T$2,"!W:W")),MATCH($B118,INDIRECT(CONCATENATE($T$2,"!$A:$A")),0))),0)</f>
        <v>0</v>
      </c>
      <c r="J118" s="31"/>
      <c r="K118" s="75">
        <v>1.0</v>
      </c>
      <c r="L118" s="76"/>
      <c r="M118" s="110" t="str">
        <f t="array" ref="M118">IF(L118="","", INDEX('Player Format Data'!B:B,MATCH($L118,'Player Format Data'!$A:$A,0)))</f>
        <v/>
      </c>
      <c r="N118" s="82" t="str">
        <f t="array" ref="N118">IF(M118="","", INDEX('Player Format Data'!C:C,MATCH($L118,'Player Format Data'!$A:$A,0)))</f>
        <v/>
      </c>
      <c r="O118" s="83" t="str">
        <f t="array" ref="O118">IF(M118="","", IF(INDEX('Player Format Data'!D:D,MATCH($L118,'Player Format Data'!$A:$A,0))="2TM",INDEX('Player Format Data'!D:D,MATCH($L118,'Player Format Data'!$A:$A,0)+2),INDEX('Player Format Data'!D:D,MATCH($L118,'Player Format Data'!$A:$A,0))))</f>
        <v/>
      </c>
      <c r="P118" s="77" t="str">
        <f t="shared" ref="P118:P131" si="67">IFERROR(IF(O118="","", INDEX(INDIRECT(CONCATENATE($T$2,"!Q:Q")),MATCH($L118,INDIRECT(CONCATENATE($T$2,"!$A:$A")),0))),0)</f>
        <v/>
      </c>
      <c r="Q118" s="79">
        <f t="shared" ref="Q118:Q131" si="68">IFERROR(IF(P118="",0, INDEX(INDIRECT(CONCATENATE($T$2,"!R:R")),MATCH($L118,INDIRECT(CONCATENATE($T$2,"!$A:$A")),0))),0)</f>
        <v>0</v>
      </c>
      <c r="R118" s="80">
        <f t="shared" ref="R118:R131" si="69">IFERROR(IF(Q118="","", INDEX(INDIRECT(CONCATENATE($T$2,"!S:S")),MATCH($L118,INDIRECT(CONCATENATE($T$2,"!$A:$A")),0))),0)</f>
        <v>0</v>
      </c>
      <c r="S118" s="63">
        <f t="shared" ref="S118:S131" si="70">IFERROR(IF(R118="","", INDEX(INDIRECT(CONCATENATE($T$2,"!W:W")),MATCH($L118,INDIRECT(CONCATENATE($T$2,"!$A:$A")),0))),0)</f>
        <v>0</v>
      </c>
      <c r="T118" s="31"/>
    </row>
    <row r="119">
      <c r="A119" s="75">
        <v>2.0</v>
      </c>
      <c r="C119" s="77" t="str">
        <f t="array" ref="C119">IF(B119="","", INDEX('Player Format Data'!B:B,MATCH($B119,'Player Format Data'!$A:$A,0)))</f>
        <v/>
      </c>
      <c r="D119" s="78" t="str">
        <f t="array" ref="D119">IF(C119="","", INDEX('Player Format Data'!C:C,MATCH($B119,'Player Format Data'!$A:$A,0)))</f>
        <v/>
      </c>
      <c r="E119" s="77" t="str">
        <f t="array" ref="E119">IF(D119="","", IF(INDEX('Player Format Data'!D:D,MATCH($B119,'Player Format Data'!$A:$A,0))="2TM",INDEX('Player Format Data'!D:D,MATCH($B119,'Player Format Data'!$A:$A,0)+2),INDEX('Player Format Data'!D:D,MATCH($B119,'Player Format Data'!$A:$A,0))))</f>
        <v/>
      </c>
      <c r="F119" s="77" t="str">
        <f t="shared" si="63"/>
        <v/>
      </c>
      <c r="G119" s="79">
        <f t="shared" si="64"/>
        <v>0</v>
      </c>
      <c r="H119" s="80">
        <f t="shared" si="65"/>
        <v>0</v>
      </c>
      <c r="I119" s="63">
        <f t="shared" si="66"/>
        <v>0</v>
      </c>
      <c r="J119" s="31"/>
      <c r="K119" s="75">
        <v>2.0</v>
      </c>
      <c r="L119" s="21"/>
      <c r="M119" s="110" t="str">
        <f t="array" ref="M119">IF(L119="","", INDEX('Player Format Data'!B:B,MATCH($L119,'Player Format Data'!$A:$A,0)))</f>
        <v/>
      </c>
      <c r="N119" s="82" t="str">
        <f t="array" ref="N119">IF(M119="","", INDEX('Player Format Data'!C:C,MATCH($L119,'Player Format Data'!$A:$A,0)))</f>
        <v/>
      </c>
      <c r="O119" s="83" t="str">
        <f t="array" ref="O119">IF(M119="","", IF(INDEX('Player Format Data'!D:D,MATCH($L119,'Player Format Data'!$A:$A,0))="2TM",INDEX('Player Format Data'!D:D,MATCH($L119,'Player Format Data'!$A:$A,0)+2),INDEX('Player Format Data'!D:D,MATCH($L119,'Player Format Data'!$A:$A,0))))</f>
        <v/>
      </c>
      <c r="P119" s="77" t="str">
        <f t="shared" si="67"/>
        <v/>
      </c>
      <c r="Q119" s="79">
        <f t="shared" si="68"/>
        <v>0</v>
      </c>
      <c r="R119" s="80">
        <f t="shared" si="69"/>
        <v>0</v>
      </c>
      <c r="S119" s="63">
        <f t="shared" si="70"/>
        <v>0</v>
      </c>
      <c r="T119" s="31"/>
    </row>
    <row r="120">
      <c r="A120" s="75">
        <v>3.0</v>
      </c>
      <c r="B120" s="21"/>
      <c r="C120" s="77" t="str">
        <f t="array" ref="C120">IF(B120="","", INDEX('Player Format Data'!B:B,MATCH($B120,'Player Format Data'!$A:$A,0)))</f>
        <v/>
      </c>
      <c r="D120" s="78" t="str">
        <f t="array" ref="D120">IF(C120="","", INDEX('Player Format Data'!C:C,MATCH($B120,'Player Format Data'!$A:$A,0)))</f>
        <v/>
      </c>
      <c r="E120" s="77" t="str">
        <f t="array" ref="E120">IF(D120="","", IF(INDEX('Player Format Data'!D:D,MATCH($B120,'Player Format Data'!$A:$A,0))="2TM",INDEX('Player Format Data'!D:D,MATCH($B120,'Player Format Data'!$A:$A,0)+2),INDEX('Player Format Data'!D:D,MATCH($B120,'Player Format Data'!$A:$A,0))))</f>
        <v/>
      </c>
      <c r="F120" s="77" t="str">
        <f t="shared" si="63"/>
        <v/>
      </c>
      <c r="G120" s="79">
        <f t="shared" si="64"/>
        <v>0</v>
      </c>
      <c r="H120" s="80">
        <f t="shared" si="65"/>
        <v>0</v>
      </c>
      <c r="I120" s="63">
        <f t="shared" si="66"/>
        <v>0</v>
      </c>
      <c r="J120" s="31"/>
      <c r="K120" s="75">
        <v>3.0</v>
      </c>
      <c r="L120" s="21"/>
      <c r="M120" s="110" t="str">
        <f t="array" ref="M120">IF(L120="","", INDEX('Player Format Data'!B:B,MATCH($L120,'Player Format Data'!$A:$A,0)))</f>
        <v/>
      </c>
      <c r="N120" s="82" t="str">
        <f t="array" ref="N120">IF(M120="","", INDEX('Player Format Data'!C:C,MATCH($L120,'Player Format Data'!$A:$A,0)))</f>
        <v/>
      </c>
      <c r="O120" s="83" t="str">
        <f t="array" ref="O120">IF(M120="","", IF(INDEX('Player Format Data'!D:D,MATCH($L120,'Player Format Data'!$A:$A,0))="2TM",INDEX('Player Format Data'!D:D,MATCH($L120,'Player Format Data'!$A:$A,0)+2),INDEX('Player Format Data'!D:D,MATCH($L120,'Player Format Data'!$A:$A,0))))</f>
        <v/>
      </c>
      <c r="P120" s="77" t="str">
        <f t="shared" si="67"/>
        <v/>
      </c>
      <c r="Q120" s="79">
        <f t="shared" si="68"/>
        <v>0</v>
      </c>
      <c r="R120" s="80">
        <f t="shared" si="69"/>
        <v>0</v>
      </c>
      <c r="S120" s="63">
        <f t="shared" si="70"/>
        <v>0</v>
      </c>
      <c r="T120" s="31"/>
    </row>
    <row r="121">
      <c r="A121" s="75">
        <v>4.0</v>
      </c>
      <c r="C121" s="77" t="str">
        <f t="array" ref="C121">IF(B121="","", INDEX('Player Format Data'!B:B,MATCH($B121,'Player Format Data'!$A:$A,0)))</f>
        <v/>
      </c>
      <c r="D121" s="78" t="str">
        <f t="array" ref="D121">IF(C121="","", INDEX('Player Format Data'!C:C,MATCH($B121,'Player Format Data'!$A:$A,0)))</f>
        <v/>
      </c>
      <c r="E121" s="77" t="str">
        <f t="array" ref="E121">IF(D121="","", IF(INDEX('Player Format Data'!D:D,MATCH($B121,'Player Format Data'!$A:$A,0))="2TM",INDEX('Player Format Data'!D:D,MATCH($B121,'Player Format Data'!$A:$A,0)+2),INDEX('Player Format Data'!D:D,MATCH($B121,'Player Format Data'!$A:$A,0))))</f>
        <v/>
      </c>
      <c r="F121" s="77" t="str">
        <f t="shared" si="63"/>
        <v/>
      </c>
      <c r="G121" s="79">
        <f t="shared" si="64"/>
        <v>0</v>
      </c>
      <c r="H121" s="80">
        <f t="shared" si="65"/>
        <v>0</v>
      </c>
      <c r="I121" s="63">
        <f t="shared" si="66"/>
        <v>0</v>
      </c>
      <c r="J121" s="31"/>
      <c r="K121" s="75">
        <v>4.0</v>
      </c>
      <c r="L121" s="21"/>
      <c r="M121" s="110" t="str">
        <f t="array" ref="M121">IF(L121="","", INDEX('Player Format Data'!B:B,MATCH($L121,'Player Format Data'!$A:$A,0)))</f>
        <v/>
      </c>
      <c r="N121" s="82" t="str">
        <f t="array" ref="N121">IF(M121="","", INDEX('Player Format Data'!C:C,MATCH($L121,'Player Format Data'!$A:$A,0)))</f>
        <v/>
      </c>
      <c r="O121" s="83" t="str">
        <f t="array" ref="O121">IF(M121="","", IF(INDEX('Player Format Data'!D:D,MATCH($L121,'Player Format Data'!$A:$A,0))="2TM",INDEX('Player Format Data'!D:D,MATCH($L121,'Player Format Data'!$A:$A,0)+2),INDEX('Player Format Data'!D:D,MATCH($L121,'Player Format Data'!$A:$A,0))))</f>
        <v/>
      </c>
      <c r="P121" s="77" t="str">
        <f t="shared" si="67"/>
        <v/>
      </c>
      <c r="Q121" s="79">
        <f t="shared" si="68"/>
        <v>0</v>
      </c>
      <c r="R121" s="80">
        <f t="shared" si="69"/>
        <v>0</v>
      </c>
      <c r="S121" s="63">
        <f t="shared" si="70"/>
        <v>0</v>
      </c>
      <c r="T121" s="31"/>
    </row>
    <row r="122">
      <c r="A122" s="75">
        <v>5.0</v>
      </c>
      <c r="B122" s="21"/>
      <c r="C122" s="77" t="str">
        <f t="array" ref="C122">IF(B122="","", INDEX('Player Format Data'!B:B,MATCH($B122,'Player Format Data'!$A:$A,0)))</f>
        <v/>
      </c>
      <c r="D122" s="78" t="str">
        <f t="array" ref="D122">IF(C122="","", INDEX('Player Format Data'!C:C,MATCH($B122,'Player Format Data'!$A:$A,0)))</f>
        <v/>
      </c>
      <c r="E122" s="77" t="str">
        <f t="array" ref="E122">IF(D122="","", IF(INDEX('Player Format Data'!D:D,MATCH($B122,'Player Format Data'!$A:$A,0))="2TM",INDEX('Player Format Data'!D:D,MATCH($B122,'Player Format Data'!$A:$A,0)+2),INDEX('Player Format Data'!D:D,MATCH($B122,'Player Format Data'!$A:$A,0))))</f>
        <v/>
      </c>
      <c r="F122" s="77" t="str">
        <f t="shared" si="63"/>
        <v/>
      </c>
      <c r="G122" s="79">
        <f t="shared" si="64"/>
        <v>0</v>
      </c>
      <c r="H122" s="80">
        <f t="shared" si="65"/>
        <v>0</v>
      </c>
      <c r="I122" s="63">
        <f t="shared" si="66"/>
        <v>0</v>
      </c>
      <c r="J122" s="31"/>
      <c r="K122" s="75">
        <v>5.0</v>
      </c>
      <c r="L122" s="21"/>
      <c r="M122" s="110" t="str">
        <f t="array" ref="M122">IF(L122="","", INDEX('Player Format Data'!B:B,MATCH($L122,'Player Format Data'!$A:$A,0)))</f>
        <v/>
      </c>
      <c r="N122" s="82" t="str">
        <f t="array" ref="N122">IF(M122="","", INDEX('Player Format Data'!C:C,MATCH($L122,'Player Format Data'!$A:$A,0)))</f>
        <v/>
      </c>
      <c r="O122" s="83" t="str">
        <f t="array" ref="O122">IF(M122="","", IF(INDEX('Player Format Data'!D:D,MATCH($L122,'Player Format Data'!$A:$A,0))="2TM",INDEX('Player Format Data'!D:D,MATCH($L122,'Player Format Data'!$A:$A,0)+2),INDEX('Player Format Data'!D:D,MATCH($L122,'Player Format Data'!$A:$A,0))))</f>
        <v/>
      </c>
      <c r="P122" s="77" t="str">
        <f t="shared" si="67"/>
        <v/>
      </c>
      <c r="Q122" s="79">
        <f t="shared" si="68"/>
        <v>0</v>
      </c>
      <c r="R122" s="80">
        <f t="shared" si="69"/>
        <v>0</v>
      </c>
      <c r="S122" s="63">
        <f t="shared" si="70"/>
        <v>0</v>
      </c>
      <c r="T122" s="31"/>
    </row>
    <row r="123">
      <c r="A123" s="75">
        <v>6.0</v>
      </c>
      <c r="C123" s="77" t="str">
        <f t="array" ref="C123">IF(B123="","", INDEX('Player Format Data'!B:B,MATCH($B123,'Player Format Data'!$A:$A,0)))</f>
        <v/>
      </c>
      <c r="D123" s="78" t="str">
        <f t="array" ref="D123">IF(C123="","", INDEX('Player Format Data'!C:C,MATCH($B123,'Player Format Data'!$A:$A,0)))</f>
        <v/>
      </c>
      <c r="E123" s="77" t="str">
        <f t="array" ref="E123">IF(D123="","", IF(INDEX('Player Format Data'!D:D,MATCH($B123,'Player Format Data'!$A:$A,0))="2TM",INDEX('Player Format Data'!D:D,MATCH($B123,'Player Format Data'!$A:$A,0)+2),INDEX('Player Format Data'!D:D,MATCH($B123,'Player Format Data'!$A:$A,0))))</f>
        <v/>
      </c>
      <c r="F123" s="77" t="str">
        <f t="shared" si="63"/>
        <v/>
      </c>
      <c r="G123" s="79">
        <f t="shared" si="64"/>
        <v>0</v>
      </c>
      <c r="H123" s="80">
        <f t="shared" si="65"/>
        <v>0</v>
      </c>
      <c r="I123" s="63">
        <f t="shared" si="66"/>
        <v>0</v>
      </c>
      <c r="J123" s="31"/>
      <c r="K123" s="75">
        <v>6.0</v>
      </c>
      <c r="L123" s="76"/>
      <c r="M123" s="110" t="str">
        <f t="array" ref="M123">IF(L123="","", INDEX('Player Format Data'!B:B,MATCH($L123,'Player Format Data'!$A:$A,0)))</f>
        <v/>
      </c>
      <c r="N123" s="82" t="str">
        <f t="array" ref="N123">IF(M123="","", INDEX('Player Format Data'!C:C,MATCH($L123,'Player Format Data'!$A:$A,0)))</f>
        <v/>
      </c>
      <c r="O123" s="83" t="str">
        <f t="array" ref="O123">IF(M123="","", IF(INDEX('Player Format Data'!D:D,MATCH($L123,'Player Format Data'!$A:$A,0))="2TM",INDEX('Player Format Data'!D:D,MATCH($L123,'Player Format Data'!$A:$A,0)+2),INDEX('Player Format Data'!D:D,MATCH($L123,'Player Format Data'!$A:$A,0))))</f>
        <v/>
      </c>
      <c r="P123" s="77" t="str">
        <f t="shared" si="67"/>
        <v/>
      </c>
      <c r="Q123" s="79">
        <f t="shared" si="68"/>
        <v>0</v>
      </c>
      <c r="R123" s="80">
        <f t="shared" si="69"/>
        <v>0</v>
      </c>
      <c r="S123" s="63">
        <f t="shared" si="70"/>
        <v>0</v>
      </c>
      <c r="T123" s="31"/>
    </row>
    <row r="124">
      <c r="A124" s="75">
        <v>7.0</v>
      </c>
      <c r="B124" s="21"/>
      <c r="C124" s="77" t="str">
        <f t="array" ref="C124">IF(B124="","", INDEX('Player Format Data'!B:B,MATCH($B124,'Player Format Data'!$A:$A,0)))</f>
        <v/>
      </c>
      <c r="D124" s="78" t="str">
        <f t="array" ref="D124">IF(C124="","", INDEX('Player Format Data'!C:C,MATCH($B124,'Player Format Data'!$A:$A,0)))</f>
        <v/>
      </c>
      <c r="E124" s="77" t="str">
        <f t="array" ref="E124">IF(D124="","", IF(INDEX('Player Format Data'!D:D,MATCH($B124,'Player Format Data'!$A:$A,0))="2TM",INDEX('Player Format Data'!D:D,MATCH($B124,'Player Format Data'!$A:$A,0)+2),INDEX('Player Format Data'!D:D,MATCH($B124,'Player Format Data'!$A:$A,0))))</f>
        <v/>
      </c>
      <c r="F124" s="77" t="str">
        <f t="shared" si="63"/>
        <v/>
      </c>
      <c r="G124" s="79">
        <f t="shared" si="64"/>
        <v>0</v>
      </c>
      <c r="H124" s="80">
        <f t="shared" si="65"/>
        <v>0</v>
      </c>
      <c r="I124" s="63">
        <f t="shared" si="66"/>
        <v>0</v>
      </c>
      <c r="J124" s="31"/>
      <c r="K124" s="75">
        <v>7.0</v>
      </c>
      <c r="L124" s="21"/>
      <c r="M124" s="110" t="str">
        <f t="array" ref="M124">IF(L124="","", INDEX('Player Format Data'!B:B,MATCH($L124,'Player Format Data'!$A:$A,0)))</f>
        <v/>
      </c>
      <c r="N124" s="82" t="str">
        <f t="array" ref="N124">IF(M124="","", INDEX('Player Format Data'!C:C,MATCH($L124,'Player Format Data'!$A:$A,0)))</f>
        <v/>
      </c>
      <c r="O124" s="83" t="str">
        <f t="array" ref="O124">IF(M124="","", IF(INDEX('Player Format Data'!D:D,MATCH($L124,'Player Format Data'!$A:$A,0))="2TM",INDEX('Player Format Data'!D:D,MATCH($L124,'Player Format Data'!$A:$A,0)+2),INDEX('Player Format Data'!D:D,MATCH($L124,'Player Format Data'!$A:$A,0))))</f>
        <v/>
      </c>
      <c r="P124" s="77" t="str">
        <f t="shared" si="67"/>
        <v/>
      </c>
      <c r="Q124" s="79">
        <f t="shared" si="68"/>
        <v>0</v>
      </c>
      <c r="R124" s="80">
        <f t="shared" si="69"/>
        <v>0</v>
      </c>
      <c r="S124" s="63">
        <f t="shared" si="70"/>
        <v>0</v>
      </c>
      <c r="T124" s="31"/>
    </row>
    <row r="125">
      <c r="A125" s="75">
        <v>8.0</v>
      </c>
      <c r="C125" s="77" t="str">
        <f t="array" ref="C125">IF(B125="","", INDEX('Player Format Data'!B:B,MATCH($B125,'Player Format Data'!$A:$A,0)))</f>
        <v/>
      </c>
      <c r="D125" s="78" t="str">
        <f t="array" ref="D125">IF(C125="","", INDEX('Player Format Data'!C:C,MATCH($B125,'Player Format Data'!$A:$A,0)))</f>
        <v/>
      </c>
      <c r="E125" s="77" t="str">
        <f t="array" ref="E125">IF(D125="","", IF(INDEX('Player Format Data'!D:D,MATCH($B125,'Player Format Data'!$A:$A,0))="2TM",INDEX('Player Format Data'!D:D,MATCH($B125,'Player Format Data'!$A:$A,0)+2),INDEX('Player Format Data'!D:D,MATCH($B125,'Player Format Data'!$A:$A,0))))</f>
        <v/>
      </c>
      <c r="F125" s="77" t="str">
        <f t="shared" si="63"/>
        <v/>
      </c>
      <c r="G125" s="79">
        <f t="shared" si="64"/>
        <v>0</v>
      </c>
      <c r="H125" s="80">
        <f t="shared" si="65"/>
        <v>0</v>
      </c>
      <c r="I125" s="63">
        <f t="shared" si="66"/>
        <v>0</v>
      </c>
      <c r="J125" s="31"/>
      <c r="K125" s="75">
        <v>8.0</v>
      </c>
      <c r="L125" s="21"/>
      <c r="M125" s="110" t="str">
        <f t="array" ref="M125">IF(L125="","", INDEX('Player Format Data'!B:B,MATCH($L125,'Player Format Data'!$A:$A,0)))</f>
        <v/>
      </c>
      <c r="N125" s="82" t="str">
        <f t="array" ref="N125">IF(M125="","", INDEX('Player Format Data'!C:C,MATCH($L125,'Player Format Data'!$A:$A,0)))</f>
        <v/>
      </c>
      <c r="O125" s="83" t="str">
        <f t="array" ref="O125">IF(M125="","", IF(INDEX('Player Format Data'!D:D,MATCH($L125,'Player Format Data'!$A:$A,0))="2TM",INDEX('Player Format Data'!D:D,MATCH($L125,'Player Format Data'!$A:$A,0)+2),INDEX('Player Format Data'!D:D,MATCH($L125,'Player Format Data'!$A:$A,0))))</f>
        <v/>
      </c>
      <c r="P125" s="77" t="str">
        <f t="shared" si="67"/>
        <v/>
      </c>
      <c r="Q125" s="79">
        <f t="shared" si="68"/>
        <v>0</v>
      </c>
      <c r="R125" s="80">
        <f t="shared" si="69"/>
        <v>0</v>
      </c>
      <c r="S125" s="63">
        <f t="shared" si="70"/>
        <v>0</v>
      </c>
      <c r="T125" s="31"/>
    </row>
    <row r="126">
      <c r="A126" s="86">
        <v>9.0</v>
      </c>
      <c r="B126" s="21"/>
      <c r="C126" s="77" t="str">
        <f t="array" ref="C126">IF(B126="","", INDEX('Player Format Data'!B:B,MATCH($B126,'Player Format Data'!$A:$A,0)))</f>
        <v/>
      </c>
      <c r="D126" s="78" t="str">
        <f t="array" ref="D126">IF(C126="","", INDEX('Player Format Data'!C:C,MATCH($B126,'Player Format Data'!$A:$A,0)))</f>
        <v/>
      </c>
      <c r="E126" s="77" t="str">
        <f t="array" ref="E126">IF(D126="","", IF(INDEX('Player Format Data'!D:D,MATCH($B126,'Player Format Data'!$A:$A,0))="2TM",INDEX('Player Format Data'!D:D,MATCH($B126,'Player Format Data'!$A:$A,0)+2),INDEX('Player Format Data'!D:D,MATCH($B126,'Player Format Data'!$A:$A,0))))</f>
        <v/>
      </c>
      <c r="F126" s="77" t="str">
        <f t="shared" si="63"/>
        <v/>
      </c>
      <c r="G126" s="79">
        <f t="shared" si="64"/>
        <v>0</v>
      </c>
      <c r="H126" s="80">
        <f t="shared" si="65"/>
        <v>0</v>
      </c>
      <c r="I126" s="63">
        <f t="shared" si="66"/>
        <v>0</v>
      </c>
      <c r="J126" s="31"/>
      <c r="K126" s="86">
        <v>9.0</v>
      </c>
      <c r="L126" s="76"/>
      <c r="M126" s="110" t="str">
        <f t="array" ref="M126">IF(L126="","", INDEX('Player Format Data'!B:B,MATCH($L126,'Player Format Data'!$A:$A,0)))</f>
        <v/>
      </c>
      <c r="N126" s="82" t="str">
        <f t="array" ref="N126">IF(M126="","", INDEX('Player Format Data'!C:C,MATCH($L126,'Player Format Data'!$A:$A,0)))</f>
        <v/>
      </c>
      <c r="O126" s="83" t="str">
        <f t="array" ref="O126">IF(M126="","", IF(INDEX('Player Format Data'!D:D,MATCH($L126,'Player Format Data'!$A:$A,0))="2TM",INDEX('Player Format Data'!D:D,MATCH($L126,'Player Format Data'!$A:$A,0)+2),INDEX('Player Format Data'!D:D,MATCH($L126,'Player Format Data'!$A:$A,0))))</f>
        <v/>
      </c>
      <c r="P126" s="77" t="str">
        <f t="shared" si="67"/>
        <v/>
      </c>
      <c r="Q126" s="79">
        <f t="shared" si="68"/>
        <v>0</v>
      </c>
      <c r="R126" s="80">
        <f t="shared" si="69"/>
        <v>0</v>
      </c>
      <c r="S126" s="63">
        <f t="shared" si="70"/>
        <v>0</v>
      </c>
      <c r="T126" s="31"/>
    </row>
    <row r="127">
      <c r="A127" s="86">
        <v>10.0</v>
      </c>
      <c r="C127" s="77" t="str">
        <f t="array" ref="C127">IF(B127="","", INDEX('Player Format Data'!B:B,MATCH($B127,'Player Format Data'!$A:$A,0)))</f>
        <v/>
      </c>
      <c r="D127" s="78" t="str">
        <f t="array" ref="D127">IF(C127="","", INDEX('Player Format Data'!C:C,MATCH($B127,'Player Format Data'!$A:$A,0)))</f>
        <v/>
      </c>
      <c r="E127" s="77" t="str">
        <f t="array" ref="E127">IF(D127="","", IF(INDEX('Player Format Data'!D:D,MATCH($B127,'Player Format Data'!$A:$A,0))="2TM",INDEX('Player Format Data'!D:D,MATCH($B127,'Player Format Data'!$A:$A,0)+2),INDEX('Player Format Data'!D:D,MATCH($B127,'Player Format Data'!$A:$A,0))))</f>
        <v/>
      </c>
      <c r="F127" s="77" t="str">
        <f t="shared" si="63"/>
        <v/>
      </c>
      <c r="G127" s="79">
        <f t="shared" si="64"/>
        <v>0</v>
      </c>
      <c r="H127" s="80">
        <f t="shared" si="65"/>
        <v>0</v>
      </c>
      <c r="I127" s="63">
        <f t="shared" si="66"/>
        <v>0</v>
      </c>
      <c r="J127" s="31"/>
      <c r="K127" s="86">
        <v>10.0</v>
      </c>
      <c r="L127" s="76"/>
      <c r="M127" s="110" t="str">
        <f t="array" ref="M127">IF(L127="","", INDEX('Player Format Data'!B:B,MATCH($L127,'Player Format Data'!$A:$A,0)))</f>
        <v/>
      </c>
      <c r="N127" s="82" t="str">
        <f t="array" ref="N127">IF(M127="","", INDEX('Player Format Data'!C:C,MATCH($L127,'Player Format Data'!$A:$A,0)))</f>
        <v/>
      </c>
      <c r="O127" s="83" t="str">
        <f t="array" ref="O127">IF(M127="","", IF(INDEX('Player Format Data'!D:D,MATCH($L127,'Player Format Data'!$A:$A,0))="2TM",INDEX('Player Format Data'!D:D,MATCH($L127,'Player Format Data'!$A:$A,0)+2),INDEX('Player Format Data'!D:D,MATCH($L127,'Player Format Data'!$A:$A,0))))</f>
        <v/>
      </c>
      <c r="P127" s="77" t="str">
        <f t="shared" si="67"/>
        <v/>
      </c>
      <c r="Q127" s="79">
        <f t="shared" si="68"/>
        <v>0</v>
      </c>
      <c r="R127" s="80">
        <f t="shared" si="69"/>
        <v>0</v>
      </c>
      <c r="S127" s="63">
        <f t="shared" si="70"/>
        <v>0</v>
      </c>
      <c r="T127" s="31"/>
    </row>
    <row r="128">
      <c r="A128" s="86">
        <v>11.0</v>
      </c>
      <c r="C128" s="77" t="str">
        <f t="array" ref="C128">IF(B128="","", INDEX('Player Format Data'!B:B,MATCH($B128,'Player Format Data'!$A:$A,0)))</f>
        <v/>
      </c>
      <c r="D128" s="78" t="str">
        <f t="array" ref="D128">IF(C128="","", INDEX('Player Format Data'!C:C,MATCH($B128,'Player Format Data'!$A:$A,0)))</f>
        <v/>
      </c>
      <c r="E128" s="77" t="str">
        <f t="array" ref="E128">IF(D128="","", IF(INDEX('Player Format Data'!D:D,MATCH($B128,'Player Format Data'!$A:$A,0))="2TM",INDEX('Player Format Data'!D:D,MATCH($B128,'Player Format Data'!$A:$A,0)+2),INDEX('Player Format Data'!D:D,MATCH($B128,'Player Format Data'!$A:$A,0))))</f>
        <v/>
      </c>
      <c r="F128" s="77" t="str">
        <f t="shared" si="63"/>
        <v/>
      </c>
      <c r="G128" s="79">
        <f t="shared" si="64"/>
        <v>0</v>
      </c>
      <c r="H128" s="80">
        <f t="shared" si="65"/>
        <v>0</v>
      </c>
      <c r="I128" s="63">
        <f t="shared" si="66"/>
        <v>0</v>
      </c>
      <c r="J128" s="31"/>
      <c r="K128" s="86">
        <v>11.0</v>
      </c>
      <c r="L128" s="76"/>
      <c r="M128" s="110" t="str">
        <f t="array" ref="M128">IF(L128="","", INDEX('Player Format Data'!B:B,MATCH($L128,'Player Format Data'!$A:$A,0)))</f>
        <v/>
      </c>
      <c r="N128" s="82" t="str">
        <f t="array" ref="N128">IF(M128="","", INDEX('Player Format Data'!C:C,MATCH($L128,'Player Format Data'!$A:$A,0)))</f>
        <v/>
      </c>
      <c r="O128" s="83" t="str">
        <f t="array" ref="O128">IF(M128="","", IF(INDEX('Player Format Data'!D:D,MATCH($L128,'Player Format Data'!$A:$A,0))="2TM",INDEX('Player Format Data'!D:D,MATCH($L128,'Player Format Data'!$A:$A,0)+2),INDEX('Player Format Data'!D:D,MATCH($L128,'Player Format Data'!$A:$A,0))))</f>
        <v/>
      </c>
      <c r="P128" s="77" t="str">
        <f t="shared" si="67"/>
        <v/>
      </c>
      <c r="Q128" s="79">
        <f t="shared" si="68"/>
        <v>0</v>
      </c>
      <c r="R128" s="80">
        <f t="shared" si="69"/>
        <v>0</v>
      </c>
      <c r="S128" s="63">
        <f t="shared" si="70"/>
        <v>0</v>
      </c>
      <c r="T128" s="31"/>
    </row>
    <row r="129">
      <c r="A129" s="86" t="s">
        <v>1309</v>
      </c>
      <c r="C129" s="77" t="str">
        <f t="array" ref="C129">IF(B129="","", INDEX('Player Format Data'!B:B,MATCH($B129,'Player Format Data'!$A:$A,0)))</f>
        <v/>
      </c>
      <c r="D129" s="78" t="str">
        <f t="array" ref="D129">IF(C129="","", INDEX('Player Format Data'!C:C,MATCH($B129,'Player Format Data'!$A:$A,0)))</f>
        <v/>
      </c>
      <c r="E129" s="77" t="str">
        <f t="array" ref="E129">IF(D129="","", IF(INDEX('Player Format Data'!D:D,MATCH($B129,'Player Format Data'!$A:$A,0))="2TM",INDEX('Player Format Data'!D:D,MATCH($B129,'Player Format Data'!$A:$A,0)+2),INDEX('Player Format Data'!D:D,MATCH($B129,'Player Format Data'!$A:$A,0))))</f>
        <v/>
      </c>
      <c r="F129" s="77" t="str">
        <f t="shared" si="63"/>
        <v/>
      </c>
      <c r="G129" s="79">
        <f t="shared" si="64"/>
        <v>0</v>
      </c>
      <c r="H129" s="80">
        <f t="shared" si="65"/>
        <v>0</v>
      </c>
      <c r="I129" s="63">
        <f t="shared" si="66"/>
        <v>0</v>
      </c>
      <c r="J129" s="31"/>
      <c r="K129" s="86" t="s">
        <v>1309</v>
      </c>
      <c r="L129" s="21"/>
      <c r="M129" s="110" t="str">
        <f t="array" ref="M129">IF(L129="","", INDEX('Player Format Data'!B:B,MATCH($L129,'Player Format Data'!$A:$A,0)))</f>
        <v/>
      </c>
      <c r="N129" s="82" t="str">
        <f t="array" ref="N129">IF(M129="","", INDEX('Player Format Data'!C:C,MATCH($L129,'Player Format Data'!$A:$A,0)))</f>
        <v/>
      </c>
      <c r="O129" s="83" t="str">
        <f t="array" ref="O129">IF(M129="","", IF(INDEX('Player Format Data'!D:D,MATCH($L129,'Player Format Data'!$A:$A,0))="2TM",INDEX('Player Format Data'!D:D,MATCH($L129,'Player Format Data'!$A:$A,0)+2),INDEX('Player Format Data'!D:D,MATCH($L129,'Player Format Data'!$A:$A,0))))</f>
        <v/>
      </c>
      <c r="P129" s="77" t="str">
        <f t="shared" si="67"/>
        <v/>
      </c>
      <c r="Q129" s="79">
        <f t="shared" si="68"/>
        <v>0</v>
      </c>
      <c r="R129" s="80">
        <f t="shared" si="69"/>
        <v>0</v>
      </c>
      <c r="S129" s="63">
        <f t="shared" si="70"/>
        <v>0</v>
      </c>
      <c r="T129" s="31"/>
    </row>
    <row r="130">
      <c r="A130" s="86" t="s">
        <v>1310</v>
      </c>
      <c r="C130" s="77" t="str">
        <f t="array" ref="C130">IF(B130="","", INDEX('Player Format Data'!B:B,MATCH($B130,'Player Format Data'!$A:$A,0)))</f>
        <v/>
      </c>
      <c r="D130" s="78" t="str">
        <f t="array" ref="D130">IF(C130="","", INDEX('Player Format Data'!C:C,MATCH($B130,'Player Format Data'!$A:$A,0)))</f>
        <v/>
      </c>
      <c r="E130" s="77" t="str">
        <f t="array" ref="E130">IF(D130="","", IF(INDEX('Player Format Data'!D:D,MATCH($B130,'Player Format Data'!$A:$A,0))="2TM",INDEX('Player Format Data'!D:D,MATCH($B130,'Player Format Data'!$A:$A,0)+2),INDEX('Player Format Data'!D:D,MATCH($B130,'Player Format Data'!$A:$A,0))))</f>
        <v/>
      </c>
      <c r="F130" s="77" t="str">
        <f t="shared" si="63"/>
        <v/>
      </c>
      <c r="G130" s="79">
        <f t="shared" si="64"/>
        <v>0</v>
      </c>
      <c r="H130" s="80">
        <f t="shared" si="65"/>
        <v>0</v>
      </c>
      <c r="I130" s="63">
        <f t="shared" si="66"/>
        <v>0</v>
      </c>
      <c r="J130" s="31"/>
      <c r="K130" s="86" t="s">
        <v>1310</v>
      </c>
      <c r="L130" s="76"/>
      <c r="M130" s="110" t="str">
        <f t="array" ref="M130">IF(L130="","", INDEX('Player Format Data'!B:B,MATCH($L130,'Player Format Data'!$A:$A,0)))</f>
        <v/>
      </c>
      <c r="N130" s="82" t="str">
        <f t="array" ref="N130">IF(M130="","", INDEX('Player Format Data'!C:C,MATCH($L130,'Player Format Data'!$A:$A,0)))</f>
        <v/>
      </c>
      <c r="O130" s="83" t="str">
        <f t="array" ref="O130">IF(M130="","", IF(INDEX('Player Format Data'!D:D,MATCH($L130,'Player Format Data'!$A:$A,0))="2TM",INDEX('Player Format Data'!D:D,MATCH($L130,'Player Format Data'!$A:$A,0)+2),INDEX('Player Format Data'!D:D,MATCH($L130,'Player Format Data'!$A:$A,0))))</f>
        <v/>
      </c>
      <c r="P130" s="77" t="str">
        <f t="shared" si="67"/>
        <v/>
      </c>
      <c r="Q130" s="79">
        <f t="shared" si="68"/>
        <v>0</v>
      </c>
      <c r="R130" s="80">
        <f t="shared" si="69"/>
        <v>0</v>
      </c>
      <c r="S130" s="63">
        <f t="shared" si="70"/>
        <v>0</v>
      </c>
      <c r="T130" s="31"/>
    </row>
    <row r="131">
      <c r="A131" s="87" t="s">
        <v>1310</v>
      </c>
      <c r="C131" s="77" t="str">
        <f t="array" ref="C131">IF(B131="","", INDEX('Player Format Data'!B:B,MATCH($B131,'Player Format Data'!$A:$A,0)))</f>
        <v/>
      </c>
      <c r="D131" s="78" t="str">
        <f t="array" ref="D131">IF(C131="","", INDEX('Player Format Data'!C:C,MATCH($B131,'Player Format Data'!$A:$A,0)))</f>
        <v/>
      </c>
      <c r="E131" s="77" t="str">
        <f t="array" ref="E131">IF(D131="","", IF(INDEX('Player Format Data'!D:D,MATCH($B131,'Player Format Data'!$A:$A,0))="2TM",INDEX('Player Format Data'!D:D,MATCH($B131,'Player Format Data'!$A:$A,0)+2),INDEX('Player Format Data'!D:D,MATCH($B131,'Player Format Data'!$A:$A,0))))</f>
        <v/>
      </c>
      <c r="F131" s="77" t="str">
        <f t="shared" si="63"/>
        <v/>
      </c>
      <c r="G131" s="79">
        <f t="shared" si="64"/>
        <v>0</v>
      </c>
      <c r="H131" s="80">
        <f t="shared" si="65"/>
        <v>0</v>
      </c>
      <c r="I131" s="63">
        <f t="shared" si="66"/>
        <v>0</v>
      </c>
      <c r="J131" s="31"/>
      <c r="K131" s="87" t="s">
        <v>1310</v>
      </c>
      <c r="L131" s="76"/>
      <c r="M131" s="110" t="str">
        <f t="array" ref="M131">IF(L131="","", INDEX('Player Format Data'!B:B,MATCH($L131,'Player Format Data'!$A:$A,0)))</f>
        <v/>
      </c>
      <c r="N131" s="82" t="str">
        <f t="array" ref="N131">IF(M131="","", INDEX('Player Format Data'!C:C,MATCH($L131,'Player Format Data'!$A:$A,0)))</f>
        <v/>
      </c>
      <c r="O131" s="83" t="str">
        <f t="array" ref="O131">IF(M131="","", IF(INDEX('Player Format Data'!D:D,MATCH($L131,'Player Format Data'!$A:$A,0))="2TM",INDEX('Player Format Data'!D:D,MATCH($L131,'Player Format Data'!$A:$A,0)+2),INDEX('Player Format Data'!D:D,MATCH($L131,'Player Format Data'!$A:$A,0))))</f>
        <v/>
      </c>
      <c r="P131" s="77" t="str">
        <f t="shared" si="67"/>
        <v/>
      </c>
      <c r="Q131" s="79">
        <f t="shared" si="68"/>
        <v>0</v>
      </c>
      <c r="R131" s="80">
        <f t="shared" si="69"/>
        <v>0</v>
      </c>
      <c r="S131" s="63">
        <f t="shared" si="70"/>
        <v>0</v>
      </c>
      <c r="T131" s="31"/>
    </row>
    <row r="132">
      <c r="D132" s="10"/>
      <c r="E132" s="77" t="str">
        <f t="array" ref="E132">IF(D132="","", IF(INDEX('Player Format Data'!D:D,MATCH($B132,'Player Format Data'!$A:$A,0))="2TM",INDEX('Player Format Data'!D:D,MATCH($B132,'Player Format Data'!$A:$A,0)+2),INDEX('Player Format Data'!D:D,MATCH($B132,'Player Format Data'!$A:$A,0))))</f>
        <v/>
      </c>
      <c r="F132" s="77"/>
      <c r="G132" s="79"/>
      <c r="H132" s="80"/>
      <c r="I132" s="63"/>
      <c r="J132" s="31"/>
      <c r="L132" s="76"/>
      <c r="N132" s="10"/>
      <c r="O132" s="83" t="str">
        <f t="array" ref="O132">IF(M132="","", IF(INDEX('Player Format Data'!D:D,MATCH($L132,'Player Format Data'!$A:$A,0))="2TM",INDEX('Player Format Data'!D:D,MATCH($L132,'Player Format Data'!$A:$A,0)+2),INDEX('Player Format Data'!D:D,MATCH($L132,'Player Format Data'!$A:$A,0))))</f>
        <v/>
      </c>
      <c r="P132" s="77"/>
      <c r="Q132" s="79"/>
      <c r="R132" s="80"/>
      <c r="S132" s="63"/>
      <c r="T132" s="31"/>
    </row>
  </sheetData>
  <mergeCells count="20">
    <mergeCell ref="A1:I1"/>
    <mergeCell ref="K1:S1"/>
    <mergeCell ref="B2:H2"/>
    <mergeCell ref="L2:R2"/>
    <mergeCell ref="A3:B3"/>
    <mergeCell ref="K3:L3"/>
    <mergeCell ref="K19:L19"/>
    <mergeCell ref="A85:B85"/>
    <mergeCell ref="K85:L85"/>
    <mergeCell ref="A101:B101"/>
    <mergeCell ref="K101:L101"/>
    <mergeCell ref="A117:B117"/>
    <mergeCell ref="K117:L117"/>
    <mergeCell ref="A19:B19"/>
    <mergeCell ref="A35:B35"/>
    <mergeCell ref="K35:L35"/>
    <mergeCell ref="A51:B51"/>
    <mergeCell ref="K51:L51"/>
    <mergeCell ref="A69:B69"/>
    <mergeCell ref="K69:L69"/>
  </mergeCells>
  <conditionalFormatting sqref="B53 B61:B62">
    <cfRule type="expression" dxfId="0" priority="1">
      <formula>AND(IFERROR(MATCH($A53,INDIRECT("Free Agents!A:A"),0)&lt;0,TRUE),$Y$4=TRUE)</formula>
    </cfRule>
  </conditionalFormatting>
  <dataValidations>
    <dataValidation type="list" allowBlank="1" showErrorMessage="1" sqref="T2">
      <formula1>"Player Format Data,Day Range Format Data"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.25"/>
    <col customWidth="1" min="3" max="3" width="3.0"/>
    <col customWidth="1" min="4" max="4" width="2.0"/>
    <col customWidth="1" min="5" max="5" width="10.75"/>
    <col customWidth="1" min="6" max="6" width="5.88"/>
    <col customWidth="1" min="7" max="9" width="10.75"/>
    <col customWidth="1" min="10" max="10" width="10.0"/>
    <col customWidth="1" min="11" max="11" width="14.88"/>
    <col customWidth="1" min="12" max="12" width="14.38"/>
  </cols>
  <sheetData>
    <row r="1">
      <c r="A1" s="90" t="s">
        <v>1313</v>
      </c>
      <c r="B1" s="90" t="s">
        <v>4</v>
      </c>
      <c r="C1" s="90" t="s">
        <v>1314</v>
      </c>
      <c r="D1" s="90" t="s">
        <v>1315</v>
      </c>
      <c r="E1" s="90" t="s">
        <v>1316</v>
      </c>
      <c r="F1" s="90" t="s">
        <v>1317</v>
      </c>
      <c r="G1" s="91" t="s">
        <v>1318</v>
      </c>
      <c r="H1" s="90" t="s">
        <v>1319</v>
      </c>
      <c r="I1" s="92" t="s">
        <v>1320</v>
      </c>
      <c r="J1" s="93" t="s">
        <v>1321</v>
      </c>
      <c r="K1" s="91" t="s">
        <v>1322</v>
      </c>
      <c r="L1" s="90" t="s">
        <v>1323</v>
      </c>
    </row>
    <row r="2">
      <c r="A2" s="34" t="str">
        <f>'Weekly EDSA'!A2</f>
        <v>Robinson</v>
      </c>
      <c r="B2" s="94">
        <f>IFERROR(__xludf.DUMMYFUNCTION("COUNTIF(
QUERY(
QUERY(
IFERROR(
OFFSET(Teams!$A$1,MATCH($A2,Teams!$A:$A,0),1,QUERY('Global Variables'!$A:$B, ""SELECT Col2 WHERE Col1 = 'TEAM_SIZE'""),QUERY('Global Variables'!$A:$B, ""SELECT Col2 WHERE Col1 = 'TEAM_DATA_FIELD_COUNT'"")),
OFFSET(Teams!$K$"&amp;"1,MATCH($A2,Teams!$K:$K,0),1,QUERY('Global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,CONCATENATE(""*"",B$1,""*"")
)"),0.0)</f>
        <v>0</v>
      </c>
      <c r="C2" s="94">
        <f>IFERROR(__xludf.DUMMYFUNCTION("COUNTIF(
QUERY(
QUERY(
IFERROR(
OFFSET(Teams!$A$1,MATCH($A2,Teams!$A:$A,0),1,QUERY('Global Variables'!$A:$B, ""SELECT Col2 WHERE Col1 = 'TEAM_SIZE'""),QUERY('Global Variables'!$A:$B, ""SELECT Col2 WHERE Col1 = 'TEAM_DATA_FIELD_COUNT'"")),
OFFSET(Teams!$K$"&amp;"1,MATCH($A2,Teams!$K:$K,0),1,QUERY('Global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,CONCATENATE(""*"",C$1,""*"")
)"),0.0)</f>
        <v>0</v>
      </c>
      <c r="D2" s="94">
        <f>IFERROR(__xludf.DUMMYFUNCTION("COUNTIF(
QUERY(
QUERY(
IFERROR(
OFFSET(Teams!$A$1,MATCH($A2,Teams!$A:$A,0),1,QUERY('Global Variables'!$A:$B, ""SELECT Col2 WHERE Col1 = 'TEAM_SIZE'""),QUERY('Global Variables'!$A:$B, ""SELECT Col2 WHERE Col1 = 'TEAM_DATA_FIELD_COUNT'"")),
OFFSET(Teams!$K$"&amp;"1,MATCH($A2,Teams!$K:$K,0),1,QUERY('Global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,CONCATENATE(""*"",D$1,""*"")
)"),0.0)</f>
        <v>0</v>
      </c>
      <c r="E2" s="95">
        <f>IFERROR(__xludf.DUMMYFUNCTION("AVERAGE(
ARRAYFORMULA(VALUE(QUERY(
QUERY(
IFERROR(OFFSET(Teams!$A$1,MATCH($A2,Teams!$A:$A,0),1,QUERY('Global Variables'!$A:$B, ""SELECT Col2 WHERE Col1 = 'TEAM_SIZE'""),QUERY('Global Variables'!$A:$B, ""SELECT Col2 WHERE Col1 = 'TEAM_DATA_FIELD_COUNT'""))"&amp;",
OFFSET(Teams!$K$1,MATCH($A2,Teams!$K:$K,0),1,QUERY('Global Variables'!$A:$B, ""SELECT Col2 WHERE Col1 = 'TEAM_SIZE'""),QUERY('Global Variables'!$A:$B, ""SELECT Col2 WHERE Col1 = 'TEAM_DATA_FIELD_COUNT'""))),
 ""SELECT * ORDER BY Col6 DESC LIMIT ""&amp;QUERY"&amp;"('Global Variables'!$A:$B, ""SELECT Col2 WHERE Col1 = 'ACTIVE_ROSTER_SIZE'"")),""SELECT Col3""))))"),0.0)</f>
        <v>0</v>
      </c>
      <c r="F2" s="96" t="str">
        <f>IFERROR(__xludf.DUMMYFUNCTION("ARRAYFORMULA(
SUM(1/COUNTIF(
QUERY(
QUERY(
IFERROR(
OFFSET(Teams!$A$1,MATCH($A2,Teams!$A:$A,0),1,QUERY('Global Variables'!$A:$B, ""SELECT Col2 WHERE Col1 = 'TEAM_SIZE'""),QUERY('Global Variables'!$A:$B, ""SELECT Col2 WHERE Col1 = 'TEAM_DATA_FIELD_COUNT'"""&amp;")),
OFFSET(Teams!$K$1,MATCH($A2,Teams!$K:$K,0),1,QUERY('Global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Col4""),
QUERY(
QUERY(
IFERROR(
OFFSET(Teams!$A$1,MATCH($A2,Teams!$A:$A,0),1,QUERY('Global Variables'!$A:$B, ""SELECT Col2 WHERE Col1 = 'TEAM_SIZE'""),QUERY('Global "&amp;"Variables'!$A:$B, ""SELECT Col2 WHERE Col1 = 'TEAM_DATA_FIELD_COUNT'"")),
OFFSET(Teams!$K$1,MATCH($A2,Teams!$K:$K,0),1,QUERY('Global Variables'!$A:$B, ""SELECT Col2 WHERE Col1 = 'TEAM_SIZE'""),QUERY('Global Variables'!$A:$B, ""SELECT Col2 WHERE Col1 = 'TE"&amp;"AM_DATA_FIELD_COUNT'""))),
 ""SELECT * ORDER BY Col6 DESC LIMIT ""&amp;QUERY('Global Variables'!$A:$B, ""SELECT Col2 WHERE Col1 = 'ACTIVE_ROSTER_SIZE'"")),""SELECT Col4"")
))
)"),"#DIV/0!")</f>
        <v>#DIV/0!</v>
      </c>
      <c r="G2" s="97" t="str">
        <f>IFERROR(__xludf.DUMMYFUNCTION("AVERAGE(
QUERY(
QUERY(
IFERROR(
OFFSET(Teams!$A$1,MATCH($A2,Teams!$A:$A,0),1,QUERY('Global Variables'!$A:$B, ""SELECT Col2 WHERE Col1 = 'TEAM_SIZE'""),QUERY('Global Variables'!$A:$B, ""SELECT Col2 WHERE Col1 = 'TEAM_DATA_FIELD_COUNT'"")),
OFFSET(Teams!$K$"&amp;"1,MATCH($A2,Teams!$K:$K,0),1,QUERY('Global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Col5""))"),"#DIV/0!")</f>
        <v>#DIV/0!</v>
      </c>
      <c r="H2" s="98">
        <f>IFERROR(__xludf.DUMMYFUNCTION("AVERAGE(
QUERY(
QUERY(
IFERROR(
OFFSET(Teams!$A$1,MATCH($A2,Teams!$A:$A,0),1,QUERY('Global Variables'!$A:$B, ""SELECT Col2 WHERE Col1 = 'TEAM_SIZE'""),QUERY('Global Variables'!$A:$B, ""SELECT Col2 WHERE Col1 = 'TEAM_DATA_FIELD_COUNT'"")),
OFFSET(Teams!$K$"&amp;"1,MATCH($A2,Teams!$K:$K,0),1,QUERY('Global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Col6""))"),0.0)</f>
        <v>0</v>
      </c>
      <c r="I2" s="99">
        <f>IFERROR(__xludf.DUMMYFUNCTION("AVERAGE(
QUERY(
QUERY(
IFERROR(
OFFSET(Teams!$A$1,MATCH($A2,Teams!$A:$A,0),1,QUERY('Global Variables'!$A:$B, ""SELECT Col2 WHERE Col1 = 'TEAM_SIZE'""),QUERY('Global Variables'!$A:$B, ""SELECT Col2 WHERE Col1 = 'TEAM_DATA_FIELD_COUNT'"")),
OFFSET(Teams!$K$"&amp;"1,MATCH($A2,Teams!$K:$K,0),1,QUERY('Global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Col7""))"),0.0)</f>
        <v>0</v>
      </c>
      <c r="J2" s="97" t="str">
        <f t="shared" ref="J2:J17" si="1">(
(1-($E2-MIN($E$2:$E$17))/(MAX($E$2:$E$17)-MIN($E$2:$E$17)))*1.25+
($G2-MIN($G$2:$G$17))/(MAX($G$2:$G$17)-MIN($G$2:$G$17))*2+
($H2-MIN($H$2:$H$17))/(MAX($H$2:$H$17)-MIN($H$2:$H$17))*3.75+
($I2-MIN($I$2:$I$17))/(MAX($I$2:$I$17)-MIN($I$2:$I$17))*1.25
)*100</f>
        <v>#DIV/0!</v>
      </c>
      <c r="K2" s="31">
        <f>IFERROR(__xludf.DUMMYFUNCTION("(
AVERAGE(QUERY(IFERROR(
OFFSET(Teams!$A$1,MATCH($A2,Teams!$A:$A,0),1,QUERY('Global Variables'!$A:$B, ""SELECT Col2 WHERE Col1 = 'TEAM_SIZE'""),QUERY('Global Variables'!$A:$B, ""SELECT Col2 WHERE Col1 = 'TEAM_DATA_FIELD_COUNT'"")),
OFFSET(Teams!$K$1,MATCH"&amp;"($A2,Teams!$K:$K,0),1,QUERY('Global Variables'!$A:$B, ""SELECT Col2 WHERE Col1 = 'TEAM_SIZE'""),QUERY('Global Variables'!$A:$B, ""SELECT Col2 WHERE Col1 = 'TEAM_DATA_FIELD_COUNT'""))),
 ""SELECT Col8 ORDER BY Col8 DESC LIMIT 5""))*3 +
AVERAGE(QUERY(IFERRO"&amp;"R(
OFFSET(Teams!$A$1,MATCH($A2,Teams!$A:$A,0),1,QUERY('Global Variables'!$A:$B, ""SELECT Col2 WHERE Col1 = 'TEAM_SIZE'""),QUERY('Global Variables'!$A:$B, ""SELECT Col2 WHERE Col1 = 'TEAM_DATA_FIELD_COUNT'"")),
OFFSET(Teams!$K$1,MATCH($A2,Teams!$K:$K,0),1,"&amp;"QUERY('Global Variables'!$A:$B, ""SELECT Col2 WHERE Col1 = 'TEAM_SIZE'""),QUERY('Global Variables'!$A:$B, ""SELECT Col2 WHERE Col1 = 'TEAM_DATA_FIELD_COUNT'""))),
 ""SELECT Col8 ORDER BY Col8 DESC LIMIT 8"")) + 
AVERAGE(QUERY(IFERROR(
OFFSET(Teams!$A$1,MA"&amp;"TCH($A2,Teams!$A:$A,0),1,QUERY('Global Variables'!$A:$B, ""SELECT Col2 WHERE Col1 = 'TEAM_SIZE'""),QUERY('Global Variables'!$A:$B, ""SELECT Col2 WHERE Col1 = 'TEAM_DATA_FIELD_COUNT'"")),
OFFSET(Teams!$K$1,MATCH($A2,Teams!$K:$K,0),1,QUERY('Global Variables"&amp;"'!$A:$B, ""SELECT Col2 WHERE Col1 = 'TEAM_SIZE'""),QUERY('Global Variables'!$A:$B, ""SELECT Col2 WHERE Col1 = 'TEAM_DATA_FIELD_COUNT'""))),
 ""SELECT Col8 ORDER BY Col8 DESC LIMIT ""&amp;QUERY('Global Variables'!$A:$B, ""SELECT Col2 WHERE Col1 = 'ACTIVE_ROSTE"&amp;"R_SIZE'""))))
/5"),0.0)</f>
        <v>0</v>
      </c>
      <c r="L2" s="100">
        <f t="shared" ref="L2:L17" si="2">RANK(K2,$K$2:$K$17)</f>
        <v>1</v>
      </c>
      <c r="M2" s="101"/>
      <c r="N2" s="102"/>
      <c r="P2" s="84"/>
    </row>
    <row r="3">
      <c r="A3" s="34" t="str">
        <f>'Weekly EDSA'!A3</f>
        <v>Brown</v>
      </c>
      <c r="B3" s="94">
        <f>IFERROR(__xludf.DUMMYFUNCTION("COUNTIF(
QUERY(
QUERY(
IFERROR(
OFFSET(Teams!$A$1,MATCH($A3,Teams!$A:$A,0),1,QUERY('Global Variables'!$A:$B, ""SELECT Col2 WHERE Col1 = 'TEAM_SIZE'""),QUERY('Global Variables'!$A:$B, ""SELECT Col2 WHERE Col1 = 'TEAM_DATA_FIELD_COUNT'"")),
OFFSET(Teams!$K$"&amp;"1,MATCH($A3,Teams!$K:$K,0),1,QUERY('Global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,CONCATENATE(""*"",B$1,""*"")
)"),0.0)</f>
        <v>0</v>
      </c>
      <c r="C3" s="94">
        <f>IFERROR(__xludf.DUMMYFUNCTION("COUNTIF(
QUERY(
QUERY(
IFERROR(
OFFSET(Teams!$A$1,MATCH($A3,Teams!$A:$A,0),1,QUERY('Global Variables'!$A:$B, ""SELECT Col2 WHERE Col1 = 'TEAM_SIZE'""),QUERY('Global Variables'!$A:$B, ""SELECT Col2 WHERE Col1 = 'TEAM_DATA_FIELD_COUNT'"")),
OFFSET(Teams!$K$"&amp;"1,MATCH($A3,Teams!$K:$K,0),1,QUERY('Global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,CONCATENATE(""*"",C$1,""*"")
)"),0.0)</f>
        <v>0</v>
      </c>
      <c r="D3" s="94">
        <f>IFERROR(__xludf.DUMMYFUNCTION("COUNTIF(
QUERY(
QUERY(
IFERROR(
OFFSET(Teams!$A$1,MATCH($A3,Teams!$A:$A,0),1,QUERY('Global Variables'!$A:$B, ""SELECT Col2 WHERE Col1 = 'TEAM_SIZE'""),QUERY('Global Variables'!$A:$B, ""SELECT Col2 WHERE Col1 = 'TEAM_DATA_FIELD_COUNT'"")),
OFFSET(Teams!$K$"&amp;"1,MATCH($A3,Teams!$K:$K,0),1,QUERY('Global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,CONCATENATE(""*"",D$1,""*"")
)"),0.0)</f>
        <v>0</v>
      </c>
      <c r="E3" s="95">
        <f>IFERROR(__xludf.DUMMYFUNCTION("AVERAGE(
ARRAYFORMULA(VALUE(QUERY(
QUERY(
IFERROR(OFFSET(Teams!$A$1,MATCH($A3,Teams!$A:$A,0),1,QUERY('Global Variables'!$A:$B, ""SELECT Col2 WHERE Col1 = 'TEAM_SIZE'""),QUERY('Global Variables'!$A:$B, ""SELECT Col2 WHERE Col1 = 'TEAM_DATA_FIELD_COUNT'""))"&amp;",
OFFSET(Teams!$K$1,MATCH($A3,Teams!$K:$K,0),1,QUERY('Global Variables'!$A:$B, ""SELECT Col2 WHERE Col1 = 'TEAM_SIZE'""),QUERY('Global Variables'!$A:$B, ""SELECT Col2 WHERE Col1 = 'TEAM_DATA_FIELD_COUNT'""))),
 ""SELECT * ORDER BY Col6 DESC LIMIT ""&amp;QUERY"&amp;"('Global Variables'!$A:$B, ""SELECT Col2 WHERE Col1 = 'ACTIVE_ROSTER_SIZE'"")),""SELECT Col3""))))"),0.0)</f>
        <v>0</v>
      </c>
      <c r="F3" s="96" t="str">
        <f>IFERROR(__xludf.DUMMYFUNCTION("ARRAYFORMULA(
SUM(1/COUNTIF(
QUERY(
QUERY(
IFERROR(
OFFSET(Teams!$A$1,MATCH($A3,Teams!$A:$A,0),1,QUERY('Global Variables'!$A:$B, ""SELECT Col2 WHERE Col1 = 'TEAM_SIZE'""),QUERY('Global Variables'!$A:$B, ""SELECT Col2 WHERE Col1 = 'TEAM_DATA_FIELD_COUNT'"""&amp;")),
OFFSET(Teams!$K$1,MATCH($A3,Teams!$K:$K,0),1,QUERY('Global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Col4""),
QUERY(
QUERY(
IFERROR(
OFFSET(Teams!$A$1,MATCH($A3,Teams!$A:$A,0),1,QUERY('Global Variables'!$A:$B, ""SELECT Col2 WHERE Col1 = 'TEAM_SIZE'""),QUERY('Global "&amp;"Variables'!$A:$B, ""SELECT Col2 WHERE Col1 = 'TEAM_DATA_FIELD_COUNT'"")),
OFFSET(Teams!$K$1,MATCH($A3,Teams!$K:$K,0),1,QUERY('Global Variables'!$A:$B, ""SELECT Col2 WHERE Col1 = 'TEAM_SIZE'""),QUERY('Global Variables'!$A:$B, ""SELECT Col2 WHERE Col1 = 'TE"&amp;"AM_DATA_FIELD_COUNT'""))),
 ""SELECT * ORDER BY Col6 DESC LIMIT ""&amp;QUERY('Global Variables'!$A:$B, ""SELECT Col2 WHERE Col1 = 'ACTIVE_ROSTER_SIZE'"")),""SELECT Col4"")
))
)"),"#DIV/0!")</f>
        <v>#DIV/0!</v>
      </c>
      <c r="G3" s="97" t="str">
        <f>IFERROR(__xludf.DUMMYFUNCTION("AVERAGE(
QUERY(
QUERY(
IFERROR(
OFFSET(Teams!$A$1,MATCH($A3,Teams!$A:$A,0),1,QUERY('Global Variables'!$A:$B, ""SELECT Col2 WHERE Col1 = 'TEAM_SIZE'""),QUERY('Global Variables'!$A:$B, ""SELECT Col2 WHERE Col1 = 'TEAM_DATA_FIELD_COUNT'"")),
OFFSET(Teams!$K$"&amp;"1,MATCH($A3,Teams!$K:$K,0),1,QUERY('Global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Col5""))"),"#DIV/0!")</f>
        <v>#DIV/0!</v>
      </c>
      <c r="H3" s="98">
        <f>IFERROR(__xludf.DUMMYFUNCTION("AVERAGE(
QUERY(
QUERY(
IFERROR(
OFFSET(Teams!$A$1,MATCH($A3,Teams!$A:$A,0),1,QUERY('Global Variables'!$A:$B, ""SELECT Col2 WHERE Col1 = 'TEAM_SIZE'""),QUERY('Global Variables'!$A:$B, ""SELECT Col2 WHERE Col1 = 'TEAM_DATA_FIELD_COUNT'"")),
OFFSET(Teams!$K$"&amp;"1,MATCH($A3,Teams!$K:$K,0),1,QUERY('Global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Col6""))"),0.0)</f>
        <v>0</v>
      </c>
      <c r="I3" s="99">
        <f>IFERROR(__xludf.DUMMYFUNCTION("AVERAGE(
QUERY(
QUERY(
IFERROR(
OFFSET(Teams!$A$1,MATCH($A3,Teams!$A:$A,0),1,QUERY('Global Variables'!$A:$B, ""SELECT Col2 WHERE Col1 = 'TEAM_SIZE'""),QUERY('Global Variables'!$A:$B, ""SELECT Col2 WHERE Col1 = 'TEAM_DATA_FIELD_COUNT'"")),
OFFSET(Teams!$K$"&amp;"1,MATCH($A3,Teams!$K:$K,0),1,QUERY('Global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Col7""))"),0.0)</f>
        <v>0</v>
      </c>
      <c r="J3" s="97" t="str">
        <f t="shared" si="1"/>
        <v>#DIV/0!</v>
      </c>
      <c r="K3" s="31">
        <f>IFERROR(__xludf.DUMMYFUNCTION("(
AVERAGE(QUERY(IFERROR(
OFFSET(Teams!$A$1,MATCH($A3,Teams!$A:$A,0),1,QUERY('Global Variables'!$A:$B, ""SELECT Col2 WHERE Col1 = 'TEAM_SIZE'""),QUERY('Global Variables'!$A:$B, ""SELECT Col2 WHERE Col1 = 'TEAM_DATA_FIELD_COUNT'"")),
OFFSET(Teams!$K$1,MATCH"&amp;"($A3,Teams!$K:$K,0),1,QUERY('Global Variables'!$A:$B, ""SELECT Col2 WHERE Col1 = 'TEAM_SIZE'""),QUERY('Global Variables'!$A:$B, ""SELECT Col2 WHERE Col1 = 'TEAM_DATA_FIELD_COUNT'""))),
 ""SELECT Col8 ORDER BY Col8 DESC LIMIT 5""))*3 +
AVERAGE(QUERY(IFERRO"&amp;"R(
OFFSET(Teams!$A$1,MATCH($A3,Teams!$A:$A,0),1,QUERY('Global Variables'!$A:$B, ""SELECT Col2 WHERE Col1 = 'TEAM_SIZE'""),QUERY('Global Variables'!$A:$B, ""SELECT Col2 WHERE Col1 = 'TEAM_DATA_FIELD_COUNT'"")),
OFFSET(Teams!$K$1,MATCH($A3,Teams!$K:$K,0),1,"&amp;"QUERY('Global Variables'!$A:$B, ""SELECT Col2 WHERE Col1 = 'TEAM_SIZE'""),QUERY('Global Variables'!$A:$B, ""SELECT Col2 WHERE Col1 = 'TEAM_DATA_FIELD_COUNT'""))),
 ""SELECT Col8 ORDER BY Col8 DESC LIMIT 8"")) + 
AVERAGE(QUERY(IFERROR(
OFFSET(Teams!$A$1,MA"&amp;"TCH($A3,Teams!$A:$A,0),1,QUERY('Global Variables'!$A:$B, ""SELECT Col2 WHERE Col1 = 'TEAM_SIZE'""),QUERY('Global Variables'!$A:$B, ""SELECT Col2 WHERE Col1 = 'TEAM_DATA_FIELD_COUNT'"")),
OFFSET(Teams!$K$1,MATCH($A3,Teams!$K:$K,0),1,QUERY('Global Variables"&amp;"'!$A:$B, ""SELECT Col2 WHERE Col1 = 'TEAM_SIZE'""),QUERY('Global Variables'!$A:$B, ""SELECT Col2 WHERE Col1 = 'TEAM_DATA_FIELD_COUNT'""))),
 ""SELECT Col8 ORDER BY Col8 DESC LIMIT ""&amp;QUERY('Global Variables'!$A:$B, ""SELECT Col2 WHERE Col1 = 'ACTIVE_ROSTE"&amp;"R_SIZE'""))))
/5"),0.0)</f>
        <v>0</v>
      </c>
      <c r="L3" s="100">
        <f t="shared" si="2"/>
        <v>1</v>
      </c>
      <c r="M3" s="101"/>
      <c r="N3" s="102"/>
      <c r="P3" s="84"/>
    </row>
    <row r="4">
      <c r="A4" s="34" t="str">
        <f>'Weekly EDSA'!A4</f>
        <v>Bolick</v>
      </c>
      <c r="B4" s="94">
        <f>IFERROR(__xludf.DUMMYFUNCTION("COUNTIF(
QUERY(
QUERY(
IFERROR(
OFFSET(Teams!$A$1,MATCH($A4,Teams!$A:$A,0),1,QUERY('Global Variables'!$A:$B, ""SELECT Col2 WHERE Col1 = 'TEAM_SIZE'""),QUERY('Global Variables'!$A:$B, ""SELECT Col2 WHERE Col1 = 'TEAM_DATA_FIELD_COUNT'"")),
OFFSET(Teams!$K$"&amp;"1,MATCH($A4,Teams!$K:$K,0),1,QUERY('Global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,CONCATENATE(""*"",B$1,""*"")
)"),0.0)</f>
        <v>0</v>
      </c>
      <c r="C4" s="94">
        <f>IFERROR(__xludf.DUMMYFUNCTION("COUNTIF(
QUERY(
QUERY(
IFERROR(
OFFSET(Teams!$A$1,MATCH($A4,Teams!$A:$A,0),1,QUERY('Global Variables'!$A:$B, ""SELECT Col2 WHERE Col1 = 'TEAM_SIZE'""),QUERY('Global Variables'!$A:$B, ""SELECT Col2 WHERE Col1 = 'TEAM_DATA_FIELD_COUNT'"")),
OFFSET(Teams!$K$"&amp;"1,MATCH($A4,Teams!$K:$K,0),1,QUERY('Global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,CONCATENATE(""*"",C$1,""*"")
)"),0.0)</f>
        <v>0</v>
      </c>
      <c r="D4" s="94">
        <f>IFERROR(__xludf.DUMMYFUNCTION("COUNTIF(
QUERY(
QUERY(
IFERROR(
OFFSET(Teams!$A$1,MATCH($A4,Teams!$A:$A,0),1,QUERY('Global Variables'!$A:$B, ""SELECT Col2 WHERE Col1 = 'TEAM_SIZE'""),QUERY('Global Variables'!$A:$B, ""SELECT Col2 WHERE Col1 = 'TEAM_DATA_FIELD_COUNT'"")),
OFFSET(Teams!$K$"&amp;"1,MATCH($A4,Teams!$K:$K,0),1,QUERY('Global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,CONCATENATE(""*"",D$1,""*"")
)"),0.0)</f>
        <v>0</v>
      </c>
      <c r="E4" s="95">
        <f>IFERROR(__xludf.DUMMYFUNCTION("AVERAGE(
ARRAYFORMULA(VALUE(QUERY(
QUERY(
IFERROR(OFFSET(Teams!$A$1,MATCH($A4,Teams!$A:$A,0),1,QUERY('Global Variables'!$A:$B, ""SELECT Col2 WHERE Col1 = 'TEAM_SIZE'""),QUERY('Global Variables'!$A:$B, ""SELECT Col2 WHERE Col1 = 'TEAM_DATA_FIELD_COUNT'""))"&amp;",
OFFSET(Teams!$K$1,MATCH($A4,Teams!$K:$K,0),1,QUERY('Global Variables'!$A:$B, ""SELECT Col2 WHERE Col1 = 'TEAM_SIZE'""),QUERY('Global Variables'!$A:$B, ""SELECT Col2 WHERE Col1 = 'TEAM_DATA_FIELD_COUNT'""))),
 ""SELECT * ORDER BY Col6 DESC LIMIT ""&amp;QUERY"&amp;"('Global Variables'!$A:$B, ""SELECT Col2 WHERE Col1 = 'ACTIVE_ROSTER_SIZE'"")),""SELECT Col3""))))"),0.0)</f>
        <v>0</v>
      </c>
      <c r="F4" s="96" t="str">
        <f>IFERROR(__xludf.DUMMYFUNCTION("ARRAYFORMULA(
SUM(1/COUNTIF(
QUERY(
QUERY(
IFERROR(
OFFSET(Teams!$A$1,MATCH($A4,Teams!$A:$A,0),1,QUERY('Global Variables'!$A:$B, ""SELECT Col2 WHERE Col1 = 'TEAM_SIZE'""),QUERY('Global Variables'!$A:$B, ""SELECT Col2 WHERE Col1 = 'TEAM_DATA_FIELD_COUNT'"""&amp;")),
OFFSET(Teams!$K$1,MATCH($A4,Teams!$K:$K,0),1,QUERY('Global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Col4""),
QUERY(
QUERY(
IFERROR(
OFFSET(Teams!$A$1,MATCH($A4,Teams!$A:$A,0),1,QUERY('Global Variables'!$A:$B, ""SELECT Col2 WHERE Col1 = 'TEAM_SIZE'""),QUERY('Global "&amp;"Variables'!$A:$B, ""SELECT Col2 WHERE Col1 = 'TEAM_DATA_FIELD_COUNT'"")),
OFFSET(Teams!$K$1,MATCH($A4,Teams!$K:$K,0),1,QUERY('Global Variables'!$A:$B, ""SELECT Col2 WHERE Col1 = 'TEAM_SIZE'""),QUERY('Global Variables'!$A:$B, ""SELECT Col2 WHERE Col1 = 'TE"&amp;"AM_DATA_FIELD_COUNT'""))),
 ""SELECT * ORDER BY Col6 DESC LIMIT ""&amp;QUERY('Global Variables'!$A:$B, ""SELECT Col2 WHERE Col1 = 'ACTIVE_ROSTER_SIZE'"")),""SELECT Col4"")
))
)"),"#DIV/0!")</f>
        <v>#DIV/0!</v>
      </c>
      <c r="G4" s="97" t="str">
        <f>IFERROR(__xludf.DUMMYFUNCTION("AVERAGE(
QUERY(
QUERY(
IFERROR(
OFFSET(Teams!$A$1,MATCH($A4,Teams!$A:$A,0),1,QUERY('Global Variables'!$A:$B, ""SELECT Col2 WHERE Col1 = 'TEAM_SIZE'""),QUERY('Global Variables'!$A:$B, ""SELECT Col2 WHERE Col1 = 'TEAM_DATA_FIELD_COUNT'"")),
OFFSET(Teams!$K$"&amp;"1,MATCH($A4,Teams!$K:$K,0),1,QUERY('Global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Col5""))"),"#DIV/0!")</f>
        <v>#DIV/0!</v>
      </c>
      <c r="H4" s="98">
        <f>IFERROR(__xludf.DUMMYFUNCTION("AVERAGE(
QUERY(
QUERY(
IFERROR(
OFFSET(Teams!$A$1,MATCH($A4,Teams!$A:$A,0),1,QUERY('Global Variables'!$A:$B, ""SELECT Col2 WHERE Col1 = 'TEAM_SIZE'""),QUERY('Global Variables'!$A:$B, ""SELECT Col2 WHERE Col1 = 'TEAM_DATA_FIELD_COUNT'"")),
OFFSET(Teams!$K$"&amp;"1,MATCH($A4,Teams!$K:$K,0),1,QUERY('Global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Col6""))"),0.0)</f>
        <v>0</v>
      </c>
      <c r="I4" s="99">
        <f>IFERROR(__xludf.DUMMYFUNCTION("AVERAGE(
QUERY(
QUERY(
IFERROR(
OFFSET(Teams!$A$1,MATCH($A4,Teams!$A:$A,0),1,QUERY('Global Variables'!$A:$B, ""SELECT Col2 WHERE Col1 = 'TEAM_SIZE'""),QUERY('Global Variables'!$A:$B, ""SELECT Col2 WHERE Col1 = 'TEAM_DATA_FIELD_COUNT'"")),
OFFSET(Teams!$K$"&amp;"1,MATCH($A4,Teams!$K:$K,0),1,QUERY('Global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Col7""))"),0.0)</f>
        <v>0</v>
      </c>
      <c r="J4" s="97" t="str">
        <f t="shared" si="1"/>
        <v>#DIV/0!</v>
      </c>
      <c r="K4" s="31">
        <f>IFERROR(__xludf.DUMMYFUNCTION("(
AVERAGE(QUERY(IFERROR(
OFFSET(Teams!$A$1,MATCH($A4,Teams!$A:$A,0),1,QUERY('Global Variables'!$A:$B, ""SELECT Col2 WHERE Col1 = 'TEAM_SIZE'""),QUERY('Global Variables'!$A:$B, ""SELECT Col2 WHERE Col1 = 'TEAM_DATA_FIELD_COUNT'"")),
OFFSET(Teams!$K$1,MATCH"&amp;"($A4,Teams!$K:$K,0),1,QUERY('Global Variables'!$A:$B, ""SELECT Col2 WHERE Col1 = 'TEAM_SIZE'""),QUERY('Global Variables'!$A:$B, ""SELECT Col2 WHERE Col1 = 'TEAM_DATA_FIELD_COUNT'""))),
 ""SELECT Col8 ORDER BY Col8 DESC LIMIT 5""))*3 +
AVERAGE(QUERY(IFERRO"&amp;"R(
OFFSET(Teams!$A$1,MATCH($A4,Teams!$A:$A,0),1,QUERY('Global Variables'!$A:$B, ""SELECT Col2 WHERE Col1 = 'TEAM_SIZE'""),QUERY('Global Variables'!$A:$B, ""SELECT Col2 WHERE Col1 = 'TEAM_DATA_FIELD_COUNT'"")),
OFFSET(Teams!$K$1,MATCH($A4,Teams!$K:$K,0),1,"&amp;"QUERY('Global Variables'!$A:$B, ""SELECT Col2 WHERE Col1 = 'TEAM_SIZE'""),QUERY('Global Variables'!$A:$B, ""SELECT Col2 WHERE Col1 = 'TEAM_DATA_FIELD_COUNT'""))),
 ""SELECT Col8 ORDER BY Col8 DESC LIMIT 8"")) + 
AVERAGE(QUERY(IFERROR(
OFFSET(Teams!$A$1,MA"&amp;"TCH($A4,Teams!$A:$A,0),1,QUERY('Global Variables'!$A:$B, ""SELECT Col2 WHERE Col1 = 'TEAM_SIZE'""),QUERY('Global Variables'!$A:$B, ""SELECT Col2 WHERE Col1 = 'TEAM_DATA_FIELD_COUNT'"")),
OFFSET(Teams!$K$1,MATCH($A4,Teams!$K:$K,0),1,QUERY('Global Variables"&amp;"'!$A:$B, ""SELECT Col2 WHERE Col1 = 'TEAM_SIZE'""),QUERY('Global Variables'!$A:$B, ""SELECT Col2 WHERE Col1 = 'TEAM_DATA_FIELD_COUNT'""))),
 ""SELECT Col8 ORDER BY Col8 DESC LIMIT ""&amp;QUERY('Global Variables'!$A:$B, ""SELECT Col2 WHERE Col1 = 'ACTIVE_ROSTE"&amp;"R_SIZE'""))))
/5"),0.0)</f>
        <v>0</v>
      </c>
      <c r="L4" s="100">
        <f t="shared" si="2"/>
        <v>1</v>
      </c>
      <c r="M4" s="101"/>
      <c r="N4" s="102"/>
      <c r="P4" s="84"/>
    </row>
    <row r="5" ht="16.5" customHeight="1">
      <c r="A5" s="34" t="str">
        <f>'Weekly EDSA'!A5</f>
        <v>Dean</v>
      </c>
      <c r="B5" s="94">
        <f>IFERROR(__xludf.DUMMYFUNCTION("COUNTIF(
QUERY(
QUERY(
IFERROR(
OFFSET(Teams!$A$1,MATCH($A5,Teams!$A:$A,0),1,QUERY('Global Variables'!$A:$B, ""SELECT Col2 WHERE Col1 = 'TEAM_SIZE'""),QUERY('Global Variables'!$A:$B, ""SELECT Col2 WHERE Col1 = 'TEAM_DATA_FIELD_COUNT'"")),
OFFSET(Teams!$K$"&amp;"1,MATCH($A5,Teams!$K:$K,0),1,QUERY('Global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,CONCATENATE(""*"",B$1,""*"")
)"),0.0)</f>
        <v>0</v>
      </c>
      <c r="C5" s="94">
        <f>IFERROR(__xludf.DUMMYFUNCTION("COUNTIF(
QUERY(
QUERY(
IFERROR(
OFFSET(Teams!$A$1,MATCH($A5,Teams!$A:$A,0),1,QUERY('Global Variables'!$A:$B, ""SELECT Col2 WHERE Col1 = 'TEAM_SIZE'""),QUERY('Global Variables'!$A:$B, ""SELECT Col2 WHERE Col1 = 'TEAM_DATA_FIELD_COUNT'"")),
OFFSET(Teams!$K$"&amp;"1,MATCH($A5,Teams!$K:$K,0),1,QUERY('Global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,CONCATENATE(""*"",C$1,""*"")
)"),0.0)</f>
        <v>0</v>
      </c>
      <c r="D5" s="94">
        <f>IFERROR(__xludf.DUMMYFUNCTION("COUNTIF(
QUERY(
QUERY(
IFERROR(
OFFSET(Teams!$A$1,MATCH($A5,Teams!$A:$A,0),1,QUERY('Global Variables'!$A:$B, ""SELECT Col2 WHERE Col1 = 'TEAM_SIZE'""),QUERY('Global Variables'!$A:$B, ""SELECT Col2 WHERE Col1 = 'TEAM_DATA_FIELD_COUNT'"")),
OFFSET(Teams!$K$"&amp;"1,MATCH($A5,Teams!$K:$K,0),1,QUERY('Global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,CONCATENATE(""*"",D$1,""*"")
)"),0.0)</f>
        <v>0</v>
      </c>
      <c r="E5" s="95">
        <f>IFERROR(__xludf.DUMMYFUNCTION("AVERAGE(
ARRAYFORMULA(VALUE(QUERY(
QUERY(
IFERROR(OFFSET(Teams!$A$1,MATCH($A5,Teams!$A:$A,0),1,QUERY('Global Variables'!$A:$B, ""SELECT Col2 WHERE Col1 = 'TEAM_SIZE'""),QUERY('Global Variables'!$A:$B, ""SELECT Col2 WHERE Col1 = 'TEAM_DATA_FIELD_COUNT'""))"&amp;",
OFFSET(Teams!$K$1,MATCH($A5,Teams!$K:$K,0),1,QUERY('Global Variables'!$A:$B, ""SELECT Col2 WHERE Col1 = 'TEAM_SIZE'""),QUERY('Global Variables'!$A:$B, ""SELECT Col2 WHERE Col1 = 'TEAM_DATA_FIELD_COUNT'""))),
 ""SELECT * ORDER BY Col6 DESC LIMIT ""&amp;QUERY"&amp;"('Global Variables'!$A:$B, ""SELECT Col2 WHERE Col1 = 'ACTIVE_ROSTER_SIZE'"")),""SELECT Col3""))))"),0.0)</f>
        <v>0</v>
      </c>
      <c r="F5" s="96" t="str">
        <f>IFERROR(__xludf.DUMMYFUNCTION("ARRAYFORMULA(
SUM(1/COUNTIF(
QUERY(
QUERY(
IFERROR(
OFFSET(Teams!$A$1,MATCH($A5,Teams!$A:$A,0),1,QUERY('Global Variables'!$A:$B, ""SELECT Col2 WHERE Col1 = 'TEAM_SIZE'""),QUERY('Global Variables'!$A:$B, ""SELECT Col2 WHERE Col1 = 'TEAM_DATA_FIELD_COUNT'"""&amp;")),
OFFSET(Teams!$K$1,MATCH($A5,Teams!$K:$K,0),1,QUERY('Global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Col4""),
QUERY(
QUERY(
IFERROR(
OFFSET(Teams!$A$1,MATCH($A5,Teams!$A:$A,0),1,QUERY('Global Variables'!$A:$B, ""SELECT Col2 WHERE Col1 = 'TEAM_SIZE'""),QUERY('Global "&amp;"Variables'!$A:$B, ""SELECT Col2 WHERE Col1 = 'TEAM_DATA_FIELD_COUNT'"")),
OFFSET(Teams!$K$1,MATCH($A5,Teams!$K:$K,0),1,QUERY('Global Variables'!$A:$B, ""SELECT Col2 WHERE Col1 = 'TEAM_SIZE'""),QUERY('Global Variables'!$A:$B, ""SELECT Col2 WHERE Col1 = 'TE"&amp;"AM_DATA_FIELD_COUNT'""))),
 ""SELECT * ORDER BY Col6 DESC LIMIT ""&amp;QUERY('Global Variables'!$A:$B, ""SELECT Col2 WHERE Col1 = 'ACTIVE_ROSTER_SIZE'"")),""SELECT Col4"")
))
)"),"#DIV/0!")</f>
        <v>#DIV/0!</v>
      </c>
      <c r="G5" s="97" t="str">
        <f>IFERROR(__xludf.DUMMYFUNCTION("AVERAGE(
QUERY(
QUERY(
IFERROR(
OFFSET(Teams!$A$1,MATCH($A5,Teams!$A:$A,0),1,QUERY('Global Variables'!$A:$B, ""SELECT Col2 WHERE Col1 = 'TEAM_SIZE'""),QUERY('Global Variables'!$A:$B, ""SELECT Col2 WHERE Col1 = 'TEAM_DATA_FIELD_COUNT'"")),
OFFSET(Teams!$K$"&amp;"1,MATCH($A5,Teams!$K:$K,0),1,QUERY('Global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Col5""))"),"#DIV/0!")</f>
        <v>#DIV/0!</v>
      </c>
      <c r="H5" s="98">
        <f>IFERROR(__xludf.DUMMYFUNCTION("AVERAGE(
QUERY(
QUERY(
IFERROR(
OFFSET(Teams!$A$1,MATCH($A5,Teams!$A:$A,0),1,QUERY('Global Variables'!$A:$B, ""SELECT Col2 WHERE Col1 = 'TEAM_SIZE'""),QUERY('Global Variables'!$A:$B, ""SELECT Col2 WHERE Col1 = 'TEAM_DATA_FIELD_COUNT'"")),
OFFSET(Teams!$K$"&amp;"1,MATCH($A5,Teams!$K:$K,0),1,QUERY('Global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Col6""))"),0.0)</f>
        <v>0</v>
      </c>
      <c r="I5" s="99">
        <f>IFERROR(__xludf.DUMMYFUNCTION("AVERAGE(
QUERY(
QUERY(
IFERROR(
OFFSET(Teams!$A$1,MATCH($A5,Teams!$A:$A,0),1,QUERY('Global Variables'!$A:$B, ""SELECT Col2 WHERE Col1 = 'TEAM_SIZE'""),QUERY('Global Variables'!$A:$B, ""SELECT Col2 WHERE Col1 = 'TEAM_DATA_FIELD_COUNT'"")),
OFFSET(Teams!$K$"&amp;"1,MATCH($A5,Teams!$K:$K,0),1,QUERY('Global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Col7""))"),0.0)</f>
        <v>0</v>
      </c>
      <c r="J5" s="97" t="str">
        <f t="shared" si="1"/>
        <v>#DIV/0!</v>
      </c>
      <c r="K5" s="31">
        <f>IFERROR(__xludf.DUMMYFUNCTION("(
AVERAGE(QUERY(IFERROR(
OFFSET(Teams!$A$1,MATCH($A5,Teams!$A:$A,0),1,QUERY('Global Variables'!$A:$B, ""SELECT Col2 WHERE Col1 = 'TEAM_SIZE'""),QUERY('Global Variables'!$A:$B, ""SELECT Col2 WHERE Col1 = 'TEAM_DATA_FIELD_COUNT'"")),
OFFSET(Teams!$K$1,MATCH"&amp;"($A5,Teams!$K:$K,0),1,QUERY('Global Variables'!$A:$B, ""SELECT Col2 WHERE Col1 = 'TEAM_SIZE'""),QUERY('Global Variables'!$A:$B, ""SELECT Col2 WHERE Col1 = 'TEAM_DATA_FIELD_COUNT'""))),
 ""SELECT Col8 ORDER BY Col8 DESC LIMIT 5""))*3 +
AVERAGE(QUERY(IFERRO"&amp;"R(
OFFSET(Teams!$A$1,MATCH($A5,Teams!$A:$A,0),1,QUERY('Global Variables'!$A:$B, ""SELECT Col2 WHERE Col1 = 'TEAM_SIZE'""),QUERY('Global Variables'!$A:$B, ""SELECT Col2 WHERE Col1 = 'TEAM_DATA_FIELD_COUNT'"")),
OFFSET(Teams!$K$1,MATCH($A5,Teams!$K:$K,0),1,"&amp;"QUERY('Global Variables'!$A:$B, ""SELECT Col2 WHERE Col1 = 'TEAM_SIZE'""),QUERY('Global Variables'!$A:$B, ""SELECT Col2 WHERE Col1 = 'TEAM_DATA_FIELD_COUNT'""))),
 ""SELECT Col8 ORDER BY Col8 DESC LIMIT 8"")) + 
AVERAGE(QUERY(IFERROR(
OFFSET(Teams!$A$1,MA"&amp;"TCH($A5,Teams!$A:$A,0),1,QUERY('Global Variables'!$A:$B, ""SELECT Col2 WHERE Col1 = 'TEAM_SIZE'""),QUERY('Global Variables'!$A:$B, ""SELECT Col2 WHERE Col1 = 'TEAM_DATA_FIELD_COUNT'"")),
OFFSET(Teams!$K$1,MATCH($A5,Teams!$K:$K,0),1,QUERY('Global Variables"&amp;"'!$A:$B, ""SELECT Col2 WHERE Col1 = 'TEAM_SIZE'""),QUERY('Global Variables'!$A:$B, ""SELECT Col2 WHERE Col1 = 'TEAM_DATA_FIELD_COUNT'""))),
 ""SELECT Col8 ORDER BY Col8 DESC LIMIT ""&amp;QUERY('Global Variables'!$A:$B, ""SELECT Col2 WHERE Col1 = 'ACTIVE_ROSTE"&amp;"R_SIZE'""))))
/5"),0.0)</f>
        <v>0</v>
      </c>
      <c r="L5" s="100">
        <f t="shared" si="2"/>
        <v>1</v>
      </c>
      <c r="M5" s="101"/>
      <c r="N5" s="102"/>
      <c r="P5" s="84"/>
    </row>
    <row r="6">
      <c r="A6" s="34" t="str">
        <f>'Weekly EDSA'!A6</f>
        <v>Farley</v>
      </c>
      <c r="B6" s="94">
        <f>IFERROR(__xludf.DUMMYFUNCTION("COUNTIF(
QUERY(
QUERY(
IFERROR(
OFFSET(Teams!$A$1,MATCH($A6,Teams!$A:$A,0),1,QUERY('Global Variables'!$A:$B, ""SELECT Col2 WHERE Col1 = 'TEAM_SIZE'""),QUERY('Global Variables'!$A:$B, ""SELECT Col2 WHERE Col1 = 'TEAM_DATA_FIELD_COUNT'"")),
OFFSET(Teams!$K$"&amp;"1,MATCH($A6,Teams!$K:$K,0),1,QUERY('Global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,CONCATENATE(""*"",B$1,""*"")
)"),0.0)</f>
        <v>0</v>
      </c>
      <c r="C6" s="94">
        <f>IFERROR(__xludf.DUMMYFUNCTION("COUNTIF(
QUERY(
QUERY(
IFERROR(
OFFSET(Teams!$A$1,MATCH($A6,Teams!$A:$A,0),1,QUERY('Global Variables'!$A:$B, ""SELECT Col2 WHERE Col1 = 'TEAM_SIZE'""),QUERY('Global Variables'!$A:$B, ""SELECT Col2 WHERE Col1 = 'TEAM_DATA_FIELD_COUNT'"")),
OFFSET(Teams!$K$"&amp;"1,MATCH($A6,Teams!$K:$K,0),1,QUERY('Global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,CONCATENATE(""*"",C$1,""*"")
)"),0.0)</f>
        <v>0</v>
      </c>
      <c r="D6" s="94">
        <f>IFERROR(__xludf.DUMMYFUNCTION("COUNTIF(
QUERY(
QUERY(
IFERROR(
OFFSET(Teams!$A$1,MATCH($A6,Teams!$A:$A,0),1,QUERY('Global Variables'!$A:$B, ""SELECT Col2 WHERE Col1 = 'TEAM_SIZE'""),QUERY('Global Variables'!$A:$B, ""SELECT Col2 WHERE Col1 = 'TEAM_DATA_FIELD_COUNT'"")),
OFFSET(Teams!$K$"&amp;"1,MATCH($A6,Teams!$K:$K,0),1,QUERY('Global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,CONCATENATE(""*"",D$1,""*"")
)"),0.0)</f>
        <v>0</v>
      </c>
      <c r="E6" s="95">
        <f>IFERROR(__xludf.DUMMYFUNCTION("AVERAGE(
ARRAYFORMULA(VALUE(QUERY(
QUERY(
IFERROR(OFFSET(Teams!$A$1,MATCH($A6,Teams!$A:$A,0),1,QUERY('Global Variables'!$A:$B, ""SELECT Col2 WHERE Col1 = 'TEAM_SIZE'""),QUERY('Global Variables'!$A:$B, ""SELECT Col2 WHERE Col1 = 'TEAM_DATA_FIELD_COUNT'""))"&amp;",
OFFSET(Teams!$K$1,MATCH($A6,Teams!$K:$K,0),1,QUERY('Global Variables'!$A:$B, ""SELECT Col2 WHERE Col1 = 'TEAM_SIZE'""),QUERY('Global Variables'!$A:$B, ""SELECT Col2 WHERE Col1 = 'TEAM_DATA_FIELD_COUNT'""))),
 ""SELECT * ORDER BY Col6 DESC LIMIT ""&amp;QUERY"&amp;"('Global Variables'!$A:$B, ""SELECT Col2 WHERE Col1 = 'ACTIVE_ROSTER_SIZE'"")),""SELECT Col3""))))"),0.0)</f>
        <v>0</v>
      </c>
      <c r="F6" s="96" t="str">
        <f>IFERROR(__xludf.DUMMYFUNCTION("ARRAYFORMULA(
SUM(1/COUNTIF(
QUERY(
QUERY(
IFERROR(
OFFSET(Teams!$A$1,MATCH($A6,Teams!$A:$A,0),1,QUERY('Global Variables'!$A:$B, ""SELECT Col2 WHERE Col1 = 'TEAM_SIZE'""),QUERY('Global Variables'!$A:$B, ""SELECT Col2 WHERE Col1 = 'TEAM_DATA_FIELD_COUNT'"""&amp;")),
OFFSET(Teams!$K$1,MATCH($A6,Teams!$K:$K,0),1,QUERY('Global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Col4""),
QUERY(
QUERY(
IFERROR(
OFFSET(Teams!$A$1,MATCH($A6,Teams!$A:$A,0),1,QUERY('Global Variables'!$A:$B, ""SELECT Col2 WHERE Col1 = 'TEAM_SIZE'""),QUERY('Global "&amp;"Variables'!$A:$B, ""SELECT Col2 WHERE Col1 = 'TEAM_DATA_FIELD_COUNT'"")),
OFFSET(Teams!$K$1,MATCH($A6,Teams!$K:$K,0),1,QUERY('Global Variables'!$A:$B, ""SELECT Col2 WHERE Col1 = 'TEAM_SIZE'""),QUERY('Global Variables'!$A:$B, ""SELECT Col2 WHERE Col1 = 'TE"&amp;"AM_DATA_FIELD_COUNT'""))),
 ""SELECT * ORDER BY Col6 DESC LIMIT ""&amp;QUERY('Global Variables'!$A:$B, ""SELECT Col2 WHERE Col1 = 'ACTIVE_ROSTER_SIZE'"")),""SELECT Col4"")
))
)"),"#DIV/0!")</f>
        <v>#DIV/0!</v>
      </c>
      <c r="G6" s="97" t="str">
        <f>IFERROR(__xludf.DUMMYFUNCTION("AVERAGE(
QUERY(
QUERY(
IFERROR(
OFFSET(Teams!$A$1,MATCH($A6,Teams!$A:$A,0),1,QUERY('Global Variables'!$A:$B, ""SELECT Col2 WHERE Col1 = 'TEAM_SIZE'""),QUERY('Global Variables'!$A:$B, ""SELECT Col2 WHERE Col1 = 'TEAM_DATA_FIELD_COUNT'"")),
OFFSET(Teams!$K$"&amp;"1,MATCH($A6,Teams!$K:$K,0),1,QUERY('Global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Col5""))"),"#DIV/0!")</f>
        <v>#DIV/0!</v>
      </c>
      <c r="H6" s="98">
        <f>IFERROR(__xludf.DUMMYFUNCTION("AVERAGE(
QUERY(
QUERY(
IFERROR(
OFFSET(Teams!$A$1,MATCH($A6,Teams!$A:$A,0),1,QUERY('Global Variables'!$A:$B, ""SELECT Col2 WHERE Col1 = 'TEAM_SIZE'""),QUERY('Global Variables'!$A:$B, ""SELECT Col2 WHERE Col1 = 'TEAM_DATA_FIELD_COUNT'"")),
OFFSET(Teams!$K$"&amp;"1,MATCH($A6,Teams!$K:$K,0),1,QUERY('Global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Col6""))"),0.0)</f>
        <v>0</v>
      </c>
      <c r="I6" s="99">
        <f>IFERROR(__xludf.DUMMYFUNCTION("AVERAGE(
QUERY(
QUERY(
IFERROR(
OFFSET(Teams!$A$1,MATCH($A6,Teams!$A:$A,0),1,QUERY('Global Variables'!$A:$B, ""SELECT Col2 WHERE Col1 = 'TEAM_SIZE'""),QUERY('Global Variables'!$A:$B, ""SELECT Col2 WHERE Col1 = 'TEAM_DATA_FIELD_COUNT'"")),
OFFSET(Teams!$K$"&amp;"1,MATCH($A6,Teams!$K:$K,0),1,QUERY('Global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Col7""))"),0.0)</f>
        <v>0</v>
      </c>
      <c r="J6" s="97" t="str">
        <f t="shared" si="1"/>
        <v>#DIV/0!</v>
      </c>
      <c r="K6" s="31">
        <f>IFERROR(__xludf.DUMMYFUNCTION("(
AVERAGE(QUERY(IFERROR(
OFFSET(Teams!$A$1,MATCH($A6,Teams!$A:$A,0),1,QUERY('Global Variables'!$A:$B, ""SELECT Col2 WHERE Col1 = 'TEAM_SIZE'""),QUERY('Global Variables'!$A:$B, ""SELECT Col2 WHERE Col1 = 'TEAM_DATA_FIELD_COUNT'"")),
OFFSET(Teams!$K$1,MATCH"&amp;"($A6,Teams!$K:$K,0),1,QUERY('Global Variables'!$A:$B, ""SELECT Col2 WHERE Col1 = 'TEAM_SIZE'""),QUERY('Global Variables'!$A:$B, ""SELECT Col2 WHERE Col1 = 'TEAM_DATA_FIELD_COUNT'""))),
 ""SELECT Col8 ORDER BY Col8 DESC LIMIT 5""))*3 +
AVERAGE(QUERY(IFERRO"&amp;"R(
OFFSET(Teams!$A$1,MATCH($A6,Teams!$A:$A,0),1,QUERY('Global Variables'!$A:$B, ""SELECT Col2 WHERE Col1 = 'TEAM_SIZE'""),QUERY('Global Variables'!$A:$B, ""SELECT Col2 WHERE Col1 = 'TEAM_DATA_FIELD_COUNT'"")),
OFFSET(Teams!$K$1,MATCH($A6,Teams!$K:$K,0),1,"&amp;"QUERY('Global Variables'!$A:$B, ""SELECT Col2 WHERE Col1 = 'TEAM_SIZE'""),QUERY('Global Variables'!$A:$B, ""SELECT Col2 WHERE Col1 = 'TEAM_DATA_FIELD_COUNT'""))),
 ""SELECT Col8 ORDER BY Col8 DESC LIMIT 8"")) + 
AVERAGE(QUERY(IFERROR(
OFFSET(Teams!$A$1,MA"&amp;"TCH($A6,Teams!$A:$A,0),1,QUERY('Global Variables'!$A:$B, ""SELECT Col2 WHERE Col1 = 'TEAM_SIZE'""),QUERY('Global Variables'!$A:$B, ""SELECT Col2 WHERE Col1 = 'TEAM_DATA_FIELD_COUNT'"")),
OFFSET(Teams!$K$1,MATCH($A6,Teams!$K:$K,0),1,QUERY('Global Variables"&amp;"'!$A:$B, ""SELECT Col2 WHERE Col1 = 'TEAM_SIZE'""),QUERY('Global Variables'!$A:$B, ""SELECT Col2 WHERE Col1 = 'TEAM_DATA_FIELD_COUNT'""))),
 ""SELECT Col8 ORDER BY Col8 DESC LIMIT ""&amp;QUERY('Global Variables'!$A:$B, ""SELECT Col2 WHERE Col1 = 'ACTIVE_ROSTE"&amp;"R_SIZE'""))))
/5"),0.0)</f>
        <v>0</v>
      </c>
      <c r="L6" s="100">
        <f t="shared" si="2"/>
        <v>1</v>
      </c>
      <c r="M6" s="101"/>
      <c r="N6" s="102"/>
      <c r="P6" s="84"/>
    </row>
    <row r="7">
      <c r="A7" s="34" t="str">
        <f>'Weekly EDSA'!A7</f>
        <v>Parkinson</v>
      </c>
      <c r="B7" s="94">
        <f>IFERROR(__xludf.DUMMYFUNCTION("COUNTIF(
QUERY(
QUERY(
IFERROR(
OFFSET(Teams!$A$1,MATCH($A7,Teams!$A:$A,0),1,QUERY('Global Variables'!$A:$B, ""SELECT Col2 WHERE Col1 = 'TEAM_SIZE'""),QUERY('Global Variables'!$A:$B, ""SELECT Col2 WHERE Col1 = 'TEAM_DATA_FIELD_COUNT'"")),
OFFSET(Teams!$K$"&amp;"1,MATCH($A7,Teams!$K:$K,0),1,QUERY('Global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,CONCATENATE(""*"",B$1,""*"")
)"),0.0)</f>
        <v>0</v>
      </c>
      <c r="C7" s="94">
        <f>IFERROR(__xludf.DUMMYFUNCTION("COUNTIF(
QUERY(
QUERY(
IFERROR(
OFFSET(Teams!$A$1,MATCH($A7,Teams!$A:$A,0),1,QUERY('Global Variables'!$A:$B, ""SELECT Col2 WHERE Col1 = 'TEAM_SIZE'""),QUERY('Global Variables'!$A:$B, ""SELECT Col2 WHERE Col1 = 'TEAM_DATA_FIELD_COUNT'"")),
OFFSET(Teams!$K$"&amp;"1,MATCH($A7,Teams!$K:$K,0),1,QUERY('Global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,CONCATENATE(""*"",C$1,""*"")
)"),0.0)</f>
        <v>0</v>
      </c>
      <c r="D7" s="94">
        <f>IFERROR(__xludf.DUMMYFUNCTION("COUNTIF(
QUERY(
QUERY(
IFERROR(
OFFSET(Teams!$A$1,MATCH($A7,Teams!$A:$A,0),1,QUERY('Global Variables'!$A:$B, ""SELECT Col2 WHERE Col1 = 'TEAM_SIZE'""),QUERY('Global Variables'!$A:$B, ""SELECT Col2 WHERE Col1 = 'TEAM_DATA_FIELD_COUNT'"")),
OFFSET(Teams!$K$"&amp;"1,MATCH($A7,Teams!$K:$K,0),1,QUERY('Global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,CONCATENATE(""*"",D$1,""*"")
)"),0.0)</f>
        <v>0</v>
      </c>
      <c r="E7" s="95">
        <f>IFERROR(__xludf.DUMMYFUNCTION("AVERAGE(
ARRAYFORMULA(VALUE(QUERY(
QUERY(
IFERROR(OFFSET(Teams!$A$1,MATCH($A7,Teams!$A:$A,0),1,QUERY('Global Variables'!$A:$B, ""SELECT Col2 WHERE Col1 = 'TEAM_SIZE'""),QUERY('Global Variables'!$A:$B, ""SELECT Col2 WHERE Col1 = 'TEAM_DATA_FIELD_COUNT'""))"&amp;",
OFFSET(Teams!$K$1,MATCH($A7,Teams!$K:$K,0),1,QUERY('Global Variables'!$A:$B, ""SELECT Col2 WHERE Col1 = 'TEAM_SIZE'""),QUERY('Global Variables'!$A:$B, ""SELECT Col2 WHERE Col1 = 'TEAM_DATA_FIELD_COUNT'""))),
 ""SELECT * ORDER BY Col6 DESC LIMIT ""&amp;QUERY"&amp;"('Global Variables'!$A:$B, ""SELECT Col2 WHERE Col1 = 'ACTIVE_ROSTER_SIZE'"")),""SELECT Col3""))))"),0.0)</f>
        <v>0</v>
      </c>
      <c r="F7" s="96" t="str">
        <f>IFERROR(__xludf.DUMMYFUNCTION("ARRAYFORMULA(
SUM(1/COUNTIF(
QUERY(
QUERY(
IFERROR(
OFFSET(Teams!$A$1,MATCH($A7,Teams!$A:$A,0),1,QUERY('Global Variables'!$A:$B, ""SELECT Col2 WHERE Col1 = 'TEAM_SIZE'""),QUERY('Global Variables'!$A:$B, ""SELECT Col2 WHERE Col1 = 'TEAM_DATA_FIELD_COUNT'"""&amp;")),
OFFSET(Teams!$K$1,MATCH($A7,Teams!$K:$K,0),1,QUERY('Global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Col4""),
QUERY(
QUERY(
IFERROR(
OFFSET(Teams!$A$1,MATCH($A7,Teams!$A:$A,0),1,QUERY('Global Variables'!$A:$B, ""SELECT Col2 WHERE Col1 = 'TEAM_SIZE'""),QUERY('Global "&amp;"Variables'!$A:$B, ""SELECT Col2 WHERE Col1 = 'TEAM_DATA_FIELD_COUNT'"")),
OFFSET(Teams!$K$1,MATCH($A7,Teams!$K:$K,0),1,QUERY('Global Variables'!$A:$B, ""SELECT Col2 WHERE Col1 = 'TEAM_SIZE'""),QUERY('Global Variables'!$A:$B, ""SELECT Col2 WHERE Col1 = 'TE"&amp;"AM_DATA_FIELD_COUNT'""))),
 ""SELECT * ORDER BY Col6 DESC LIMIT ""&amp;QUERY('Global Variables'!$A:$B, ""SELECT Col2 WHERE Col1 = 'ACTIVE_ROSTER_SIZE'"")),""SELECT Col4"")
))
)"),"#DIV/0!")</f>
        <v>#DIV/0!</v>
      </c>
      <c r="G7" s="97" t="str">
        <f>IFERROR(__xludf.DUMMYFUNCTION("AVERAGE(
QUERY(
QUERY(
IFERROR(
OFFSET(Teams!$A$1,MATCH($A7,Teams!$A:$A,0),1,QUERY('Global Variables'!$A:$B, ""SELECT Col2 WHERE Col1 = 'TEAM_SIZE'""),QUERY('Global Variables'!$A:$B, ""SELECT Col2 WHERE Col1 = 'TEAM_DATA_FIELD_COUNT'"")),
OFFSET(Teams!$K$"&amp;"1,MATCH($A7,Teams!$K:$K,0),1,QUERY('Global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Col5""))"),"#DIV/0!")</f>
        <v>#DIV/0!</v>
      </c>
      <c r="H7" s="98">
        <f>IFERROR(__xludf.DUMMYFUNCTION("AVERAGE(
QUERY(
QUERY(
IFERROR(
OFFSET(Teams!$A$1,MATCH($A7,Teams!$A:$A,0),1,QUERY('Global Variables'!$A:$B, ""SELECT Col2 WHERE Col1 = 'TEAM_SIZE'""),QUERY('Global Variables'!$A:$B, ""SELECT Col2 WHERE Col1 = 'TEAM_DATA_FIELD_COUNT'"")),
OFFSET(Teams!$K$"&amp;"1,MATCH($A7,Teams!$K:$K,0),1,QUERY('Global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Col6""))"),0.0)</f>
        <v>0</v>
      </c>
      <c r="I7" s="99">
        <f>IFERROR(__xludf.DUMMYFUNCTION("AVERAGE(
QUERY(
QUERY(
IFERROR(
OFFSET(Teams!$A$1,MATCH($A7,Teams!$A:$A,0),1,QUERY('Global Variables'!$A:$B, ""SELECT Col2 WHERE Col1 = 'TEAM_SIZE'""),QUERY('Global Variables'!$A:$B, ""SELECT Col2 WHERE Col1 = 'TEAM_DATA_FIELD_COUNT'"")),
OFFSET(Teams!$K$"&amp;"1,MATCH($A7,Teams!$K:$K,0),1,QUERY('Global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Col7""))"),0.0)</f>
        <v>0</v>
      </c>
      <c r="J7" s="97" t="str">
        <f t="shared" si="1"/>
        <v>#DIV/0!</v>
      </c>
      <c r="K7" s="31">
        <f>IFERROR(__xludf.DUMMYFUNCTION("(
AVERAGE(QUERY(IFERROR(
OFFSET(Teams!$A$1,MATCH($A7,Teams!$A:$A,0),1,QUERY('Global Variables'!$A:$B, ""SELECT Col2 WHERE Col1 = 'TEAM_SIZE'""),QUERY('Global Variables'!$A:$B, ""SELECT Col2 WHERE Col1 = 'TEAM_DATA_FIELD_COUNT'"")),
OFFSET(Teams!$K$1,MATCH"&amp;"($A7,Teams!$K:$K,0),1,QUERY('Global Variables'!$A:$B, ""SELECT Col2 WHERE Col1 = 'TEAM_SIZE'""),QUERY('Global Variables'!$A:$B, ""SELECT Col2 WHERE Col1 = 'TEAM_DATA_FIELD_COUNT'""))),
 ""SELECT Col8 ORDER BY Col8 DESC LIMIT 5""))*3 +
AVERAGE(QUERY(IFERRO"&amp;"R(
OFFSET(Teams!$A$1,MATCH($A7,Teams!$A:$A,0),1,QUERY('Global Variables'!$A:$B, ""SELECT Col2 WHERE Col1 = 'TEAM_SIZE'""),QUERY('Global Variables'!$A:$B, ""SELECT Col2 WHERE Col1 = 'TEAM_DATA_FIELD_COUNT'"")),
OFFSET(Teams!$K$1,MATCH($A7,Teams!$K:$K,0),1,"&amp;"QUERY('Global Variables'!$A:$B, ""SELECT Col2 WHERE Col1 = 'TEAM_SIZE'""),QUERY('Global Variables'!$A:$B, ""SELECT Col2 WHERE Col1 = 'TEAM_DATA_FIELD_COUNT'""))),
 ""SELECT Col8 ORDER BY Col8 DESC LIMIT 8"")) + 
AVERAGE(QUERY(IFERROR(
OFFSET(Teams!$A$1,MA"&amp;"TCH($A7,Teams!$A:$A,0),1,QUERY('Global Variables'!$A:$B, ""SELECT Col2 WHERE Col1 = 'TEAM_SIZE'""),QUERY('Global Variables'!$A:$B, ""SELECT Col2 WHERE Col1 = 'TEAM_DATA_FIELD_COUNT'"")),
OFFSET(Teams!$K$1,MATCH($A7,Teams!$K:$K,0),1,QUERY('Global Variables"&amp;"'!$A:$B, ""SELECT Col2 WHERE Col1 = 'TEAM_SIZE'""),QUERY('Global Variables'!$A:$B, ""SELECT Col2 WHERE Col1 = 'TEAM_DATA_FIELD_COUNT'""))),
 ""SELECT Col8 ORDER BY Col8 DESC LIMIT ""&amp;QUERY('Global Variables'!$A:$B, ""SELECT Col2 WHERE Col1 = 'ACTIVE_ROSTE"&amp;"R_SIZE'""))))
/5"),0.0)</f>
        <v>0</v>
      </c>
      <c r="L7" s="100">
        <f t="shared" si="2"/>
        <v>1</v>
      </c>
      <c r="M7" s="101"/>
      <c r="N7" s="102"/>
      <c r="P7" s="84"/>
    </row>
    <row r="8">
      <c r="A8" s="34" t="str">
        <f>'Weekly EDSA'!A8</f>
        <v>Sullivan</v>
      </c>
      <c r="B8" s="94">
        <f>IFERROR(__xludf.DUMMYFUNCTION("COUNTIF(
QUERY(
QUERY(
IFERROR(
OFFSET(Teams!$A$1,MATCH($A8,Teams!$A:$A,0),1,QUERY('Global Variables'!$A:$B, ""SELECT Col2 WHERE Col1 = 'TEAM_SIZE'""),QUERY('Global Variables'!$A:$B, ""SELECT Col2 WHERE Col1 = 'TEAM_DATA_FIELD_COUNT'"")),
OFFSET(Teams!$K$"&amp;"1,MATCH($A8,Teams!$K:$K,0),1,QUERY('Global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,CONCATENATE(""*"",B$1,""*"")
)"),0.0)</f>
        <v>0</v>
      </c>
      <c r="C8" s="94">
        <f>IFERROR(__xludf.DUMMYFUNCTION("COUNTIF(
QUERY(
QUERY(
IFERROR(
OFFSET(Teams!$A$1,MATCH($A8,Teams!$A:$A,0),1,QUERY('Global Variables'!$A:$B, ""SELECT Col2 WHERE Col1 = 'TEAM_SIZE'""),QUERY('Global Variables'!$A:$B, ""SELECT Col2 WHERE Col1 = 'TEAM_DATA_FIELD_COUNT'"")),
OFFSET(Teams!$K$"&amp;"1,MATCH($A8,Teams!$K:$K,0),1,QUERY('Global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,CONCATENATE(""*"",C$1,""*"")
)"),0.0)</f>
        <v>0</v>
      </c>
      <c r="D8" s="94">
        <f>IFERROR(__xludf.DUMMYFUNCTION("COUNTIF(
QUERY(
QUERY(
IFERROR(
OFFSET(Teams!$A$1,MATCH($A8,Teams!$A:$A,0),1,QUERY('Global Variables'!$A:$B, ""SELECT Col2 WHERE Col1 = 'TEAM_SIZE'""),QUERY('Global Variables'!$A:$B, ""SELECT Col2 WHERE Col1 = 'TEAM_DATA_FIELD_COUNT'"")),
OFFSET(Teams!$K$"&amp;"1,MATCH($A8,Teams!$K:$K,0),1,QUERY('Global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,CONCATENATE(""*"",D$1,""*"")
)"),0.0)</f>
        <v>0</v>
      </c>
      <c r="E8" s="95">
        <f>IFERROR(__xludf.DUMMYFUNCTION("AVERAGE(
ARRAYFORMULA(VALUE(QUERY(
QUERY(
IFERROR(OFFSET(Teams!$A$1,MATCH($A8,Teams!$A:$A,0),1,QUERY('Global Variables'!$A:$B, ""SELECT Col2 WHERE Col1 = 'TEAM_SIZE'""),QUERY('Global Variables'!$A:$B, ""SELECT Col2 WHERE Col1 = 'TEAM_DATA_FIELD_COUNT'""))"&amp;",
OFFSET(Teams!$K$1,MATCH($A8,Teams!$K:$K,0),1,QUERY('Global Variables'!$A:$B, ""SELECT Col2 WHERE Col1 = 'TEAM_SIZE'""),QUERY('Global Variables'!$A:$B, ""SELECT Col2 WHERE Col1 = 'TEAM_DATA_FIELD_COUNT'""))),
 ""SELECT * ORDER BY Col6 DESC LIMIT ""&amp;QUERY"&amp;"('Global Variables'!$A:$B, ""SELECT Col2 WHERE Col1 = 'ACTIVE_ROSTER_SIZE'"")),""SELECT Col3""))))"),0.0)</f>
        <v>0</v>
      </c>
      <c r="F8" s="96" t="str">
        <f>IFERROR(__xludf.DUMMYFUNCTION("ARRAYFORMULA(
SUM(1/COUNTIF(
QUERY(
QUERY(
IFERROR(
OFFSET(Teams!$A$1,MATCH($A8,Teams!$A:$A,0),1,QUERY('Global Variables'!$A:$B, ""SELECT Col2 WHERE Col1 = 'TEAM_SIZE'""),QUERY('Global Variables'!$A:$B, ""SELECT Col2 WHERE Col1 = 'TEAM_DATA_FIELD_COUNT'"""&amp;")),
OFFSET(Teams!$K$1,MATCH($A8,Teams!$K:$K,0),1,QUERY('Global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Col4""),
QUERY(
QUERY(
IFERROR(
OFFSET(Teams!$A$1,MATCH($A8,Teams!$A:$A,0),1,QUERY('Global Variables'!$A:$B, ""SELECT Col2 WHERE Col1 = 'TEAM_SIZE'""),QUERY('Global "&amp;"Variables'!$A:$B, ""SELECT Col2 WHERE Col1 = 'TEAM_DATA_FIELD_COUNT'"")),
OFFSET(Teams!$K$1,MATCH($A8,Teams!$K:$K,0),1,QUERY('Global Variables'!$A:$B, ""SELECT Col2 WHERE Col1 = 'TEAM_SIZE'""),QUERY('Global Variables'!$A:$B, ""SELECT Col2 WHERE Col1 = 'TE"&amp;"AM_DATA_FIELD_COUNT'""))),
 ""SELECT * ORDER BY Col6 DESC LIMIT ""&amp;QUERY('Global Variables'!$A:$B, ""SELECT Col2 WHERE Col1 = 'ACTIVE_ROSTER_SIZE'"")),""SELECT Col4"")
))
)"),"#DIV/0!")</f>
        <v>#DIV/0!</v>
      </c>
      <c r="G8" s="97" t="str">
        <f>IFERROR(__xludf.DUMMYFUNCTION("AVERAGE(
QUERY(
QUERY(
IFERROR(
OFFSET(Teams!$A$1,MATCH($A8,Teams!$A:$A,0),1,QUERY('Global Variables'!$A:$B, ""SELECT Col2 WHERE Col1 = 'TEAM_SIZE'""),QUERY('Global Variables'!$A:$B, ""SELECT Col2 WHERE Col1 = 'TEAM_DATA_FIELD_COUNT'"")),
OFFSET(Teams!$K$"&amp;"1,MATCH($A8,Teams!$K:$K,0),1,QUERY('Global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Col5""))"),"#DIV/0!")</f>
        <v>#DIV/0!</v>
      </c>
      <c r="H8" s="98">
        <f>IFERROR(__xludf.DUMMYFUNCTION("AVERAGE(
QUERY(
QUERY(
IFERROR(
OFFSET(Teams!$A$1,MATCH($A8,Teams!$A:$A,0),1,QUERY('Global Variables'!$A:$B, ""SELECT Col2 WHERE Col1 = 'TEAM_SIZE'""),QUERY('Global Variables'!$A:$B, ""SELECT Col2 WHERE Col1 = 'TEAM_DATA_FIELD_COUNT'"")),
OFFSET(Teams!$K$"&amp;"1,MATCH($A8,Teams!$K:$K,0),1,QUERY('Global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Col6""))"),0.0)</f>
        <v>0</v>
      </c>
      <c r="I8" s="99">
        <f>IFERROR(__xludf.DUMMYFUNCTION("AVERAGE(
QUERY(
QUERY(
IFERROR(
OFFSET(Teams!$A$1,MATCH($A8,Teams!$A:$A,0),1,QUERY('Global Variables'!$A:$B, ""SELECT Col2 WHERE Col1 = 'TEAM_SIZE'""),QUERY('Global Variables'!$A:$B, ""SELECT Col2 WHERE Col1 = 'TEAM_DATA_FIELD_COUNT'"")),
OFFSET(Teams!$K$"&amp;"1,MATCH($A8,Teams!$K:$K,0),1,QUERY('Global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Col7""))"),0.0)</f>
        <v>0</v>
      </c>
      <c r="J8" s="97" t="str">
        <f t="shared" si="1"/>
        <v>#DIV/0!</v>
      </c>
      <c r="K8" s="31">
        <f>IFERROR(__xludf.DUMMYFUNCTION("(
AVERAGE(QUERY(IFERROR(
OFFSET(Teams!$A$1,MATCH($A8,Teams!$A:$A,0),1,QUERY('Global Variables'!$A:$B, ""SELECT Col2 WHERE Col1 = 'TEAM_SIZE'""),QUERY('Global Variables'!$A:$B, ""SELECT Col2 WHERE Col1 = 'TEAM_DATA_FIELD_COUNT'"")),
OFFSET(Teams!$K$1,MATCH"&amp;"($A8,Teams!$K:$K,0),1,QUERY('Global Variables'!$A:$B, ""SELECT Col2 WHERE Col1 = 'TEAM_SIZE'""),QUERY('Global Variables'!$A:$B, ""SELECT Col2 WHERE Col1 = 'TEAM_DATA_FIELD_COUNT'""))),
 ""SELECT Col8 ORDER BY Col8 DESC LIMIT 5""))*3 +
AVERAGE(QUERY(IFERRO"&amp;"R(
OFFSET(Teams!$A$1,MATCH($A8,Teams!$A:$A,0),1,QUERY('Global Variables'!$A:$B, ""SELECT Col2 WHERE Col1 = 'TEAM_SIZE'""),QUERY('Global Variables'!$A:$B, ""SELECT Col2 WHERE Col1 = 'TEAM_DATA_FIELD_COUNT'"")),
OFFSET(Teams!$K$1,MATCH($A8,Teams!$K:$K,0),1,"&amp;"QUERY('Global Variables'!$A:$B, ""SELECT Col2 WHERE Col1 = 'TEAM_SIZE'""),QUERY('Global Variables'!$A:$B, ""SELECT Col2 WHERE Col1 = 'TEAM_DATA_FIELD_COUNT'""))),
 ""SELECT Col8 ORDER BY Col8 DESC LIMIT 8"")) + 
AVERAGE(QUERY(IFERROR(
OFFSET(Teams!$A$1,MA"&amp;"TCH($A8,Teams!$A:$A,0),1,QUERY('Global Variables'!$A:$B, ""SELECT Col2 WHERE Col1 = 'TEAM_SIZE'""),QUERY('Global Variables'!$A:$B, ""SELECT Col2 WHERE Col1 = 'TEAM_DATA_FIELD_COUNT'"")),
OFFSET(Teams!$K$1,MATCH($A8,Teams!$K:$K,0),1,QUERY('Global Variables"&amp;"'!$A:$B, ""SELECT Col2 WHERE Col1 = 'TEAM_SIZE'""),QUERY('Global Variables'!$A:$B, ""SELECT Col2 WHERE Col1 = 'TEAM_DATA_FIELD_COUNT'""))),
 ""SELECT Col8 ORDER BY Col8 DESC LIMIT ""&amp;QUERY('Global Variables'!$A:$B, ""SELECT Col2 WHERE Col1 = 'ACTIVE_ROSTE"&amp;"R_SIZE'""))))
/5"),0.0)</f>
        <v>0</v>
      </c>
      <c r="L8" s="100">
        <f t="shared" si="2"/>
        <v>1</v>
      </c>
      <c r="M8" s="101"/>
      <c r="N8" s="102"/>
      <c r="P8" s="84"/>
    </row>
    <row r="9">
      <c r="A9" s="34" t="str">
        <f>'Weekly EDSA'!A9</f>
        <v>Maguire</v>
      </c>
      <c r="B9" s="94">
        <f>IFERROR(__xludf.DUMMYFUNCTION("COUNTIF(
QUERY(
QUERY(
IFERROR(
OFFSET(Teams!$A$1,MATCH($A9,Teams!$A:$A,0),1,QUERY('Global Variables'!$A:$B, ""SELECT Col2 WHERE Col1 = 'TEAM_SIZE'""),QUERY('Global Variables'!$A:$B, ""SELECT Col2 WHERE Col1 = 'TEAM_DATA_FIELD_COUNT'"")),
OFFSET(Teams!$K$"&amp;"1,MATCH($A9,Teams!$K:$K,0),1,QUERY('Global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,CONCATENATE(""*"",B$1,""*"")
)"),0.0)</f>
        <v>0</v>
      </c>
      <c r="C9" s="94">
        <f>IFERROR(__xludf.DUMMYFUNCTION("COUNTIF(
QUERY(
QUERY(
IFERROR(
OFFSET(Teams!$A$1,MATCH($A9,Teams!$A:$A,0),1,QUERY('Global Variables'!$A:$B, ""SELECT Col2 WHERE Col1 = 'TEAM_SIZE'""),QUERY('Global Variables'!$A:$B, ""SELECT Col2 WHERE Col1 = 'TEAM_DATA_FIELD_COUNT'"")),
OFFSET(Teams!$K$"&amp;"1,MATCH($A9,Teams!$K:$K,0),1,QUERY('Global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,CONCATENATE(""*"",C$1,""*"")
)"),0.0)</f>
        <v>0</v>
      </c>
      <c r="D9" s="94">
        <f>IFERROR(__xludf.DUMMYFUNCTION("COUNTIF(
QUERY(
QUERY(
IFERROR(
OFFSET(Teams!$A$1,MATCH($A9,Teams!$A:$A,0),1,QUERY('Global Variables'!$A:$B, ""SELECT Col2 WHERE Col1 = 'TEAM_SIZE'""),QUERY('Global Variables'!$A:$B, ""SELECT Col2 WHERE Col1 = 'TEAM_DATA_FIELD_COUNT'"")),
OFFSET(Teams!$K$"&amp;"1,MATCH($A9,Teams!$K:$K,0),1,QUERY('Global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
""SELECT Col2"")
,CONCATENATE(""*"",D$1,""*"")
)"),0.0)</f>
        <v>0</v>
      </c>
      <c r="E9" s="95">
        <f>IFERROR(__xludf.DUMMYFUNCTION("AVERAGE(
ARRAYFORMULA(VALUE(QUERY(
QUERY(
IFERROR(OFFSET(Teams!$A$1,MATCH($A9,Teams!$A:$A,0),1,QUERY('Global Variables'!$A:$B, ""SELECT Col2 WHERE Col1 = 'TEAM_SIZE'""),QUERY('Global Variables'!$A:$B, ""SELECT Col2 WHERE Col1 = 'TEAM_DATA_FIELD_COUNT'""))"&amp;",
OFFSET(Teams!$K$1,MATCH($A9,Teams!$K:$K,0),1,QUERY('Global Variables'!$A:$B, ""SELECT Col2 WHERE Col1 = 'TEAM_SIZE'""),QUERY('Global Variables'!$A:$B, ""SELECT Col2 WHERE Col1 = 'TEAM_DATA_FIELD_COUNT'""))),
 ""SELECT * ORDER BY Col6 DESC LIMIT ""&amp;QUERY"&amp;"('Global Variables'!$A:$B, ""SELECT Col2 WHERE Col1 = 'ACTIVE_ROSTER_SIZE'"")),""SELECT Col3""))))"),0.0)</f>
        <v>0</v>
      </c>
      <c r="F9" s="96" t="str">
        <f>IFERROR(__xludf.DUMMYFUNCTION("ARRAYFORMULA(
SUM(1/COUNTIF(
QUERY(
QUERY(
IFERROR(
OFFSET(Teams!$A$1,MATCH($A9,Teams!$A:$A,0),1,QUERY('Global Variables'!$A:$B, ""SELECT Col2 WHERE Col1 = 'TEAM_SIZE'""),QUERY('Global Variables'!$A:$B, ""SELECT Col2 WHERE Col1 = 'TEAM_DATA_FIELD_COUNT'"""&amp;")),
OFFSET(Teams!$K$1,MATCH($A9,Teams!$K:$K,0),1,QUERY('Global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Col4""),
QUERY(
QUERY(
IFERROR(
OFFSET(Teams!$A$1,MATCH($A9,Teams!$A:$A,0),1,QUERY('Global Variables'!$A:$B, ""SELECT Col2 WHERE Col1 = 'TEAM_SIZE'""),QUERY('Global "&amp;"Variables'!$A:$B, ""SELECT Col2 WHERE Col1 = 'TEAM_DATA_FIELD_COUNT'"")),
OFFSET(Teams!$K$1,MATCH($A9,Teams!$K:$K,0),1,QUERY('Global Variables'!$A:$B, ""SELECT Col2 WHERE Col1 = 'TEAM_SIZE'""),QUERY('Global Variables'!$A:$B, ""SELECT Col2 WHERE Col1 = 'TE"&amp;"AM_DATA_FIELD_COUNT'""))),
 ""SELECT * ORDER BY Col6 DESC LIMIT ""&amp;QUERY('Global Variables'!$A:$B, ""SELECT Col2 WHERE Col1 = 'ACTIVE_ROSTER_SIZE'"")),""SELECT Col4"")
))
)"),"#DIV/0!")</f>
        <v>#DIV/0!</v>
      </c>
      <c r="G9" s="97" t="str">
        <f>IFERROR(__xludf.DUMMYFUNCTION("AVERAGE(
QUERY(
QUERY(
IFERROR(
OFFSET(Teams!$A$1,MATCH($A9,Teams!$A:$A,0),1,QUERY('Global Variables'!$A:$B, ""SELECT Col2 WHERE Col1 = 'TEAM_SIZE'""),QUERY('Global Variables'!$A:$B, ""SELECT Col2 WHERE Col1 = 'TEAM_DATA_FIELD_COUNT'"")),
OFFSET(Teams!$K$"&amp;"1,MATCH($A9,Teams!$K:$K,0),1,QUERY('Global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Col5""))"),"#DIV/0!")</f>
        <v>#DIV/0!</v>
      </c>
      <c r="H9" s="98">
        <f>IFERROR(__xludf.DUMMYFUNCTION("AVERAGE(
QUERY(
QUERY(
IFERROR(
OFFSET(Teams!$A$1,MATCH($A9,Teams!$A:$A,0),1,QUERY('Global Variables'!$A:$B, ""SELECT Col2 WHERE Col1 = 'TEAM_SIZE'""),QUERY('Global Variables'!$A:$B, ""SELECT Col2 WHERE Col1 = 'TEAM_DATA_FIELD_COUNT'"")),
OFFSET(Teams!$K$"&amp;"1,MATCH($A9,Teams!$K:$K,0),1,QUERY('Global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Col6""))"),0.0)</f>
        <v>0</v>
      </c>
      <c r="I9" s="99">
        <f>IFERROR(__xludf.DUMMYFUNCTION("AVERAGE(
QUERY(
QUERY(
IFERROR(
OFFSET(Teams!$A$1,MATCH($A9,Teams!$A:$A,0),1,QUERY('Global Variables'!$A:$B, ""SELECT Col2 WHERE Col1 = 'TEAM_SIZE'""),QUERY('Global Variables'!$A:$B, ""SELECT Col2 WHERE Col1 = 'TEAM_DATA_FIELD_COUNT'"")),
OFFSET(Teams!$K$"&amp;"1,MATCH($A9,Teams!$K:$K,0),1,QUERY('Global Variables'!$A:$B, ""SELECT Col2 WHERE Col1 = 'TEAM_SIZE'""),QUERY('Global Variables'!$A:$B, ""SELECT Col2 WHERE Col1 = 'TEAM_DATA_FIELD_COUNT'""))),
 ""SELECT * ORDER BY Col6 DESC LIMIT ""&amp;QUERY('Global Variables"&amp;"'!$A:$B, ""SELECT Col2 WHERE Col1 = 'ACTIVE_ROSTER_SIZE'"")),""SELECT Col7""))"),0.0)</f>
        <v>0</v>
      </c>
      <c r="J9" s="97" t="str">
        <f t="shared" si="1"/>
        <v>#DIV/0!</v>
      </c>
      <c r="K9" s="31">
        <f>IFERROR(__xludf.DUMMYFUNCTION("(
AVERAGE(QUERY(IFERROR(
OFFSET(Teams!$A$1,MATCH($A9,Teams!$A:$A,0),1,QUERY('Global Variables'!$A:$B, ""SELECT Col2 WHERE Col1 = 'TEAM_SIZE'""),QUERY('Global Variables'!$A:$B, ""SELECT Col2 WHERE Col1 = 'TEAM_DATA_FIELD_COUNT'"")),
OFFSET(Teams!$K$1,MATCH"&amp;"($A9,Teams!$K:$K,0),1,QUERY('Global Variables'!$A:$B, ""SELECT Col2 WHERE Col1 = 'TEAM_SIZE'""),QUERY('Global Variables'!$A:$B, ""SELECT Col2 WHERE Col1 = 'TEAM_DATA_FIELD_COUNT'""))),
 ""SELECT Col8 ORDER BY Col8 DESC LIMIT 5""))*3 +
AVERAGE(QUERY(IFERRO"&amp;"R(
OFFSET(Teams!$A$1,MATCH($A9,Teams!$A:$A,0),1,QUERY('Global Variables'!$A:$B, ""SELECT Col2 WHERE Col1 = 'TEAM_SIZE'""),QUERY('Global Variables'!$A:$B, ""SELECT Col2 WHERE Col1 = 'TEAM_DATA_FIELD_COUNT'"")),
OFFSET(Teams!$K$1,MATCH($A9,Teams!$K:$K,0),1,"&amp;"QUERY('Global Variables'!$A:$B, ""SELECT Col2 WHERE Col1 = 'TEAM_SIZE'""),QUERY('Global Variables'!$A:$B, ""SELECT Col2 WHERE Col1 = 'TEAM_DATA_FIELD_COUNT'""))),
 ""SELECT Col8 ORDER BY Col8 DESC LIMIT 8"")) + 
AVERAGE(QUERY(IFERROR(
OFFSET(Teams!$A$1,MA"&amp;"TCH($A9,Teams!$A:$A,0),1,QUERY('Global Variables'!$A:$B, ""SELECT Col2 WHERE Col1 = 'TEAM_SIZE'""),QUERY('Global Variables'!$A:$B, ""SELECT Col2 WHERE Col1 = 'TEAM_DATA_FIELD_COUNT'"")),
OFFSET(Teams!$K$1,MATCH($A9,Teams!$K:$K,0),1,QUERY('Global Variables"&amp;"'!$A:$B, ""SELECT Col2 WHERE Col1 = 'TEAM_SIZE'""),QUERY('Global Variables'!$A:$B, ""SELECT Col2 WHERE Col1 = 'TEAM_DATA_FIELD_COUNT'""))),
 ""SELECT Col8 ORDER BY Col8 DESC LIMIT ""&amp;QUERY('Global Variables'!$A:$B, ""SELECT Col2 WHERE Col1 = 'ACTIVE_ROSTE"&amp;"R_SIZE'""))))
/5"),0.0)</f>
        <v>0</v>
      </c>
      <c r="L9" s="100">
        <f t="shared" si="2"/>
        <v>1</v>
      </c>
      <c r="M9" s="101"/>
      <c r="N9" s="102"/>
      <c r="P9" s="84"/>
    </row>
    <row r="10">
      <c r="A10" s="34" t="str">
        <f>'Weekly EDSA'!A10</f>
        <v>Biales</v>
      </c>
      <c r="B10" s="94">
        <f>IFERROR(__xludf.DUMMYFUNCTION("COUNTIF(
QUERY(
QUERY(
IFERROR(
OFFSET(Teams!$A$1,MATCH($A10,Teams!$A:$A,0),1,QUERY('Global Variables'!$A:$B, ""SELECT Col2 WHERE Col1 = 'TEAM_SIZE'""),QUERY('Global Variables'!$A:$B, ""SELECT Col2 WHERE Col1 = 'TEAM_DATA_FIELD_COUNT'"")),
OFFSET(Teams!$K"&amp;"$1,MATCH($A10,Teams!$K:$K,0),1,QUERY('Global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,CONCATENATE(""*"",B$1,""*"")
)"),0.0)</f>
        <v>0</v>
      </c>
      <c r="C10" s="94">
        <f>IFERROR(__xludf.DUMMYFUNCTION("COUNTIF(
QUERY(
QUERY(
IFERROR(
OFFSET(Teams!$A$1,MATCH($A10,Teams!$A:$A,0),1,QUERY('Global Variables'!$A:$B, ""SELECT Col2 WHERE Col1 = 'TEAM_SIZE'""),QUERY('Global Variables'!$A:$B, ""SELECT Col2 WHERE Col1 = 'TEAM_DATA_FIELD_COUNT'"")),
OFFSET(Teams!$K"&amp;"$1,MATCH($A10,Teams!$K:$K,0),1,QUERY('Global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,CONCATENATE(""*"",C$1,""*"")
)"),0.0)</f>
        <v>0</v>
      </c>
      <c r="D10" s="94">
        <f>IFERROR(__xludf.DUMMYFUNCTION("COUNTIF(
QUERY(
QUERY(
IFERROR(
OFFSET(Teams!$A$1,MATCH($A10,Teams!$A:$A,0),1,QUERY('Global Variables'!$A:$B, ""SELECT Col2 WHERE Col1 = 'TEAM_SIZE'""),QUERY('Global Variables'!$A:$B, ""SELECT Col2 WHERE Col1 = 'TEAM_DATA_FIELD_COUNT'"")),
OFFSET(Teams!$K"&amp;"$1,MATCH($A10,Teams!$K:$K,0),1,QUERY('Global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,CONCATENATE(""*"",D$1,""*"")
)"),0.0)</f>
        <v>0</v>
      </c>
      <c r="E10" s="95">
        <f>IFERROR(__xludf.DUMMYFUNCTION("AVERAGE(
ARRAYFORMULA(VALUE(QUERY(
QUERY(
IFERROR(OFFSET(Teams!$A$1,MATCH($A10,Teams!$A:$A,0),1,QUERY('Global Variables'!$A:$B, ""SELECT Col2 WHERE Col1 = 'TEAM_SIZE'""),QUERY('Global Variables'!$A:$B, ""SELECT Col2 WHERE Col1 = 'TEAM_DATA_FIELD_COUNT'"")"&amp;"),
OFFSET(Teams!$K$1,MATCH($A10,Teams!$K:$K,0),1,QUERY('Global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Col3""))))"),0.0)</f>
        <v>0</v>
      </c>
      <c r="F10" s="96" t="str">
        <f>IFERROR(__xludf.DUMMYFUNCTION("ARRAYFORMULA(
SUM(1/COUNTIF(
QUERY(
QUERY(
IFERROR(
OFFSET(Teams!$A$1,MATCH($A10,Teams!$A:$A,0),1,QUERY('Global Variables'!$A:$B, ""SELECT Col2 WHERE Col1 = 'TEAM_SIZE'""),QUERY('Global Variables'!$A:$B, ""SELECT Col2 WHERE Col1 = 'TEAM_DATA_FIELD_COUNT'"&amp;""")),
OFFSET(Teams!$K$1,MATCH($A10,Teams!$K:$K,0),1,QUERY('Global Variables'!$A:$B, ""SELECT Col2 WHERE Col1 = 'TEAM_SIZE'""),QUERY('Global Variables'!$A:$B, ""SELECT Col2 WHERE Col1 = 'TEAM_DATA_FIELD_COUNT'""))),
 ""SELECT * ORDER BY Col6 DESC LIMIT ""&amp;"&amp;"QUERY('Global Variables'!$A:$B, ""SELECT Col2 WHERE Col1 = 'ACTIVE_ROSTER_SIZE'"")),""SELECT Col4""),
QUERY(
QUERY(
IFERROR(
OFFSET(Teams!$A$1,MATCH($A10,Teams!$A:$A,0),1,QUERY('Global Variables'!$A:$B, ""SELECT Col2 WHERE Col1 = 'TEAM_SIZE'""),QUERY('Glo"&amp;"bal Variables'!$A:$B, ""SELECT Col2 WHERE Col1 = 'TEAM_DATA_FIELD_COUNT'"")),
OFFSET(Teams!$K$1,MATCH($A10,Teams!$K:$K,0),1,QUERY('Global Variables'!$A:$B, ""SELECT Col2 WHERE Col1 = 'TEAM_SIZE'""),QUERY('Global Variables'!$A:$B, ""SELECT Col2 WHERE Col1 "&amp;"= 'TEAM_DATA_FIELD_COUNT'""))),
 ""SELECT * ORDER BY Col6 DESC LIMIT ""&amp;QUERY('Global Variables'!$A:$B, ""SELECT Col2 WHERE Col1 = 'ACTIVE_ROSTER_SIZE'"")),""SELECT Col4"")
))
)"),"#DIV/0!")</f>
        <v>#DIV/0!</v>
      </c>
      <c r="G10" s="97" t="str">
        <f>IFERROR(__xludf.DUMMYFUNCTION("AVERAGE(
QUERY(
QUERY(
IFERROR(
OFFSET(Teams!$A$1,MATCH($A10,Teams!$A:$A,0),1,QUERY('Global Variables'!$A:$B, ""SELECT Col2 WHERE Col1 = 'TEAM_SIZE'""),QUERY('Global Variables'!$A:$B, ""SELECT Col2 WHERE Col1 = 'TEAM_DATA_FIELD_COUNT'"")),
OFFSET(Teams!$K"&amp;"$1,MATCH($A10,Teams!$K:$K,0),1,QUERY('Global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Col5""))"),"#DIV/0!")</f>
        <v>#DIV/0!</v>
      </c>
      <c r="H10" s="98">
        <f>IFERROR(__xludf.DUMMYFUNCTION("AVERAGE(
QUERY(
QUERY(
IFERROR(
OFFSET(Teams!$A$1,MATCH($A10,Teams!$A:$A,0),1,QUERY('Global Variables'!$A:$B, ""SELECT Col2 WHERE Col1 = 'TEAM_SIZE'""),QUERY('Global Variables'!$A:$B, ""SELECT Col2 WHERE Col1 = 'TEAM_DATA_FIELD_COUNT'"")),
OFFSET(Teams!$K"&amp;"$1,MATCH($A10,Teams!$K:$K,0),1,QUERY('Global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Col6""))"),0.0)</f>
        <v>0</v>
      </c>
      <c r="I10" s="99">
        <f>IFERROR(__xludf.DUMMYFUNCTION("AVERAGE(
QUERY(
QUERY(
IFERROR(
OFFSET(Teams!$A$1,MATCH($A10,Teams!$A:$A,0),1,QUERY('Global Variables'!$A:$B, ""SELECT Col2 WHERE Col1 = 'TEAM_SIZE'""),QUERY('Global Variables'!$A:$B, ""SELECT Col2 WHERE Col1 = 'TEAM_DATA_FIELD_COUNT'"")),
OFFSET(Teams!$K"&amp;"$1,MATCH($A10,Teams!$K:$K,0),1,QUERY('Global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Col7""))"),0.0)</f>
        <v>0</v>
      </c>
      <c r="J10" s="97" t="str">
        <f t="shared" si="1"/>
        <v>#DIV/0!</v>
      </c>
      <c r="K10" s="31">
        <f>IFERROR(__xludf.DUMMYFUNCTION("(
AVERAGE(QUERY(IFERROR(
OFFSET(Teams!$A$1,MATCH($A10,Teams!$A:$A,0),1,QUERY('Global Variables'!$A:$B, ""SELECT Col2 WHERE Col1 = 'TEAM_SIZE'""),QUERY('Global Variables'!$A:$B, ""SELECT Col2 WHERE Col1 = 'TEAM_DATA_FIELD_COUNT'"")),
OFFSET(Teams!$K$1,MATC"&amp;"H($A10,Teams!$K:$K,0),1,QUERY('Global Variables'!$A:$B, ""SELECT Col2 WHERE Col1 = 'TEAM_SIZE'""),QUERY('Global Variables'!$A:$B, ""SELECT Col2 WHERE Col1 = 'TEAM_DATA_FIELD_COUNT'""))),
 ""SELECT Col8 ORDER BY Col8 DESC LIMIT 5""))*3 +
AVERAGE(QUERY(IFER"&amp;"ROR(
OFFSET(Teams!$A$1,MATCH($A10,Teams!$A:$A,0),1,QUERY('Global Variables'!$A:$B, ""SELECT Col2 WHERE Col1 = 'TEAM_SIZE'""),QUERY('Global Variables'!$A:$B, ""SELECT Col2 WHERE Col1 = 'TEAM_DATA_FIELD_COUNT'"")),
OFFSET(Teams!$K$1,MATCH($A10,Teams!$K:$K,0"&amp;"),1,QUERY('Global Variables'!$A:$B, ""SELECT Col2 WHERE Col1 = 'TEAM_SIZE'""),QUERY('Global Variables'!$A:$B, ""SELECT Col2 WHERE Col1 = 'TEAM_DATA_FIELD_COUNT'""))),
 ""SELECT Col8 ORDER BY Col8 DESC LIMIT 8"")) + 
AVERAGE(QUERY(IFERROR(
OFFSET(Teams!$A$"&amp;"1,MATCH($A10,Teams!$A:$A,0),1,QUERY('Global Variables'!$A:$B, ""SELECT Col2 WHERE Col1 = 'TEAM_SIZE'""),QUERY('Global Variables'!$A:$B, ""SELECT Col2 WHERE Col1 = 'TEAM_DATA_FIELD_COUNT'"")),
OFFSET(Teams!$K$1,MATCH($A10,Teams!$K:$K,0),1,QUERY('Global Var"&amp;"iables'!$A:$B, ""SELECT Col2 WHERE Col1 = 'TEAM_SIZE'""),QUERY('Global Variables'!$A:$B, ""SELECT Col2 WHERE Col1 = 'TEAM_DATA_FIELD_COUNT'""))),
 ""SELECT Col8 ORDER BY Col8 DESC LIMIT ""&amp;QUERY('Global Variables'!$A:$B, ""SELECT Col2 WHERE Col1 = 'ACTIVE"&amp;"_ROSTER_SIZE'""))))
/5"),0.0)</f>
        <v>0</v>
      </c>
      <c r="L10" s="100">
        <f t="shared" si="2"/>
        <v>1</v>
      </c>
      <c r="M10" s="101"/>
      <c r="N10" s="102"/>
      <c r="P10" s="84"/>
    </row>
    <row r="11">
      <c r="A11" s="34" t="str">
        <f>'Weekly EDSA'!A11</f>
        <v>Trueb</v>
      </c>
      <c r="B11" s="94">
        <f>IFERROR(__xludf.DUMMYFUNCTION("COUNTIF(
QUERY(
QUERY(
IFERROR(
OFFSET(Teams!$A$1,MATCH($A11,Teams!$A:$A,0),1,QUERY('Global Variables'!$A:$B, ""SELECT Col2 WHERE Col1 = 'TEAM_SIZE'""),QUERY('Global Variables'!$A:$B, ""SELECT Col2 WHERE Col1 = 'TEAM_DATA_FIELD_COUNT'"")),
OFFSET(Teams!$K"&amp;"$1,MATCH($A11,Teams!$K:$K,0),1,QUERY('Global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,CONCATENATE(""*"",B$1,""*"")
)"),0.0)</f>
        <v>0</v>
      </c>
      <c r="C11" s="94">
        <f>IFERROR(__xludf.DUMMYFUNCTION("COUNTIF(
QUERY(
QUERY(
IFERROR(
OFFSET(Teams!$A$1,MATCH($A11,Teams!$A:$A,0),1,QUERY('Global Variables'!$A:$B, ""SELECT Col2 WHERE Col1 = 'TEAM_SIZE'""),QUERY('Global Variables'!$A:$B, ""SELECT Col2 WHERE Col1 = 'TEAM_DATA_FIELD_COUNT'"")),
OFFSET(Teams!$K"&amp;"$1,MATCH($A11,Teams!$K:$K,0),1,QUERY('Global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,CONCATENATE(""*"",C$1,""*"")
)"),0.0)</f>
        <v>0</v>
      </c>
      <c r="D11" s="94">
        <f>IFERROR(__xludf.DUMMYFUNCTION("COUNTIF(
QUERY(
QUERY(
IFERROR(
OFFSET(Teams!$A$1,MATCH($A11,Teams!$A:$A,0),1,QUERY('Global Variables'!$A:$B, ""SELECT Col2 WHERE Col1 = 'TEAM_SIZE'""),QUERY('Global Variables'!$A:$B, ""SELECT Col2 WHERE Col1 = 'TEAM_DATA_FIELD_COUNT'"")),
OFFSET(Teams!$K"&amp;"$1,MATCH($A11,Teams!$K:$K,0),1,QUERY('Global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,CONCATENATE(""*"",D$1,""*"")
)"),0.0)</f>
        <v>0</v>
      </c>
      <c r="E11" s="95">
        <f>IFERROR(__xludf.DUMMYFUNCTION("AVERAGE(
ARRAYFORMULA(VALUE(QUERY(
QUERY(
IFERROR(OFFSET(Teams!$A$1,MATCH($A11,Teams!$A:$A,0),1,QUERY('Global Variables'!$A:$B, ""SELECT Col2 WHERE Col1 = 'TEAM_SIZE'""),QUERY('Global Variables'!$A:$B, ""SELECT Col2 WHERE Col1 = 'TEAM_DATA_FIELD_COUNT'"")"&amp;"),
OFFSET(Teams!$K$1,MATCH($A11,Teams!$K:$K,0),1,QUERY('Global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Col3""))))"),0.0)</f>
        <v>0</v>
      </c>
      <c r="F11" s="96" t="str">
        <f>IFERROR(__xludf.DUMMYFUNCTION("ARRAYFORMULA(
SUM(1/COUNTIF(
QUERY(
QUERY(
IFERROR(
OFFSET(Teams!$A$1,MATCH($A11,Teams!$A:$A,0),1,QUERY('Global Variables'!$A:$B, ""SELECT Col2 WHERE Col1 = 'TEAM_SIZE'""),QUERY('Global Variables'!$A:$B, ""SELECT Col2 WHERE Col1 = 'TEAM_DATA_FIELD_COUNT'"&amp;""")),
OFFSET(Teams!$K$1,MATCH($A11,Teams!$K:$K,0),1,QUERY('Global Variables'!$A:$B, ""SELECT Col2 WHERE Col1 = 'TEAM_SIZE'""),QUERY('Global Variables'!$A:$B, ""SELECT Col2 WHERE Col1 = 'TEAM_DATA_FIELD_COUNT'""))),
 ""SELECT * ORDER BY Col6 DESC LIMIT ""&amp;"&amp;"QUERY('Global Variables'!$A:$B, ""SELECT Col2 WHERE Col1 = 'ACTIVE_ROSTER_SIZE'"")),""SELECT Col4""),
QUERY(
QUERY(
IFERROR(
OFFSET(Teams!$A$1,MATCH($A11,Teams!$A:$A,0),1,QUERY('Global Variables'!$A:$B, ""SELECT Col2 WHERE Col1 = 'TEAM_SIZE'""),QUERY('Glo"&amp;"bal Variables'!$A:$B, ""SELECT Col2 WHERE Col1 = 'TEAM_DATA_FIELD_COUNT'"")),
OFFSET(Teams!$K$1,MATCH($A11,Teams!$K:$K,0),1,QUERY('Global Variables'!$A:$B, ""SELECT Col2 WHERE Col1 = 'TEAM_SIZE'""),QUERY('Global Variables'!$A:$B, ""SELECT Col2 WHERE Col1 "&amp;"= 'TEAM_DATA_FIELD_COUNT'""))),
 ""SELECT * ORDER BY Col6 DESC LIMIT ""&amp;QUERY('Global Variables'!$A:$B, ""SELECT Col2 WHERE Col1 = 'ACTIVE_ROSTER_SIZE'"")),""SELECT Col4"")
))
)"),"#DIV/0!")</f>
        <v>#DIV/0!</v>
      </c>
      <c r="G11" s="97" t="str">
        <f>IFERROR(__xludf.DUMMYFUNCTION("AVERAGE(
QUERY(
QUERY(
IFERROR(
OFFSET(Teams!$A$1,MATCH($A11,Teams!$A:$A,0),1,QUERY('Global Variables'!$A:$B, ""SELECT Col2 WHERE Col1 = 'TEAM_SIZE'""),QUERY('Global Variables'!$A:$B, ""SELECT Col2 WHERE Col1 = 'TEAM_DATA_FIELD_COUNT'"")),
OFFSET(Teams!$K"&amp;"$1,MATCH($A11,Teams!$K:$K,0),1,QUERY('Global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Col5""))"),"#DIV/0!")</f>
        <v>#DIV/0!</v>
      </c>
      <c r="H11" s="98">
        <f>IFERROR(__xludf.DUMMYFUNCTION("AVERAGE(
QUERY(
QUERY(
IFERROR(
OFFSET(Teams!$A$1,MATCH($A11,Teams!$A:$A,0),1,QUERY('Global Variables'!$A:$B, ""SELECT Col2 WHERE Col1 = 'TEAM_SIZE'""),QUERY('Global Variables'!$A:$B, ""SELECT Col2 WHERE Col1 = 'TEAM_DATA_FIELD_COUNT'"")),
OFFSET(Teams!$K"&amp;"$1,MATCH($A11,Teams!$K:$K,0),1,QUERY('Global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Col6""))"),0.0)</f>
        <v>0</v>
      </c>
      <c r="I11" s="99">
        <f>IFERROR(__xludf.DUMMYFUNCTION("AVERAGE(
QUERY(
QUERY(
IFERROR(
OFFSET(Teams!$A$1,MATCH($A11,Teams!$A:$A,0),1,QUERY('Global Variables'!$A:$B, ""SELECT Col2 WHERE Col1 = 'TEAM_SIZE'""),QUERY('Global Variables'!$A:$B, ""SELECT Col2 WHERE Col1 = 'TEAM_DATA_FIELD_COUNT'"")),
OFFSET(Teams!$K"&amp;"$1,MATCH($A11,Teams!$K:$K,0),1,QUERY('Global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Col7""))"),0.0)</f>
        <v>0</v>
      </c>
      <c r="J11" s="97" t="str">
        <f t="shared" si="1"/>
        <v>#DIV/0!</v>
      </c>
      <c r="K11" s="31">
        <f>IFERROR(__xludf.DUMMYFUNCTION("(
AVERAGE(QUERY(IFERROR(
OFFSET(Teams!$A$1,MATCH($A11,Teams!$A:$A,0),1,QUERY('Global Variables'!$A:$B, ""SELECT Col2 WHERE Col1 = 'TEAM_SIZE'""),QUERY('Global Variables'!$A:$B, ""SELECT Col2 WHERE Col1 = 'TEAM_DATA_FIELD_COUNT'"")),
OFFSET(Teams!$K$1,MATC"&amp;"H($A11,Teams!$K:$K,0),1,QUERY('Global Variables'!$A:$B, ""SELECT Col2 WHERE Col1 = 'TEAM_SIZE'""),QUERY('Global Variables'!$A:$B, ""SELECT Col2 WHERE Col1 = 'TEAM_DATA_FIELD_COUNT'""))),
 ""SELECT Col8 ORDER BY Col8 DESC LIMIT 5""))*3 +
AVERAGE(QUERY(IFER"&amp;"ROR(
OFFSET(Teams!$A$1,MATCH($A11,Teams!$A:$A,0),1,QUERY('Global Variables'!$A:$B, ""SELECT Col2 WHERE Col1 = 'TEAM_SIZE'""),QUERY('Global Variables'!$A:$B, ""SELECT Col2 WHERE Col1 = 'TEAM_DATA_FIELD_COUNT'"")),
OFFSET(Teams!$K$1,MATCH($A11,Teams!$K:$K,0"&amp;"),1,QUERY('Global Variables'!$A:$B, ""SELECT Col2 WHERE Col1 = 'TEAM_SIZE'""),QUERY('Global Variables'!$A:$B, ""SELECT Col2 WHERE Col1 = 'TEAM_DATA_FIELD_COUNT'""))),
 ""SELECT Col8 ORDER BY Col8 DESC LIMIT 8"")) + 
AVERAGE(QUERY(IFERROR(
OFFSET(Teams!$A$"&amp;"1,MATCH($A11,Teams!$A:$A,0),1,QUERY('Global Variables'!$A:$B, ""SELECT Col2 WHERE Col1 = 'TEAM_SIZE'""),QUERY('Global Variables'!$A:$B, ""SELECT Col2 WHERE Col1 = 'TEAM_DATA_FIELD_COUNT'"")),
OFFSET(Teams!$K$1,MATCH($A11,Teams!$K:$K,0),1,QUERY('Global Var"&amp;"iables'!$A:$B, ""SELECT Col2 WHERE Col1 = 'TEAM_SIZE'""),QUERY('Global Variables'!$A:$B, ""SELECT Col2 WHERE Col1 = 'TEAM_DATA_FIELD_COUNT'""))),
 ""SELECT Col8 ORDER BY Col8 DESC LIMIT ""&amp;QUERY('Global Variables'!$A:$B, ""SELECT Col2 WHERE Col1 = 'ACTIVE"&amp;"_ROSTER_SIZE'""))))
/5"),0.0)</f>
        <v>0</v>
      </c>
      <c r="L11" s="100">
        <f t="shared" si="2"/>
        <v>1</v>
      </c>
      <c r="M11" s="101"/>
      <c r="N11" s="102"/>
      <c r="P11" s="84"/>
    </row>
    <row r="12">
      <c r="A12" s="34" t="str">
        <f>'Weekly EDSA'!A12</f>
        <v>Aceto</v>
      </c>
      <c r="B12" s="94">
        <f>IFERROR(__xludf.DUMMYFUNCTION("COUNTIF(
QUERY(
QUERY(
IFERROR(
OFFSET(Teams!$A$1,MATCH($A12,Teams!$A:$A,0),1,QUERY('Global Variables'!$A:$B, ""SELECT Col2 WHERE Col1 = 'TEAM_SIZE'""),QUERY('Global Variables'!$A:$B, ""SELECT Col2 WHERE Col1 = 'TEAM_DATA_FIELD_COUNT'"")),
OFFSET(Teams!$K"&amp;"$1,MATCH($A12,Teams!$K:$K,0),1,QUERY('Global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,CONCATENATE(""*"",B$1,""*"")
)"),0.0)</f>
        <v>0</v>
      </c>
      <c r="C12" s="94">
        <f>IFERROR(__xludf.DUMMYFUNCTION("COUNTIF(
QUERY(
QUERY(
IFERROR(
OFFSET(Teams!$A$1,MATCH($A12,Teams!$A:$A,0),1,QUERY('Global Variables'!$A:$B, ""SELECT Col2 WHERE Col1 = 'TEAM_SIZE'""),QUERY('Global Variables'!$A:$B, ""SELECT Col2 WHERE Col1 = 'TEAM_DATA_FIELD_COUNT'"")),
OFFSET(Teams!$K"&amp;"$1,MATCH($A12,Teams!$K:$K,0),1,QUERY('Global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,CONCATENATE(""*"",C$1,""*"")
)"),0.0)</f>
        <v>0</v>
      </c>
      <c r="D12" s="94">
        <f>IFERROR(__xludf.DUMMYFUNCTION("COUNTIF(
QUERY(
QUERY(
IFERROR(
OFFSET(Teams!$A$1,MATCH($A12,Teams!$A:$A,0),1,QUERY('Global Variables'!$A:$B, ""SELECT Col2 WHERE Col1 = 'TEAM_SIZE'""),QUERY('Global Variables'!$A:$B, ""SELECT Col2 WHERE Col1 = 'TEAM_DATA_FIELD_COUNT'"")),
OFFSET(Teams!$K"&amp;"$1,MATCH($A12,Teams!$K:$K,0),1,QUERY('Global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,CONCATENATE(""*"",D$1,""*"")
)"),0.0)</f>
        <v>0</v>
      </c>
      <c r="E12" s="95">
        <f>IFERROR(__xludf.DUMMYFUNCTION("AVERAGE(
ARRAYFORMULA(VALUE(QUERY(
QUERY(
IFERROR(OFFSET(Teams!$A$1,MATCH($A12,Teams!$A:$A,0),1,QUERY('Global Variables'!$A:$B, ""SELECT Col2 WHERE Col1 = 'TEAM_SIZE'""),QUERY('Global Variables'!$A:$B, ""SELECT Col2 WHERE Col1 = 'TEAM_DATA_FIELD_COUNT'"")"&amp;"),
OFFSET(Teams!$K$1,MATCH($A12,Teams!$K:$K,0),1,QUERY('Global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Col3""))))"),0.0)</f>
        <v>0</v>
      </c>
      <c r="F12" s="96" t="str">
        <f>IFERROR(__xludf.DUMMYFUNCTION("ARRAYFORMULA(
SUM(1/COUNTIF(
QUERY(
QUERY(
IFERROR(
OFFSET(Teams!$A$1,MATCH($A12,Teams!$A:$A,0),1,QUERY('Global Variables'!$A:$B, ""SELECT Col2 WHERE Col1 = 'TEAM_SIZE'""),QUERY('Global Variables'!$A:$B, ""SELECT Col2 WHERE Col1 = 'TEAM_DATA_FIELD_COUNT'"&amp;""")),
OFFSET(Teams!$K$1,MATCH($A12,Teams!$K:$K,0),1,QUERY('Global Variables'!$A:$B, ""SELECT Col2 WHERE Col1 = 'TEAM_SIZE'""),QUERY('Global Variables'!$A:$B, ""SELECT Col2 WHERE Col1 = 'TEAM_DATA_FIELD_COUNT'""))),
 ""SELECT * ORDER BY Col6 DESC LIMIT ""&amp;"&amp;"QUERY('Global Variables'!$A:$B, ""SELECT Col2 WHERE Col1 = 'ACTIVE_ROSTER_SIZE'"")),""SELECT Col4""),
QUERY(
QUERY(
IFERROR(
OFFSET(Teams!$A$1,MATCH($A12,Teams!$A:$A,0),1,QUERY('Global Variables'!$A:$B, ""SELECT Col2 WHERE Col1 = 'TEAM_SIZE'""),QUERY('Glo"&amp;"bal Variables'!$A:$B, ""SELECT Col2 WHERE Col1 = 'TEAM_DATA_FIELD_COUNT'"")),
OFFSET(Teams!$K$1,MATCH($A12,Teams!$K:$K,0),1,QUERY('Global Variables'!$A:$B, ""SELECT Col2 WHERE Col1 = 'TEAM_SIZE'""),QUERY('Global Variables'!$A:$B, ""SELECT Col2 WHERE Col1 "&amp;"= 'TEAM_DATA_FIELD_COUNT'""))),
 ""SELECT * ORDER BY Col6 DESC LIMIT ""&amp;QUERY('Global Variables'!$A:$B, ""SELECT Col2 WHERE Col1 = 'ACTIVE_ROSTER_SIZE'"")),""SELECT Col4"")
))
)"),"#DIV/0!")</f>
        <v>#DIV/0!</v>
      </c>
      <c r="G12" s="97" t="str">
        <f>IFERROR(__xludf.DUMMYFUNCTION("AVERAGE(
QUERY(
QUERY(
IFERROR(
OFFSET(Teams!$A$1,MATCH($A12,Teams!$A:$A,0),1,QUERY('Global Variables'!$A:$B, ""SELECT Col2 WHERE Col1 = 'TEAM_SIZE'""),QUERY('Global Variables'!$A:$B, ""SELECT Col2 WHERE Col1 = 'TEAM_DATA_FIELD_COUNT'"")),
OFFSET(Teams!$K"&amp;"$1,MATCH($A12,Teams!$K:$K,0),1,QUERY('Global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Col5""))"),"#DIV/0!")</f>
        <v>#DIV/0!</v>
      </c>
      <c r="H12" s="98">
        <f>IFERROR(__xludf.DUMMYFUNCTION("AVERAGE(
QUERY(
QUERY(
IFERROR(
OFFSET(Teams!$A$1,MATCH($A12,Teams!$A:$A,0),1,QUERY('Global Variables'!$A:$B, ""SELECT Col2 WHERE Col1 = 'TEAM_SIZE'""),QUERY('Global Variables'!$A:$B, ""SELECT Col2 WHERE Col1 = 'TEAM_DATA_FIELD_COUNT'"")),
OFFSET(Teams!$K"&amp;"$1,MATCH($A12,Teams!$K:$K,0),1,QUERY('Global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Col6""))"),0.0)</f>
        <v>0</v>
      </c>
      <c r="I12" s="99">
        <f>IFERROR(__xludf.DUMMYFUNCTION("AVERAGE(
QUERY(
QUERY(
IFERROR(
OFFSET(Teams!$A$1,MATCH($A12,Teams!$A:$A,0),1,QUERY('Global Variables'!$A:$B, ""SELECT Col2 WHERE Col1 = 'TEAM_SIZE'""),QUERY('Global Variables'!$A:$B, ""SELECT Col2 WHERE Col1 = 'TEAM_DATA_FIELD_COUNT'"")),
OFFSET(Teams!$K"&amp;"$1,MATCH($A12,Teams!$K:$K,0),1,QUERY('Global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Col7""))"),0.0)</f>
        <v>0</v>
      </c>
      <c r="J12" s="97" t="str">
        <f t="shared" si="1"/>
        <v>#DIV/0!</v>
      </c>
      <c r="K12" s="31">
        <f>IFERROR(__xludf.DUMMYFUNCTION("(
AVERAGE(QUERY(IFERROR(
OFFSET(Teams!$A$1,MATCH($A12,Teams!$A:$A,0),1,QUERY('Global Variables'!$A:$B, ""SELECT Col2 WHERE Col1 = 'TEAM_SIZE'""),QUERY('Global Variables'!$A:$B, ""SELECT Col2 WHERE Col1 = 'TEAM_DATA_FIELD_COUNT'"")),
OFFSET(Teams!$K$1,MATC"&amp;"H($A12,Teams!$K:$K,0),1,QUERY('Global Variables'!$A:$B, ""SELECT Col2 WHERE Col1 = 'TEAM_SIZE'""),QUERY('Global Variables'!$A:$B, ""SELECT Col2 WHERE Col1 = 'TEAM_DATA_FIELD_COUNT'""))),
 ""SELECT Col8 ORDER BY Col8 DESC LIMIT 5""))*3 +
AVERAGE(QUERY(IFER"&amp;"ROR(
OFFSET(Teams!$A$1,MATCH($A12,Teams!$A:$A,0),1,QUERY('Global Variables'!$A:$B, ""SELECT Col2 WHERE Col1 = 'TEAM_SIZE'""),QUERY('Global Variables'!$A:$B, ""SELECT Col2 WHERE Col1 = 'TEAM_DATA_FIELD_COUNT'"")),
OFFSET(Teams!$K$1,MATCH($A12,Teams!$K:$K,0"&amp;"),1,QUERY('Global Variables'!$A:$B, ""SELECT Col2 WHERE Col1 = 'TEAM_SIZE'""),QUERY('Global Variables'!$A:$B, ""SELECT Col2 WHERE Col1 = 'TEAM_DATA_FIELD_COUNT'""))),
 ""SELECT Col8 ORDER BY Col8 DESC LIMIT 8"")) + 
AVERAGE(QUERY(IFERROR(
OFFSET(Teams!$A$"&amp;"1,MATCH($A12,Teams!$A:$A,0),1,QUERY('Global Variables'!$A:$B, ""SELECT Col2 WHERE Col1 = 'TEAM_SIZE'""),QUERY('Global Variables'!$A:$B, ""SELECT Col2 WHERE Col1 = 'TEAM_DATA_FIELD_COUNT'"")),
OFFSET(Teams!$K$1,MATCH($A12,Teams!$K:$K,0),1,QUERY('Global Var"&amp;"iables'!$A:$B, ""SELECT Col2 WHERE Col1 = 'TEAM_SIZE'""),QUERY('Global Variables'!$A:$B, ""SELECT Col2 WHERE Col1 = 'TEAM_DATA_FIELD_COUNT'""))),
 ""SELECT Col8 ORDER BY Col8 DESC LIMIT ""&amp;QUERY('Global Variables'!$A:$B, ""SELECT Col2 WHERE Col1 = 'ACTIVE"&amp;"_ROSTER_SIZE'""))))
/5"),0.0)</f>
        <v>0</v>
      </c>
      <c r="L12" s="100">
        <f t="shared" si="2"/>
        <v>1</v>
      </c>
      <c r="M12" s="101"/>
      <c r="N12" s="102"/>
      <c r="P12" s="84"/>
    </row>
    <row r="13">
      <c r="A13" s="34" t="str">
        <f>'Weekly EDSA'!A13</f>
        <v>Higgins</v>
      </c>
      <c r="B13" s="94">
        <f>IFERROR(__xludf.DUMMYFUNCTION("COUNTIF(
QUERY(
QUERY(
IFERROR(
OFFSET(Teams!$A$1,MATCH($A13,Teams!$A:$A,0),1,QUERY('Global Variables'!$A:$B, ""SELECT Col2 WHERE Col1 = 'TEAM_SIZE'""),QUERY('Global Variables'!$A:$B, ""SELECT Col2 WHERE Col1 = 'TEAM_DATA_FIELD_COUNT'"")),
OFFSET(Teams!$K"&amp;"$1,MATCH($A13,Teams!$K:$K,0),1,QUERY('Global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,CONCATENATE(""*"",B$1,""*"")
)"),0.0)</f>
        <v>0</v>
      </c>
      <c r="C13" s="94">
        <f>IFERROR(__xludf.DUMMYFUNCTION("COUNTIF(
QUERY(
QUERY(
IFERROR(
OFFSET(Teams!$A$1,MATCH($A13,Teams!$A:$A,0),1,QUERY('Global Variables'!$A:$B, ""SELECT Col2 WHERE Col1 = 'TEAM_SIZE'""),QUERY('Global Variables'!$A:$B, ""SELECT Col2 WHERE Col1 = 'TEAM_DATA_FIELD_COUNT'"")),
OFFSET(Teams!$K"&amp;"$1,MATCH($A13,Teams!$K:$K,0),1,QUERY('Global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,CONCATENATE(""*"",C$1,""*"")
)"),0.0)</f>
        <v>0</v>
      </c>
      <c r="D13" s="94">
        <f>IFERROR(__xludf.DUMMYFUNCTION("COUNTIF(
QUERY(
QUERY(
IFERROR(
OFFSET(Teams!$A$1,MATCH($A13,Teams!$A:$A,0),1,QUERY('Global Variables'!$A:$B, ""SELECT Col2 WHERE Col1 = 'TEAM_SIZE'""),QUERY('Global Variables'!$A:$B, ""SELECT Col2 WHERE Col1 = 'TEAM_DATA_FIELD_COUNT'"")),
OFFSET(Teams!$K"&amp;"$1,MATCH($A13,Teams!$K:$K,0),1,QUERY('Global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,CONCATENATE(""*"",D$1,""*"")
)"),0.0)</f>
        <v>0</v>
      </c>
      <c r="E13" s="95">
        <f>IFERROR(__xludf.DUMMYFUNCTION("AVERAGE(
ARRAYFORMULA(VALUE(QUERY(
QUERY(
IFERROR(OFFSET(Teams!$A$1,MATCH($A13,Teams!$A:$A,0),1,QUERY('Global Variables'!$A:$B, ""SELECT Col2 WHERE Col1 = 'TEAM_SIZE'""),QUERY('Global Variables'!$A:$B, ""SELECT Col2 WHERE Col1 = 'TEAM_DATA_FIELD_COUNT'"")"&amp;"),
OFFSET(Teams!$K$1,MATCH($A13,Teams!$K:$K,0),1,QUERY('Global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Col3""))))"),0.0)</f>
        <v>0</v>
      </c>
      <c r="F13" s="96" t="str">
        <f>IFERROR(__xludf.DUMMYFUNCTION("ARRAYFORMULA(
SUM(1/COUNTIF(
QUERY(
QUERY(
IFERROR(
OFFSET(Teams!$A$1,MATCH($A13,Teams!$A:$A,0),1,QUERY('Global Variables'!$A:$B, ""SELECT Col2 WHERE Col1 = 'TEAM_SIZE'""),QUERY('Global Variables'!$A:$B, ""SELECT Col2 WHERE Col1 = 'TEAM_DATA_FIELD_COUNT'"&amp;""")),
OFFSET(Teams!$K$1,MATCH($A13,Teams!$K:$K,0),1,QUERY('Global Variables'!$A:$B, ""SELECT Col2 WHERE Col1 = 'TEAM_SIZE'""),QUERY('Global Variables'!$A:$B, ""SELECT Col2 WHERE Col1 = 'TEAM_DATA_FIELD_COUNT'""))),
 ""SELECT * ORDER BY Col6 DESC LIMIT ""&amp;"&amp;"QUERY('Global Variables'!$A:$B, ""SELECT Col2 WHERE Col1 = 'ACTIVE_ROSTER_SIZE'"")),""SELECT Col4""),
QUERY(
QUERY(
IFERROR(
OFFSET(Teams!$A$1,MATCH($A13,Teams!$A:$A,0),1,QUERY('Global Variables'!$A:$B, ""SELECT Col2 WHERE Col1 = 'TEAM_SIZE'""),QUERY('Glo"&amp;"bal Variables'!$A:$B, ""SELECT Col2 WHERE Col1 = 'TEAM_DATA_FIELD_COUNT'"")),
OFFSET(Teams!$K$1,MATCH($A13,Teams!$K:$K,0),1,QUERY('Global Variables'!$A:$B, ""SELECT Col2 WHERE Col1 = 'TEAM_SIZE'""),QUERY('Global Variables'!$A:$B, ""SELECT Col2 WHERE Col1 "&amp;"= 'TEAM_DATA_FIELD_COUNT'""))),
 ""SELECT * ORDER BY Col6 DESC LIMIT ""&amp;QUERY('Global Variables'!$A:$B, ""SELECT Col2 WHERE Col1 = 'ACTIVE_ROSTER_SIZE'"")),""SELECT Col4"")
))
)"),"#DIV/0!")</f>
        <v>#DIV/0!</v>
      </c>
      <c r="G13" s="97" t="str">
        <f>IFERROR(__xludf.DUMMYFUNCTION("AVERAGE(
QUERY(
QUERY(
IFERROR(
OFFSET(Teams!$A$1,MATCH($A13,Teams!$A:$A,0),1,QUERY('Global Variables'!$A:$B, ""SELECT Col2 WHERE Col1 = 'TEAM_SIZE'""),QUERY('Global Variables'!$A:$B, ""SELECT Col2 WHERE Col1 = 'TEAM_DATA_FIELD_COUNT'"")),
OFFSET(Teams!$K"&amp;"$1,MATCH($A13,Teams!$K:$K,0),1,QUERY('Global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Col5""))"),"#DIV/0!")</f>
        <v>#DIV/0!</v>
      </c>
      <c r="H13" s="98">
        <f>IFERROR(__xludf.DUMMYFUNCTION("AVERAGE(
QUERY(
QUERY(
IFERROR(
OFFSET(Teams!$A$1,MATCH($A13,Teams!$A:$A,0),1,QUERY('Global Variables'!$A:$B, ""SELECT Col2 WHERE Col1 = 'TEAM_SIZE'""),QUERY('Global Variables'!$A:$B, ""SELECT Col2 WHERE Col1 = 'TEAM_DATA_FIELD_COUNT'"")),
OFFSET(Teams!$K"&amp;"$1,MATCH($A13,Teams!$K:$K,0),1,QUERY('Global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Col6""))"),0.0)</f>
        <v>0</v>
      </c>
      <c r="I13" s="99">
        <f>IFERROR(__xludf.DUMMYFUNCTION("AVERAGE(
QUERY(
QUERY(
IFERROR(
OFFSET(Teams!$A$1,MATCH($A13,Teams!$A:$A,0),1,QUERY('Global Variables'!$A:$B, ""SELECT Col2 WHERE Col1 = 'TEAM_SIZE'""),QUERY('Global Variables'!$A:$B, ""SELECT Col2 WHERE Col1 = 'TEAM_DATA_FIELD_COUNT'"")),
OFFSET(Teams!$K"&amp;"$1,MATCH($A13,Teams!$K:$K,0),1,QUERY('Global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Col7""))"),0.0)</f>
        <v>0</v>
      </c>
      <c r="J13" s="97" t="str">
        <f t="shared" si="1"/>
        <v>#DIV/0!</v>
      </c>
      <c r="K13" s="31">
        <f>IFERROR(__xludf.DUMMYFUNCTION("(
AVERAGE(QUERY(IFERROR(
OFFSET(Teams!$A$1,MATCH($A13,Teams!$A:$A,0),1,QUERY('Global Variables'!$A:$B, ""SELECT Col2 WHERE Col1 = 'TEAM_SIZE'""),QUERY('Global Variables'!$A:$B, ""SELECT Col2 WHERE Col1 = 'TEAM_DATA_FIELD_COUNT'"")),
OFFSET(Teams!$K$1,MATC"&amp;"H($A13,Teams!$K:$K,0),1,QUERY('Global Variables'!$A:$B, ""SELECT Col2 WHERE Col1 = 'TEAM_SIZE'""),QUERY('Global Variables'!$A:$B, ""SELECT Col2 WHERE Col1 = 'TEAM_DATA_FIELD_COUNT'""))),
 ""SELECT Col8 ORDER BY Col8 DESC LIMIT 5""))*3 +
AVERAGE(QUERY(IFER"&amp;"ROR(
OFFSET(Teams!$A$1,MATCH($A13,Teams!$A:$A,0),1,QUERY('Global Variables'!$A:$B, ""SELECT Col2 WHERE Col1 = 'TEAM_SIZE'""),QUERY('Global Variables'!$A:$B, ""SELECT Col2 WHERE Col1 = 'TEAM_DATA_FIELD_COUNT'"")),
OFFSET(Teams!$K$1,MATCH($A13,Teams!$K:$K,0"&amp;"),1,QUERY('Global Variables'!$A:$B, ""SELECT Col2 WHERE Col1 = 'TEAM_SIZE'""),QUERY('Global Variables'!$A:$B, ""SELECT Col2 WHERE Col1 = 'TEAM_DATA_FIELD_COUNT'""))),
 ""SELECT Col8 ORDER BY Col8 DESC LIMIT 8"")) + 
AVERAGE(QUERY(IFERROR(
OFFSET(Teams!$A$"&amp;"1,MATCH($A13,Teams!$A:$A,0),1,QUERY('Global Variables'!$A:$B, ""SELECT Col2 WHERE Col1 = 'TEAM_SIZE'""),QUERY('Global Variables'!$A:$B, ""SELECT Col2 WHERE Col1 = 'TEAM_DATA_FIELD_COUNT'"")),
OFFSET(Teams!$K$1,MATCH($A13,Teams!$K:$K,0),1,QUERY('Global Var"&amp;"iables'!$A:$B, ""SELECT Col2 WHERE Col1 = 'TEAM_SIZE'""),QUERY('Global Variables'!$A:$B, ""SELECT Col2 WHERE Col1 = 'TEAM_DATA_FIELD_COUNT'""))),
 ""SELECT Col8 ORDER BY Col8 DESC LIMIT ""&amp;QUERY('Global Variables'!$A:$B, ""SELECT Col2 WHERE Col1 = 'ACTIVE"&amp;"_ROSTER_SIZE'""))))
/5"),0.0)</f>
        <v>0</v>
      </c>
      <c r="L13" s="100">
        <f t="shared" si="2"/>
        <v>1</v>
      </c>
      <c r="M13" s="101"/>
      <c r="N13" s="102"/>
      <c r="P13" s="84"/>
    </row>
    <row r="14">
      <c r="A14" s="34" t="str">
        <f>'Weekly EDSA'!A14</f>
        <v>Furtney</v>
      </c>
      <c r="B14" s="94">
        <f>IFERROR(__xludf.DUMMYFUNCTION("COUNTIF(
QUERY(
QUERY(
IFERROR(
OFFSET(Teams!$A$1,MATCH($A14,Teams!$A:$A,0),1,QUERY('Global Variables'!$A:$B, ""SELECT Col2 WHERE Col1 = 'TEAM_SIZE'""),QUERY('Global Variables'!$A:$B, ""SELECT Col2 WHERE Col1 = 'TEAM_DATA_FIELD_COUNT'"")),
OFFSET(Teams!$K"&amp;"$1,MATCH($A14,Teams!$K:$K,0),1,QUERY('Global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,CONCATENATE(""*"",B$1,""*"")
)"),0.0)</f>
        <v>0</v>
      </c>
      <c r="C14" s="94">
        <f>IFERROR(__xludf.DUMMYFUNCTION("COUNTIF(
QUERY(
QUERY(
IFERROR(
OFFSET(Teams!$A$1,MATCH($A14,Teams!$A:$A,0),1,QUERY('Global Variables'!$A:$B, ""SELECT Col2 WHERE Col1 = 'TEAM_SIZE'""),QUERY('Global Variables'!$A:$B, ""SELECT Col2 WHERE Col1 = 'TEAM_DATA_FIELD_COUNT'"")),
OFFSET(Teams!$K"&amp;"$1,MATCH($A14,Teams!$K:$K,0),1,QUERY('Global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,CONCATENATE(""*"",C$1,""*"")
)"),0.0)</f>
        <v>0</v>
      </c>
      <c r="D14" s="94">
        <f>IFERROR(__xludf.DUMMYFUNCTION("COUNTIF(
QUERY(
QUERY(
IFERROR(
OFFSET(Teams!$A$1,MATCH($A14,Teams!$A:$A,0),1,QUERY('Global Variables'!$A:$B, ""SELECT Col2 WHERE Col1 = 'TEAM_SIZE'""),QUERY('Global Variables'!$A:$B, ""SELECT Col2 WHERE Col1 = 'TEAM_DATA_FIELD_COUNT'"")),
OFFSET(Teams!$K"&amp;"$1,MATCH($A14,Teams!$K:$K,0),1,QUERY('Global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,CONCATENATE(""*"",D$1,""*"")
)"),0.0)</f>
        <v>0</v>
      </c>
      <c r="E14" s="95">
        <f>IFERROR(__xludf.DUMMYFUNCTION("AVERAGE(
ARRAYFORMULA(VALUE(QUERY(
QUERY(
IFERROR(OFFSET(Teams!$A$1,MATCH($A14,Teams!$A:$A,0),1,QUERY('Global Variables'!$A:$B, ""SELECT Col2 WHERE Col1 = 'TEAM_SIZE'""),QUERY('Global Variables'!$A:$B, ""SELECT Col2 WHERE Col1 = 'TEAM_DATA_FIELD_COUNT'"")"&amp;"),
OFFSET(Teams!$K$1,MATCH($A14,Teams!$K:$K,0),1,QUERY('Global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Col3""))))"),0.0)</f>
        <v>0</v>
      </c>
      <c r="F14" s="96" t="str">
        <f>IFERROR(__xludf.DUMMYFUNCTION("ARRAYFORMULA(
SUM(1/COUNTIF(
QUERY(
QUERY(
IFERROR(
OFFSET(Teams!$A$1,MATCH($A14,Teams!$A:$A,0),1,QUERY('Global Variables'!$A:$B, ""SELECT Col2 WHERE Col1 = 'TEAM_SIZE'""),QUERY('Global Variables'!$A:$B, ""SELECT Col2 WHERE Col1 = 'TEAM_DATA_FIELD_COUNT'"&amp;""")),
OFFSET(Teams!$K$1,MATCH($A14,Teams!$K:$K,0),1,QUERY('Global Variables'!$A:$B, ""SELECT Col2 WHERE Col1 = 'TEAM_SIZE'""),QUERY('Global Variables'!$A:$B, ""SELECT Col2 WHERE Col1 = 'TEAM_DATA_FIELD_COUNT'""))),
 ""SELECT * ORDER BY Col6 DESC LIMIT ""&amp;"&amp;"QUERY('Global Variables'!$A:$B, ""SELECT Col2 WHERE Col1 = 'ACTIVE_ROSTER_SIZE'"")),""SELECT Col4""),
QUERY(
QUERY(
IFERROR(
OFFSET(Teams!$A$1,MATCH($A14,Teams!$A:$A,0),1,QUERY('Global Variables'!$A:$B, ""SELECT Col2 WHERE Col1 = 'TEAM_SIZE'""),QUERY('Glo"&amp;"bal Variables'!$A:$B, ""SELECT Col2 WHERE Col1 = 'TEAM_DATA_FIELD_COUNT'"")),
OFFSET(Teams!$K$1,MATCH($A14,Teams!$K:$K,0),1,QUERY('Global Variables'!$A:$B, ""SELECT Col2 WHERE Col1 = 'TEAM_SIZE'""),QUERY('Global Variables'!$A:$B, ""SELECT Col2 WHERE Col1 "&amp;"= 'TEAM_DATA_FIELD_COUNT'""))),
 ""SELECT * ORDER BY Col6 DESC LIMIT ""&amp;QUERY('Global Variables'!$A:$B, ""SELECT Col2 WHERE Col1 = 'ACTIVE_ROSTER_SIZE'"")),""SELECT Col4"")
))
)"),"#DIV/0!")</f>
        <v>#DIV/0!</v>
      </c>
      <c r="G14" s="97" t="str">
        <f>IFERROR(__xludf.DUMMYFUNCTION("AVERAGE(
QUERY(
QUERY(
IFERROR(
OFFSET(Teams!$A$1,MATCH($A14,Teams!$A:$A,0),1,QUERY('Global Variables'!$A:$B, ""SELECT Col2 WHERE Col1 = 'TEAM_SIZE'""),QUERY('Global Variables'!$A:$B, ""SELECT Col2 WHERE Col1 = 'TEAM_DATA_FIELD_COUNT'"")),
OFFSET(Teams!$K"&amp;"$1,MATCH($A14,Teams!$K:$K,0),1,QUERY('Global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Col5""))"),"#DIV/0!")</f>
        <v>#DIV/0!</v>
      </c>
      <c r="H14" s="98">
        <f>IFERROR(__xludf.DUMMYFUNCTION("AVERAGE(
QUERY(
QUERY(
IFERROR(
OFFSET(Teams!$A$1,MATCH($A14,Teams!$A:$A,0),1,QUERY('Global Variables'!$A:$B, ""SELECT Col2 WHERE Col1 = 'TEAM_SIZE'""),QUERY('Global Variables'!$A:$B, ""SELECT Col2 WHERE Col1 = 'TEAM_DATA_FIELD_COUNT'"")),
OFFSET(Teams!$K"&amp;"$1,MATCH($A14,Teams!$K:$K,0),1,QUERY('Global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Col6""))"),0.0)</f>
        <v>0</v>
      </c>
      <c r="I14" s="99">
        <f>IFERROR(__xludf.DUMMYFUNCTION("AVERAGE(
QUERY(
QUERY(
IFERROR(
OFFSET(Teams!$A$1,MATCH($A14,Teams!$A:$A,0),1,QUERY('Global Variables'!$A:$B, ""SELECT Col2 WHERE Col1 = 'TEAM_SIZE'""),QUERY('Global Variables'!$A:$B, ""SELECT Col2 WHERE Col1 = 'TEAM_DATA_FIELD_COUNT'"")),
OFFSET(Teams!$K"&amp;"$1,MATCH($A14,Teams!$K:$K,0),1,QUERY('Global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Col7""))"),0.0)</f>
        <v>0</v>
      </c>
      <c r="J14" s="97" t="str">
        <f t="shared" si="1"/>
        <v>#DIV/0!</v>
      </c>
      <c r="K14" s="31">
        <f>IFERROR(__xludf.DUMMYFUNCTION("(
AVERAGE(QUERY(IFERROR(
OFFSET(Teams!$A$1,MATCH($A14,Teams!$A:$A,0),1,QUERY('Global Variables'!$A:$B, ""SELECT Col2 WHERE Col1 = 'TEAM_SIZE'""),QUERY('Global Variables'!$A:$B, ""SELECT Col2 WHERE Col1 = 'TEAM_DATA_FIELD_COUNT'"")),
OFFSET(Teams!$K$1,MATC"&amp;"H($A14,Teams!$K:$K,0),1,QUERY('Global Variables'!$A:$B, ""SELECT Col2 WHERE Col1 = 'TEAM_SIZE'""),QUERY('Global Variables'!$A:$B, ""SELECT Col2 WHERE Col1 = 'TEAM_DATA_FIELD_COUNT'""))),
 ""SELECT Col8 ORDER BY Col8 DESC LIMIT 5""))*3 +
AVERAGE(QUERY(IFER"&amp;"ROR(
OFFSET(Teams!$A$1,MATCH($A14,Teams!$A:$A,0),1,QUERY('Global Variables'!$A:$B, ""SELECT Col2 WHERE Col1 = 'TEAM_SIZE'""),QUERY('Global Variables'!$A:$B, ""SELECT Col2 WHERE Col1 = 'TEAM_DATA_FIELD_COUNT'"")),
OFFSET(Teams!$K$1,MATCH($A14,Teams!$K:$K,0"&amp;"),1,QUERY('Global Variables'!$A:$B, ""SELECT Col2 WHERE Col1 = 'TEAM_SIZE'""),QUERY('Global Variables'!$A:$B, ""SELECT Col2 WHERE Col1 = 'TEAM_DATA_FIELD_COUNT'""))),
 ""SELECT Col8 ORDER BY Col8 DESC LIMIT 8"")) + 
AVERAGE(QUERY(IFERROR(
OFFSET(Teams!$A$"&amp;"1,MATCH($A14,Teams!$A:$A,0),1,QUERY('Global Variables'!$A:$B, ""SELECT Col2 WHERE Col1 = 'TEAM_SIZE'""),QUERY('Global Variables'!$A:$B, ""SELECT Col2 WHERE Col1 = 'TEAM_DATA_FIELD_COUNT'"")),
OFFSET(Teams!$K$1,MATCH($A14,Teams!$K:$K,0),1,QUERY('Global Var"&amp;"iables'!$A:$B, ""SELECT Col2 WHERE Col1 = 'TEAM_SIZE'""),QUERY('Global Variables'!$A:$B, ""SELECT Col2 WHERE Col1 = 'TEAM_DATA_FIELD_COUNT'""))),
 ""SELECT Col8 ORDER BY Col8 DESC LIMIT ""&amp;QUERY('Global Variables'!$A:$B, ""SELECT Col2 WHERE Col1 = 'ACTIVE"&amp;"_ROSTER_SIZE'""))))
/5"),0.0)</f>
        <v>0</v>
      </c>
      <c r="L14" s="100">
        <f t="shared" si="2"/>
        <v>1</v>
      </c>
      <c r="M14" s="101"/>
      <c r="N14" s="102"/>
      <c r="P14" s="84"/>
    </row>
    <row r="15">
      <c r="A15" s="34" t="str">
        <f>'Weekly EDSA'!A15</f>
        <v>Nee</v>
      </c>
      <c r="B15" s="94">
        <f>IFERROR(__xludf.DUMMYFUNCTION("COUNTIF(
QUERY(
QUERY(
IFERROR(
OFFSET(Teams!$A$1,MATCH($A15,Teams!$A:$A,0),1,QUERY('Global Variables'!$A:$B, ""SELECT Col2 WHERE Col1 = 'TEAM_SIZE'""),QUERY('Global Variables'!$A:$B, ""SELECT Col2 WHERE Col1 = 'TEAM_DATA_FIELD_COUNT'"")),
OFFSET(Teams!$K"&amp;"$1,MATCH($A15,Teams!$K:$K,0),1,QUERY('Global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,CONCATENATE(""*"",B$1,""*"")
)"),0.0)</f>
        <v>0</v>
      </c>
      <c r="C15" s="94">
        <f>IFERROR(__xludf.DUMMYFUNCTION("COUNTIF(
QUERY(
QUERY(
IFERROR(
OFFSET(Teams!$A$1,MATCH($A15,Teams!$A:$A,0),1,QUERY('Global Variables'!$A:$B, ""SELECT Col2 WHERE Col1 = 'TEAM_SIZE'""),QUERY('Global Variables'!$A:$B, ""SELECT Col2 WHERE Col1 = 'TEAM_DATA_FIELD_COUNT'"")),
OFFSET(Teams!$K"&amp;"$1,MATCH($A15,Teams!$K:$K,0),1,QUERY('Global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,CONCATENATE(""*"",C$1,""*"")
)"),0.0)</f>
        <v>0</v>
      </c>
      <c r="D15" s="94">
        <f>IFERROR(__xludf.DUMMYFUNCTION("COUNTIF(
QUERY(
QUERY(
IFERROR(
OFFSET(Teams!$A$1,MATCH($A15,Teams!$A:$A,0),1,QUERY('Global Variables'!$A:$B, ""SELECT Col2 WHERE Col1 = 'TEAM_SIZE'""),QUERY('Global Variables'!$A:$B, ""SELECT Col2 WHERE Col1 = 'TEAM_DATA_FIELD_COUNT'"")),
OFFSET(Teams!$K"&amp;"$1,MATCH($A15,Teams!$K:$K,0),1,QUERY('Global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,CONCATENATE(""*"",D$1,""*"")
)"),0.0)</f>
        <v>0</v>
      </c>
      <c r="E15" s="95">
        <f>IFERROR(__xludf.DUMMYFUNCTION("AVERAGE(
ARRAYFORMULA(VALUE(QUERY(
QUERY(
IFERROR(OFFSET(Teams!$A$1,MATCH($A15,Teams!$A:$A,0),1,QUERY('Global Variables'!$A:$B, ""SELECT Col2 WHERE Col1 = 'TEAM_SIZE'""),QUERY('Global Variables'!$A:$B, ""SELECT Col2 WHERE Col1 = 'TEAM_DATA_FIELD_COUNT'"")"&amp;"),
OFFSET(Teams!$K$1,MATCH($A15,Teams!$K:$K,0),1,QUERY('Global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Col3""))))"),0.0)</f>
        <v>0</v>
      </c>
      <c r="F15" s="96" t="str">
        <f>IFERROR(__xludf.DUMMYFUNCTION("ARRAYFORMULA(
SUM(1/COUNTIF(
QUERY(
QUERY(
IFERROR(
OFFSET(Teams!$A$1,MATCH($A15,Teams!$A:$A,0),1,QUERY('Global Variables'!$A:$B, ""SELECT Col2 WHERE Col1 = 'TEAM_SIZE'""),QUERY('Global Variables'!$A:$B, ""SELECT Col2 WHERE Col1 = 'TEAM_DATA_FIELD_COUNT'"&amp;""")),
OFFSET(Teams!$K$1,MATCH($A15,Teams!$K:$K,0),1,QUERY('Global Variables'!$A:$B, ""SELECT Col2 WHERE Col1 = 'TEAM_SIZE'""),QUERY('Global Variables'!$A:$B, ""SELECT Col2 WHERE Col1 = 'TEAM_DATA_FIELD_COUNT'""))),
 ""SELECT * ORDER BY Col6 DESC LIMIT ""&amp;"&amp;"QUERY('Global Variables'!$A:$B, ""SELECT Col2 WHERE Col1 = 'ACTIVE_ROSTER_SIZE'"")),""SELECT Col4""),
QUERY(
QUERY(
IFERROR(
OFFSET(Teams!$A$1,MATCH($A15,Teams!$A:$A,0),1,QUERY('Global Variables'!$A:$B, ""SELECT Col2 WHERE Col1 = 'TEAM_SIZE'""),QUERY('Glo"&amp;"bal Variables'!$A:$B, ""SELECT Col2 WHERE Col1 = 'TEAM_DATA_FIELD_COUNT'"")),
OFFSET(Teams!$K$1,MATCH($A15,Teams!$K:$K,0),1,QUERY('Global Variables'!$A:$B, ""SELECT Col2 WHERE Col1 = 'TEAM_SIZE'""),QUERY('Global Variables'!$A:$B, ""SELECT Col2 WHERE Col1 "&amp;"= 'TEAM_DATA_FIELD_COUNT'""))),
 ""SELECT * ORDER BY Col6 DESC LIMIT ""&amp;QUERY('Global Variables'!$A:$B, ""SELECT Col2 WHERE Col1 = 'ACTIVE_ROSTER_SIZE'"")),""SELECT Col4"")
))
)"),"#DIV/0!")</f>
        <v>#DIV/0!</v>
      </c>
      <c r="G15" s="97" t="str">
        <f>IFERROR(__xludf.DUMMYFUNCTION("AVERAGE(
QUERY(
QUERY(
IFERROR(
OFFSET(Teams!$A$1,MATCH($A15,Teams!$A:$A,0),1,QUERY('Global Variables'!$A:$B, ""SELECT Col2 WHERE Col1 = 'TEAM_SIZE'""),QUERY('Global Variables'!$A:$B, ""SELECT Col2 WHERE Col1 = 'TEAM_DATA_FIELD_COUNT'"")),
OFFSET(Teams!$K"&amp;"$1,MATCH($A15,Teams!$K:$K,0),1,QUERY('Global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Col5""))"),"#DIV/0!")</f>
        <v>#DIV/0!</v>
      </c>
      <c r="H15" s="98">
        <f>IFERROR(__xludf.DUMMYFUNCTION("AVERAGE(
QUERY(
QUERY(
IFERROR(
OFFSET(Teams!$A$1,MATCH($A15,Teams!$A:$A,0),1,QUERY('Global Variables'!$A:$B, ""SELECT Col2 WHERE Col1 = 'TEAM_SIZE'""),QUERY('Global Variables'!$A:$B, ""SELECT Col2 WHERE Col1 = 'TEAM_DATA_FIELD_COUNT'"")),
OFFSET(Teams!$K"&amp;"$1,MATCH($A15,Teams!$K:$K,0),1,QUERY('Global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Col6""))"),0.0)</f>
        <v>0</v>
      </c>
      <c r="I15" s="99">
        <f>IFERROR(__xludf.DUMMYFUNCTION("AVERAGE(
QUERY(
QUERY(
IFERROR(
OFFSET(Teams!$A$1,MATCH($A15,Teams!$A:$A,0),1,QUERY('Global Variables'!$A:$B, ""SELECT Col2 WHERE Col1 = 'TEAM_SIZE'""),QUERY('Global Variables'!$A:$B, ""SELECT Col2 WHERE Col1 = 'TEAM_DATA_FIELD_COUNT'"")),
OFFSET(Teams!$K"&amp;"$1,MATCH($A15,Teams!$K:$K,0),1,QUERY('Global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Col7""))"),0.0)</f>
        <v>0</v>
      </c>
      <c r="J15" s="97" t="str">
        <f t="shared" si="1"/>
        <v>#DIV/0!</v>
      </c>
      <c r="K15" s="31">
        <f>IFERROR(__xludf.DUMMYFUNCTION("(
AVERAGE(QUERY(IFERROR(
OFFSET(Teams!$A$1,MATCH($A15,Teams!$A:$A,0),1,QUERY('Global Variables'!$A:$B, ""SELECT Col2 WHERE Col1 = 'TEAM_SIZE'""),QUERY('Global Variables'!$A:$B, ""SELECT Col2 WHERE Col1 = 'TEAM_DATA_FIELD_COUNT'"")),
OFFSET(Teams!$K$1,MATC"&amp;"H($A15,Teams!$K:$K,0),1,QUERY('Global Variables'!$A:$B, ""SELECT Col2 WHERE Col1 = 'TEAM_SIZE'""),QUERY('Global Variables'!$A:$B, ""SELECT Col2 WHERE Col1 = 'TEAM_DATA_FIELD_COUNT'""))),
 ""SELECT Col8 ORDER BY Col8 DESC LIMIT 5""))*3 +
AVERAGE(QUERY(IFER"&amp;"ROR(
OFFSET(Teams!$A$1,MATCH($A15,Teams!$A:$A,0),1,QUERY('Global Variables'!$A:$B, ""SELECT Col2 WHERE Col1 = 'TEAM_SIZE'""),QUERY('Global Variables'!$A:$B, ""SELECT Col2 WHERE Col1 = 'TEAM_DATA_FIELD_COUNT'"")),
OFFSET(Teams!$K$1,MATCH($A15,Teams!$K:$K,0"&amp;"),1,QUERY('Global Variables'!$A:$B, ""SELECT Col2 WHERE Col1 = 'TEAM_SIZE'""),QUERY('Global Variables'!$A:$B, ""SELECT Col2 WHERE Col1 = 'TEAM_DATA_FIELD_COUNT'""))),
 ""SELECT Col8 ORDER BY Col8 DESC LIMIT 8"")) + 
AVERAGE(QUERY(IFERROR(
OFFSET(Teams!$A$"&amp;"1,MATCH($A15,Teams!$A:$A,0),1,QUERY('Global Variables'!$A:$B, ""SELECT Col2 WHERE Col1 = 'TEAM_SIZE'""),QUERY('Global Variables'!$A:$B, ""SELECT Col2 WHERE Col1 = 'TEAM_DATA_FIELD_COUNT'"")),
OFFSET(Teams!$K$1,MATCH($A15,Teams!$K:$K,0),1,QUERY('Global Var"&amp;"iables'!$A:$B, ""SELECT Col2 WHERE Col1 = 'TEAM_SIZE'""),QUERY('Global Variables'!$A:$B, ""SELECT Col2 WHERE Col1 = 'TEAM_DATA_FIELD_COUNT'""))),
 ""SELECT Col8 ORDER BY Col8 DESC LIMIT ""&amp;QUERY('Global Variables'!$A:$B, ""SELECT Col2 WHERE Col1 = 'ACTIVE"&amp;"_ROSTER_SIZE'""))))
/5"),0.0)</f>
        <v>0</v>
      </c>
      <c r="L15" s="100">
        <f t="shared" si="2"/>
        <v>1</v>
      </c>
      <c r="M15" s="101"/>
      <c r="N15" s="102"/>
      <c r="P15" s="84"/>
    </row>
    <row r="16">
      <c r="A16" s="34" t="str">
        <f>'Weekly EDSA'!A16</f>
        <v>Kramer</v>
      </c>
      <c r="B16" s="94">
        <f>IFERROR(__xludf.DUMMYFUNCTION("COUNTIF(
QUERY(
QUERY(
IFERROR(
OFFSET(Teams!$A$1,MATCH($A16,Teams!$A:$A,0),1,QUERY('Global Variables'!$A:$B, ""SELECT Col2 WHERE Col1 = 'TEAM_SIZE'""),QUERY('Global Variables'!$A:$B, ""SELECT Col2 WHERE Col1 = 'TEAM_DATA_FIELD_COUNT'"")),
OFFSET(Teams!$K"&amp;"$1,MATCH($A16,Teams!$K:$K,0),1,QUERY('Global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,CONCATENATE(""*"",B$1,""*"")
)"),0.0)</f>
        <v>0</v>
      </c>
      <c r="C16" s="94">
        <f>IFERROR(__xludf.DUMMYFUNCTION("COUNTIF(
QUERY(
QUERY(
IFERROR(
OFFSET(Teams!$A$1,MATCH($A16,Teams!$A:$A,0),1,QUERY('Global Variables'!$A:$B, ""SELECT Col2 WHERE Col1 = 'TEAM_SIZE'""),QUERY('Global Variables'!$A:$B, ""SELECT Col2 WHERE Col1 = 'TEAM_DATA_FIELD_COUNT'"")),
OFFSET(Teams!$K"&amp;"$1,MATCH($A16,Teams!$K:$K,0),1,QUERY('Global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,CONCATENATE(""*"",C$1,""*"")
)"),0.0)</f>
        <v>0</v>
      </c>
      <c r="D16" s="94">
        <f>IFERROR(__xludf.DUMMYFUNCTION("COUNTIF(
QUERY(
QUERY(
IFERROR(
OFFSET(Teams!$A$1,MATCH($A16,Teams!$A:$A,0),1,QUERY('Global Variables'!$A:$B, ""SELECT Col2 WHERE Col1 = 'TEAM_SIZE'""),QUERY('Global Variables'!$A:$B, ""SELECT Col2 WHERE Col1 = 'TEAM_DATA_FIELD_COUNT'"")),
OFFSET(Teams!$K"&amp;"$1,MATCH($A16,Teams!$K:$K,0),1,QUERY('Global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,CONCATENATE(""*"",D$1,""*"")
)"),0.0)</f>
        <v>0</v>
      </c>
      <c r="E16" s="95">
        <f>IFERROR(__xludf.DUMMYFUNCTION("AVERAGE(
ARRAYFORMULA(VALUE(QUERY(
QUERY(
IFERROR(OFFSET(Teams!$A$1,MATCH($A16,Teams!$A:$A,0),1,QUERY('Global Variables'!$A:$B, ""SELECT Col2 WHERE Col1 = 'TEAM_SIZE'""),QUERY('Global Variables'!$A:$B, ""SELECT Col2 WHERE Col1 = 'TEAM_DATA_FIELD_COUNT'"")"&amp;"),
OFFSET(Teams!$K$1,MATCH($A16,Teams!$K:$K,0),1,QUERY('Global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Col3""))))"),0.0)</f>
        <v>0</v>
      </c>
      <c r="F16" s="96" t="str">
        <f>IFERROR(__xludf.DUMMYFUNCTION("ARRAYFORMULA(
SUM(1/COUNTIF(
QUERY(
QUERY(
IFERROR(
OFFSET(Teams!$A$1,MATCH($A16,Teams!$A:$A,0),1,QUERY('Global Variables'!$A:$B, ""SELECT Col2 WHERE Col1 = 'TEAM_SIZE'""),QUERY('Global Variables'!$A:$B, ""SELECT Col2 WHERE Col1 = 'TEAM_DATA_FIELD_COUNT'"&amp;""")),
OFFSET(Teams!$K$1,MATCH($A16,Teams!$K:$K,0),1,QUERY('Global Variables'!$A:$B, ""SELECT Col2 WHERE Col1 = 'TEAM_SIZE'""),QUERY('Global Variables'!$A:$B, ""SELECT Col2 WHERE Col1 = 'TEAM_DATA_FIELD_COUNT'""))),
 ""SELECT * ORDER BY Col6 DESC LIMIT ""&amp;"&amp;"QUERY('Global Variables'!$A:$B, ""SELECT Col2 WHERE Col1 = 'ACTIVE_ROSTER_SIZE'"")),""SELECT Col4""),
QUERY(
QUERY(
IFERROR(
OFFSET(Teams!$A$1,MATCH($A16,Teams!$A:$A,0),1,QUERY('Global Variables'!$A:$B, ""SELECT Col2 WHERE Col1 = 'TEAM_SIZE'""),QUERY('Glo"&amp;"bal Variables'!$A:$B, ""SELECT Col2 WHERE Col1 = 'TEAM_DATA_FIELD_COUNT'"")),
OFFSET(Teams!$K$1,MATCH($A16,Teams!$K:$K,0),1,QUERY('Global Variables'!$A:$B, ""SELECT Col2 WHERE Col1 = 'TEAM_SIZE'""),QUERY('Global Variables'!$A:$B, ""SELECT Col2 WHERE Col1 "&amp;"= 'TEAM_DATA_FIELD_COUNT'""))),
 ""SELECT * ORDER BY Col6 DESC LIMIT ""&amp;QUERY('Global Variables'!$A:$B, ""SELECT Col2 WHERE Col1 = 'ACTIVE_ROSTER_SIZE'"")),""SELECT Col4"")
))
)"),"#DIV/0!")</f>
        <v>#DIV/0!</v>
      </c>
      <c r="G16" s="97" t="str">
        <f>IFERROR(__xludf.DUMMYFUNCTION("AVERAGE(
QUERY(
QUERY(
IFERROR(
OFFSET(Teams!$A$1,MATCH($A16,Teams!$A:$A,0),1,QUERY('Global Variables'!$A:$B, ""SELECT Col2 WHERE Col1 = 'TEAM_SIZE'""),QUERY('Global Variables'!$A:$B, ""SELECT Col2 WHERE Col1 = 'TEAM_DATA_FIELD_COUNT'"")),
OFFSET(Teams!$K"&amp;"$1,MATCH($A16,Teams!$K:$K,0),1,QUERY('Global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Col5""))"),"#DIV/0!")</f>
        <v>#DIV/0!</v>
      </c>
      <c r="H16" s="98">
        <f>IFERROR(__xludf.DUMMYFUNCTION("AVERAGE(
QUERY(
QUERY(
IFERROR(
OFFSET(Teams!$A$1,MATCH($A16,Teams!$A:$A,0),1,QUERY('Global Variables'!$A:$B, ""SELECT Col2 WHERE Col1 = 'TEAM_SIZE'""),QUERY('Global Variables'!$A:$B, ""SELECT Col2 WHERE Col1 = 'TEAM_DATA_FIELD_COUNT'"")),
OFFSET(Teams!$K"&amp;"$1,MATCH($A16,Teams!$K:$K,0),1,QUERY('Global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Col6""))"),0.0)</f>
        <v>0</v>
      </c>
      <c r="I16" s="99">
        <f>IFERROR(__xludf.DUMMYFUNCTION("AVERAGE(
QUERY(
QUERY(
IFERROR(
OFFSET(Teams!$A$1,MATCH($A16,Teams!$A:$A,0),1,QUERY('Global Variables'!$A:$B, ""SELECT Col2 WHERE Col1 = 'TEAM_SIZE'""),QUERY('Global Variables'!$A:$B, ""SELECT Col2 WHERE Col1 = 'TEAM_DATA_FIELD_COUNT'"")),
OFFSET(Teams!$K"&amp;"$1,MATCH($A16,Teams!$K:$K,0),1,QUERY('Global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Col7""))"),0.0)</f>
        <v>0</v>
      </c>
      <c r="J16" s="97" t="str">
        <f t="shared" si="1"/>
        <v>#DIV/0!</v>
      </c>
      <c r="K16" s="31">
        <f>IFERROR(__xludf.DUMMYFUNCTION("(
AVERAGE(QUERY(IFERROR(
OFFSET(Teams!$A$1,MATCH($A16,Teams!$A:$A,0),1,QUERY('Global Variables'!$A:$B, ""SELECT Col2 WHERE Col1 = 'TEAM_SIZE'""),QUERY('Global Variables'!$A:$B, ""SELECT Col2 WHERE Col1 = 'TEAM_DATA_FIELD_COUNT'"")),
OFFSET(Teams!$K$1,MATC"&amp;"H($A16,Teams!$K:$K,0),1,QUERY('Global Variables'!$A:$B, ""SELECT Col2 WHERE Col1 = 'TEAM_SIZE'""),QUERY('Global Variables'!$A:$B, ""SELECT Col2 WHERE Col1 = 'TEAM_DATA_FIELD_COUNT'""))),
 ""SELECT Col8 ORDER BY Col8 DESC LIMIT 5""))*3 +
AVERAGE(QUERY(IFER"&amp;"ROR(
OFFSET(Teams!$A$1,MATCH($A16,Teams!$A:$A,0),1,QUERY('Global Variables'!$A:$B, ""SELECT Col2 WHERE Col1 = 'TEAM_SIZE'""),QUERY('Global Variables'!$A:$B, ""SELECT Col2 WHERE Col1 = 'TEAM_DATA_FIELD_COUNT'"")),
OFFSET(Teams!$K$1,MATCH($A16,Teams!$K:$K,0"&amp;"),1,QUERY('Global Variables'!$A:$B, ""SELECT Col2 WHERE Col1 = 'TEAM_SIZE'""),QUERY('Global Variables'!$A:$B, ""SELECT Col2 WHERE Col1 = 'TEAM_DATA_FIELD_COUNT'""))),
 ""SELECT Col8 ORDER BY Col8 DESC LIMIT 8"")) + 
AVERAGE(QUERY(IFERROR(
OFFSET(Teams!$A$"&amp;"1,MATCH($A16,Teams!$A:$A,0),1,QUERY('Global Variables'!$A:$B, ""SELECT Col2 WHERE Col1 = 'TEAM_SIZE'""),QUERY('Global Variables'!$A:$B, ""SELECT Col2 WHERE Col1 = 'TEAM_DATA_FIELD_COUNT'"")),
OFFSET(Teams!$K$1,MATCH($A16,Teams!$K:$K,0),1,QUERY('Global Var"&amp;"iables'!$A:$B, ""SELECT Col2 WHERE Col1 = 'TEAM_SIZE'""),QUERY('Global Variables'!$A:$B, ""SELECT Col2 WHERE Col1 = 'TEAM_DATA_FIELD_COUNT'""))),
 ""SELECT Col8 ORDER BY Col8 DESC LIMIT ""&amp;QUERY('Global Variables'!$A:$B, ""SELECT Col2 WHERE Col1 = 'ACTIVE"&amp;"_ROSTER_SIZE'""))))
/5"),0.0)</f>
        <v>0</v>
      </c>
      <c r="L16" s="100">
        <f t="shared" si="2"/>
        <v>1</v>
      </c>
      <c r="M16" s="101"/>
      <c r="N16" s="102"/>
      <c r="P16" s="84"/>
    </row>
    <row r="17">
      <c r="A17" s="34" t="str">
        <f>'Weekly EDSA'!A17</f>
        <v>Connolly</v>
      </c>
      <c r="B17" s="94">
        <f>IFERROR(__xludf.DUMMYFUNCTION("COUNTIF(
QUERY(
QUERY(
IFERROR(
OFFSET(Teams!$A$1,MATCH($A17,Teams!$A:$A,0),1,QUERY('Global Variables'!$A:$B, ""SELECT Col2 WHERE Col1 = 'TEAM_SIZE'""),QUERY('Global Variables'!$A:$B, ""SELECT Col2 WHERE Col1 = 'TEAM_DATA_FIELD_COUNT'"")),
OFFSET(Teams!$K"&amp;"$1,MATCH($A17,Teams!$K:$K,0),1,QUERY('Global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,CONCATENATE(""*"",B$1,""*"")
)"),0.0)</f>
        <v>0</v>
      </c>
      <c r="C17" s="94">
        <f>IFERROR(__xludf.DUMMYFUNCTION("COUNTIF(
QUERY(
QUERY(
IFERROR(
OFFSET(Teams!$A$1,MATCH($A17,Teams!$A:$A,0),1,QUERY('Global Variables'!$A:$B, ""SELECT Col2 WHERE Col1 = 'TEAM_SIZE'""),QUERY('Global Variables'!$A:$B, ""SELECT Col2 WHERE Col1 = 'TEAM_DATA_FIELD_COUNT'"")),
OFFSET(Teams!$K"&amp;"$1,MATCH($A17,Teams!$K:$K,0),1,QUERY('Global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,CONCATENATE(""*"",C$1,""*"")
)"),0.0)</f>
        <v>0</v>
      </c>
      <c r="D17" s="94">
        <f>IFERROR(__xludf.DUMMYFUNCTION("COUNTIF(
QUERY(
QUERY(
IFERROR(
OFFSET(Teams!$A$1,MATCH($A17,Teams!$A:$A,0),1,QUERY('Global Variables'!$A:$B, ""SELECT Col2 WHERE Col1 = 'TEAM_SIZE'""),QUERY('Global Variables'!$A:$B, ""SELECT Col2 WHERE Col1 = 'TEAM_DATA_FIELD_COUNT'"")),
OFFSET(Teams!$K"&amp;"$1,MATCH($A17,Teams!$K:$K,0),1,QUERY('Global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
""SELECT Col2"")
,CONCATENATE(""*"",D$1,""*"")
)"),0.0)</f>
        <v>0</v>
      </c>
      <c r="E17" s="95">
        <f>IFERROR(__xludf.DUMMYFUNCTION("AVERAGE(
ARRAYFORMULA(VALUE(QUERY(
QUERY(
IFERROR(OFFSET(Teams!$A$1,MATCH($A17,Teams!$A:$A,0),1,QUERY('Global Variables'!$A:$B, ""SELECT Col2 WHERE Col1 = 'TEAM_SIZE'""),QUERY('Global Variables'!$A:$B, ""SELECT Col2 WHERE Col1 = 'TEAM_DATA_FIELD_COUNT'"")"&amp;"),
OFFSET(Teams!$K$1,MATCH($A17,Teams!$K:$K,0),1,QUERY('Global Variables'!$A:$B, ""SELECT Col2 WHERE Col1 = 'TEAM_SIZE'""),QUERY('Global Variables'!$A:$B, ""SELECT Col2 WHERE Col1 = 'TEAM_DATA_FIELD_COUNT'""))),
 ""SELECT * ORDER BY Col6 DESC LIMIT ""&amp;QUE"&amp;"RY('Global Variables'!$A:$B, ""SELECT Col2 WHERE Col1 = 'ACTIVE_ROSTER_SIZE'"")),""SELECT Col3""))))"),0.0)</f>
        <v>0</v>
      </c>
      <c r="F17" s="96" t="str">
        <f>IFERROR(__xludf.DUMMYFUNCTION("ARRAYFORMULA(
SUM(1/COUNTIF(
QUERY(
QUERY(
IFERROR(
OFFSET(Teams!$A$1,MATCH($A17,Teams!$A:$A,0),1,QUERY('Global Variables'!$A:$B, ""SELECT Col2 WHERE Col1 = 'TEAM_SIZE'""),QUERY('Global Variables'!$A:$B, ""SELECT Col2 WHERE Col1 = 'TEAM_DATA_FIELD_COUNT'"&amp;""")),
OFFSET(Teams!$K$1,MATCH($A17,Teams!$K:$K,0),1,QUERY('Global Variables'!$A:$B, ""SELECT Col2 WHERE Col1 = 'TEAM_SIZE'""),QUERY('Global Variables'!$A:$B, ""SELECT Col2 WHERE Col1 = 'TEAM_DATA_FIELD_COUNT'""))),
 ""SELECT * ORDER BY Col6 DESC LIMIT ""&amp;"&amp;"QUERY('Global Variables'!$A:$B, ""SELECT Col2 WHERE Col1 = 'ACTIVE_ROSTER_SIZE'"")),""SELECT Col4""),
QUERY(
QUERY(
IFERROR(
OFFSET(Teams!$A$1,MATCH($A17,Teams!$A:$A,0),1,QUERY('Global Variables'!$A:$B, ""SELECT Col2 WHERE Col1 = 'TEAM_SIZE'""),QUERY('Glo"&amp;"bal Variables'!$A:$B, ""SELECT Col2 WHERE Col1 = 'TEAM_DATA_FIELD_COUNT'"")),
OFFSET(Teams!$K$1,MATCH($A17,Teams!$K:$K,0),1,QUERY('Global Variables'!$A:$B, ""SELECT Col2 WHERE Col1 = 'TEAM_SIZE'""),QUERY('Global Variables'!$A:$B, ""SELECT Col2 WHERE Col1 "&amp;"= 'TEAM_DATA_FIELD_COUNT'""))),
 ""SELECT * ORDER BY Col6 DESC LIMIT ""&amp;QUERY('Global Variables'!$A:$B, ""SELECT Col2 WHERE Col1 = 'ACTIVE_ROSTER_SIZE'"")),""SELECT Col4"")
))
)"),"#DIV/0!")</f>
        <v>#DIV/0!</v>
      </c>
      <c r="G17" s="97" t="str">
        <f>IFERROR(__xludf.DUMMYFUNCTION("AVERAGE(
QUERY(
QUERY(
IFERROR(
OFFSET(Teams!$A$1,MATCH($A17,Teams!$A:$A,0),1,QUERY('Global Variables'!$A:$B, ""SELECT Col2 WHERE Col1 = 'TEAM_SIZE'""),QUERY('Global Variables'!$A:$B, ""SELECT Col2 WHERE Col1 = 'TEAM_DATA_FIELD_COUNT'"")),
OFFSET(Teams!$K"&amp;"$1,MATCH($A17,Teams!$K:$K,0),1,QUERY('Global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Col5""))"),"#DIV/0!")</f>
        <v>#DIV/0!</v>
      </c>
      <c r="H17" s="98">
        <f>IFERROR(__xludf.DUMMYFUNCTION("AVERAGE(
QUERY(
QUERY(
IFERROR(
OFFSET(Teams!$A$1,MATCH($A17,Teams!$A:$A,0),1,QUERY('Global Variables'!$A:$B, ""SELECT Col2 WHERE Col1 = 'TEAM_SIZE'""),QUERY('Global Variables'!$A:$B, ""SELECT Col2 WHERE Col1 = 'TEAM_DATA_FIELD_COUNT'"")),
OFFSET(Teams!$K"&amp;"$1,MATCH($A17,Teams!$K:$K,0),1,QUERY('Global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Col6""))"),0.0)</f>
        <v>0</v>
      </c>
      <c r="I17" s="99">
        <f>IFERROR(__xludf.DUMMYFUNCTION("AVERAGE(
QUERY(
QUERY(
IFERROR(
OFFSET(Teams!$A$1,MATCH($A17,Teams!$A:$A,0),1,QUERY('Global Variables'!$A:$B, ""SELECT Col2 WHERE Col1 = 'TEAM_SIZE'""),QUERY('Global Variables'!$A:$B, ""SELECT Col2 WHERE Col1 = 'TEAM_DATA_FIELD_COUNT'"")),
OFFSET(Teams!$K"&amp;"$1,MATCH($A17,Teams!$K:$K,0),1,QUERY('Global Variables'!$A:$B, ""SELECT Col2 WHERE Col1 = 'TEAM_SIZE'""),QUERY('Global Variables'!$A:$B, ""SELECT Col2 WHERE Col1 = 'TEAM_DATA_FIELD_COUNT'""))),
 ""SELECT * ORDER BY Col6 DESC LIMIT ""&amp;QUERY('Global Variabl"&amp;"es'!$A:$B, ""SELECT Col2 WHERE Col1 = 'ACTIVE_ROSTER_SIZE'"")),""SELECT Col7""))"),0.0)</f>
        <v>0</v>
      </c>
      <c r="J17" s="97" t="str">
        <f t="shared" si="1"/>
        <v>#DIV/0!</v>
      </c>
      <c r="K17" s="31">
        <f>IFERROR(__xludf.DUMMYFUNCTION("(
AVERAGE(QUERY(IFERROR(
OFFSET(Teams!$A$1,MATCH($A17,Teams!$A:$A,0),1,QUERY('Global Variables'!$A:$B, ""SELECT Col2 WHERE Col1 = 'TEAM_SIZE'""),QUERY('Global Variables'!$A:$B, ""SELECT Col2 WHERE Col1 = 'TEAM_DATA_FIELD_COUNT'"")),
OFFSET(Teams!$K$1,MATC"&amp;"H($A17,Teams!$K:$K,0),1,QUERY('Global Variables'!$A:$B, ""SELECT Col2 WHERE Col1 = 'TEAM_SIZE'""),QUERY('Global Variables'!$A:$B, ""SELECT Col2 WHERE Col1 = 'TEAM_DATA_FIELD_COUNT'""))),
 ""SELECT Col8 ORDER BY Col8 DESC LIMIT 5""))*3 +
AVERAGE(QUERY(IFER"&amp;"ROR(
OFFSET(Teams!$A$1,MATCH($A17,Teams!$A:$A,0),1,QUERY('Global Variables'!$A:$B, ""SELECT Col2 WHERE Col1 = 'TEAM_SIZE'""),QUERY('Global Variables'!$A:$B, ""SELECT Col2 WHERE Col1 = 'TEAM_DATA_FIELD_COUNT'"")),
OFFSET(Teams!$K$1,MATCH($A17,Teams!$K:$K,0"&amp;"),1,QUERY('Global Variables'!$A:$B, ""SELECT Col2 WHERE Col1 = 'TEAM_SIZE'""),QUERY('Global Variables'!$A:$B, ""SELECT Col2 WHERE Col1 = 'TEAM_DATA_FIELD_COUNT'""))),
 ""SELECT Col8 ORDER BY Col8 DESC LIMIT 8"")) + 
AVERAGE(QUERY(IFERROR(
OFFSET(Teams!$A$"&amp;"1,MATCH($A17,Teams!$A:$A,0),1,QUERY('Global Variables'!$A:$B, ""SELECT Col2 WHERE Col1 = 'TEAM_SIZE'""),QUERY('Global Variables'!$A:$B, ""SELECT Col2 WHERE Col1 = 'TEAM_DATA_FIELD_COUNT'"")),
OFFSET(Teams!$K$1,MATCH($A17,Teams!$K:$K,0),1,QUERY('Global Var"&amp;"iables'!$A:$B, ""SELECT Col2 WHERE Col1 = 'TEAM_SIZE'""),QUERY('Global Variables'!$A:$B, ""SELECT Col2 WHERE Col1 = 'TEAM_DATA_FIELD_COUNT'""))),
 ""SELECT Col8 ORDER BY Col8 DESC LIMIT ""&amp;QUERY('Global Variables'!$A:$B, ""SELECT Col2 WHERE Col1 = 'ACTIVE"&amp;"_ROSTER_SIZE'""))))
/5"),0.0)</f>
        <v>0</v>
      </c>
      <c r="L17" s="100">
        <f t="shared" si="2"/>
        <v>1</v>
      </c>
      <c r="M17" s="101"/>
      <c r="N17" s="102"/>
      <c r="P17" s="84"/>
    </row>
    <row r="18">
      <c r="G18" s="15"/>
      <c r="I18" s="14"/>
      <c r="J18" s="97"/>
      <c r="K18" s="15"/>
      <c r="L18" s="105"/>
      <c r="N18" s="106"/>
    </row>
    <row r="19">
      <c r="G19" s="15"/>
      <c r="I19" s="14"/>
      <c r="J19" s="15"/>
      <c r="K19" s="15"/>
      <c r="L19" s="105"/>
      <c r="N19" s="106"/>
    </row>
    <row r="20">
      <c r="E20" s="17" t="s">
        <v>1328</v>
      </c>
      <c r="G20" s="15"/>
      <c r="I20" s="14"/>
      <c r="J20" s="15"/>
      <c r="K20" s="15"/>
      <c r="L20" s="105"/>
      <c r="N20" s="106"/>
    </row>
    <row r="21">
      <c r="G21" s="15"/>
      <c r="I21" s="14"/>
      <c r="J21" s="15"/>
      <c r="K21" s="15"/>
      <c r="L21" s="105"/>
      <c r="N21" s="106"/>
    </row>
    <row r="22">
      <c r="G22" s="15"/>
      <c r="I22" s="14"/>
      <c r="J22" s="15"/>
      <c r="K22" s="15"/>
      <c r="L22" s="105"/>
      <c r="N22" s="106"/>
    </row>
    <row r="23">
      <c r="G23" s="15"/>
      <c r="I23" s="14"/>
      <c r="J23" s="15"/>
      <c r="K23" s="15"/>
      <c r="L23" s="105"/>
      <c r="N23" s="84"/>
    </row>
    <row r="24">
      <c r="G24" s="15"/>
      <c r="I24" s="14"/>
      <c r="J24" s="15"/>
      <c r="K24" s="15"/>
      <c r="L24" s="105"/>
      <c r="N24" s="84"/>
    </row>
    <row r="25">
      <c r="G25" s="15"/>
      <c r="I25" s="14"/>
      <c r="J25" s="15"/>
      <c r="K25" s="15"/>
      <c r="L25" s="105"/>
      <c r="N25" s="84"/>
    </row>
    <row r="26">
      <c r="G26" s="15"/>
      <c r="I26" s="14"/>
      <c r="J26" s="15"/>
      <c r="K26" s="15"/>
      <c r="L26" s="105"/>
    </row>
    <row r="27">
      <c r="G27" s="15"/>
      <c r="I27" s="14"/>
      <c r="J27" s="15"/>
      <c r="K27" s="15"/>
      <c r="L27" s="105"/>
    </row>
    <row r="28">
      <c r="G28" s="15"/>
      <c r="I28" s="14"/>
      <c r="J28" s="15"/>
      <c r="K28" s="15"/>
      <c r="L28" s="105"/>
    </row>
    <row r="29">
      <c r="G29" s="15"/>
      <c r="I29" s="14"/>
      <c r="J29" s="15"/>
      <c r="K29" s="15"/>
      <c r="L29" s="105"/>
    </row>
    <row r="30">
      <c r="G30" s="15"/>
      <c r="I30" s="14"/>
      <c r="J30" s="15"/>
      <c r="K30" s="15"/>
      <c r="L30" s="105"/>
    </row>
    <row r="31">
      <c r="G31" s="15"/>
      <c r="I31" s="14"/>
      <c r="J31" s="15"/>
      <c r="K31" s="15"/>
      <c r="L31" s="105"/>
    </row>
    <row r="32">
      <c r="G32" s="15"/>
      <c r="I32" s="14"/>
      <c r="J32" s="15"/>
      <c r="K32" s="15"/>
      <c r="L32" s="105"/>
    </row>
    <row r="33">
      <c r="G33" s="15"/>
      <c r="I33" s="14"/>
      <c r="J33" s="15"/>
      <c r="K33" s="15"/>
      <c r="L33" s="105"/>
    </row>
    <row r="34">
      <c r="G34" s="15"/>
      <c r="I34" s="14"/>
      <c r="J34" s="15"/>
      <c r="K34" s="15"/>
      <c r="L34" s="105"/>
    </row>
    <row r="35">
      <c r="G35" s="15"/>
      <c r="I35" s="14"/>
      <c r="J35" s="15"/>
      <c r="K35" s="15"/>
      <c r="L35" s="105"/>
    </row>
    <row r="36">
      <c r="G36" s="15"/>
      <c r="I36" s="14"/>
      <c r="J36" s="15"/>
      <c r="K36" s="15"/>
      <c r="L36" s="105"/>
    </row>
    <row r="37">
      <c r="G37" s="15"/>
      <c r="I37" s="14"/>
      <c r="J37" s="15"/>
      <c r="K37" s="15"/>
      <c r="L37" s="105"/>
    </row>
    <row r="38">
      <c r="G38" s="15"/>
      <c r="I38" s="14"/>
      <c r="J38" s="15"/>
      <c r="K38" s="15"/>
      <c r="L38" s="105"/>
    </row>
    <row r="39">
      <c r="G39" s="15"/>
      <c r="I39" s="14"/>
      <c r="J39" s="15"/>
      <c r="K39" s="15"/>
      <c r="L39" s="105"/>
    </row>
    <row r="40">
      <c r="G40" s="15"/>
      <c r="I40" s="14"/>
      <c r="J40" s="15"/>
      <c r="K40" s="15"/>
      <c r="L40" s="105"/>
    </row>
    <row r="41">
      <c r="G41" s="15"/>
      <c r="I41" s="14"/>
      <c r="J41" s="15"/>
      <c r="K41" s="15"/>
      <c r="L41" s="105"/>
    </row>
    <row r="42">
      <c r="G42" s="15"/>
      <c r="I42" s="14"/>
      <c r="J42" s="15"/>
      <c r="K42" s="15"/>
      <c r="L42" s="105"/>
    </row>
    <row r="43">
      <c r="G43" s="15"/>
      <c r="I43" s="14"/>
      <c r="J43" s="15"/>
      <c r="K43" s="15"/>
      <c r="L43" s="105"/>
    </row>
    <row r="44">
      <c r="G44" s="15"/>
      <c r="I44" s="14"/>
      <c r="J44" s="15"/>
      <c r="K44" s="15"/>
      <c r="L44" s="105"/>
    </row>
    <row r="45">
      <c r="G45" s="15"/>
      <c r="I45" s="14"/>
      <c r="J45" s="15"/>
      <c r="K45" s="15"/>
      <c r="L45" s="105"/>
    </row>
    <row r="46">
      <c r="G46" s="15"/>
      <c r="I46" s="14"/>
      <c r="J46" s="15"/>
      <c r="K46" s="15"/>
      <c r="L46" s="105"/>
    </row>
    <row r="47">
      <c r="G47" s="15"/>
      <c r="I47" s="14"/>
      <c r="J47" s="15"/>
      <c r="K47" s="15"/>
      <c r="L47" s="105"/>
    </row>
    <row r="48">
      <c r="G48" s="15"/>
      <c r="I48" s="14"/>
      <c r="J48" s="15"/>
      <c r="K48" s="15"/>
      <c r="L48" s="105"/>
    </row>
    <row r="49">
      <c r="G49" s="15"/>
      <c r="I49" s="14"/>
      <c r="J49" s="15"/>
      <c r="K49" s="15"/>
      <c r="L49" s="105"/>
    </row>
    <row r="50">
      <c r="G50" s="15"/>
      <c r="I50" s="14"/>
      <c r="J50" s="15"/>
      <c r="K50" s="15"/>
      <c r="L50" s="105"/>
    </row>
    <row r="51">
      <c r="G51" s="15"/>
      <c r="I51" s="14"/>
      <c r="J51" s="15"/>
      <c r="K51" s="15"/>
      <c r="L51" s="105"/>
    </row>
    <row r="52">
      <c r="G52" s="15"/>
      <c r="I52" s="14"/>
      <c r="J52" s="15"/>
      <c r="K52" s="15"/>
      <c r="L52" s="105"/>
    </row>
    <row r="53">
      <c r="G53" s="15"/>
      <c r="I53" s="14"/>
      <c r="J53" s="15"/>
      <c r="K53" s="15"/>
      <c r="L53" s="105"/>
    </row>
    <row r="54">
      <c r="G54" s="15"/>
      <c r="I54" s="14"/>
      <c r="J54" s="15"/>
      <c r="K54" s="15"/>
      <c r="L54" s="105"/>
    </row>
    <row r="55">
      <c r="G55" s="15"/>
      <c r="I55" s="14"/>
      <c r="J55" s="15"/>
      <c r="K55" s="15"/>
      <c r="L55" s="105"/>
    </row>
    <row r="56">
      <c r="G56" s="15"/>
      <c r="I56" s="14"/>
      <c r="J56" s="15"/>
      <c r="K56" s="15"/>
      <c r="L56" s="105"/>
    </row>
    <row r="57">
      <c r="G57" s="15"/>
      <c r="I57" s="14"/>
      <c r="J57" s="15"/>
      <c r="K57" s="15"/>
      <c r="L57" s="105"/>
    </row>
    <row r="58">
      <c r="G58" s="15"/>
      <c r="I58" s="14"/>
      <c r="J58" s="15"/>
      <c r="K58" s="15"/>
      <c r="L58" s="105"/>
    </row>
    <row r="59">
      <c r="G59" s="15"/>
      <c r="I59" s="14"/>
      <c r="J59" s="15"/>
      <c r="K59" s="15"/>
      <c r="L59" s="105"/>
    </row>
    <row r="60">
      <c r="G60" s="15"/>
      <c r="I60" s="14"/>
      <c r="J60" s="15"/>
      <c r="K60" s="15"/>
      <c r="L60" s="105"/>
    </row>
    <row r="61">
      <c r="G61" s="15"/>
      <c r="I61" s="14"/>
      <c r="J61" s="15"/>
      <c r="K61" s="15"/>
      <c r="L61" s="105"/>
    </row>
    <row r="62">
      <c r="G62" s="15"/>
      <c r="I62" s="14"/>
      <c r="J62" s="15"/>
      <c r="K62" s="15"/>
      <c r="L62" s="105"/>
    </row>
    <row r="63">
      <c r="G63" s="15"/>
      <c r="I63" s="14"/>
      <c r="J63" s="15"/>
      <c r="K63" s="15"/>
      <c r="L63" s="105"/>
    </row>
    <row r="64">
      <c r="G64" s="15"/>
      <c r="I64" s="14"/>
      <c r="J64" s="15"/>
      <c r="K64" s="15"/>
      <c r="L64" s="105"/>
    </row>
    <row r="65">
      <c r="G65" s="15"/>
      <c r="I65" s="14"/>
      <c r="J65" s="15"/>
      <c r="K65" s="15"/>
      <c r="L65" s="105"/>
    </row>
    <row r="66">
      <c r="G66" s="15"/>
      <c r="I66" s="14"/>
      <c r="J66" s="15"/>
      <c r="K66" s="15"/>
      <c r="L66" s="105"/>
    </row>
    <row r="67">
      <c r="G67" s="15"/>
      <c r="I67" s="14"/>
      <c r="J67" s="15"/>
      <c r="K67" s="15"/>
      <c r="L67" s="105"/>
    </row>
    <row r="68">
      <c r="G68" s="15"/>
      <c r="I68" s="14"/>
      <c r="J68" s="15"/>
      <c r="K68" s="15"/>
      <c r="L68" s="105"/>
    </row>
    <row r="69">
      <c r="G69" s="15"/>
      <c r="I69" s="14"/>
      <c r="J69" s="15"/>
      <c r="K69" s="15"/>
      <c r="L69" s="105"/>
    </row>
    <row r="70">
      <c r="G70" s="15"/>
      <c r="I70" s="14"/>
      <c r="J70" s="15"/>
      <c r="K70" s="15"/>
      <c r="L70" s="105"/>
    </row>
    <row r="71">
      <c r="G71" s="15"/>
      <c r="I71" s="14"/>
      <c r="J71" s="15"/>
      <c r="K71" s="15"/>
      <c r="L71" s="105"/>
    </row>
    <row r="72">
      <c r="G72" s="15"/>
      <c r="I72" s="14"/>
      <c r="J72" s="15"/>
      <c r="K72" s="15"/>
      <c r="L72" s="105"/>
    </row>
    <row r="73">
      <c r="G73" s="15"/>
      <c r="I73" s="14"/>
      <c r="J73" s="15"/>
      <c r="K73" s="15"/>
      <c r="L73" s="105"/>
    </row>
    <row r="74">
      <c r="G74" s="15"/>
      <c r="I74" s="14"/>
      <c r="J74" s="15"/>
      <c r="K74" s="15"/>
      <c r="L74" s="105"/>
    </row>
    <row r="75">
      <c r="G75" s="15"/>
      <c r="I75" s="14"/>
      <c r="J75" s="15"/>
      <c r="K75" s="15"/>
      <c r="L75" s="105"/>
    </row>
    <row r="76">
      <c r="G76" s="15"/>
      <c r="I76" s="14"/>
      <c r="J76" s="15"/>
      <c r="K76" s="15"/>
      <c r="L76" s="105"/>
    </row>
    <row r="77">
      <c r="G77" s="15"/>
      <c r="I77" s="14"/>
      <c r="J77" s="15"/>
      <c r="K77" s="15"/>
      <c r="L77" s="105"/>
    </row>
    <row r="78">
      <c r="G78" s="15"/>
      <c r="I78" s="14"/>
      <c r="J78" s="15"/>
      <c r="K78" s="15"/>
      <c r="L78" s="105"/>
    </row>
    <row r="79">
      <c r="G79" s="15"/>
      <c r="I79" s="14"/>
      <c r="J79" s="15"/>
      <c r="K79" s="15"/>
      <c r="L79" s="105"/>
    </row>
    <row r="80">
      <c r="G80" s="15"/>
      <c r="I80" s="14"/>
      <c r="J80" s="15"/>
      <c r="K80" s="15"/>
      <c r="L80" s="105"/>
    </row>
    <row r="81">
      <c r="G81" s="15"/>
      <c r="I81" s="14"/>
      <c r="J81" s="15"/>
      <c r="K81" s="15"/>
      <c r="L81" s="105"/>
    </row>
    <row r="82">
      <c r="G82" s="15"/>
      <c r="I82" s="14"/>
      <c r="J82" s="15"/>
      <c r="K82" s="15"/>
      <c r="L82" s="105"/>
    </row>
    <row r="83">
      <c r="G83" s="15"/>
      <c r="I83" s="14"/>
      <c r="J83" s="15"/>
      <c r="K83" s="15"/>
      <c r="L83" s="105"/>
    </row>
    <row r="84">
      <c r="G84" s="15"/>
      <c r="I84" s="14"/>
      <c r="J84" s="15"/>
      <c r="K84" s="15"/>
      <c r="L84" s="105"/>
    </row>
    <row r="85">
      <c r="G85" s="15"/>
      <c r="I85" s="14"/>
      <c r="J85" s="15"/>
      <c r="K85" s="15"/>
      <c r="L85" s="105"/>
    </row>
    <row r="86">
      <c r="G86" s="15"/>
      <c r="I86" s="14"/>
      <c r="J86" s="15"/>
      <c r="K86" s="15"/>
      <c r="L86" s="105"/>
    </row>
    <row r="87">
      <c r="G87" s="15"/>
      <c r="I87" s="14"/>
      <c r="J87" s="15"/>
      <c r="K87" s="15"/>
      <c r="L87" s="105"/>
    </row>
    <row r="88">
      <c r="G88" s="15"/>
      <c r="I88" s="14"/>
      <c r="J88" s="15"/>
      <c r="K88" s="15"/>
      <c r="L88" s="105"/>
    </row>
    <row r="89">
      <c r="G89" s="15"/>
      <c r="I89" s="14"/>
      <c r="J89" s="15"/>
      <c r="K89" s="15"/>
      <c r="L89" s="105"/>
    </row>
    <row r="90">
      <c r="G90" s="15"/>
      <c r="I90" s="14"/>
      <c r="J90" s="15"/>
      <c r="K90" s="15"/>
      <c r="L90" s="105"/>
    </row>
    <row r="91">
      <c r="G91" s="15"/>
      <c r="I91" s="14"/>
      <c r="J91" s="15"/>
      <c r="K91" s="15"/>
      <c r="L91" s="105"/>
    </row>
    <row r="92">
      <c r="G92" s="15"/>
      <c r="I92" s="14"/>
      <c r="J92" s="15"/>
      <c r="K92" s="15"/>
      <c r="L92" s="105"/>
    </row>
    <row r="93">
      <c r="G93" s="15"/>
      <c r="I93" s="14"/>
      <c r="J93" s="15"/>
      <c r="K93" s="15"/>
      <c r="L93" s="105"/>
    </row>
    <row r="94">
      <c r="G94" s="15"/>
      <c r="I94" s="14"/>
      <c r="J94" s="15"/>
      <c r="K94" s="15"/>
      <c r="L94" s="105"/>
    </row>
    <row r="95">
      <c r="G95" s="15"/>
      <c r="I95" s="14"/>
      <c r="J95" s="15"/>
      <c r="K95" s="15"/>
      <c r="L95" s="105"/>
    </row>
    <row r="96">
      <c r="G96" s="15"/>
      <c r="I96" s="14"/>
      <c r="J96" s="15"/>
      <c r="K96" s="15"/>
      <c r="L96" s="105"/>
    </row>
    <row r="97">
      <c r="G97" s="15"/>
      <c r="I97" s="14"/>
      <c r="J97" s="15"/>
      <c r="K97" s="15"/>
      <c r="L97" s="105"/>
    </row>
    <row r="98">
      <c r="G98" s="15"/>
      <c r="I98" s="14"/>
      <c r="J98" s="15"/>
      <c r="K98" s="15"/>
      <c r="L98" s="105"/>
    </row>
    <row r="99">
      <c r="G99" s="15"/>
      <c r="I99" s="14"/>
      <c r="J99" s="15"/>
      <c r="K99" s="15"/>
      <c r="L99" s="105"/>
    </row>
    <row r="100">
      <c r="G100" s="15"/>
      <c r="I100" s="14"/>
      <c r="J100" s="15"/>
      <c r="K100" s="15"/>
      <c r="L100" s="105"/>
    </row>
    <row r="101">
      <c r="G101" s="15"/>
      <c r="I101" s="14"/>
      <c r="J101" s="15"/>
      <c r="K101" s="15"/>
      <c r="L101" s="105"/>
    </row>
    <row r="102">
      <c r="G102" s="15"/>
      <c r="I102" s="14"/>
      <c r="J102" s="15"/>
      <c r="K102" s="15"/>
      <c r="L102" s="105"/>
    </row>
    <row r="103">
      <c r="G103" s="15"/>
      <c r="I103" s="14"/>
      <c r="J103" s="15"/>
      <c r="K103" s="15"/>
      <c r="L103" s="105"/>
    </row>
    <row r="104">
      <c r="G104" s="15"/>
      <c r="I104" s="14"/>
      <c r="J104" s="15"/>
      <c r="K104" s="15"/>
      <c r="L104" s="105"/>
    </row>
    <row r="105">
      <c r="G105" s="15"/>
      <c r="I105" s="14"/>
      <c r="J105" s="15"/>
      <c r="K105" s="15"/>
      <c r="L105" s="105"/>
    </row>
    <row r="106">
      <c r="G106" s="15"/>
      <c r="I106" s="14"/>
      <c r="J106" s="15"/>
      <c r="K106" s="15"/>
      <c r="L106" s="105"/>
    </row>
    <row r="107">
      <c r="G107" s="15"/>
      <c r="I107" s="14"/>
      <c r="J107" s="15"/>
      <c r="K107" s="15"/>
      <c r="L107" s="105"/>
    </row>
    <row r="108">
      <c r="G108" s="15"/>
      <c r="I108" s="14"/>
      <c r="J108" s="15"/>
      <c r="K108" s="15"/>
      <c r="L108" s="105"/>
    </row>
    <row r="109">
      <c r="G109" s="15"/>
      <c r="I109" s="14"/>
      <c r="J109" s="15"/>
      <c r="K109" s="15"/>
      <c r="L109" s="105"/>
    </row>
    <row r="110">
      <c r="G110" s="15"/>
      <c r="I110" s="14"/>
      <c r="J110" s="15"/>
      <c r="K110" s="15"/>
      <c r="L110" s="105"/>
    </row>
    <row r="111">
      <c r="G111" s="15"/>
      <c r="I111" s="14"/>
      <c r="J111" s="15"/>
      <c r="K111" s="15"/>
      <c r="L111" s="105"/>
    </row>
    <row r="112">
      <c r="G112" s="15"/>
      <c r="I112" s="14"/>
      <c r="J112" s="15"/>
      <c r="K112" s="15"/>
      <c r="L112" s="105"/>
    </row>
    <row r="113">
      <c r="G113" s="15"/>
      <c r="I113" s="14"/>
      <c r="J113" s="15"/>
      <c r="K113" s="15"/>
      <c r="L113" s="105"/>
    </row>
    <row r="114">
      <c r="G114" s="15"/>
      <c r="I114" s="14"/>
      <c r="J114" s="15"/>
      <c r="K114" s="15"/>
      <c r="L114" s="105"/>
    </row>
    <row r="115">
      <c r="G115" s="15"/>
      <c r="I115" s="14"/>
      <c r="J115" s="15"/>
      <c r="K115" s="15"/>
      <c r="L115" s="105"/>
    </row>
    <row r="116">
      <c r="G116" s="15"/>
      <c r="I116" s="14"/>
      <c r="J116" s="15"/>
      <c r="K116" s="15"/>
      <c r="L116" s="105"/>
    </row>
    <row r="117">
      <c r="G117" s="15"/>
      <c r="I117" s="14"/>
      <c r="J117" s="15"/>
      <c r="K117" s="15"/>
      <c r="L117" s="105"/>
    </row>
    <row r="118">
      <c r="G118" s="15"/>
      <c r="I118" s="14"/>
      <c r="J118" s="15"/>
      <c r="K118" s="15"/>
      <c r="L118" s="105"/>
    </row>
    <row r="119">
      <c r="G119" s="15"/>
      <c r="I119" s="14"/>
      <c r="J119" s="15"/>
      <c r="K119" s="15"/>
      <c r="L119" s="105"/>
    </row>
    <row r="120">
      <c r="G120" s="15"/>
      <c r="I120" s="14"/>
      <c r="J120" s="15"/>
      <c r="K120" s="15"/>
      <c r="L120" s="105"/>
    </row>
    <row r="121">
      <c r="G121" s="15"/>
      <c r="I121" s="14"/>
      <c r="J121" s="15"/>
      <c r="K121" s="15"/>
      <c r="L121" s="105"/>
    </row>
    <row r="122">
      <c r="G122" s="15"/>
      <c r="I122" s="14"/>
      <c r="J122" s="15"/>
      <c r="K122" s="15"/>
      <c r="L122" s="105"/>
    </row>
    <row r="123">
      <c r="G123" s="15"/>
      <c r="I123" s="14"/>
      <c r="J123" s="15"/>
      <c r="K123" s="15"/>
      <c r="L123" s="105"/>
    </row>
    <row r="124">
      <c r="G124" s="15"/>
      <c r="I124" s="14"/>
      <c r="J124" s="15"/>
      <c r="K124" s="15"/>
      <c r="L124" s="105"/>
    </row>
    <row r="125">
      <c r="G125" s="15"/>
      <c r="I125" s="14"/>
      <c r="J125" s="15"/>
      <c r="K125" s="15"/>
      <c r="L125" s="105"/>
    </row>
    <row r="126">
      <c r="G126" s="15"/>
      <c r="I126" s="14"/>
      <c r="J126" s="15"/>
      <c r="K126" s="15"/>
      <c r="L126" s="105"/>
    </row>
    <row r="127">
      <c r="G127" s="15"/>
      <c r="I127" s="14"/>
      <c r="J127" s="15"/>
      <c r="K127" s="15"/>
      <c r="L127" s="105"/>
    </row>
    <row r="128">
      <c r="G128" s="15"/>
      <c r="I128" s="14"/>
      <c r="J128" s="15"/>
      <c r="K128" s="15"/>
      <c r="L128" s="105"/>
    </row>
    <row r="129">
      <c r="G129" s="15"/>
      <c r="I129" s="14"/>
      <c r="J129" s="15"/>
      <c r="K129" s="15"/>
      <c r="L129" s="105"/>
    </row>
    <row r="130">
      <c r="G130" s="15"/>
      <c r="I130" s="14"/>
      <c r="J130" s="15"/>
      <c r="K130" s="15"/>
      <c r="L130" s="105"/>
    </row>
    <row r="131">
      <c r="G131" s="15"/>
      <c r="I131" s="14"/>
      <c r="J131" s="15"/>
      <c r="K131" s="15"/>
      <c r="L131" s="105"/>
    </row>
    <row r="132">
      <c r="G132" s="15"/>
      <c r="I132" s="14"/>
      <c r="J132" s="15"/>
      <c r="K132" s="15"/>
      <c r="L132" s="105"/>
    </row>
    <row r="133">
      <c r="G133" s="15"/>
      <c r="I133" s="14"/>
      <c r="J133" s="15"/>
      <c r="K133" s="15"/>
      <c r="L133" s="105"/>
    </row>
    <row r="134">
      <c r="G134" s="15"/>
      <c r="I134" s="14"/>
      <c r="J134" s="15"/>
      <c r="K134" s="15"/>
      <c r="L134" s="105"/>
    </row>
    <row r="135">
      <c r="G135" s="15"/>
      <c r="I135" s="14"/>
      <c r="J135" s="15"/>
      <c r="K135" s="15"/>
      <c r="L135" s="105"/>
    </row>
    <row r="136">
      <c r="G136" s="15"/>
      <c r="I136" s="14"/>
      <c r="J136" s="15"/>
      <c r="K136" s="15"/>
      <c r="L136" s="105"/>
    </row>
    <row r="137">
      <c r="G137" s="15"/>
      <c r="I137" s="14"/>
      <c r="J137" s="15"/>
      <c r="K137" s="15"/>
      <c r="L137" s="105"/>
    </row>
    <row r="138">
      <c r="G138" s="15"/>
      <c r="I138" s="14"/>
      <c r="J138" s="15"/>
      <c r="K138" s="15"/>
      <c r="L138" s="105"/>
    </row>
    <row r="139">
      <c r="G139" s="15"/>
      <c r="I139" s="14"/>
      <c r="J139" s="15"/>
      <c r="K139" s="15"/>
      <c r="L139" s="105"/>
    </row>
    <row r="140">
      <c r="G140" s="15"/>
      <c r="I140" s="14"/>
      <c r="J140" s="15"/>
      <c r="K140" s="15"/>
      <c r="L140" s="105"/>
    </row>
    <row r="141">
      <c r="G141" s="15"/>
      <c r="I141" s="14"/>
      <c r="J141" s="15"/>
      <c r="K141" s="15"/>
      <c r="L141" s="105"/>
    </row>
    <row r="142">
      <c r="G142" s="15"/>
      <c r="I142" s="14"/>
      <c r="J142" s="15"/>
      <c r="K142" s="15"/>
      <c r="L142" s="105"/>
    </row>
    <row r="143">
      <c r="G143" s="15"/>
      <c r="I143" s="14"/>
      <c r="J143" s="15"/>
      <c r="K143" s="15"/>
      <c r="L143" s="105"/>
    </row>
    <row r="144">
      <c r="G144" s="15"/>
      <c r="I144" s="14"/>
      <c r="J144" s="15"/>
      <c r="K144" s="15"/>
      <c r="L144" s="105"/>
    </row>
    <row r="145">
      <c r="G145" s="15"/>
      <c r="I145" s="14"/>
      <c r="J145" s="15"/>
      <c r="K145" s="15"/>
      <c r="L145" s="105"/>
    </row>
    <row r="146">
      <c r="G146" s="15"/>
      <c r="I146" s="14"/>
      <c r="J146" s="15"/>
      <c r="K146" s="15"/>
      <c r="L146" s="105"/>
    </row>
    <row r="147">
      <c r="G147" s="15"/>
      <c r="I147" s="14"/>
      <c r="J147" s="15"/>
      <c r="K147" s="15"/>
      <c r="L147" s="105"/>
    </row>
    <row r="148">
      <c r="G148" s="15"/>
      <c r="I148" s="14"/>
      <c r="J148" s="15"/>
      <c r="K148" s="15"/>
      <c r="L148" s="105"/>
    </row>
    <row r="149">
      <c r="G149" s="15"/>
      <c r="I149" s="14"/>
      <c r="J149" s="15"/>
      <c r="K149" s="15"/>
      <c r="L149" s="105"/>
    </row>
    <row r="150">
      <c r="G150" s="15"/>
      <c r="I150" s="14"/>
      <c r="J150" s="15"/>
      <c r="K150" s="15"/>
      <c r="L150" s="105"/>
    </row>
    <row r="151">
      <c r="G151" s="15"/>
      <c r="I151" s="14"/>
      <c r="J151" s="15"/>
      <c r="K151" s="15"/>
      <c r="L151" s="105"/>
    </row>
    <row r="152">
      <c r="G152" s="15"/>
      <c r="I152" s="14"/>
      <c r="J152" s="15"/>
      <c r="K152" s="15"/>
      <c r="L152" s="105"/>
    </row>
    <row r="153">
      <c r="G153" s="15"/>
      <c r="I153" s="14"/>
      <c r="J153" s="15"/>
      <c r="K153" s="15"/>
      <c r="L153" s="105"/>
    </row>
    <row r="154">
      <c r="G154" s="15"/>
      <c r="I154" s="14"/>
      <c r="J154" s="15"/>
      <c r="K154" s="15"/>
      <c r="L154" s="105"/>
    </row>
    <row r="155">
      <c r="G155" s="15"/>
      <c r="I155" s="14"/>
      <c r="J155" s="15"/>
      <c r="K155" s="15"/>
      <c r="L155" s="105"/>
    </row>
    <row r="156">
      <c r="G156" s="15"/>
      <c r="I156" s="14"/>
      <c r="J156" s="15"/>
      <c r="K156" s="15"/>
      <c r="L156" s="105"/>
    </row>
    <row r="157">
      <c r="G157" s="15"/>
      <c r="I157" s="14"/>
      <c r="J157" s="15"/>
      <c r="K157" s="15"/>
      <c r="L157" s="105"/>
    </row>
    <row r="158">
      <c r="G158" s="15"/>
      <c r="I158" s="14"/>
      <c r="J158" s="15"/>
      <c r="K158" s="15"/>
      <c r="L158" s="105"/>
    </row>
    <row r="159">
      <c r="G159" s="15"/>
      <c r="I159" s="14"/>
      <c r="J159" s="15"/>
      <c r="K159" s="15"/>
      <c r="L159" s="105"/>
    </row>
    <row r="160">
      <c r="G160" s="15"/>
      <c r="I160" s="14"/>
      <c r="J160" s="15"/>
      <c r="K160" s="15"/>
      <c r="L160" s="105"/>
    </row>
    <row r="161">
      <c r="G161" s="15"/>
      <c r="I161" s="14"/>
      <c r="J161" s="15"/>
      <c r="K161" s="15"/>
      <c r="L161" s="105"/>
    </row>
    <row r="162">
      <c r="G162" s="15"/>
      <c r="I162" s="14"/>
      <c r="J162" s="15"/>
      <c r="K162" s="15"/>
      <c r="L162" s="105"/>
    </row>
    <row r="163">
      <c r="G163" s="15"/>
      <c r="I163" s="14"/>
      <c r="J163" s="15"/>
      <c r="K163" s="15"/>
      <c r="L163" s="105"/>
    </row>
    <row r="164">
      <c r="G164" s="15"/>
      <c r="I164" s="14"/>
      <c r="J164" s="15"/>
      <c r="K164" s="15"/>
      <c r="L164" s="105"/>
    </row>
    <row r="165">
      <c r="G165" s="15"/>
      <c r="I165" s="14"/>
      <c r="J165" s="15"/>
      <c r="K165" s="15"/>
      <c r="L165" s="105"/>
    </row>
    <row r="166">
      <c r="G166" s="15"/>
      <c r="I166" s="14"/>
      <c r="J166" s="15"/>
      <c r="K166" s="15"/>
      <c r="L166" s="105"/>
    </row>
    <row r="167">
      <c r="G167" s="15"/>
      <c r="I167" s="14"/>
      <c r="J167" s="15"/>
      <c r="K167" s="15"/>
      <c r="L167" s="105"/>
    </row>
    <row r="168">
      <c r="G168" s="15"/>
      <c r="I168" s="14"/>
      <c r="J168" s="15"/>
      <c r="K168" s="15"/>
      <c r="L168" s="105"/>
    </row>
    <row r="169">
      <c r="G169" s="15"/>
      <c r="I169" s="14"/>
      <c r="J169" s="15"/>
      <c r="K169" s="15"/>
      <c r="L169" s="105"/>
    </row>
    <row r="170">
      <c r="G170" s="15"/>
      <c r="I170" s="14"/>
      <c r="J170" s="15"/>
      <c r="K170" s="15"/>
      <c r="L170" s="105"/>
    </row>
    <row r="171">
      <c r="G171" s="15"/>
      <c r="I171" s="14"/>
      <c r="J171" s="15"/>
      <c r="K171" s="15"/>
      <c r="L171" s="105"/>
    </row>
    <row r="172">
      <c r="G172" s="15"/>
      <c r="I172" s="14"/>
      <c r="J172" s="15"/>
      <c r="K172" s="15"/>
      <c r="L172" s="105"/>
    </row>
    <row r="173">
      <c r="G173" s="15"/>
      <c r="I173" s="14"/>
      <c r="J173" s="15"/>
      <c r="K173" s="15"/>
      <c r="L173" s="105"/>
    </row>
    <row r="174">
      <c r="G174" s="15"/>
      <c r="I174" s="14"/>
      <c r="J174" s="15"/>
      <c r="K174" s="15"/>
      <c r="L174" s="105"/>
    </row>
    <row r="175">
      <c r="G175" s="15"/>
      <c r="I175" s="14"/>
      <c r="J175" s="15"/>
      <c r="K175" s="15"/>
      <c r="L175" s="105"/>
    </row>
    <row r="176">
      <c r="G176" s="15"/>
      <c r="I176" s="14"/>
      <c r="J176" s="15"/>
      <c r="K176" s="15"/>
      <c r="L176" s="105"/>
    </row>
    <row r="177">
      <c r="G177" s="15"/>
      <c r="I177" s="14"/>
      <c r="J177" s="15"/>
      <c r="K177" s="15"/>
      <c r="L177" s="105"/>
    </row>
    <row r="178">
      <c r="G178" s="15"/>
      <c r="I178" s="14"/>
      <c r="J178" s="15"/>
      <c r="K178" s="15"/>
      <c r="L178" s="105"/>
    </row>
    <row r="179">
      <c r="G179" s="15"/>
      <c r="I179" s="14"/>
      <c r="J179" s="15"/>
      <c r="K179" s="15"/>
      <c r="L179" s="105"/>
    </row>
    <row r="180">
      <c r="G180" s="15"/>
      <c r="I180" s="14"/>
      <c r="J180" s="15"/>
      <c r="K180" s="15"/>
      <c r="L180" s="105"/>
    </row>
    <row r="181">
      <c r="G181" s="15"/>
      <c r="I181" s="14"/>
      <c r="J181" s="15"/>
      <c r="K181" s="15"/>
      <c r="L181" s="105"/>
    </row>
    <row r="182">
      <c r="G182" s="15"/>
      <c r="I182" s="14"/>
      <c r="J182" s="15"/>
      <c r="K182" s="15"/>
      <c r="L182" s="105"/>
    </row>
    <row r="183">
      <c r="G183" s="15"/>
      <c r="I183" s="14"/>
      <c r="J183" s="15"/>
      <c r="K183" s="15"/>
      <c r="L183" s="105"/>
    </row>
    <row r="184">
      <c r="G184" s="15"/>
      <c r="I184" s="14"/>
      <c r="J184" s="15"/>
      <c r="K184" s="15"/>
      <c r="L184" s="105"/>
    </row>
    <row r="185">
      <c r="G185" s="15"/>
      <c r="I185" s="14"/>
      <c r="J185" s="15"/>
      <c r="K185" s="15"/>
      <c r="L185" s="105"/>
    </row>
    <row r="186">
      <c r="G186" s="15"/>
      <c r="I186" s="14"/>
      <c r="J186" s="15"/>
      <c r="K186" s="15"/>
      <c r="L186" s="105"/>
    </row>
    <row r="187">
      <c r="G187" s="15"/>
      <c r="I187" s="14"/>
      <c r="J187" s="15"/>
      <c r="K187" s="15"/>
      <c r="L187" s="105"/>
    </row>
    <row r="188">
      <c r="G188" s="15"/>
      <c r="I188" s="14"/>
      <c r="J188" s="15"/>
      <c r="K188" s="15"/>
      <c r="L188" s="105"/>
    </row>
    <row r="189">
      <c r="G189" s="15"/>
      <c r="I189" s="14"/>
      <c r="J189" s="15"/>
      <c r="K189" s="15"/>
      <c r="L189" s="105"/>
    </row>
    <row r="190">
      <c r="G190" s="15"/>
      <c r="I190" s="14"/>
      <c r="J190" s="15"/>
      <c r="K190" s="15"/>
      <c r="L190" s="105"/>
    </row>
    <row r="191">
      <c r="G191" s="15"/>
      <c r="I191" s="14"/>
      <c r="J191" s="15"/>
      <c r="K191" s="15"/>
      <c r="L191" s="105"/>
    </row>
    <row r="192">
      <c r="G192" s="15"/>
      <c r="I192" s="14"/>
      <c r="J192" s="15"/>
      <c r="K192" s="15"/>
      <c r="L192" s="105"/>
    </row>
    <row r="193">
      <c r="G193" s="15"/>
      <c r="I193" s="14"/>
      <c r="J193" s="15"/>
      <c r="K193" s="15"/>
      <c r="L193" s="105"/>
    </row>
    <row r="194">
      <c r="G194" s="15"/>
      <c r="I194" s="14"/>
      <c r="J194" s="15"/>
      <c r="K194" s="15"/>
      <c r="L194" s="105"/>
    </row>
    <row r="195">
      <c r="G195" s="15"/>
      <c r="I195" s="14"/>
      <c r="J195" s="15"/>
      <c r="K195" s="15"/>
      <c r="L195" s="105"/>
    </row>
    <row r="196">
      <c r="G196" s="15"/>
      <c r="I196" s="14"/>
      <c r="J196" s="15"/>
      <c r="K196" s="15"/>
      <c r="L196" s="105"/>
    </row>
    <row r="197">
      <c r="G197" s="15"/>
      <c r="I197" s="14"/>
      <c r="J197" s="15"/>
      <c r="K197" s="15"/>
      <c r="L197" s="105"/>
    </row>
    <row r="198">
      <c r="G198" s="15"/>
      <c r="I198" s="14"/>
      <c r="J198" s="15"/>
      <c r="K198" s="15"/>
      <c r="L198" s="105"/>
    </row>
    <row r="199">
      <c r="G199" s="15"/>
      <c r="I199" s="14"/>
      <c r="J199" s="15"/>
      <c r="K199" s="15"/>
      <c r="L199" s="105"/>
    </row>
    <row r="200">
      <c r="G200" s="15"/>
      <c r="I200" s="14"/>
      <c r="J200" s="15"/>
      <c r="K200" s="15"/>
      <c r="L200" s="105"/>
    </row>
    <row r="201">
      <c r="G201" s="15"/>
      <c r="I201" s="14"/>
      <c r="J201" s="15"/>
      <c r="K201" s="15"/>
      <c r="L201" s="105"/>
    </row>
    <row r="202">
      <c r="G202" s="15"/>
      <c r="I202" s="14"/>
      <c r="J202" s="15"/>
      <c r="K202" s="15"/>
      <c r="L202" s="105"/>
    </row>
    <row r="203">
      <c r="G203" s="15"/>
      <c r="I203" s="14"/>
      <c r="J203" s="15"/>
      <c r="K203" s="15"/>
      <c r="L203" s="105"/>
    </row>
    <row r="204">
      <c r="G204" s="15"/>
      <c r="I204" s="14"/>
      <c r="J204" s="15"/>
      <c r="K204" s="15"/>
      <c r="L204" s="105"/>
    </row>
    <row r="205">
      <c r="G205" s="15"/>
      <c r="I205" s="14"/>
      <c r="J205" s="15"/>
      <c r="K205" s="15"/>
      <c r="L205" s="105"/>
    </row>
    <row r="206">
      <c r="G206" s="15"/>
      <c r="I206" s="14"/>
      <c r="J206" s="15"/>
      <c r="K206" s="15"/>
      <c r="L206" s="105"/>
    </row>
    <row r="207">
      <c r="G207" s="15"/>
      <c r="I207" s="14"/>
      <c r="J207" s="15"/>
      <c r="K207" s="15"/>
      <c r="L207" s="105"/>
    </row>
    <row r="208">
      <c r="G208" s="15"/>
      <c r="I208" s="14"/>
      <c r="J208" s="15"/>
      <c r="K208" s="15"/>
      <c r="L208" s="105"/>
    </row>
    <row r="209">
      <c r="G209" s="15"/>
      <c r="I209" s="14"/>
      <c r="J209" s="15"/>
      <c r="K209" s="15"/>
      <c r="L209" s="105"/>
    </row>
    <row r="210">
      <c r="G210" s="15"/>
      <c r="I210" s="14"/>
      <c r="J210" s="15"/>
      <c r="K210" s="15"/>
      <c r="L210" s="105"/>
    </row>
    <row r="211">
      <c r="G211" s="15"/>
      <c r="I211" s="14"/>
      <c r="J211" s="15"/>
      <c r="K211" s="15"/>
      <c r="L211" s="105"/>
    </row>
    <row r="212">
      <c r="G212" s="15"/>
      <c r="I212" s="14"/>
      <c r="J212" s="15"/>
      <c r="K212" s="15"/>
      <c r="L212" s="105"/>
    </row>
    <row r="213">
      <c r="G213" s="15"/>
      <c r="I213" s="14"/>
      <c r="J213" s="15"/>
      <c r="K213" s="15"/>
      <c r="L213" s="105"/>
    </row>
    <row r="214">
      <c r="G214" s="15"/>
      <c r="I214" s="14"/>
      <c r="J214" s="15"/>
      <c r="K214" s="15"/>
      <c r="L214" s="105"/>
    </row>
    <row r="215">
      <c r="G215" s="15"/>
      <c r="I215" s="14"/>
      <c r="J215" s="15"/>
      <c r="K215" s="15"/>
      <c r="L215" s="105"/>
    </row>
    <row r="216">
      <c r="G216" s="15"/>
      <c r="I216" s="14"/>
      <c r="J216" s="15"/>
      <c r="K216" s="15"/>
      <c r="L216" s="105"/>
    </row>
    <row r="217">
      <c r="G217" s="15"/>
      <c r="I217" s="14"/>
      <c r="J217" s="15"/>
      <c r="K217" s="15"/>
      <c r="L217" s="105"/>
    </row>
    <row r="218">
      <c r="G218" s="15"/>
      <c r="I218" s="14"/>
      <c r="J218" s="15"/>
      <c r="K218" s="15"/>
      <c r="L218" s="105"/>
    </row>
    <row r="219">
      <c r="G219" s="15"/>
      <c r="I219" s="14"/>
      <c r="J219" s="15"/>
      <c r="K219" s="15"/>
      <c r="L219" s="105"/>
    </row>
    <row r="220">
      <c r="G220" s="15"/>
      <c r="I220" s="14"/>
      <c r="J220" s="15"/>
      <c r="K220" s="15"/>
      <c r="L220" s="105"/>
    </row>
    <row r="221">
      <c r="G221" s="15"/>
      <c r="I221" s="14"/>
      <c r="J221" s="15"/>
      <c r="K221" s="15"/>
      <c r="L221" s="105"/>
    </row>
    <row r="222">
      <c r="G222" s="15"/>
      <c r="I222" s="14"/>
      <c r="J222" s="15"/>
      <c r="K222" s="15"/>
      <c r="L222" s="105"/>
    </row>
    <row r="223">
      <c r="G223" s="15"/>
      <c r="I223" s="14"/>
      <c r="J223" s="15"/>
      <c r="K223" s="15"/>
      <c r="L223" s="105"/>
    </row>
    <row r="224">
      <c r="G224" s="15"/>
      <c r="I224" s="14"/>
      <c r="J224" s="15"/>
      <c r="K224" s="15"/>
      <c r="L224" s="105"/>
    </row>
    <row r="225">
      <c r="G225" s="15"/>
      <c r="I225" s="14"/>
      <c r="J225" s="15"/>
      <c r="K225" s="15"/>
      <c r="L225" s="105"/>
    </row>
    <row r="226">
      <c r="G226" s="15"/>
      <c r="I226" s="14"/>
      <c r="J226" s="15"/>
      <c r="K226" s="15"/>
      <c r="L226" s="105"/>
    </row>
    <row r="227">
      <c r="G227" s="15"/>
      <c r="I227" s="14"/>
      <c r="J227" s="15"/>
      <c r="K227" s="15"/>
      <c r="L227" s="105"/>
    </row>
    <row r="228">
      <c r="G228" s="15"/>
      <c r="I228" s="14"/>
      <c r="J228" s="15"/>
      <c r="K228" s="15"/>
      <c r="L228" s="105"/>
    </row>
    <row r="229">
      <c r="G229" s="15"/>
      <c r="I229" s="14"/>
      <c r="J229" s="15"/>
      <c r="K229" s="15"/>
      <c r="L229" s="105"/>
    </row>
    <row r="230">
      <c r="G230" s="15"/>
      <c r="I230" s="14"/>
      <c r="J230" s="15"/>
      <c r="K230" s="15"/>
      <c r="L230" s="105"/>
    </row>
    <row r="231">
      <c r="G231" s="15"/>
      <c r="I231" s="14"/>
      <c r="J231" s="15"/>
      <c r="K231" s="15"/>
      <c r="L231" s="105"/>
    </row>
    <row r="232">
      <c r="G232" s="15"/>
      <c r="I232" s="14"/>
      <c r="J232" s="15"/>
      <c r="K232" s="15"/>
      <c r="L232" s="105"/>
    </row>
    <row r="233">
      <c r="G233" s="15"/>
      <c r="I233" s="14"/>
      <c r="J233" s="15"/>
      <c r="K233" s="15"/>
      <c r="L233" s="105"/>
    </row>
    <row r="234">
      <c r="G234" s="15"/>
      <c r="I234" s="14"/>
      <c r="J234" s="15"/>
      <c r="K234" s="15"/>
      <c r="L234" s="105"/>
    </row>
    <row r="235">
      <c r="G235" s="15"/>
      <c r="I235" s="14"/>
      <c r="J235" s="15"/>
      <c r="K235" s="15"/>
      <c r="L235" s="105"/>
    </row>
    <row r="236">
      <c r="G236" s="15"/>
      <c r="I236" s="14"/>
      <c r="J236" s="15"/>
      <c r="K236" s="15"/>
      <c r="L236" s="105"/>
    </row>
    <row r="237">
      <c r="G237" s="15"/>
      <c r="I237" s="14"/>
      <c r="J237" s="15"/>
      <c r="K237" s="15"/>
      <c r="L237" s="105"/>
    </row>
    <row r="238">
      <c r="G238" s="15"/>
      <c r="I238" s="14"/>
      <c r="J238" s="15"/>
      <c r="K238" s="15"/>
      <c r="L238" s="105"/>
    </row>
    <row r="239">
      <c r="G239" s="15"/>
      <c r="I239" s="14"/>
      <c r="J239" s="15"/>
      <c r="K239" s="15"/>
      <c r="L239" s="105"/>
    </row>
    <row r="240">
      <c r="G240" s="15"/>
      <c r="I240" s="14"/>
      <c r="J240" s="15"/>
      <c r="K240" s="15"/>
      <c r="L240" s="105"/>
    </row>
    <row r="241">
      <c r="G241" s="15"/>
      <c r="I241" s="14"/>
      <c r="J241" s="15"/>
      <c r="K241" s="15"/>
      <c r="L241" s="105"/>
    </row>
    <row r="242">
      <c r="G242" s="15"/>
      <c r="I242" s="14"/>
      <c r="J242" s="15"/>
      <c r="K242" s="15"/>
      <c r="L242" s="105"/>
    </row>
    <row r="243">
      <c r="G243" s="15"/>
      <c r="I243" s="14"/>
      <c r="J243" s="15"/>
      <c r="K243" s="15"/>
      <c r="L243" s="105"/>
    </row>
    <row r="244">
      <c r="G244" s="15"/>
      <c r="I244" s="14"/>
      <c r="J244" s="15"/>
      <c r="K244" s="15"/>
      <c r="L244" s="105"/>
    </row>
    <row r="245">
      <c r="G245" s="15"/>
      <c r="I245" s="14"/>
      <c r="J245" s="15"/>
      <c r="K245" s="15"/>
      <c r="L245" s="105"/>
    </row>
    <row r="246">
      <c r="G246" s="15"/>
      <c r="I246" s="14"/>
      <c r="J246" s="15"/>
      <c r="K246" s="15"/>
      <c r="L246" s="105"/>
    </row>
    <row r="247">
      <c r="G247" s="15"/>
      <c r="I247" s="14"/>
      <c r="J247" s="15"/>
      <c r="K247" s="15"/>
      <c r="L247" s="105"/>
    </row>
    <row r="248">
      <c r="G248" s="15"/>
      <c r="I248" s="14"/>
      <c r="J248" s="15"/>
      <c r="K248" s="15"/>
      <c r="L248" s="105"/>
    </row>
    <row r="249">
      <c r="G249" s="15"/>
      <c r="I249" s="14"/>
      <c r="J249" s="15"/>
      <c r="K249" s="15"/>
      <c r="L249" s="105"/>
    </row>
    <row r="250">
      <c r="G250" s="15"/>
      <c r="I250" s="14"/>
      <c r="J250" s="15"/>
      <c r="K250" s="15"/>
      <c r="L250" s="105"/>
    </row>
    <row r="251">
      <c r="G251" s="15"/>
      <c r="I251" s="14"/>
      <c r="J251" s="15"/>
      <c r="K251" s="15"/>
      <c r="L251" s="105"/>
    </row>
    <row r="252">
      <c r="G252" s="15"/>
      <c r="I252" s="14"/>
      <c r="J252" s="15"/>
      <c r="K252" s="15"/>
      <c r="L252" s="105"/>
    </row>
    <row r="253">
      <c r="G253" s="15"/>
      <c r="I253" s="14"/>
      <c r="J253" s="15"/>
      <c r="K253" s="15"/>
      <c r="L253" s="105"/>
    </row>
    <row r="254">
      <c r="G254" s="15"/>
      <c r="I254" s="14"/>
      <c r="J254" s="15"/>
      <c r="K254" s="15"/>
      <c r="L254" s="105"/>
    </row>
    <row r="255">
      <c r="G255" s="15"/>
      <c r="I255" s="14"/>
      <c r="J255" s="15"/>
      <c r="K255" s="15"/>
      <c r="L255" s="105"/>
    </row>
    <row r="256">
      <c r="G256" s="15"/>
      <c r="I256" s="14"/>
      <c r="J256" s="15"/>
      <c r="K256" s="15"/>
      <c r="L256" s="105"/>
    </row>
    <row r="257">
      <c r="G257" s="15"/>
      <c r="I257" s="14"/>
      <c r="J257" s="15"/>
      <c r="K257" s="15"/>
      <c r="L257" s="105"/>
    </row>
    <row r="258">
      <c r="G258" s="15"/>
      <c r="I258" s="14"/>
      <c r="J258" s="15"/>
      <c r="K258" s="15"/>
      <c r="L258" s="105"/>
    </row>
    <row r="259">
      <c r="G259" s="15"/>
      <c r="I259" s="14"/>
      <c r="J259" s="15"/>
      <c r="K259" s="15"/>
      <c r="L259" s="105"/>
    </row>
    <row r="260">
      <c r="G260" s="15"/>
      <c r="I260" s="14"/>
      <c r="J260" s="15"/>
      <c r="K260" s="15"/>
      <c r="L260" s="105"/>
    </row>
    <row r="261">
      <c r="G261" s="15"/>
      <c r="I261" s="14"/>
      <c r="J261" s="15"/>
      <c r="K261" s="15"/>
      <c r="L261" s="105"/>
    </row>
    <row r="262">
      <c r="G262" s="15"/>
      <c r="I262" s="14"/>
      <c r="J262" s="15"/>
      <c r="K262" s="15"/>
      <c r="L262" s="105"/>
    </row>
    <row r="263">
      <c r="G263" s="15"/>
      <c r="I263" s="14"/>
      <c r="J263" s="15"/>
      <c r="K263" s="15"/>
      <c r="L263" s="105"/>
    </row>
    <row r="264">
      <c r="G264" s="15"/>
      <c r="I264" s="14"/>
      <c r="J264" s="15"/>
      <c r="K264" s="15"/>
      <c r="L264" s="105"/>
    </row>
    <row r="265">
      <c r="G265" s="15"/>
      <c r="I265" s="14"/>
      <c r="J265" s="15"/>
      <c r="K265" s="15"/>
      <c r="L265" s="105"/>
    </row>
    <row r="266">
      <c r="G266" s="15"/>
      <c r="I266" s="14"/>
      <c r="J266" s="15"/>
      <c r="K266" s="15"/>
      <c r="L266" s="105"/>
    </row>
    <row r="267">
      <c r="G267" s="15"/>
      <c r="I267" s="14"/>
      <c r="J267" s="15"/>
      <c r="K267" s="15"/>
      <c r="L267" s="105"/>
    </row>
    <row r="268">
      <c r="G268" s="15"/>
      <c r="I268" s="14"/>
      <c r="J268" s="15"/>
      <c r="K268" s="15"/>
      <c r="L268" s="105"/>
    </row>
    <row r="269">
      <c r="G269" s="15"/>
      <c r="I269" s="14"/>
      <c r="J269" s="15"/>
      <c r="K269" s="15"/>
      <c r="L269" s="105"/>
    </row>
    <row r="270">
      <c r="G270" s="15"/>
      <c r="I270" s="14"/>
      <c r="J270" s="15"/>
      <c r="K270" s="15"/>
      <c r="L270" s="105"/>
    </row>
    <row r="271">
      <c r="G271" s="15"/>
      <c r="I271" s="14"/>
      <c r="J271" s="15"/>
      <c r="K271" s="15"/>
      <c r="L271" s="105"/>
    </row>
    <row r="272">
      <c r="G272" s="15"/>
      <c r="I272" s="14"/>
      <c r="J272" s="15"/>
      <c r="K272" s="15"/>
      <c r="L272" s="105"/>
    </row>
    <row r="273">
      <c r="G273" s="15"/>
      <c r="I273" s="14"/>
      <c r="J273" s="15"/>
      <c r="K273" s="15"/>
      <c r="L273" s="105"/>
    </row>
    <row r="274">
      <c r="G274" s="15"/>
      <c r="I274" s="14"/>
      <c r="J274" s="15"/>
      <c r="K274" s="15"/>
      <c r="L274" s="105"/>
    </row>
    <row r="275">
      <c r="G275" s="15"/>
      <c r="I275" s="14"/>
      <c r="J275" s="15"/>
      <c r="K275" s="15"/>
      <c r="L275" s="105"/>
    </row>
    <row r="276">
      <c r="G276" s="15"/>
      <c r="I276" s="14"/>
      <c r="J276" s="15"/>
      <c r="K276" s="15"/>
      <c r="L276" s="105"/>
    </row>
    <row r="277">
      <c r="G277" s="15"/>
      <c r="I277" s="14"/>
      <c r="J277" s="15"/>
      <c r="K277" s="15"/>
      <c r="L277" s="105"/>
    </row>
    <row r="278">
      <c r="G278" s="15"/>
      <c r="I278" s="14"/>
      <c r="J278" s="15"/>
      <c r="K278" s="15"/>
      <c r="L278" s="105"/>
    </row>
    <row r="279">
      <c r="G279" s="15"/>
      <c r="I279" s="14"/>
      <c r="J279" s="15"/>
      <c r="K279" s="15"/>
      <c r="L279" s="105"/>
    </row>
    <row r="280">
      <c r="G280" s="15"/>
      <c r="I280" s="14"/>
      <c r="J280" s="15"/>
      <c r="K280" s="15"/>
      <c r="L280" s="105"/>
    </row>
    <row r="281">
      <c r="G281" s="15"/>
      <c r="I281" s="14"/>
      <c r="J281" s="15"/>
      <c r="K281" s="15"/>
      <c r="L281" s="105"/>
    </row>
    <row r="282">
      <c r="G282" s="15"/>
      <c r="I282" s="14"/>
      <c r="J282" s="15"/>
      <c r="K282" s="15"/>
      <c r="L282" s="105"/>
    </row>
    <row r="283">
      <c r="G283" s="15"/>
      <c r="I283" s="14"/>
      <c r="J283" s="15"/>
      <c r="K283" s="15"/>
      <c r="L283" s="105"/>
    </row>
    <row r="284">
      <c r="G284" s="15"/>
      <c r="I284" s="14"/>
      <c r="J284" s="15"/>
      <c r="K284" s="15"/>
      <c r="L284" s="105"/>
    </row>
    <row r="285">
      <c r="G285" s="15"/>
      <c r="I285" s="14"/>
      <c r="J285" s="15"/>
      <c r="K285" s="15"/>
      <c r="L285" s="105"/>
    </row>
    <row r="286">
      <c r="G286" s="15"/>
      <c r="I286" s="14"/>
      <c r="J286" s="15"/>
      <c r="K286" s="15"/>
      <c r="L286" s="105"/>
    </row>
    <row r="287">
      <c r="G287" s="15"/>
      <c r="I287" s="14"/>
      <c r="J287" s="15"/>
      <c r="K287" s="15"/>
      <c r="L287" s="105"/>
    </row>
    <row r="288">
      <c r="G288" s="15"/>
      <c r="I288" s="14"/>
      <c r="J288" s="15"/>
      <c r="K288" s="15"/>
      <c r="L288" s="105"/>
    </row>
    <row r="289">
      <c r="G289" s="15"/>
      <c r="I289" s="14"/>
      <c r="J289" s="15"/>
      <c r="K289" s="15"/>
      <c r="L289" s="105"/>
    </row>
    <row r="290">
      <c r="G290" s="15"/>
      <c r="I290" s="14"/>
      <c r="J290" s="15"/>
      <c r="K290" s="15"/>
      <c r="L290" s="105"/>
    </row>
    <row r="291">
      <c r="G291" s="15"/>
      <c r="I291" s="14"/>
      <c r="J291" s="15"/>
      <c r="K291" s="15"/>
      <c r="L291" s="105"/>
    </row>
    <row r="292">
      <c r="G292" s="15"/>
      <c r="I292" s="14"/>
      <c r="J292" s="15"/>
      <c r="K292" s="15"/>
      <c r="L292" s="105"/>
    </row>
    <row r="293">
      <c r="G293" s="15"/>
      <c r="I293" s="14"/>
      <c r="J293" s="15"/>
      <c r="K293" s="15"/>
      <c r="L293" s="105"/>
    </row>
    <row r="294">
      <c r="G294" s="15"/>
      <c r="I294" s="14"/>
      <c r="J294" s="15"/>
      <c r="K294" s="15"/>
      <c r="L294" s="105"/>
    </row>
    <row r="295">
      <c r="G295" s="15"/>
      <c r="I295" s="14"/>
      <c r="J295" s="15"/>
      <c r="K295" s="15"/>
      <c r="L295" s="105"/>
    </row>
    <row r="296">
      <c r="G296" s="15"/>
      <c r="I296" s="14"/>
      <c r="J296" s="15"/>
      <c r="K296" s="15"/>
      <c r="L296" s="105"/>
    </row>
    <row r="297">
      <c r="G297" s="15"/>
      <c r="I297" s="14"/>
      <c r="J297" s="15"/>
      <c r="K297" s="15"/>
      <c r="L297" s="105"/>
    </row>
    <row r="298">
      <c r="G298" s="15"/>
      <c r="I298" s="14"/>
      <c r="J298" s="15"/>
      <c r="K298" s="15"/>
      <c r="L298" s="105"/>
    </row>
    <row r="299">
      <c r="G299" s="15"/>
      <c r="I299" s="14"/>
      <c r="J299" s="15"/>
      <c r="K299" s="15"/>
      <c r="L299" s="105"/>
    </row>
    <row r="300">
      <c r="G300" s="15"/>
      <c r="I300" s="14"/>
      <c r="J300" s="15"/>
      <c r="K300" s="15"/>
      <c r="L300" s="105"/>
    </row>
    <row r="301">
      <c r="G301" s="15"/>
      <c r="I301" s="14"/>
      <c r="J301" s="15"/>
      <c r="K301" s="15"/>
      <c r="L301" s="105"/>
    </row>
    <row r="302">
      <c r="G302" s="15"/>
      <c r="I302" s="14"/>
      <c r="J302" s="15"/>
      <c r="K302" s="15"/>
      <c r="L302" s="105"/>
    </row>
    <row r="303">
      <c r="G303" s="15"/>
      <c r="I303" s="14"/>
      <c r="J303" s="15"/>
      <c r="K303" s="15"/>
      <c r="L303" s="105"/>
    </row>
    <row r="304">
      <c r="G304" s="15"/>
      <c r="I304" s="14"/>
      <c r="J304" s="15"/>
      <c r="K304" s="15"/>
      <c r="L304" s="105"/>
    </row>
    <row r="305">
      <c r="G305" s="15"/>
      <c r="I305" s="14"/>
      <c r="J305" s="15"/>
      <c r="K305" s="15"/>
      <c r="L305" s="105"/>
    </row>
    <row r="306">
      <c r="G306" s="15"/>
      <c r="I306" s="14"/>
      <c r="J306" s="15"/>
      <c r="K306" s="15"/>
      <c r="L306" s="105"/>
    </row>
    <row r="307">
      <c r="G307" s="15"/>
      <c r="I307" s="14"/>
      <c r="J307" s="15"/>
      <c r="K307" s="15"/>
      <c r="L307" s="105"/>
    </row>
    <row r="308">
      <c r="G308" s="15"/>
      <c r="I308" s="14"/>
      <c r="J308" s="15"/>
      <c r="K308" s="15"/>
      <c r="L308" s="105"/>
    </row>
    <row r="309">
      <c r="G309" s="15"/>
      <c r="I309" s="14"/>
      <c r="J309" s="15"/>
      <c r="K309" s="15"/>
      <c r="L309" s="105"/>
    </row>
    <row r="310">
      <c r="G310" s="15"/>
      <c r="I310" s="14"/>
      <c r="J310" s="15"/>
      <c r="K310" s="15"/>
      <c r="L310" s="105"/>
    </row>
    <row r="311">
      <c r="G311" s="15"/>
      <c r="I311" s="14"/>
      <c r="J311" s="15"/>
      <c r="K311" s="15"/>
      <c r="L311" s="105"/>
    </row>
    <row r="312">
      <c r="G312" s="15"/>
      <c r="I312" s="14"/>
      <c r="J312" s="15"/>
      <c r="K312" s="15"/>
      <c r="L312" s="105"/>
    </row>
    <row r="313">
      <c r="G313" s="15"/>
      <c r="I313" s="14"/>
      <c r="J313" s="15"/>
      <c r="K313" s="15"/>
      <c r="L313" s="105"/>
    </row>
    <row r="314">
      <c r="G314" s="15"/>
      <c r="I314" s="14"/>
      <c r="J314" s="15"/>
      <c r="K314" s="15"/>
      <c r="L314" s="105"/>
    </row>
    <row r="315">
      <c r="G315" s="15"/>
      <c r="I315" s="14"/>
      <c r="J315" s="15"/>
      <c r="K315" s="15"/>
      <c r="L315" s="105"/>
    </row>
    <row r="316">
      <c r="G316" s="15"/>
      <c r="I316" s="14"/>
      <c r="J316" s="15"/>
      <c r="K316" s="15"/>
      <c r="L316" s="105"/>
    </row>
    <row r="317">
      <c r="G317" s="15"/>
      <c r="I317" s="14"/>
      <c r="J317" s="15"/>
      <c r="K317" s="15"/>
      <c r="L317" s="105"/>
    </row>
    <row r="318">
      <c r="G318" s="15"/>
      <c r="I318" s="14"/>
      <c r="J318" s="15"/>
      <c r="K318" s="15"/>
      <c r="L318" s="105"/>
    </row>
    <row r="319">
      <c r="G319" s="15"/>
      <c r="I319" s="14"/>
      <c r="J319" s="15"/>
      <c r="K319" s="15"/>
      <c r="L319" s="105"/>
    </row>
    <row r="320">
      <c r="G320" s="15"/>
      <c r="I320" s="14"/>
      <c r="J320" s="15"/>
      <c r="K320" s="15"/>
      <c r="L320" s="105"/>
    </row>
    <row r="321">
      <c r="G321" s="15"/>
      <c r="I321" s="14"/>
      <c r="J321" s="15"/>
      <c r="K321" s="15"/>
      <c r="L321" s="105"/>
    </row>
    <row r="322">
      <c r="G322" s="15"/>
      <c r="I322" s="14"/>
      <c r="J322" s="15"/>
      <c r="K322" s="15"/>
      <c r="L322" s="105"/>
    </row>
    <row r="323">
      <c r="G323" s="15"/>
      <c r="I323" s="14"/>
      <c r="J323" s="15"/>
      <c r="K323" s="15"/>
      <c r="L323" s="105"/>
    </row>
    <row r="324">
      <c r="G324" s="15"/>
      <c r="I324" s="14"/>
      <c r="J324" s="15"/>
      <c r="K324" s="15"/>
      <c r="L324" s="105"/>
    </row>
    <row r="325">
      <c r="G325" s="15"/>
      <c r="I325" s="14"/>
      <c r="J325" s="15"/>
      <c r="K325" s="15"/>
      <c r="L325" s="105"/>
    </row>
    <row r="326">
      <c r="G326" s="15"/>
      <c r="I326" s="14"/>
      <c r="J326" s="15"/>
      <c r="K326" s="15"/>
      <c r="L326" s="105"/>
    </row>
    <row r="327">
      <c r="G327" s="15"/>
      <c r="I327" s="14"/>
      <c r="J327" s="15"/>
      <c r="K327" s="15"/>
      <c r="L327" s="105"/>
    </row>
    <row r="328">
      <c r="G328" s="15"/>
      <c r="I328" s="14"/>
      <c r="J328" s="15"/>
      <c r="K328" s="15"/>
      <c r="L328" s="105"/>
    </row>
    <row r="329">
      <c r="G329" s="15"/>
      <c r="I329" s="14"/>
      <c r="J329" s="15"/>
      <c r="K329" s="15"/>
      <c r="L329" s="105"/>
    </row>
    <row r="330">
      <c r="G330" s="15"/>
      <c r="I330" s="14"/>
      <c r="J330" s="15"/>
      <c r="K330" s="15"/>
      <c r="L330" s="105"/>
    </row>
    <row r="331">
      <c r="G331" s="15"/>
      <c r="I331" s="14"/>
      <c r="J331" s="15"/>
      <c r="K331" s="15"/>
      <c r="L331" s="105"/>
    </row>
    <row r="332">
      <c r="G332" s="15"/>
      <c r="I332" s="14"/>
      <c r="J332" s="15"/>
      <c r="K332" s="15"/>
      <c r="L332" s="105"/>
    </row>
    <row r="333">
      <c r="G333" s="15"/>
      <c r="I333" s="14"/>
      <c r="J333" s="15"/>
      <c r="K333" s="15"/>
      <c r="L333" s="105"/>
    </row>
    <row r="334">
      <c r="G334" s="15"/>
      <c r="I334" s="14"/>
      <c r="J334" s="15"/>
      <c r="K334" s="15"/>
      <c r="L334" s="105"/>
    </row>
    <row r="335">
      <c r="G335" s="15"/>
      <c r="I335" s="14"/>
      <c r="J335" s="15"/>
      <c r="K335" s="15"/>
      <c r="L335" s="105"/>
    </row>
    <row r="336">
      <c r="G336" s="15"/>
      <c r="I336" s="14"/>
      <c r="J336" s="15"/>
      <c r="K336" s="15"/>
      <c r="L336" s="105"/>
    </row>
    <row r="337">
      <c r="G337" s="15"/>
      <c r="I337" s="14"/>
      <c r="J337" s="15"/>
      <c r="K337" s="15"/>
      <c r="L337" s="105"/>
    </row>
    <row r="338">
      <c r="G338" s="15"/>
      <c r="I338" s="14"/>
      <c r="J338" s="15"/>
      <c r="K338" s="15"/>
      <c r="L338" s="105"/>
    </row>
    <row r="339">
      <c r="G339" s="15"/>
      <c r="I339" s="14"/>
      <c r="J339" s="15"/>
      <c r="K339" s="15"/>
      <c r="L339" s="105"/>
    </row>
    <row r="340">
      <c r="G340" s="15"/>
      <c r="I340" s="14"/>
      <c r="J340" s="15"/>
      <c r="K340" s="15"/>
      <c r="L340" s="105"/>
    </row>
    <row r="341">
      <c r="G341" s="15"/>
      <c r="I341" s="14"/>
      <c r="J341" s="15"/>
      <c r="K341" s="15"/>
      <c r="L341" s="105"/>
    </row>
    <row r="342">
      <c r="G342" s="15"/>
      <c r="I342" s="14"/>
      <c r="J342" s="15"/>
      <c r="K342" s="15"/>
      <c r="L342" s="105"/>
    </row>
    <row r="343">
      <c r="G343" s="15"/>
      <c r="I343" s="14"/>
      <c r="J343" s="15"/>
      <c r="K343" s="15"/>
      <c r="L343" s="105"/>
    </row>
    <row r="344">
      <c r="G344" s="15"/>
      <c r="I344" s="14"/>
      <c r="J344" s="15"/>
      <c r="K344" s="15"/>
      <c r="L344" s="105"/>
    </row>
    <row r="345">
      <c r="G345" s="15"/>
      <c r="I345" s="14"/>
      <c r="J345" s="15"/>
      <c r="K345" s="15"/>
      <c r="L345" s="105"/>
    </row>
    <row r="346">
      <c r="G346" s="15"/>
      <c r="I346" s="14"/>
      <c r="J346" s="15"/>
      <c r="K346" s="15"/>
      <c r="L346" s="105"/>
    </row>
    <row r="347">
      <c r="G347" s="15"/>
      <c r="I347" s="14"/>
      <c r="J347" s="15"/>
      <c r="K347" s="15"/>
      <c r="L347" s="105"/>
    </row>
    <row r="348">
      <c r="G348" s="15"/>
      <c r="I348" s="14"/>
      <c r="J348" s="15"/>
      <c r="K348" s="15"/>
      <c r="L348" s="105"/>
    </row>
    <row r="349">
      <c r="G349" s="15"/>
      <c r="I349" s="14"/>
      <c r="J349" s="15"/>
      <c r="K349" s="15"/>
      <c r="L349" s="105"/>
    </row>
    <row r="350">
      <c r="G350" s="15"/>
      <c r="I350" s="14"/>
      <c r="J350" s="15"/>
      <c r="K350" s="15"/>
      <c r="L350" s="105"/>
    </row>
    <row r="351">
      <c r="G351" s="15"/>
      <c r="I351" s="14"/>
      <c r="J351" s="15"/>
      <c r="K351" s="15"/>
      <c r="L351" s="105"/>
    </row>
    <row r="352">
      <c r="G352" s="15"/>
      <c r="I352" s="14"/>
      <c r="J352" s="15"/>
      <c r="K352" s="15"/>
      <c r="L352" s="105"/>
    </row>
    <row r="353">
      <c r="G353" s="15"/>
      <c r="I353" s="14"/>
      <c r="J353" s="15"/>
      <c r="K353" s="15"/>
      <c r="L353" s="105"/>
    </row>
    <row r="354">
      <c r="G354" s="15"/>
      <c r="I354" s="14"/>
      <c r="J354" s="15"/>
      <c r="K354" s="15"/>
      <c r="L354" s="105"/>
    </row>
    <row r="355">
      <c r="G355" s="15"/>
      <c r="I355" s="14"/>
      <c r="J355" s="15"/>
      <c r="K355" s="15"/>
      <c r="L355" s="105"/>
    </row>
    <row r="356">
      <c r="G356" s="15"/>
      <c r="I356" s="14"/>
      <c r="J356" s="15"/>
      <c r="K356" s="15"/>
      <c r="L356" s="105"/>
    </row>
    <row r="357">
      <c r="G357" s="15"/>
      <c r="I357" s="14"/>
      <c r="J357" s="15"/>
      <c r="K357" s="15"/>
      <c r="L357" s="105"/>
    </row>
    <row r="358">
      <c r="G358" s="15"/>
      <c r="I358" s="14"/>
      <c r="J358" s="15"/>
      <c r="K358" s="15"/>
      <c r="L358" s="105"/>
    </row>
    <row r="359">
      <c r="G359" s="15"/>
      <c r="I359" s="14"/>
      <c r="J359" s="15"/>
      <c r="K359" s="15"/>
      <c r="L359" s="105"/>
    </row>
    <row r="360">
      <c r="G360" s="15"/>
      <c r="I360" s="14"/>
      <c r="J360" s="15"/>
      <c r="K360" s="15"/>
      <c r="L360" s="105"/>
    </row>
    <row r="361">
      <c r="G361" s="15"/>
      <c r="I361" s="14"/>
      <c r="J361" s="15"/>
      <c r="K361" s="15"/>
      <c r="L361" s="105"/>
    </row>
    <row r="362">
      <c r="G362" s="15"/>
      <c r="I362" s="14"/>
      <c r="J362" s="15"/>
      <c r="K362" s="15"/>
      <c r="L362" s="105"/>
    </row>
    <row r="363">
      <c r="G363" s="15"/>
      <c r="I363" s="14"/>
      <c r="J363" s="15"/>
      <c r="K363" s="15"/>
      <c r="L363" s="105"/>
    </row>
    <row r="364">
      <c r="G364" s="15"/>
      <c r="I364" s="14"/>
      <c r="J364" s="15"/>
      <c r="K364" s="15"/>
      <c r="L364" s="105"/>
    </row>
    <row r="365">
      <c r="G365" s="15"/>
      <c r="I365" s="14"/>
      <c r="J365" s="15"/>
      <c r="K365" s="15"/>
      <c r="L365" s="105"/>
    </row>
    <row r="366">
      <c r="G366" s="15"/>
      <c r="I366" s="14"/>
      <c r="J366" s="15"/>
      <c r="K366" s="15"/>
      <c r="L366" s="105"/>
    </row>
    <row r="367">
      <c r="G367" s="15"/>
      <c r="I367" s="14"/>
      <c r="J367" s="15"/>
      <c r="K367" s="15"/>
      <c r="L367" s="105"/>
    </row>
    <row r="368">
      <c r="G368" s="15"/>
      <c r="I368" s="14"/>
      <c r="J368" s="15"/>
      <c r="K368" s="15"/>
      <c r="L368" s="105"/>
    </row>
    <row r="369">
      <c r="G369" s="15"/>
      <c r="I369" s="14"/>
      <c r="J369" s="15"/>
      <c r="K369" s="15"/>
      <c r="L369" s="105"/>
    </row>
    <row r="370">
      <c r="G370" s="15"/>
      <c r="I370" s="14"/>
      <c r="J370" s="15"/>
      <c r="K370" s="15"/>
      <c r="L370" s="105"/>
    </row>
    <row r="371">
      <c r="G371" s="15"/>
      <c r="I371" s="14"/>
      <c r="J371" s="15"/>
      <c r="K371" s="15"/>
      <c r="L371" s="105"/>
    </row>
    <row r="372">
      <c r="G372" s="15"/>
      <c r="I372" s="14"/>
      <c r="J372" s="15"/>
      <c r="K372" s="15"/>
      <c r="L372" s="105"/>
    </row>
    <row r="373">
      <c r="G373" s="15"/>
      <c r="I373" s="14"/>
      <c r="J373" s="15"/>
      <c r="K373" s="15"/>
      <c r="L373" s="105"/>
    </row>
    <row r="374">
      <c r="G374" s="15"/>
      <c r="I374" s="14"/>
      <c r="J374" s="15"/>
      <c r="K374" s="15"/>
      <c r="L374" s="105"/>
    </row>
    <row r="375">
      <c r="G375" s="15"/>
      <c r="I375" s="14"/>
      <c r="J375" s="15"/>
      <c r="K375" s="15"/>
      <c r="L375" s="105"/>
    </row>
    <row r="376">
      <c r="G376" s="15"/>
      <c r="I376" s="14"/>
      <c r="J376" s="15"/>
      <c r="K376" s="15"/>
      <c r="L376" s="105"/>
    </row>
    <row r="377">
      <c r="G377" s="15"/>
      <c r="I377" s="14"/>
      <c r="J377" s="15"/>
      <c r="K377" s="15"/>
      <c r="L377" s="105"/>
    </row>
    <row r="378">
      <c r="G378" s="15"/>
      <c r="I378" s="14"/>
      <c r="J378" s="15"/>
      <c r="K378" s="15"/>
      <c r="L378" s="105"/>
    </row>
    <row r="379">
      <c r="G379" s="15"/>
      <c r="I379" s="14"/>
      <c r="J379" s="15"/>
      <c r="K379" s="15"/>
      <c r="L379" s="105"/>
    </row>
    <row r="380">
      <c r="G380" s="15"/>
      <c r="I380" s="14"/>
      <c r="J380" s="15"/>
      <c r="K380" s="15"/>
      <c r="L380" s="105"/>
    </row>
    <row r="381">
      <c r="G381" s="15"/>
      <c r="I381" s="14"/>
      <c r="J381" s="15"/>
      <c r="K381" s="15"/>
      <c r="L381" s="105"/>
    </row>
    <row r="382">
      <c r="G382" s="15"/>
      <c r="I382" s="14"/>
      <c r="J382" s="15"/>
      <c r="K382" s="15"/>
      <c r="L382" s="105"/>
    </row>
    <row r="383">
      <c r="G383" s="15"/>
      <c r="I383" s="14"/>
      <c r="J383" s="15"/>
      <c r="K383" s="15"/>
      <c r="L383" s="105"/>
    </row>
    <row r="384">
      <c r="G384" s="15"/>
      <c r="I384" s="14"/>
      <c r="J384" s="15"/>
      <c r="K384" s="15"/>
      <c r="L384" s="105"/>
    </row>
    <row r="385">
      <c r="G385" s="15"/>
      <c r="I385" s="14"/>
      <c r="J385" s="15"/>
      <c r="K385" s="15"/>
      <c r="L385" s="105"/>
    </row>
    <row r="386">
      <c r="G386" s="15"/>
      <c r="I386" s="14"/>
      <c r="J386" s="15"/>
      <c r="K386" s="15"/>
      <c r="L386" s="105"/>
    </row>
    <row r="387">
      <c r="G387" s="15"/>
      <c r="I387" s="14"/>
      <c r="J387" s="15"/>
      <c r="K387" s="15"/>
      <c r="L387" s="105"/>
    </row>
    <row r="388">
      <c r="G388" s="15"/>
      <c r="I388" s="14"/>
      <c r="J388" s="15"/>
      <c r="K388" s="15"/>
      <c r="L388" s="105"/>
    </row>
    <row r="389">
      <c r="G389" s="15"/>
      <c r="I389" s="14"/>
      <c r="J389" s="15"/>
      <c r="K389" s="15"/>
      <c r="L389" s="105"/>
    </row>
    <row r="390">
      <c r="G390" s="15"/>
      <c r="I390" s="14"/>
      <c r="J390" s="15"/>
      <c r="K390" s="15"/>
      <c r="L390" s="105"/>
    </row>
    <row r="391">
      <c r="G391" s="15"/>
      <c r="I391" s="14"/>
      <c r="J391" s="15"/>
      <c r="K391" s="15"/>
      <c r="L391" s="105"/>
    </row>
    <row r="392">
      <c r="G392" s="15"/>
      <c r="I392" s="14"/>
      <c r="J392" s="15"/>
      <c r="K392" s="15"/>
      <c r="L392" s="105"/>
    </row>
    <row r="393">
      <c r="G393" s="15"/>
      <c r="I393" s="14"/>
      <c r="J393" s="15"/>
      <c r="K393" s="15"/>
      <c r="L393" s="105"/>
    </row>
    <row r="394">
      <c r="G394" s="15"/>
      <c r="I394" s="14"/>
      <c r="J394" s="15"/>
      <c r="K394" s="15"/>
      <c r="L394" s="105"/>
    </row>
    <row r="395">
      <c r="G395" s="15"/>
      <c r="I395" s="14"/>
      <c r="J395" s="15"/>
      <c r="K395" s="15"/>
      <c r="L395" s="105"/>
    </row>
    <row r="396">
      <c r="G396" s="15"/>
      <c r="I396" s="14"/>
      <c r="J396" s="15"/>
      <c r="K396" s="15"/>
      <c r="L396" s="105"/>
    </row>
    <row r="397">
      <c r="G397" s="15"/>
      <c r="I397" s="14"/>
      <c r="J397" s="15"/>
      <c r="K397" s="15"/>
      <c r="L397" s="105"/>
    </row>
    <row r="398">
      <c r="G398" s="15"/>
      <c r="I398" s="14"/>
      <c r="J398" s="15"/>
      <c r="K398" s="15"/>
      <c r="L398" s="105"/>
    </row>
    <row r="399">
      <c r="G399" s="15"/>
      <c r="I399" s="14"/>
      <c r="J399" s="15"/>
      <c r="K399" s="15"/>
      <c r="L399" s="105"/>
    </row>
    <row r="400">
      <c r="G400" s="15"/>
      <c r="I400" s="14"/>
      <c r="J400" s="15"/>
      <c r="K400" s="15"/>
      <c r="L400" s="105"/>
    </row>
    <row r="401">
      <c r="G401" s="15"/>
      <c r="I401" s="14"/>
      <c r="J401" s="15"/>
      <c r="K401" s="15"/>
      <c r="L401" s="105"/>
    </row>
    <row r="402">
      <c r="G402" s="15"/>
      <c r="I402" s="14"/>
      <c r="J402" s="15"/>
      <c r="K402" s="15"/>
      <c r="L402" s="105"/>
    </row>
    <row r="403">
      <c r="G403" s="15"/>
      <c r="I403" s="14"/>
      <c r="J403" s="15"/>
      <c r="K403" s="15"/>
      <c r="L403" s="105"/>
    </row>
    <row r="404">
      <c r="G404" s="15"/>
      <c r="I404" s="14"/>
      <c r="J404" s="15"/>
      <c r="K404" s="15"/>
      <c r="L404" s="105"/>
    </row>
    <row r="405">
      <c r="G405" s="15"/>
      <c r="I405" s="14"/>
      <c r="J405" s="15"/>
      <c r="K405" s="15"/>
      <c r="L405" s="105"/>
    </row>
    <row r="406">
      <c r="G406" s="15"/>
      <c r="I406" s="14"/>
      <c r="J406" s="15"/>
      <c r="K406" s="15"/>
      <c r="L406" s="105"/>
    </row>
    <row r="407">
      <c r="G407" s="15"/>
      <c r="I407" s="14"/>
      <c r="J407" s="15"/>
      <c r="K407" s="15"/>
      <c r="L407" s="105"/>
    </row>
    <row r="408">
      <c r="G408" s="15"/>
      <c r="I408" s="14"/>
      <c r="J408" s="15"/>
      <c r="K408" s="15"/>
      <c r="L408" s="105"/>
    </row>
    <row r="409">
      <c r="G409" s="15"/>
      <c r="I409" s="14"/>
      <c r="J409" s="15"/>
      <c r="K409" s="15"/>
      <c r="L409" s="105"/>
    </row>
    <row r="410">
      <c r="G410" s="15"/>
      <c r="I410" s="14"/>
      <c r="J410" s="15"/>
      <c r="K410" s="15"/>
      <c r="L410" s="105"/>
    </row>
    <row r="411">
      <c r="G411" s="15"/>
      <c r="I411" s="14"/>
      <c r="J411" s="15"/>
      <c r="K411" s="15"/>
      <c r="L411" s="105"/>
    </row>
    <row r="412">
      <c r="G412" s="15"/>
      <c r="I412" s="14"/>
      <c r="J412" s="15"/>
      <c r="K412" s="15"/>
      <c r="L412" s="105"/>
    </row>
    <row r="413">
      <c r="G413" s="15"/>
      <c r="I413" s="14"/>
      <c r="J413" s="15"/>
      <c r="K413" s="15"/>
      <c r="L413" s="105"/>
    </row>
    <row r="414">
      <c r="G414" s="15"/>
      <c r="I414" s="14"/>
      <c r="J414" s="15"/>
      <c r="K414" s="15"/>
      <c r="L414" s="105"/>
    </row>
    <row r="415">
      <c r="G415" s="15"/>
      <c r="I415" s="14"/>
      <c r="J415" s="15"/>
      <c r="K415" s="15"/>
      <c r="L415" s="105"/>
    </row>
    <row r="416">
      <c r="G416" s="15"/>
      <c r="I416" s="14"/>
      <c r="J416" s="15"/>
      <c r="K416" s="15"/>
      <c r="L416" s="105"/>
    </row>
    <row r="417">
      <c r="G417" s="15"/>
      <c r="I417" s="14"/>
      <c r="J417" s="15"/>
      <c r="K417" s="15"/>
      <c r="L417" s="105"/>
    </row>
    <row r="418">
      <c r="G418" s="15"/>
      <c r="I418" s="14"/>
      <c r="J418" s="15"/>
      <c r="K418" s="15"/>
      <c r="L418" s="105"/>
    </row>
    <row r="419">
      <c r="G419" s="15"/>
      <c r="I419" s="14"/>
      <c r="J419" s="15"/>
      <c r="K419" s="15"/>
      <c r="L419" s="105"/>
    </row>
    <row r="420">
      <c r="G420" s="15"/>
      <c r="I420" s="14"/>
      <c r="J420" s="15"/>
      <c r="K420" s="15"/>
      <c r="L420" s="105"/>
    </row>
    <row r="421">
      <c r="G421" s="15"/>
      <c r="I421" s="14"/>
      <c r="J421" s="15"/>
      <c r="K421" s="15"/>
      <c r="L421" s="105"/>
    </row>
    <row r="422">
      <c r="G422" s="15"/>
      <c r="I422" s="14"/>
      <c r="J422" s="15"/>
      <c r="K422" s="15"/>
      <c r="L422" s="105"/>
    </row>
    <row r="423">
      <c r="G423" s="15"/>
      <c r="I423" s="14"/>
      <c r="J423" s="15"/>
      <c r="K423" s="15"/>
      <c r="L423" s="105"/>
    </row>
    <row r="424">
      <c r="G424" s="15"/>
      <c r="I424" s="14"/>
      <c r="J424" s="15"/>
      <c r="K424" s="15"/>
      <c r="L424" s="105"/>
    </row>
    <row r="425">
      <c r="G425" s="15"/>
      <c r="I425" s="14"/>
      <c r="J425" s="15"/>
      <c r="K425" s="15"/>
      <c r="L425" s="105"/>
    </row>
    <row r="426">
      <c r="G426" s="15"/>
      <c r="I426" s="14"/>
      <c r="J426" s="15"/>
      <c r="K426" s="15"/>
      <c r="L426" s="105"/>
    </row>
    <row r="427">
      <c r="G427" s="15"/>
      <c r="I427" s="14"/>
      <c r="J427" s="15"/>
      <c r="K427" s="15"/>
      <c r="L427" s="105"/>
    </row>
    <row r="428">
      <c r="G428" s="15"/>
      <c r="I428" s="14"/>
      <c r="J428" s="15"/>
      <c r="K428" s="15"/>
      <c r="L428" s="105"/>
    </row>
    <row r="429">
      <c r="G429" s="15"/>
      <c r="I429" s="14"/>
      <c r="J429" s="15"/>
      <c r="K429" s="15"/>
      <c r="L429" s="105"/>
    </row>
    <row r="430">
      <c r="G430" s="15"/>
      <c r="I430" s="14"/>
      <c r="J430" s="15"/>
      <c r="K430" s="15"/>
      <c r="L430" s="105"/>
    </row>
    <row r="431">
      <c r="G431" s="15"/>
      <c r="I431" s="14"/>
      <c r="J431" s="15"/>
      <c r="K431" s="15"/>
      <c r="L431" s="105"/>
    </row>
    <row r="432">
      <c r="G432" s="15"/>
      <c r="I432" s="14"/>
      <c r="J432" s="15"/>
      <c r="K432" s="15"/>
      <c r="L432" s="105"/>
    </row>
    <row r="433">
      <c r="G433" s="15"/>
      <c r="I433" s="14"/>
      <c r="J433" s="15"/>
      <c r="K433" s="15"/>
      <c r="L433" s="105"/>
    </row>
    <row r="434">
      <c r="G434" s="15"/>
      <c r="I434" s="14"/>
      <c r="J434" s="15"/>
      <c r="K434" s="15"/>
      <c r="L434" s="105"/>
    </row>
    <row r="435">
      <c r="G435" s="15"/>
      <c r="I435" s="14"/>
      <c r="J435" s="15"/>
      <c r="K435" s="15"/>
      <c r="L435" s="105"/>
    </row>
    <row r="436">
      <c r="G436" s="15"/>
      <c r="I436" s="14"/>
      <c r="J436" s="15"/>
      <c r="K436" s="15"/>
      <c r="L436" s="105"/>
    </row>
    <row r="437">
      <c r="G437" s="15"/>
      <c r="I437" s="14"/>
      <c r="J437" s="15"/>
      <c r="K437" s="15"/>
      <c r="L437" s="105"/>
    </row>
    <row r="438">
      <c r="G438" s="15"/>
      <c r="I438" s="14"/>
      <c r="J438" s="15"/>
      <c r="K438" s="15"/>
      <c r="L438" s="105"/>
    </row>
    <row r="439">
      <c r="G439" s="15"/>
      <c r="I439" s="14"/>
      <c r="J439" s="15"/>
      <c r="K439" s="15"/>
      <c r="L439" s="105"/>
    </row>
    <row r="440">
      <c r="G440" s="15"/>
      <c r="I440" s="14"/>
      <c r="J440" s="15"/>
      <c r="K440" s="15"/>
      <c r="L440" s="105"/>
    </row>
    <row r="441">
      <c r="G441" s="15"/>
      <c r="I441" s="14"/>
      <c r="J441" s="15"/>
      <c r="K441" s="15"/>
      <c r="L441" s="105"/>
    </row>
    <row r="442">
      <c r="G442" s="15"/>
      <c r="I442" s="14"/>
      <c r="J442" s="15"/>
      <c r="K442" s="15"/>
      <c r="L442" s="105"/>
    </row>
    <row r="443">
      <c r="G443" s="15"/>
      <c r="I443" s="14"/>
      <c r="J443" s="15"/>
      <c r="K443" s="15"/>
      <c r="L443" s="105"/>
    </row>
    <row r="444">
      <c r="G444" s="15"/>
      <c r="I444" s="14"/>
      <c r="J444" s="15"/>
      <c r="K444" s="15"/>
      <c r="L444" s="105"/>
    </row>
    <row r="445">
      <c r="G445" s="15"/>
      <c r="I445" s="14"/>
      <c r="J445" s="15"/>
      <c r="K445" s="15"/>
      <c r="L445" s="105"/>
    </row>
    <row r="446">
      <c r="G446" s="15"/>
      <c r="I446" s="14"/>
      <c r="J446" s="15"/>
      <c r="K446" s="15"/>
      <c r="L446" s="105"/>
    </row>
    <row r="447">
      <c r="G447" s="15"/>
      <c r="I447" s="14"/>
      <c r="J447" s="15"/>
      <c r="K447" s="15"/>
      <c r="L447" s="105"/>
    </row>
    <row r="448">
      <c r="G448" s="15"/>
      <c r="I448" s="14"/>
      <c r="J448" s="15"/>
      <c r="K448" s="15"/>
      <c r="L448" s="105"/>
    </row>
    <row r="449">
      <c r="G449" s="15"/>
      <c r="I449" s="14"/>
      <c r="J449" s="15"/>
      <c r="K449" s="15"/>
      <c r="L449" s="105"/>
    </row>
    <row r="450">
      <c r="G450" s="15"/>
      <c r="I450" s="14"/>
      <c r="J450" s="15"/>
      <c r="K450" s="15"/>
      <c r="L450" s="105"/>
    </row>
    <row r="451">
      <c r="G451" s="15"/>
      <c r="I451" s="14"/>
      <c r="J451" s="15"/>
      <c r="K451" s="15"/>
      <c r="L451" s="105"/>
    </row>
    <row r="452">
      <c r="G452" s="15"/>
      <c r="I452" s="14"/>
      <c r="J452" s="15"/>
      <c r="K452" s="15"/>
      <c r="L452" s="105"/>
    </row>
    <row r="453">
      <c r="G453" s="15"/>
      <c r="I453" s="14"/>
      <c r="J453" s="15"/>
      <c r="K453" s="15"/>
      <c r="L453" s="105"/>
    </row>
    <row r="454">
      <c r="G454" s="15"/>
      <c r="I454" s="14"/>
      <c r="J454" s="15"/>
      <c r="K454" s="15"/>
      <c r="L454" s="105"/>
    </row>
    <row r="455">
      <c r="G455" s="15"/>
      <c r="I455" s="14"/>
      <c r="J455" s="15"/>
      <c r="K455" s="15"/>
      <c r="L455" s="105"/>
    </row>
    <row r="456">
      <c r="G456" s="15"/>
      <c r="I456" s="14"/>
      <c r="J456" s="15"/>
      <c r="K456" s="15"/>
      <c r="L456" s="105"/>
    </row>
    <row r="457">
      <c r="G457" s="15"/>
      <c r="I457" s="14"/>
      <c r="J457" s="15"/>
      <c r="K457" s="15"/>
      <c r="L457" s="105"/>
    </row>
    <row r="458">
      <c r="G458" s="15"/>
      <c r="I458" s="14"/>
      <c r="J458" s="15"/>
      <c r="K458" s="15"/>
      <c r="L458" s="105"/>
    </row>
    <row r="459">
      <c r="G459" s="15"/>
      <c r="I459" s="14"/>
      <c r="J459" s="15"/>
      <c r="K459" s="15"/>
      <c r="L459" s="105"/>
    </row>
    <row r="460">
      <c r="G460" s="15"/>
      <c r="I460" s="14"/>
      <c r="J460" s="15"/>
      <c r="K460" s="15"/>
      <c r="L460" s="105"/>
    </row>
    <row r="461">
      <c r="G461" s="15"/>
      <c r="I461" s="14"/>
      <c r="J461" s="15"/>
      <c r="K461" s="15"/>
      <c r="L461" s="105"/>
    </row>
    <row r="462">
      <c r="G462" s="15"/>
      <c r="I462" s="14"/>
      <c r="J462" s="15"/>
      <c r="K462" s="15"/>
      <c r="L462" s="105"/>
    </row>
    <row r="463">
      <c r="G463" s="15"/>
      <c r="I463" s="14"/>
      <c r="J463" s="15"/>
      <c r="K463" s="15"/>
      <c r="L463" s="105"/>
    </row>
    <row r="464">
      <c r="G464" s="15"/>
      <c r="I464" s="14"/>
      <c r="J464" s="15"/>
      <c r="K464" s="15"/>
      <c r="L464" s="105"/>
    </row>
    <row r="465">
      <c r="G465" s="15"/>
      <c r="I465" s="14"/>
      <c r="J465" s="15"/>
      <c r="K465" s="15"/>
      <c r="L465" s="105"/>
    </row>
    <row r="466">
      <c r="G466" s="15"/>
      <c r="I466" s="14"/>
      <c r="J466" s="15"/>
      <c r="K466" s="15"/>
      <c r="L466" s="105"/>
    </row>
    <row r="467">
      <c r="G467" s="15"/>
      <c r="I467" s="14"/>
      <c r="J467" s="15"/>
      <c r="K467" s="15"/>
      <c r="L467" s="105"/>
    </row>
    <row r="468">
      <c r="G468" s="15"/>
      <c r="I468" s="14"/>
      <c r="J468" s="15"/>
      <c r="K468" s="15"/>
      <c r="L468" s="105"/>
    </row>
    <row r="469">
      <c r="G469" s="15"/>
      <c r="I469" s="14"/>
      <c r="J469" s="15"/>
      <c r="K469" s="15"/>
      <c r="L469" s="105"/>
    </row>
    <row r="470">
      <c r="G470" s="15"/>
      <c r="I470" s="14"/>
      <c r="J470" s="15"/>
      <c r="K470" s="15"/>
      <c r="L470" s="105"/>
    </row>
    <row r="471">
      <c r="G471" s="15"/>
      <c r="I471" s="14"/>
      <c r="J471" s="15"/>
      <c r="K471" s="15"/>
      <c r="L471" s="105"/>
    </row>
    <row r="472">
      <c r="G472" s="15"/>
      <c r="I472" s="14"/>
      <c r="J472" s="15"/>
      <c r="K472" s="15"/>
      <c r="L472" s="105"/>
    </row>
    <row r="473">
      <c r="G473" s="15"/>
      <c r="I473" s="14"/>
      <c r="J473" s="15"/>
      <c r="K473" s="15"/>
      <c r="L473" s="105"/>
    </row>
    <row r="474">
      <c r="G474" s="15"/>
      <c r="I474" s="14"/>
      <c r="J474" s="15"/>
      <c r="K474" s="15"/>
      <c r="L474" s="105"/>
    </row>
    <row r="475">
      <c r="G475" s="15"/>
      <c r="I475" s="14"/>
      <c r="J475" s="15"/>
      <c r="K475" s="15"/>
      <c r="L475" s="105"/>
    </row>
    <row r="476">
      <c r="G476" s="15"/>
      <c r="I476" s="14"/>
      <c r="J476" s="15"/>
      <c r="K476" s="15"/>
      <c r="L476" s="105"/>
    </row>
    <row r="477">
      <c r="G477" s="15"/>
      <c r="I477" s="14"/>
      <c r="J477" s="15"/>
      <c r="K477" s="15"/>
      <c r="L477" s="105"/>
    </row>
    <row r="478">
      <c r="G478" s="15"/>
      <c r="I478" s="14"/>
      <c r="J478" s="15"/>
      <c r="K478" s="15"/>
      <c r="L478" s="105"/>
    </row>
    <row r="479">
      <c r="G479" s="15"/>
      <c r="I479" s="14"/>
      <c r="J479" s="15"/>
      <c r="K479" s="15"/>
      <c r="L479" s="105"/>
    </row>
    <row r="480">
      <c r="G480" s="15"/>
      <c r="I480" s="14"/>
      <c r="J480" s="15"/>
      <c r="K480" s="15"/>
      <c r="L480" s="105"/>
    </row>
    <row r="481">
      <c r="G481" s="15"/>
      <c r="I481" s="14"/>
      <c r="J481" s="15"/>
      <c r="K481" s="15"/>
      <c r="L481" s="105"/>
    </row>
    <row r="482">
      <c r="G482" s="15"/>
      <c r="I482" s="14"/>
      <c r="J482" s="15"/>
      <c r="K482" s="15"/>
      <c r="L482" s="105"/>
    </row>
    <row r="483">
      <c r="G483" s="15"/>
      <c r="I483" s="14"/>
      <c r="J483" s="15"/>
      <c r="K483" s="15"/>
      <c r="L483" s="105"/>
    </row>
    <row r="484">
      <c r="G484" s="15"/>
      <c r="I484" s="14"/>
      <c r="J484" s="15"/>
      <c r="K484" s="15"/>
      <c r="L484" s="105"/>
    </row>
    <row r="485">
      <c r="G485" s="15"/>
      <c r="I485" s="14"/>
      <c r="J485" s="15"/>
      <c r="K485" s="15"/>
      <c r="L485" s="105"/>
    </row>
    <row r="486">
      <c r="G486" s="15"/>
      <c r="I486" s="14"/>
      <c r="J486" s="15"/>
      <c r="K486" s="15"/>
      <c r="L486" s="105"/>
    </row>
    <row r="487">
      <c r="G487" s="15"/>
      <c r="I487" s="14"/>
      <c r="J487" s="15"/>
      <c r="K487" s="15"/>
      <c r="L487" s="105"/>
    </row>
    <row r="488">
      <c r="G488" s="15"/>
      <c r="I488" s="14"/>
      <c r="J488" s="15"/>
      <c r="K488" s="15"/>
      <c r="L488" s="105"/>
    </row>
    <row r="489">
      <c r="G489" s="15"/>
      <c r="I489" s="14"/>
      <c r="J489" s="15"/>
      <c r="K489" s="15"/>
      <c r="L489" s="105"/>
    </row>
    <row r="490">
      <c r="G490" s="15"/>
      <c r="I490" s="14"/>
      <c r="J490" s="15"/>
      <c r="K490" s="15"/>
      <c r="L490" s="105"/>
    </row>
    <row r="491">
      <c r="G491" s="15"/>
      <c r="I491" s="14"/>
      <c r="J491" s="15"/>
      <c r="K491" s="15"/>
      <c r="L491" s="105"/>
    </row>
    <row r="492">
      <c r="G492" s="15"/>
      <c r="I492" s="14"/>
      <c r="J492" s="15"/>
      <c r="K492" s="15"/>
      <c r="L492" s="105"/>
    </row>
    <row r="493">
      <c r="G493" s="15"/>
      <c r="I493" s="14"/>
      <c r="J493" s="15"/>
      <c r="K493" s="15"/>
      <c r="L493" s="105"/>
    </row>
    <row r="494">
      <c r="G494" s="15"/>
      <c r="I494" s="14"/>
      <c r="J494" s="15"/>
      <c r="K494" s="15"/>
      <c r="L494" s="105"/>
    </row>
    <row r="495">
      <c r="G495" s="15"/>
      <c r="I495" s="14"/>
      <c r="J495" s="15"/>
      <c r="K495" s="15"/>
      <c r="L495" s="105"/>
    </row>
    <row r="496">
      <c r="G496" s="15"/>
      <c r="I496" s="14"/>
      <c r="J496" s="15"/>
      <c r="K496" s="15"/>
      <c r="L496" s="105"/>
    </row>
    <row r="497">
      <c r="G497" s="15"/>
      <c r="I497" s="14"/>
      <c r="J497" s="15"/>
      <c r="K497" s="15"/>
      <c r="L497" s="105"/>
    </row>
    <row r="498">
      <c r="G498" s="15"/>
      <c r="I498" s="14"/>
      <c r="J498" s="15"/>
      <c r="K498" s="15"/>
      <c r="L498" s="105"/>
    </row>
    <row r="499">
      <c r="G499" s="15"/>
      <c r="I499" s="14"/>
      <c r="J499" s="15"/>
      <c r="K499" s="15"/>
      <c r="L499" s="105"/>
    </row>
    <row r="500">
      <c r="G500" s="15"/>
      <c r="I500" s="14"/>
      <c r="J500" s="15"/>
      <c r="K500" s="15"/>
      <c r="L500" s="105"/>
    </row>
    <row r="501">
      <c r="G501" s="15"/>
      <c r="I501" s="14"/>
      <c r="J501" s="15"/>
      <c r="K501" s="15"/>
      <c r="L501" s="105"/>
    </row>
    <row r="502">
      <c r="G502" s="15"/>
      <c r="I502" s="14"/>
      <c r="J502" s="15"/>
      <c r="K502" s="15"/>
      <c r="L502" s="105"/>
    </row>
    <row r="503">
      <c r="G503" s="15"/>
      <c r="I503" s="14"/>
      <c r="J503" s="15"/>
      <c r="K503" s="15"/>
      <c r="L503" s="105"/>
    </row>
    <row r="504">
      <c r="G504" s="15"/>
      <c r="I504" s="14"/>
      <c r="J504" s="15"/>
      <c r="K504" s="15"/>
      <c r="L504" s="105"/>
    </row>
    <row r="505">
      <c r="G505" s="15"/>
      <c r="I505" s="14"/>
      <c r="J505" s="15"/>
      <c r="K505" s="15"/>
      <c r="L505" s="105"/>
    </row>
    <row r="506">
      <c r="G506" s="15"/>
      <c r="I506" s="14"/>
      <c r="J506" s="15"/>
      <c r="K506" s="15"/>
      <c r="L506" s="105"/>
    </row>
    <row r="507">
      <c r="G507" s="15"/>
      <c r="I507" s="14"/>
      <c r="J507" s="15"/>
      <c r="K507" s="15"/>
      <c r="L507" s="105"/>
    </row>
    <row r="508">
      <c r="G508" s="15"/>
      <c r="I508" s="14"/>
      <c r="J508" s="15"/>
      <c r="K508" s="15"/>
      <c r="L508" s="105"/>
    </row>
    <row r="509">
      <c r="G509" s="15"/>
      <c r="I509" s="14"/>
      <c r="J509" s="15"/>
      <c r="K509" s="15"/>
      <c r="L509" s="105"/>
    </row>
    <row r="510">
      <c r="G510" s="15"/>
      <c r="I510" s="14"/>
      <c r="J510" s="15"/>
      <c r="K510" s="15"/>
      <c r="L510" s="105"/>
    </row>
    <row r="511">
      <c r="G511" s="15"/>
      <c r="I511" s="14"/>
      <c r="J511" s="15"/>
      <c r="K511" s="15"/>
      <c r="L511" s="105"/>
    </row>
    <row r="512">
      <c r="G512" s="15"/>
      <c r="I512" s="14"/>
      <c r="J512" s="15"/>
      <c r="K512" s="15"/>
      <c r="L512" s="105"/>
    </row>
    <row r="513">
      <c r="G513" s="15"/>
      <c r="I513" s="14"/>
      <c r="J513" s="15"/>
      <c r="K513" s="15"/>
      <c r="L513" s="105"/>
    </row>
    <row r="514">
      <c r="G514" s="15"/>
      <c r="I514" s="14"/>
      <c r="J514" s="15"/>
      <c r="K514" s="15"/>
      <c r="L514" s="105"/>
    </row>
    <row r="515">
      <c r="G515" s="15"/>
      <c r="I515" s="14"/>
      <c r="J515" s="15"/>
      <c r="K515" s="15"/>
      <c r="L515" s="105"/>
    </row>
    <row r="516">
      <c r="G516" s="15"/>
      <c r="I516" s="14"/>
      <c r="J516" s="15"/>
      <c r="K516" s="15"/>
      <c r="L516" s="105"/>
    </row>
    <row r="517">
      <c r="G517" s="15"/>
      <c r="I517" s="14"/>
      <c r="J517" s="15"/>
      <c r="K517" s="15"/>
      <c r="L517" s="105"/>
    </row>
    <row r="518">
      <c r="G518" s="15"/>
      <c r="I518" s="14"/>
      <c r="J518" s="15"/>
      <c r="K518" s="15"/>
      <c r="L518" s="105"/>
    </row>
    <row r="519">
      <c r="G519" s="15"/>
      <c r="I519" s="14"/>
      <c r="J519" s="15"/>
      <c r="K519" s="15"/>
      <c r="L519" s="105"/>
    </row>
    <row r="520">
      <c r="G520" s="15"/>
      <c r="I520" s="14"/>
      <c r="J520" s="15"/>
      <c r="K520" s="15"/>
      <c r="L520" s="105"/>
    </row>
    <row r="521">
      <c r="G521" s="15"/>
      <c r="I521" s="14"/>
      <c r="J521" s="15"/>
      <c r="K521" s="15"/>
      <c r="L521" s="105"/>
    </row>
    <row r="522">
      <c r="G522" s="15"/>
      <c r="I522" s="14"/>
      <c r="J522" s="15"/>
      <c r="K522" s="15"/>
      <c r="L522" s="105"/>
    </row>
    <row r="523">
      <c r="G523" s="15"/>
      <c r="I523" s="14"/>
      <c r="J523" s="15"/>
      <c r="K523" s="15"/>
      <c r="L523" s="105"/>
    </row>
    <row r="524">
      <c r="G524" s="15"/>
      <c r="I524" s="14"/>
      <c r="J524" s="15"/>
      <c r="K524" s="15"/>
      <c r="L524" s="105"/>
    </row>
    <row r="525">
      <c r="G525" s="15"/>
      <c r="I525" s="14"/>
      <c r="J525" s="15"/>
      <c r="K525" s="15"/>
      <c r="L525" s="105"/>
    </row>
    <row r="526">
      <c r="G526" s="15"/>
      <c r="I526" s="14"/>
      <c r="J526" s="15"/>
      <c r="K526" s="15"/>
      <c r="L526" s="105"/>
    </row>
    <row r="527">
      <c r="G527" s="15"/>
      <c r="I527" s="14"/>
      <c r="J527" s="15"/>
      <c r="K527" s="15"/>
      <c r="L527" s="105"/>
    </row>
    <row r="528">
      <c r="G528" s="15"/>
      <c r="I528" s="14"/>
      <c r="J528" s="15"/>
      <c r="K528" s="15"/>
      <c r="L528" s="105"/>
    </row>
    <row r="529">
      <c r="G529" s="15"/>
      <c r="I529" s="14"/>
      <c r="J529" s="15"/>
      <c r="K529" s="15"/>
      <c r="L529" s="105"/>
    </row>
    <row r="530">
      <c r="G530" s="15"/>
      <c r="I530" s="14"/>
      <c r="J530" s="15"/>
      <c r="K530" s="15"/>
      <c r="L530" s="105"/>
    </row>
    <row r="531">
      <c r="G531" s="15"/>
      <c r="I531" s="14"/>
      <c r="J531" s="15"/>
      <c r="K531" s="15"/>
      <c r="L531" s="105"/>
    </row>
    <row r="532">
      <c r="G532" s="15"/>
      <c r="I532" s="14"/>
      <c r="J532" s="15"/>
      <c r="K532" s="15"/>
      <c r="L532" s="105"/>
    </row>
    <row r="533">
      <c r="G533" s="15"/>
      <c r="I533" s="14"/>
      <c r="J533" s="15"/>
      <c r="K533" s="15"/>
      <c r="L533" s="105"/>
    </row>
    <row r="534">
      <c r="G534" s="15"/>
      <c r="I534" s="14"/>
      <c r="J534" s="15"/>
      <c r="K534" s="15"/>
      <c r="L534" s="105"/>
    </row>
    <row r="535">
      <c r="G535" s="15"/>
      <c r="I535" s="14"/>
      <c r="J535" s="15"/>
      <c r="K535" s="15"/>
      <c r="L535" s="105"/>
    </row>
    <row r="536">
      <c r="G536" s="15"/>
      <c r="I536" s="14"/>
      <c r="J536" s="15"/>
      <c r="K536" s="15"/>
      <c r="L536" s="105"/>
    </row>
    <row r="537">
      <c r="G537" s="15"/>
      <c r="I537" s="14"/>
      <c r="J537" s="15"/>
      <c r="K537" s="15"/>
      <c r="L537" s="105"/>
    </row>
    <row r="538">
      <c r="G538" s="15"/>
      <c r="I538" s="14"/>
      <c r="J538" s="15"/>
      <c r="K538" s="15"/>
      <c r="L538" s="105"/>
    </row>
    <row r="539">
      <c r="G539" s="15"/>
      <c r="I539" s="14"/>
      <c r="J539" s="15"/>
      <c r="K539" s="15"/>
      <c r="L539" s="105"/>
    </row>
    <row r="540">
      <c r="G540" s="15"/>
      <c r="I540" s="14"/>
      <c r="J540" s="15"/>
      <c r="K540" s="15"/>
      <c r="L540" s="105"/>
    </row>
    <row r="541">
      <c r="G541" s="15"/>
      <c r="I541" s="14"/>
      <c r="J541" s="15"/>
      <c r="K541" s="15"/>
      <c r="L541" s="105"/>
    </row>
    <row r="542">
      <c r="G542" s="15"/>
      <c r="I542" s="14"/>
      <c r="J542" s="15"/>
      <c r="K542" s="15"/>
      <c r="L542" s="105"/>
    </row>
    <row r="543">
      <c r="G543" s="15"/>
      <c r="I543" s="14"/>
      <c r="J543" s="15"/>
      <c r="K543" s="15"/>
      <c r="L543" s="105"/>
    </row>
    <row r="544">
      <c r="G544" s="15"/>
      <c r="I544" s="14"/>
      <c r="J544" s="15"/>
      <c r="K544" s="15"/>
      <c r="L544" s="105"/>
    </row>
    <row r="545">
      <c r="G545" s="15"/>
      <c r="I545" s="14"/>
      <c r="J545" s="15"/>
      <c r="K545" s="15"/>
      <c r="L545" s="105"/>
    </row>
    <row r="546">
      <c r="G546" s="15"/>
      <c r="I546" s="14"/>
      <c r="J546" s="15"/>
      <c r="K546" s="15"/>
      <c r="L546" s="105"/>
    </row>
    <row r="547">
      <c r="G547" s="15"/>
      <c r="I547" s="14"/>
      <c r="J547" s="15"/>
      <c r="K547" s="15"/>
      <c r="L547" s="105"/>
    </row>
    <row r="548">
      <c r="G548" s="15"/>
      <c r="I548" s="14"/>
      <c r="J548" s="15"/>
      <c r="K548" s="15"/>
      <c r="L548" s="105"/>
    </row>
    <row r="549">
      <c r="G549" s="15"/>
      <c r="I549" s="14"/>
      <c r="J549" s="15"/>
      <c r="K549" s="15"/>
      <c r="L549" s="105"/>
    </row>
    <row r="550">
      <c r="G550" s="15"/>
      <c r="I550" s="14"/>
      <c r="J550" s="15"/>
      <c r="K550" s="15"/>
      <c r="L550" s="105"/>
    </row>
    <row r="551">
      <c r="G551" s="15"/>
      <c r="I551" s="14"/>
      <c r="J551" s="15"/>
      <c r="K551" s="15"/>
      <c r="L551" s="105"/>
    </row>
    <row r="552">
      <c r="G552" s="15"/>
      <c r="I552" s="14"/>
      <c r="J552" s="15"/>
      <c r="K552" s="15"/>
      <c r="L552" s="105"/>
    </row>
    <row r="553">
      <c r="G553" s="15"/>
      <c r="I553" s="14"/>
      <c r="J553" s="15"/>
      <c r="K553" s="15"/>
      <c r="L553" s="105"/>
    </row>
    <row r="554">
      <c r="G554" s="15"/>
      <c r="I554" s="14"/>
      <c r="J554" s="15"/>
      <c r="K554" s="15"/>
      <c r="L554" s="105"/>
    </row>
    <row r="555">
      <c r="G555" s="15"/>
      <c r="I555" s="14"/>
      <c r="J555" s="15"/>
      <c r="K555" s="15"/>
      <c r="L555" s="105"/>
    </row>
    <row r="556">
      <c r="G556" s="15"/>
      <c r="I556" s="14"/>
      <c r="J556" s="15"/>
      <c r="K556" s="15"/>
      <c r="L556" s="105"/>
    </row>
    <row r="557">
      <c r="G557" s="15"/>
      <c r="I557" s="14"/>
      <c r="J557" s="15"/>
      <c r="K557" s="15"/>
      <c r="L557" s="105"/>
    </row>
    <row r="558">
      <c r="G558" s="15"/>
      <c r="I558" s="14"/>
      <c r="J558" s="15"/>
      <c r="K558" s="15"/>
      <c r="L558" s="105"/>
    </row>
    <row r="559">
      <c r="G559" s="15"/>
      <c r="I559" s="14"/>
      <c r="J559" s="15"/>
      <c r="K559" s="15"/>
      <c r="L559" s="105"/>
    </row>
    <row r="560">
      <c r="G560" s="15"/>
      <c r="I560" s="14"/>
      <c r="J560" s="15"/>
      <c r="K560" s="15"/>
      <c r="L560" s="105"/>
    </row>
    <row r="561">
      <c r="G561" s="15"/>
      <c r="I561" s="14"/>
      <c r="J561" s="15"/>
      <c r="K561" s="15"/>
      <c r="L561" s="105"/>
    </row>
    <row r="562">
      <c r="G562" s="15"/>
      <c r="I562" s="14"/>
      <c r="J562" s="15"/>
      <c r="K562" s="15"/>
      <c r="L562" s="105"/>
    </row>
    <row r="563">
      <c r="G563" s="15"/>
      <c r="I563" s="14"/>
      <c r="J563" s="15"/>
      <c r="K563" s="15"/>
      <c r="L563" s="105"/>
    </row>
    <row r="564">
      <c r="G564" s="15"/>
      <c r="I564" s="14"/>
      <c r="J564" s="15"/>
      <c r="K564" s="15"/>
      <c r="L564" s="105"/>
    </row>
    <row r="565">
      <c r="G565" s="15"/>
      <c r="I565" s="14"/>
      <c r="J565" s="15"/>
      <c r="K565" s="15"/>
      <c r="L565" s="105"/>
    </row>
    <row r="566">
      <c r="G566" s="15"/>
      <c r="I566" s="14"/>
      <c r="J566" s="15"/>
      <c r="K566" s="15"/>
      <c r="L566" s="105"/>
    </row>
    <row r="567">
      <c r="G567" s="15"/>
      <c r="I567" s="14"/>
      <c r="J567" s="15"/>
      <c r="K567" s="15"/>
      <c r="L567" s="105"/>
    </row>
    <row r="568">
      <c r="G568" s="15"/>
      <c r="I568" s="14"/>
      <c r="J568" s="15"/>
      <c r="K568" s="15"/>
      <c r="L568" s="105"/>
    </row>
    <row r="569">
      <c r="G569" s="15"/>
      <c r="I569" s="14"/>
      <c r="J569" s="15"/>
      <c r="K569" s="15"/>
      <c r="L569" s="105"/>
    </row>
    <row r="570">
      <c r="G570" s="15"/>
      <c r="I570" s="14"/>
      <c r="J570" s="15"/>
      <c r="K570" s="15"/>
      <c r="L570" s="105"/>
    </row>
    <row r="571">
      <c r="G571" s="15"/>
      <c r="I571" s="14"/>
      <c r="J571" s="15"/>
      <c r="K571" s="15"/>
      <c r="L571" s="105"/>
    </row>
    <row r="572">
      <c r="G572" s="15"/>
      <c r="I572" s="14"/>
      <c r="J572" s="15"/>
      <c r="K572" s="15"/>
      <c r="L572" s="105"/>
    </row>
    <row r="573">
      <c r="G573" s="15"/>
      <c r="I573" s="14"/>
      <c r="J573" s="15"/>
      <c r="K573" s="15"/>
      <c r="L573" s="105"/>
    </row>
    <row r="574">
      <c r="G574" s="15"/>
      <c r="I574" s="14"/>
      <c r="J574" s="15"/>
      <c r="K574" s="15"/>
      <c r="L574" s="105"/>
    </row>
    <row r="575">
      <c r="G575" s="15"/>
      <c r="I575" s="14"/>
      <c r="J575" s="15"/>
      <c r="K575" s="15"/>
      <c r="L575" s="105"/>
    </row>
    <row r="576">
      <c r="G576" s="15"/>
      <c r="I576" s="14"/>
      <c r="J576" s="15"/>
      <c r="K576" s="15"/>
      <c r="L576" s="105"/>
    </row>
    <row r="577">
      <c r="G577" s="15"/>
      <c r="I577" s="14"/>
      <c r="J577" s="15"/>
      <c r="K577" s="15"/>
      <c r="L577" s="105"/>
    </row>
    <row r="578">
      <c r="G578" s="15"/>
      <c r="I578" s="14"/>
      <c r="J578" s="15"/>
      <c r="K578" s="15"/>
      <c r="L578" s="105"/>
    </row>
    <row r="579">
      <c r="G579" s="15"/>
      <c r="I579" s="14"/>
      <c r="J579" s="15"/>
      <c r="K579" s="15"/>
      <c r="L579" s="105"/>
    </row>
    <row r="580">
      <c r="G580" s="15"/>
      <c r="I580" s="14"/>
      <c r="J580" s="15"/>
      <c r="K580" s="15"/>
      <c r="L580" s="105"/>
    </row>
    <row r="581">
      <c r="G581" s="15"/>
      <c r="I581" s="14"/>
      <c r="J581" s="15"/>
      <c r="K581" s="15"/>
      <c r="L581" s="105"/>
    </row>
    <row r="582">
      <c r="G582" s="15"/>
      <c r="I582" s="14"/>
      <c r="J582" s="15"/>
      <c r="K582" s="15"/>
      <c r="L582" s="105"/>
    </row>
    <row r="583">
      <c r="G583" s="15"/>
      <c r="I583" s="14"/>
      <c r="J583" s="15"/>
      <c r="K583" s="15"/>
      <c r="L583" s="105"/>
    </row>
    <row r="584">
      <c r="G584" s="15"/>
      <c r="I584" s="14"/>
      <c r="J584" s="15"/>
      <c r="K584" s="15"/>
      <c r="L584" s="105"/>
    </row>
    <row r="585">
      <c r="G585" s="15"/>
      <c r="I585" s="14"/>
      <c r="J585" s="15"/>
      <c r="K585" s="15"/>
      <c r="L585" s="105"/>
    </row>
    <row r="586">
      <c r="G586" s="15"/>
      <c r="I586" s="14"/>
      <c r="J586" s="15"/>
      <c r="K586" s="15"/>
      <c r="L586" s="105"/>
    </row>
    <row r="587">
      <c r="G587" s="15"/>
      <c r="I587" s="14"/>
      <c r="J587" s="15"/>
      <c r="K587" s="15"/>
      <c r="L587" s="105"/>
    </row>
    <row r="588">
      <c r="G588" s="15"/>
      <c r="I588" s="14"/>
      <c r="J588" s="15"/>
      <c r="K588" s="15"/>
      <c r="L588" s="105"/>
    </row>
    <row r="589">
      <c r="G589" s="15"/>
      <c r="I589" s="14"/>
      <c r="J589" s="15"/>
      <c r="K589" s="15"/>
      <c r="L589" s="105"/>
    </row>
    <row r="590">
      <c r="G590" s="15"/>
      <c r="I590" s="14"/>
      <c r="J590" s="15"/>
      <c r="K590" s="15"/>
      <c r="L590" s="105"/>
    </row>
    <row r="591">
      <c r="G591" s="15"/>
      <c r="I591" s="14"/>
      <c r="J591" s="15"/>
      <c r="K591" s="15"/>
      <c r="L591" s="105"/>
    </row>
    <row r="592">
      <c r="G592" s="15"/>
      <c r="I592" s="14"/>
      <c r="J592" s="15"/>
      <c r="K592" s="15"/>
      <c r="L592" s="105"/>
    </row>
    <row r="593">
      <c r="G593" s="15"/>
      <c r="I593" s="14"/>
      <c r="J593" s="15"/>
      <c r="K593" s="15"/>
      <c r="L593" s="105"/>
    </row>
    <row r="594">
      <c r="G594" s="15"/>
      <c r="I594" s="14"/>
      <c r="J594" s="15"/>
      <c r="K594" s="15"/>
      <c r="L594" s="105"/>
    </row>
    <row r="595">
      <c r="G595" s="15"/>
      <c r="I595" s="14"/>
      <c r="J595" s="15"/>
      <c r="K595" s="15"/>
      <c r="L595" s="105"/>
    </row>
    <row r="596">
      <c r="G596" s="15"/>
      <c r="I596" s="14"/>
      <c r="J596" s="15"/>
      <c r="K596" s="15"/>
      <c r="L596" s="105"/>
    </row>
    <row r="597">
      <c r="G597" s="15"/>
      <c r="I597" s="14"/>
      <c r="J597" s="15"/>
      <c r="K597" s="15"/>
      <c r="L597" s="105"/>
    </row>
    <row r="598">
      <c r="G598" s="15"/>
      <c r="I598" s="14"/>
      <c r="J598" s="15"/>
      <c r="K598" s="15"/>
      <c r="L598" s="105"/>
    </row>
    <row r="599">
      <c r="G599" s="15"/>
      <c r="I599" s="14"/>
      <c r="J599" s="15"/>
      <c r="K599" s="15"/>
      <c r="L599" s="105"/>
    </row>
    <row r="600">
      <c r="G600" s="15"/>
      <c r="I600" s="14"/>
      <c r="J600" s="15"/>
      <c r="K600" s="15"/>
      <c r="L600" s="105"/>
    </row>
    <row r="601">
      <c r="G601" s="15"/>
      <c r="I601" s="14"/>
      <c r="J601" s="15"/>
      <c r="K601" s="15"/>
      <c r="L601" s="105"/>
    </row>
    <row r="602">
      <c r="G602" s="15"/>
      <c r="I602" s="14"/>
      <c r="J602" s="15"/>
      <c r="K602" s="15"/>
      <c r="L602" s="105"/>
    </row>
    <row r="603">
      <c r="G603" s="15"/>
      <c r="I603" s="14"/>
      <c r="J603" s="15"/>
      <c r="K603" s="15"/>
      <c r="L603" s="105"/>
    </row>
    <row r="604">
      <c r="G604" s="15"/>
      <c r="I604" s="14"/>
      <c r="J604" s="15"/>
      <c r="K604" s="15"/>
      <c r="L604" s="105"/>
    </row>
    <row r="605">
      <c r="G605" s="15"/>
      <c r="I605" s="14"/>
      <c r="J605" s="15"/>
      <c r="K605" s="15"/>
      <c r="L605" s="105"/>
    </row>
    <row r="606">
      <c r="G606" s="15"/>
      <c r="I606" s="14"/>
      <c r="J606" s="15"/>
      <c r="K606" s="15"/>
      <c r="L606" s="105"/>
    </row>
    <row r="607">
      <c r="G607" s="15"/>
      <c r="I607" s="14"/>
      <c r="J607" s="15"/>
      <c r="K607" s="15"/>
      <c r="L607" s="105"/>
    </row>
    <row r="608">
      <c r="G608" s="15"/>
      <c r="I608" s="14"/>
      <c r="J608" s="15"/>
      <c r="K608" s="15"/>
      <c r="L608" s="105"/>
    </row>
    <row r="609">
      <c r="G609" s="15"/>
      <c r="I609" s="14"/>
      <c r="J609" s="15"/>
      <c r="K609" s="15"/>
      <c r="L609" s="105"/>
    </row>
    <row r="610">
      <c r="G610" s="15"/>
      <c r="I610" s="14"/>
      <c r="J610" s="15"/>
      <c r="K610" s="15"/>
      <c r="L610" s="105"/>
    </row>
    <row r="611">
      <c r="G611" s="15"/>
      <c r="I611" s="14"/>
      <c r="J611" s="15"/>
      <c r="K611" s="15"/>
      <c r="L611" s="105"/>
    </row>
    <row r="612">
      <c r="G612" s="15"/>
      <c r="I612" s="14"/>
      <c r="J612" s="15"/>
      <c r="K612" s="15"/>
      <c r="L612" s="105"/>
    </row>
    <row r="613">
      <c r="G613" s="15"/>
      <c r="I613" s="14"/>
      <c r="J613" s="15"/>
      <c r="K613" s="15"/>
      <c r="L613" s="105"/>
    </row>
    <row r="614">
      <c r="G614" s="15"/>
      <c r="I614" s="14"/>
      <c r="J614" s="15"/>
      <c r="K614" s="15"/>
      <c r="L614" s="105"/>
    </row>
    <row r="615">
      <c r="G615" s="15"/>
      <c r="I615" s="14"/>
      <c r="J615" s="15"/>
      <c r="K615" s="15"/>
      <c r="L615" s="105"/>
    </row>
    <row r="616">
      <c r="G616" s="15"/>
      <c r="I616" s="14"/>
      <c r="J616" s="15"/>
      <c r="K616" s="15"/>
      <c r="L616" s="105"/>
    </row>
    <row r="617">
      <c r="G617" s="15"/>
      <c r="I617" s="14"/>
      <c r="J617" s="15"/>
      <c r="K617" s="15"/>
      <c r="L617" s="105"/>
    </row>
    <row r="618">
      <c r="G618" s="15"/>
      <c r="I618" s="14"/>
      <c r="J618" s="15"/>
      <c r="K618" s="15"/>
      <c r="L618" s="105"/>
    </row>
    <row r="619">
      <c r="G619" s="15"/>
      <c r="I619" s="14"/>
      <c r="J619" s="15"/>
      <c r="K619" s="15"/>
      <c r="L619" s="105"/>
    </row>
    <row r="620">
      <c r="G620" s="15"/>
      <c r="I620" s="14"/>
      <c r="J620" s="15"/>
      <c r="K620" s="15"/>
      <c r="L620" s="105"/>
    </row>
    <row r="621">
      <c r="G621" s="15"/>
      <c r="I621" s="14"/>
      <c r="J621" s="15"/>
      <c r="K621" s="15"/>
      <c r="L621" s="105"/>
    </row>
    <row r="622">
      <c r="G622" s="15"/>
      <c r="I622" s="14"/>
      <c r="J622" s="15"/>
      <c r="K622" s="15"/>
      <c r="L622" s="105"/>
    </row>
    <row r="623">
      <c r="G623" s="15"/>
      <c r="I623" s="14"/>
      <c r="J623" s="15"/>
      <c r="K623" s="15"/>
      <c r="L623" s="105"/>
    </row>
    <row r="624">
      <c r="G624" s="15"/>
      <c r="I624" s="14"/>
      <c r="J624" s="15"/>
      <c r="K624" s="15"/>
      <c r="L624" s="105"/>
    </row>
    <row r="625">
      <c r="G625" s="15"/>
      <c r="I625" s="14"/>
      <c r="J625" s="15"/>
      <c r="K625" s="15"/>
      <c r="L625" s="105"/>
    </row>
    <row r="626">
      <c r="G626" s="15"/>
      <c r="I626" s="14"/>
      <c r="J626" s="15"/>
      <c r="K626" s="15"/>
      <c r="L626" s="105"/>
    </row>
    <row r="627">
      <c r="G627" s="15"/>
      <c r="I627" s="14"/>
      <c r="J627" s="15"/>
      <c r="K627" s="15"/>
      <c r="L627" s="105"/>
    </row>
    <row r="628">
      <c r="G628" s="15"/>
      <c r="I628" s="14"/>
      <c r="J628" s="15"/>
      <c r="K628" s="15"/>
      <c r="L628" s="105"/>
    </row>
    <row r="629">
      <c r="G629" s="15"/>
      <c r="I629" s="14"/>
      <c r="J629" s="15"/>
      <c r="K629" s="15"/>
      <c r="L629" s="105"/>
    </row>
    <row r="630">
      <c r="G630" s="15"/>
      <c r="I630" s="14"/>
      <c r="J630" s="15"/>
      <c r="K630" s="15"/>
      <c r="L630" s="105"/>
    </row>
    <row r="631">
      <c r="G631" s="15"/>
      <c r="I631" s="14"/>
      <c r="J631" s="15"/>
      <c r="K631" s="15"/>
      <c r="L631" s="105"/>
    </row>
    <row r="632">
      <c r="G632" s="15"/>
      <c r="I632" s="14"/>
      <c r="J632" s="15"/>
      <c r="K632" s="15"/>
      <c r="L632" s="105"/>
    </row>
    <row r="633">
      <c r="G633" s="15"/>
      <c r="I633" s="14"/>
      <c r="J633" s="15"/>
      <c r="K633" s="15"/>
      <c r="L633" s="105"/>
    </row>
    <row r="634">
      <c r="G634" s="15"/>
      <c r="I634" s="14"/>
      <c r="J634" s="15"/>
      <c r="K634" s="15"/>
      <c r="L634" s="105"/>
    </row>
    <row r="635">
      <c r="G635" s="15"/>
      <c r="I635" s="14"/>
      <c r="J635" s="15"/>
      <c r="K635" s="15"/>
      <c r="L635" s="105"/>
    </row>
    <row r="636">
      <c r="G636" s="15"/>
      <c r="I636" s="14"/>
      <c r="J636" s="15"/>
      <c r="K636" s="15"/>
      <c r="L636" s="105"/>
    </row>
    <row r="637">
      <c r="G637" s="15"/>
      <c r="I637" s="14"/>
      <c r="J637" s="15"/>
      <c r="K637" s="15"/>
      <c r="L637" s="105"/>
    </row>
    <row r="638">
      <c r="G638" s="15"/>
      <c r="I638" s="14"/>
      <c r="J638" s="15"/>
      <c r="K638" s="15"/>
      <c r="L638" s="105"/>
    </row>
    <row r="639">
      <c r="G639" s="15"/>
      <c r="I639" s="14"/>
      <c r="J639" s="15"/>
      <c r="K639" s="15"/>
      <c r="L639" s="105"/>
    </row>
    <row r="640">
      <c r="G640" s="15"/>
      <c r="I640" s="14"/>
      <c r="J640" s="15"/>
      <c r="K640" s="15"/>
      <c r="L640" s="105"/>
    </row>
    <row r="641">
      <c r="G641" s="15"/>
      <c r="I641" s="14"/>
      <c r="J641" s="15"/>
      <c r="K641" s="15"/>
      <c r="L641" s="105"/>
    </row>
    <row r="642">
      <c r="G642" s="15"/>
      <c r="I642" s="14"/>
      <c r="J642" s="15"/>
      <c r="K642" s="15"/>
      <c r="L642" s="105"/>
    </row>
    <row r="643">
      <c r="G643" s="15"/>
      <c r="I643" s="14"/>
      <c r="J643" s="15"/>
      <c r="K643" s="15"/>
      <c r="L643" s="105"/>
    </row>
    <row r="644">
      <c r="G644" s="15"/>
      <c r="I644" s="14"/>
      <c r="J644" s="15"/>
      <c r="K644" s="15"/>
      <c r="L644" s="105"/>
    </row>
    <row r="645">
      <c r="G645" s="15"/>
      <c r="I645" s="14"/>
      <c r="J645" s="15"/>
      <c r="K645" s="15"/>
      <c r="L645" s="105"/>
    </row>
    <row r="646">
      <c r="G646" s="15"/>
      <c r="I646" s="14"/>
      <c r="J646" s="15"/>
      <c r="K646" s="15"/>
      <c r="L646" s="105"/>
    </row>
    <row r="647">
      <c r="G647" s="15"/>
      <c r="I647" s="14"/>
      <c r="J647" s="15"/>
      <c r="K647" s="15"/>
      <c r="L647" s="105"/>
    </row>
    <row r="648">
      <c r="G648" s="15"/>
      <c r="I648" s="14"/>
      <c r="J648" s="15"/>
      <c r="K648" s="15"/>
      <c r="L648" s="105"/>
    </row>
    <row r="649">
      <c r="G649" s="15"/>
      <c r="I649" s="14"/>
      <c r="J649" s="15"/>
      <c r="K649" s="15"/>
      <c r="L649" s="105"/>
    </row>
    <row r="650">
      <c r="G650" s="15"/>
      <c r="I650" s="14"/>
      <c r="J650" s="15"/>
      <c r="K650" s="15"/>
      <c r="L650" s="105"/>
    </row>
    <row r="651">
      <c r="G651" s="15"/>
      <c r="I651" s="14"/>
      <c r="J651" s="15"/>
      <c r="K651" s="15"/>
      <c r="L651" s="105"/>
    </row>
    <row r="652">
      <c r="G652" s="15"/>
      <c r="I652" s="14"/>
      <c r="J652" s="15"/>
      <c r="K652" s="15"/>
      <c r="L652" s="105"/>
    </row>
    <row r="653">
      <c r="G653" s="15"/>
      <c r="I653" s="14"/>
      <c r="J653" s="15"/>
      <c r="K653" s="15"/>
      <c r="L653" s="105"/>
    </row>
    <row r="654">
      <c r="G654" s="15"/>
      <c r="I654" s="14"/>
      <c r="J654" s="15"/>
      <c r="K654" s="15"/>
      <c r="L654" s="105"/>
    </row>
    <row r="655">
      <c r="G655" s="15"/>
      <c r="I655" s="14"/>
      <c r="J655" s="15"/>
      <c r="K655" s="15"/>
      <c r="L655" s="105"/>
    </row>
    <row r="656">
      <c r="G656" s="15"/>
      <c r="I656" s="14"/>
      <c r="J656" s="15"/>
      <c r="K656" s="15"/>
      <c r="L656" s="105"/>
    </row>
    <row r="657">
      <c r="G657" s="15"/>
      <c r="I657" s="14"/>
      <c r="J657" s="15"/>
      <c r="K657" s="15"/>
      <c r="L657" s="105"/>
    </row>
    <row r="658">
      <c r="G658" s="15"/>
      <c r="I658" s="14"/>
      <c r="J658" s="15"/>
      <c r="K658" s="15"/>
      <c r="L658" s="105"/>
    </row>
    <row r="659">
      <c r="G659" s="15"/>
      <c r="I659" s="14"/>
      <c r="J659" s="15"/>
      <c r="K659" s="15"/>
      <c r="L659" s="105"/>
    </row>
    <row r="660">
      <c r="G660" s="15"/>
      <c r="I660" s="14"/>
      <c r="J660" s="15"/>
      <c r="K660" s="15"/>
      <c r="L660" s="105"/>
    </row>
    <row r="661">
      <c r="G661" s="15"/>
      <c r="I661" s="14"/>
      <c r="J661" s="15"/>
      <c r="K661" s="15"/>
      <c r="L661" s="105"/>
    </row>
    <row r="662">
      <c r="G662" s="15"/>
      <c r="I662" s="14"/>
      <c r="J662" s="15"/>
      <c r="K662" s="15"/>
      <c r="L662" s="105"/>
    </row>
    <row r="663">
      <c r="G663" s="15"/>
      <c r="I663" s="14"/>
      <c r="J663" s="15"/>
      <c r="K663" s="15"/>
      <c r="L663" s="105"/>
    </row>
    <row r="664">
      <c r="G664" s="15"/>
      <c r="I664" s="14"/>
      <c r="J664" s="15"/>
      <c r="K664" s="15"/>
      <c r="L664" s="105"/>
    </row>
    <row r="665">
      <c r="G665" s="15"/>
      <c r="I665" s="14"/>
      <c r="J665" s="15"/>
      <c r="K665" s="15"/>
      <c r="L665" s="105"/>
    </row>
    <row r="666">
      <c r="G666" s="15"/>
      <c r="I666" s="14"/>
      <c r="J666" s="15"/>
      <c r="K666" s="15"/>
      <c r="L666" s="105"/>
    </row>
    <row r="667">
      <c r="G667" s="15"/>
      <c r="I667" s="14"/>
      <c r="J667" s="15"/>
      <c r="K667" s="15"/>
      <c r="L667" s="105"/>
    </row>
    <row r="668">
      <c r="G668" s="15"/>
      <c r="I668" s="14"/>
      <c r="J668" s="15"/>
      <c r="K668" s="15"/>
      <c r="L668" s="105"/>
    </row>
    <row r="669">
      <c r="G669" s="15"/>
      <c r="I669" s="14"/>
      <c r="J669" s="15"/>
      <c r="K669" s="15"/>
      <c r="L669" s="105"/>
    </row>
    <row r="670">
      <c r="G670" s="15"/>
      <c r="I670" s="14"/>
      <c r="J670" s="15"/>
      <c r="K670" s="15"/>
      <c r="L670" s="105"/>
    </row>
    <row r="671">
      <c r="G671" s="15"/>
      <c r="I671" s="14"/>
      <c r="J671" s="15"/>
      <c r="K671" s="15"/>
      <c r="L671" s="105"/>
    </row>
    <row r="672">
      <c r="G672" s="15"/>
      <c r="I672" s="14"/>
      <c r="J672" s="15"/>
      <c r="K672" s="15"/>
      <c r="L672" s="105"/>
    </row>
    <row r="673">
      <c r="G673" s="15"/>
      <c r="I673" s="14"/>
      <c r="J673" s="15"/>
      <c r="K673" s="15"/>
      <c r="L673" s="105"/>
    </row>
    <row r="674">
      <c r="G674" s="15"/>
      <c r="I674" s="14"/>
      <c r="J674" s="15"/>
      <c r="K674" s="15"/>
      <c r="L674" s="105"/>
    </row>
    <row r="675">
      <c r="G675" s="15"/>
      <c r="I675" s="14"/>
      <c r="J675" s="15"/>
      <c r="K675" s="15"/>
      <c r="L675" s="105"/>
    </row>
    <row r="676">
      <c r="G676" s="15"/>
      <c r="I676" s="14"/>
      <c r="J676" s="15"/>
      <c r="K676" s="15"/>
      <c r="L676" s="105"/>
    </row>
    <row r="677">
      <c r="G677" s="15"/>
      <c r="I677" s="14"/>
      <c r="J677" s="15"/>
      <c r="K677" s="15"/>
      <c r="L677" s="105"/>
    </row>
    <row r="678">
      <c r="G678" s="15"/>
      <c r="I678" s="14"/>
      <c r="J678" s="15"/>
      <c r="K678" s="15"/>
      <c r="L678" s="105"/>
    </row>
    <row r="679">
      <c r="G679" s="15"/>
      <c r="I679" s="14"/>
      <c r="J679" s="15"/>
      <c r="K679" s="15"/>
      <c r="L679" s="105"/>
    </row>
    <row r="680">
      <c r="G680" s="15"/>
      <c r="I680" s="14"/>
      <c r="J680" s="15"/>
      <c r="K680" s="15"/>
      <c r="L680" s="105"/>
    </row>
    <row r="681">
      <c r="G681" s="15"/>
      <c r="I681" s="14"/>
      <c r="J681" s="15"/>
      <c r="K681" s="15"/>
      <c r="L681" s="105"/>
    </row>
    <row r="682">
      <c r="G682" s="15"/>
      <c r="I682" s="14"/>
      <c r="J682" s="15"/>
      <c r="K682" s="15"/>
      <c r="L682" s="105"/>
    </row>
    <row r="683">
      <c r="G683" s="15"/>
      <c r="I683" s="14"/>
      <c r="J683" s="15"/>
      <c r="K683" s="15"/>
      <c r="L683" s="105"/>
    </row>
    <row r="684">
      <c r="G684" s="15"/>
      <c r="I684" s="14"/>
      <c r="J684" s="15"/>
      <c r="K684" s="15"/>
      <c r="L684" s="105"/>
    </row>
    <row r="685">
      <c r="G685" s="15"/>
      <c r="I685" s="14"/>
      <c r="J685" s="15"/>
      <c r="K685" s="15"/>
      <c r="L685" s="105"/>
    </row>
    <row r="686">
      <c r="G686" s="15"/>
      <c r="I686" s="14"/>
      <c r="J686" s="15"/>
      <c r="K686" s="15"/>
      <c r="L686" s="105"/>
    </row>
    <row r="687">
      <c r="G687" s="15"/>
      <c r="I687" s="14"/>
      <c r="J687" s="15"/>
      <c r="K687" s="15"/>
      <c r="L687" s="105"/>
    </row>
    <row r="688">
      <c r="G688" s="15"/>
      <c r="I688" s="14"/>
      <c r="J688" s="15"/>
      <c r="K688" s="15"/>
      <c r="L688" s="105"/>
    </row>
    <row r="689">
      <c r="G689" s="15"/>
      <c r="I689" s="14"/>
      <c r="J689" s="15"/>
      <c r="K689" s="15"/>
      <c r="L689" s="105"/>
    </row>
    <row r="690">
      <c r="G690" s="15"/>
      <c r="I690" s="14"/>
      <c r="J690" s="15"/>
      <c r="K690" s="15"/>
      <c r="L690" s="105"/>
    </row>
    <row r="691">
      <c r="G691" s="15"/>
      <c r="I691" s="14"/>
      <c r="J691" s="15"/>
      <c r="K691" s="15"/>
      <c r="L691" s="105"/>
    </row>
    <row r="692">
      <c r="G692" s="15"/>
      <c r="I692" s="14"/>
      <c r="J692" s="15"/>
      <c r="K692" s="15"/>
      <c r="L692" s="105"/>
    </row>
    <row r="693">
      <c r="G693" s="15"/>
      <c r="I693" s="14"/>
      <c r="J693" s="15"/>
      <c r="K693" s="15"/>
      <c r="L693" s="105"/>
    </row>
    <row r="694">
      <c r="G694" s="15"/>
      <c r="I694" s="14"/>
      <c r="J694" s="15"/>
      <c r="K694" s="15"/>
      <c r="L694" s="105"/>
    </row>
    <row r="695">
      <c r="G695" s="15"/>
      <c r="I695" s="14"/>
      <c r="J695" s="15"/>
      <c r="K695" s="15"/>
      <c r="L695" s="105"/>
    </row>
    <row r="696">
      <c r="G696" s="15"/>
      <c r="I696" s="14"/>
      <c r="J696" s="15"/>
      <c r="K696" s="15"/>
      <c r="L696" s="105"/>
    </row>
    <row r="697">
      <c r="G697" s="15"/>
      <c r="I697" s="14"/>
      <c r="J697" s="15"/>
      <c r="K697" s="15"/>
      <c r="L697" s="105"/>
    </row>
    <row r="698">
      <c r="G698" s="15"/>
      <c r="I698" s="14"/>
      <c r="J698" s="15"/>
      <c r="K698" s="15"/>
      <c r="L698" s="105"/>
    </row>
    <row r="699">
      <c r="G699" s="15"/>
      <c r="I699" s="14"/>
      <c r="J699" s="15"/>
      <c r="K699" s="15"/>
      <c r="L699" s="105"/>
    </row>
    <row r="700">
      <c r="G700" s="15"/>
      <c r="I700" s="14"/>
      <c r="J700" s="15"/>
      <c r="K700" s="15"/>
      <c r="L700" s="105"/>
    </row>
    <row r="701">
      <c r="G701" s="15"/>
      <c r="I701" s="14"/>
      <c r="J701" s="15"/>
      <c r="K701" s="15"/>
      <c r="L701" s="105"/>
    </row>
    <row r="702">
      <c r="G702" s="15"/>
      <c r="I702" s="14"/>
      <c r="J702" s="15"/>
      <c r="K702" s="15"/>
      <c r="L702" s="105"/>
    </row>
    <row r="703">
      <c r="G703" s="15"/>
      <c r="I703" s="14"/>
      <c r="J703" s="15"/>
      <c r="K703" s="15"/>
      <c r="L703" s="105"/>
    </row>
    <row r="704">
      <c r="G704" s="15"/>
      <c r="I704" s="14"/>
      <c r="J704" s="15"/>
      <c r="K704" s="15"/>
      <c r="L704" s="105"/>
    </row>
    <row r="705">
      <c r="G705" s="15"/>
      <c r="I705" s="14"/>
      <c r="J705" s="15"/>
      <c r="K705" s="15"/>
      <c r="L705" s="105"/>
    </row>
    <row r="706">
      <c r="G706" s="15"/>
      <c r="I706" s="14"/>
      <c r="J706" s="15"/>
      <c r="K706" s="15"/>
      <c r="L706" s="105"/>
    </row>
    <row r="707">
      <c r="G707" s="15"/>
      <c r="I707" s="14"/>
      <c r="J707" s="15"/>
      <c r="K707" s="15"/>
      <c r="L707" s="105"/>
    </row>
    <row r="708">
      <c r="G708" s="15"/>
      <c r="I708" s="14"/>
      <c r="J708" s="15"/>
      <c r="K708" s="15"/>
      <c r="L708" s="105"/>
    </row>
    <row r="709">
      <c r="G709" s="15"/>
      <c r="I709" s="14"/>
      <c r="J709" s="15"/>
      <c r="K709" s="15"/>
      <c r="L709" s="105"/>
    </row>
    <row r="710">
      <c r="G710" s="15"/>
      <c r="I710" s="14"/>
      <c r="J710" s="15"/>
      <c r="K710" s="15"/>
      <c r="L710" s="105"/>
    </row>
    <row r="711">
      <c r="G711" s="15"/>
      <c r="I711" s="14"/>
      <c r="J711" s="15"/>
      <c r="K711" s="15"/>
      <c r="L711" s="105"/>
    </row>
    <row r="712">
      <c r="G712" s="15"/>
      <c r="I712" s="14"/>
      <c r="J712" s="15"/>
      <c r="K712" s="15"/>
      <c r="L712" s="105"/>
    </row>
    <row r="713">
      <c r="G713" s="15"/>
      <c r="I713" s="14"/>
      <c r="J713" s="15"/>
      <c r="K713" s="15"/>
      <c r="L713" s="105"/>
    </row>
    <row r="714">
      <c r="G714" s="15"/>
      <c r="I714" s="14"/>
      <c r="J714" s="15"/>
      <c r="K714" s="15"/>
      <c r="L714" s="105"/>
    </row>
    <row r="715">
      <c r="G715" s="15"/>
      <c r="I715" s="14"/>
      <c r="J715" s="15"/>
      <c r="K715" s="15"/>
      <c r="L715" s="105"/>
    </row>
    <row r="716">
      <c r="G716" s="15"/>
      <c r="I716" s="14"/>
      <c r="J716" s="15"/>
      <c r="K716" s="15"/>
      <c r="L716" s="105"/>
    </row>
    <row r="717">
      <c r="G717" s="15"/>
      <c r="I717" s="14"/>
      <c r="J717" s="15"/>
      <c r="K717" s="15"/>
      <c r="L717" s="105"/>
    </row>
    <row r="718">
      <c r="G718" s="15"/>
      <c r="I718" s="14"/>
      <c r="J718" s="15"/>
      <c r="K718" s="15"/>
      <c r="L718" s="105"/>
    </row>
    <row r="719">
      <c r="G719" s="15"/>
      <c r="I719" s="14"/>
      <c r="J719" s="15"/>
      <c r="K719" s="15"/>
      <c r="L719" s="105"/>
    </row>
    <row r="720">
      <c r="G720" s="15"/>
      <c r="I720" s="14"/>
      <c r="J720" s="15"/>
      <c r="K720" s="15"/>
      <c r="L720" s="105"/>
    </row>
    <row r="721">
      <c r="G721" s="15"/>
      <c r="I721" s="14"/>
      <c r="J721" s="15"/>
      <c r="K721" s="15"/>
      <c r="L721" s="105"/>
    </row>
    <row r="722">
      <c r="G722" s="15"/>
      <c r="I722" s="14"/>
      <c r="J722" s="15"/>
      <c r="K722" s="15"/>
      <c r="L722" s="105"/>
    </row>
    <row r="723">
      <c r="G723" s="15"/>
      <c r="I723" s="14"/>
      <c r="J723" s="15"/>
      <c r="K723" s="15"/>
      <c r="L723" s="105"/>
    </row>
    <row r="724">
      <c r="G724" s="15"/>
      <c r="I724" s="14"/>
      <c r="J724" s="15"/>
      <c r="K724" s="15"/>
      <c r="L724" s="105"/>
    </row>
    <row r="725">
      <c r="G725" s="15"/>
      <c r="I725" s="14"/>
      <c r="J725" s="15"/>
      <c r="K725" s="15"/>
      <c r="L725" s="105"/>
    </row>
    <row r="726">
      <c r="G726" s="15"/>
      <c r="I726" s="14"/>
      <c r="J726" s="15"/>
      <c r="K726" s="15"/>
      <c r="L726" s="105"/>
    </row>
    <row r="727">
      <c r="G727" s="15"/>
      <c r="I727" s="14"/>
      <c r="J727" s="15"/>
      <c r="K727" s="15"/>
      <c r="L727" s="105"/>
    </row>
    <row r="728">
      <c r="G728" s="15"/>
      <c r="I728" s="14"/>
      <c r="J728" s="15"/>
      <c r="K728" s="15"/>
      <c r="L728" s="105"/>
    </row>
    <row r="729">
      <c r="G729" s="15"/>
      <c r="I729" s="14"/>
      <c r="J729" s="15"/>
      <c r="K729" s="15"/>
      <c r="L729" s="105"/>
    </row>
    <row r="730">
      <c r="G730" s="15"/>
      <c r="I730" s="14"/>
      <c r="J730" s="15"/>
      <c r="K730" s="15"/>
      <c r="L730" s="105"/>
    </row>
    <row r="731">
      <c r="G731" s="15"/>
      <c r="I731" s="14"/>
      <c r="J731" s="15"/>
      <c r="K731" s="15"/>
      <c r="L731" s="105"/>
    </row>
    <row r="732">
      <c r="G732" s="15"/>
      <c r="I732" s="14"/>
      <c r="J732" s="15"/>
      <c r="K732" s="15"/>
      <c r="L732" s="105"/>
    </row>
    <row r="733">
      <c r="G733" s="15"/>
      <c r="I733" s="14"/>
      <c r="J733" s="15"/>
      <c r="K733" s="15"/>
      <c r="L733" s="105"/>
    </row>
    <row r="734">
      <c r="G734" s="15"/>
      <c r="I734" s="14"/>
      <c r="J734" s="15"/>
      <c r="K734" s="15"/>
      <c r="L734" s="105"/>
    </row>
    <row r="735">
      <c r="G735" s="15"/>
      <c r="I735" s="14"/>
      <c r="J735" s="15"/>
      <c r="K735" s="15"/>
      <c r="L735" s="105"/>
    </row>
    <row r="736">
      <c r="G736" s="15"/>
      <c r="I736" s="14"/>
      <c r="J736" s="15"/>
      <c r="K736" s="15"/>
      <c r="L736" s="105"/>
    </row>
    <row r="737">
      <c r="G737" s="15"/>
      <c r="I737" s="14"/>
      <c r="J737" s="15"/>
      <c r="K737" s="15"/>
      <c r="L737" s="105"/>
    </row>
    <row r="738">
      <c r="G738" s="15"/>
      <c r="I738" s="14"/>
      <c r="J738" s="15"/>
      <c r="K738" s="15"/>
      <c r="L738" s="105"/>
    </row>
    <row r="739">
      <c r="G739" s="15"/>
      <c r="I739" s="14"/>
      <c r="J739" s="15"/>
      <c r="K739" s="15"/>
      <c r="L739" s="105"/>
    </row>
    <row r="740">
      <c r="G740" s="15"/>
      <c r="I740" s="14"/>
      <c r="J740" s="15"/>
      <c r="K740" s="15"/>
      <c r="L740" s="105"/>
    </row>
    <row r="741">
      <c r="G741" s="15"/>
      <c r="I741" s="14"/>
      <c r="J741" s="15"/>
      <c r="K741" s="15"/>
      <c r="L741" s="105"/>
    </row>
    <row r="742">
      <c r="G742" s="15"/>
      <c r="I742" s="14"/>
      <c r="J742" s="15"/>
      <c r="K742" s="15"/>
      <c r="L742" s="105"/>
    </row>
    <row r="743">
      <c r="G743" s="15"/>
      <c r="I743" s="14"/>
      <c r="J743" s="15"/>
      <c r="K743" s="15"/>
      <c r="L743" s="105"/>
    </row>
    <row r="744">
      <c r="G744" s="15"/>
      <c r="I744" s="14"/>
      <c r="J744" s="15"/>
      <c r="K744" s="15"/>
      <c r="L744" s="105"/>
    </row>
    <row r="745">
      <c r="G745" s="15"/>
      <c r="I745" s="14"/>
      <c r="J745" s="15"/>
      <c r="K745" s="15"/>
      <c r="L745" s="105"/>
    </row>
    <row r="746">
      <c r="G746" s="15"/>
      <c r="I746" s="14"/>
      <c r="J746" s="15"/>
      <c r="K746" s="15"/>
      <c r="L746" s="105"/>
    </row>
    <row r="747">
      <c r="G747" s="15"/>
      <c r="I747" s="14"/>
      <c r="J747" s="15"/>
      <c r="K747" s="15"/>
      <c r="L747" s="105"/>
    </row>
    <row r="748">
      <c r="G748" s="15"/>
      <c r="I748" s="14"/>
      <c r="J748" s="15"/>
      <c r="K748" s="15"/>
      <c r="L748" s="105"/>
    </row>
    <row r="749">
      <c r="G749" s="15"/>
      <c r="I749" s="14"/>
      <c r="J749" s="15"/>
      <c r="K749" s="15"/>
      <c r="L749" s="105"/>
    </row>
    <row r="750">
      <c r="G750" s="15"/>
      <c r="I750" s="14"/>
      <c r="J750" s="15"/>
      <c r="K750" s="15"/>
      <c r="L750" s="105"/>
    </row>
    <row r="751">
      <c r="G751" s="15"/>
      <c r="I751" s="14"/>
      <c r="J751" s="15"/>
      <c r="K751" s="15"/>
      <c r="L751" s="105"/>
    </row>
    <row r="752">
      <c r="G752" s="15"/>
      <c r="I752" s="14"/>
      <c r="J752" s="15"/>
      <c r="K752" s="15"/>
      <c r="L752" s="105"/>
    </row>
    <row r="753">
      <c r="G753" s="15"/>
      <c r="I753" s="14"/>
      <c r="J753" s="15"/>
      <c r="K753" s="15"/>
      <c r="L753" s="105"/>
    </row>
    <row r="754">
      <c r="G754" s="15"/>
      <c r="I754" s="14"/>
      <c r="J754" s="15"/>
      <c r="K754" s="15"/>
      <c r="L754" s="105"/>
    </row>
    <row r="755">
      <c r="G755" s="15"/>
      <c r="I755" s="14"/>
      <c r="J755" s="15"/>
      <c r="K755" s="15"/>
      <c r="L755" s="105"/>
    </row>
    <row r="756">
      <c r="G756" s="15"/>
      <c r="I756" s="14"/>
      <c r="J756" s="15"/>
      <c r="K756" s="15"/>
      <c r="L756" s="105"/>
    </row>
    <row r="757">
      <c r="G757" s="15"/>
      <c r="I757" s="14"/>
      <c r="J757" s="15"/>
      <c r="K757" s="15"/>
      <c r="L757" s="105"/>
    </row>
    <row r="758">
      <c r="G758" s="15"/>
      <c r="I758" s="14"/>
      <c r="J758" s="15"/>
      <c r="K758" s="15"/>
      <c r="L758" s="105"/>
    </row>
    <row r="759">
      <c r="G759" s="15"/>
      <c r="I759" s="14"/>
      <c r="J759" s="15"/>
      <c r="K759" s="15"/>
      <c r="L759" s="105"/>
    </row>
    <row r="760">
      <c r="G760" s="15"/>
      <c r="I760" s="14"/>
      <c r="J760" s="15"/>
      <c r="K760" s="15"/>
      <c r="L760" s="105"/>
    </row>
    <row r="761">
      <c r="G761" s="15"/>
      <c r="I761" s="14"/>
      <c r="J761" s="15"/>
      <c r="K761" s="15"/>
      <c r="L761" s="105"/>
    </row>
    <row r="762">
      <c r="G762" s="15"/>
      <c r="I762" s="14"/>
      <c r="J762" s="15"/>
      <c r="K762" s="15"/>
      <c r="L762" s="105"/>
    </row>
    <row r="763">
      <c r="G763" s="15"/>
      <c r="I763" s="14"/>
      <c r="J763" s="15"/>
      <c r="K763" s="15"/>
      <c r="L763" s="105"/>
    </row>
    <row r="764">
      <c r="G764" s="15"/>
      <c r="I764" s="14"/>
      <c r="J764" s="15"/>
      <c r="K764" s="15"/>
      <c r="L764" s="105"/>
    </row>
    <row r="765">
      <c r="G765" s="15"/>
      <c r="I765" s="14"/>
      <c r="J765" s="15"/>
      <c r="K765" s="15"/>
      <c r="L765" s="105"/>
    </row>
    <row r="766">
      <c r="G766" s="15"/>
      <c r="I766" s="14"/>
      <c r="J766" s="15"/>
      <c r="K766" s="15"/>
      <c r="L766" s="105"/>
    </row>
    <row r="767">
      <c r="G767" s="15"/>
      <c r="I767" s="14"/>
      <c r="J767" s="15"/>
      <c r="K767" s="15"/>
      <c r="L767" s="105"/>
    </row>
    <row r="768">
      <c r="G768" s="15"/>
      <c r="I768" s="14"/>
      <c r="J768" s="15"/>
      <c r="K768" s="15"/>
      <c r="L768" s="105"/>
    </row>
    <row r="769">
      <c r="G769" s="15"/>
      <c r="I769" s="14"/>
      <c r="J769" s="15"/>
      <c r="K769" s="15"/>
      <c r="L769" s="105"/>
    </row>
    <row r="770">
      <c r="G770" s="15"/>
      <c r="I770" s="14"/>
      <c r="J770" s="15"/>
      <c r="K770" s="15"/>
      <c r="L770" s="105"/>
    </row>
    <row r="771">
      <c r="G771" s="15"/>
      <c r="I771" s="14"/>
      <c r="J771" s="15"/>
      <c r="K771" s="15"/>
      <c r="L771" s="105"/>
    </row>
    <row r="772">
      <c r="G772" s="15"/>
      <c r="I772" s="14"/>
      <c r="J772" s="15"/>
      <c r="K772" s="15"/>
      <c r="L772" s="105"/>
    </row>
    <row r="773">
      <c r="G773" s="15"/>
      <c r="I773" s="14"/>
      <c r="J773" s="15"/>
      <c r="K773" s="15"/>
      <c r="L773" s="105"/>
    </row>
    <row r="774">
      <c r="G774" s="15"/>
      <c r="I774" s="14"/>
      <c r="J774" s="15"/>
      <c r="K774" s="15"/>
      <c r="L774" s="105"/>
    </row>
    <row r="775">
      <c r="G775" s="15"/>
      <c r="I775" s="14"/>
      <c r="J775" s="15"/>
      <c r="K775" s="15"/>
      <c r="L775" s="105"/>
    </row>
    <row r="776">
      <c r="G776" s="15"/>
      <c r="I776" s="14"/>
      <c r="J776" s="15"/>
      <c r="K776" s="15"/>
      <c r="L776" s="105"/>
    </row>
    <row r="777">
      <c r="G777" s="15"/>
      <c r="I777" s="14"/>
      <c r="J777" s="15"/>
      <c r="K777" s="15"/>
      <c r="L777" s="105"/>
    </row>
    <row r="778">
      <c r="G778" s="15"/>
      <c r="I778" s="14"/>
      <c r="J778" s="15"/>
      <c r="K778" s="15"/>
      <c r="L778" s="105"/>
    </row>
    <row r="779">
      <c r="G779" s="15"/>
      <c r="I779" s="14"/>
      <c r="J779" s="15"/>
      <c r="K779" s="15"/>
      <c r="L779" s="105"/>
    </row>
    <row r="780">
      <c r="G780" s="15"/>
      <c r="I780" s="14"/>
      <c r="J780" s="15"/>
      <c r="K780" s="15"/>
      <c r="L780" s="105"/>
    </row>
    <row r="781">
      <c r="G781" s="15"/>
      <c r="I781" s="14"/>
      <c r="J781" s="15"/>
      <c r="K781" s="15"/>
      <c r="L781" s="105"/>
    </row>
    <row r="782">
      <c r="G782" s="15"/>
      <c r="I782" s="14"/>
      <c r="J782" s="15"/>
      <c r="K782" s="15"/>
      <c r="L782" s="105"/>
    </row>
    <row r="783">
      <c r="G783" s="15"/>
      <c r="I783" s="14"/>
      <c r="J783" s="15"/>
      <c r="K783" s="15"/>
      <c r="L783" s="105"/>
    </row>
    <row r="784">
      <c r="G784" s="15"/>
      <c r="I784" s="14"/>
      <c r="J784" s="15"/>
      <c r="K784" s="15"/>
      <c r="L784" s="105"/>
    </row>
    <row r="785">
      <c r="G785" s="15"/>
      <c r="I785" s="14"/>
      <c r="J785" s="15"/>
      <c r="K785" s="15"/>
      <c r="L785" s="105"/>
    </row>
    <row r="786">
      <c r="G786" s="15"/>
      <c r="I786" s="14"/>
      <c r="J786" s="15"/>
      <c r="K786" s="15"/>
      <c r="L786" s="105"/>
    </row>
    <row r="787">
      <c r="G787" s="15"/>
      <c r="I787" s="14"/>
      <c r="J787" s="15"/>
      <c r="K787" s="15"/>
      <c r="L787" s="105"/>
    </row>
    <row r="788">
      <c r="G788" s="15"/>
      <c r="I788" s="14"/>
      <c r="J788" s="15"/>
      <c r="K788" s="15"/>
      <c r="L788" s="105"/>
    </row>
    <row r="789">
      <c r="G789" s="15"/>
      <c r="I789" s="14"/>
      <c r="J789" s="15"/>
      <c r="K789" s="15"/>
      <c r="L789" s="105"/>
    </row>
    <row r="790">
      <c r="G790" s="15"/>
      <c r="I790" s="14"/>
      <c r="J790" s="15"/>
      <c r="K790" s="15"/>
      <c r="L790" s="105"/>
    </row>
    <row r="791">
      <c r="G791" s="15"/>
      <c r="I791" s="14"/>
      <c r="J791" s="15"/>
      <c r="K791" s="15"/>
      <c r="L791" s="105"/>
    </row>
    <row r="792">
      <c r="G792" s="15"/>
      <c r="I792" s="14"/>
      <c r="J792" s="15"/>
      <c r="K792" s="15"/>
      <c r="L792" s="105"/>
    </row>
    <row r="793">
      <c r="G793" s="15"/>
      <c r="I793" s="14"/>
      <c r="J793" s="15"/>
      <c r="K793" s="15"/>
      <c r="L793" s="105"/>
    </row>
    <row r="794">
      <c r="G794" s="15"/>
      <c r="I794" s="14"/>
      <c r="J794" s="15"/>
      <c r="K794" s="15"/>
      <c r="L794" s="105"/>
    </row>
    <row r="795">
      <c r="G795" s="15"/>
      <c r="I795" s="14"/>
      <c r="J795" s="15"/>
      <c r="K795" s="15"/>
      <c r="L795" s="105"/>
    </row>
    <row r="796">
      <c r="G796" s="15"/>
      <c r="I796" s="14"/>
      <c r="J796" s="15"/>
      <c r="K796" s="15"/>
      <c r="L796" s="105"/>
    </row>
    <row r="797">
      <c r="G797" s="15"/>
      <c r="I797" s="14"/>
      <c r="J797" s="15"/>
      <c r="K797" s="15"/>
      <c r="L797" s="105"/>
    </row>
    <row r="798">
      <c r="G798" s="15"/>
      <c r="I798" s="14"/>
      <c r="J798" s="15"/>
      <c r="K798" s="15"/>
      <c r="L798" s="105"/>
    </row>
    <row r="799">
      <c r="G799" s="15"/>
      <c r="I799" s="14"/>
      <c r="J799" s="15"/>
      <c r="K799" s="15"/>
      <c r="L799" s="105"/>
    </row>
    <row r="800">
      <c r="G800" s="15"/>
      <c r="I800" s="14"/>
      <c r="J800" s="15"/>
      <c r="K800" s="15"/>
      <c r="L800" s="105"/>
    </row>
    <row r="801">
      <c r="G801" s="15"/>
      <c r="I801" s="14"/>
      <c r="J801" s="15"/>
      <c r="K801" s="15"/>
      <c r="L801" s="105"/>
    </row>
    <row r="802">
      <c r="G802" s="15"/>
      <c r="I802" s="14"/>
      <c r="J802" s="15"/>
      <c r="K802" s="15"/>
      <c r="L802" s="105"/>
    </row>
    <row r="803">
      <c r="G803" s="15"/>
      <c r="I803" s="14"/>
      <c r="J803" s="15"/>
      <c r="K803" s="15"/>
      <c r="L803" s="105"/>
    </row>
    <row r="804">
      <c r="G804" s="15"/>
      <c r="I804" s="14"/>
      <c r="J804" s="15"/>
      <c r="K804" s="15"/>
      <c r="L804" s="105"/>
    </row>
    <row r="805">
      <c r="G805" s="15"/>
      <c r="I805" s="14"/>
      <c r="J805" s="15"/>
      <c r="K805" s="15"/>
      <c r="L805" s="105"/>
    </row>
    <row r="806">
      <c r="G806" s="15"/>
      <c r="I806" s="14"/>
      <c r="J806" s="15"/>
      <c r="K806" s="15"/>
      <c r="L806" s="105"/>
    </row>
    <row r="807">
      <c r="G807" s="15"/>
      <c r="I807" s="14"/>
      <c r="J807" s="15"/>
      <c r="K807" s="15"/>
      <c r="L807" s="105"/>
    </row>
    <row r="808">
      <c r="G808" s="15"/>
      <c r="I808" s="14"/>
      <c r="J808" s="15"/>
      <c r="K808" s="15"/>
      <c r="L808" s="105"/>
    </row>
    <row r="809">
      <c r="G809" s="15"/>
      <c r="I809" s="14"/>
      <c r="J809" s="15"/>
      <c r="K809" s="15"/>
      <c r="L809" s="105"/>
    </row>
    <row r="810">
      <c r="G810" s="15"/>
      <c r="I810" s="14"/>
      <c r="J810" s="15"/>
      <c r="K810" s="15"/>
      <c r="L810" s="105"/>
    </row>
    <row r="811">
      <c r="G811" s="15"/>
      <c r="I811" s="14"/>
      <c r="J811" s="15"/>
      <c r="K811" s="15"/>
      <c r="L811" s="105"/>
    </row>
    <row r="812">
      <c r="G812" s="15"/>
      <c r="I812" s="14"/>
      <c r="J812" s="15"/>
      <c r="K812" s="15"/>
      <c r="L812" s="105"/>
    </row>
    <row r="813">
      <c r="G813" s="15"/>
      <c r="I813" s="14"/>
      <c r="J813" s="15"/>
      <c r="K813" s="15"/>
      <c r="L813" s="105"/>
    </row>
    <row r="814">
      <c r="G814" s="15"/>
      <c r="I814" s="14"/>
      <c r="J814" s="15"/>
      <c r="K814" s="15"/>
      <c r="L814" s="105"/>
    </row>
    <row r="815">
      <c r="G815" s="15"/>
      <c r="I815" s="14"/>
      <c r="J815" s="15"/>
      <c r="K815" s="15"/>
      <c r="L815" s="105"/>
    </row>
    <row r="816">
      <c r="G816" s="15"/>
      <c r="I816" s="14"/>
      <c r="J816" s="15"/>
      <c r="K816" s="15"/>
      <c r="L816" s="105"/>
    </row>
    <row r="817">
      <c r="G817" s="15"/>
      <c r="I817" s="14"/>
      <c r="J817" s="15"/>
      <c r="K817" s="15"/>
      <c r="L817" s="105"/>
    </row>
    <row r="818">
      <c r="G818" s="15"/>
      <c r="I818" s="14"/>
      <c r="J818" s="15"/>
      <c r="K818" s="15"/>
      <c r="L818" s="105"/>
    </row>
    <row r="819">
      <c r="G819" s="15"/>
      <c r="I819" s="14"/>
      <c r="J819" s="15"/>
      <c r="K819" s="15"/>
      <c r="L819" s="105"/>
    </row>
    <row r="820">
      <c r="G820" s="15"/>
      <c r="I820" s="14"/>
      <c r="J820" s="15"/>
      <c r="K820" s="15"/>
      <c r="L820" s="105"/>
    </row>
    <row r="821">
      <c r="G821" s="15"/>
      <c r="I821" s="14"/>
      <c r="J821" s="15"/>
      <c r="K821" s="15"/>
      <c r="L821" s="105"/>
    </row>
    <row r="822">
      <c r="G822" s="15"/>
      <c r="I822" s="14"/>
      <c r="J822" s="15"/>
      <c r="K822" s="15"/>
      <c r="L822" s="105"/>
    </row>
    <row r="823">
      <c r="G823" s="15"/>
      <c r="I823" s="14"/>
      <c r="J823" s="15"/>
      <c r="K823" s="15"/>
      <c r="L823" s="105"/>
    </row>
    <row r="824">
      <c r="G824" s="15"/>
      <c r="I824" s="14"/>
      <c r="J824" s="15"/>
      <c r="K824" s="15"/>
      <c r="L824" s="105"/>
    </row>
    <row r="825">
      <c r="G825" s="15"/>
      <c r="I825" s="14"/>
      <c r="J825" s="15"/>
      <c r="K825" s="15"/>
      <c r="L825" s="105"/>
    </row>
    <row r="826">
      <c r="G826" s="15"/>
      <c r="I826" s="14"/>
      <c r="J826" s="15"/>
      <c r="K826" s="15"/>
      <c r="L826" s="105"/>
    </row>
    <row r="827">
      <c r="G827" s="15"/>
      <c r="I827" s="14"/>
      <c r="J827" s="15"/>
      <c r="K827" s="15"/>
      <c r="L827" s="105"/>
    </row>
    <row r="828">
      <c r="G828" s="15"/>
      <c r="I828" s="14"/>
      <c r="J828" s="15"/>
      <c r="K828" s="15"/>
      <c r="L828" s="105"/>
    </row>
    <row r="829">
      <c r="G829" s="15"/>
      <c r="I829" s="14"/>
      <c r="J829" s="15"/>
      <c r="K829" s="15"/>
      <c r="L829" s="105"/>
    </row>
    <row r="830">
      <c r="G830" s="15"/>
      <c r="I830" s="14"/>
      <c r="J830" s="15"/>
      <c r="K830" s="15"/>
      <c r="L830" s="105"/>
    </row>
    <row r="831">
      <c r="G831" s="15"/>
      <c r="I831" s="14"/>
      <c r="J831" s="15"/>
      <c r="K831" s="15"/>
      <c r="L831" s="105"/>
    </row>
    <row r="832">
      <c r="G832" s="15"/>
      <c r="I832" s="14"/>
      <c r="J832" s="15"/>
      <c r="K832" s="15"/>
      <c r="L832" s="105"/>
    </row>
    <row r="833">
      <c r="G833" s="15"/>
      <c r="I833" s="14"/>
      <c r="J833" s="15"/>
      <c r="K833" s="15"/>
      <c r="L833" s="105"/>
    </row>
    <row r="834">
      <c r="G834" s="15"/>
      <c r="I834" s="14"/>
      <c r="J834" s="15"/>
      <c r="K834" s="15"/>
      <c r="L834" s="105"/>
    </row>
    <row r="835">
      <c r="G835" s="15"/>
      <c r="I835" s="14"/>
      <c r="J835" s="15"/>
      <c r="K835" s="15"/>
      <c r="L835" s="105"/>
    </row>
    <row r="836">
      <c r="G836" s="15"/>
      <c r="I836" s="14"/>
      <c r="J836" s="15"/>
      <c r="K836" s="15"/>
      <c r="L836" s="105"/>
    </row>
    <row r="837">
      <c r="G837" s="15"/>
      <c r="I837" s="14"/>
      <c r="J837" s="15"/>
      <c r="K837" s="15"/>
      <c r="L837" s="105"/>
    </row>
    <row r="838">
      <c r="G838" s="15"/>
      <c r="I838" s="14"/>
      <c r="J838" s="15"/>
      <c r="K838" s="15"/>
      <c r="L838" s="105"/>
    </row>
    <row r="839">
      <c r="G839" s="15"/>
      <c r="I839" s="14"/>
      <c r="J839" s="15"/>
      <c r="K839" s="15"/>
      <c r="L839" s="105"/>
    </row>
    <row r="840">
      <c r="G840" s="15"/>
      <c r="I840" s="14"/>
      <c r="J840" s="15"/>
      <c r="K840" s="15"/>
      <c r="L840" s="105"/>
    </row>
    <row r="841">
      <c r="G841" s="15"/>
      <c r="I841" s="14"/>
      <c r="J841" s="15"/>
      <c r="K841" s="15"/>
      <c r="L841" s="105"/>
    </row>
    <row r="842">
      <c r="G842" s="15"/>
      <c r="I842" s="14"/>
      <c r="J842" s="15"/>
      <c r="K842" s="15"/>
      <c r="L842" s="105"/>
    </row>
    <row r="843">
      <c r="G843" s="15"/>
      <c r="I843" s="14"/>
      <c r="J843" s="15"/>
      <c r="K843" s="15"/>
      <c r="L843" s="105"/>
    </row>
    <row r="844">
      <c r="G844" s="15"/>
      <c r="I844" s="14"/>
      <c r="J844" s="15"/>
      <c r="K844" s="15"/>
      <c r="L844" s="105"/>
    </row>
    <row r="845">
      <c r="G845" s="15"/>
      <c r="I845" s="14"/>
      <c r="J845" s="15"/>
      <c r="K845" s="15"/>
      <c r="L845" s="105"/>
    </row>
    <row r="846">
      <c r="G846" s="15"/>
      <c r="I846" s="14"/>
      <c r="J846" s="15"/>
      <c r="K846" s="15"/>
      <c r="L846" s="105"/>
    </row>
    <row r="847">
      <c r="G847" s="15"/>
      <c r="I847" s="14"/>
      <c r="J847" s="15"/>
      <c r="K847" s="15"/>
      <c r="L847" s="105"/>
    </row>
    <row r="848">
      <c r="G848" s="15"/>
      <c r="I848" s="14"/>
      <c r="J848" s="15"/>
      <c r="K848" s="15"/>
      <c r="L848" s="105"/>
    </row>
    <row r="849">
      <c r="G849" s="15"/>
      <c r="I849" s="14"/>
      <c r="J849" s="15"/>
      <c r="K849" s="15"/>
      <c r="L849" s="105"/>
    </row>
    <row r="850">
      <c r="G850" s="15"/>
      <c r="I850" s="14"/>
      <c r="J850" s="15"/>
      <c r="K850" s="15"/>
      <c r="L850" s="105"/>
    </row>
    <row r="851">
      <c r="G851" s="15"/>
      <c r="I851" s="14"/>
      <c r="J851" s="15"/>
      <c r="K851" s="15"/>
      <c r="L851" s="105"/>
    </row>
    <row r="852">
      <c r="G852" s="15"/>
      <c r="I852" s="14"/>
      <c r="J852" s="15"/>
      <c r="K852" s="15"/>
      <c r="L852" s="105"/>
    </row>
    <row r="853">
      <c r="G853" s="15"/>
      <c r="I853" s="14"/>
      <c r="J853" s="15"/>
      <c r="K853" s="15"/>
      <c r="L853" s="105"/>
    </row>
    <row r="854">
      <c r="G854" s="15"/>
      <c r="I854" s="14"/>
      <c r="J854" s="15"/>
      <c r="K854" s="15"/>
      <c r="L854" s="105"/>
    </row>
    <row r="855">
      <c r="G855" s="15"/>
      <c r="I855" s="14"/>
      <c r="J855" s="15"/>
      <c r="K855" s="15"/>
      <c r="L855" s="105"/>
    </row>
    <row r="856">
      <c r="G856" s="15"/>
      <c r="I856" s="14"/>
      <c r="J856" s="15"/>
      <c r="K856" s="15"/>
      <c r="L856" s="105"/>
    </row>
    <row r="857">
      <c r="G857" s="15"/>
      <c r="I857" s="14"/>
      <c r="J857" s="15"/>
      <c r="K857" s="15"/>
      <c r="L857" s="105"/>
    </row>
    <row r="858">
      <c r="G858" s="15"/>
      <c r="I858" s="14"/>
      <c r="J858" s="15"/>
      <c r="K858" s="15"/>
      <c r="L858" s="105"/>
    </row>
    <row r="859">
      <c r="G859" s="15"/>
      <c r="I859" s="14"/>
      <c r="J859" s="15"/>
      <c r="K859" s="15"/>
      <c r="L859" s="105"/>
    </row>
    <row r="860">
      <c r="G860" s="15"/>
      <c r="I860" s="14"/>
      <c r="J860" s="15"/>
      <c r="K860" s="15"/>
      <c r="L860" s="105"/>
    </row>
    <row r="861">
      <c r="G861" s="15"/>
      <c r="I861" s="14"/>
      <c r="J861" s="15"/>
      <c r="K861" s="15"/>
      <c r="L861" s="105"/>
    </row>
    <row r="862">
      <c r="G862" s="15"/>
      <c r="I862" s="14"/>
      <c r="J862" s="15"/>
      <c r="K862" s="15"/>
      <c r="L862" s="105"/>
    </row>
    <row r="863">
      <c r="G863" s="15"/>
      <c r="I863" s="14"/>
      <c r="J863" s="15"/>
      <c r="K863" s="15"/>
      <c r="L863" s="105"/>
    </row>
    <row r="864">
      <c r="G864" s="15"/>
      <c r="I864" s="14"/>
      <c r="J864" s="15"/>
      <c r="K864" s="15"/>
      <c r="L864" s="105"/>
    </row>
    <row r="865">
      <c r="G865" s="15"/>
      <c r="I865" s="14"/>
      <c r="J865" s="15"/>
      <c r="K865" s="15"/>
      <c r="L865" s="105"/>
    </row>
    <row r="866">
      <c r="G866" s="15"/>
      <c r="I866" s="14"/>
      <c r="J866" s="15"/>
      <c r="K866" s="15"/>
      <c r="L866" s="105"/>
    </row>
    <row r="867">
      <c r="G867" s="15"/>
      <c r="I867" s="14"/>
      <c r="J867" s="15"/>
      <c r="K867" s="15"/>
      <c r="L867" s="105"/>
    </row>
    <row r="868">
      <c r="G868" s="15"/>
      <c r="I868" s="14"/>
      <c r="J868" s="15"/>
      <c r="K868" s="15"/>
      <c r="L868" s="105"/>
    </row>
    <row r="869">
      <c r="G869" s="15"/>
      <c r="I869" s="14"/>
      <c r="J869" s="15"/>
      <c r="K869" s="15"/>
      <c r="L869" s="105"/>
    </row>
    <row r="870">
      <c r="G870" s="15"/>
      <c r="I870" s="14"/>
      <c r="J870" s="15"/>
      <c r="K870" s="15"/>
      <c r="L870" s="105"/>
    </row>
    <row r="871">
      <c r="G871" s="15"/>
      <c r="I871" s="14"/>
      <c r="J871" s="15"/>
      <c r="K871" s="15"/>
      <c r="L871" s="105"/>
    </row>
    <row r="872">
      <c r="G872" s="15"/>
      <c r="I872" s="14"/>
      <c r="J872" s="15"/>
      <c r="K872" s="15"/>
      <c r="L872" s="105"/>
    </row>
    <row r="873">
      <c r="G873" s="15"/>
      <c r="I873" s="14"/>
      <c r="J873" s="15"/>
      <c r="K873" s="15"/>
      <c r="L873" s="105"/>
    </row>
    <row r="874">
      <c r="G874" s="15"/>
      <c r="I874" s="14"/>
      <c r="J874" s="15"/>
      <c r="K874" s="15"/>
      <c r="L874" s="105"/>
    </row>
    <row r="875">
      <c r="G875" s="15"/>
      <c r="I875" s="14"/>
      <c r="J875" s="15"/>
      <c r="K875" s="15"/>
      <c r="L875" s="105"/>
    </row>
    <row r="876">
      <c r="G876" s="15"/>
      <c r="I876" s="14"/>
      <c r="J876" s="15"/>
      <c r="K876" s="15"/>
      <c r="L876" s="105"/>
    </row>
    <row r="877">
      <c r="G877" s="15"/>
      <c r="I877" s="14"/>
      <c r="J877" s="15"/>
      <c r="K877" s="15"/>
      <c r="L877" s="105"/>
    </row>
    <row r="878">
      <c r="G878" s="15"/>
      <c r="I878" s="14"/>
      <c r="J878" s="15"/>
      <c r="K878" s="15"/>
      <c r="L878" s="105"/>
    </row>
    <row r="879">
      <c r="G879" s="15"/>
      <c r="I879" s="14"/>
      <c r="J879" s="15"/>
      <c r="K879" s="15"/>
      <c r="L879" s="105"/>
    </row>
    <row r="880">
      <c r="G880" s="15"/>
      <c r="I880" s="14"/>
      <c r="J880" s="15"/>
      <c r="K880" s="15"/>
      <c r="L880" s="105"/>
    </row>
    <row r="881">
      <c r="G881" s="15"/>
      <c r="I881" s="14"/>
      <c r="J881" s="15"/>
      <c r="K881" s="15"/>
      <c r="L881" s="105"/>
    </row>
    <row r="882">
      <c r="G882" s="15"/>
      <c r="I882" s="14"/>
      <c r="J882" s="15"/>
      <c r="K882" s="15"/>
      <c r="L882" s="105"/>
    </row>
    <row r="883">
      <c r="G883" s="15"/>
      <c r="I883" s="14"/>
      <c r="J883" s="15"/>
      <c r="K883" s="15"/>
      <c r="L883" s="105"/>
    </row>
    <row r="884">
      <c r="G884" s="15"/>
      <c r="I884" s="14"/>
      <c r="J884" s="15"/>
      <c r="K884" s="15"/>
      <c r="L884" s="105"/>
    </row>
    <row r="885">
      <c r="G885" s="15"/>
      <c r="I885" s="14"/>
      <c r="J885" s="15"/>
      <c r="K885" s="15"/>
      <c r="L885" s="105"/>
    </row>
    <row r="886">
      <c r="G886" s="15"/>
      <c r="I886" s="14"/>
      <c r="J886" s="15"/>
      <c r="K886" s="15"/>
      <c r="L886" s="105"/>
    </row>
    <row r="887">
      <c r="G887" s="15"/>
      <c r="I887" s="14"/>
      <c r="J887" s="15"/>
      <c r="K887" s="15"/>
      <c r="L887" s="105"/>
    </row>
    <row r="888">
      <c r="G888" s="15"/>
      <c r="I888" s="14"/>
      <c r="J888" s="15"/>
      <c r="K888" s="15"/>
      <c r="L888" s="105"/>
    </row>
  </sheetData>
  <conditionalFormatting sqref="E2:E17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:H17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:I1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:J17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:K888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888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3" width="3.25"/>
    <col customWidth="1" min="4" max="5" width="3.0"/>
    <col customWidth="1" min="6" max="6" width="2.0"/>
    <col customWidth="1" min="7" max="7" width="10.75"/>
    <col customWidth="1" min="8" max="8" width="5.88"/>
    <col customWidth="1" min="9" max="11" width="10.75"/>
    <col customWidth="1" min="12" max="12" width="10.0"/>
    <col customWidth="1" min="13" max="13" width="14.88"/>
    <col customWidth="1" min="14" max="14" width="14.38"/>
  </cols>
  <sheetData>
    <row r="1">
      <c r="A1" s="90" t="s">
        <v>1313</v>
      </c>
      <c r="B1" s="90" t="s">
        <v>1331</v>
      </c>
      <c r="C1" s="90" t="s">
        <v>1332</v>
      </c>
      <c r="D1" s="90" t="s">
        <v>1333</v>
      </c>
      <c r="E1" s="90" t="s">
        <v>1334</v>
      </c>
      <c r="F1" s="90" t="s">
        <v>1315</v>
      </c>
      <c r="G1" s="90" t="s">
        <v>1316</v>
      </c>
      <c r="H1" s="90" t="s">
        <v>1317</v>
      </c>
      <c r="I1" s="91" t="s">
        <v>1318</v>
      </c>
      <c r="J1" s="90" t="s">
        <v>1319</v>
      </c>
      <c r="K1" s="92" t="s">
        <v>1320</v>
      </c>
      <c r="L1" s="93" t="s">
        <v>1321</v>
      </c>
      <c r="M1" s="91" t="s">
        <v>1322</v>
      </c>
      <c r="N1" s="90" t="s">
        <v>1323</v>
      </c>
    </row>
    <row r="2">
      <c r="A2" s="34" t="s">
        <v>1306</v>
      </c>
      <c r="B2" s="94">
        <f>COUNTIF(IFERROR(OFFSET(Teams!$A$1,MATCH($A2,Teams!$A:$A,0),2,11),OFFSET(Teams!$K$1,MATCH($A2,Teams!$K:$K,0),2,11)),"PG")</f>
        <v>0</v>
      </c>
      <c r="C2" s="94">
        <f>COUNTIF(IFERROR(OFFSET(Teams!$A$1,MATCH($A2,Teams!$A:$A,0),2,11),OFFSET(Teams!$K$1,MATCH($A2,Teams!$K:$K,0),2,11)),"SG")</f>
        <v>0</v>
      </c>
      <c r="D2" s="94">
        <f>COUNTIF(IFERROR(OFFSET(Teams!$A$1,MATCH($A2,Teams!$A:$A,0),2,11),OFFSET(Teams!$K$1,MATCH($A2,Teams!$K:$K,0),2,11)),"SF")</f>
        <v>0</v>
      </c>
      <c r="E2" s="94">
        <f>COUNTIF(IFERROR(OFFSET(Teams!$A$1,MATCH($A2,Teams!$A:$A,0),2,11),OFFSET(Teams!$K$1,MATCH($A2,Teams!$K:$K,0),2,11)),"PF")</f>
        <v>0</v>
      </c>
      <c r="F2" s="94">
        <f>COUNTIF(IFERROR(OFFSET(Teams!$A$1,MATCH($A2,Teams!$A:$A,0),2,11),OFFSET(Teams!$K$1,MATCH($A2,Teams!$K:$K,0),2,11)),"C")</f>
        <v>0</v>
      </c>
      <c r="G2" s="98">
        <f t="array" ref="G2">IF(MIN(IF(ISNUMBER(IFERROR(OFFSET(Teams!$A$1,MATCH($A2,Teams!$A:$A,0),6,11),OFFSET(Teams!$K$1,MATCH($A2,Teams!$K:$K,0),6,11))),IFERROR(OFFSET(Teams!$A$1,MATCH($A2,Teams!$A:$A,0),6,11),OFFSET(Teams!$K$1,MATCH($A2,Teams!$K:$K,0),6,11))))&gt;IF(IFERROR(IFERROR(INDEX(Teams!$G:$G,MATCH($A2,Teams!$A:$A,0)+13),INDEX(Teams!$Q:$Q,MATCH($A2,Teams!$K:$K,0)+13)),0)="",0,IFERROR(IFERROR(INDEX(Teams!$G:$G,MATCH($A2,Teams!$A:$A,0)+13),INDEX(Teams!$Q:$Q,MATCH($A2,Teams!$K:$K,0)+13)),0)),AVERAGEIF(IFERROR(OFFSET(Teams!$A$1,MATCH($A2,Teams!$A:$A,0),3,11),OFFSET(Teams!$K$1,MATCH($A2,Teams!$K:$K,0),3,11)),"&lt;&gt;#N/A"),(SUMIF(IFERROR(OFFSET(Teams!$A$1,MATCH($A2,Teams!$A:$A,0),3,11),OFFSET(Teams!$K$1,MATCH($A2,Teams!$K:$K,0),3,11)),"&lt;&gt;#N/A")-MIN(IF(ISNUMBER(IFERROR(OFFSET(Teams!$A$1,MATCH($A2,Teams!$A:$A,0),3,11),OFFSET(Teams!$K$1,MATCH($A2,Teams!$K:$K,0),3,11))),IFERROR(OFFSET(Teams!$A$1,MATCH($A2,Teams!$A:$A,0),3,11),OFFSET(Teams!$K$1,MATCH($A2,Teams!$K:$K,0),3,11))))+IFERROR(INDEX(Teams!$D:$D,MATCH($A2,Teams!$A:$A,0)+13),INDEX(Teams!$N:$N,MATCH($A2,Teams!$K:$K,0)+13)))/11)</f>
        <v>0</v>
      </c>
      <c r="H2" s="96">
        <f t="array" ref="H2">SUM(1/COUNTIF(IFERROR(OFFSET(Teams!$A$1,MATCH($A2,Teams!$A:$A,0),4,11),OFFSET(Teams!$K$1,MATCH($A2,Teams!$K:$K,0),4,11)),IFERROR(OFFSET(Teams!$A$1,MATCH($A2,Teams!$A:$A,0),4,11),OFFSET(Teams!$K$1,MATCH($A2,Teams!$K:$K,0),4,11))))</f>
        <v>1</v>
      </c>
      <c r="I2" s="97">
        <f t="array" ref="I2">IF(MIN(IF(ISNUMBER(IFERROR(OFFSET(Teams!$A$1,MATCH($A2,Teams!$A:$A,0),6,11),OFFSET(Teams!$K$1,MATCH($A2,Teams!$K:$K,0),6,11))),IFERROR(OFFSET(Teams!$A$1,MATCH($A2,Teams!$A:$A,0),6,11),OFFSET(Teams!$K$1,MATCH($A2,Teams!$K:$K,0),6,11))))&gt;IF(IFERROR(IFERROR(INDEX(Teams!$G:$G,MATCH($A2,Teams!$A:$A,0)+13),INDEX(Teams!$Q:$Q,MATCH($A2,Teams!$K:$K,0)+13)),0)="",0,IFERROR(IFERROR(INDEX(Teams!$G:$G,MATCH($A2,Teams!$A:$A,0)+13),INDEX(Teams!$Q:$Q,MATCH($A2,Teams!$K:$K,0)+13)),0)),AVERAGEIF(IFERROR(OFFSET(Teams!$A$1,MATCH($A2,Teams!$A:$A,0),5,11),OFFSET(Teams!$K$1,MATCH($A2,Teams!$K:$K,0),5,11)),"&lt;&gt;#N/A"),(SUMIF(IFERROR(OFFSET(Teams!$A$1,MATCH($A2,Teams!$A:$A,0),5,11),OFFSET(Teams!$K$1,MATCH($A2,Teams!$K:$K,0),5,11)),"&lt;&gt;#N/A")-MIN(IF(ISNUMBER(IFERROR(OFFSET(Teams!$A$1,MATCH($A2,Teams!$A:$A,0),5,11),OFFSET(Teams!$K$1,MATCH($A2,Teams!$K:$K,0),5,11))),IFERROR(OFFSET(Teams!$A$1,MATCH($A2,Teams!$A:$A,0),5,11),OFFSET(Teams!$K$1,MATCH($A2,Teams!$K:$K,0),5,11))))+IFERROR(INDEX(Teams!$F:$F,MATCH($A2,Teams!$A:$A,0)+13),INDEX(Teams!$P:$P,MATCH($A2,Teams!$K:$K,0)+13)))/11)</f>
        <v>0</v>
      </c>
      <c r="J2" s="98">
        <f t="array" ref="J2">IF(MIN(IF(ISNUMBER(IFERROR(OFFSET(Teams!$A$1,MATCH($A2,Teams!$A:$A,0),6,11),OFFSET(Teams!$K$1,MATCH($A2,Teams!$K:$K,0),6,11))),IFERROR(OFFSET(Teams!$A$1,MATCH($A2,Teams!$A:$A,0),6,11),OFFSET(Teams!$K$1,MATCH($A2,Teams!$K:$K,0),6,11))))&gt;IF(IFERROR(IFERROR(INDEX(Teams!$G:$G,MATCH($A2,Teams!$A:$A,0)+13),INDEX(Teams!$Q:$Q,MATCH($A2,Teams!$K:$K,0)+13)),0)="",0,IFERROR(IFERROR(INDEX(Teams!$G:$G,MATCH($A2,Teams!$A:$A,0)+13),INDEX(Teams!$Q:$Q,MATCH($A2,Teams!$K:$K,0)+13)),0)),AVERAGEIF(IFERROR(OFFSET(Teams!$A$1,MATCH($A2,Teams!$A:$A,0),6,11),OFFSET(Teams!$K$1,MATCH($A2,Teams!$K:$K,0),6,11)),"&lt;&gt;#N/A"),(SUMIF(IFERROR(OFFSET(Teams!$A$1,MATCH($A2,Teams!$A:$A,0),6,11),OFFSET(Teams!$K$1,MATCH($A2,Teams!$K:$K,0),6,11)),"&lt;&gt;#N/A")-MIN(IF(ISNUMBER(IFERROR(OFFSET(Teams!$A$1,MATCH($A2,Teams!$A:$A,0),6,11),OFFSET(Teams!$K$1,MATCH($A2,Teams!$K:$K,0),6,11))),IFERROR(OFFSET(Teams!$A$1,MATCH($A2,Teams!$A:$A,0),6,11),OFFSET(Teams!$K$1,MATCH($A2,Teams!$K:$K,0),6,11))))+IFERROR(INDEX(Teams!$G:$G,MATCH($A2,Teams!$A:$A,0)+13),INDEX(Teams!$Q:$Q,MATCH($A2,Teams!$K:$K,0)+13)))/11)</f>
        <v>0</v>
      </c>
      <c r="K2" s="99">
        <f t="array" ref="K2">IF(MIN(IF(ISNUMBER(IFERROR(OFFSET(Teams!$A$1,MATCH($A2,Teams!$A:$A,0),6,11),OFFSET(Teams!$K$1,MATCH($A2,Teams!$K:$K,0),6,11))),IFERROR(OFFSET(Teams!$A$1,MATCH($A2,Teams!$A:$A,0),6,11),OFFSET(Teams!$K$1,MATCH($A2,Teams!$K:$K,0),6,11))))&gt;IF(IFERROR(IFERROR(INDEX(Teams!$G:$G,MATCH($A2,Teams!$A:$A,0)+13),INDEX(Teams!$Q:$Q,MATCH($A2,Teams!$K:$K,0)+13)),0)="",0,IFERROR(IFERROR(INDEX(Teams!$G:$G,MATCH($A2,Teams!$A:$A,0)+13),INDEX(Teams!$Q:$Q,MATCH($A2,Teams!$K:$K,0)+13)),0)),AVERAGEIF(IFERROR(OFFSET(Teams!$A$1,MATCH($A2,Teams!$A:$A,0),7,11),OFFSET(Teams!$K$1,MATCH($A2,Teams!$K:$K,0),7,11)),"&lt;&gt;#N/A"),(SUMIF(IFERROR(OFFSET(Teams!$A$1,MATCH($A2,Teams!$A:$A,0),7,11),OFFSET(Teams!$K$1,MATCH($A2,Teams!$K:$K,0),7,11)),"&lt;&gt;#N/A")-MIN(IF(ISNUMBER(IFERROR(OFFSET(Teams!$A$1,MATCH($A2,Teams!$A:$A,0),7,11),OFFSET(Teams!$K$1,MATCH($A2,Teams!$K:$K,0),7,11))),IFERROR(OFFSET(Teams!$A$1,MATCH($A2,Teams!$A:$A,0),7,11),OFFSET(Teams!$K$1,MATCH($A2,Teams!$K:$K,0),7,11))))+IFERROR(INDEX(Teams!$H:$H,MATCH($A2,Teams!$A:$A,0)+13),INDEX(Teams!$R:$R,MATCH($A2,Teams!$K:$K,0)+13)))/11)</f>
        <v>0</v>
      </c>
      <c r="L2" s="97" t="str">
        <f t="shared" ref="L2:L17" si="1">((1-_xlfn.PERCENTRANK.INC($G$2:$G$17,$G2,2))*1.25+_xlfn.PERCENTRANK.INC($I$2:$I$17,$I2,2)*2+_xlfn.PERCENTRANK.INC($J$2:$J$17,$J2,2)*3.75+_xlfn.PERCENTRANK.INC($K$2:$K$17,$K2,2)*1.25)*100</f>
        <v>#N/A</v>
      </c>
      <c r="M2" s="31">
        <f>IFERROR(__xludf.DUMMYFUNCTION("(AVERAGE(FILTER(IFERROR(OFFSET(Teams!$A$1,MATCH($A2,Teams!$A:$A,0),8,13),OFFSET(Teams!$K$1,MATCH($A2,Teams!$K:$K,0),8,13)),IFERROR(OFFSET(Teams!$A$1,MATCH($A2,Teams!$A:$A,0),8,13),OFFSET(Teams!$K$1,MATCH($A2,Teams!$K:$K,0),8,13))&lt;&gt;""#N/A"",IFERROR(OFFSET("&amp;"Teams!$A$1,MATCH($A2,Teams!$A:$A,0),8,13),OFFSET(Teams!$K$1,MATCH($A2,Teams!$K:$K,0),8,13))&gt;=LARGE(FILTER(IFERROR(OFFSET(Teams!$A$1,MATCH($A2,Teams!$A:$A,0),8,13),OFFSET(Teams!$K$1,MATCH($A2,Teams!$K:$K,0),8,13)),IFERROR(OFFSET(Teams!$A$1,MATCH($A2,Teams!"&amp;"$A:$A,0),8,13),OFFSET(Teams!$K$1,MATCH($A2,Teams!$K:$K,0),8,13))&lt;&gt;""#N/A""),5)))*3+AVERAGE(FILTER(IFERROR(OFFSET(Teams!$A$1,MATCH($A2,Teams!$A:$A,0),8,13),OFFSET(Teams!$K$1,MATCH($A2,Teams!$K:$K,0),8,13)),IFERROR(OFFSET(Teams!$A$1,MATCH($A2,Teams!$A:$A,0)"&amp;",8,13),OFFSET(Teams!$K$1,MATCH($A2,Teams!$K:$K,0),8,13))&lt;&gt;""#N/A"",IFERROR(OFFSET(Teams!$A$1,MATCH($A2,Teams!$A:$A,0),8,13),OFFSET(Teams!$K$1,MATCH($A2,Teams!$K:$K,0),8,13))&gt;=LARGE(FILTER(IFERROR(OFFSET(Teams!$A$1,MATCH($A2,Teams!$A:$A,0),8,13),OFFSET(Tea"&amp;"ms!$K$1,MATCH($A2,Teams!$K:$K,0),8,13)),IFERROR(OFFSET(Teams!$A$1,MATCH($A2,Teams!$A:$A,0),8,13),OFFSET(Teams!$K$1,MATCH($A2,Teams!$K:$K,0),8,13))&lt;&gt;""#N/A""),7)))+AVERAGE(FILTER(IFERROR(OFFSET(Teams!$A$1,MATCH($A2,Teams!$A:$A,0),8,13),OFFSET(Teams!$K$1,MA"&amp;"TCH($A2,Teams!$K:$K,0),8,13)),IFERROR(OFFSET(Teams!$A$1,MATCH($A2,Teams!$A:$A,0),8,13),OFFSET(Teams!$K$1,MATCH($A2,Teams!$K:$K,0),8,13))&lt;&gt;""#N/A"",IFERROR(OFFSET(Teams!$A$1,MATCH($A2,Teams!$A:$A,0),8,13),OFFSET(Teams!$K$1,MATCH($A2,Teams!$K:$K,0),8,13))&gt;="&amp;"LARGE(FILTER(IFERROR(OFFSET(Teams!$A$1,MATCH($A2,Teams!$A:$A,0),8,13),OFFSET(Teams!$K$1,MATCH($A2,Teams!$K:$K,0),8,13)),IFERROR(OFFSET(Teams!$A$1,MATCH($A2,Teams!$A:$A,0),8,13),OFFSET(Teams!$K$1,MATCH($A2,Teams!$K:$K,0),8,13))&lt;&gt;""#N/A""),11))))/5"),0.0)</f>
        <v>0</v>
      </c>
      <c r="N2" s="100" t="str">
        <f t="shared" ref="N2:N17" si="2">RANK(M2,$M$2:$M$17)</f>
        <v>#N/A</v>
      </c>
      <c r="O2" s="11"/>
      <c r="P2" s="11"/>
      <c r="Q2" s="11"/>
    </row>
    <row r="3">
      <c r="A3" s="34" t="s">
        <v>1337</v>
      </c>
      <c r="B3" s="94">
        <f>COUNTIF(IFERROR(OFFSET(Teams!$A$1,MATCH($A3,Teams!$A:$A,0),2,11),OFFSET(Teams!$K$1,MATCH($A3,Teams!$K:$K,0),2,11)),"PG")</f>
        <v>0</v>
      </c>
      <c r="C3" s="94">
        <f>COUNTIF(IFERROR(OFFSET(Teams!$A$1,MATCH($A3,Teams!$A:$A,0),2,11),OFFSET(Teams!$K$1,MATCH($A3,Teams!$K:$K,0),2,11)),"SG")</f>
        <v>0</v>
      </c>
      <c r="D3" s="94">
        <f>COUNTIF(IFERROR(OFFSET(Teams!$A$1,MATCH($A3,Teams!$A:$A,0),2,11),OFFSET(Teams!$K$1,MATCH($A3,Teams!$K:$K,0),2,11)),"SF")</f>
        <v>0</v>
      </c>
      <c r="E3" s="94">
        <f>COUNTIF(IFERROR(OFFSET(Teams!$A$1,MATCH($A3,Teams!$A:$A,0),2,11),OFFSET(Teams!$K$1,MATCH($A3,Teams!$K:$K,0),2,11)),"PF")</f>
        <v>0</v>
      </c>
      <c r="F3" s="94">
        <f>COUNTIF(IFERROR(OFFSET(Teams!$A$1,MATCH($A3,Teams!$A:$A,0),2,11),OFFSET(Teams!$K$1,MATCH($A3,Teams!$K:$K,0),2,11)),"C")</f>
        <v>0</v>
      </c>
      <c r="G3" s="98" t="str">
        <f t="array" ref="G3">IF(MIN(IF(ISNUMBER(IFERROR(OFFSET(Teams!$A$1,MATCH($A3,Teams!$A:$A,0),6,11),OFFSET(Teams!$K$1,MATCH($A3,Teams!$K:$K,0),6,11))),IFERROR(OFFSET(Teams!$A$1,MATCH($A3,Teams!$A:$A,0),6,11),OFFSET(Teams!$K$1,MATCH($A3,Teams!$K:$K,0),6,11))))&gt;IF(IFERROR(IFERROR(INDEX(Teams!$G:$G,MATCH($A3,Teams!$A:$A,0)+13),INDEX(Teams!$Q:$Q,MATCH($A3,Teams!$K:$K,0)+13)),0)="",0,IFERROR(IFERROR(INDEX(Teams!$G:$G,MATCH($A3,Teams!$A:$A,0)+13),INDEX(Teams!$Q:$Q,MATCH($A3,Teams!$K:$K,0)+13)),0)),AVERAGEIF(IFERROR(OFFSET(Teams!$A$1,MATCH($A3,Teams!$A:$A,0),3,11),OFFSET(Teams!$K$1,MATCH($A3,Teams!$K:$K,0),3,11)),"&lt;&gt;#N/A"),(SUMIF(IFERROR(OFFSET(Teams!$A$1,MATCH($A3,Teams!$A:$A,0),3,11),OFFSET(Teams!$K$1,MATCH($A3,Teams!$K:$K,0),3,11)),"&lt;&gt;#N/A")-MIN(IF(ISNUMBER(IFERROR(OFFSET(Teams!$A$1,MATCH($A3,Teams!$A:$A,0),3,11),OFFSET(Teams!$K$1,MATCH($A3,Teams!$K:$K,0),3,11))),IFERROR(OFFSET(Teams!$A$1,MATCH($A3,Teams!$A:$A,0),3,11),OFFSET(Teams!$K$1,MATCH($A3,Teams!$K:$K,0),3,11))))+IFERROR(INDEX(Teams!$D:$D,MATCH($A3,Teams!$A:$A,0)+13),INDEX(Teams!$N:$N,MATCH($A3,Teams!$K:$K,0)+13)))/11)</f>
        <v>#N/A</v>
      </c>
      <c r="H3" s="96">
        <f t="array" ref="H3">SUM(1/COUNTIF(IFERROR(OFFSET(Teams!$A$1,MATCH($A3,Teams!$A:$A,0),4,11),OFFSET(Teams!$K$1,MATCH($A3,Teams!$K:$K,0),4,11)),IFERROR(OFFSET(Teams!$A$1,MATCH($A3,Teams!$A:$A,0),4,11),OFFSET(Teams!$K$1,MATCH($A3,Teams!$K:$K,0),4,11))))</f>
        <v>1</v>
      </c>
      <c r="I3" s="97" t="str">
        <f t="array" ref="I3">IF(MIN(IF(ISNUMBER(IFERROR(OFFSET(Teams!$A$1,MATCH($A3,Teams!$A:$A,0),6,11),OFFSET(Teams!$K$1,MATCH($A3,Teams!$K:$K,0),6,11))),IFERROR(OFFSET(Teams!$A$1,MATCH($A3,Teams!$A:$A,0),6,11),OFFSET(Teams!$K$1,MATCH($A3,Teams!$K:$K,0),6,11))))&gt;IF(IFERROR(IFERROR(INDEX(Teams!$G:$G,MATCH($A3,Teams!$A:$A,0)+13),INDEX(Teams!$Q:$Q,MATCH($A3,Teams!$K:$K,0)+13)),0)="",0,IFERROR(IFERROR(INDEX(Teams!$G:$G,MATCH($A3,Teams!$A:$A,0)+13),INDEX(Teams!$Q:$Q,MATCH($A3,Teams!$K:$K,0)+13)),0)),AVERAGEIF(IFERROR(OFFSET(Teams!$A$1,MATCH($A3,Teams!$A:$A,0),5,11),OFFSET(Teams!$K$1,MATCH($A3,Teams!$K:$K,0),5,11)),"&lt;&gt;#N/A"),(SUMIF(IFERROR(OFFSET(Teams!$A$1,MATCH($A3,Teams!$A:$A,0),5,11),OFFSET(Teams!$K$1,MATCH($A3,Teams!$K:$K,0),5,11)),"&lt;&gt;#N/A")-MIN(IF(ISNUMBER(IFERROR(OFFSET(Teams!$A$1,MATCH($A3,Teams!$A:$A,0),5,11),OFFSET(Teams!$K$1,MATCH($A3,Teams!$K:$K,0),5,11))),IFERROR(OFFSET(Teams!$A$1,MATCH($A3,Teams!$A:$A,0),5,11),OFFSET(Teams!$K$1,MATCH($A3,Teams!$K:$K,0),5,11))))+IFERROR(INDEX(Teams!$F:$F,MATCH($A3,Teams!$A:$A,0)+13),INDEX(Teams!$P:$P,MATCH($A3,Teams!$K:$K,0)+13)))/11)</f>
        <v>#N/A</v>
      </c>
      <c r="J3" s="98" t="str">
        <f t="array" ref="J3">IF(MIN(IF(ISNUMBER(IFERROR(OFFSET(Teams!$A$1,MATCH($A3,Teams!$A:$A,0),6,11),OFFSET(Teams!$K$1,MATCH($A3,Teams!$K:$K,0),6,11))),IFERROR(OFFSET(Teams!$A$1,MATCH($A3,Teams!$A:$A,0),6,11),OFFSET(Teams!$K$1,MATCH($A3,Teams!$K:$K,0),6,11))))&gt;IF(IFERROR(IFERROR(INDEX(Teams!$G:$G,MATCH($A3,Teams!$A:$A,0)+13),INDEX(Teams!$Q:$Q,MATCH($A3,Teams!$K:$K,0)+13)),0)="",0,IFERROR(IFERROR(INDEX(Teams!$G:$G,MATCH($A3,Teams!$A:$A,0)+13),INDEX(Teams!$Q:$Q,MATCH($A3,Teams!$K:$K,0)+13)),0)),AVERAGEIF(IFERROR(OFFSET(Teams!$A$1,MATCH($A3,Teams!$A:$A,0),6,11),OFFSET(Teams!$K$1,MATCH($A3,Teams!$K:$K,0),6,11)),"&lt;&gt;#N/A"),(SUMIF(IFERROR(OFFSET(Teams!$A$1,MATCH($A3,Teams!$A:$A,0),6,11),OFFSET(Teams!$K$1,MATCH($A3,Teams!$K:$K,0),6,11)),"&lt;&gt;#N/A")-MIN(IF(ISNUMBER(IFERROR(OFFSET(Teams!$A$1,MATCH($A3,Teams!$A:$A,0),6,11),OFFSET(Teams!$K$1,MATCH($A3,Teams!$K:$K,0),6,11))),IFERROR(OFFSET(Teams!$A$1,MATCH($A3,Teams!$A:$A,0),6,11),OFFSET(Teams!$K$1,MATCH($A3,Teams!$K:$K,0),6,11))))+IFERROR(INDEX(Teams!$G:$G,MATCH($A3,Teams!$A:$A,0)+13),INDEX(Teams!$Q:$Q,MATCH($A3,Teams!$K:$K,0)+13)))/11)</f>
        <v>#N/A</v>
      </c>
      <c r="K3" s="99" t="str">
        <f t="array" ref="K3">IF(MIN(IF(ISNUMBER(IFERROR(OFFSET(Teams!$A$1,MATCH($A3,Teams!$A:$A,0),6,11),OFFSET(Teams!$K$1,MATCH($A3,Teams!$K:$K,0),6,11))),IFERROR(OFFSET(Teams!$A$1,MATCH($A3,Teams!$A:$A,0),6,11),OFFSET(Teams!$K$1,MATCH($A3,Teams!$K:$K,0),6,11))))&gt;IF(IFERROR(IFERROR(INDEX(Teams!$G:$G,MATCH($A3,Teams!$A:$A,0)+13),INDEX(Teams!$Q:$Q,MATCH($A3,Teams!$K:$K,0)+13)),0)="",0,IFERROR(IFERROR(INDEX(Teams!$G:$G,MATCH($A3,Teams!$A:$A,0)+13),INDEX(Teams!$Q:$Q,MATCH($A3,Teams!$K:$K,0)+13)),0)),AVERAGEIF(IFERROR(OFFSET(Teams!$A$1,MATCH($A3,Teams!$A:$A,0),7,11),OFFSET(Teams!$K$1,MATCH($A3,Teams!$K:$K,0),7,11)),"&lt;&gt;#N/A"),(SUMIF(IFERROR(OFFSET(Teams!$A$1,MATCH($A3,Teams!$A:$A,0),7,11),OFFSET(Teams!$K$1,MATCH($A3,Teams!$K:$K,0),7,11)),"&lt;&gt;#N/A")-MIN(IF(ISNUMBER(IFERROR(OFFSET(Teams!$A$1,MATCH($A3,Teams!$A:$A,0),7,11),OFFSET(Teams!$K$1,MATCH($A3,Teams!$K:$K,0),7,11))),IFERROR(OFFSET(Teams!$A$1,MATCH($A3,Teams!$A:$A,0),7,11),OFFSET(Teams!$K$1,MATCH($A3,Teams!$K:$K,0),7,11))))+IFERROR(INDEX(Teams!$H:$H,MATCH($A3,Teams!$A:$A,0)+13),INDEX(Teams!$R:$R,MATCH($A3,Teams!$K:$K,0)+13)))/11)</f>
        <v>#N/A</v>
      </c>
      <c r="L3" s="97" t="str">
        <f t="shared" si="1"/>
        <v>#N/A</v>
      </c>
      <c r="M3" s="31" t="str">
        <f>IFERROR(__xludf.DUMMYFUNCTION("(AVERAGE(FILTER(IFERROR(OFFSET(Teams!$A$1,MATCH($A3,Teams!$A:$A,0),8,13),OFFSET(Teams!$K$1,MATCH($A3,Teams!$K:$K,0),8,13)),IFERROR(OFFSET(Teams!$A$1,MATCH($A3,Teams!$A:$A,0),8,13),OFFSET(Teams!$K$1,MATCH($A3,Teams!$K:$K,0),8,13))&lt;&gt;""#N/A"",IFERROR(OFFSET("&amp;"Teams!$A$1,MATCH($A3,Teams!$A:$A,0),8,13),OFFSET(Teams!$K$1,MATCH($A3,Teams!$K:$K,0),8,13))&gt;=LARGE(FILTER(IFERROR(OFFSET(Teams!$A$1,MATCH($A3,Teams!$A:$A,0),8,13),OFFSET(Teams!$K$1,MATCH($A3,Teams!$K:$K,0),8,13)),IFERROR(OFFSET(Teams!$A$1,MATCH($A3,Teams!"&amp;"$A:$A,0),8,13),OFFSET(Teams!$K$1,MATCH($A3,Teams!$K:$K,0),8,13))&lt;&gt;""#N/A""),5)))*3+AVERAGE(FILTER(IFERROR(OFFSET(Teams!$A$1,MATCH($A3,Teams!$A:$A,0),8,13),OFFSET(Teams!$K$1,MATCH($A3,Teams!$K:$K,0),8,13)),IFERROR(OFFSET(Teams!$A$1,MATCH($A3,Teams!$A:$A,0)"&amp;",8,13),OFFSET(Teams!$K$1,MATCH($A3,Teams!$K:$K,0),8,13))&lt;&gt;""#N/A"",IFERROR(OFFSET(Teams!$A$1,MATCH($A3,Teams!$A:$A,0),8,13),OFFSET(Teams!$K$1,MATCH($A3,Teams!$K:$K,0),8,13))&gt;=LARGE(FILTER(IFERROR(OFFSET(Teams!$A$1,MATCH($A3,Teams!$A:$A,0),8,13),OFFSET(Tea"&amp;"ms!$K$1,MATCH($A3,Teams!$K:$K,0),8,13)),IFERROR(OFFSET(Teams!$A$1,MATCH($A3,Teams!$A:$A,0),8,13),OFFSET(Teams!$K$1,MATCH($A3,Teams!$K:$K,0),8,13))&lt;&gt;""#N/A""),7)))+AVERAGE(FILTER(IFERROR(OFFSET(Teams!$A$1,MATCH($A3,Teams!$A:$A,0),8,13),OFFSET(Teams!$K$1,MA"&amp;"TCH($A3,Teams!$K:$K,0),8,13)),IFERROR(OFFSET(Teams!$A$1,MATCH($A3,Teams!$A:$A,0),8,13),OFFSET(Teams!$K$1,MATCH($A3,Teams!$K:$K,0),8,13))&lt;&gt;""#N/A"",IFERROR(OFFSET(Teams!$A$1,MATCH($A3,Teams!$A:$A,0),8,13),OFFSET(Teams!$K$1,MATCH($A3,Teams!$K:$K,0),8,13))&gt;="&amp;"LARGE(FILTER(IFERROR(OFFSET(Teams!$A$1,MATCH($A3,Teams!$A:$A,0),8,13),OFFSET(Teams!$K$1,MATCH($A3,Teams!$K:$K,0),8,13)),IFERROR(OFFSET(Teams!$A$1,MATCH($A3,Teams!$A:$A,0),8,13),OFFSET(Teams!$K$1,MATCH($A3,Teams!$K:$K,0),8,13))&lt;&gt;""#N/A""),11))))/5"),"#N/A")</f>
        <v>#N/A</v>
      </c>
      <c r="N3" s="100" t="str">
        <f t="shared" si="2"/>
        <v>#N/A</v>
      </c>
      <c r="O3" s="11"/>
    </row>
    <row r="4">
      <c r="A4" s="34" t="s">
        <v>1340</v>
      </c>
      <c r="B4" s="94">
        <f>COUNTIF(IFERROR(OFFSET(Teams!$A$1,MATCH($A4,Teams!$A:$A,0),2,11),OFFSET(Teams!$K$1,MATCH($A4,Teams!$K:$K,0),2,11)),"PG")</f>
        <v>0</v>
      </c>
      <c r="C4" s="94">
        <f>COUNTIF(IFERROR(OFFSET(Teams!$A$1,MATCH($A4,Teams!$A:$A,0),2,11),OFFSET(Teams!$K$1,MATCH($A4,Teams!$K:$K,0),2,11)),"SG")</f>
        <v>0</v>
      </c>
      <c r="D4" s="94">
        <f>COUNTIF(IFERROR(OFFSET(Teams!$A$1,MATCH($A4,Teams!$A:$A,0),2,11),OFFSET(Teams!$K$1,MATCH($A4,Teams!$K:$K,0),2,11)),"SF")</f>
        <v>0</v>
      </c>
      <c r="E4" s="94">
        <f>COUNTIF(IFERROR(OFFSET(Teams!$A$1,MATCH($A4,Teams!$A:$A,0),2,11),OFFSET(Teams!$K$1,MATCH($A4,Teams!$K:$K,0),2,11)),"PF")</f>
        <v>0</v>
      </c>
      <c r="F4" s="94">
        <f>COUNTIF(IFERROR(OFFSET(Teams!$A$1,MATCH($A4,Teams!$A:$A,0),2,11),OFFSET(Teams!$K$1,MATCH($A4,Teams!$K:$K,0),2,11)),"C")</f>
        <v>0</v>
      </c>
      <c r="G4" s="98" t="str">
        <f t="array" ref="G4">IF(MIN(IF(ISNUMBER(IFERROR(OFFSET(Teams!$A$1,MATCH($A4,Teams!$A:$A,0),6,11),OFFSET(Teams!$K$1,MATCH($A4,Teams!$K:$K,0),6,11))),IFERROR(OFFSET(Teams!$A$1,MATCH($A4,Teams!$A:$A,0),6,11),OFFSET(Teams!$K$1,MATCH($A4,Teams!$K:$K,0),6,11))))&gt;IF(IFERROR(IFERROR(INDEX(Teams!$G:$G,MATCH($A4,Teams!$A:$A,0)+13),INDEX(Teams!$Q:$Q,MATCH($A4,Teams!$K:$K,0)+13)),0)="",0,IFERROR(IFERROR(INDEX(Teams!$G:$G,MATCH($A4,Teams!$A:$A,0)+13),INDEX(Teams!$Q:$Q,MATCH($A4,Teams!$K:$K,0)+13)),0)),AVERAGEIF(IFERROR(OFFSET(Teams!$A$1,MATCH($A4,Teams!$A:$A,0),3,11),OFFSET(Teams!$K$1,MATCH($A4,Teams!$K:$K,0),3,11)),"&lt;&gt;#N/A"),(SUMIF(IFERROR(OFFSET(Teams!$A$1,MATCH($A4,Teams!$A:$A,0),3,11),OFFSET(Teams!$K$1,MATCH($A4,Teams!$K:$K,0),3,11)),"&lt;&gt;#N/A")-MIN(IF(ISNUMBER(IFERROR(OFFSET(Teams!$A$1,MATCH($A4,Teams!$A:$A,0),3,11),OFFSET(Teams!$K$1,MATCH($A4,Teams!$K:$K,0),3,11))),IFERROR(OFFSET(Teams!$A$1,MATCH($A4,Teams!$A:$A,0),3,11),OFFSET(Teams!$K$1,MATCH($A4,Teams!$K:$K,0),3,11))))+IFERROR(INDEX(Teams!$D:$D,MATCH($A4,Teams!$A:$A,0)+13),INDEX(Teams!$N:$N,MATCH($A4,Teams!$K:$K,0)+13)))/11)</f>
        <v>#N/A</v>
      </c>
      <c r="H4" s="96">
        <f t="array" ref="H4">SUM(1/COUNTIF(IFERROR(OFFSET(Teams!$A$1,MATCH($A4,Teams!$A:$A,0),4,11),OFFSET(Teams!$K$1,MATCH($A4,Teams!$K:$K,0),4,11)),IFERROR(OFFSET(Teams!$A$1,MATCH($A4,Teams!$A:$A,0),4,11),OFFSET(Teams!$K$1,MATCH($A4,Teams!$K:$K,0),4,11))))</f>
        <v>1</v>
      </c>
      <c r="I4" s="97" t="str">
        <f t="array" ref="I4">IF(MIN(IF(ISNUMBER(IFERROR(OFFSET(Teams!$A$1,MATCH($A4,Teams!$A:$A,0),6,11),OFFSET(Teams!$K$1,MATCH($A4,Teams!$K:$K,0),6,11))),IFERROR(OFFSET(Teams!$A$1,MATCH($A4,Teams!$A:$A,0),6,11),OFFSET(Teams!$K$1,MATCH($A4,Teams!$K:$K,0),6,11))))&gt;IF(IFERROR(IFERROR(INDEX(Teams!$G:$G,MATCH($A4,Teams!$A:$A,0)+13),INDEX(Teams!$Q:$Q,MATCH($A4,Teams!$K:$K,0)+13)),0)="",0,IFERROR(IFERROR(INDEX(Teams!$G:$G,MATCH($A4,Teams!$A:$A,0)+13),INDEX(Teams!$Q:$Q,MATCH($A4,Teams!$K:$K,0)+13)),0)),AVERAGEIF(IFERROR(OFFSET(Teams!$A$1,MATCH($A4,Teams!$A:$A,0),5,11),OFFSET(Teams!$K$1,MATCH($A4,Teams!$K:$K,0),5,11)),"&lt;&gt;#N/A"),(SUMIF(IFERROR(OFFSET(Teams!$A$1,MATCH($A4,Teams!$A:$A,0),5,11),OFFSET(Teams!$K$1,MATCH($A4,Teams!$K:$K,0),5,11)),"&lt;&gt;#N/A")-MIN(IF(ISNUMBER(IFERROR(OFFSET(Teams!$A$1,MATCH($A4,Teams!$A:$A,0),5,11),OFFSET(Teams!$K$1,MATCH($A4,Teams!$K:$K,0),5,11))),IFERROR(OFFSET(Teams!$A$1,MATCH($A4,Teams!$A:$A,0),5,11),OFFSET(Teams!$K$1,MATCH($A4,Teams!$K:$K,0),5,11))))+IFERROR(INDEX(Teams!$F:$F,MATCH($A4,Teams!$A:$A,0)+13),INDEX(Teams!$P:$P,MATCH($A4,Teams!$K:$K,0)+13)))/11)</f>
        <v>#N/A</v>
      </c>
      <c r="J4" s="98" t="str">
        <f t="array" ref="J4">IF(MIN(IF(ISNUMBER(IFERROR(OFFSET(Teams!$A$1,MATCH($A4,Teams!$A:$A,0),6,11),OFFSET(Teams!$K$1,MATCH($A4,Teams!$K:$K,0),6,11))),IFERROR(OFFSET(Teams!$A$1,MATCH($A4,Teams!$A:$A,0),6,11),OFFSET(Teams!$K$1,MATCH($A4,Teams!$K:$K,0),6,11))))&gt;IF(IFERROR(IFERROR(INDEX(Teams!$G:$G,MATCH($A4,Teams!$A:$A,0)+13),INDEX(Teams!$Q:$Q,MATCH($A4,Teams!$K:$K,0)+13)),0)="",0,IFERROR(IFERROR(INDEX(Teams!$G:$G,MATCH($A4,Teams!$A:$A,0)+13),INDEX(Teams!$Q:$Q,MATCH($A4,Teams!$K:$K,0)+13)),0)),AVERAGEIF(IFERROR(OFFSET(Teams!$A$1,MATCH($A4,Teams!$A:$A,0),6,11),OFFSET(Teams!$K$1,MATCH($A4,Teams!$K:$K,0),6,11)),"&lt;&gt;#N/A"),(SUMIF(IFERROR(OFFSET(Teams!$A$1,MATCH($A4,Teams!$A:$A,0),6,11),OFFSET(Teams!$K$1,MATCH($A4,Teams!$K:$K,0),6,11)),"&lt;&gt;#N/A")-MIN(IF(ISNUMBER(IFERROR(OFFSET(Teams!$A$1,MATCH($A4,Teams!$A:$A,0),6,11),OFFSET(Teams!$K$1,MATCH($A4,Teams!$K:$K,0),6,11))),IFERROR(OFFSET(Teams!$A$1,MATCH($A4,Teams!$A:$A,0),6,11),OFFSET(Teams!$K$1,MATCH($A4,Teams!$K:$K,0),6,11))))+IFERROR(INDEX(Teams!$G:$G,MATCH($A4,Teams!$A:$A,0)+13),INDEX(Teams!$Q:$Q,MATCH($A4,Teams!$K:$K,0)+13)))/11)</f>
        <v>#N/A</v>
      </c>
      <c r="K4" s="99" t="str">
        <f t="array" ref="K4">IF(MIN(IF(ISNUMBER(IFERROR(OFFSET(Teams!$A$1,MATCH($A4,Teams!$A:$A,0),6,11),OFFSET(Teams!$K$1,MATCH($A4,Teams!$K:$K,0),6,11))),IFERROR(OFFSET(Teams!$A$1,MATCH($A4,Teams!$A:$A,0),6,11),OFFSET(Teams!$K$1,MATCH($A4,Teams!$K:$K,0),6,11))))&gt;IF(IFERROR(IFERROR(INDEX(Teams!$G:$G,MATCH($A4,Teams!$A:$A,0)+13),INDEX(Teams!$Q:$Q,MATCH($A4,Teams!$K:$K,0)+13)),0)="",0,IFERROR(IFERROR(INDEX(Teams!$G:$G,MATCH($A4,Teams!$A:$A,0)+13),INDEX(Teams!$Q:$Q,MATCH($A4,Teams!$K:$K,0)+13)),0)),AVERAGEIF(IFERROR(OFFSET(Teams!$A$1,MATCH($A4,Teams!$A:$A,0),7,11),OFFSET(Teams!$K$1,MATCH($A4,Teams!$K:$K,0),7,11)),"&lt;&gt;#N/A"),(SUMIF(IFERROR(OFFSET(Teams!$A$1,MATCH($A4,Teams!$A:$A,0),7,11),OFFSET(Teams!$K$1,MATCH($A4,Teams!$K:$K,0),7,11)),"&lt;&gt;#N/A")-MIN(IF(ISNUMBER(IFERROR(OFFSET(Teams!$A$1,MATCH($A4,Teams!$A:$A,0),7,11),OFFSET(Teams!$K$1,MATCH($A4,Teams!$K:$K,0),7,11))),IFERROR(OFFSET(Teams!$A$1,MATCH($A4,Teams!$A:$A,0),7,11),OFFSET(Teams!$K$1,MATCH($A4,Teams!$K:$K,0),7,11))))+IFERROR(INDEX(Teams!$H:$H,MATCH($A4,Teams!$A:$A,0)+13),INDEX(Teams!$R:$R,MATCH($A4,Teams!$K:$K,0)+13)))/11)</f>
        <v>#N/A</v>
      </c>
      <c r="L4" s="97" t="str">
        <f t="shared" si="1"/>
        <v>#N/A</v>
      </c>
      <c r="M4" s="31" t="str">
        <f>IFERROR(__xludf.DUMMYFUNCTION("(AVERAGE(FILTER(IFERROR(OFFSET(Teams!$A$1,MATCH($A4,Teams!$A:$A,0),8,13),OFFSET(Teams!$K$1,MATCH($A4,Teams!$K:$K,0),8,13)),IFERROR(OFFSET(Teams!$A$1,MATCH($A4,Teams!$A:$A,0),8,13),OFFSET(Teams!$K$1,MATCH($A4,Teams!$K:$K,0),8,13))&lt;&gt;""#N/A"",IFERROR(OFFSET("&amp;"Teams!$A$1,MATCH($A4,Teams!$A:$A,0),8,13),OFFSET(Teams!$K$1,MATCH($A4,Teams!$K:$K,0),8,13))&gt;=LARGE(FILTER(IFERROR(OFFSET(Teams!$A$1,MATCH($A4,Teams!$A:$A,0),8,13),OFFSET(Teams!$K$1,MATCH($A4,Teams!$K:$K,0),8,13)),IFERROR(OFFSET(Teams!$A$1,MATCH($A4,Teams!"&amp;"$A:$A,0),8,13),OFFSET(Teams!$K$1,MATCH($A4,Teams!$K:$K,0),8,13))&lt;&gt;""#N/A""),5)))*3+AVERAGE(FILTER(IFERROR(OFFSET(Teams!$A$1,MATCH($A4,Teams!$A:$A,0),8,13),OFFSET(Teams!$K$1,MATCH($A4,Teams!$K:$K,0),8,13)),IFERROR(OFFSET(Teams!$A$1,MATCH($A4,Teams!$A:$A,0)"&amp;",8,13),OFFSET(Teams!$K$1,MATCH($A4,Teams!$K:$K,0),8,13))&lt;&gt;""#N/A"",IFERROR(OFFSET(Teams!$A$1,MATCH($A4,Teams!$A:$A,0),8,13),OFFSET(Teams!$K$1,MATCH($A4,Teams!$K:$K,0),8,13))&gt;=LARGE(FILTER(IFERROR(OFFSET(Teams!$A$1,MATCH($A4,Teams!$A:$A,0),8,13),OFFSET(Tea"&amp;"ms!$K$1,MATCH($A4,Teams!$K:$K,0),8,13)),IFERROR(OFFSET(Teams!$A$1,MATCH($A4,Teams!$A:$A,0),8,13),OFFSET(Teams!$K$1,MATCH($A4,Teams!$K:$K,0),8,13))&lt;&gt;""#N/A""),7)))+AVERAGE(FILTER(IFERROR(OFFSET(Teams!$A$1,MATCH($A4,Teams!$A:$A,0),8,13),OFFSET(Teams!$K$1,MA"&amp;"TCH($A4,Teams!$K:$K,0),8,13)),IFERROR(OFFSET(Teams!$A$1,MATCH($A4,Teams!$A:$A,0),8,13),OFFSET(Teams!$K$1,MATCH($A4,Teams!$K:$K,0),8,13))&lt;&gt;""#N/A"",IFERROR(OFFSET(Teams!$A$1,MATCH($A4,Teams!$A:$A,0),8,13),OFFSET(Teams!$K$1,MATCH($A4,Teams!$K:$K,0),8,13))&gt;="&amp;"LARGE(FILTER(IFERROR(OFFSET(Teams!$A$1,MATCH($A4,Teams!$A:$A,0),8,13),OFFSET(Teams!$K$1,MATCH($A4,Teams!$K:$K,0),8,13)),IFERROR(OFFSET(Teams!$A$1,MATCH($A4,Teams!$A:$A,0),8,13),OFFSET(Teams!$K$1,MATCH($A4,Teams!$K:$K,0),8,13))&lt;&gt;""#N/A""),11))))/5"),"#N/A")</f>
        <v>#N/A</v>
      </c>
      <c r="N4" s="100" t="str">
        <f t="shared" si="2"/>
        <v>#N/A</v>
      </c>
      <c r="O4" s="11"/>
    </row>
    <row r="5" ht="16.5" customHeight="1">
      <c r="A5" s="34" t="s">
        <v>1326</v>
      </c>
      <c r="B5" s="94">
        <f>COUNTIF(IFERROR(OFFSET(Teams!$A$1,MATCH($A5,Teams!$A:$A,0),2,11),OFFSET(Teams!$K$1,MATCH($A5,Teams!$K:$K,0),2,11)),"PG")</f>
        <v>0</v>
      </c>
      <c r="C5" s="94">
        <f>COUNTIF(IFERROR(OFFSET(Teams!$A$1,MATCH($A5,Teams!$A:$A,0),2,11),OFFSET(Teams!$K$1,MATCH($A5,Teams!$K:$K,0),2,11)),"SG")</f>
        <v>0</v>
      </c>
      <c r="D5" s="94">
        <f>COUNTIF(IFERROR(OFFSET(Teams!$A$1,MATCH($A5,Teams!$A:$A,0),2,11),OFFSET(Teams!$K$1,MATCH($A5,Teams!$K:$K,0),2,11)),"SF")</f>
        <v>0</v>
      </c>
      <c r="E5" s="94">
        <f>COUNTIF(IFERROR(OFFSET(Teams!$A$1,MATCH($A5,Teams!$A:$A,0),2,11),OFFSET(Teams!$K$1,MATCH($A5,Teams!$K:$K,0),2,11)),"PF")</f>
        <v>0</v>
      </c>
      <c r="F5" s="94">
        <f>COUNTIF(IFERROR(OFFSET(Teams!$A$1,MATCH($A5,Teams!$A:$A,0),2,11),OFFSET(Teams!$K$1,MATCH($A5,Teams!$K:$K,0),2,11)),"C")</f>
        <v>0</v>
      </c>
      <c r="G5" s="98">
        <f t="array" ref="G5">IF(MIN(IF(ISNUMBER(IFERROR(OFFSET(Teams!$A$1,MATCH($A5,Teams!$A:$A,0),6,11),OFFSET(Teams!$K$1,MATCH($A5,Teams!$K:$K,0),6,11))),IFERROR(OFFSET(Teams!$A$1,MATCH($A5,Teams!$A:$A,0),6,11),OFFSET(Teams!$K$1,MATCH($A5,Teams!$K:$K,0),6,11))))&gt;IF(IFERROR(IFERROR(INDEX(Teams!$G:$G,MATCH($A5,Teams!$A:$A,0)+13),INDEX(Teams!$Q:$Q,MATCH($A5,Teams!$K:$K,0)+13)),0)="",0,IFERROR(IFERROR(INDEX(Teams!$G:$G,MATCH($A5,Teams!$A:$A,0)+13),INDEX(Teams!$Q:$Q,MATCH($A5,Teams!$K:$K,0)+13)),0)),AVERAGEIF(IFERROR(OFFSET(Teams!$A$1,MATCH($A5,Teams!$A:$A,0),3,11),OFFSET(Teams!$K$1,MATCH($A5,Teams!$K:$K,0),3,11)),"&lt;&gt;#N/A"),(SUMIF(IFERROR(OFFSET(Teams!$A$1,MATCH($A5,Teams!$A:$A,0),3,11),OFFSET(Teams!$K$1,MATCH($A5,Teams!$K:$K,0),3,11)),"&lt;&gt;#N/A")-MIN(IF(ISNUMBER(IFERROR(OFFSET(Teams!$A$1,MATCH($A5,Teams!$A:$A,0),3,11),OFFSET(Teams!$K$1,MATCH($A5,Teams!$K:$K,0),3,11))),IFERROR(OFFSET(Teams!$A$1,MATCH($A5,Teams!$A:$A,0),3,11),OFFSET(Teams!$K$1,MATCH($A5,Teams!$K:$K,0),3,11))))+IFERROR(INDEX(Teams!$D:$D,MATCH($A5,Teams!$A:$A,0)+13),INDEX(Teams!$N:$N,MATCH($A5,Teams!$K:$K,0)+13)))/11)</f>
        <v>0</v>
      </c>
      <c r="H5" s="96">
        <f t="array" ref="H5">SUM(1/COUNTIF(IFERROR(OFFSET(Teams!$A$1,MATCH($A5,Teams!$A:$A,0),4,11),OFFSET(Teams!$K$1,MATCH($A5,Teams!$K:$K,0),4,11)),IFERROR(OFFSET(Teams!$A$1,MATCH($A5,Teams!$A:$A,0),4,11),OFFSET(Teams!$K$1,MATCH($A5,Teams!$K:$K,0),4,11))))</f>
        <v>1</v>
      </c>
      <c r="I5" s="97">
        <f t="array" ref="I5">IF(MIN(IF(ISNUMBER(IFERROR(OFFSET(Teams!$A$1,MATCH($A5,Teams!$A:$A,0),6,11),OFFSET(Teams!$K$1,MATCH($A5,Teams!$K:$K,0),6,11))),IFERROR(OFFSET(Teams!$A$1,MATCH($A5,Teams!$A:$A,0),6,11),OFFSET(Teams!$K$1,MATCH($A5,Teams!$K:$K,0),6,11))))&gt;IF(IFERROR(IFERROR(INDEX(Teams!$G:$G,MATCH($A5,Teams!$A:$A,0)+13),INDEX(Teams!$Q:$Q,MATCH($A5,Teams!$K:$K,0)+13)),0)="",0,IFERROR(IFERROR(INDEX(Teams!$G:$G,MATCH($A5,Teams!$A:$A,0)+13),INDEX(Teams!$Q:$Q,MATCH($A5,Teams!$K:$K,0)+13)),0)),AVERAGEIF(IFERROR(OFFSET(Teams!$A$1,MATCH($A5,Teams!$A:$A,0),5,11),OFFSET(Teams!$K$1,MATCH($A5,Teams!$K:$K,0),5,11)),"&lt;&gt;#N/A"),(SUMIF(IFERROR(OFFSET(Teams!$A$1,MATCH($A5,Teams!$A:$A,0),5,11),OFFSET(Teams!$K$1,MATCH($A5,Teams!$K:$K,0),5,11)),"&lt;&gt;#N/A")-MIN(IF(ISNUMBER(IFERROR(OFFSET(Teams!$A$1,MATCH($A5,Teams!$A:$A,0),5,11),OFFSET(Teams!$K$1,MATCH($A5,Teams!$K:$K,0),5,11))),IFERROR(OFFSET(Teams!$A$1,MATCH($A5,Teams!$A:$A,0),5,11),OFFSET(Teams!$K$1,MATCH($A5,Teams!$K:$K,0),5,11))))+IFERROR(INDEX(Teams!$F:$F,MATCH($A5,Teams!$A:$A,0)+13),INDEX(Teams!$P:$P,MATCH($A5,Teams!$K:$K,0)+13)))/11)</f>
        <v>0</v>
      </c>
      <c r="J5" s="98">
        <f t="array" ref="J5">IF(MIN(IF(ISNUMBER(IFERROR(OFFSET(Teams!$A$1,MATCH($A5,Teams!$A:$A,0),6,11),OFFSET(Teams!$K$1,MATCH($A5,Teams!$K:$K,0),6,11))),IFERROR(OFFSET(Teams!$A$1,MATCH($A5,Teams!$A:$A,0),6,11),OFFSET(Teams!$K$1,MATCH($A5,Teams!$K:$K,0),6,11))))&gt;IF(IFERROR(IFERROR(INDEX(Teams!$G:$G,MATCH($A5,Teams!$A:$A,0)+13),INDEX(Teams!$Q:$Q,MATCH($A5,Teams!$K:$K,0)+13)),0)="",0,IFERROR(IFERROR(INDEX(Teams!$G:$G,MATCH($A5,Teams!$A:$A,0)+13),INDEX(Teams!$Q:$Q,MATCH($A5,Teams!$K:$K,0)+13)),0)),AVERAGEIF(IFERROR(OFFSET(Teams!$A$1,MATCH($A5,Teams!$A:$A,0),6,11),OFFSET(Teams!$K$1,MATCH($A5,Teams!$K:$K,0),6,11)),"&lt;&gt;#N/A"),(SUMIF(IFERROR(OFFSET(Teams!$A$1,MATCH($A5,Teams!$A:$A,0),6,11),OFFSET(Teams!$K$1,MATCH($A5,Teams!$K:$K,0),6,11)),"&lt;&gt;#N/A")-MIN(IF(ISNUMBER(IFERROR(OFFSET(Teams!$A$1,MATCH($A5,Teams!$A:$A,0),6,11),OFFSET(Teams!$K$1,MATCH($A5,Teams!$K:$K,0),6,11))),IFERROR(OFFSET(Teams!$A$1,MATCH($A5,Teams!$A:$A,0),6,11),OFFSET(Teams!$K$1,MATCH($A5,Teams!$K:$K,0),6,11))))+IFERROR(INDEX(Teams!$G:$G,MATCH($A5,Teams!$A:$A,0)+13),INDEX(Teams!$Q:$Q,MATCH($A5,Teams!$K:$K,0)+13)))/11)</f>
        <v>0</v>
      </c>
      <c r="K5" s="99">
        <f t="array" ref="K5">IF(MIN(IF(ISNUMBER(IFERROR(OFFSET(Teams!$A$1,MATCH($A5,Teams!$A:$A,0),6,11),OFFSET(Teams!$K$1,MATCH($A5,Teams!$K:$K,0),6,11))),IFERROR(OFFSET(Teams!$A$1,MATCH($A5,Teams!$A:$A,0),6,11),OFFSET(Teams!$K$1,MATCH($A5,Teams!$K:$K,0),6,11))))&gt;IF(IFERROR(IFERROR(INDEX(Teams!$G:$G,MATCH($A5,Teams!$A:$A,0)+13),INDEX(Teams!$Q:$Q,MATCH($A5,Teams!$K:$K,0)+13)),0)="",0,IFERROR(IFERROR(INDEX(Teams!$G:$G,MATCH($A5,Teams!$A:$A,0)+13),INDEX(Teams!$Q:$Q,MATCH($A5,Teams!$K:$K,0)+13)),0)),AVERAGEIF(IFERROR(OFFSET(Teams!$A$1,MATCH($A5,Teams!$A:$A,0),7,11),OFFSET(Teams!$K$1,MATCH($A5,Teams!$K:$K,0),7,11)),"&lt;&gt;#N/A"),(SUMIF(IFERROR(OFFSET(Teams!$A$1,MATCH($A5,Teams!$A:$A,0),7,11),OFFSET(Teams!$K$1,MATCH($A5,Teams!$K:$K,0),7,11)),"&lt;&gt;#N/A")-MIN(IF(ISNUMBER(IFERROR(OFFSET(Teams!$A$1,MATCH($A5,Teams!$A:$A,0),7,11),OFFSET(Teams!$K$1,MATCH($A5,Teams!$K:$K,0),7,11))),IFERROR(OFFSET(Teams!$A$1,MATCH($A5,Teams!$A:$A,0),7,11),OFFSET(Teams!$K$1,MATCH($A5,Teams!$K:$K,0),7,11))))+IFERROR(INDEX(Teams!$H:$H,MATCH($A5,Teams!$A:$A,0)+13),INDEX(Teams!$R:$R,MATCH($A5,Teams!$K:$K,0)+13)))/11)</f>
        <v>0</v>
      </c>
      <c r="L5" s="97" t="str">
        <f t="shared" si="1"/>
        <v>#N/A</v>
      </c>
      <c r="M5" s="31">
        <f>IFERROR(__xludf.DUMMYFUNCTION("(AVERAGE(FILTER(IFERROR(OFFSET(Teams!$A$1,MATCH($A5,Teams!$A:$A,0),8,13),OFFSET(Teams!$K$1,MATCH($A5,Teams!$K:$K,0),8,13)),IFERROR(OFFSET(Teams!$A$1,MATCH($A5,Teams!$A:$A,0),8,13),OFFSET(Teams!$K$1,MATCH($A5,Teams!$K:$K,0),8,13))&lt;&gt;""#N/A"",IFERROR(OFFSET("&amp;"Teams!$A$1,MATCH($A5,Teams!$A:$A,0),8,13),OFFSET(Teams!$K$1,MATCH($A5,Teams!$K:$K,0),8,13))&gt;=LARGE(FILTER(IFERROR(OFFSET(Teams!$A$1,MATCH($A5,Teams!$A:$A,0),8,13),OFFSET(Teams!$K$1,MATCH($A5,Teams!$K:$K,0),8,13)),IFERROR(OFFSET(Teams!$A$1,MATCH($A5,Teams!"&amp;"$A:$A,0),8,13),OFFSET(Teams!$K$1,MATCH($A5,Teams!$K:$K,0),8,13))&lt;&gt;""#N/A""),5)))*3+AVERAGE(FILTER(IFERROR(OFFSET(Teams!$A$1,MATCH($A5,Teams!$A:$A,0),8,13),OFFSET(Teams!$K$1,MATCH($A5,Teams!$K:$K,0),8,13)),IFERROR(OFFSET(Teams!$A$1,MATCH($A5,Teams!$A:$A,0)"&amp;",8,13),OFFSET(Teams!$K$1,MATCH($A5,Teams!$K:$K,0),8,13))&lt;&gt;""#N/A"",IFERROR(OFFSET(Teams!$A$1,MATCH($A5,Teams!$A:$A,0),8,13),OFFSET(Teams!$K$1,MATCH($A5,Teams!$K:$K,0),8,13))&gt;=LARGE(FILTER(IFERROR(OFFSET(Teams!$A$1,MATCH($A5,Teams!$A:$A,0),8,13),OFFSET(Tea"&amp;"ms!$K$1,MATCH($A5,Teams!$K:$K,0),8,13)),IFERROR(OFFSET(Teams!$A$1,MATCH($A5,Teams!$A:$A,0),8,13),OFFSET(Teams!$K$1,MATCH($A5,Teams!$K:$K,0),8,13))&lt;&gt;""#N/A""),7)))+AVERAGE(FILTER(IFERROR(OFFSET(Teams!$A$1,MATCH($A5,Teams!$A:$A,0),8,13),OFFSET(Teams!$K$1,MA"&amp;"TCH($A5,Teams!$K:$K,0),8,13)),IFERROR(OFFSET(Teams!$A$1,MATCH($A5,Teams!$A:$A,0),8,13),OFFSET(Teams!$K$1,MATCH($A5,Teams!$K:$K,0),8,13))&lt;&gt;""#N/A"",IFERROR(OFFSET(Teams!$A$1,MATCH($A5,Teams!$A:$A,0),8,13),OFFSET(Teams!$K$1,MATCH($A5,Teams!$K:$K,0),8,13))&gt;="&amp;"LARGE(FILTER(IFERROR(OFFSET(Teams!$A$1,MATCH($A5,Teams!$A:$A,0),8,13),OFFSET(Teams!$K$1,MATCH($A5,Teams!$K:$K,0),8,13)),IFERROR(OFFSET(Teams!$A$1,MATCH($A5,Teams!$A:$A,0),8,13),OFFSET(Teams!$K$1,MATCH($A5,Teams!$K:$K,0),8,13))&lt;&gt;""#N/A""),11))))/5"),0.0)</f>
        <v>0</v>
      </c>
      <c r="N5" s="100" t="str">
        <f t="shared" si="2"/>
        <v>#N/A</v>
      </c>
      <c r="O5" s="11"/>
      <c r="P5" s="84"/>
    </row>
    <row r="6">
      <c r="A6" s="34" t="s">
        <v>1335</v>
      </c>
      <c r="B6" s="94">
        <f>COUNTIF(IFERROR(OFFSET(Teams!$A$1,MATCH($A6,Teams!$A:$A,0),2,11),OFFSET(Teams!$K$1,MATCH($A6,Teams!$K:$K,0),2,11)),"PG")</f>
        <v>0</v>
      </c>
      <c r="C6" s="94">
        <f>COUNTIF(IFERROR(OFFSET(Teams!$A$1,MATCH($A6,Teams!$A:$A,0),2,11),OFFSET(Teams!$K$1,MATCH($A6,Teams!$K:$K,0),2,11)),"SG")</f>
        <v>0</v>
      </c>
      <c r="D6" s="94">
        <f>COUNTIF(IFERROR(OFFSET(Teams!$A$1,MATCH($A6,Teams!$A:$A,0),2,11),OFFSET(Teams!$K$1,MATCH($A6,Teams!$K:$K,0),2,11)),"SF")</f>
        <v>0</v>
      </c>
      <c r="E6" s="94">
        <f>COUNTIF(IFERROR(OFFSET(Teams!$A$1,MATCH($A6,Teams!$A:$A,0),2,11),OFFSET(Teams!$K$1,MATCH($A6,Teams!$K:$K,0),2,11)),"PF")</f>
        <v>0</v>
      </c>
      <c r="F6" s="94">
        <f>COUNTIF(IFERROR(OFFSET(Teams!$A$1,MATCH($A6,Teams!$A:$A,0),2,11),OFFSET(Teams!$K$1,MATCH($A6,Teams!$K:$K,0),2,11)),"C")</f>
        <v>0</v>
      </c>
      <c r="G6" s="98">
        <f t="array" ref="G6">IF(MIN(IF(ISNUMBER(IFERROR(OFFSET(Teams!$A$1,MATCH($A6,Teams!$A:$A,0),6,11),OFFSET(Teams!$K$1,MATCH($A6,Teams!$K:$K,0),6,11))),IFERROR(OFFSET(Teams!$A$1,MATCH($A6,Teams!$A:$A,0),6,11),OFFSET(Teams!$K$1,MATCH($A6,Teams!$K:$K,0),6,11))))&gt;IF(IFERROR(IFERROR(INDEX(Teams!$G:$G,MATCH($A6,Teams!$A:$A,0)+13),INDEX(Teams!$Q:$Q,MATCH($A6,Teams!$K:$K,0)+13)),0)="",0,IFERROR(IFERROR(INDEX(Teams!$G:$G,MATCH($A6,Teams!$A:$A,0)+13),INDEX(Teams!$Q:$Q,MATCH($A6,Teams!$K:$K,0)+13)),0)),AVERAGEIF(IFERROR(OFFSET(Teams!$A$1,MATCH($A6,Teams!$A:$A,0),3,11),OFFSET(Teams!$K$1,MATCH($A6,Teams!$K:$K,0),3,11)),"&lt;&gt;#N/A"),(SUMIF(IFERROR(OFFSET(Teams!$A$1,MATCH($A6,Teams!$A:$A,0),3,11),OFFSET(Teams!$K$1,MATCH($A6,Teams!$K:$K,0),3,11)),"&lt;&gt;#N/A")-MIN(IF(ISNUMBER(IFERROR(OFFSET(Teams!$A$1,MATCH($A6,Teams!$A:$A,0),3,11),OFFSET(Teams!$K$1,MATCH($A6,Teams!$K:$K,0),3,11))),IFERROR(OFFSET(Teams!$A$1,MATCH($A6,Teams!$A:$A,0),3,11),OFFSET(Teams!$K$1,MATCH($A6,Teams!$K:$K,0),3,11))))+IFERROR(INDEX(Teams!$D:$D,MATCH($A6,Teams!$A:$A,0)+13),INDEX(Teams!$N:$N,MATCH($A6,Teams!$K:$K,0)+13)))/11)</f>
        <v>0</v>
      </c>
      <c r="H6" s="96">
        <f t="array" ref="H6">SUM(1/COUNTIF(IFERROR(OFFSET(Teams!$A$1,MATCH($A6,Teams!$A:$A,0),4,11),OFFSET(Teams!$K$1,MATCH($A6,Teams!$K:$K,0),4,11)),IFERROR(OFFSET(Teams!$A$1,MATCH($A6,Teams!$A:$A,0),4,11),OFFSET(Teams!$K$1,MATCH($A6,Teams!$K:$K,0),4,11))))</f>
        <v>1</v>
      </c>
      <c r="I6" s="97">
        <f t="array" ref="I6">IF(MIN(IF(ISNUMBER(IFERROR(OFFSET(Teams!$A$1,MATCH($A6,Teams!$A:$A,0),6,11),OFFSET(Teams!$K$1,MATCH($A6,Teams!$K:$K,0),6,11))),IFERROR(OFFSET(Teams!$A$1,MATCH($A6,Teams!$A:$A,0),6,11),OFFSET(Teams!$K$1,MATCH($A6,Teams!$K:$K,0),6,11))))&gt;IF(IFERROR(IFERROR(INDEX(Teams!$G:$G,MATCH($A6,Teams!$A:$A,0)+13),INDEX(Teams!$Q:$Q,MATCH($A6,Teams!$K:$K,0)+13)),0)="",0,IFERROR(IFERROR(INDEX(Teams!$G:$G,MATCH($A6,Teams!$A:$A,0)+13),INDEX(Teams!$Q:$Q,MATCH($A6,Teams!$K:$K,0)+13)),0)),AVERAGEIF(IFERROR(OFFSET(Teams!$A$1,MATCH($A6,Teams!$A:$A,0),5,11),OFFSET(Teams!$K$1,MATCH($A6,Teams!$K:$K,0),5,11)),"&lt;&gt;#N/A"),(SUMIF(IFERROR(OFFSET(Teams!$A$1,MATCH($A6,Teams!$A:$A,0),5,11),OFFSET(Teams!$K$1,MATCH($A6,Teams!$K:$K,0),5,11)),"&lt;&gt;#N/A")-MIN(IF(ISNUMBER(IFERROR(OFFSET(Teams!$A$1,MATCH($A6,Teams!$A:$A,0),5,11),OFFSET(Teams!$K$1,MATCH($A6,Teams!$K:$K,0),5,11))),IFERROR(OFFSET(Teams!$A$1,MATCH($A6,Teams!$A:$A,0),5,11),OFFSET(Teams!$K$1,MATCH($A6,Teams!$K:$K,0),5,11))))+IFERROR(INDEX(Teams!$F:$F,MATCH($A6,Teams!$A:$A,0)+13),INDEX(Teams!$P:$P,MATCH($A6,Teams!$K:$K,0)+13)))/11)</f>
        <v>0</v>
      </c>
      <c r="J6" s="98">
        <f t="array" ref="J6">IF(MIN(IF(ISNUMBER(IFERROR(OFFSET(Teams!$A$1,MATCH($A6,Teams!$A:$A,0),6,11),OFFSET(Teams!$K$1,MATCH($A6,Teams!$K:$K,0),6,11))),IFERROR(OFFSET(Teams!$A$1,MATCH($A6,Teams!$A:$A,0),6,11),OFFSET(Teams!$K$1,MATCH($A6,Teams!$K:$K,0),6,11))))&gt;IF(IFERROR(IFERROR(INDEX(Teams!$G:$G,MATCH($A6,Teams!$A:$A,0)+13),INDEX(Teams!$Q:$Q,MATCH($A6,Teams!$K:$K,0)+13)),0)="",0,IFERROR(IFERROR(INDEX(Teams!$G:$G,MATCH($A6,Teams!$A:$A,0)+13),INDEX(Teams!$Q:$Q,MATCH($A6,Teams!$K:$K,0)+13)),0)),AVERAGEIF(IFERROR(OFFSET(Teams!$A$1,MATCH($A6,Teams!$A:$A,0),6,11),OFFSET(Teams!$K$1,MATCH($A6,Teams!$K:$K,0),6,11)),"&lt;&gt;#N/A"),(SUMIF(IFERROR(OFFSET(Teams!$A$1,MATCH($A6,Teams!$A:$A,0),6,11),OFFSET(Teams!$K$1,MATCH($A6,Teams!$K:$K,0),6,11)),"&lt;&gt;#N/A")-MIN(IF(ISNUMBER(IFERROR(OFFSET(Teams!$A$1,MATCH($A6,Teams!$A:$A,0),6,11),OFFSET(Teams!$K$1,MATCH($A6,Teams!$K:$K,0),6,11))),IFERROR(OFFSET(Teams!$A$1,MATCH($A6,Teams!$A:$A,0),6,11),OFFSET(Teams!$K$1,MATCH($A6,Teams!$K:$K,0),6,11))))+IFERROR(INDEX(Teams!$G:$G,MATCH($A6,Teams!$A:$A,0)+13),INDEX(Teams!$Q:$Q,MATCH($A6,Teams!$K:$K,0)+13)))/11)</f>
        <v>0</v>
      </c>
      <c r="K6" s="99">
        <f t="array" ref="K6">IF(MIN(IF(ISNUMBER(IFERROR(OFFSET(Teams!$A$1,MATCH($A6,Teams!$A:$A,0),6,11),OFFSET(Teams!$K$1,MATCH($A6,Teams!$K:$K,0),6,11))),IFERROR(OFFSET(Teams!$A$1,MATCH($A6,Teams!$A:$A,0),6,11),OFFSET(Teams!$K$1,MATCH($A6,Teams!$K:$K,0),6,11))))&gt;IF(IFERROR(IFERROR(INDEX(Teams!$G:$G,MATCH($A6,Teams!$A:$A,0)+13),INDEX(Teams!$Q:$Q,MATCH($A6,Teams!$K:$K,0)+13)),0)="",0,IFERROR(IFERROR(INDEX(Teams!$G:$G,MATCH($A6,Teams!$A:$A,0)+13),INDEX(Teams!$Q:$Q,MATCH($A6,Teams!$K:$K,0)+13)),0)),AVERAGEIF(IFERROR(OFFSET(Teams!$A$1,MATCH($A6,Teams!$A:$A,0),7,11),OFFSET(Teams!$K$1,MATCH($A6,Teams!$K:$K,0),7,11)),"&lt;&gt;#N/A"),(SUMIF(IFERROR(OFFSET(Teams!$A$1,MATCH($A6,Teams!$A:$A,0),7,11),OFFSET(Teams!$K$1,MATCH($A6,Teams!$K:$K,0),7,11)),"&lt;&gt;#N/A")-MIN(IF(ISNUMBER(IFERROR(OFFSET(Teams!$A$1,MATCH($A6,Teams!$A:$A,0),7,11),OFFSET(Teams!$K$1,MATCH($A6,Teams!$K:$K,0),7,11))),IFERROR(OFFSET(Teams!$A$1,MATCH($A6,Teams!$A:$A,0),7,11),OFFSET(Teams!$K$1,MATCH($A6,Teams!$K:$K,0),7,11))))+IFERROR(INDEX(Teams!$H:$H,MATCH($A6,Teams!$A:$A,0)+13),INDEX(Teams!$R:$R,MATCH($A6,Teams!$K:$K,0)+13)))/11)</f>
        <v>0</v>
      </c>
      <c r="L6" s="97" t="str">
        <f t="shared" si="1"/>
        <v>#N/A</v>
      </c>
      <c r="M6" s="31">
        <f>IFERROR(__xludf.DUMMYFUNCTION("(AVERAGE(FILTER(IFERROR(OFFSET(Teams!$A$1,MATCH($A6,Teams!$A:$A,0),8,13),OFFSET(Teams!$K$1,MATCH($A6,Teams!$K:$K,0),8,13)),IFERROR(OFFSET(Teams!$A$1,MATCH($A6,Teams!$A:$A,0),8,13),OFFSET(Teams!$K$1,MATCH($A6,Teams!$K:$K,0),8,13))&lt;&gt;""#N/A"",IFERROR(OFFSET("&amp;"Teams!$A$1,MATCH($A6,Teams!$A:$A,0),8,13),OFFSET(Teams!$K$1,MATCH($A6,Teams!$K:$K,0),8,13))&gt;=LARGE(FILTER(IFERROR(OFFSET(Teams!$A$1,MATCH($A6,Teams!$A:$A,0),8,13),OFFSET(Teams!$K$1,MATCH($A6,Teams!$K:$K,0),8,13)),IFERROR(OFFSET(Teams!$A$1,MATCH($A6,Teams!"&amp;"$A:$A,0),8,13),OFFSET(Teams!$K$1,MATCH($A6,Teams!$K:$K,0),8,13))&lt;&gt;""#N/A""),5)))*3+AVERAGE(FILTER(IFERROR(OFFSET(Teams!$A$1,MATCH($A6,Teams!$A:$A,0),8,13),OFFSET(Teams!$K$1,MATCH($A6,Teams!$K:$K,0),8,13)),IFERROR(OFFSET(Teams!$A$1,MATCH($A6,Teams!$A:$A,0)"&amp;",8,13),OFFSET(Teams!$K$1,MATCH($A6,Teams!$K:$K,0),8,13))&lt;&gt;""#N/A"",IFERROR(OFFSET(Teams!$A$1,MATCH($A6,Teams!$A:$A,0),8,13),OFFSET(Teams!$K$1,MATCH($A6,Teams!$K:$K,0),8,13))&gt;=LARGE(FILTER(IFERROR(OFFSET(Teams!$A$1,MATCH($A6,Teams!$A:$A,0),8,13),OFFSET(Tea"&amp;"ms!$K$1,MATCH($A6,Teams!$K:$K,0),8,13)),IFERROR(OFFSET(Teams!$A$1,MATCH($A6,Teams!$A:$A,0),8,13),OFFSET(Teams!$K$1,MATCH($A6,Teams!$K:$K,0),8,13))&lt;&gt;""#N/A""),7)))+AVERAGE(FILTER(IFERROR(OFFSET(Teams!$A$1,MATCH($A6,Teams!$A:$A,0),8,13),OFFSET(Teams!$K$1,MA"&amp;"TCH($A6,Teams!$K:$K,0),8,13)),IFERROR(OFFSET(Teams!$A$1,MATCH($A6,Teams!$A:$A,0),8,13),OFFSET(Teams!$K$1,MATCH($A6,Teams!$K:$K,0),8,13))&lt;&gt;""#N/A"",IFERROR(OFFSET(Teams!$A$1,MATCH($A6,Teams!$A:$A,0),8,13),OFFSET(Teams!$K$1,MATCH($A6,Teams!$K:$K,0),8,13))&gt;="&amp;"LARGE(FILTER(IFERROR(OFFSET(Teams!$A$1,MATCH($A6,Teams!$A:$A,0),8,13),OFFSET(Teams!$K$1,MATCH($A6,Teams!$K:$K,0),8,13)),IFERROR(OFFSET(Teams!$A$1,MATCH($A6,Teams!$A:$A,0),8,13),OFFSET(Teams!$K$1,MATCH($A6,Teams!$K:$K,0),8,13))&lt;&gt;""#N/A""),11))))/5"),0.0)</f>
        <v>0</v>
      </c>
      <c r="N6" s="100" t="str">
        <f t="shared" si="2"/>
        <v>#N/A</v>
      </c>
      <c r="O6" s="11"/>
    </row>
    <row r="7">
      <c r="A7" s="34" t="s">
        <v>1338</v>
      </c>
      <c r="B7" s="94">
        <f>COUNTIF(IFERROR(OFFSET(Teams!$A$1,MATCH($A7,Teams!$A:$A,0),2,11),OFFSET(Teams!$K$1,MATCH($A7,Teams!$K:$K,0),2,11)),"PG")</f>
        <v>0</v>
      </c>
      <c r="C7" s="94">
        <f>COUNTIF(IFERROR(OFFSET(Teams!$A$1,MATCH($A7,Teams!$A:$A,0),2,11),OFFSET(Teams!$K$1,MATCH($A7,Teams!$K:$K,0),2,11)),"SG")</f>
        <v>0</v>
      </c>
      <c r="D7" s="94">
        <f>COUNTIF(IFERROR(OFFSET(Teams!$A$1,MATCH($A7,Teams!$A:$A,0),2,11),OFFSET(Teams!$K$1,MATCH($A7,Teams!$K:$K,0),2,11)),"SF")</f>
        <v>0</v>
      </c>
      <c r="E7" s="94">
        <f>COUNTIF(IFERROR(OFFSET(Teams!$A$1,MATCH($A7,Teams!$A:$A,0),2,11),OFFSET(Teams!$K$1,MATCH($A7,Teams!$K:$K,0),2,11)),"PF")</f>
        <v>0</v>
      </c>
      <c r="F7" s="94">
        <f>COUNTIF(IFERROR(OFFSET(Teams!$A$1,MATCH($A7,Teams!$A:$A,0),2,11),OFFSET(Teams!$K$1,MATCH($A7,Teams!$K:$K,0),2,11)),"C")</f>
        <v>0</v>
      </c>
      <c r="G7" s="98">
        <f t="array" ref="G7">IF(MIN(IF(ISNUMBER(IFERROR(OFFSET(Teams!$A$1,MATCH($A7,Teams!$A:$A,0),6,11),OFFSET(Teams!$K$1,MATCH($A7,Teams!$K:$K,0),6,11))),IFERROR(OFFSET(Teams!$A$1,MATCH($A7,Teams!$A:$A,0),6,11),OFFSET(Teams!$K$1,MATCH($A7,Teams!$K:$K,0),6,11))))&gt;IF(IFERROR(IFERROR(INDEX(Teams!$G:$G,MATCH($A7,Teams!$A:$A,0)+13),INDEX(Teams!$Q:$Q,MATCH($A7,Teams!$K:$K,0)+13)),0)="",0,IFERROR(IFERROR(INDEX(Teams!$G:$G,MATCH($A7,Teams!$A:$A,0)+13),INDEX(Teams!$Q:$Q,MATCH($A7,Teams!$K:$K,0)+13)),0)),AVERAGEIF(IFERROR(OFFSET(Teams!$A$1,MATCH($A7,Teams!$A:$A,0),3,11),OFFSET(Teams!$K$1,MATCH($A7,Teams!$K:$K,0),3,11)),"&lt;&gt;#N/A"),(SUMIF(IFERROR(OFFSET(Teams!$A$1,MATCH($A7,Teams!$A:$A,0),3,11),OFFSET(Teams!$K$1,MATCH($A7,Teams!$K:$K,0),3,11)),"&lt;&gt;#N/A")-MIN(IF(ISNUMBER(IFERROR(OFFSET(Teams!$A$1,MATCH($A7,Teams!$A:$A,0),3,11),OFFSET(Teams!$K$1,MATCH($A7,Teams!$K:$K,0),3,11))),IFERROR(OFFSET(Teams!$A$1,MATCH($A7,Teams!$A:$A,0),3,11),OFFSET(Teams!$K$1,MATCH($A7,Teams!$K:$K,0),3,11))))+IFERROR(INDEX(Teams!$D:$D,MATCH($A7,Teams!$A:$A,0)+13),INDEX(Teams!$N:$N,MATCH($A7,Teams!$K:$K,0)+13)))/11)</f>
        <v>0</v>
      </c>
      <c r="H7" s="96">
        <f t="array" ref="H7">SUM(1/COUNTIF(IFERROR(OFFSET(Teams!$A$1,MATCH($A7,Teams!$A:$A,0),4,11),OFFSET(Teams!$K$1,MATCH($A7,Teams!$K:$K,0),4,11)),IFERROR(OFFSET(Teams!$A$1,MATCH($A7,Teams!$A:$A,0),4,11),OFFSET(Teams!$K$1,MATCH($A7,Teams!$K:$K,0),4,11))))</f>
        <v>1</v>
      </c>
      <c r="I7" s="97">
        <f t="array" ref="I7">IF(MIN(IF(ISNUMBER(IFERROR(OFFSET(Teams!$A$1,MATCH($A7,Teams!$A:$A,0),6,11),OFFSET(Teams!$K$1,MATCH($A7,Teams!$K:$K,0),6,11))),IFERROR(OFFSET(Teams!$A$1,MATCH($A7,Teams!$A:$A,0),6,11),OFFSET(Teams!$K$1,MATCH($A7,Teams!$K:$K,0),6,11))))&gt;IF(IFERROR(IFERROR(INDEX(Teams!$G:$G,MATCH($A7,Teams!$A:$A,0)+13),INDEX(Teams!$Q:$Q,MATCH($A7,Teams!$K:$K,0)+13)),0)="",0,IFERROR(IFERROR(INDEX(Teams!$G:$G,MATCH($A7,Teams!$A:$A,0)+13),INDEX(Teams!$Q:$Q,MATCH($A7,Teams!$K:$K,0)+13)),0)),AVERAGEIF(IFERROR(OFFSET(Teams!$A$1,MATCH($A7,Teams!$A:$A,0),5,11),OFFSET(Teams!$K$1,MATCH($A7,Teams!$K:$K,0),5,11)),"&lt;&gt;#N/A"),(SUMIF(IFERROR(OFFSET(Teams!$A$1,MATCH($A7,Teams!$A:$A,0),5,11),OFFSET(Teams!$K$1,MATCH($A7,Teams!$K:$K,0),5,11)),"&lt;&gt;#N/A")-MIN(IF(ISNUMBER(IFERROR(OFFSET(Teams!$A$1,MATCH($A7,Teams!$A:$A,0),5,11),OFFSET(Teams!$K$1,MATCH($A7,Teams!$K:$K,0),5,11))),IFERROR(OFFSET(Teams!$A$1,MATCH($A7,Teams!$A:$A,0),5,11),OFFSET(Teams!$K$1,MATCH($A7,Teams!$K:$K,0),5,11))))+IFERROR(INDEX(Teams!$F:$F,MATCH($A7,Teams!$A:$A,0)+13),INDEX(Teams!$P:$P,MATCH($A7,Teams!$K:$K,0)+13)))/11)</f>
        <v>0</v>
      </c>
      <c r="J7" s="98">
        <f t="array" ref="J7">IF(MIN(IF(ISNUMBER(IFERROR(OFFSET(Teams!$A$1,MATCH($A7,Teams!$A:$A,0),6,11),OFFSET(Teams!$K$1,MATCH($A7,Teams!$K:$K,0),6,11))),IFERROR(OFFSET(Teams!$A$1,MATCH($A7,Teams!$A:$A,0),6,11),OFFSET(Teams!$K$1,MATCH($A7,Teams!$K:$K,0),6,11))))&gt;IF(IFERROR(IFERROR(INDEX(Teams!$G:$G,MATCH($A7,Teams!$A:$A,0)+13),INDEX(Teams!$Q:$Q,MATCH($A7,Teams!$K:$K,0)+13)),0)="",0,IFERROR(IFERROR(INDEX(Teams!$G:$G,MATCH($A7,Teams!$A:$A,0)+13),INDEX(Teams!$Q:$Q,MATCH($A7,Teams!$K:$K,0)+13)),0)),AVERAGEIF(IFERROR(OFFSET(Teams!$A$1,MATCH($A7,Teams!$A:$A,0),6,11),OFFSET(Teams!$K$1,MATCH($A7,Teams!$K:$K,0),6,11)),"&lt;&gt;#N/A"),(SUMIF(IFERROR(OFFSET(Teams!$A$1,MATCH($A7,Teams!$A:$A,0),6,11),OFFSET(Teams!$K$1,MATCH($A7,Teams!$K:$K,0),6,11)),"&lt;&gt;#N/A")-MIN(IF(ISNUMBER(IFERROR(OFFSET(Teams!$A$1,MATCH($A7,Teams!$A:$A,0),6,11),OFFSET(Teams!$K$1,MATCH($A7,Teams!$K:$K,0),6,11))),IFERROR(OFFSET(Teams!$A$1,MATCH($A7,Teams!$A:$A,0),6,11),OFFSET(Teams!$K$1,MATCH($A7,Teams!$K:$K,0),6,11))))+IFERROR(INDEX(Teams!$G:$G,MATCH($A7,Teams!$A:$A,0)+13),INDEX(Teams!$Q:$Q,MATCH($A7,Teams!$K:$K,0)+13)))/11)</f>
        <v>0</v>
      </c>
      <c r="K7" s="99">
        <f t="array" ref="K7">IF(MIN(IF(ISNUMBER(IFERROR(OFFSET(Teams!$A$1,MATCH($A7,Teams!$A:$A,0),6,11),OFFSET(Teams!$K$1,MATCH($A7,Teams!$K:$K,0),6,11))),IFERROR(OFFSET(Teams!$A$1,MATCH($A7,Teams!$A:$A,0),6,11),OFFSET(Teams!$K$1,MATCH($A7,Teams!$K:$K,0),6,11))))&gt;IF(IFERROR(IFERROR(INDEX(Teams!$G:$G,MATCH($A7,Teams!$A:$A,0)+13),INDEX(Teams!$Q:$Q,MATCH($A7,Teams!$K:$K,0)+13)),0)="",0,IFERROR(IFERROR(INDEX(Teams!$G:$G,MATCH($A7,Teams!$A:$A,0)+13),INDEX(Teams!$Q:$Q,MATCH($A7,Teams!$K:$K,0)+13)),0)),AVERAGEIF(IFERROR(OFFSET(Teams!$A$1,MATCH($A7,Teams!$A:$A,0),7,11),OFFSET(Teams!$K$1,MATCH($A7,Teams!$K:$K,0),7,11)),"&lt;&gt;#N/A"),(SUMIF(IFERROR(OFFSET(Teams!$A$1,MATCH($A7,Teams!$A:$A,0),7,11),OFFSET(Teams!$K$1,MATCH($A7,Teams!$K:$K,0),7,11)),"&lt;&gt;#N/A")-MIN(IF(ISNUMBER(IFERROR(OFFSET(Teams!$A$1,MATCH($A7,Teams!$A:$A,0),7,11),OFFSET(Teams!$K$1,MATCH($A7,Teams!$K:$K,0),7,11))),IFERROR(OFFSET(Teams!$A$1,MATCH($A7,Teams!$A:$A,0),7,11),OFFSET(Teams!$K$1,MATCH($A7,Teams!$K:$K,0),7,11))))+IFERROR(INDEX(Teams!$H:$H,MATCH($A7,Teams!$A:$A,0)+13),INDEX(Teams!$R:$R,MATCH($A7,Teams!$K:$K,0)+13)))/11)</f>
        <v>0</v>
      </c>
      <c r="L7" s="97" t="str">
        <f t="shared" si="1"/>
        <v>#N/A</v>
      </c>
      <c r="M7" s="31">
        <f>IFERROR(__xludf.DUMMYFUNCTION("(AVERAGE(FILTER(IFERROR(OFFSET(Teams!$A$1,MATCH($A7,Teams!$A:$A,0),8,13),OFFSET(Teams!$K$1,MATCH($A7,Teams!$K:$K,0),8,13)),IFERROR(OFFSET(Teams!$A$1,MATCH($A7,Teams!$A:$A,0),8,13),OFFSET(Teams!$K$1,MATCH($A7,Teams!$K:$K,0),8,13))&lt;&gt;""#N/A"",IFERROR(OFFSET("&amp;"Teams!$A$1,MATCH($A7,Teams!$A:$A,0),8,13),OFFSET(Teams!$K$1,MATCH($A7,Teams!$K:$K,0),8,13))&gt;=LARGE(FILTER(IFERROR(OFFSET(Teams!$A$1,MATCH($A7,Teams!$A:$A,0),8,13),OFFSET(Teams!$K$1,MATCH($A7,Teams!$K:$K,0),8,13)),IFERROR(OFFSET(Teams!$A$1,MATCH($A7,Teams!"&amp;"$A:$A,0),8,13),OFFSET(Teams!$K$1,MATCH($A7,Teams!$K:$K,0),8,13))&lt;&gt;""#N/A""),5)))*3+AVERAGE(FILTER(IFERROR(OFFSET(Teams!$A$1,MATCH($A7,Teams!$A:$A,0),8,13),OFFSET(Teams!$K$1,MATCH($A7,Teams!$K:$K,0),8,13)),IFERROR(OFFSET(Teams!$A$1,MATCH($A7,Teams!$A:$A,0)"&amp;",8,13),OFFSET(Teams!$K$1,MATCH($A7,Teams!$K:$K,0),8,13))&lt;&gt;""#N/A"",IFERROR(OFFSET(Teams!$A$1,MATCH($A7,Teams!$A:$A,0),8,13),OFFSET(Teams!$K$1,MATCH($A7,Teams!$K:$K,0),8,13))&gt;=LARGE(FILTER(IFERROR(OFFSET(Teams!$A$1,MATCH($A7,Teams!$A:$A,0),8,13),OFFSET(Tea"&amp;"ms!$K$1,MATCH($A7,Teams!$K:$K,0),8,13)),IFERROR(OFFSET(Teams!$A$1,MATCH($A7,Teams!$A:$A,0),8,13),OFFSET(Teams!$K$1,MATCH($A7,Teams!$K:$K,0),8,13))&lt;&gt;""#N/A""),7)))+AVERAGE(FILTER(IFERROR(OFFSET(Teams!$A$1,MATCH($A7,Teams!$A:$A,0),8,13),OFFSET(Teams!$K$1,MA"&amp;"TCH($A7,Teams!$K:$K,0),8,13)),IFERROR(OFFSET(Teams!$A$1,MATCH($A7,Teams!$A:$A,0),8,13),OFFSET(Teams!$K$1,MATCH($A7,Teams!$K:$K,0),8,13))&lt;&gt;""#N/A"",IFERROR(OFFSET(Teams!$A$1,MATCH($A7,Teams!$A:$A,0),8,13),OFFSET(Teams!$K$1,MATCH($A7,Teams!$K:$K,0),8,13))&gt;="&amp;"LARGE(FILTER(IFERROR(OFFSET(Teams!$A$1,MATCH($A7,Teams!$A:$A,0),8,13),OFFSET(Teams!$K$1,MATCH($A7,Teams!$K:$K,0),8,13)),IFERROR(OFFSET(Teams!$A$1,MATCH($A7,Teams!$A:$A,0),8,13),OFFSET(Teams!$K$1,MATCH($A7,Teams!$K:$K,0),8,13))&lt;&gt;""#N/A""),11))))/5"),0.0)</f>
        <v>0</v>
      </c>
      <c r="N7" s="100" t="str">
        <f t="shared" si="2"/>
        <v>#N/A</v>
      </c>
      <c r="O7" s="11"/>
    </row>
    <row r="8">
      <c r="A8" s="34" t="s">
        <v>1341</v>
      </c>
      <c r="B8" s="94">
        <f>COUNTIF(IFERROR(OFFSET(Teams!$A$1,MATCH($A8,Teams!$A:$A,0),2,11),OFFSET(Teams!$K$1,MATCH($A8,Teams!$K:$K,0),2,11)),"PG")</f>
        <v>0</v>
      </c>
      <c r="C8" s="94">
        <f>COUNTIF(IFERROR(OFFSET(Teams!$A$1,MATCH($A8,Teams!$A:$A,0),2,11),OFFSET(Teams!$K$1,MATCH($A8,Teams!$K:$K,0),2,11)),"SG")</f>
        <v>0</v>
      </c>
      <c r="D8" s="94">
        <f>COUNTIF(IFERROR(OFFSET(Teams!$A$1,MATCH($A8,Teams!$A:$A,0),2,11),OFFSET(Teams!$K$1,MATCH($A8,Teams!$K:$K,0),2,11)),"SF")</f>
        <v>0</v>
      </c>
      <c r="E8" s="94">
        <f>COUNTIF(IFERROR(OFFSET(Teams!$A$1,MATCH($A8,Teams!$A:$A,0),2,11),OFFSET(Teams!$K$1,MATCH($A8,Teams!$K:$K,0),2,11)),"PF")</f>
        <v>0</v>
      </c>
      <c r="F8" s="94">
        <f>COUNTIF(IFERROR(OFFSET(Teams!$A$1,MATCH($A8,Teams!$A:$A,0),2,11),OFFSET(Teams!$K$1,MATCH($A8,Teams!$K:$K,0),2,11)),"C")</f>
        <v>0</v>
      </c>
      <c r="G8" s="98">
        <f t="array" ref="G8">IF(MIN(IF(ISNUMBER(IFERROR(OFFSET(Teams!$A$1,MATCH($A8,Teams!$A:$A,0),6,11),OFFSET(Teams!$K$1,MATCH($A8,Teams!$K:$K,0),6,11))),IFERROR(OFFSET(Teams!$A$1,MATCH($A8,Teams!$A:$A,0),6,11),OFFSET(Teams!$K$1,MATCH($A8,Teams!$K:$K,0),6,11))))&gt;IF(IFERROR(IFERROR(INDEX(Teams!$G:$G,MATCH($A8,Teams!$A:$A,0)+13),INDEX(Teams!$Q:$Q,MATCH($A8,Teams!$K:$K,0)+13)),0)="",0,IFERROR(IFERROR(INDEX(Teams!$G:$G,MATCH($A8,Teams!$A:$A,0)+13),INDEX(Teams!$Q:$Q,MATCH($A8,Teams!$K:$K,0)+13)),0)),AVERAGEIF(IFERROR(OFFSET(Teams!$A$1,MATCH($A8,Teams!$A:$A,0),3,11),OFFSET(Teams!$K$1,MATCH($A8,Teams!$K:$K,0),3,11)),"&lt;&gt;#N/A"),(SUMIF(IFERROR(OFFSET(Teams!$A$1,MATCH($A8,Teams!$A:$A,0),3,11),OFFSET(Teams!$K$1,MATCH($A8,Teams!$K:$K,0),3,11)),"&lt;&gt;#N/A")-MIN(IF(ISNUMBER(IFERROR(OFFSET(Teams!$A$1,MATCH($A8,Teams!$A:$A,0),3,11),OFFSET(Teams!$K$1,MATCH($A8,Teams!$K:$K,0),3,11))),IFERROR(OFFSET(Teams!$A$1,MATCH($A8,Teams!$A:$A,0),3,11),OFFSET(Teams!$K$1,MATCH($A8,Teams!$K:$K,0),3,11))))+IFERROR(INDEX(Teams!$D:$D,MATCH($A8,Teams!$A:$A,0)+13),INDEX(Teams!$N:$N,MATCH($A8,Teams!$K:$K,0)+13)))/11)</f>
        <v>0</v>
      </c>
      <c r="H8" s="96">
        <f t="array" ref="H8">SUM(1/COUNTIF(IFERROR(OFFSET(Teams!$A$1,MATCH($A8,Teams!$A:$A,0),4,11),OFFSET(Teams!$K$1,MATCH($A8,Teams!$K:$K,0),4,11)),IFERROR(OFFSET(Teams!$A$1,MATCH($A8,Teams!$A:$A,0),4,11),OFFSET(Teams!$K$1,MATCH($A8,Teams!$K:$K,0),4,11))))</f>
        <v>1</v>
      </c>
      <c r="I8" s="97">
        <f t="array" ref="I8">IF(MIN(IF(ISNUMBER(IFERROR(OFFSET(Teams!$A$1,MATCH($A8,Teams!$A:$A,0),6,11),OFFSET(Teams!$K$1,MATCH($A8,Teams!$K:$K,0),6,11))),IFERROR(OFFSET(Teams!$A$1,MATCH($A8,Teams!$A:$A,0),6,11),OFFSET(Teams!$K$1,MATCH($A8,Teams!$K:$K,0),6,11))))&gt;IF(IFERROR(IFERROR(INDEX(Teams!$G:$G,MATCH($A8,Teams!$A:$A,0)+13),INDEX(Teams!$Q:$Q,MATCH($A8,Teams!$K:$K,0)+13)),0)="",0,IFERROR(IFERROR(INDEX(Teams!$G:$G,MATCH($A8,Teams!$A:$A,0)+13),INDEX(Teams!$Q:$Q,MATCH($A8,Teams!$K:$K,0)+13)),0)),AVERAGEIF(IFERROR(OFFSET(Teams!$A$1,MATCH($A8,Teams!$A:$A,0),5,11),OFFSET(Teams!$K$1,MATCH($A8,Teams!$K:$K,0),5,11)),"&lt;&gt;#N/A"),(SUMIF(IFERROR(OFFSET(Teams!$A$1,MATCH($A8,Teams!$A:$A,0),5,11),OFFSET(Teams!$K$1,MATCH($A8,Teams!$K:$K,0),5,11)),"&lt;&gt;#N/A")-MIN(IF(ISNUMBER(IFERROR(OFFSET(Teams!$A$1,MATCH($A8,Teams!$A:$A,0),5,11),OFFSET(Teams!$K$1,MATCH($A8,Teams!$K:$K,0),5,11))),IFERROR(OFFSET(Teams!$A$1,MATCH($A8,Teams!$A:$A,0),5,11),OFFSET(Teams!$K$1,MATCH($A8,Teams!$K:$K,0),5,11))))+IFERROR(INDEX(Teams!$F:$F,MATCH($A8,Teams!$A:$A,0)+13),INDEX(Teams!$P:$P,MATCH($A8,Teams!$K:$K,0)+13)))/11)</f>
        <v>0</v>
      </c>
      <c r="J8" s="98">
        <f t="array" ref="J8">IF(MIN(IF(ISNUMBER(IFERROR(OFFSET(Teams!$A$1,MATCH($A8,Teams!$A:$A,0),6,11),OFFSET(Teams!$K$1,MATCH($A8,Teams!$K:$K,0),6,11))),IFERROR(OFFSET(Teams!$A$1,MATCH($A8,Teams!$A:$A,0),6,11),OFFSET(Teams!$K$1,MATCH($A8,Teams!$K:$K,0),6,11))))&gt;IF(IFERROR(IFERROR(INDEX(Teams!$G:$G,MATCH($A8,Teams!$A:$A,0)+13),INDEX(Teams!$Q:$Q,MATCH($A8,Teams!$K:$K,0)+13)),0)="",0,IFERROR(IFERROR(INDEX(Teams!$G:$G,MATCH($A8,Teams!$A:$A,0)+13),INDEX(Teams!$Q:$Q,MATCH($A8,Teams!$K:$K,0)+13)),0)),AVERAGEIF(IFERROR(OFFSET(Teams!$A$1,MATCH($A8,Teams!$A:$A,0),6,11),OFFSET(Teams!$K$1,MATCH($A8,Teams!$K:$K,0),6,11)),"&lt;&gt;#N/A"),(SUMIF(IFERROR(OFFSET(Teams!$A$1,MATCH($A8,Teams!$A:$A,0),6,11),OFFSET(Teams!$K$1,MATCH($A8,Teams!$K:$K,0),6,11)),"&lt;&gt;#N/A")-MIN(IF(ISNUMBER(IFERROR(OFFSET(Teams!$A$1,MATCH($A8,Teams!$A:$A,0),6,11),OFFSET(Teams!$K$1,MATCH($A8,Teams!$K:$K,0),6,11))),IFERROR(OFFSET(Teams!$A$1,MATCH($A8,Teams!$A:$A,0),6,11),OFFSET(Teams!$K$1,MATCH($A8,Teams!$K:$K,0),6,11))))+IFERROR(INDEX(Teams!$G:$G,MATCH($A8,Teams!$A:$A,0)+13),INDEX(Teams!$Q:$Q,MATCH($A8,Teams!$K:$K,0)+13)))/11)</f>
        <v>0</v>
      </c>
      <c r="K8" s="99">
        <f t="array" ref="K8">IF(MIN(IF(ISNUMBER(IFERROR(OFFSET(Teams!$A$1,MATCH($A8,Teams!$A:$A,0),6,11),OFFSET(Teams!$K$1,MATCH($A8,Teams!$K:$K,0),6,11))),IFERROR(OFFSET(Teams!$A$1,MATCH($A8,Teams!$A:$A,0),6,11),OFFSET(Teams!$K$1,MATCH($A8,Teams!$K:$K,0),6,11))))&gt;IF(IFERROR(IFERROR(INDEX(Teams!$G:$G,MATCH($A8,Teams!$A:$A,0)+13),INDEX(Teams!$Q:$Q,MATCH($A8,Teams!$K:$K,0)+13)),0)="",0,IFERROR(IFERROR(INDEX(Teams!$G:$G,MATCH($A8,Teams!$A:$A,0)+13),INDEX(Teams!$Q:$Q,MATCH($A8,Teams!$K:$K,0)+13)),0)),AVERAGEIF(IFERROR(OFFSET(Teams!$A$1,MATCH($A8,Teams!$A:$A,0),7,11),OFFSET(Teams!$K$1,MATCH($A8,Teams!$K:$K,0),7,11)),"&lt;&gt;#N/A"),(SUMIF(IFERROR(OFFSET(Teams!$A$1,MATCH($A8,Teams!$A:$A,0),7,11),OFFSET(Teams!$K$1,MATCH($A8,Teams!$K:$K,0),7,11)),"&lt;&gt;#N/A")-MIN(IF(ISNUMBER(IFERROR(OFFSET(Teams!$A$1,MATCH($A8,Teams!$A:$A,0),7,11),OFFSET(Teams!$K$1,MATCH($A8,Teams!$K:$K,0),7,11))),IFERROR(OFFSET(Teams!$A$1,MATCH($A8,Teams!$A:$A,0),7,11),OFFSET(Teams!$K$1,MATCH($A8,Teams!$K:$K,0),7,11))))+IFERROR(INDEX(Teams!$H:$H,MATCH($A8,Teams!$A:$A,0)+13),INDEX(Teams!$R:$R,MATCH($A8,Teams!$K:$K,0)+13)))/11)</f>
        <v>0</v>
      </c>
      <c r="L8" s="97" t="str">
        <f t="shared" si="1"/>
        <v>#N/A</v>
      </c>
      <c r="M8" s="31">
        <f>IFERROR(__xludf.DUMMYFUNCTION("(AVERAGE(FILTER(IFERROR(OFFSET(Teams!$A$1,MATCH($A8,Teams!$A:$A,0),8,13),OFFSET(Teams!$K$1,MATCH($A8,Teams!$K:$K,0),8,13)),IFERROR(OFFSET(Teams!$A$1,MATCH($A8,Teams!$A:$A,0),8,13),OFFSET(Teams!$K$1,MATCH($A8,Teams!$K:$K,0),8,13))&lt;&gt;""#N/A"",IFERROR(OFFSET("&amp;"Teams!$A$1,MATCH($A8,Teams!$A:$A,0),8,13),OFFSET(Teams!$K$1,MATCH($A8,Teams!$K:$K,0),8,13))&gt;=LARGE(FILTER(IFERROR(OFFSET(Teams!$A$1,MATCH($A8,Teams!$A:$A,0),8,13),OFFSET(Teams!$K$1,MATCH($A8,Teams!$K:$K,0),8,13)),IFERROR(OFFSET(Teams!$A$1,MATCH($A8,Teams!"&amp;"$A:$A,0),8,13),OFFSET(Teams!$K$1,MATCH($A8,Teams!$K:$K,0),8,13))&lt;&gt;""#N/A""),5)))*3+AVERAGE(FILTER(IFERROR(OFFSET(Teams!$A$1,MATCH($A8,Teams!$A:$A,0),8,13),OFFSET(Teams!$K$1,MATCH($A8,Teams!$K:$K,0),8,13)),IFERROR(OFFSET(Teams!$A$1,MATCH($A8,Teams!$A:$A,0)"&amp;",8,13),OFFSET(Teams!$K$1,MATCH($A8,Teams!$K:$K,0),8,13))&lt;&gt;""#N/A"",IFERROR(OFFSET(Teams!$A$1,MATCH($A8,Teams!$A:$A,0),8,13),OFFSET(Teams!$K$1,MATCH($A8,Teams!$K:$K,0),8,13))&gt;=LARGE(FILTER(IFERROR(OFFSET(Teams!$A$1,MATCH($A8,Teams!$A:$A,0),8,13),OFFSET(Tea"&amp;"ms!$K$1,MATCH($A8,Teams!$K:$K,0),8,13)),IFERROR(OFFSET(Teams!$A$1,MATCH($A8,Teams!$A:$A,0),8,13),OFFSET(Teams!$K$1,MATCH($A8,Teams!$K:$K,0),8,13))&lt;&gt;""#N/A""),7)))+AVERAGE(FILTER(IFERROR(OFFSET(Teams!$A$1,MATCH($A8,Teams!$A:$A,0),8,13),OFFSET(Teams!$K$1,MA"&amp;"TCH($A8,Teams!$K:$K,0),8,13)),IFERROR(OFFSET(Teams!$A$1,MATCH($A8,Teams!$A:$A,0),8,13),OFFSET(Teams!$K$1,MATCH($A8,Teams!$K:$K,0),8,13))&lt;&gt;""#N/A"",IFERROR(OFFSET(Teams!$A$1,MATCH($A8,Teams!$A:$A,0),8,13),OFFSET(Teams!$K$1,MATCH($A8,Teams!$K:$K,0),8,13))&gt;="&amp;"LARGE(FILTER(IFERROR(OFFSET(Teams!$A$1,MATCH($A8,Teams!$A:$A,0),8,13),OFFSET(Teams!$K$1,MATCH($A8,Teams!$K:$K,0),8,13)),IFERROR(OFFSET(Teams!$A$1,MATCH($A8,Teams!$A:$A,0),8,13),OFFSET(Teams!$K$1,MATCH($A8,Teams!$K:$K,0),8,13))&lt;&gt;""#N/A""),11))))/5"),0.0)</f>
        <v>0</v>
      </c>
      <c r="N8" s="100" t="str">
        <f t="shared" si="2"/>
        <v>#N/A</v>
      </c>
      <c r="O8" s="11"/>
    </row>
    <row r="9">
      <c r="A9" s="34" t="s">
        <v>1343</v>
      </c>
      <c r="B9" s="94">
        <f>COUNTIF(IFERROR(OFFSET(Teams!$A$1,MATCH($A9,Teams!$A:$A,0),2,11),OFFSET(Teams!$K$1,MATCH($A9,Teams!$K:$K,0),2,11)),"PG")</f>
        <v>0</v>
      </c>
      <c r="C9" s="94">
        <f>COUNTIF(IFERROR(OFFSET(Teams!$A$1,MATCH($A9,Teams!$A:$A,0),2,11),OFFSET(Teams!$K$1,MATCH($A9,Teams!$K:$K,0),2,11)),"SG")</f>
        <v>0</v>
      </c>
      <c r="D9" s="94">
        <f>COUNTIF(IFERROR(OFFSET(Teams!$A$1,MATCH($A9,Teams!$A:$A,0),2,11),OFFSET(Teams!$K$1,MATCH($A9,Teams!$K:$K,0),2,11)),"SF")</f>
        <v>0</v>
      </c>
      <c r="E9" s="94">
        <f>COUNTIF(IFERROR(OFFSET(Teams!$A$1,MATCH($A9,Teams!$A:$A,0),2,11),OFFSET(Teams!$K$1,MATCH($A9,Teams!$K:$K,0),2,11)),"PF")</f>
        <v>0</v>
      </c>
      <c r="F9" s="94">
        <f>COUNTIF(IFERROR(OFFSET(Teams!$A$1,MATCH($A9,Teams!$A:$A,0),2,11),OFFSET(Teams!$K$1,MATCH($A9,Teams!$K:$K,0),2,11)),"C")</f>
        <v>0</v>
      </c>
      <c r="G9" s="98">
        <f t="array" ref="G9">IF(MIN(IF(ISNUMBER(IFERROR(OFFSET(Teams!$A$1,MATCH($A9,Teams!$A:$A,0),6,11),OFFSET(Teams!$K$1,MATCH($A9,Teams!$K:$K,0),6,11))),IFERROR(OFFSET(Teams!$A$1,MATCH($A9,Teams!$A:$A,0),6,11),OFFSET(Teams!$K$1,MATCH($A9,Teams!$K:$K,0),6,11))))&gt;IF(IFERROR(IFERROR(INDEX(Teams!$G:$G,MATCH($A9,Teams!$A:$A,0)+13),INDEX(Teams!$Q:$Q,MATCH($A9,Teams!$K:$K,0)+13)),0)="",0,IFERROR(IFERROR(INDEX(Teams!$G:$G,MATCH($A9,Teams!$A:$A,0)+13),INDEX(Teams!$Q:$Q,MATCH($A9,Teams!$K:$K,0)+13)),0)),AVERAGEIF(IFERROR(OFFSET(Teams!$A$1,MATCH($A9,Teams!$A:$A,0),3,11),OFFSET(Teams!$K$1,MATCH($A9,Teams!$K:$K,0),3,11)),"&lt;&gt;#N/A"),(SUMIF(IFERROR(OFFSET(Teams!$A$1,MATCH($A9,Teams!$A:$A,0),3,11),OFFSET(Teams!$K$1,MATCH($A9,Teams!$K:$K,0),3,11)),"&lt;&gt;#N/A")-MIN(IF(ISNUMBER(IFERROR(OFFSET(Teams!$A$1,MATCH($A9,Teams!$A:$A,0),3,11),OFFSET(Teams!$K$1,MATCH($A9,Teams!$K:$K,0),3,11))),IFERROR(OFFSET(Teams!$A$1,MATCH($A9,Teams!$A:$A,0),3,11),OFFSET(Teams!$K$1,MATCH($A9,Teams!$K:$K,0),3,11))))+IFERROR(INDEX(Teams!$D:$D,MATCH($A9,Teams!$A:$A,0)+13),INDEX(Teams!$N:$N,MATCH($A9,Teams!$K:$K,0)+13)))/11)</f>
        <v>0</v>
      </c>
      <c r="H9" s="96">
        <f t="array" ref="H9">SUM(1/COUNTIF(IFERROR(OFFSET(Teams!$A$1,MATCH($A9,Teams!$A:$A,0),4,11),OFFSET(Teams!$K$1,MATCH($A9,Teams!$K:$K,0),4,11)),IFERROR(OFFSET(Teams!$A$1,MATCH($A9,Teams!$A:$A,0),4,11),OFFSET(Teams!$K$1,MATCH($A9,Teams!$K:$K,0),4,11))))</f>
        <v>1</v>
      </c>
      <c r="I9" s="97">
        <f t="array" ref="I9">IF(MIN(IF(ISNUMBER(IFERROR(OFFSET(Teams!$A$1,MATCH($A9,Teams!$A:$A,0),6,11),OFFSET(Teams!$K$1,MATCH($A9,Teams!$K:$K,0),6,11))),IFERROR(OFFSET(Teams!$A$1,MATCH($A9,Teams!$A:$A,0),6,11),OFFSET(Teams!$K$1,MATCH($A9,Teams!$K:$K,0),6,11))))&gt;IF(IFERROR(IFERROR(INDEX(Teams!$G:$G,MATCH($A9,Teams!$A:$A,0)+13),INDEX(Teams!$Q:$Q,MATCH($A9,Teams!$K:$K,0)+13)),0)="",0,IFERROR(IFERROR(INDEX(Teams!$G:$G,MATCH($A9,Teams!$A:$A,0)+13),INDEX(Teams!$Q:$Q,MATCH($A9,Teams!$K:$K,0)+13)),0)),AVERAGEIF(IFERROR(OFFSET(Teams!$A$1,MATCH($A9,Teams!$A:$A,0),5,11),OFFSET(Teams!$K$1,MATCH($A9,Teams!$K:$K,0),5,11)),"&lt;&gt;#N/A"),(SUMIF(IFERROR(OFFSET(Teams!$A$1,MATCH($A9,Teams!$A:$A,0),5,11),OFFSET(Teams!$K$1,MATCH($A9,Teams!$K:$K,0),5,11)),"&lt;&gt;#N/A")-MIN(IF(ISNUMBER(IFERROR(OFFSET(Teams!$A$1,MATCH($A9,Teams!$A:$A,0),5,11),OFFSET(Teams!$K$1,MATCH($A9,Teams!$K:$K,0),5,11))),IFERROR(OFFSET(Teams!$A$1,MATCH($A9,Teams!$A:$A,0),5,11),OFFSET(Teams!$K$1,MATCH($A9,Teams!$K:$K,0),5,11))))+IFERROR(INDEX(Teams!$F:$F,MATCH($A9,Teams!$A:$A,0)+13),INDEX(Teams!$P:$P,MATCH($A9,Teams!$K:$K,0)+13)))/11)</f>
        <v>0</v>
      </c>
      <c r="J9" s="98">
        <f t="array" ref="J9">IF(MIN(IF(ISNUMBER(IFERROR(OFFSET(Teams!$A$1,MATCH($A9,Teams!$A:$A,0),6,11),OFFSET(Teams!$K$1,MATCH($A9,Teams!$K:$K,0),6,11))),IFERROR(OFFSET(Teams!$A$1,MATCH($A9,Teams!$A:$A,0),6,11),OFFSET(Teams!$K$1,MATCH($A9,Teams!$K:$K,0),6,11))))&gt;IF(IFERROR(IFERROR(INDEX(Teams!$G:$G,MATCH($A9,Teams!$A:$A,0)+13),INDEX(Teams!$Q:$Q,MATCH($A9,Teams!$K:$K,0)+13)),0)="",0,IFERROR(IFERROR(INDEX(Teams!$G:$G,MATCH($A9,Teams!$A:$A,0)+13),INDEX(Teams!$Q:$Q,MATCH($A9,Teams!$K:$K,0)+13)),0)),AVERAGEIF(IFERROR(OFFSET(Teams!$A$1,MATCH($A9,Teams!$A:$A,0),6,11),OFFSET(Teams!$K$1,MATCH($A9,Teams!$K:$K,0),6,11)),"&lt;&gt;#N/A"),(SUMIF(IFERROR(OFFSET(Teams!$A$1,MATCH($A9,Teams!$A:$A,0),6,11),OFFSET(Teams!$K$1,MATCH($A9,Teams!$K:$K,0),6,11)),"&lt;&gt;#N/A")-MIN(IF(ISNUMBER(IFERROR(OFFSET(Teams!$A$1,MATCH($A9,Teams!$A:$A,0),6,11),OFFSET(Teams!$K$1,MATCH($A9,Teams!$K:$K,0),6,11))),IFERROR(OFFSET(Teams!$A$1,MATCH($A9,Teams!$A:$A,0),6,11),OFFSET(Teams!$K$1,MATCH($A9,Teams!$K:$K,0),6,11))))+IFERROR(INDEX(Teams!$G:$G,MATCH($A9,Teams!$A:$A,0)+13),INDEX(Teams!$Q:$Q,MATCH($A9,Teams!$K:$K,0)+13)))/11)</f>
        <v>0</v>
      </c>
      <c r="K9" s="99">
        <f t="array" ref="K9">IF(MIN(IF(ISNUMBER(IFERROR(OFFSET(Teams!$A$1,MATCH($A9,Teams!$A:$A,0),6,11),OFFSET(Teams!$K$1,MATCH($A9,Teams!$K:$K,0),6,11))),IFERROR(OFFSET(Teams!$A$1,MATCH($A9,Teams!$A:$A,0),6,11),OFFSET(Teams!$K$1,MATCH($A9,Teams!$K:$K,0),6,11))))&gt;IF(IFERROR(IFERROR(INDEX(Teams!$G:$G,MATCH($A9,Teams!$A:$A,0)+13),INDEX(Teams!$Q:$Q,MATCH($A9,Teams!$K:$K,0)+13)),0)="",0,IFERROR(IFERROR(INDEX(Teams!$G:$G,MATCH($A9,Teams!$A:$A,0)+13),INDEX(Teams!$Q:$Q,MATCH($A9,Teams!$K:$K,0)+13)),0)),AVERAGEIF(IFERROR(OFFSET(Teams!$A$1,MATCH($A9,Teams!$A:$A,0),7,11),OFFSET(Teams!$K$1,MATCH($A9,Teams!$K:$K,0),7,11)),"&lt;&gt;#N/A"),(SUMIF(IFERROR(OFFSET(Teams!$A$1,MATCH($A9,Teams!$A:$A,0),7,11),OFFSET(Teams!$K$1,MATCH($A9,Teams!$K:$K,0),7,11)),"&lt;&gt;#N/A")-MIN(IF(ISNUMBER(IFERROR(OFFSET(Teams!$A$1,MATCH($A9,Teams!$A:$A,0),7,11),OFFSET(Teams!$K$1,MATCH($A9,Teams!$K:$K,0),7,11))),IFERROR(OFFSET(Teams!$A$1,MATCH($A9,Teams!$A:$A,0),7,11),OFFSET(Teams!$K$1,MATCH($A9,Teams!$K:$K,0),7,11))))+IFERROR(INDEX(Teams!$H:$H,MATCH($A9,Teams!$A:$A,0)+13),INDEX(Teams!$R:$R,MATCH($A9,Teams!$K:$K,0)+13)))/11)</f>
        <v>0</v>
      </c>
      <c r="L9" s="97" t="str">
        <f t="shared" si="1"/>
        <v>#N/A</v>
      </c>
      <c r="M9" s="31">
        <f>IFERROR(__xludf.DUMMYFUNCTION("(AVERAGE(FILTER(IFERROR(OFFSET(Teams!$A$1,MATCH($A9,Teams!$A:$A,0),8,13),OFFSET(Teams!$K$1,MATCH($A9,Teams!$K:$K,0),8,13)),IFERROR(OFFSET(Teams!$A$1,MATCH($A9,Teams!$A:$A,0),8,13),OFFSET(Teams!$K$1,MATCH($A9,Teams!$K:$K,0),8,13))&lt;&gt;""#N/A"",IFERROR(OFFSET("&amp;"Teams!$A$1,MATCH($A9,Teams!$A:$A,0),8,13),OFFSET(Teams!$K$1,MATCH($A9,Teams!$K:$K,0),8,13))&gt;=LARGE(FILTER(IFERROR(OFFSET(Teams!$A$1,MATCH($A9,Teams!$A:$A,0),8,13),OFFSET(Teams!$K$1,MATCH($A9,Teams!$K:$K,0),8,13)),IFERROR(OFFSET(Teams!$A$1,MATCH($A9,Teams!"&amp;"$A:$A,0),8,13),OFFSET(Teams!$K$1,MATCH($A9,Teams!$K:$K,0),8,13))&lt;&gt;""#N/A""),5)))*3+AVERAGE(FILTER(IFERROR(OFFSET(Teams!$A$1,MATCH($A9,Teams!$A:$A,0),8,13),OFFSET(Teams!$K$1,MATCH($A9,Teams!$K:$K,0),8,13)),IFERROR(OFFSET(Teams!$A$1,MATCH($A9,Teams!$A:$A,0)"&amp;",8,13),OFFSET(Teams!$K$1,MATCH($A9,Teams!$K:$K,0),8,13))&lt;&gt;""#N/A"",IFERROR(OFFSET(Teams!$A$1,MATCH($A9,Teams!$A:$A,0),8,13),OFFSET(Teams!$K$1,MATCH($A9,Teams!$K:$K,0),8,13))&gt;=LARGE(FILTER(IFERROR(OFFSET(Teams!$A$1,MATCH($A9,Teams!$A:$A,0),8,13),OFFSET(Tea"&amp;"ms!$K$1,MATCH($A9,Teams!$K:$K,0),8,13)),IFERROR(OFFSET(Teams!$A$1,MATCH($A9,Teams!$A:$A,0),8,13),OFFSET(Teams!$K$1,MATCH($A9,Teams!$K:$K,0),8,13))&lt;&gt;""#N/A""),7)))+AVERAGE(FILTER(IFERROR(OFFSET(Teams!$A$1,MATCH($A9,Teams!$A:$A,0),8,13),OFFSET(Teams!$K$1,MA"&amp;"TCH($A9,Teams!$K:$K,0),8,13)),IFERROR(OFFSET(Teams!$A$1,MATCH($A9,Teams!$A:$A,0),8,13),OFFSET(Teams!$K$1,MATCH($A9,Teams!$K:$K,0),8,13))&lt;&gt;""#N/A"",IFERROR(OFFSET(Teams!$A$1,MATCH($A9,Teams!$A:$A,0),8,13),OFFSET(Teams!$K$1,MATCH($A9,Teams!$K:$K,0),8,13))&gt;="&amp;"LARGE(FILTER(IFERROR(OFFSET(Teams!$A$1,MATCH($A9,Teams!$A:$A,0),8,13),OFFSET(Teams!$K$1,MATCH($A9,Teams!$K:$K,0),8,13)),IFERROR(OFFSET(Teams!$A$1,MATCH($A9,Teams!$A:$A,0),8,13),OFFSET(Teams!$K$1,MATCH($A9,Teams!$K:$K,0),8,13))&lt;&gt;""#N/A""),11))))/5"),0.0)</f>
        <v>0</v>
      </c>
      <c r="N9" s="100" t="str">
        <f t="shared" si="2"/>
        <v>#N/A</v>
      </c>
      <c r="O9" s="11"/>
    </row>
    <row r="10">
      <c r="A10" s="17" t="s">
        <v>1308</v>
      </c>
      <c r="B10" s="94">
        <f>COUNTIF(IFERROR(OFFSET(Teams!$A$1,MATCH($A10,Teams!$A:$A,0),2,11),OFFSET(Teams!$K$1,MATCH($A10,Teams!$K:$K,0),2,11)),"PG")</f>
        <v>0</v>
      </c>
      <c r="C10" s="94">
        <f>COUNTIF(IFERROR(OFFSET(Teams!$A$1,MATCH($A10,Teams!$A:$A,0),2,11),OFFSET(Teams!$K$1,MATCH($A10,Teams!$K:$K,0),2,11)),"SG")</f>
        <v>0</v>
      </c>
      <c r="D10" s="94">
        <f>COUNTIF(IFERROR(OFFSET(Teams!$A$1,MATCH($A10,Teams!$A:$A,0),2,11),OFFSET(Teams!$K$1,MATCH($A10,Teams!$K:$K,0),2,11)),"SF")</f>
        <v>0</v>
      </c>
      <c r="E10" s="94">
        <f>COUNTIF(IFERROR(OFFSET(Teams!$A$1,MATCH($A10,Teams!$A:$A,0),2,11),OFFSET(Teams!$K$1,MATCH($A10,Teams!$K:$K,0),2,11)),"PF")</f>
        <v>0</v>
      </c>
      <c r="F10" s="94">
        <f>COUNTIF(IFERROR(OFFSET(Teams!$A$1,MATCH($A10,Teams!$A:$A,0),2,11),OFFSET(Teams!$K$1,MATCH($A10,Teams!$K:$K,0),2,11)),"C")</f>
        <v>0</v>
      </c>
      <c r="G10" s="98">
        <f t="array" ref="G10">IF(MIN(IF(ISNUMBER(IFERROR(OFFSET(Teams!$A$1,MATCH($A10,Teams!$A:$A,0),6,11),OFFSET(Teams!$K$1,MATCH($A10,Teams!$K:$K,0),6,11))),IFERROR(OFFSET(Teams!$A$1,MATCH($A10,Teams!$A:$A,0),6,11),OFFSET(Teams!$K$1,MATCH($A10,Teams!$K:$K,0),6,11))))&gt;IF(IFERROR(IFERROR(INDEX(Teams!$G:$G,MATCH($A10,Teams!$A:$A,0)+13),INDEX(Teams!$Q:$Q,MATCH($A10,Teams!$K:$K,0)+13)),0)="",0,IFERROR(IFERROR(INDEX(Teams!$G:$G,MATCH($A10,Teams!$A:$A,0)+13),INDEX(Teams!$Q:$Q,MATCH($A10,Teams!$K:$K,0)+13)),0)),AVERAGEIF(IFERROR(OFFSET(Teams!$A$1,MATCH($A10,Teams!$A:$A,0),3,11),OFFSET(Teams!$K$1,MATCH($A10,Teams!$K:$K,0),3,11)),"&lt;&gt;#N/A"),(SUMIF(IFERROR(OFFSET(Teams!$A$1,MATCH($A10,Teams!$A:$A,0),3,11),OFFSET(Teams!$K$1,MATCH($A10,Teams!$K:$K,0),3,11)),"&lt;&gt;#N/A")-MIN(IF(ISNUMBER(IFERROR(OFFSET(Teams!$A$1,MATCH($A10,Teams!$A:$A,0),3,11),OFFSET(Teams!$K$1,MATCH($A10,Teams!$K:$K,0),3,11))),IFERROR(OFFSET(Teams!$A$1,MATCH($A10,Teams!$A:$A,0),3,11),OFFSET(Teams!$K$1,MATCH($A10,Teams!$K:$K,0),3,11))))+IFERROR(INDEX(Teams!$D:$D,MATCH($A10,Teams!$A:$A,0)+13),INDEX(Teams!$N:$N,MATCH($A10,Teams!$K:$K,0)+13)))/11)</f>
        <v>0</v>
      </c>
      <c r="H10" s="96">
        <f t="array" ref="H10">SUM(1/COUNTIF(IFERROR(OFFSET(Teams!$A$1,MATCH($A10,Teams!$A:$A,0),4,11),OFFSET(Teams!$K$1,MATCH($A10,Teams!$K:$K,0),4,11)),IFERROR(OFFSET(Teams!$A$1,MATCH($A10,Teams!$A:$A,0),4,11),OFFSET(Teams!$K$1,MATCH($A10,Teams!$K:$K,0),4,11))))</f>
        <v>1</v>
      </c>
      <c r="I10" s="97">
        <f t="array" ref="I10">IF(MIN(IF(ISNUMBER(IFERROR(OFFSET(Teams!$A$1,MATCH($A10,Teams!$A:$A,0),6,11),OFFSET(Teams!$K$1,MATCH($A10,Teams!$K:$K,0),6,11))),IFERROR(OFFSET(Teams!$A$1,MATCH($A10,Teams!$A:$A,0),6,11),OFFSET(Teams!$K$1,MATCH($A10,Teams!$K:$K,0),6,11))))&gt;IF(IFERROR(IFERROR(INDEX(Teams!$G:$G,MATCH($A10,Teams!$A:$A,0)+13),INDEX(Teams!$Q:$Q,MATCH($A10,Teams!$K:$K,0)+13)),0)="",0,IFERROR(IFERROR(INDEX(Teams!$G:$G,MATCH($A10,Teams!$A:$A,0)+13),INDEX(Teams!$Q:$Q,MATCH($A10,Teams!$K:$K,0)+13)),0)),AVERAGEIF(IFERROR(OFFSET(Teams!$A$1,MATCH($A10,Teams!$A:$A,0),5,11),OFFSET(Teams!$K$1,MATCH($A10,Teams!$K:$K,0),5,11)),"&lt;&gt;#N/A"),(SUMIF(IFERROR(OFFSET(Teams!$A$1,MATCH($A10,Teams!$A:$A,0),5,11),OFFSET(Teams!$K$1,MATCH($A10,Teams!$K:$K,0),5,11)),"&lt;&gt;#N/A")-MIN(IF(ISNUMBER(IFERROR(OFFSET(Teams!$A$1,MATCH($A10,Teams!$A:$A,0),5,11),OFFSET(Teams!$K$1,MATCH($A10,Teams!$K:$K,0),5,11))),IFERROR(OFFSET(Teams!$A$1,MATCH($A10,Teams!$A:$A,0),5,11),OFFSET(Teams!$K$1,MATCH($A10,Teams!$K:$K,0),5,11))))+IFERROR(INDEX(Teams!$F:$F,MATCH($A10,Teams!$A:$A,0)+13),INDEX(Teams!$P:$P,MATCH($A10,Teams!$K:$K,0)+13)))/11)</f>
        <v>0</v>
      </c>
      <c r="J10" s="98">
        <f t="array" ref="J10">IF(MIN(IF(ISNUMBER(IFERROR(OFFSET(Teams!$A$1,MATCH($A10,Teams!$A:$A,0),6,11),OFFSET(Teams!$K$1,MATCH($A10,Teams!$K:$K,0),6,11))),IFERROR(OFFSET(Teams!$A$1,MATCH($A10,Teams!$A:$A,0),6,11),OFFSET(Teams!$K$1,MATCH($A10,Teams!$K:$K,0),6,11))))&gt;IF(IFERROR(IFERROR(INDEX(Teams!$G:$G,MATCH($A10,Teams!$A:$A,0)+13),INDEX(Teams!$Q:$Q,MATCH($A10,Teams!$K:$K,0)+13)),0)="",0,IFERROR(IFERROR(INDEX(Teams!$G:$G,MATCH($A10,Teams!$A:$A,0)+13),INDEX(Teams!$Q:$Q,MATCH($A10,Teams!$K:$K,0)+13)),0)),AVERAGEIF(IFERROR(OFFSET(Teams!$A$1,MATCH($A10,Teams!$A:$A,0),6,11),OFFSET(Teams!$K$1,MATCH($A10,Teams!$K:$K,0),6,11)),"&lt;&gt;#N/A"),(SUMIF(IFERROR(OFFSET(Teams!$A$1,MATCH($A10,Teams!$A:$A,0),6,11),OFFSET(Teams!$K$1,MATCH($A10,Teams!$K:$K,0),6,11)),"&lt;&gt;#N/A")-MIN(IF(ISNUMBER(IFERROR(OFFSET(Teams!$A$1,MATCH($A10,Teams!$A:$A,0),6,11),OFFSET(Teams!$K$1,MATCH($A10,Teams!$K:$K,0),6,11))),IFERROR(OFFSET(Teams!$A$1,MATCH($A10,Teams!$A:$A,0),6,11),OFFSET(Teams!$K$1,MATCH($A10,Teams!$K:$K,0),6,11))))+IFERROR(INDEX(Teams!$G:$G,MATCH($A10,Teams!$A:$A,0)+13),INDEX(Teams!$Q:$Q,MATCH($A10,Teams!$K:$K,0)+13)))/11)</f>
        <v>0</v>
      </c>
      <c r="K10" s="99">
        <f t="array" ref="K10">IF(MIN(IF(ISNUMBER(IFERROR(OFFSET(Teams!$A$1,MATCH($A10,Teams!$A:$A,0),6,11),OFFSET(Teams!$K$1,MATCH($A10,Teams!$K:$K,0),6,11))),IFERROR(OFFSET(Teams!$A$1,MATCH($A10,Teams!$A:$A,0),6,11),OFFSET(Teams!$K$1,MATCH($A10,Teams!$K:$K,0),6,11))))&gt;IF(IFERROR(IFERROR(INDEX(Teams!$G:$G,MATCH($A10,Teams!$A:$A,0)+13),INDEX(Teams!$Q:$Q,MATCH($A10,Teams!$K:$K,0)+13)),0)="",0,IFERROR(IFERROR(INDEX(Teams!$G:$G,MATCH($A10,Teams!$A:$A,0)+13),INDEX(Teams!$Q:$Q,MATCH($A10,Teams!$K:$K,0)+13)),0)),AVERAGEIF(IFERROR(OFFSET(Teams!$A$1,MATCH($A10,Teams!$A:$A,0),7,11),OFFSET(Teams!$K$1,MATCH($A10,Teams!$K:$K,0),7,11)),"&lt;&gt;#N/A"),(SUMIF(IFERROR(OFFSET(Teams!$A$1,MATCH($A10,Teams!$A:$A,0),7,11),OFFSET(Teams!$K$1,MATCH($A10,Teams!$K:$K,0),7,11)),"&lt;&gt;#N/A")-MIN(IF(ISNUMBER(IFERROR(OFFSET(Teams!$A$1,MATCH($A10,Teams!$A:$A,0),7,11),OFFSET(Teams!$K$1,MATCH($A10,Teams!$K:$K,0),7,11))),IFERROR(OFFSET(Teams!$A$1,MATCH($A10,Teams!$A:$A,0),7,11),OFFSET(Teams!$K$1,MATCH($A10,Teams!$K:$K,0),7,11))))+IFERROR(INDEX(Teams!$H:$H,MATCH($A10,Teams!$A:$A,0)+13),INDEX(Teams!$R:$R,MATCH($A10,Teams!$K:$K,0)+13)))/11)</f>
        <v>0</v>
      </c>
      <c r="L10" s="97" t="str">
        <f t="shared" si="1"/>
        <v>#N/A</v>
      </c>
      <c r="M10" s="31">
        <f>IFERROR(__xludf.DUMMYFUNCTION("(AVERAGE(FILTER(IFERROR(OFFSET(Teams!$A$1,MATCH($A10,Teams!$A:$A,0),8,13),OFFSET(Teams!$K$1,MATCH($A10,Teams!$K:$K,0),8,13)),IFERROR(OFFSET(Teams!$A$1,MATCH($A10,Teams!$A:$A,0),8,13),OFFSET(Teams!$K$1,MATCH($A10,Teams!$K:$K,0),8,13))&lt;&gt;""#N/A"",IFERROR(OFF"&amp;"SET(Teams!$A$1,MATCH($A10,Teams!$A:$A,0),8,13),OFFSET(Teams!$K$1,MATCH($A10,Teams!$K:$K,0),8,13))&gt;=LARGE(FILTER(IFERROR(OFFSET(Teams!$A$1,MATCH($A10,Teams!$A:$A,0),8,13),OFFSET(Teams!$K$1,MATCH($A10,Teams!$K:$K,0),8,13)),IFERROR(OFFSET(Teams!$A$1,MATCH($A"&amp;"10,Teams!$A:$A,0),8,13),OFFSET(Teams!$K$1,MATCH($A10,Teams!$K:$K,0),8,13))&lt;&gt;""#N/A""),5)))*3+AVERAGE(FILTER(IFERROR(OFFSET(Teams!$A$1,MATCH($A10,Teams!$A:$A,0),8,13),OFFSET(Teams!$K$1,MATCH($A10,Teams!$K:$K,0),8,13)),IFERROR(OFFSET(Teams!$A$1,MATCH($A10,T"&amp;"eams!$A:$A,0),8,13),OFFSET(Teams!$K$1,MATCH($A10,Teams!$K:$K,0),8,13))&lt;&gt;""#N/A"",IFERROR(OFFSET(Teams!$A$1,MATCH($A10,Teams!$A:$A,0),8,13),OFFSET(Teams!$K$1,MATCH($A10,Teams!$K:$K,0),8,13))&gt;=LARGE(FILTER(IFERROR(OFFSET(Teams!$A$1,MATCH($A10,Teams!$A:$A,0)"&amp;",8,13),OFFSET(Teams!$K$1,MATCH($A10,Teams!$K:$K,0),8,13)),IFERROR(OFFSET(Teams!$A$1,MATCH($A10,Teams!$A:$A,0),8,13),OFFSET(Teams!$K$1,MATCH($A10,Teams!$K:$K,0),8,13))&lt;&gt;""#N/A""),7)))+AVERAGE(FILTER(IFERROR(OFFSET(Teams!$A$1,MATCH($A10,Teams!$A:$A,0),8,13)"&amp;",OFFSET(Teams!$K$1,MATCH($A10,Teams!$K:$K,0),8,13)),IFERROR(OFFSET(Teams!$A$1,MATCH($A10,Teams!$A:$A,0),8,13),OFFSET(Teams!$K$1,MATCH($A10,Teams!$K:$K,0),8,13))&lt;&gt;""#N/A"",IFERROR(OFFSET(Teams!$A$1,MATCH($A10,Teams!$A:$A,0),8,13),OFFSET(Teams!$K$1,MATCH($A"&amp;"10,Teams!$K:$K,0),8,13))&gt;=LARGE(FILTER(IFERROR(OFFSET(Teams!$A$1,MATCH($A10,Teams!$A:$A,0),8,13),OFFSET(Teams!$K$1,MATCH($A10,Teams!$K:$K,0),8,13)),IFERROR(OFFSET(Teams!$A$1,MATCH($A10,Teams!$A:$A,0),8,13),OFFSET(Teams!$K$1,MATCH($A10,Teams!$K:$K,0),8,13)"&amp;")&lt;&gt;""#N/A""),11))))/5"),0.0)</f>
        <v>0</v>
      </c>
      <c r="N10" s="100" t="str">
        <f t="shared" si="2"/>
        <v>#N/A</v>
      </c>
      <c r="O10" s="11"/>
    </row>
    <row r="11">
      <c r="A11" s="17" t="s">
        <v>1312</v>
      </c>
      <c r="B11" s="94">
        <f>COUNTIF(IFERROR(OFFSET(Teams!$A$1,MATCH($A11,Teams!$A:$A,0),2,11),OFFSET(Teams!$K$1,MATCH($A11,Teams!$K:$K,0),2,11)),"PG")</f>
        <v>0</v>
      </c>
      <c r="C11" s="94">
        <f>COUNTIF(IFERROR(OFFSET(Teams!$A$1,MATCH($A11,Teams!$A:$A,0),2,11),OFFSET(Teams!$K$1,MATCH($A11,Teams!$K:$K,0),2,11)),"SG")</f>
        <v>0</v>
      </c>
      <c r="D11" s="94">
        <f>COUNTIF(IFERROR(OFFSET(Teams!$A$1,MATCH($A11,Teams!$A:$A,0),2,11),OFFSET(Teams!$K$1,MATCH($A11,Teams!$K:$K,0),2,11)),"SF")</f>
        <v>0</v>
      </c>
      <c r="E11" s="94">
        <f>COUNTIF(IFERROR(OFFSET(Teams!$A$1,MATCH($A11,Teams!$A:$A,0),2,11),OFFSET(Teams!$K$1,MATCH($A11,Teams!$K:$K,0),2,11)),"PF")</f>
        <v>0</v>
      </c>
      <c r="F11" s="94">
        <f>COUNTIF(IFERROR(OFFSET(Teams!$A$1,MATCH($A11,Teams!$A:$A,0),2,11),OFFSET(Teams!$K$1,MATCH($A11,Teams!$K:$K,0),2,11)),"C")</f>
        <v>0</v>
      </c>
      <c r="G11" s="98">
        <f t="array" ref="G11">IF(MIN(IF(ISNUMBER(IFERROR(OFFSET(Teams!$A$1,MATCH($A11,Teams!$A:$A,0),6,11),OFFSET(Teams!$K$1,MATCH($A11,Teams!$K:$K,0),6,11))),IFERROR(OFFSET(Teams!$A$1,MATCH($A11,Teams!$A:$A,0),6,11),OFFSET(Teams!$K$1,MATCH($A11,Teams!$K:$K,0),6,11))))&gt;IF(IFERROR(IFERROR(INDEX(Teams!$G:$G,MATCH($A11,Teams!$A:$A,0)+13),INDEX(Teams!$Q:$Q,MATCH($A11,Teams!$K:$K,0)+13)),0)="",0,IFERROR(IFERROR(INDEX(Teams!$G:$G,MATCH($A11,Teams!$A:$A,0)+13),INDEX(Teams!$Q:$Q,MATCH($A11,Teams!$K:$K,0)+13)),0)),AVERAGEIF(IFERROR(OFFSET(Teams!$A$1,MATCH($A11,Teams!$A:$A,0),3,11),OFFSET(Teams!$K$1,MATCH($A11,Teams!$K:$K,0),3,11)),"&lt;&gt;#N/A"),(SUMIF(IFERROR(OFFSET(Teams!$A$1,MATCH($A11,Teams!$A:$A,0),3,11),OFFSET(Teams!$K$1,MATCH($A11,Teams!$K:$K,0),3,11)),"&lt;&gt;#N/A")-MIN(IF(ISNUMBER(IFERROR(OFFSET(Teams!$A$1,MATCH($A11,Teams!$A:$A,0),3,11),OFFSET(Teams!$K$1,MATCH($A11,Teams!$K:$K,0),3,11))),IFERROR(OFFSET(Teams!$A$1,MATCH($A11,Teams!$A:$A,0),3,11),OFFSET(Teams!$K$1,MATCH($A11,Teams!$K:$K,0),3,11))))+IFERROR(INDEX(Teams!$D:$D,MATCH($A11,Teams!$A:$A,0)+13),INDEX(Teams!$N:$N,MATCH($A11,Teams!$K:$K,0)+13)))/11)</f>
        <v>0</v>
      </c>
      <c r="H11" s="96">
        <f t="array" ref="H11">SUM(1/COUNTIF(IFERROR(OFFSET(Teams!$A$1,MATCH($A11,Teams!$A:$A,0),4,11),OFFSET(Teams!$K$1,MATCH($A11,Teams!$K:$K,0),4,11)),IFERROR(OFFSET(Teams!$A$1,MATCH($A11,Teams!$A:$A,0),4,11),OFFSET(Teams!$K$1,MATCH($A11,Teams!$K:$K,0),4,11))))</f>
        <v>1</v>
      </c>
      <c r="I11" s="97">
        <f t="array" ref="I11">IF(MIN(IF(ISNUMBER(IFERROR(OFFSET(Teams!$A$1,MATCH($A11,Teams!$A:$A,0),6,11),OFFSET(Teams!$K$1,MATCH($A11,Teams!$K:$K,0),6,11))),IFERROR(OFFSET(Teams!$A$1,MATCH($A11,Teams!$A:$A,0),6,11),OFFSET(Teams!$K$1,MATCH($A11,Teams!$K:$K,0),6,11))))&gt;IF(IFERROR(IFERROR(INDEX(Teams!$G:$G,MATCH($A11,Teams!$A:$A,0)+13),INDEX(Teams!$Q:$Q,MATCH($A11,Teams!$K:$K,0)+13)),0)="",0,IFERROR(IFERROR(INDEX(Teams!$G:$G,MATCH($A11,Teams!$A:$A,0)+13),INDEX(Teams!$Q:$Q,MATCH($A11,Teams!$K:$K,0)+13)),0)),AVERAGEIF(IFERROR(OFFSET(Teams!$A$1,MATCH($A11,Teams!$A:$A,0),5,11),OFFSET(Teams!$K$1,MATCH($A11,Teams!$K:$K,0),5,11)),"&lt;&gt;#N/A"),(SUMIF(IFERROR(OFFSET(Teams!$A$1,MATCH($A11,Teams!$A:$A,0),5,11),OFFSET(Teams!$K$1,MATCH($A11,Teams!$K:$K,0),5,11)),"&lt;&gt;#N/A")-MIN(IF(ISNUMBER(IFERROR(OFFSET(Teams!$A$1,MATCH($A11,Teams!$A:$A,0),5,11),OFFSET(Teams!$K$1,MATCH($A11,Teams!$K:$K,0),5,11))),IFERROR(OFFSET(Teams!$A$1,MATCH($A11,Teams!$A:$A,0),5,11),OFFSET(Teams!$K$1,MATCH($A11,Teams!$K:$K,0),5,11))))+IFERROR(INDEX(Teams!$F:$F,MATCH($A11,Teams!$A:$A,0)+13),INDEX(Teams!$P:$P,MATCH($A11,Teams!$K:$K,0)+13)))/11)</f>
        <v>0</v>
      </c>
      <c r="J11" s="98">
        <f t="array" ref="J11">IF(MIN(IF(ISNUMBER(IFERROR(OFFSET(Teams!$A$1,MATCH($A11,Teams!$A:$A,0),6,11),OFFSET(Teams!$K$1,MATCH($A11,Teams!$K:$K,0),6,11))),IFERROR(OFFSET(Teams!$A$1,MATCH($A11,Teams!$A:$A,0),6,11),OFFSET(Teams!$K$1,MATCH($A11,Teams!$K:$K,0),6,11))))&gt;IF(IFERROR(IFERROR(INDEX(Teams!$G:$G,MATCH($A11,Teams!$A:$A,0)+13),INDEX(Teams!$Q:$Q,MATCH($A11,Teams!$K:$K,0)+13)),0)="",0,IFERROR(IFERROR(INDEX(Teams!$G:$G,MATCH($A11,Teams!$A:$A,0)+13),INDEX(Teams!$Q:$Q,MATCH($A11,Teams!$K:$K,0)+13)),0)),AVERAGEIF(IFERROR(OFFSET(Teams!$A$1,MATCH($A11,Teams!$A:$A,0),6,11),OFFSET(Teams!$K$1,MATCH($A11,Teams!$K:$K,0),6,11)),"&lt;&gt;#N/A"),(SUMIF(IFERROR(OFFSET(Teams!$A$1,MATCH($A11,Teams!$A:$A,0),6,11),OFFSET(Teams!$K$1,MATCH($A11,Teams!$K:$K,0),6,11)),"&lt;&gt;#N/A")-MIN(IF(ISNUMBER(IFERROR(OFFSET(Teams!$A$1,MATCH($A11,Teams!$A:$A,0),6,11),OFFSET(Teams!$K$1,MATCH($A11,Teams!$K:$K,0),6,11))),IFERROR(OFFSET(Teams!$A$1,MATCH($A11,Teams!$A:$A,0),6,11),OFFSET(Teams!$K$1,MATCH($A11,Teams!$K:$K,0),6,11))))+IFERROR(INDEX(Teams!$G:$G,MATCH($A11,Teams!$A:$A,0)+13),INDEX(Teams!$Q:$Q,MATCH($A11,Teams!$K:$K,0)+13)))/11)</f>
        <v>0</v>
      </c>
      <c r="K11" s="99">
        <f t="array" ref="K11">IF(MIN(IF(ISNUMBER(IFERROR(OFFSET(Teams!$A$1,MATCH($A11,Teams!$A:$A,0),6,11),OFFSET(Teams!$K$1,MATCH($A11,Teams!$K:$K,0),6,11))),IFERROR(OFFSET(Teams!$A$1,MATCH($A11,Teams!$A:$A,0),6,11),OFFSET(Teams!$K$1,MATCH($A11,Teams!$K:$K,0),6,11))))&gt;IF(IFERROR(IFERROR(INDEX(Teams!$G:$G,MATCH($A11,Teams!$A:$A,0)+13),INDEX(Teams!$Q:$Q,MATCH($A11,Teams!$K:$K,0)+13)),0)="",0,IFERROR(IFERROR(INDEX(Teams!$G:$G,MATCH($A11,Teams!$A:$A,0)+13),INDEX(Teams!$Q:$Q,MATCH($A11,Teams!$K:$K,0)+13)),0)),AVERAGEIF(IFERROR(OFFSET(Teams!$A$1,MATCH($A11,Teams!$A:$A,0),7,11),OFFSET(Teams!$K$1,MATCH($A11,Teams!$K:$K,0),7,11)),"&lt;&gt;#N/A"),(SUMIF(IFERROR(OFFSET(Teams!$A$1,MATCH($A11,Teams!$A:$A,0),7,11),OFFSET(Teams!$K$1,MATCH($A11,Teams!$K:$K,0),7,11)),"&lt;&gt;#N/A")-MIN(IF(ISNUMBER(IFERROR(OFFSET(Teams!$A$1,MATCH($A11,Teams!$A:$A,0),7,11),OFFSET(Teams!$K$1,MATCH($A11,Teams!$K:$K,0),7,11))),IFERROR(OFFSET(Teams!$A$1,MATCH($A11,Teams!$A:$A,0),7,11),OFFSET(Teams!$K$1,MATCH($A11,Teams!$K:$K,0),7,11))))+IFERROR(INDEX(Teams!$H:$H,MATCH($A11,Teams!$A:$A,0)+13),INDEX(Teams!$R:$R,MATCH($A11,Teams!$K:$K,0)+13)))/11)</f>
        <v>0</v>
      </c>
      <c r="L11" s="97" t="str">
        <f t="shared" si="1"/>
        <v>#N/A</v>
      </c>
      <c r="M11" s="31">
        <f>IFERROR(__xludf.DUMMYFUNCTION("(AVERAGE(FILTER(IFERROR(OFFSET(Teams!$A$1,MATCH($A11,Teams!$A:$A,0),8,13),OFFSET(Teams!$K$1,MATCH($A11,Teams!$K:$K,0),8,13)),IFERROR(OFFSET(Teams!$A$1,MATCH($A11,Teams!$A:$A,0),8,13),OFFSET(Teams!$K$1,MATCH($A11,Teams!$K:$K,0),8,13))&lt;&gt;""#N/A"",IFERROR(OFF"&amp;"SET(Teams!$A$1,MATCH($A11,Teams!$A:$A,0),8,13),OFFSET(Teams!$K$1,MATCH($A11,Teams!$K:$K,0),8,13))&gt;=LARGE(FILTER(IFERROR(OFFSET(Teams!$A$1,MATCH($A11,Teams!$A:$A,0),8,13),OFFSET(Teams!$K$1,MATCH($A11,Teams!$K:$K,0),8,13)),IFERROR(OFFSET(Teams!$A$1,MATCH($A"&amp;"11,Teams!$A:$A,0),8,13),OFFSET(Teams!$K$1,MATCH($A11,Teams!$K:$K,0),8,13))&lt;&gt;""#N/A""),5)))*3+AVERAGE(FILTER(IFERROR(OFFSET(Teams!$A$1,MATCH($A11,Teams!$A:$A,0),8,13),OFFSET(Teams!$K$1,MATCH($A11,Teams!$K:$K,0),8,13)),IFERROR(OFFSET(Teams!$A$1,MATCH($A11,T"&amp;"eams!$A:$A,0),8,13),OFFSET(Teams!$K$1,MATCH($A11,Teams!$K:$K,0),8,13))&lt;&gt;""#N/A"",IFERROR(OFFSET(Teams!$A$1,MATCH($A11,Teams!$A:$A,0),8,13),OFFSET(Teams!$K$1,MATCH($A11,Teams!$K:$K,0),8,13))&gt;=LARGE(FILTER(IFERROR(OFFSET(Teams!$A$1,MATCH($A11,Teams!$A:$A,0)"&amp;",8,13),OFFSET(Teams!$K$1,MATCH($A11,Teams!$K:$K,0),8,13)),IFERROR(OFFSET(Teams!$A$1,MATCH($A11,Teams!$A:$A,0),8,13),OFFSET(Teams!$K$1,MATCH($A11,Teams!$K:$K,0),8,13))&lt;&gt;""#N/A""),7)))+AVERAGE(FILTER(IFERROR(OFFSET(Teams!$A$1,MATCH($A11,Teams!$A:$A,0),8,13)"&amp;",OFFSET(Teams!$K$1,MATCH($A11,Teams!$K:$K,0),8,13)),IFERROR(OFFSET(Teams!$A$1,MATCH($A11,Teams!$A:$A,0),8,13),OFFSET(Teams!$K$1,MATCH($A11,Teams!$K:$K,0),8,13))&lt;&gt;""#N/A"",IFERROR(OFFSET(Teams!$A$1,MATCH($A11,Teams!$A:$A,0),8,13),OFFSET(Teams!$K$1,MATCH($A"&amp;"11,Teams!$K:$K,0),8,13))&gt;=LARGE(FILTER(IFERROR(OFFSET(Teams!$A$1,MATCH($A11,Teams!$A:$A,0),8,13),OFFSET(Teams!$K$1,MATCH($A11,Teams!$K:$K,0),8,13)),IFERROR(OFFSET(Teams!$A$1,MATCH($A11,Teams!$A:$A,0),8,13),OFFSET(Teams!$K$1,MATCH($A11,Teams!$K:$K,0),8,13)"&amp;")&lt;&gt;""#N/A""),11))))/5"),0.0)</f>
        <v>0</v>
      </c>
      <c r="N11" s="100" t="str">
        <f t="shared" si="2"/>
        <v>#N/A</v>
      </c>
      <c r="O11" s="11"/>
    </row>
    <row r="12">
      <c r="A12" s="17" t="s">
        <v>1327</v>
      </c>
      <c r="B12" s="94">
        <f>COUNTIF(IFERROR(OFFSET(Teams!$A$1,MATCH($A12,Teams!$A:$A,0),2,11),OFFSET(Teams!$K$1,MATCH($A12,Teams!$K:$K,0),2,11)),"PG")</f>
        <v>0</v>
      </c>
      <c r="C12" s="94">
        <f>COUNTIF(IFERROR(OFFSET(Teams!$A$1,MATCH($A12,Teams!$A:$A,0),2,11),OFFSET(Teams!$K$1,MATCH($A12,Teams!$K:$K,0),2,11)),"SG")</f>
        <v>0</v>
      </c>
      <c r="D12" s="94">
        <f>COUNTIF(IFERROR(OFFSET(Teams!$A$1,MATCH($A12,Teams!$A:$A,0),2,11),OFFSET(Teams!$K$1,MATCH($A12,Teams!$K:$K,0),2,11)),"SF")</f>
        <v>0</v>
      </c>
      <c r="E12" s="94">
        <f>COUNTIF(IFERROR(OFFSET(Teams!$A$1,MATCH($A12,Teams!$A:$A,0),2,11),OFFSET(Teams!$K$1,MATCH($A12,Teams!$K:$K,0),2,11)),"PF")</f>
        <v>0</v>
      </c>
      <c r="F12" s="94">
        <f>COUNTIF(IFERROR(OFFSET(Teams!$A$1,MATCH($A12,Teams!$A:$A,0),2,11),OFFSET(Teams!$K$1,MATCH($A12,Teams!$K:$K,0),2,11)),"C")</f>
        <v>0</v>
      </c>
      <c r="G12" s="98">
        <f t="array" ref="G12">IF(MIN(IF(ISNUMBER(IFERROR(OFFSET(Teams!$A$1,MATCH($A12,Teams!$A:$A,0),6,11),OFFSET(Teams!$K$1,MATCH($A12,Teams!$K:$K,0),6,11))),IFERROR(OFFSET(Teams!$A$1,MATCH($A12,Teams!$A:$A,0),6,11),OFFSET(Teams!$K$1,MATCH($A12,Teams!$K:$K,0),6,11))))&gt;IF(IFERROR(IFERROR(INDEX(Teams!$G:$G,MATCH($A12,Teams!$A:$A,0)+13),INDEX(Teams!$Q:$Q,MATCH($A12,Teams!$K:$K,0)+13)),0)="",0,IFERROR(IFERROR(INDEX(Teams!$G:$G,MATCH($A12,Teams!$A:$A,0)+13),INDEX(Teams!$Q:$Q,MATCH($A12,Teams!$K:$K,0)+13)),0)),AVERAGEIF(IFERROR(OFFSET(Teams!$A$1,MATCH($A12,Teams!$A:$A,0),3,11),OFFSET(Teams!$K$1,MATCH($A12,Teams!$K:$K,0),3,11)),"&lt;&gt;#N/A"),(SUMIF(IFERROR(OFFSET(Teams!$A$1,MATCH($A12,Teams!$A:$A,0),3,11),OFFSET(Teams!$K$1,MATCH($A12,Teams!$K:$K,0),3,11)),"&lt;&gt;#N/A")-MIN(IF(ISNUMBER(IFERROR(OFFSET(Teams!$A$1,MATCH($A12,Teams!$A:$A,0),3,11),OFFSET(Teams!$K$1,MATCH($A12,Teams!$K:$K,0),3,11))),IFERROR(OFFSET(Teams!$A$1,MATCH($A12,Teams!$A:$A,0),3,11),OFFSET(Teams!$K$1,MATCH($A12,Teams!$K:$K,0),3,11))))+IFERROR(INDEX(Teams!$D:$D,MATCH($A12,Teams!$A:$A,0)+13),INDEX(Teams!$N:$N,MATCH($A12,Teams!$K:$K,0)+13)))/11)</f>
        <v>0</v>
      </c>
      <c r="H12" s="96">
        <f t="array" ref="H12">SUM(1/COUNTIF(IFERROR(OFFSET(Teams!$A$1,MATCH($A12,Teams!$A:$A,0),4,11),OFFSET(Teams!$K$1,MATCH($A12,Teams!$K:$K,0),4,11)),IFERROR(OFFSET(Teams!$A$1,MATCH($A12,Teams!$A:$A,0),4,11),OFFSET(Teams!$K$1,MATCH($A12,Teams!$K:$K,0),4,11))))</f>
        <v>1</v>
      </c>
      <c r="I12" s="97">
        <f t="array" ref="I12">IF(MIN(IF(ISNUMBER(IFERROR(OFFSET(Teams!$A$1,MATCH($A12,Teams!$A:$A,0),6,11),OFFSET(Teams!$K$1,MATCH($A12,Teams!$K:$K,0),6,11))),IFERROR(OFFSET(Teams!$A$1,MATCH($A12,Teams!$A:$A,0),6,11),OFFSET(Teams!$K$1,MATCH($A12,Teams!$K:$K,0),6,11))))&gt;IF(IFERROR(IFERROR(INDEX(Teams!$G:$G,MATCH($A12,Teams!$A:$A,0)+13),INDEX(Teams!$Q:$Q,MATCH($A12,Teams!$K:$K,0)+13)),0)="",0,IFERROR(IFERROR(INDEX(Teams!$G:$G,MATCH($A12,Teams!$A:$A,0)+13),INDEX(Teams!$Q:$Q,MATCH($A12,Teams!$K:$K,0)+13)),0)),AVERAGEIF(IFERROR(OFFSET(Teams!$A$1,MATCH($A12,Teams!$A:$A,0),5,11),OFFSET(Teams!$K$1,MATCH($A12,Teams!$K:$K,0),5,11)),"&lt;&gt;#N/A"),(SUMIF(IFERROR(OFFSET(Teams!$A$1,MATCH($A12,Teams!$A:$A,0),5,11),OFFSET(Teams!$K$1,MATCH($A12,Teams!$K:$K,0),5,11)),"&lt;&gt;#N/A")-MIN(IF(ISNUMBER(IFERROR(OFFSET(Teams!$A$1,MATCH($A12,Teams!$A:$A,0),5,11),OFFSET(Teams!$K$1,MATCH($A12,Teams!$K:$K,0),5,11))),IFERROR(OFFSET(Teams!$A$1,MATCH($A12,Teams!$A:$A,0),5,11),OFFSET(Teams!$K$1,MATCH($A12,Teams!$K:$K,0),5,11))))+IFERROR(INDEX(Teams!$F:$F,MATCH($A12,Teams!$A:$A,0)+13),INDEX(Teams!$P:$P,MATCH($A12,Teams!$K:$K,0)+13)))/11)</f>
        <v>0</v>
      </c>
      <c r="J12" s="98">
        <f t="array" ref="J12">IF(MIN(IF(ISNUMBER(IFERROR(OFFSET(Teams!$A$1,MATCH($A12,Teams!$A:$A,0),6,11),OFFSET(Teams!$K$1,MATCH($A12,Teams!$K:$K,0),6,11))),IFERROR(OFFSET(Teams!$A$1,MATCH($A12,Teams!$A:$A,0),6,11),OFFSET(Teams!$K$1,MATCH($A12,Teams!$K:$K,0),6,11))))&gt;IF(IFERROR(IFERROR(INDEX(Teams!$G:$G,MATCH($A12,Teams!$A:$A,0)+13),INDEX(Teams!$Q:$Q,MATCH($A12,Teams!$K:$K,0)+13)),0)="",0,IFERROR(IFERROR(INDEX(Teams!$G:$G,MATCH($A12,Teams!$A:$A,0)+13),INDEX(Teams!$Q:$Q,MATCH($A12,Teams!$K:$K,0)+13)),0)),AVERAGEIF(IFERROR(OFFSET(Teams!$A$1,MATCH($A12,Teams!$A:$A,0),6,11),OFFSET(Teams!$K$1,MATCH($A12,Teams!$K:$K,0),6,11)),"&lt;&gt;#N/A"),(SUMIF(IFERROR(OFFSET(Teams!$A$1,MATCH($A12,Teams!$A:$A,0),6,11),OFFSET(Teams!$K$1,MATCH($A12,Teams!$K:$K,0),6,11)),"&lt;&gt;#N/A")-MIN(IF(ISNUMBER(IFERROR(OFFSET(Teams!$A$1,MATCH($A12,Teams!$A:$A,0),6,11),OFFSET(Teams!$K$1,MATCH($A12,Teams!$K:$K,0),6,11))),IFERROR(OFFSET(Teams!$A$1,MATCH($A12,Teams!$A:$A,0),6,11),OFFSET(Teams!$K$1,MATCH($A12,Teams!$K:$K,0),6,11))))+IFERROR(INDEX(Teams!$G:$G,MATCH($A12,Teams!$A:$A,0)+13),INDEX(Teams!$Q:$Q,MATCH($A12,Teams!$K:$K,0)+13)))/11)</f>
        <v>0</v>
      </c>
      <c r="K12" s="99">
        <f t="array" ref="K12">IF(MIN(IF(ISNUMBER(IFERROR(OFFSET(Teams!$A$1,MATCH($A12,Teams!$A:$A,0),6,11),OFFSET(Teams!$K$1,MATCH($A12,Teams!$K:$K,0),6,11))),IFERROR(OFFSET(Teams!$A$1,MATCH($A12,Teams!$A:$A,0),6,11),OFFSET(Teams!$K$1,MATCH($A12,Teams!$K:$K,0),6,11))))&gt;IF(IFERROR(IFERROR(INDEX(Teams!$G:$G,MATCH($A12,Teams!$A:$A,0)+13),INDEX(Teams!$Q:$Q,MATCH($A12,Teams!$K:$K,0)+13)),0)="",0,IFERROR(IFERROR(INDEX(Teams!$G:$G,MATCH($A12,Teams!$A:$A,0)+13),INDEX(Teams!$Q:$Q,MATCH($A12,Teams!$K:$K,0)+13)),0)),AVERAGEIF(IFERROR(OFFSET(Teams!$A$1,MATCH($A12,Teams!$A:$A,0),7,11),OFFSET(Teams!$K$1,MATCH($A12,Teams!$K:$K,0),7,11)),"&lt;&gt;#N/A"),(SUMIF(IFERROR(OFFSET(Teams!$A$1,MATCH($A12,Teams!$A:$A,0),7,11),OFFSET(Teams!$K$1,MATCH($A12,Teams!$K:$K,0),7,11)),"&lt;&gt;#N/A")-MIN(IF(ISNUMBER(IFERROR(OFFSET(Teams!$A$1,MATCH($A12,Teams!$A:$A,0),7,11),OFFSET(Teams!$K$1,MATCH($A12,Teams!$K:$K,0),7,11))),IFERROR(OFFSET(Teams!$A$1,MATCH($A12,Teams!$A:$A,0),7,11),OFFSET(Teams!$K$1,MATCH($A12,Teams!$K:$K,0),7,11))))+IFERROR(INDEX(Teams!$H:$H,MATCH($A12,Teams!$A:$A,0)+13),INDEX(Teams!$R:$R,MATCH($A12,Teams!$K:$K,0)+13)))/11)</f>
        <v>0</v>
      </c>
      <c r="L12" s="97" t="str">
        <f t="shared" si="1"/>
        <v>#N/A</v>
      </c>
      <c r="M12" s="31">
        <f>IFERROR(__xludf.DUMMYFUNCTION("(AVERAGE(FILTER(IFERROR(OFFSET(Teams!$A$1,MATCH($A12,Teams!$A:$A,0),8,13),OFFSET(Teams!$K$1,MATCH($A12,Teams!$K:$K,0),8,13)),IFERROR(OFFSET(Teams!$A$1,MATCH($A12,Teams!$A:$A,0),8,13),OFFSET(Teams!$K$1,MATCH($A12,Teams!$K:$K,0),8,13))&lt;&gt;""#N/A"",IFERROR(OFF"&amp;"SET(Teams!$A$1,MATCH($A12,Teams!$A:$A,0),8,13),OFFSET(Teams!$K$1,MATCH($A12,Teams!$K:$K,0),8,13))&gt;=LARGE(FILTER(IFERROR(OFFSET(Teams!$A$1,MATCH($A12,Teams!$A:$A,0),8,13),OFFSET(Teams!$K$1,MATCH($A12,Teams!$K:$K,0),8,13)),IFERROR(OFFSET(Teams!$A$1,MATCH($A"&amp;"12,Teams!$A:$A,0),8,13),OFFSET(Teams!$K$1,MATCH($A12,Teams!$K:$K,0),8,13))&lt;&gt;""#N/A""),5)))*3+AVERAGE(FILTER(IFERROR(OFFSET(Teams!$A$1,MATCH($A12,Teams!$A:$A,0),8,13),OFFSET(Teams!$K$1,MATCH($A12,Teams!$K:$K,0),8,13)),IFERROR(OFFSET(Teams!$A$1,MATCH($A12,T"&amp;"eams!$A:$A,0),8,13),OFFSET(Teams!$K$1,MATCH($A12,Teams!$K:$K,0),8,13))&lt;&gt;""#N/A"",IFERROR(OFFSET(Teams!$A$1,MATCH($A12,Teams!$A:$A,0),8,13),OFFSET(Teams!$K$1,MATCH($A12,Teams!$K:$K,0),8,13))&gt;=LARGE(FILTER(IFERROR(OFFSET(Teams!$A$1,MATCH($A12,Teams!$A:$A,0)"&amp;",8,13),OFFSET(Teams!$K$1,MATCH($A12,Teams!$K:$K,0),8,13)),IFERROR(OFFSET(Teams!$A$1,MATCH($A12,Teams!$A:$A,0),8,13),OFFSET(Teams!$K$1,MATCH($A12,Teams!$K:$K,0),8,13))&lt;&gt;""#N/A""),7)))+AVERAGE(FILTER(IFERROR(OFFSET(Teams!$A$1,MATCH($A12,Teams!$A:$A,0),8,13)"&amp;",OFFSET(Teams!$K$1,MATCH($A12,Teams!$K:$K,0),8,13)),IFERROR(OFFSET(Teams!$A$1,MATCH($A12,Teams!$A:$A,0),8,13),OFFSET(Teams!$K$1,MATCH($A12,Teams!$K:$K,0),8,13))&lt;&gt;""#N/A"",IFERROR(OFFSET(Teams!$A$1,MATCH($A12,Teams!$A:$A,0),8,13),OFFSET(Teams!$K$1,MATCH($A"&amp;"12,Teams!$K:$K,0),8,13))&gt;=LARGE(FILTER(IFERROR(OFFSET(Teams!$A$1,MATCH($A12,Teams!$A:$A,0),8,13),OFFSET(Teams!$K$1,MATCH($A12,Teams!$K:$K,0),8,13)),IFERROR(OFFSET(Teams!$A$1,MATCH($A12,Teams!$A:$A,0),8,13),OFFSET(Teams!$K$1,MATCH($A12,Teams!$K:$K,0),8,13)"&amp;")&lt;&gt;""#N/A""),11))))/5"),0.0)</f>
        <v>0</v>
      </c>
      <c r="N12" s="100" t="str">
        <f t="shared" si="2"/>
        <v>#N/A</v>
      </c>
      <c r="O12" s="11"/>
    </row>
    <row r="13">
      <c r="A13" s="17" t="s">
        <v>1325</v>
      </c>
      <c r="B13" s="94">
        <f>COUNTIF(IFERROR(OFFSET(Teams!$A$1,MATCH($A13,Teams!$A:$A,0),2,11),OFFSET(Teams!$K$1,MATCH($A13,Teams!$K:$K,0),2,11)),"PG")</f>
        <v>0</v>
      </c>
      <c r="C13" s="94">
        <f>COUNTIF(IFERROR(OFFSET(Teams!$A$1,MATCH($A13,Teams!$A:$A,0),2,11),OFFSET(Teams!$K$1,MATCH($A13,Teams!$K:$K,0),2,11)),"SG")</f>
        <v>0</v>
      </c>
      <c r="D13" s="94">
        <f>COUNTIF(IFERROR(OFFSET(Teams!$A$1,MATCH($A13,Teams!$A:$A,0),2,11),OFFSET(Teams!$K$1,MATCH($A13,Teams!$K:$K,0),2,11)),"SF")</f>
        <v>0</v>
      </c>
      <c r="E13" s="94">
        <f>COUNTIF(IFERROR(OFFSET(Teams!$A$1,MATCH($A13,Teams!$A:$A,0),2,11),OFFSET(Teams!$K$1,MATCH($A13,Teams!$K:$K,0),2,11)),"PF")</f>
        <v>0</v>
      </c>
      <c r="F13" s="94">
        <f>COUNTIF(IFERROR(OFFSET(Teams!$A$1,MATCH($A13,Teams!$A:$A,0),2,11),OFFSET(Teams!$K$1,MATCH($A13,Teams!$K:$K,0),2,11)),"C")</f>
        <v>0</v>
      </c>
      <c r="G13" s="98">
        <f t="array" ref="G13">IF(MIN(IF(ISNUMBER(IFERROR(OFFSET(Teams!$A$1,MATCH($A13,Teams!$A:$A,0),6,11),OFFSET(Teams!$K$1,MATCH($A13,Teams!$K:$K,0),6,11))),IFERROR(OFFSET(Teams!$A$1,MATCH($A13,Teams!$A:$A,0),6,11),OFFSET(Teams!$K$1,MATCH($A13,Teams!$K:$K,0),6,11))))&gt;IF(IFERROR(IFERROR(INDEX(Teams!$G:$G,MATCH($A13,Teams!$A:$A,0)+13),INDEX(Teams!$Q:$Q,MATCH($A13,Teams!$K:$K,0)+13)),0)="",0,IFERROR(IFERROR(INDEX(Teams!$G:$G,MATCH($A13,Teams!$A:$A,0)+13),INDEX(Teams!$Q:$Q,MATCH($A13,Teams!$K:$K,0)+13)),0)),AVERAGEIF(IFERROR(OFFSET(Teams!$A$1,MATCH($A13,Teams!$A:$A,0),3,11),OFFSET(Teams!$K$1,MATCH($A13,Teams!$K:$K,0),3,11)),"&lt;&gt;#N/A"),(SUMIF(IFERROR(OFFSET(Teams!$A$1,MATCH($A13,Teams!$A:$A,0),3,11),OFFSET(Teams!$K$1,MATCH($A13,Teams!$K:$K,0),3,11)),"&lt;&gt;#N/A")-MIN(IF(ISNUMBER(IFERROR(OFFSET(Teams!$A$1,MATCH($A13,Teams!$A:$A,0),3,11),OFFSET(Teams!$K$1,MATCH($A13,Teams!$K:$K,0),3,11))),IFERROR(OFFSET(Teams!$A$1,MATCH($A13,Teams!$A:$A,0),3,11),OFFSET(Teams!$K$1,MATCH($A13,Teams!$K:$K,0),3,11))))+IFERROR(INDEX(Teams!$D:$D,MATCH($A13,Teams!$A:$A,0)+13),INDEX(Teams!$N:$N,MATCH($A13,Teams!$K:$K,0)+13)))/11)</f>
        <v>0</v>
      </c>
      <c r="H13" s="96">
        <f t="array" ref="H13">SUM(1/COUNTIF(IFERROR(OFFSET(Teams!$A$1,MATCH($A13,Teams!$A:$A,0),4,11),OFFSET(Teams!$K$1,MATCH($A13,Teams!$K:$K,0),4,11)),IFERROR(OFFSET(Teams!$A$1,MATCH($A13,Teams!$A:$A,0),4,11),OFFSET(Teams!$K$1,MATCH($A13,Teams!$K:$K,0),4,11))))</f>
        <v>1</v>
      </c>
      <c r="I13" s="97">
        <f t="array" ref="I13">IF(MIN(IF(ISNUMBER(IFERROR(OFFSET(Teams!$A$1,MATCH($A13,Teams!$A:$A,0),6,11),OFFSET(Teams!$K$1,MATCH($A13,Teams!$K:$K,0),6,11))),IFERROR(OFFSET(Teams!$A$1,MATCH($A13,Teams!$A:$A,0),6,11),OFFSET(Teams!$K$1,MATCH($A13,Teams!$K:$K,0),6,11))))&gt;IF(IFERROR(IFERROR(INDEX(Teams!$G:$G,MATCH($A13,Teams!$A:$A,0)+13),INDEX(Teams!$Q:$Q,MATCH($A13,Teams!$K:$K,0)+13)),0)="",0,IFERROR(IFERROR(INDEX(Teams!$G:$G,MATCH($A13,Teams!$A:$A,0)+13),INDEX(Teams!$Q:$Q,MATCH($A13,Teams!$K:$K,0)+13)),0)),AVERAGEIF(IFERROR(OFFSET(Teams!$A$1,MATCH($A13,Teams!$A:$A,0),5,11),OFFSET(Teams!$K$1,MATCH($A13,Teams!$K:$K,0),5,11)),"&lt;&gt;#N/A"),(SUMIF(IFERROR(OFFSET(Teams!$A$1,MATCH($A13,Teams!$A:$A,0),5,11),OFFSET(Teams!$K$1,MATCH($A13,Teams!$K:$K,0),5,11)),"&lt;&gt;#N/A")-MIN(IF(ISNUMBER(IFERROR(OFFSET(Teams!$A$1,MATCH($A13,Teams!$A:$A,0),5,11),OFFSET(Teams!$K$1,MATCH($A13,Teams!$K:$K,0),5,11))),IFERROR(OFFSET(Teams!$A$1,MATCH($A13,Teams!$A:$A,0),5,11),OFFSET(Teams!$K$1,MATCH($A13,Teams!$K:$K,0),5,11))))+IFERROR(INDEX(Teams!$F:$F,MATCH($A13,Teams!$A:$A,0)+13),INDEX(Teams!$P:$P,MATCH($A13,Teams!$K:$K,0)+13)))/11)</f>
        <v>0</v>
      </c>
      <c r="J13" s="98">
        <f t="array" ref="J13">IF(MIN(IF(ISNUMBER(IFERROR(OFFSET(Teams!$A$1,MATCH($A13,Teams!$A:$A,0),6,11),OFFSET(Teams!$K$1,MATCH($A13,Teams!$K:$K,0),6,11))),IFERROR(OFFSET(Teams!$A$1,MATCH($A13,Teams!$A:$A,0),6,11),OFFSET(Teams!$K$1,MATCH($A13,Teams!$K:$K,0),6,11))))&gt;IF(IFERROR(IFERROR(INDEX(Teams!$G:$G,MATCH($A13,Teams!$A:$A,0)+13),INDEX(Teams!$Q:$Q,MATCH($A13,Teams!$K:$K,0)+13)),0)="",0,IFERROR(IFERROR(INDEX(Teams!$G:$G,MATCH($A13,Teams!$A:$A,0)+13),INDEX(Teams!$Q:$Q,MATCH($A13,Teams!$K:$K,0)+13)),0)),AVERAGEIF(IFERROR(OFFSET(Teams!$A$1,MATCH($A13,Teams!$A:$A,0),6,11),OFFSET(Teams!$K$1,MATCH($A13,Teams!$K:$K,0),6,11)),"&lt;&gt;#N/A"),(SUMIF(IFERROR(OFFSET(Teams!$A$1,MATCH($A13,Teams!$A:$A,0),6,11),OFFSET(Teams!$K$1,MATCH($A13,Teams!$K:$K,0),6,11)),"&lt;&gt;#N/A")-MIN(IF(ISNUMBER(IFERROR(OFFSET(Teams!$A$1,MATCH($A13,Teams!$A:$A,0),6,11),OFFSET(Teams!$K$1,MATCH($A13,Teams!$K:$K,0),6,11))),IFERROR(OFFSET(Teams!$A$1,MATCH($A13,Teams!$A:$A,0),6,11),OFFSET(Teams!$K$1,MATCH($A13,Teams!$K:$K,0),6,11))))+IFERROR(INDEX(Teams!$G:$G,MATCH($A13,Teams!$A:$A,0)+13),INDEX(Teams!$Q:$Q,MATCH($A13,Teams!$K:$K,0)+13)))/11)</f>
        <v>0</v>
      </c>
      <c r="K13" s="99">
        <f t="array" ref="K13">IF(MIN(IF(ISNUMBER(IFERROR(OFFSET(Teams!$A$1,MATCH($A13,Teams!$A:$A,0),6,11),OFFSET(Teams!$K$1,MATCH($A13,Teams!$K:$K,0),6,11))),IFERROR(OFFSET(Teams!$A$1,MATCH($A13,Teams!$A:$A,0),6,11),OFFSET(Teams!$K$1,MATCH($A13,Teams!$K:$K,0),6,11))))&gt;IF(IFERROR(IFERROR(INDEX(Teams!$G:$G,MATCH($A13,Teams!$A:$A,0)+13),INDEX(Teams!$Q:$Q,MATCH($A13,Teams!$K:$K,0)+13)),0)="",0,IFERROR(IFERROR(INDEX(Teams!$G:$G,MATCH($A13,Teams!$A:$A,0)+13),INDEX(Teams!$Q:$Q,MATCH($A13,Teams!$K:$K,0)+13)),0)),AVERAGEIF(IFERROR(OFFSET(Teams!$A$1,MATCH($A13,Teams!$A:$A,0),7,11),OFFSET(Teams!$K$1,MATCH($A13,Teams!$K:$K,0),7,11)),"&lt;&gt;#N/A"),(SUMIF(IFERROR(OFFSET(Teams!$A$1,MATCH($A13,Teams!$A:$A,0),7,11),OFFSET(Teams!$K$1,MATCH($A13,Teams!$K:$K,0),7,11)),"&lt;&gt;#N/A")-MIN(IF(ISNUMBER(IFERROR(OFFSET(Teams!$A$1,MATCH($A13,Teams!$A:$A,0),7,11),OFFSET(Teams!$K$1,MATCH($A13,Teams!$K:$K,0),7,11))),IFERROR(OFFSET(Teams!$A$1,MATCH($A13,Teams!$A:$A,0),7,11),OFFSET(Teams!$K$1,MATCH($A13,Teams!$K:$K,0),7,11))))+IFERROR(INDEX(Teams!$H:$H,MATCH($A13,Teams!$A:$A,0)+13),INDEX(Teams!$R:$R,MATCH($A13,Teams!$K:$K,0)+13)))/11)</f>
        <v>0</v>
      </c>
      <c r="L13" s="97" t="str">
        <f t="shared" si="1"/>
        <v>#N/A</v>
      </c>
      <c r="M13" s="31">
        <f>IFERROR(__xludf.DUMMYFUNCTION("(AVERAGE(FILTER(IFERROR(OFFSET(Teams!$A$1,MATCH($A13,Teams!$A:$A,0),8,13),OFFSET(Teams!$K$1,MATCH($A13,Teams!$K:$K,0),8,13)),IFERROR(OFFSET(Teams!$A$1,MATCH($A13,Teams!$A:$A,0),8,13),OFFSET(Teams!$K$1,MATCH($A13,Teams!$K:$K,0),8,13))&lt;&gt;""#N/A"",IFERROR(OFF"&amp;"SET(Teams!$A$1,MATCH($A13,Teams!$A:$A,0),8,13),OFFSET(Teams!$K$1,MATCH($A13,Teams!$K:$K,0),8,13))&gt;=LARGE(FILTER(IFERROR(OFFSET(Teams!$A$1,MATCH($A13,Teams!$A:$A,0),8,13),OFFSET(Teams!$K$1,MATCH($A13,Teams!$K:$K,0),8,13)),IFERROR(OFFSET(Teams!$A$1,MATCH($A"&amp;"13,Teams!$A:$A,0),8,13),OFFSET(Teams!$K$1,MATCH($A13,Teams!$K:$K,0),8,13))&lt;&gt;""#N/A""),5)))*3+AVERAGE(FILTER(IFERROR(OFFSET(Teams!$A$1,MATCH($A13,Teams!$A:$A,0),8,13),OFFSET(Teams!$K$1,MATCH($A13,Teams!$K:$K,0),8,13)),IFERROR(OFFSET(Teams!$A$1,MATCH($A13,T"&amp;"eams!$A:$A,0),8,13),OFFSET(Teams!$K$1,MATCH($A13,Teams!$K:$K,0),8,13))&lt;&gt;""#N/A"",IFERROR(OFFSET(Teams!$A$1,MATCH($A13,Teams!$A:$A,0),8,13),OFFSET(Teams!$K$1,MATCH($A13,Teams!$K:$K,0),8,13))&gt;=LARGE(FILTER(IFERROR(OFFSET(Teams!$A$1,MATCH($A13,Teams!$A:$A,0)"&amp;",8,13),OFFSET(Teams!$K$1,MATCH($A13,Teams!$K:$K,0),8,13)),IFERROR(OFFSET(Teams!$A$1,MATCH($A13,Teams!$A:$A,0),8,13),OFFSET(Teams!$K$1,MATCH($A13,Teams!$K:$K,0),8,13))&lt;&gt;""#N/A""),7)))+AVERAGE(FILTER(IFERROR(OFFSET(Teams!$A$1,MATCH($A13,Teams!$A:$A,0),8,13)"&amp;",OFFSET(Teams!$K$1,MATCH($A13,Teams!$K:$K,0),8,13)),IFERROR(OFFSET(Teams!$A$1,MATCH($A13,Teams!$A:$A,0),8,13),OFFSET(Teams!$K$1,MATCH($A13,Teams!$K:$K,0),8,13))&lt;&gt;""#N/A"",IFERROR(OFFSET(Teams!$A$1,MATCH($A13,Teams!$A:$A,0),8,13),OFFSET(Teams!$K$1,MATCH($A"&amp;"13,Teams!$K:$K,0),8,13))&gt;=LARGE(FILTER(IFERROR(OFFSET(Teams!$A$1,MATCH($A13,Teams!$A:$A,0),8,13),OFFSET(Teams!$K$1,MATCH($A13,Teams!$K:$K,0),8,13)),IFERROR(OFFSET(Teams!$A$1,MATCH($A13,Teams!$A:$A,0),8,13),OFFSET(Teams!$K$1,MATCH($A13,Teams!$K:$K,0),8,13)"&amp;")&lt;&gt;""#N/A""),11))))/5"),0.0)</f>
        <v>0</v>
      </c>
      <c r="N13" s="100" t="str">
        <f t="shared" si="2"/>
        <v>#N/A</v>
      </c>
      <c r="O13" s="11"/>
    </row>
    <row r="14">
      <c r="A14" s="17" t="s">
        <v>1336</v>
      </c>
      <c r="B14" s="94">
        <f>COUNTIF(IFERROR(OFFSET(Teams!$A$1,MATCH($A14,Teams!$A:$A,0),2,11),OFFSET(Teams!$K$1,MATCH($A14,Teams!$K:$K,0),2,11)),"PG")</f>
        <v>0</v>
      </c>
      <c r="C14" s="94">
        <f>COUNTIF(IFERROR(OFFSET(Teams!$A$1,MATCH($A14,Teams!$A:$A,0),2,11),OFFSET(Teams!$K$1,MATCH($A14,Teams!$K:$K,0),2,11)),"SG")</f>
        <v>0</v>
      </c>
      <c r="D14" s="94">
        <f>COUNTIF(IFERROR(OFFSET(Teams!$A$1,MATCH($A14,Teams!$A:$A,0),2,11),OFFSET(Teams!$K$1,MATCH($A14,Teams!$K:$K,0),2,11)),"SF")</f>
        <v>0</v>
      </c>
      <c r="E14" s="94">
        <f>COUNTIF(IFERROR(OFFSET(Teams!$A$1,MATCH($A14,Teams!$A:$A,0),2,11),OFFSET(Teams!$K$1,MATCH($A14,Teams!$K:$K,0),2,11)),"PF")</f>
        <v>0</v>
      </c>
      <c r="F14" s="94">
        <f>COUNTIF(IFERROR(OFFSET(Teams!$A$1,MATCH($A14,Teams!$A:$A,0),2,11),OFFSET(Teams!$K$1,MATCH($A14,Teams!$K:$K,0),2,11)),"C")</f>
        <v>0</v>
      </c>
      <c r="G14" s="98">
        <f t="array" ref="G14">IF(MIN(IF(ISNUMBER(IFERROR(OFFSET(Teams!$A$1,MATCH($A14,Teams!$A:$A,0),6,11),OFFSET(Teams!$K$1,MATCH($A14,Teams!$K:$K,0),6,11))),IFERROR(OFFSET(Teams!$A$1,MATCH($A14,Teams!$A:$A,0),6,11),OFFSET(Teams!$K$1,MATCH($A14,Teams!$K:$K,0),6,11))))&gt;IF(IFERROR(IFERROR(INDEX(Teams!$G:$G,MATCH($A14,Teams!$A:$A,0)+13),INDEX(Teams!$Q:$Q,MATCH($A14,Teams!$K:$K,0)+13)),0)="",0,IFERROR(IFERROR(INDEX(Teams!$G:$G,MATCH($A14,Teams!$A:$A,0)+13),INDEX(Teams!$Q:$Q,MATCH($A14,Teams!$K:$K,0)+13)),0)),AVERAGEIF(IFERROR(OFFSET(Teams!$A$1,MATCH($A14,Teams!$A:$A,0),3,11),OFFSET(Teams!$K$1,MATCH($A14,Teams!$K:$K,0),3,11)),"&lt;&gt;#N/A"),(SUMIF(IFERROR(OFFSET(Teams!$A$1,MATCH($A14,Teams!$A:$A,0),3,11),OFFSET(Teams!$K$1,MATCH($A14,Teams!$K:$K,0),3,11)),"&lt;&gt;#N/A")-MIN(IF(ISNUMBER(IFERROR(OFFSET(Teams!$A$1,MATCH($A14,Teams!$A:$A,0),3,11),OFFSET(Teams!$K$1,MATCH($A14,Teams!$K:$K,0),3,11))),IFERROR(OFFSET(Teams!$A$1,MATCH($A14,Teams!$A:$A,0),3,11),OFFSET(Teams!$K$1,MATCH($A14,Teams!$K:$K,0),3,11))))+IFERROR(INDEX(Teams!$D:$D,MATCH($A14,Teams!$A:$A,0)+13),INDEX(Teams!$N:$N,MATCH($A14,Teams!$K:$K,0)+13)))/11)</f>
        <v>0</v>
      </c>
      <c r="H14" s="96">
        <f t="array" ref="H14">SUM(1/COUNTIF(IFERROR(OFFSET(Teams!$A$1,MATCH($A14,Teams!$A:$A,0),4,11),OFFSET(Teams!$K$1,MATCH($A14,Teams!$K:$K,0),4,11)),IFERROR(OFFSET(Teams!$A$1,MATCH($A14,Teams!$A:$A,0),4,11),OFFSET(Teams!$K$1,MATCH($A14,Teams!$K:$K,0),4,11))))</f>
        <v>1</v>
      </c>
      <c r="I14" s="97">
        <f t="array" ref="I14">IF(MIN(IF(ISNUMBER(IFERROR(OFFSET(Teams!$A$1,MATCH($A14,Teams!$A:$A,0),6,11),OFFSET(Teams!$K$1,MATCH($A14,Teams!$K:$K,0),6,11))),IFERROR(OFFSET(Teams!$A$1,MATCH($A14,Teams!$A:$A,0),6,11),OFFSET(Teams!$K$1,MATCH($A14,Teams!$K:$K,0),6,11))))&gt;IF(IFERROR(IFERROR(INDEX(Teams!$G:$G,MATCH($A14,Teams!$A:$A,0)+13),INDEX(Teams!$Q:$Q,MATCH($A14,Teams!$K:$K,0)+13)),0)="",0,IFERROR(IFERROR(INDEX(Teams!$G:$G,MATCH($A14,Teams!$A:$A,0)+13),INDEX(Teams!$Q:$Q,MATCH($A14,Teams!$K:$K,0)+13)),0)),AVERAGEIF(IFERROR(OFFSET(Teams!$A$1,MATCH($A14,Teams!$A:$A,0),5,11),OFFSET(Teams!$K$1,MATCH($A14,Teams!$K:$K,0),5,11)),"&lt;&gt;#N/A"),(SUMIF(IFERROR(OFFSET(Teams!$A$1,MATCH($A14,Teams!$A:$A,0),5,11),OFFSET(Teams!$K$1,MATCH($A14,Teams!$K:$K,0),5,11)),"&lt;&gt;#N/A")-MIN(IF(ISNUMBER(IFERROR(OFFSET(Teams!$A$1,MATCH($A14,Teams!$A:$A,0),5,11),OFFSET(Teams!$K$1,MATCH($A14,Teams!$K:$K,0),5,11))),IFERROR(OFFSET(Teams!$A$1,MATCH($A14,Teams!$A:$A,0),5,11),OFFSET(Teams!$K$1,MATCH($A14,Teams!$K:$K,0),5,11))))+IFERROR(INDEX(Teams!$F:$F,MATCH($A14,Teams!$A:$A,0)+13),INDEX(Teams!$P:$P,MATCH($A14,Teams!$K:$K,0)+13)))/11)</f>
        <v>0</v>
      </c>
      <c r="J14" s="98">
        <f t="array" ref="J14">IF(MIN(IF(ISNUMBER(IFERROR(OFFSET(Teams!$A$1,MATCH($A14,Teams!$A:$A,0),6,11),OFFSET(Teams!$K$1,MATCH($A14,Teams!$K:$K,0),6,11))),IFERROR(OFFSET(Teams!$A$1,MATCH($A14,Teams!$A:$A,0),6,11),OFFSET(Teams!$K$1,MATCH($A14,Teams!$K:$K,0),6,11))))&gt;IF(IFERROR(IFERROR(INDEX(Teams!$G:$G,MATCH($A14,Teams!$A:$A,0)+13),INDEX(Teams!$Q:$Q,MATCH($A14,Teams!$K:$K,0)+13)),0)="",0,IFERROR(IFERROR(INDEX(Teams!$G:$G,MATCH($A14,Teams!$A:$A,0)+13),INDEX(Teams!$Q:$Q,MATCH($A14,Teams!$K:$K,0)+13)),0)),AVERAGEIF(IFERROR(OFFSET(Teams!$A$1,MATCH($A14,Teams!$A:$A,0),6,11),OFFSET(Teams!$K$1,MATCH($A14,Teams!$K:$K,0),6,11)),"&lt;&gt;#N/A"),(SUMIF(IFERROR(OFFSET(Teams!$A$1,MATCH($A14,Teams!$A:$A,0),6,11),OFFSET(Teams!$K$1,MATCH($A14,Teams!$K:$K,0),6,11)),"&lt;&gt;#N/A")-MIN(IF(ISNUMBER(IFERROR(OFFSET(Teams!$A$1,MATCH($A14,Teams!$A:$A,0),6,11),OFFSET(Teams!$K$1,MATCH($A14,Teams!$K:$K,0),6,11))),IFERROR(OFFSET(Teams!$A$1,MATCH($A14,Teams!$A:$A,0),6,11),OFFSET(Teams!$K$1,MATCH($A14,Teams!$K:$K,0),6,11))))+IFERROR(INDEX(Teams!$G:$G,MATCH($A14,Teams!$A:$A,0)+13),INDEX(Teams!$Q:$Q,MATCH($A14,Teams!$K:$K,0)+13)))/11)</f>
        <v>0</v>
      </c>
      <c r="K14" s="99">
        <f t="array" ref="K14">IF(MIN(IF(ISNUMBER(IFERROR(OFFSET(Teams!$A$1,MATCH($A14,Teams!$A:$A,0),6,11),OFFSET(Teams!$K$1,MATCH($A14,Teams!$K:$K,0),6,11))),IFERROR(OFFSET(Teams!$A$1,MATCH($A14,Teams!$A:$A,0),6,11),OFFSET(Teams!$K$1,MATCH($A14,Teams!$K:$K,0),6,11))))&gt;IF(IFERROR(IFERROR(INDEX(Teams!$G:$G,MATCH($A14,Teams!$A:$A,0)+13),INDEX(Teams!$Q:$Q,MATCH($A14,Teams!$K:$K,0)+13)),0)="",0,IFERROR(IFERROR(INDEX(Teams!$G:$G,MATCH($A14,Teams!$A:$A,0)+13),INDEX(Teams!$Q:$Q,MATCH($A14,Teams!$K:$K,0)+13)),0)),AVERAGEIF(IFERROR(OFFSET(Teams!$A$1,MATCH($A14,Teams!$A:$A,0),7,11),OFFSET(Teams!$K$1,MATCH($A14,Teams!$K:$K,0),7,11)),"&lt;&gt;#N/A"),(SUMIF(IFERROR(OFFSET(Teams!$A$1,MATCH($A14,Teams!$A:$A,0),7,11),OFFSET(Teams!$K$1,MATCH($A14,Teams!$K:$K,0),7,11)),"&lt;&gt;#N/A")-MIN(IF(ISNUMBER(IFERROR(OFFSET(Teams!$A$1,MATCH($A14,Teams!$A:$A,0),7,11),OFFSET(Teams!$K$1,MATCH($A14,Teams!$K:$K,0),7,11))),IFERROR(OFFSET(Teams!$A$1,MATCH($A14,Teams!$A:$A,0),7,11),OFFSET(Teams!$K$1,MATCH($A14,Teams!$K:$K,0),7,11))))+IFERROR(INDEX(Teams!$H:$H,MATCH($A14,Teams!$A:$A,0)+13),INDEX(Teams!$R:$R,MATCH($A14,Teams!$K:$K,0)+13)))/11)</f>
        <v>0</v>
      </c>
      <c r="L14" s="97" t="str">
        <f t="shared" si="1"/>
        <v>#N/A</v>
      </c>
      <c r="M14" s="31">
        <f>IFERROR(__xludf.DUMMYFUNCTION("(AVERAGE(FILTER(IFERROR(OFFSET(Teams!$A$1,MATCH($A14,Teams!$A:$A,0),8,13),OFFSET(Teams!$K$1,MATCH($A14,Teams!$K:$K,0),8,13)),IFERROR(OFFSET(Teams!$A$1,MATCH($A14,Teams!$A:$A,0),8,13),OFFSET(Teams!$K$1,MATCH($A14,Teams!$K:$K,0),8,13))&lt;&gt;""#N/A"",IFERROR(OFF"&amp;"SET(Teams!$A$1,MATCH($A14,Teams!$A:$A,0),8,13),OFFSET(Teams!$K$1,MATCH($A14,Teams!$K:$K,0),8,13))&gt;=LARGE(FILTER(IFERROR(OFFSET(Teams!$A$1,MATCH($A14,Teams!$A:$A,0),8,13),OFFSET(Teams!$K$1,MATCH($A14,Teams!$K:$K,0),8,13)),IFERROR(OFFSET(Teams!$A$1,MATCH($A"&amp;"14,Teams!$A:$A,0),8,13),OFFSET(Teams!$K$1,MATCH($A14,Teams!$K:$K,0),8,13))&lt;&gt;""#N/A""),5)))*3+AVERAGE(FILTER(IFERROR(OFFSET(Teams!$A$1,MATCH($A14,Teams!$A:$A,0),8,13),OFFSET(Teams!$K$1,MATCH($A14,Teams!$K:$K,0),8,13)),IFERROR(OFFSET(Teams!$A$1,MATCH($A14,T"&amp;"eams!$A:$A,0),8,13),OFFSET(Teams!$K$1,MATCH($A14,Teams!$K:$K,0),8,13))&lt;&gt;""#N/A"",IFERROR(OFFSET(Teams!$A$1,MATCH($A14,Teams!$A:$A,0),8,13),OFFSET(Teams!$K$1,MATCH($A14,Teams!$K:$K,0),8,13))&gt;=LARGE(FILTER(IFERROR(OFFSET(Teams!$A$1,MATCH($A14,Teams!$A:$A,0)"&amp;",8,13),OFFSET(Teams!$K$1,MATCH($A14,Teams!$K:$K,0),8,13)),IFERROR(OFFSET(Teams!$A$1,MATCH($A14,Teams!$A:$A,0),8,13),OFFSET(Teams!$K$1,MATCH($A14,Teams!$K:$K,0),8,13))&lt;&gt;""#N/A""),7)))+AVERAGE(FILTER(IFERROR(OFFSET(Teams!$A$1,MATCH($A14,Teams!$A:$A,0),8,13)"&amp;",OFFSET(Teams!$K$1,MATCH($A14,Teams!$K:$K,0),8,13)),IFERROR(OFFSET(Teams!$A$1,MATCH($A14,Teams!$A:$A,0),8,13),OFFSET(Teams!$K$1,MATCH($A14,Teams!$K:$K,0),8,13))&lt;&gt;""#N/A"",IFERROR(OFFSET(Teams!$A$1,MATCH($A14,Teams!$A:$A,0),8,13),OFFSET(Teams!$K$1,MATCH($A"&amp;"14,Teams!$K:$K,0),8,13))&gt;=LARGE(FILTER(IFERROR(OFFSET(Teams!$A$1,MATCH($A14,Teams!$A:$A,0),8,13),OFFSET(Teams!$K$1,MATCH($A14,Teams!$K:$K,0),8,13)),IFERROR(OFFSET(Teams!$A$1,MATCH($A14,Teams!$A:$A,0),8,13),OFFSET(Teams!$K$1,MATCH($A14,Teams!$K:$K,0),8,13)"&amp;")&lt;&gt;""#N/A""),11))))/5"),0.0)</f>
        <v>0</v>
      </c>
      <c r="N14" s="100" t="str">
        <f t="shared" si="2"/>
        <v>#N/A</v>
      </c>
      <c r="O14" s="11"/>
    </row>
    <row r="15">
      <c r="A15" s="17" t="s">
        <v>1339</v>
      </c>
      <c r="B15" s="94">
        <f>COUNTIF(IFERROR(OFFSET(Teams!$A$1,MATCH($A15,Teams!$A:$A,0),2,11),OFFSET(Teams!$K$1,MATCH($A15,Teams!$K:$K,0),2,11)),"PG")</f>
        <v>0</v>
      </c>
      <c r="C15" s="94">
        <f>COUNTIF(IFERROR(OFFSET(Teams!$A$1,MATCH($A15,Teams!$A:$A,0),2,11),OFFSET(Teams!$K$1,MATCH($A15,Teams!$K:$K,0),2,11)),"SG")</f>
        <v>0</v>
      </c>
      <c r="D15" s="94">
        <f>COUNTIF(IFERROR(OFFSET(Teams!$A$1,MATCH($A15,Teams!$A:$A,0),2,11),OFFSET(Teams!$K$1,MATCH($A15,Teams!$K:$K,0),2,11)),"SF")</f>
        <v>0</v>
      </c>
      <c r="E15" s="94">
        <f>COUNTIF(IFERROR(OFFSET(Teams!$A$1,MATCH($A15,Teams!$A:$A,0),2,11),OFFSET(Teams!$K$1,MATCH($A15,Teams!$K:$K,0),2,11)),"PF")</f>
        <v>0</v>
      </c>
      <c r="F15" s="94">
        <f>COUNTIF(IFERROR(OFFSET(Teams!$A$1,MATCH($A15,Teams!$A:$A,0),2,11),OFFSET(Teams!$K$1,MATCH($A15,Teams!$K:$K,0),2,11)),"C")</f>
        <v>0</v>
      </c>
      <c r="G15" s="98">
        <f t="array" ref="G15">IF(MIN(IF(ISNUMBER(IFERROR(OFFSET(Teams!$A$1,MATCH($A15,Teams!$A:$A,0),6,11),OFFSET(Teams!$K$1,MATCH($A15,Teams!$K:$K,0),6,11))),IFERROR(OFFSET(Teams!$A$1,MATCH($A15,Teams!$A:$A,0),6,11),OFFSET(Teams!$K$1,MATCH($A15,Teams!$K:$K,0),6,11))))&gt;IF(IFERROR(IFERROR(INDEX(Teams!$G:$G,MATCH($A15,Teams!$A:$A,0)+13),INDEX(Teams!$Q:$Q,MATCH($A15,Teams!$K:$K,0)+13)),0)="",0,IFERROR(IFERROR(INDEX(Teams!$G:$G,MATCH($A15,Teams!$A:$A,0)+13),INDEX(Teams!$Q:$Q,MATCH($A15,Teams!$K:$K,0)+13)),0)),AVERAGEIF(IFERROR(OFFSET(Teams!$A$1,MATCH($A15,Teams!$A:$A,0),3,11),OFFSET(Teams!$K$1,MATCH($A15,Teams!$K:$K,0),3,11)),"&lt;&gt;#N/A"),(SUMIF(IFERROR(OFFSET(Teams!$A$1,MATCH($A15,Teams!$A:$A,0),3,11),OFFSET(Teams!$K$1,MATCH($A15,Teams!$K:$K,0),3,11)),"&lt;&gt;#N/A")-MIN(IF(ISNUMBER(IFERROR(OFFSET(Teams!$A$1,MATCH($A15,Teams!$A:$A,0),3,11),OFFSET(Teams!$K$1,MATCH($A15,Teams!$K:$K,0),3,11))),IFERROR(OFFSET(Teams!$A$1,MATCH($A15,Teams!$A:$A,0),3,11),OFFSET(Teams!$K$1,MATCH($A15,Teams!$K:$K,0),3,11))))+IFERROR(INDEX(Teams!$D:$D,MATCH($A15,Teams!$A:$A,0)+13),INDEX(Teams!$N:$N,MATCH($A15,Teams!$K:$K,0)+13)))/11)</f>
        <v>0</v>
      </c>
      <c r="H15" s="96">
        <f t="array" ref="H15">SUM(1/COUNTIF(IFERROR(OFFSET(Teams!$A$1,MATCH($A15,Teams!$A:$A,0),4,11),OFFSET(Teams!$K$1,MATCH($A15,Teams!$K:$K,0),4,11)),IFERROR(OFFSET(Teams!$A$1,MATCH($A15,Teams!$A:$A,0),4,11),OFFSET(Teams!$K$1,MATCH($A15,Teams!$K:$K,0),4,11))))</f>
        <v>1</v>
      </c>
      <c r="I15" s="97">
        <f t="array" ref="I15">IF(MIN(IF(ISNUMBER(IFERROR(OFFSET(Teams!$A$1,MATCH($A15,Teams!$A:$A,0),6,11),OFFSET(Teams!$K$1,MATCH($A15,Teams!$K:$K,0),6,11))),IFERROR(OFFSET(Teams!$A$1,MATCH($A15,Teams!$A:$A,0),6,11),OFFSET(Teams!$K$1,MATCH($A15,Teams!$K:$K,0),6,11))))&gt;IF(IFERROR(IFERROR(INDEX(Teams!$G:$G,MATCH($A15,Teams!$A:$A,0)+13),INDEX(Teams!$Q:$Q,MATCH($A15,Teams!$K:$K,0)+13)),0)="",0,IFERROR(IFERROR(INDEX(Teams!$G:$G,MATCH($A15,Teams!$A:$A,0)+13),INDEX(Teams!$Q:$Q,MATCH($A15,Teams!$K:$K,0)+13)),0)),AVERAGEIF(IFERROR(OFFSET(Teams!$A$1,MATCH($A15,Teams!$A:$A,0),5,11),OFFSET(Teams!$K$1,MATCH($A15,Teams!$K:$K,0),5,11)),"&lt;&gt;#N/A"),(SUMIF(IFERROR(OFFSET(Teams!$A$1,MATCH($A15,Teams!$A:$A,0),5,11),OFFSET(Teams!$K$1,MATCH($A15,Teams!$K:$K,0),5,11)),"&lt;&gt;#N/A")-MIN(IF(ISNUMBER(IFERROR(OFFSET(Teams!$A$1,MATCH($A15,Teams!$A:$A,0),5,11),OFFSET(Teams!$K$1,MATCH($A15,Teams!$K:$K,0),5,11))),IFERROR(OFFSET(Teams!$A$1,MATCH($A15,Teams!$A:$A,0),5,11),OFFSET(Teams!$K$1,MATCH($A15,Teams!$K:$K,0),5,11))))+IFERROR(INDEX(Teams!$F:$F,MATCH($A15,Teams!$A:$A,0)+13),INDEX(Teams!$P:$P,MATCH($A15,Teams!$K:$K,0)+13)))/11)</f>
        <v>0</v>
      </c>
      <c r="J15" s="98">
        <f t="array" ref="J15">IF(MIN(IF(ISNUMBER(IFERROR(OFFSET(Teams!$A$1,MATCH($A15,Teams!$A:$A,0),6,11),OFFSET(Teams!$K$1,MATCH($A15,Teams!$K:$K,0),6,11))),IFERROR(OFFSET(Teams!$A$1,MATCH($A15,Teams!$A:$A,0),6,11),OFFSET(Teams!$K$1,MATCH($A15,Teams!$K:$K,0),6,11))))&gt;IF(IFERROR(IFERROR(INDEX(Teams!$G:$G,MATCH($A15,Teams!$A:$A,0)+13),INDEX(Teams!$Q:$Q,MATCH($A15,Teams!$K:$K,0)+13)),0)="",0,IFERROR(IFERROR(INDEX(Teams!$G:$G,MATCH($A15,Teams!$A:$A,0)+13),INDEX(Teams!$Q:$Q,MATCH($A15,Teams!$K:$K,0)+13)),0)),AVERAGEIF(IFERROR(OFFSET(Teams!$A$1,MATCH($A15,Teams!$A:$A,0),6,11),OFFSET(Teams!$K$1,MATCH($A15,Teams!$K:$K,0),6,11)),"&lt;&gt;#N/A"),(SUMIF(IFERROR(OFFSET(Teams!$A$1,MATCH($A15,Teams!$A:$A,0),6,11),OFFSET(Teams!$K$1,MATCH($A15,Teams!$K:$K,0),6,11)),"&lt;&gt;#N/A")-MIN(IF(ISNUMBER(IFERROR(OFFSET(Teams!$A$1,MATCH($A15,Teams!$A:$A,0),6,11),OFFSET(Teams!$K$1,MATCH($A15,Teams!$K:$K,0),6,11))),IFERROR(OFFSET(Teams!$A$1,MATCH($A15,Teams!$A:$A,0),6,11),OFFSET(Teams!$K$1,MATCH($A15,Teams!$K:$K,0),6,11))))+IFERROR(INDEX(Teams!$G:$G,MATCH($A15,Teams!$A:$A,0)+13),INDEX(Teams!$Q:$Q,MATCH($A15,Teams!$K:$K,0)+13)))/11)</f>
        <v>0</v>
      </c>
      <c r="K15" s="99">
        <f t="array" ref="K15">IF(MIN(IF(ISNUMBER(IFERROR(OFFSET(Teams!$A$1,MATCH($A15,Teams!$A:$A,0),6,11),OFFSET(Teams!$K$1,MATCH($A15,Teams!$K:$K,0),6,11))),IFERROR(OFFSET(Teams!$A$1,MATCH($A15,Teams!$A:$A,0),6,11),OFFSET(Teams!$K$1,MATCH($A15,Teams!$K:$K,0),6,11))))&gt;IF(IFERROR(IFERROR(INDEX(Teams!$G:$G,MATCH($A15,Teams!$A:$A,0)+13),INDEX(Teams!$Q:$Q,MATCH($A15,Teams!$K:$K,0)+13)),0)="",0,IFERROR(IFERROR(INDEX(Teams!$G:$G,MATCH($A15,Teams!$A:$A,0)+13),INDEX(Teams!$Q:$Q,MATCH($A15,Teams!$K:$K,0)+13)),0)),AVERAGEIF(IFERROR(OFFSET(Teams!$A$1,MATCH($A15,Teams!$A:$A,0),7,11),OFFSET(Teams!$K$1,MATCH($A15,Teams!$K:$K,0),7,11)),"&lt;&gt;#N/A"),(SUMIF(IFERROR(OFFSET(Teams!$A$1,MATCH($A15,Teams!$A:$A,0),7,11),OFFSET(Teams!$K$1,MATCH($A15,Teams!$K:$K,0),7,11)),"&lt;&gt;#N/A")-MIN(IF(ISNUMBER(IFERROR(OFFSET(Teams!$A$1,MATCH($A15,Teams!$A:$A,0),7,11),OFFSET(Teams!$K$1,MATCH($A15,Teams!$K:$K,0),7,11))),IFERROR(OFFSET(Teams!$A$1,MATCH($A15,Teams!$A:$A,0),7,11),OFFSET(Teams!$K$1,MATCH($A15,Teams!$K:$K,0),7,11))))+IFERROR(INDEX(Teams!$H:$H,MATCH($A15,Teams!$A:$A,0)+13),INDEX(Teams!$R:$R,MATCH($A15,Teams!$K:$K,0)+13)))/11)</f>
        <v>0</v>
      </c>
      <c r="L15" s="97" t="str">
        <f t="shared" si="1"/>
        <v>#N/A</v>
      </c>
      <c r="M15" s="31">
        <f>IFERROR(__xludf.DUMMYFUNCTION("(AVERAGE(FILTER(IFERROR(OFFSET(Teams!$A$1,MATCH($A15,Teams!$A:$A,0),8,13),OFFSET(Teams!$K$1,MATCH($A15,Teams!$K:$K,0),8,13)),IFERROR(OFFSET(Teams!$A$1,MATCH($A15,Teams!$A:$A,0),8,13),OFFSET(Teams!$K$1,MATCH($A15,Teams!$K:$K,0),8,13))&lt;&gt;""#N/A"",IFERROR(OFF"&amp;"SET(Teams!$A$1,MATCH($A15,Teams!$A:$A,0),8,13),OFFSET(Teams!$K$1,MATCH($A15,Teams!$K:$K,0),8,13))&gt;=LARGE(FILTER(IFERROR(OFFSET(Teams!$A$1,MATCH($A15,Teams!$A:$A,0),8,13),OFFSET(Teams!$K$1,MATCH($A15,Teams!$K:$K,0),8,13)),IFERROR(OFFSET(Teams!$A$1,MATCH($A"&amp;"15,Teams!$A:$A,0),8,13),OFFSET(Teams!$K$1,MATCH($A15,Teams!$K:$K,0),8,13))&lt;&gt;""#N/A""),5)))*3+AVERAGE(FILTER(IFERROR(OFFSET(Teams!$A$1,MATCH($A15,Teams!$A:$A,0),8,13),OFFSET(Teams!$K$1,MATCH($A15,Teams!$K:$K,0),8,13)),IFERROR(OFFSET(Teams!$A$1,MATCH($A15,T"&amp;"eams!$A:$A,0),8,13),OFFSET(Teams!$K$1,MATCH($A15,Teams!$K:$K,0),8,13))&lt;&gt;""#N/A"",IFERROR(OFFSET(Teams!$A$1,MATCH($A15,Teams!$A:$A,0),8,13),OFFSET(Teams!$K$1,MATCH($A15,Teams!$K:$K,0),8,13))&gt;=LARGE(FILTER(IFERROR(OFFSET(Teams!$A$1,MATCH($A15,Teams!$A:$A,0)"&amp;",8,13),OFFSET(Teams!$K$1,MATCH($A15,Teams!$K:$K,0),8,13)),IFERROR(OFFSET(Teams!$A$1,MATCH($A15,Teams!$A:$A,0),8,13),OFFSET(Teams!$K$1,MATCH($A15,Teams!$K:$K,0),8,13))&lt;&gt;""#N/A""),7)))+AVERAGE(FILTER(IFERROR(OFFSET(Teams!$A$1,MATCH($A15,Teams!$A:$A,0),8,13)"&amp;",OFFSET(Teams!$K$1,MATCH($A15,Teams!$K:$K,0),8,13)),IFERROR(OFFSET(Teams!$A$1,MATCH($A15,Teams!$A:$A,0),8,13),OFFSET(Teams!$K$1,MATCH($A15,Teams!$K:$K,0),8,13))&lt;&gt;""#N/A"",IFERROR(OFFSET(Teams!$A$1,MATCH($A15,Teams!$A:$A,0),8,13),OFFSET(Teams!$K$1,MATCH($A"&amp;"15,Teams!$K:$K,0),8,13))&gt;=LARGE(FILTER(IFERROR(OFFSET(Teams!$A$1,MATCH($A15,Teams!$A:$A,0),8,13),OFFSET(Teams!$K$1,MATCH($A15,Teams!$K:$K,0),8,13)),IFERROR(OFFSET(Teams!$A$1,MATCH($A15,Teams!$A:$A,0),8,13),OFFSET(Teams!$K$1,MATCH($A15,Teams!$K:$K,0),8,13)"&amp;")&lt;&gt;""#N/A""),11))))/5"),0.0)</f>
        <v>0</v>
      </c>
      <c r="N15" s="100" t="str">
        <f t="shared" si="2"/>
        <v>#N/A</v>
      </c>
      <c r="O15" s="11"/>
    </row>
    <row r="16">
      <c r="A16" s="17" t="s">
        <v>1345</v>
      </c>
      <c r="B16" s="94">
        <f>COUNTIF(IFERROR(OFFSET(Teams!$A$1,MATCH($A16,Teams!$A:$A,0),2,11),OFFSET(Teams!$K$1,MATCH($A16,Teams!$K:$K,0),2,11)),"PG")</f>
        <v>0</v>
      </c>
      <c r="C16" s="94">
        <f>COUNTIF(IFERROR(OFFSET(Teams!$A$1,MATCH($A16,Teams!$A:$A,0),2,11),OFFSET(Teams!$K$1,MATCH($A16,Teams!$K:$K,0),2,11)),"SG")</f>
        <v>0</v>
      </c>
      <c r="D16" s="94">
        <f>COUNTIF(IFERROR(OFFSET(Teams!$A$1,MATCH($A16,Teams!$A:$A,0),2,11),OFFSET(Teams!$K$1,MATCH($A16,Teams!$K:$K,0),2,11)),"SF")</f>
        <v>0</v>
      </c>
      <c r="E16" s="94">
        <f>COUNTIF(IFERROR(OFFSET(Teams!$A$1,MATCH($A16,Teams!$A:$A,0),2,11),OFFSET(Teams!$K$1,MATCH($A16,Teams!$K:$K,0),2,11)),"PF")</f>
        <v>0</v>
      </c>
      <c r="F16" s="94">
        <f>COUNTIF(IFERROR(OFFSET(Teams!$A$1,MATCH($A16,Teams!$A:$A,0),2,11),OFFSET(Teams!$K$1,MATCH($A16,Teams!$K:$K,0),2,11)),"C")</f>
        <v>0</v>
      </c>
      <c r="G16" s="98" t="str">
        <f t="array" ref="G16">IF(MIN(IF(ISNUMBER(IFERROR(OFFSET(Teams!$A$1,MATCH($A16,Teams!$A:$A,0),6,11),OFFSET(Teams!$K$1,MATCH($A16,Teams!$K:$K,0),6,11))),IFERROR(OFFSET(Teams!$A$1,MATCH($A16,Teams!$A:$A,0),6,11),OFFSET(Teams!$K$1,MATCH($A16,Teams!$K:$K,0),6,11))))&gt;IF(IFERROR(IFERROR(INDEX(Teams!$G:$G,MATCH($A16,Teams!$A:$A,0)+13),INDEX(Teams!$Q:$Q,MATCH($A16,Teams!$K:$K,0)+13)),0)="",0,IFERROR(IFERROR(INDEX(Teams!$G:$G,MATCH($A16,Teams!$A:$A,0)+13),INDEX(Teams!$Q:$Q,MATCH($A16,Teams!$K:$K,0)+13)),0)),AVERAGEIF(IFERROR(OFFSET(Teams!$A$1,MATCH($A16,Teams!$A:$A,0),3,11),OFFSET(Teams!$K$1,MATCH($A16,Teams!$K:$K,0),3,11)),"&lt;&gt;#N/A"),(SUMIF(IFERROR(OFFSET(Teams!$A$1,MATCH($A16,Teams!$A:$A,0),3,11),OFFSET(Teams!$K$1,MATCH($A16,Teams!$K:$K,0),3,11)),"&lt;&gt;#N/A")-MIN(IF(ISNUMBER(IFERROR(OFFSET(Teams!$A$1,MATCH($A16,Teams!$A:$A,0),3,11),OFFSET(Teams!$K$1,MATCH($A16,Teams!$K:$K,0),3,11))),IFERROR(OFFSET(Teams!$A$1,MATCH($A16,Teams!$A:$A,0),3,11),OFFSET(Teams!$K$1,MATCH($A16,Teams!$K:$K,0),3,11))))+IFERROR(INDEX(Teams!$D:$D,MATCH($A16,Teams!$A:$A,0)+13),INDEX(Teams!$N:$N,MATCH($A16,Teams!$K:$K,0)+13)))/11)</f>
        <v>#N/A</v>
      </c>
      <c r="H16" s="96">
        <f t="array" ref="H16">SUM(1/COUNTIF(IFERROR(OFFSET(Teams!$A$1,MATCH($A16,Teams!$A:$A,0),4,11),OFFSET(Teams!$K$1,MATCH($A16,Teams!$K:$K,0),4,11)),IFERROR(OFFSET(Teams!$A$1,MATCH($A16,Teams!$A:$A,0),4,11),OFFSET(Teams!$K$1,MATCH($A16,Teams!$K:$K,0),4,11))))</f>
        <v>1</v>
      </c>
      <c r="I16" s="97" t="str">
        <f t="array" ref="I16">IF(MIN(IF(ISNUMBER(IFERROR(OFFSET(Teams!$A$1,MATCH($A16,Teams!$A:$A,0),6,11),OFFSET(Teams!$K$1,MATCH($A16,Teams!$K:$K,0),6,11))),IFERROR(OFFSET(Teams!$A$1,MATCH($A16,Teams!$A:$A,0),6,11),OFFSET(Teams!$K$1,MATCH($A16,Teams!$K:$K,0),6,11))))&gt;IF(IFERROR(IFERROR(INDEX(Teams!$G:$G,MATCH($A16,Teams!$A:$A,0)+13),INDEX(Teams!$Q:$Q,MATCH($A16,Teams!$K:$K,0)+13)),0)="",0,IFERROR(IFERROR(INDEX(Teams!$G:$G,MATCH($A16,Teams!$A:$A,0)+13),INDEX(Teams!$Q:$Q,MATCH($A16,Teams!$K:$K,0)+13)),0)),AVERAGEIF(IFERROR(OFFSET(Teams!$A$1,MATCH($A16,Teams!$A:$A,0),5,11),OFFSET(Teams!$K$1,MATCH($A16,Teams!$K:$K,0),5,11)),"&lt;&gt;#N/A"),(SUMIF(IFERROR(OFFSET(Teams!$A$1,MATCH($A16,Teams!$A:$A,0),5,11),OFFSET(Teams!$K$1,MATCH($A16,Teams!$K:$K,0),5,11)),"&lt;&gt;#N/A")-MIN(IF(ISNUMBER(IFERROR(OFFSET(Teams!$A$1,MATCH($A16,Teams!$A:$A,0),5,11),OFFSET(Teams!$K$1,MATCH($A16,Teams!$K:$K,0),5,11))),IFERROR(OFFSET(Teams!$A$1,MATCH($A16,Teams!$A:$A,0),5,11),OFFSET(Teams!$K$1,MATCH($A16,Teams!$K:$K,0),5,11))))+IFERROR(INDEX(Teams!$F:$F,MATCH($A16,Teams!$A:$A,0)+13),INDEX(Teams!$P:$P,MATCH($A16,Teams!$K:$K,0)+13)))/11)</f>
        <v>#N/A</v>
      </c>
      <c r="J16" s="98" t="str">
        <f t="array" ref="J16">IF(MIN(IF(ISNUMBER(IFERROR(OFFSET(Teams!$A$1,MATCH($A16,Teams!$A:$A,0),6,11),OFFSET(Teams!$K$1,MATCH($A16,Teams!$K:$K,0),6,11))),IFERROR(OFFSET(Teams!$A$1,MATCH($A16,Teams!$A:$A,0),6,11),OFFSET(Teams!$K$1,MATCH($A16,Teams!$K:$K,0),6,11))))&gt;IF(IFERROR(IFERROR(INDEX(Teams!$G:$G,MATCH($A16,Teams!$A:$A,0)+13),INDEX(Teams!$Q:$Q,MATCH($A16,Teams!$K:$K,0)+13)),0)="",0,IFERROR(IFERROR(INDEX(Teams!$G:$G,MATCH($A16,Teams!$A:$A,0)+13),INDEX(Teams!$Q:$Q,MATCH($A16,Teams!$K:$K,0)+13)),0)),AVERAGEIF(IFERROR(OFFSET(Teams!$A$1,MATCH($A16,Teams!$A:$A,0),6,11),OFFSET(Teams!$K$1,MATCH($A16,Teams!$K:$K,0),6,11)),"&lt;&gt;#N/A"),(SUMIF(IFERROR(OFFSET(Teams!$A$1,MATCH($A16,Teams!$A:$A,0),6,11),OFFSET(Teams!$K$1,MATCH($A16,Teams!$K:$K,0),6,11)),"&lt;&gt;#N/A")-MIN(IF(ISNUMBER(IFERROR(OFFSET(Teams!$A$1,MATCH($A16,Teams!$A:$A,0),6,11),OFFSET(Teams!$K$1,MATCH($A16,Teams!$K:$K,0),6,11))),IFERROR(OFFSET(Teams!$A$1,MATCH($A16,Teams!$A:$A,0),6,11),OFFSET(Teams!$K$1,MATCH($A16,Teams!$K:$K,0),6,11))))+IFERROR(INDEX(Teams!$G:$G,MATCH($A16,Teams!$A:$A,0)+13),INDEX(Teams!$Q:$Q,MATCH($A16,Teams!$K:$K,0)+13)))/11)</f>
        <v>#N/A</v>
      </c>
      <c r="K16" s="99" t="str">
        <f t="array" ref="K16">IF(MIN(IF(ISNUMBER(IFERROR(OFFSET(Teams!$A$1,MATCH($A16,Teams!$A:$A,0),6,11),OFFSET(Teams!$K$1,MATCH($A16,Teams!$K:$K,0),6,11))),IFERROR(OFFSET(Teams!$A$1,MATCH($A16,Teams!$A:$A,0),6,11),OFFSET(Teams!$K$1,MATCH($A16,Teams!$K:$K,0),6,11))))&gt;IF(IFERROR(IFERROR(INDEX(Teams!$G:$G,MATCH($A16,Teams!$A:$A,0)+13),INDEX(Teams!$Q:$Q,MATCH($A16,Teams!$K:$K,0)+13)),0)="",0,IFERROR(IFERROR(INDEX(Teams!$G:$G,MATCH($A16,Teams!$A:$A,0)+13),INDEX(Teams!$Q:$Q,MATCH($A16,Teams!$K:$K,0)+13)),0)),AVERAGEIF(IFERROR(OFFSET(Teams!$A$1,MATCH($A16,Teams!$A:$A,0),7,11),OFFSET(Teams!$K$1,MATCH($A16,Teams!$K:$K,0),7,11)),"&lt;&gt;#N/A"),(SUMIF(IFERROR(OFFSET(Teams!$A$1,MATCH($A16,Teams!$A:$A,0),7,11),OFFSET(Teams!$K$1,MATCH($A16,Teams!$K:$K,0),7,11)),"&lt;&gt;#N/A")-MIN(IF(ISNUMBER(IFERROR(OFFSET(Teams!$A$1,MATCH($A16,Teams!$A:$A,0),7,11),OFFSET(Teams!$K$1,MATCH($A16,Teams!$K:$K,0),7,11))),IFERROR(OFFSET(Teams!$A$1,MATCH($A16,Teams!$A:$A,0),7,11),OFFSET(Teams!$K$1,MATCH($A16,Teams!$K:$K,0),7,11))))+IFERROR(INDEX(Teams!$H:$H,MATCH($A16,Teams!$A:$A,0)+13),INDEX(Teams!$R:$R,MATCH($A16,Teams!$K:$K,0)+13)))/11)</f>
        <v>#N/A</v>
      </c>
      <c r="L16" s="97" t="str">
        <f t="shared" si="1"/>
        <v>#N/A</v>
      </c>
      <c r="M16" s="31" t="str">
        <f>IFERROR(__xludf.DUMMYFUNCTION("(AVERAGE(FILTER(IFERROR(OFFSET(Teams!$A$1,MATCH($A16,Teams!$A:$A,0),8,13),OFFSET(Teams!$K$1,MATCH($A16,Teams!$K:$K,0),8,13)),IFERROR(OFFSET(Teams!$A$1,MATCH($A16,Teams!$A:$A,0),8,13),OFFSET(Teams!$K$1,MATCH($A16,Teams!$K:$K,0),8,13))&lt;&gt;""#N/A"",IFERROR(OFF"&amp;"SET(Teams!$A$1,MATCH($A16,Teams!$A:$A,0),8,13),OFFSET(Teams!$K$1,MATCH($A16,Teams!$K:$K,0),8,13))&gt;=LARGE(FILTER(IFERROR(OFFSET(Teams!$A$1,MATCH($A16,Teams!$A:$A,0),8,13),OFFSET(Teams!$K$1,MATCH($A16,Teams!$K:$K,0),8,13)),IFERROR(OFFSET(Teams!$A$1,MATCH($A"&amp;"16,Teams!$A:$A,0),8,13),OFFSET(Teams!$K$1,MATCH($A16,Teams!$K:$K,0),8,13))&lt;&gt;""#N/A""),5)))*3+AVERAGE(FILTER(IFERROR(OFFSET(Teams!$A$1,MATCH($A16,Teams!$A:$A,0),8,13),OFFSET(Teams!$K$1,MATCH($A16,Teams!$K:$K,0),8,13)),IFERROR(OFFSET(Teams!$A$1,MATCH($A16,T"&amp;"eams!$A:$A,0),8,13),OFFSET(Teams!$K$1,MATCH($A16,Teams!$K:$K,0),8,13))&lt;&gt;""#N/A"",IFERROR(OFFSET(Teams!$A$1,MATCH($A16,Teams!$A:$A,0),8,13),OFFSET(Teams!$K$1,MATCH($A16,Teams!$K:$K,0),8,13))&gt;=LARGE(FILTER(IFERROR(OFFSET(Teams!$A$1,MATCH($A16,Teams!$A:$A,0)"&amp;",8,13),OFFSET(Teams!$K$1,MATCH($A16,Teams!$K:$K,0),8,13)),IFERROR(OFFSET(Teams!$A$1,MATCH($A16,Teams!$A:$A,0),8,13),OFFSET(Teams!$K$1,MATCH($A16,Teams!$K:$K,0),8,13))&lt;&gt;""#N/A""),7)))+AVERAGE(FILTER(IFERROR(OFFSET(Teams!$A$1,MATCH($A16,Teams!$A:$A,0),8,13)"&amp;",OFFSET(Teams!$K$1,MATCH($A16,Teams!$K:$K,0),8,13)),IFERROR(OFFSET(Teams!$A$1,MATCH($A16,Teams!$A:$A,0),8,13),OFFSET(Teams!$K$1,MATCH($A16,Teams!$K:$K,0),8,13))&lt;&gt;""#N/A"",IFERROR(OFFSET(Teams!$A$1,MATCH($A16,Teams!$A:$A,0),8,13),OFFSET(Teams!$K$1,MATCH($A"&amp;"16,Teams!$K:$K,0),8,13))&gt;=LARGE(FILTER(IFERROR(OFFSET(Teams!$A$1,MATCH($A16,Teams!$A:$A,0),8,13),OFFSET(Teams!$K$1,MATCH($A16,Teams!$K:$K,0),8,13)),IFERROR(OFFSET(Teams!$A$1,MATCH($A16,Teams!$A:$A,0),8,13),OFFSET(Teams!$K$1,MATCH($A16,Teams!$K:$K,0),8,13)"&amp;")&lt;&gt;""#N/A""),11))))/5"),"#N/A")</f>
        <v>#N/A</v>
      </c>
      <c r="N16" s="100" t="str">
        <f t="shared" si="2"/>
        <v>#N/A</v>
      </c>
      <c r="O16" s="11"/>
    </row>
    <row r="17">
      <c r="A17" s="17" t="s">
        <v>1353</v>
      </c>
      <c r="B17" s="94">
        <f>COUNTIF(IFERROR(OFFSET(Teams!$A$1,MATCH($A17,Teams!$A:$A,0),2,11),OFFSET(Teams!$K$1,MATCH($A17,Teams!$K:$K,0),2,11)),"PG")</f>
        <v>0</v>
      </c>
      <c r="C17" s="94">
        <f>COUNTIF(IFERROR(OFFSET(Teams!$A$1,MATCH($A17,Teams!$A:$A,0),2,11),OFFSET(Teams!$K$1,MATCH($A17,Teams!$K:$K,0),2,11)),"SG")</f>
        <v>0</v>
      </c>
      <c r="D17" s="94">
        <f>COUNTIF(IFERROR(OFFSET(Teams!$A$1,MATCH($A17,Teams!$A:$A,0),2,11),OFFSET(Teams!$K$1,MATCH($A17,Teams!$K:$K,0),2,11)),"SF")</f>
        <v>0</v>
      </c>
      <c r="E17" s="94">
        <f>COUNTIF(IFERROR(OFFSET(Teams!$A$1,MATCH($A17,Teams!$A:$A,0),2,11),OFFSET(Teams!$K$1,MATCH($A17,Teams!$K:$K,0),2,11)),"PF")</f>
        <v>0</v>
      </c>
      <c r="F17" s="94">
        <f>COUNTIF(IFERROR(OFFSET(Teams!$A$1,MATCH($A17,Teams!$A:$A,0),2,11),OFFSET(Teams!$K$1,MATCH($A17,Teams!$K:$K,0),2,11)),"C")</f>
        <v>0</v>
      </c>
      <c r="G17" s="98" t="str">
        <f t="array" ref="G17">IF(MIN(IF(ISNUMBER(IFERROR(OFFSET(Teams!$A$1,MATCH($A17,Teams!$A:$A,0),6,11),OFFSET(Teams!$K$1,MATCH($A17,Teams!$K:$K,0),6,11))),IFERROR(OFFSET(Teams!$A$1,MATCH($A17,Teams!$A:$A,0),6,11),OFFSET(Teams!$K$1,MATCH($A17,Teams!$K:$K,0),6,11))))&gt;IF(IFERROR(IFERROR(INDEX(Teams!$G:$G,MATCH($A17,Teams!$A:$A,0)+13),INDEX(Teams!$Q:$Q,MATCH($A17,Teams!$K:$K,0)+13)),0)="",0,IFERROR(IFERROR(INDEX(Teams!$G:$G,MATCH($A17,Teams!$A:$A,0)+13),INDEX(Teams!$Q:$Q,MATCH($A17,Teams!$K:$K,0)+13)),0)),AVERAGEIF(IFERROR(OFFSET(Teams!$A$1,MATCH($A17,Teams!$A:$A,0),3,11),OFFSET(Teams!$K$1,MATCH($A17,Teams!$K:$K,0),3,11)),"&lt;&gt;#N/A"),(SUMIF(IFERROR(OFFSET(Teams!$A$1,MATCH($A17,Teams!$A:$A,0),3,11),OFFSET(Teams!$K$1,MATCH($A17,Teams!$K:$K,0),3,11)),"&lt;&gt;#N/A")-MIN(IF(ISNUMBER(IFERROR(OFFSET(Teams!$A$1,MATCH($A17,Teams!$A:$A,0),3,11),OFFSET(Teams!$K$1,MATCH($A17,Teams!$K:$K,0),3,11))),IFERROR(OFFSET(Teams!$A$1,MATCH($A17,Teams!$A:$A,0),3,11),OFFSET(Teams!$K$1,MATCH($A17,Teams!$K:$K,0),3,11))))+IFERROR(INDEX(Teams!$D:$D,MATCH($A17,Teams!$A:$A,0)+13),INDEX(Teams!$N:$N,MATCH($A17,Teams!$K:$K,0)+13)))/11)</f>
        <v>#N/A</v>
      </c>
      <c r="H17" s="96">
        <f t="array" ref="H17">SUM(1/COUNTIF(IFERROR(OFFSET(Teams!$A$1,MATCH($A17,Teams!$A:$A,0),4,11),OFFSET(Teams!$K$1,MATCH($A17,Teams!$K:$K,0),4,11)),IFERROR(OFFSET(Teams!$A$1,MATCH($A17,Teams!$A:$A,0),4,11),OFFSET(Teams!$K$1,MATCH($A17,Teams!$K:$K,0),4,11))))</f>
        <v>1</v>
      </c>
      <c r="I17" s="97" t="str">
        <f t="array" ref="I17">IF(MIN(IF(ISNUMBER(IFERROR(OFFSET(Teams!$A$1,MATCH($A17,Teams!$A:$A,0),6,11),OFFSET(Teams!$K$1,MATCH($A17,Teams!$K:$K,0),6,11))),IFERROR(OFFSET(Teams!$A$1,MATCH($A17,Teams!$A:$A,0),6,11),OFFSET(Teams!$K$1,MATCH($A17,Teams!$K:$K,0),6,11))))&gt;IF(IFERROR(IFERROR(INDEX(Teams!$G:$G,MATCH($A17,Teams!$A:$A,0)+13),INDEX(Teams!$Q:$Q,MATCH($A17,Teams!$K:$K,0)+13)),0)="",0,IFERROR(IFERROR(INDEX(Teams!$G:$G,MATCH($A17,Teams!$A:$A,0)+13),INDEX(Teams!$Q:$Q,MATCH($A17,Teams!$K:$K,0)+13)),0)),AVERAGEIF(IFERROR(OFFSET(Teams!$A$1,MATCH($A17,Teams!$A:$A,0),5,11),OFFSET(Teams!$K$1,MATCH($A17,Teams!$K:$K,0),5,11)),"&lt;&gt;#N/A"),(SUMIF(IFERROR(OFFSET(Teams!$A$1,MATCH($A17,Teams!$A:$A,0),5,11),OFFSET(Teams!$K$1,MATCH($A17,Teams!$K:$K,0),5,11)),"&lt;&gt;#N/A")-MIN(IF(ISNUMBER(IFERROR(OFFSET(Teams!$A$1,MATCH($A17,Teams!$A:$A,0),5,11),OFFSET(Teams!$K$1,MATCH($A17,Teams!$K:$K,0),5,11))),IFERROR(OFFSET(Teams!$A$1,MATCH($A17,Teams!$A:$A,0),5,11),OFFSET(Teams!$K$1,MATCH($A17,Teams!$K:$K,0),5,11))))+IFERROR(INDEX(Teams!$F:$F,MATCH($A17,Teams!$A:$A,0)+13),INDEX(Teams!$P:$P,MATCH($A17,Teams!$K:$K,0)+13)))/11)</f>
        <v>#N/A</v>
      </c>
      <c r="J17" s="98" t="str">
        <f t="array" ref="J17">IF(MIN(IF(ISNUMBER(IFERROR(OFFSET(Teams!$A$1,MATCH($A17,Teams!$A:$A,0),6,11),OFFSET(Teams!$K$1,MATCH($A17,Teams!$K:$K,0),6,11))),IFERROR(OFFSET(Teams!$A$1,MATCH($A17,Teams!$A:$A,0),6,11),OFFSET(Teams!$K$1,MATCH($A17,Teams!$K:$K,0),6,11))))&gt;IF(IFERROR(IFERROR(INDEX(Teams!$G:$G,MATCH($A17,Teams!$A:$A,0)+13),INDEX(Teams!$Q:$Q,MATCH($A17,Teams!$K:$K,0)+13)),0)="",0,IFERROR(IFERROR(INDEX(Teams!$G:$G,MATCH($A17,Teams!$A:$A,0)+13),INDEX(Teams!$Q:$Q,MATCH($A17,Teams!$K:$K,0)+13)),0)),AVERAGEIF(IFERROR(OFFSET(Teams!$A$1,MATCH($A17,Teams!$A:$A,0),6,11),OFFSET(Teams!$K$1,MATCH($A17,Teams!$K:$K,0),6,11)),"&lt;&gt;#N/A"),(SUMIF(IFERROR(OFFSET(Teams!$A$1,MATCH($A17,Teams!$A:$A,0),6,11),OFFSET(Teams!$K$1,MATCH($A17,Teams!$K:$K,0),6,11)),"&lt;&gt;#N/A")-MIN(IF(ISNUMBER(IFERROR(OFFSET(Teams!$A$1,MATCH($A17,Teams!$A:$A,0),6,11),OFFSET(Teams!$K$1,MATCH($A17,Teams!$K:$K,0),6,11))),IFERROR(OFFSET(Teams!$A$1,MATCH($A17,Teams!$A:$A,0),6,11),OFFSET(Teams!$K$1,MATCH($A17,Teams!$K:$K,0),6,11))))+IFERROR(INDEX(Teams!$G:$G,MATCH($A17,Teams!$A:$A,0)+13),INDEX(Teams!$Q:$Q,MATCH($A17,Teams!$K:$K,0)+13)))/11)</f>
        <v>#N/A</v>
      </c>
      <c r="K17" s="99" t="str">
        <f t="array" ref="K17">IF(MIN(IF(ISNUMBER(IFERROR(OFFSET(Teams!$A$1,MATCH($A17,Teams!$A:$A,0),6,11),OFFSET(Teams!$K$1,MATCH($A17,Teams!$K:$K,0),6,11))),IFERROR(OFFSET(Teams!$A$1,MATCH($A17,Teams!$A:$A,0),6,11),OFFSET(Teams!$K$1,MATCH($A17,Teams!$K:$K,0),6,11))))&gt;IF(IFERROR(IFERROR(INDEX(Teams!$G:$G,MATCH($A17,Teams!$A:$A,0)+13),INDEX(Teams!$Q:$Q,MATCH($A17,Teams!$K:$K,0)+13)),0)="",0,IFERROR(IFERROR(INDEX(Teams!$G:$G,MATCH($A17,Teams!$A:$A,0)+13),INDEX(Teams!$Q:$Q,MATCH($A17,Teams!$K:$K,0)+13)),0)),AVERAGEIF(IFERROR(OFFSET(Teams!$A$1,MATCH($A17,Teams!$A:$A,0),7,11),OFFSET(Teams!$K$1,MATCH($A17,Teams!$K:$K,0),7,11)),"&lt;&gt;#N/A"),(SUMIF(IFERROR(OFFSET(Teams!$A$1,MATCH($A17,Teams!$A:$A,0),7,11),OFFSET(Teams!$K$1,MATCH($A17,Teams!$K:$K,0),7,11)),"&lt;&gt;#N/A")-MIN(IF(ISNUMBER(IFERROR(OFFSET(Teams!$A$1,MATCH($A17,Teams!$A:$A,0),7,11),OFFSET(Teams!$K$1,MATCH($A17,Teams!$K:$K,0),7,11))),IFERROR(OFFSET(Teams!$A$1,MATCH($A17,Teams!$A:$A,0),7,11),OFFSET(Teams!$K$1,MATCH($A17,Teams!$K:$K,0),7,11))))+IFERROR(INDEX(Teams!$H:$H,MATCH($A17,Teams!$A:$A,0)+13),INDEX(Teams!$R:$R,MATCH($A17,Teams!$K:$K,0)+13)))/11)</f>
        <v>#N/A</v>
      </c>
      <c r="L17" s="97" t="str">
        <f t="shared" si="1"/>
        <v>#N/A</v>
      </c>
      <c r="M17" s="31" t="str">
        <f>IFERROR(__xludf.DUMMYFUNCTION("(AVERAGE(FILTER(IFERROR(OFFSET(Teams!$A$1,MATCH($A17,Teams!$A:$A,0),8,13),OFFSET(Teams!$K$1,MATCH($A17,Teams!$K:$K,0),8,13)),IFERROR(OFFSET(Teams!$A$1,MATCH($A17,Teams!$A:$A,0),8,13),OFFSET(Teams!$K$1,MATCH($A17,Teams!$K:$K,0),8,13))&lt;&gt;""#N/A"",IFERROR(OFF"&amp;"SET(Teams!$A$1,MATCH($A17,Teams!$A:$A,0),8,13),OFFSET(Teams!$K$1,MATCH($A17,Teams!$K:$K,0),8,13))&gt;=LARGE(FILTER(IFERROR(OFFSET(Teams!$A$1,MATCH($A17,Teams!$A:$A,0),8,13),OFFSET(Teams!$K$1,MATCH($A17,Teams!$K:$K,0),8,13)),IFERROR(OFFSET(Teams!$A$1,MATCH($A"&amp;"17,Teams!$A:$A,0),8,13),OFFSET(Teams!$K$1,MATCH($A17,Teams!$K:$K,0),8,13))&lt;&gt;""#N/A""),5)))*3+AVERAGE(FILTER(IFERROR(OFFSET(Teams!$A$1,MATCH($A17,Teams!$A:$A,0),8,13),OFFSET(Teams!$K$1,MATCH($A17,Teams!$K:$K,0),8,13)),IFERROR(OFFSET(Teams!$A$1,MATCH($A17,T"&amp;"eams!$A:$A,0),8,13),OFFSET(Teams!$K$1,MATCH($A17,Teams!$K:$K,0),8,13))&lt;&gt;""#N/A"",IFERROR(OFFSET(Teams!$A$1,MATCH($A17,Teams!$A:$A,0),8,13),OFFSET(Teams!$K$1,MATCH($A17,Teams!$K:$K,0),8,13))&gt;=LARGE(FILTER(IFERROR(OFFSET(Teams!$A$1,MATCH($A17,Teams!$A:$A,0)"&amp;",8,13),OFFSET(Teams!$K$1,MATCH($A17,Teams!$K:$K,0),8,13)),IFERROR(OFFSET(Teams!$A$1,MATCH($A17,Teams!$A:$A,0),8,13),OFFSET(Teams!$K$1,MATCH($A17,Teams!$K:$K,0),8,13))&lt;&gt;""#N/A""),7)))+AVERAGE(FILTER(IFERROR(OFFSET(Teams!$A$1,MATCH($A17,Teams!$A:$A,0),8,13)"&amp;",OFFSET(Teams!$K$1,MATCH($A17,Teams!$K:$K,0),8,13)),IFERROR(OFFSET(Teams!$A$1,MATCH($A17,Teams!$A:$A,0),8,13),OFFSET(Teams!$K$1,MATCH($A17,Teams!$K:$K,0),8,13))&lt;&gt;""#N/A"",IFERROR(OFFSET(Teams!$A$1,MATCH($A17,Teams!$A:$A,0),8,13),OFFSET(Teams!$K$1,MATCH($A"&amp;"17,Teams!$K:$K,0),8,13))&gt;=LARGE(FILTER(IFERROR(OFFSET(Teams!$A$1,MATCH($A17,Teams!$A:$A,0),8,13),OFFSET(Teams!$K$1,MATCH($A17,Teams!$K:$K,0),8,13)),IFERROR(OFFSET(Teams!$A$1,MATCH($A17,Teams!$A:$A,0),8,13),OFFSET(Teams!$K$1,MATCH($A17,Teams!$K:$K,0),8,13)"&amp;")&lt;&gt;""#N/A""),11))))/5"),"#N/A")</f>
        <v>#N/A</v>
      </c>
      <c r="N17" s="100" t="str">
        <f t="shared" si="2"/>
        <v>#N/A</v>
      </c>
      <c r="O17" s="11"/>
    </row>
    <row r="18">
      <c r="I18" s="15"/>
      <c r="K18" s="14"/>
      <c r="L18" s="97"/>
      <c r="M18" s="15"/>
      <c r="N18" s="105"/>
    </row>
    <row r="19">
      <c r="I19" s="15"/>
      <c r="K19" s="14"/>
      <c r="L19" s="15"/>
      <c r="M19" s="15"/>
      <c r="N19" s="105"/>
    </row>
    <row r="20">
      <c r="G20" s="17" t="s">
        <v>1347</v>
      </c>
      <c r="I20" s="15"/>
      <c r="K20" s="14"/>
      <c r="L20" s="15"/>
      <c r="M20" s="15"/>
      <c r="N20" s="105"/>
    </row>
    <row r="21">
      <c r="I21" s="15"/>
      <c r="K21" s="14"/>
      <c r="L21" s="15"/>
      <c r="M21" s="15"/>
      <c r="N21" s="105"/>
    </row>
    <row r="22">
      <c r="I22" s="15"/>
      <c r="K22" s="14"/>
      <c r="L22" s="15"/>
      <c r="M22" s="15"/>
      <c r="N22" s="105"/>
    </row>
    <row r="23">
      <c r="I23" s="15"/>
      <c r="K23" s="14"/>
      <c r="L23" s="15"/>
      <c r="M23" s="15"/>
      <c r="N23" s="105"/>
    </row>
    <row r="24">
      <c r="I24" s="15"/>
      <c r="K24" s="14"/>
      <c r="L24" s="15"/>
      <c r="M24" s="15"/>
      <c r="N24" s="105"/>
    </row>
    <row r="25">
      <c r="I25" s="15"/>
      <c r="K25" s="14"/>
      <c r="L25" s="15"/>
      <c r="M25" s="15"/>
      <c r="N25" s="105"/>
    </row>
    <row r="26">
      <c r="I26" s="15"/>
      <c r="K26" s="14"/>
      <c r="L26" s="15"/>
      <c r="M26" s="15"/>
      <c r="N26" s="105"/>
    </row>
    <row r="27">
      <c r="I27" s="15"/>
      <c r="K27" s="14"/>
      <c r="L27" s="15"/>
      <c r="M27" s="15"/>
      <c r="N27" s="105"/>
    </row>
    <row r="28">
      <c r="I28" s="15"/>
      <c r="K28" s="14"/>
      <c r="L28" s="15"/>
      <c r="M28" s="15"/>
      <c r="N28" s="105"/>
    </row>
    <row r="29">
      <c r="I29" s="15"/>
      <c r="K29" s="14"/>
      <c r="L29" s="15"/>
      <c r="M29" s="15"/>
      <c r="N29" s="105"/>
      <c r="P29" s="17"/>
    </row>
    <row r="30">
      <c r="I30" s="15"/>
      <c r="K30" s="14"/>
      <c r="L30" s="15"/>
      <c r="M30" s="15"/>
      <c r="N30" s="105"/>
    </row>
    <row r="31">
      <c r="I31" s="15"/>
      <c r="K31" s="14"/>
      <c r="L31" s="15"/>
      <c r="M31" s="15"/>
      <c r="N31" s="105"/>
    </row>
    <row r="32">
      <c r="I32" s="15"/>
      <c r="K32" s="14"/>
      <c r="L32" s="15"/>
      <c r="M32" s="15"/>
      <c r="N32" s="105"/>
    </row>
    <row r="33">
      <c r="I33" s="15"/>
      <c r="K33" s="14"/>
      <c r="L33" s="15"/>
      <c r="M33" s="15"/>
      <c r="N33" s="105"/>
    </row>
    <row r="34">
      <c r="I34" s="15"/>
      <c r="K34" s="14"/>
      <c r="L34" s="15"/>
      <c r="M34" s="15"/>
      <c r="N34" s="105"/>
    </row>
    <row r="35">
      <c r="I35" s="15"/>
      <c r="K35" s="14"/>
      <c r="L35" s="15"/>
      <c r="M35" s="15"/>
      <c r="N35" s="105"/>
    </row>
    <row r="36">
      <c r="I36" s="15"/>
      <c r="K36" s="14"/>
      <c r="L36" s="15"/>
      <c r="M36" s="15"/>
      <c r="N36" s="105"/>
    </row>
    <row r="37">
      <c r="I37" s="15"/>
      <c r="K37" s="14"/>
      <c r="L37" s="15"/>
      <c r="M37" s="15"/>
      <c r="N37" s="105"/>
    </row>
    <row r="38">
      <c r="I38" s="15"/>
      <c r="K38" s="14"/>
      <c r="L38" s="15"/>
      <c r="M38" s="15"/>
      <c r="N38" s="105"/>
    </row>
    <row r="39">
      <c r="I39" s="15"/>
      <c r="K39" s="14"/>
      <c r="L39" s="15"/>
      <c r="M39" s="15"/>
      <c r="N39" s="105"/>
    </row>
    <row r="40">
      <c r="I40" s="15"/>
      <c r="K40" s="14"/>
      <c r="L40" s="15"/>
      <c r="M40" s="15"/>
      <c r="N40" s="105"/>
    </row>
    <row r="41">
      <c r="I41" s="15"/>
      <c r="K41" s="14"/>
      <c r="L41" s="15"/>
      <c r="M41" s="15"/>
      <c r="N41" s="105"/>
    </row>
    <row r="42">
      <c r="I42" s="15"/>
      <c r="K42" s="14"/>
      <c r="L42" s="15"/>
      <c r="M42" s="15"/>
      <c r="N42" s="105"/>
    </row>
    <row r="43">
      <c r="I43" s="15"/>
      <c r="K43" s="14"/>
      <c r="L43" s="15"/>
      <c r="M43" s="15"/>
      <c r="N43" s="105"/>
    </row>
    <row r="44">
      <c r="I44" s="15"/>
      <c r="K44" s="14"/>
      <c r="L44" s="15"/>
      <c r="M44" s="15"/>
      <c r="N44" s="105"/>
    </row>
    <row r="45">
      <c r="I45" s="15"/>
      <c r="K45" s="14"/>
      <c r="L45" s="15"/>
      <c r="M45" s="15"/>
      <c r="N45" s="105"/>
    </row>
    <row r="46">
      <c r="I46" s="15"/>
      <c r="K46" s="14"/>
      <c r="L46" s="15"/>
      <c r="M46" s="15"/>
      <c r="N46" s="105"/>
    </row>
    <row r="47">
      <c r="I47" s="15"/>
      <c r="K47" s="14"/>
      <c r="L47" s="15"/>
      <c r="M47" s="15"/>
      <c r="N47" s="105"/>
    </row>
    <row r="48">
      <c r="I48" s="15"/>
      <c r="K48" s="14"/>
      <c r="L48" s="15"/>
      <c r="M48" s="15"/>
      <c r="N48" s="105"/>
    </row>
    <row r="49">
      <c r="I49" s="15"/>
      <c r="K49" s="14"/>
      <c r="L49" s="15"/>
      <c r="M49" s="15"/>
      <c r="N49" s="105"/>
    </row>
    <row r="50">
      <c r="I50" s="15"/>
      <c r="K50" s="14"/>
      <c r="L50" s="15"/>
      <c r="M50" s="15"/>
      <c r="N50" s="105"/>
    </row>
    <row r="51">
      <c r="I51" s="15"/>
      <c r="K51" s="14"/>
      <c r="L51" s="15"/>
      <c r="M51" s="15"/>
      <c r="N51" s="105"/>
    </row>
    <row r="52">
      <c r="I52" s="15"/>
      <c r="K52" s="14"/>
      <c r="L52" s="15"/>
      <c r="M52" s="15"/>
      <c r="N52" s="105"/>
    </row>
    <row r="53">
      <c r="I53" s="15"/>
      <c r="K53" s="14"/>
      <c r="L53" s="15"/>
      <c r="M53" s="15"/>
      <c r="N53" s="105"/>
    </row>
    <row r="54">
      <c r="I54" s="15"/>
      <c r="K54" s="14"/>
      <c r="L54" s="15"/>
      <c r="M54" s="15"/>
      <c r="N54" s="105"/>
    </row>
    <row r="55">
      <c r="I55" s="15"/>
      <c r="K55" s="14"/>
      <c r="L55" s="15"/>
      <c r="M55" s="15"/>
      <c r="N55" s="105"/>
    </row>
    <row r="56">
      <c r="I56" s="15"/>
      <c r="K56" s="14"/>
      <c r="L56" s="15"/>
      <c r="M56" s="15"/>
      <c r="N56" s="105"/>
    </row>
    <row r="57">
      <c r="I57" s="15"/>
      <c r="K57" s="14"/>
      <c r="L57" s="15"/>
      <c r="M57" s="15"/>
      <c r="N57" s="105"/>
    </row>
    <row r="58">
      <c r="I58" s="15"/>
      <c r="K58" s="14"/>
      <c r="L58" s="15"/>
      <c r="M58" s="15"/>
      <c r="N58" s="105"/>
    </row>
    <row r="59">
      <c r="I59" s="15"/>
      <c r="K59" s="14"/>
      <c r="L59" s="15"/>
      <c r="M59" s="15"/>
      <c r="N59" s="105"/>
    </row>
    <row r="60">
      <c r="I60" s="15"/>
      <c r="K60" s="14"/>
      <c r="L60" s="15"/>
      <c r="M60" s="15"/>
      <c r="N60" s="105"/>
    </row>
    <row r="61">
      <c r="I61" s="15"/>
      <c r="K61" s="14"/>
      <c r="L61" s="15"/>
      <c r="M61" s="15"/>
      <c r="N61" s="105"/>
    </row>
    <row r="62">
      <c r="I62" s="15"/>
      <c r="K62" s="14"/>
      <c r="L62" s="15"/>
      <c r="M62" s="15"/>
      <c r="N62" s="105"/>
    </row>
    <row r="63">
      <c r="I63" s="15"/>
      <c r="K63" s="14"/>
      <c r="L63" s="15"/>
      <c r="M63" s="15"/>
      <c r="N63" s="105"/>
    </row>
    <row r="64">
      <c r="I64" s="15"/>
      <c r="K64" s="14"/>
      <c r="L64" s="15"/>
      <c r="M64" s="15"/>
      <c r="N64" s="105"/>
    </row>
    <row r="65">
      <c r="I65" s="15"/>
      <c r="K65" s="14"/>
      <c r="L65" s="15"/>
      <c r="M65" s="15"/>
      <c r="N65" s="105"/>
    </row>
    <row r="66">
      <c r="I66" s="15"/>
      <c r="K66" s="14"/>
      <c r="L66" s="15"/>
      <c r="M66" s="15"/>
      <c r="N66" s="105"/>
    </row>
    <row r="67">
      <c r="I67" s="15"/>
      <c r="K67" s="14"/>
      <c r="L67" s="15"/>
      <c r="M67" s="15"/>
      <c r="N67" s="105"/>
    </row>
    <row r="68">
      <c r="I68" s="15"/>
      <c r="K68" s="14"/>
      <c r="L68" s="15"/>
      <c r="M68" s="15"/>
      <c r="N68" s="105"/>
    </row>
    <row r="69">
      <c r="I69" s="15"/>
      <c r="K69" s="14"/>
      <c r="L69" s="15"/>
      <c r="M69" s="15"/>
      <c r="N69" s="105"/>
    </row>
    <row r="70">
      <c r="I70" s="15"/>
      <c r="K70" s="14"/>
      <c r="L70" s="15"/>
      <c r="M70" s="15"/>
      <c r="N70" s="105"/>
    </row>
    <row r="71">
      <c r="I71" s="15"/>
      <c r="K71" s="14"/>
      <c r="L71" s="15"/>
      <c r="M71" s="15"/>
      <c r="N71" s="105"/>
    </row>
    <row r="72">
      <c r="I72" s="15"/>
      <c r="K72" s="14"/>
      <c r="L72" s="15"/>
      <c r="M72" s="15"/>
      <c r="N72" s="105"/>
    </row>
    <row r="73">
      <c r="I73" s="15"/>
      <c r="K73" s="14"/>
      <c r="L73" s="15"/>
      <c r="M73" s="15"/>
      <c r="N73" s="105"/>
    </row>
    <row r="74">
      <c r="I74" s="15"/>
      <c r="K74" s="14"/>
      <c r="L74" s="15"/>
      <c r="M74" s="15"/>
      <c r="N74" s="105"/>
    </row>
    <row r="75">
      <c r="I75" s="15"/>
      <c r="K75" s="14"/>
      <c r="L75" s="15"/>
      <c r="M75" s="15"/>
      <c r="N75" s="105"/>
    </row>
    <row r="76">
      <c r="I76" s="15"/>
      <c r="K76" s="14"/>
      <c r="L76" s="15"/>
      <c r="M76" s="15"/>
      <c r="N76" s="105"/>
    </row>
    <row r="77">
      <c r="I77" s="15"/>
      <c r="K77" s="14"/>
      <c r="L77" s="15"/>
      <c r="M77" s="15"/>
      <c r="N77" s="105"/>
    </row>
    <row r="78">
      <c r="I78" s="15"/>
      <c r="K78" s="14"/>
      <c r="L78" s="15"/>
      <c r="M78" s="15"/>
      <c r="N78" s="105"/>
    </row>
    <row r="79">
      <c r="I79" s="15"/>
      <c r="K79" s="14"/>
      <c r="L79" s="15"/>
      <c r="M79" s="15"/>
      <c r="N79" s="105"/>
    </row>
    <row r="80">
      <c r="I80" s="15"/>
      <c r="K80" s="14"/>
      <c r="L80" s="15"/>
      <c r="M80" s="15"/>
      <c r="N80" s="105"/>
    </row>
    <row r="81">
      <c r="I81" s="15"/>
      <c r="K81" s="14"/>
      <c r="L81" s="15"/>
      <c r="M81" s="15"/>
      <c r="N81" s="105"/>
    </row>
    <row r="82">
      <c r="I82" s="15"/>
      <c r="K82" s="14"/>
      <c r="L82" s="15"/>
      <c r="M82" s="15"/>
      <c r="N82" s="105"/>
    </row>
    <row r="83">
      <c r="I83" s="15"/>
      <c r="K83" s="14"/>
      <c r="L83" s="15"/>
      <c r="M83" s="15"/>
      <c r="N83" s="105"/>
    </row>
    <row r="84">
      <c r="I84" s="15"/>
      <c r="K84" s="14"/>
      <c r="L84" s="15"/>
      <c r="M84" s="15"/>
      <c r="N84" s="105"/>
    </row>
    <row r="85">
      <c r="I85" s="15"/>
      <c r="K85" s="14"/>
      <c r="L85" s="15"/>
      <c r="M85" s="15"/>
      <c r="N85" s="105"/>
    </row>
    <row r="86">
      <c r="I86" s="15"/>
      <c r="K86" s="14"/>
      <c r="L86" s="15"/>
      <c r="M86" s="15"/>
      <c r="N86" s="105"/>
    </row>
    <row r="87">
      <c r="I87" s="15"/>
      <c r="K87" s="14"/>
      <c r="L87" s="15"/>
      <c r="M87" s="15"/>
      <c r="N87" s="105"/>
    </row>
    <row r="88">
      <c r="I88" s="15"/>
      <c r="K88" s="14"/>
      <c r="L88" s="15"/>
      <c r="M88" s="15"/>
      <c r="N88" s="105"/>
    </row>
    <row r="89">
      <c r="I89" s="15"/>
      <c r="K89" s="14"/>
      <c r="L89" s="15"/>
      <c r="M89" s="15"/>
      <c r="N89" s="105"/>
    </row>
    <row r="90">
      <c r="I90" s="15"/>
      <c r="K90" s="14"/>
      <c r="L90" s="15"/>
      <c r="M90" s="15"/>
      <c r="N90" s="105"/>
    </row>
    <row r="91">
      <c r="I91" s="15"/>
      <c r="K91" s="14"/>
      <c r="L91" s="15"/>
      <c r="M91" s="15"/>
      <c r="N91" s="105"/>
    </row>
    <row r="92">
      <c r="I92" s="15"/>
      <c r="K92" s="14"/>
      <c r="L92" s="15"/>
      <c r="M92" s="15"/>
      <c r="N92" s="105"/>
    </row>
    <row r="93">
      <c r="I93" s="15"/>
      <c r="K93" s="14"/>
      <c r="L93" s="15"/>
      <c r="M93" s="15"/>
      <c r="N93" s="105"/>
    </row>
    <row r="94">
      <c r="I94" s="15"/>
      <c r="K94" s="14"/>
      <c r="L94" s="15"/>
      <c r="M94" s="15"/>
      <c r="N94" s="105"/>
    </row>
    <row r="95">
      <c r="I95" s="15"/>
      <c r="K95" s="14"/>
      <c r="L95" s="15"/>
      <c r="M95" s="15"/>
      <c r="N95" s="105"/>
    </row>
    <row r="96">
      <c r="I96" s="15"/>
      <c r="K96" s="14"/>
      <c r="L96" s="15"/>
      <c r="M96" s="15"/>
      <c r="N96" s="105"/>
    </row>
    <row r="97">
      <c r="I97" s="15"/>
      <c r="K97" s="14"/>
      <c r="L97" s="15"/>
      <c r="M97" s="15"/>
      <c r="N97" s="105"/>
    </row>
    <row r="98">
      <c r="I98" s="15"/>
      <c r="K98" s="14"/>
      <c r="L98" s="15"/>
      <c r="M98" s="15"/>
      <c r="N98" s="105"/>
    </row>
    <row r="99">
      <c r="I99" s="15"/>
      <c r="K99" s="14"/>
      <c r="L99" s="15"/>
      <c r="M99" s="15"/>
      <c r="N99" s="105"/>
    </row>
    <row r="100">
      <c r="I100" s="15"/>
      <c r="K100" s="14"/>
      <c r="L100" s="15"/>
      <c r="M100" s="15"/>
      <c r="N100" s="105"/>
    </row>
    <row r="101">
      <c r="I101" s="15"/>
      <c r="K101" s="14"/>
      <c r="L101" s="15"/>
      <c r="M101" s="15"/>
      <c r="N101" s="105"/>
    </row>
    <row r="102">
      <c r="I102" s="15"/>
      <c r="K102" s="14"/>
      <c r="L102" s="15"/>
      <c r="M102" s="15"/>
      <c r="N102" s="105"/>
    </row>
    <row r="103">
      <c r="I103" s="15"/>
      <c r="K103" s="14"/>
      <c r="L103" s="15"/>
      <c r="M103" s="15"/>
      <c r="N103" s="105"/>
    </row>
    <row r="104">
      <c r="I104" s="15"/>
      <c r="K104" s="14"/>
      <c r="L104" s="15"/>
      <c r="M104" s="15"/>
      <c r="N104" s="105"/>
    </row>
    <row r="105">
      <c r="I105" s="15"/>
      <c r="K105" s="14"/>
      <c r="L105" s="15"/>
      <c r="M105" s="15"/>
      <c r="N105" s="105"/>
    </row>
    <row r="106">
      <c r="I106" s="15"/>
      <c r="K106" s="14"/>
      <c r="L106" s="15"/>
      <c r="M106" s="15"/>
      <c r="N106" s="105"/>
    </row>
    <row r="107">
      <c r="I107" s="15"/>
      <c r="K107" s="14"/>
      <c r="L107" s="15"/>
      <c r="M107" s="15"/>
      <c r="N107" s="105"/>
    </row>
    <row r="108">
      <c r="I108" s="15"/>
      <c r="K108" s="14"/>
      <c r="L108" s="15"/>
      <c r="M108" s="15"/>
      <c r="N108" s="105"/>
    </row>
    <row r="109">
      <c r="I109" s="15"/>
      <c r="K109" s="14"/>
      <c r="L109" s="15"/>
      <c r="M109" s="15"/>
      <c r="N109" s="105"/>
    </row>
    <row r="110">
      <c r="I110" s="15"/>
      <c r="K110" s="14"/>
      <c r="L110" s="15"/>
      <c r="M110" s="15"/>
      <c r="N110" s="105"/>
    </row>
    <row r="111">
      <c r="I111" s="15"/>
      <c r="K111" s="14"/>
      <c r="L111" s="15"/>
      <c r="M111" s="15"/>
      <c r="N111" s="105"/>
    </row>
    <row r="112">
      <c r="I112" s="15"/>
      <c r="K112" s="14"/>
      <c r="L112" s="15"/>
      <c r="M112" s="15"/>
      <c r="N112" s="105"/>
    </row>
    <row r="113">
      <c r="I113" s="15"/>
      <c r="K113" s="14"/>
      <c r="L113" s="15"/>
      <c r="M113" s="15"/>
      <c r="N113" s="105"/>
    </row>
    <row r="114">
      <c r="I114" s="15"/>
      <c r="K114" s="14"/>
      <c r="L114" s="15"/>
      <c r="M114" s="15"/>
      <c r="N114" s="105"/>
    </row>
    <row r="115">
      <c r="I115" s="15"/>
      <c r="K115" s="14"/>
      <c r="L115" s="15"/>
      <c r="M115" s="15"/>
      <c r="N115" s="105"/>
    </row>
    <row r="116">
      <c r="I116" s="15"/>
      <c r="K116" s="14"/>
      <c r="L116" s="15"/>
      <c r="M116" s="15"/>
      <c r="N116" s="105"/>
    </row>
    <row r="117">
      <c r="I117" s="15"/>
      <c r="K117" s="14"/>
      <c r="L117" s="15"/>
      <c r="M117" s="15"/>
      <c r="N117" s="105"/>
    </row>
    <row r="118">
      <c r="I118" s="15"/>
      <c r="K118" s="14"/>
      <c r="L118" s="15"/>
      <c r="M118" s="15"/>
      <c r="N118" s="105"/>
    </row>
    <row r="119">
      <c r="I119" s="15"/>
      <c r="K119" s="14"/>
      <c r="L119" s="15"/>
      <c r="M119" s="15"/>
      <c r="N119" s="105"/>
    </row>
    <row r="120">
      <c r="I120" s="15"/>
      <c r="K120" s="14"/>
      <c r="L120" s="15"/>
      <c r="M120" s="15"/>
      <c r="N120" s="105"/>
    </row>
    <row r="121">
      <c r="I121" s="15"/>
      <c r="K121" s="14"/>
      <c r="L121" s="15"/>
      <c r="M121" s="15"/>
      <c r="N121" s="105"/>
    </row>
    <row r="122">
      <c r="I122" s="15"/>
      <c r="K122" s="14"/>
      <c r="L122" s="15"/>
      <c r="M122" s="15"/>
      <c r="N122" s="105"/>
    </row>
    <row r="123">
      <c r="I123" s="15"/>
      <c r="K123" s="14"/>
      <c r="L123" s="15"/>
      <c r="M123" s="15"/>
      <c r="N123" s="105"/>
    </row>
    <row r="124">
      <c r="I124" s="15"/>
      <c r="K124" s="14"/>
      <c r="L124" s="15"/>
      <c r="M124" s="15"/>
      <c r="N124" s="105"/>
    </row>
    <row r="125">
      <c r="I125" s="15"/>
      <c r="K125" s="14"/>
      <c r="L125" s="15"/>
      <c r="M125" s="15"/>
      <c r="N125" s="105"/>
    </row>
    <row r="126">
      <c r="I126" s="15"/>
      <c r="K126" s="14"/>
      <c r="L126" s="15"/>
      <c r="M126" s="15"/>
      <c r="N126" s="105"/>
    </row>
    <row r="127">
      <c r="I127" s="15"/>
      <c r="K127" s="14"/>
      <c r="L127" s="15"/>
      <c r="M127" s="15"/>
      <c r="N127" s="105"/>
    </row>
    <row r="128">
      <c r="I128" s="15"/>
      <c r="K128" s="14"/>
      <c r="L128" s="15"/>
      <c r="M128" s="15"/>
      <c r="N128" s="105"/>
    </row>
    <row r="129">
      <c r="I129" s="15"/>
      <c r="K129" s="14"/>
      <c r="L129" s="15"/>
      <c r="M129" s="15"/>
      <c r="N129" s="105"/>
    </row>
    <row r="130">
      <c r="I130" s="15"/>
      <c r="K130" s="14"/>
      <c r="L130" s="15"/>
      <c r="M130" s="15"/>
      <c r="N130" s="105"/>
    </row>
    <row r="131">
      <c r="I131" s="15"/>
      <c r="K131" s="14"/>
      <c r="L131" s="15"/>
      <c r="M131" s="15"/>
      <c r="N131" s="105"/>
    </row>
    <row r="132">
      <c r="I132" s="15"/>
      <c r="K132" s="14"/>
      <c r="L132" s="15"/>
      <c r="M132" s="15"/>
      <c r="N132" s="105"/>
    </row>
    <row r="133">
      <c r="I133" s="15"/>
      <c r="K133" s="14"/>
      <c r="L133" s="15"/>
      <c r="M133" s="15"/>
      <c r="N133" s="105"/>
    </row>
    <row r="134">
      <c r="I134" s="15"/>
      <c r="K134" s="14"/>
      <c r="L134" s="15"/>
      <c r="M134" s="15"/>
      <c r="N134" s="105"/>
    </row>
    <row r="135">
      <c r="I135" s="15"/>
      <c r="K135" s="14"/>
      <c r="L135" s="15"/>
      <c r="M135" s="15"/>
      <c r="N135" s="105"/>
    </row>
    <row r="136">
      <c r="I136" s="15"/>
      <c r="K136" s="14"/>
      <c r="L136" s="15"/>
      <c r="M136" s="15"/>
      <c r="N136" s="105"/>
    </row>
    <row r="137">
      <c r="I137" s="15"/>
      <c r="K137" s="14"/>
      <c r="L137" s="15"/>
      <c r="M137" s="15"/>
      <c r="N137" s="105"/>
    </row>
    <row r="138">
      <c r="I138" s="15"/>
      <c r="K138" s="14"/>
      <c r="L138" s="15"/>
      <c r="M138" s="15"/>
      <c r="N138" s="105"/>
    </row>
    <row r="139">
      <c r="I139" s="15"/>
      <c r="K139" s="14"/>
      <c r="L139" s="15"/>
      <c r="M139" s="15"/>
      <c r="N139" s="105"/>
    </row>
    <row r="140">
      <c r="I140" s="15"/>
      <c r="K140" s="14"/>
      <c r="L140" s="15"/>
      <c r="M140" s="15"/>
      <c r="N140" s="105"/>
    </row>
    <row r="141">
      <c r="I141" s="15"/>
      <c r="K141" s="14"/>
      <c r="L141" s="15"/>
      <c r="M141" s="15"/>
      <c r="N141" s="105"/>
    </row>
    <row r="142">
      <c r="I142" s="15"/>
      <c r="K142" s="14"/>
      <c r="L142" s="15"/>
      <c r="M142" s="15"/>
      <c r="N142" s="105"/>
    </row>
    <row r="143">
      <c r="I143" s="15"/>
      <c r="K143" s="14"/>
      <c r="L143" s="15"/>
      <c r="M143" s="15"/>
      <c r="N143" s="105"/>
    </row>
    <row r="144">
      <c r="I144" s="15"/>
      <c r="K144" s="14"/>
      <c r="L144" s="15"/>
      <c r="M144" s="15"/>
      <c r="N144" s="105"/>
    </row>
    <row r="145">
      <c r="I145" s="15"/>
      <c r="K145" s="14"/>
      <c r="L145" s="15"/>
      <c r="M145" s="15"/>
      <c r="N145" s="105"/>
    </row>
    <row r="146">
      <c r="I146" s="15"/>
      <c r="K146" s="14"/>
      <c r="L146" s="15"/>
      <c r="M146" s="15"/>
      <c r="N146" s="105"/>
    </row>
    <row r="147">
      <c r="I147" s="15"/>
      <c r="K147" s="14"/>
      <c r="L147" s="15"/>
      <c r="M147" s="15"/>
      <c r="N147" s="105"/>
    </row>
    <row r="148">
      <c r="I148" s="15"/>
      <c r="K148" s="14"/>
      <c r="L148" s="15"/>
      <c r="M148" s="15"/>
      <c r="N148" s="105"/>
    </row>
    <row r="149">
      <c r="I149" s="15"/>
      <c r="K149" s="14"/>
      <c r="L149" s="15"/>
      <c r="M149" s="15"/>
      <c r="N149" s="105"/>
    </row>
    <row r="150">
      <c r="I150" s="15"/>
      <c r="K150" s="14"/>
      <c r="L150" s="15"/>
      <c r="M150" s="15"/>
      <c r="N150" s="105"/>
    </row>
    <row r="151">
      <c r="I151" s="15"/>
      <c r="K151" s="14"/>
      <c r="L151" s="15"/>
      <c r="M151" s="15"/>
      <c r="N151" s="105"/>
    </row>
    <row r="152">
      <c r="I152" s="15"/>
      <c r="K152" s="14"/>
      <c r="L152" s="15"/>
      <c r="M152" s="15"/>
      <c r="N152" s="105"/>
    </row>
    <row r="153">
      <c r="I153" s="15"/>
      <c r="K153" s="14"/>
      <c r="L153" s="15"/>
      <c r="M153" s="15"/>
      <c r="N153" s="105"/>
    </row>
    <row r="154">
      <c r="I154" s="15"/>
      <c r="K154" s="14"/>
      <c r="L154" s="15"/>
      <c r="M154" s="15"/>
      <c r="N154" s="105"/>
    </row>
    <row r="155">
      <c r="I155" s="15"/>
      <c r="K155" s="14"/>
      <c r="L155" s="15"/>
      <c r="M155" s="15"/>
      <c r="N155" s="105"/>
    </row>
    <row r="156">
      <c r="I156" s="15"/>
      <c r="K156" s="14"/>
      <c r="L156" s="15"/>
      <c r="M156" s="15"/>
      <c r="N156" s="105"/>
    </row>
    <row r="157">
      <c r="I157" s="15"/>
      <c r="K157" s="14"/>
      <c r="L157" s="15"/>
      <c r="M157" s="15"/>
      <c r="N157" s="105"/>
    </row>
    <row r="158">
      <c r="I158" s="15"/>
      <c r="K158" s="14"/>
      <c r="L158" s="15"/>
      <c r="M158" s="15"/>
      <c r="N158" s="105"/>
    </row>
    <row r="159">
      <c r="I159" s="15"/>
      <c r="K159" s="14"/>
      <c r="L159" s="15"/>
      <c r="M159" s="15"/>
      <c r="N159" s="105"/>
    </row>
    <row r="160">
      <c r="I160" s="15"/>
      <c r="K160" s="14"/>
      <c r="L160" s="15"/>
      <c r="M160" s="15"/>
      <c r="N160" s="105"/>
    </row>
    <row r="161">
      <c r="I161" s="15"/>
      <c r="K161" s="14"/>
      <c r="L161" s="15"/>
      <c r="M161" s="15"/>
      <c r="N161" s="105"/>
    </row>
    <row r="162">
      <c r="I162" s="15"/>
      <c r="K162" s="14"/>
      <c r="L162" s="15"/>
      <c r="M162" s="15"/>
      <c r="N162" s="105"/>
    </row>
    <row r="163">
      <c r="I163" s="15"/>
      <c r="K163" s="14"/>
      <c r="L163" s="15"/>
      <c r="M163" s="15"/>
      <c r="N163" s="105"/>
    </row>
    <row r="164">
      <c r="I164" s="15"/>
      <c r="K164" s="14"/>
      <c r="L164" s="15"/>
      <c r="M164" s="15"/>
      <c r="N164" s="105"/>
    </row>
    <row r="165">
      <c r="I165" s="15"/>
      <c r="K165" s="14"/>
      <c r="L165" s="15"/>
      <c r="M165" s="15"/>
      <c r="N165" s="105"/>
    </row>
    <row r="166">
      <c r="I166" s="15"/>
      <c r="K166" s="14"/>
      <c r="L166" s="15"/>
      <c r="M166" s="15"/>
      <c r="N166" s="105"/>
    </row>
    <row r="167">
      <c r="I167" s="15"/>
      <c r="K167" s="14"/>
      <c r="L167" s="15"/>
      <c r="M167" s="15"/>
      <c r="N167" s="105"/>
    </row>
    <row r="168">
      <c r="I168" s="15"/>
      <c r="K168" s="14"/>
      <c r="L168" s="15"/>
      <c r="M168" s="15"/>
      <c r="N168" s="105"/>
    </row>
    <row r="169">
      <c r="I169" s="15"/>
      <c r="K169" s="14"/>
      <c r="L169" s="15"/>
      <c r="M169" s="15"/>
      <c r="N169" s="105"/>
    </row>
    <row r="170">
      <c r="I170" s="15"/>
      <c r="K170" s="14"/>
      <c r="L170" s="15"/>
      <c r="M170" s="15"/>
      <c r="N170" s="105"/>
    </row>
    <row r="171">
      <c r="I171" s="15"/>
      <c r="K171" s="14"/>
      <c r="L171" s="15"/>
      <c r="M171" s="15"/>
      <c r="N171" s="105"/>
    </row>
    <row r="172">
      <c r="I172" s="15"/>
      <c r="K172" s="14"/>
      <c r="L172" s="15"/>
      <c r="M172" s="15"/>
      <c r="N172" s="105"/>
    </row>
    <row r="173">
      <c r="I173" s="15"/>
      <c r="K173" s="14"/>
      <c r="L173" s="15"/>
      <c r="M173" s="15"/>
      <c r="N173" s="105"/>
    </row>
    <row r="174">
      <c r="I174" s="15"/>
      <c r="K174" s="14"/>
      <c r="L174" s="15"/>
      <c r="M174" s="15"/>
      <c r="N174" s="105"/>
    </row>
    <row r="175">
      <c r="I175" s="15"/>
      <c r="K175" s="14"/>
      <c r="L175" s="15"/>
      <c r="M175" s="15"/>
      <c r="N175" s="105"/>
    </row>
    <row r="176">
      <c r="I176" s="15"/>
      <c r="K176" s="14"/>
      <c r="L176" s="15"/>
      <c r="M176" s="15"/>
      <c r="N176" s="105"/>
    </row>
    <row r="177">
      <c r="I177" s="15"/>
      <c r="K177" s="14"/>
      <c r="L177" s="15"/>
      <c r="M177" s="15"/>
      <c r="N177" s="105"/>
    </row>
    <row r="178">
      <c r="I178" s="15"/>
      <c r="K178" s="14"/>
      <c r="L178" s="15"/>
      <c r="M178" s="15"/>
      <c r="N178" s="105"/>
    </row>
    <row r="179">
      <c r="I179" s="15"/>
      <c r="K179" s="14"/>
      <c r="L179" s="15"/>
      <c r="M179" s="15"/>
      <c r="N179" s="105"/>
    </row>
    <row r="180">
      <c r="I180" s="15"/>
      <c r="K180" s="14"/>
      <c r="L180" s="15"/>
      <c r="M180" s="15"/>
      <c r="N180" s="105"/>
    </row>
    <row r="181">
      <c r="I181" s="15"/>
      <c r="K181" s="14"/>
      <c r="L181" s="15"/>
      <c r="M181" s="15"/>
      <c r="N181" s="105"/>
    </row>
    <row r="182">
      <c r="I182" s="15"/>
      <c r="K182" s="14"/>
      <c r="L182" s="15"/>
      <c r="M182" s="15"/>
      <c r="N182" s="105"/>
    </row>
    <row r="183">
      <c r="I183" s="15"/>
      <c r="K183" s="14"/>
      <c r="L183" s="15"/>
      <c r="M183" s="15"/>
      <c r="N183" s="105"/>
    </row>
    <row r="184">
      <c r="I184" s="15"/>
      <c r="K184" s="14"/>
      <c r="L184" s="15"/>
      <c r="M184" s="15"/>
      <c r="N184" s="105"/>
    </row>
    <row r="185">
      <c r="I185" s="15"/>
      <c r="K185" s="14"/>
      <c r="L185" s="15"/>
      <c r="M185" s="15"/>
      <c r="N185" s="105"/>
    </row>
    <row r="186">
      <c r="I186" s="15"/>
      <c r="K186" s="14"/>
      <c r="L186" s="15"/>
      <c r="M186" s="15"/>
      <c r="N186" s="105"/>
    </row>
    <row r="187">
      <c r="I187" s="15"/>
      <c r="K187" s="14"/>
      <c r="L187" s="15"/>
      <c r="M187" s="15"/>
      <c r="N187" s="105"/>
    </row>
    <row r="188">
      <c r="I188" s="15"/>
      <c r="K188" s="14"/>
      <c r="L188" s="15"/>
      <c r="M188" s="15"/>
      <c r="N188" s="105"/>
    </row>
    <row r="189">
      <c r="I189" s="15"/>
      <c r="K189" s="14"/>
      <c r="L189" s="15"/>
      <c r="M189" s="15"/>
      <c r="N189" s="105"/>
    </row>
    <row r="190">
      <c r="I190" s="15"/>
      <c r="K190" s="14"/>
      <c r="L190" s="15"/>
      <c r="M190" s="15"/>
      <c r="N190" s="105"/>
    </row>
    <row r="191">
      <c r="I191" s="15"/>
      <c r="K191" s="14"/>
      <c r="L191" s="15"/>
      <c r="M191" s="15"/>
      <c r="N191" s="105"/>
    </row>
    <row r="192">
      <c r="I192" s="15"/>
      <c r="K192" s="14"/>
      <c r="L192" s="15"/>
      <c r="M192" s="15"/>
      <c r="N192" s="105"/>
    </row>
    <row r="193">
      <c r="I193" s="15"/>
      <c r="K193" s="14"/>
      <c r="L193" s="15"/>
      <c r="M193" s="15"/>
      <c r="N193" s="105"/>
    </row>
    <row r="194">
      <c r="I194" s="15"/>
      <c r="K194" s="14"/>
      <c r="L194" s="15"/>
      <c r="M194" s="15"/>
      <c r="N194" s="105"/>
    </row>
    <row r="195">
      <c r="I195" s="15"/>
      <c r="K195" s="14"/>
      <c r="L195" s="15"/>
      <c r="M195" s="15"/>
      <c r="N195" s="105"/>
    </row>
    <row r="196">
      <c r="I196" s="15"/>
      <c r="K196" s="14"/>
      <c r="L196" s="15"/>
      <c r="M196" s="15"/>
      <c r="N196" s="105"/>
    </row>
    <row r="197">
      <c r="I197" s="15"/>
      <c r="K197" s="14"/>
      <c r="L197" s="15"/>
      <c r="M197" s="15"/>
      <c r="N197" s="105"/>
    </row>
    <row r="198">
      <c r="I198" s="15"/>
      <c r="K198" s="14"/>
      <c r="L198" s="15"/>
      <c r="M198" s="15"/>
      <c r="N198" s="105"/>
    </row>
    <row r="199">
      <c r="I199" s="15"/>
      <c r="K199" s="14"/>
      <c r="L199" s="15"/>
      <c r="M199" s="15"/>
      <c r="N199" s="105"/>
    </row>
    <row r="200">
      <c r="I200" s="15"/>
      <c r="K200" s="14"/>
      <c r="L200" s="15"/>
      <c r="M200" s="15"/>
      <c r="N200" s="105"/>
    </row>
    <row r="201">
      <c r="I201" s="15"/>
      <c r="K201" s="14"/>
      <c r="L201" s="15"/>
      <c r="M201" s="15"/>
      <c r="N201" s="105"/>
    </row>
    <row r="202">
      <c r="I202" s="15"/>
      <c r="K202" s="14"/>
      <c r="L202" s="15"/>
      <c r="M202" s="15"/>
      <c r="N202" s="105"/>
    </row>
    <row r="203">
      <c r="I203" s="15"/>
      <c r="K203" s="14"/>
      <c r="L203" s="15"/>
      <c r="M203" s="15"/>
      <c r="N203" s="105"/>
    </row>
    <row r="204">
      <c r="I204" s="15"/>
      <c r="K204" s="14"/>
      <c r="L204" s="15"/>
      <c r="M204" s="15"/>
      <c r="N204" s="105"/>
    </row>
    <row r="205">
      <c r="I205" s="15"/>
      <c r="K205" s="14"/>
      <c r="L205" s="15"/>
      <c r="M205" s="15"/>
      <c r="N205" s="105"/>
    </row>
    <row r="206">
      <c r="I206" s="15"/>
      <c r="K206" s="14"/>
      <c r="L206" s="15"/>
      <c r="M206" s="15"/>
      <c r="N206" s="105"/>
    </row>
    <row r="207">
      <c r="I207" s="15"/>
      <c r="K207" s="14"/>
      <c r="L207" s="15"/>
      <c r="M207" s="15"/>
      <c r="N207" s="105"/>
    </row>
    <row r="208">
      <c r="I208" s="15"/>
      <c r="K208" s="14"/>
      <c r="L208" s="15"/>
      <c r="M208" s="15"/>
      <c r="N208" s="105"/>
    </row>
    <row r="209">
      <c r="I209" s="15"/>
      <c r="K209" s="14"/>
      <c r="L209" s="15"/>
      <c r="M209" s="15"/>
      <c r="N209" s="105"/>
    </row>
    <row r="210">
      <c r="I210" s="15"/>
      <c r="K210" s="14"/>
      <c r="L210" s="15"/>
      <c r="M210" s="15"/>
      <c r="N210" s="105"/>
    </row>
    <row r="211">
      <c r="I211" s="15"/>
      <c r="K211" s="14"/>
      <c r="L211" s="15"/>
      <c r="M211" s="15"/>
      <c r="N211" s="105"/>
    </row>
    <row r="212">
      <c r="I212" s="15"/>
      <c r="K212" s="14"/>
      <c r="L212" s="15"/>
      <c r="M212" s="15"/>
      <c r="N212" s="105"/>
    </row>
    <row r="213">
      <c r="I213" s="15"/>
      <c r="K213" s="14"/>
      <c r="L213" s="15"/>
      <c r="M213" s="15"/>
      <c r="N213" s="105"/>
    </row>
    <row r="214">
      <c r="I214" s="15"/>
      <c r="K214" s="14"/>
      <c r="L214" s="15"/>
      <c r="M214" s="15"/>
      <c r="N214" s="105"/>
    </row>
    <row r="215">
      <c r="I215" s="15"/>
      <c r="K215" s="14"/>
      <c r="L215" s="15"/>
      <c r="M215" s="15"/>
      <c r="N215" s="105"/>
    </row>
    <row r="216">
      <c r="I216" s="15"/>
      <c r="K216" s="14"/>
      <c r="L216" s="15"/>
      <c r="M216" s="15"/>
      <c r="N216" s="105"/>
    </row>
    <row r="217">
      <c r="I217" s="15"/>
      <c r="K217" s="14"/>
      <c r="L217" s="15"/>
      <c r="M217" s="15"/>
      <c r="N217" s="105"/>
    </row>
    <row r="218">
      <c r="I218" s="15"/>
      <c r="K218" s="14"/>
      <c r="L218" s="15"/>
      <c r="M218" s="15"/>
      <c r="N218" s="105"/>
    </row>
    <row r="219">
      <c r="I219" s="15"/>
      <c r="K219" s="14"/>
      <c r="L219" s="15"/>
      <c r="M219" s="15"/>
      <c r="N219" s="105"/>
    </row>
    <row r="220">
      <c r="I220" s="15"/>
      <c r="K220" s="14"/>
      <c r="L220" s="15"/>
      <c r="M220" s="15"/>
      <c r="N220" s="105"/>
    </row>
    <row r="221">
      <c r="I221" s="15"/>
      <c r="K221" s="14"/>
      <c r="L221" s="15"/>
      <c r="M221" s="15"/>
      <c r="N221" s="105"/>
    </row>
    <row r="222">
      <c r="I222" s="15"/>
      <c r="K222" s="14"/>
      <c r="L222" s="15"/>
      <c r="M222" s="15"/>
      <c r="N222" s="105"/>
    </row>
    <row r="223">
      <c r="I223" s="15"/>
      <c r="K223" s="14"/>
      <c r="L223" s="15"/>
      <c r="M223" s="15"/>
      <c r="N223" s="105"/>
    </row>
    <row r="224">
      <c r="I224" s="15"/>
      <c r="K224" s="14"/>
      <c r="L224" s="15"/>
      <c r="M224" s="15"/>
      <c r="N224" s="105"/>
    </row>
    <row r="225">
      <c r="I225" s="15"/>
      <c r="K225" s="14"/>
      <c r="L225" s="15"/>
      <c r="M225" s="15"/>
      <c r="N225" s="105"/>
    </row>
    <row r="226">
      <c r="I226" s="15"/>
      <c r="K226" s="14"/>
      <c r="L226" s="15"/>
      <c r="M226" s="15"/>
      <c r="N226" s="105"/>
    </row>
    <row r="227">
      <c r="I227" s="15"/>
      <c r="K227" s="14"/>
      <c r="L227" s="15"/>
      <c r="M227" s="15"/>
      <c r="N227" s="105"/>
    </row>
    <row r="228">
      <c r="I228" s="15"/>
      <c r="K228" s="14"/>
      <c r="L228" s="15"/>
      <c r="M228" s="15"/>
      <c r="N228" s="105"/>
    </row>
    <row r="229">
      <c r="I229" s="15"/>
      <c r="K229" s="14"/>
      <c r="L229" s="15"/>
      <c r="M229" s="15"/>
      <c r="N229" s="105"/>
    </row>
    <row r="230">
      <c r="I230" s="15"/>
      <c r="K230" s="14"/>
      <c r="L230" s="15"/>
      <c r="M230" s="15"/>
      <c r="N230" s="105"/>
    </row>
    <row r="231">
      <c r="I231" s="15"/>
      <c r="K231" s="14"/>
      <c r="L231" s="15"/>
      <c r="M231" s="15"/>
      <c r="N231" s="105"/>
    </row>
    <row r="232">
      <c r="I232" s="15"/>
      <c r="K232" s="14"/>
      <c r="L232" s="15"/>
      <c r="M232" s="15"/>
      <c r="N232" s="105"/>
    </row>
    <row r="233">
      <c r="I233" s="15"/>
      <c r="K233" s="14"/>
      <c r="L233" s="15"/>
      <c r="M233" s="15"/>
      <c r="N233" s="105"/>
    </row>
    <row r="234">
      <c r="I234" s="15"/>
      <c r="K234" s="14"/>
      <c r="L234" s="15"/>
      <c r="M234" s="15"/>
      <c r="N234" s="105"/>
    </row>
    <row r="235">
      <c r="I235" s="15"/>
      <c r="K235" s="14"/>
      <c r="L235" s="15"/>
      <c r="M235" s="15"/>
      <c r="N235" s="105"/>
    </row>
    <row r="236">
      <c r="I236" s="15"/>
      <c r="K236" s="14"/>
      <c r="L236" s="15"/>
      <c r="M236" s="15"/>
      <c r="N236" s="105"/>
    </row>
    <row r="237">
      <c r="I237" s="15"/>
      <c r="K237" s="14"/>
      <c r="L237" s="15"/>
      <c r="M237" s="15"/>
      <c r="N237" s="105"/>
    </row>
    <row r="238">
      <c r="I238" s="15"/>
      <c r="K238" s="14"/>
      <c r="L238" s="15"/>
      <c r="M238" s="15"/>
      <c r="N238" s="105"/>
    </row>
    <row r="239">
      <c r="I239" s="15"/>
      <c r="K239" s="14"/>
      <c r="L239" s="15"/>
      <c r="M239" s="15"/>
      <c r="N239" s="105"/>
    </row>
    <row r="240">
      <c r="I240" s="15"/>
      <c r="K240" s="14"/>
      <c r="L240" s="15"/>
      <c r="M240" s="15"/>
      <c r="N240" s="105"/>
    </row>
    <row r="241">
      <c r="I241" s="15"/>
      <c r="K241" s="14"/>
      <c r="L241" s="15"/>
      <c r="M241" s="15"/>
      <c r="N241" s="105"/>
    </row>
    <row r="242">
      <c r="I242" s="15"/>
      <c r="K242" s="14"/>
      <c r="L242" s="15"/>
      <c r="M242" s="15"/>
      <c r="N242" s="105"/>
    </row>
    <row r="243">
      <c r="I243" s="15"/>
      <c r="K243" s="14"/>
      <c r="L243" s="15"/>
      <c r="M243" s="15"/>
      <c r="N243" s="105"/>
    </row>
    <row r="244">
      <c r="I244" s="15"/>
      <c r="K244" s="14"/>
      <c r="L244" s="15"/>
      <c r="M244" s="15"/>
      <c r="N244" s="105"/>
    </row>
    <row r="245">
      <c r="I245" s="15"/>
      <c r="K245" s="14"/>
      <c r="L245" s="15"/>
      <c r="M245" s="15"/>
      <c r="N245" s="105"/>
    </row>
    <row r="246">
      <c r="I246" s="15"/>
      <c r="K246" s="14"/>
      <c r="L246" s="15"/>
      <c r="M246" s="15"/>
      <c r="N246" s="105"/>
    </row>
    <row r="247">
      <c r="I247" s="15"/>
      <c r="K247" s="14"/>
      <c r="L247" s="15"/>
      <c r="M247" s="15"/>
      <c r="N247" s="105"/>
    </row>
    <row r="248">
      <c r="I248" s="15"/>
      <c r="K248" s="14"/>
      <c r="L248" s="15"/>
      <c r="M248" s="15"/>
      <c r="N248" s="105"/>
    </row>
    <row r="249">
      <c r="I249" s="15"/>
      <c r="K249" s="14"/>
      <c r="L249" s="15"/>
      <c r="M249" s="15"/>
      <c r="N249" s="105"/>
    </row>
    <row r="250">
      <c r="I250" s="15"/>
      <c r="K250" s="14"/>
      <c r="L250" s="15"/>
      <c r="M250" s="15"/>
      <c r="N250" s="105"/>
    </row>
    <row r="251">
      <c r="I251" s="15"/>
      <c r="K251" s="14"/>
      <c r="L251" s="15"/>
      <c r="M251" s="15"/>
      <c r="N251" s="105"/>
    </row>
    <row r="252">
      <c r="I252" s="15"/>
      <c r="K252" s="14"/>
      <c r="L252" s="15"/>
      <c r="M252" s="15"/>
      <c r="N252" s="105"/>
    </row>
    <row r="253">
      <c r="I253" s="15"/>
      <c r="K253" s="14"/>
      <c r="L253" s="15"/>
      <c r="M253" s="15"/>
      <c r="N253" s="105"/>
    </row>
    <row r="254">
      <c r="I254" s="15"/>
      <c r="K254" s="14"/>
      <c r="L254" s="15"/>
      <c r="M254" s="15"/>
      <c r="N254" s="105"/>
    </row>
    <row r="255">
      <c r="I255" s="15"/>
      <c r="K255" s="14"/>
      <c r="L255" s="15"/>
      <c r="M255" s="15"/>
      <c r="N255" s="105"/>
    </row>
    <row r="256">
      <c r="I256" s="15"/>
      <c r="K256" s="14"/>
      <c r="L256" s="15"/>
      <c r="M256" s="15"/>
      <c r="N256" s="105"/>
    </row>
    <row r="257">
      <c r="I257" s="15"/>
      <c r="K257" s="14"/>
      <c r="L257" s="15"/>
      <c r="M257" s="15"/>
      <c r="N257" s="105"/>
    </row>
    <row r="258">
      <c r="I258" s="15"/>
      <c r="K258" s="14"/>
      <c r="L258" s="15"/>
      <c r="M258" s="15"/>
      <c r="N258" s="105"/>
    </row>
    <row r="259">
      <c r="I259" s="15"/>
      <c r="K259" s="14"/>
      <c r="L259" s="15"/>
      <c r="M259" s="15"/>
      <c r="N259" s="105"/>
    </row>
    <row r="260">
      <c r="I260" s="15"/>
      <c r="K260" s="14"/>
      <c r="L260" s="15"/>
      <c r="M260" s="15"/>
      <c r="N260" s="105"/>
    </row>
    <row r="261">
      <c r="I261" s="15"/>
      <c r="K261" s="14"/>
      <c r="L261" s="15"/>
      <c r="M261" s="15"/>
      <c r="N261" s="105"/>
    </row>
    <row r="262">
      <c r="I262" s="15"/>
      <c r="K262" s="14"/>
      <c r="L262" s="15"/>
      <c r="M262" s="15"/>
      <c r="N262" s="105"/>
    </row>
    <row r="263">
      <c r="I263" s="15"/>
      <c r="K263" s="14"/>
      <c r="L263" s="15"/>
      <c r="M263" s="15"/>
      <c r="N263" s="105"/>
    </row>
    <row r="264">
      <c r="I264" s="15"/>
      <c r="K264" s="14"/>
      <c r="L264" s="15"/>
      <c r="M264" s="15"/>
      <c r="N264" s="105"/>
    </row>
    <row r="265">
      <c r="I265" s="15"/>
      <c r="K265" s="14"/>
      <c r="L265" s="15"/>
      <c r="M265" s="15"/>
      <c r="N265" s="105"/>
    </row>
    <row r="266">
      <c r="I266" s="15"/>
      <c r="K266" s="14"/>
      <c r="L266" s="15"/>
      <c r="M266" s="15"/>
      <c r="N266" s="105"/>
    </row>
    <row r="267">
      <c r="I267" s="15"/>
      <c r="K267" s="14"/>
      <c r="L267" s="15"/>
      <c r="M267" s="15"/>
      <c r="N267" s="105"/>
    </row>
    <row r="268">
      <c r="I268" s="15"/>
      <c r="K268" s="14"/>
      <c r="L268" s="15"/>
      <c r="M268" s="15"/>
      <c r="N268" s="105"/>
    </row>
    <row r="269">
      <c r="I269" s="15"/>
      <c r="K269" s="14"/>
      <c r="L269" s="15"/>
      <c r="M269" s="15"/>
      <c r="N269" s="105"/>
    </row>
    <row r="270">
      <c r="I270" s="15"/>
      <c r="K270" s="14"/>
      <c r="L270" s="15"/>
      <c r="M270" s="15"/>
      <c r="N270" s="105"/>
    </row>
    <row r="271">
      <c r="I271" s="15"/>
      <c r="K271" s="14"/>
      <c r="L271" s="15"/>
      <c r="M271" s="15"/>
      <c r="N271" s="105"/>
    </row>
    <row r="272">
      <c r="I272" s="15"/>
      <c r="K272" s="14"/>
      <c r="L272" s="15"/>
      <c r="M272" s="15"/>
      <c r="N272" s="105"/>
    </row>
    <row r="273">
      <c r="I273" s="15"/>
      <c r="K273" s="14"/>
      <c r="L273" s="15"/>
      <c r="M273" s="15"/>
      <c r="N273" s="105"/>
    </row>
    <row r="274">
      <c r="I274" s="15"/>
      <c r="K274" s="14"/>
      <c r="L274" s="15"/>
      <c r="M274" s="15"/>
      <c r="N274" s="105"/>
    </row>
    <row r="275">
      <c r="I275" s="15"/>
      <c r="K275" s="14"/>
      <c r="L275" s="15"/>
      <c r="M275" s="15"/>
      <c r="N275" s="105"/>
    </row>
    <row r="276">
      <c r="I276" s="15"/>
      <c r="K276" s="14"/>
      <c r="L276" s="15"/>
      <c r="M276" s="15"/>
      <c r="N276" s="105"/>
    </row>
    <row r="277">
      <c r="I277" s="15"/>
      <c r="K277" s="14"/>
      <c r="L277" s="15"/>
      <c r="M277" s="15"/>
      <c r="N277" s="105"/>
    </row>
    <row r="278">
      <c r="I278" s="15"/>
      <c r="K278" s="14"/>
      <c r="L278" s="15"/>
      <c r="M278" s="15"/>
      <c r="N278" s="105"/>
    </row>
    <row r="279">
      <c r="I279" s="15"/>
      <c r="K279" s="14"/>
      <c r="L279" s="15"/>
      <c r="M279" s="15"/>
      <c r="N279" s="105"/>
    </row>
    <row r="280">
      <c r="I280" s="15"/>
      <c r="K280" s="14"/>
      <c r="L280" s="15"/>
      <c r="M280" s="15"/>
      <c r="N280" s="105"/>
    </row>
    <row r="281">
      <c r="I281" s="15"/>
      <c r="K281" s="14"/>
      <c r="L281" s="15"/>
      <c r="M281" s="15"/>
      <c r="N281" s="105"/>
    </row>
    <row r="282">
      <c r="I282" s="15"/>
      <c r="K282" s="14"/>
      <c r="L282" s="15"/>
      <c r="M282" s="15"/>
      <c r="N282" s="105"/>
    </row>
    <row r="283">
      <c r="I283" s="15"/>
      <c r="K283" s="14"/>
      <c r="L283" s="15"/>
      <c r="M283" s="15"/>
      <c r="N283" s="105"/>
    </row>
    <row r="284">
      <c r="I284" s="15"/>
      <c r="K284" s="14"/>
      <c r="L284" s="15"/>
      <c r="M284" s="15"/>
      <c r="N284" s="105"/>
    </row>
    <row r="285">
      <c r="I285" s="15"/>
      <c r="K285" s="14"/>
      <c r="L285" s="15"/>
      <c r="M285" s="15"/>
      <c r="N285" s="105"/>
    </row>
    <row r="286">
      <c r="I286" s="15"/>
      <c r="K286" s="14"/>
      <c r="L286" s="15"/>
      <c r="M286" s="15"/>
      <c r="N286" s="105"/>
    </row>
    <row r="287">
      <c r="I287" s="15"/>
      <c r="K287" s="14"/>
      <c r="L287" s="15"/>
      <c r="M287" s="15"/>
      <c r="N287" s="105"/>
    </row>
    <row r="288">
      <c r="I288" s="15"/>
      <c r="K288" s="14"/>
      <c r="L288" s="15"/>
      <c r="M288" s="15"/>
      <c r="N288" s="105"/>
    </row>
    <row r="289">
      <c r="I289" s="15"/>
      <c r="K289" s="14"/>
      <c r="L289" s="15"/>
      <c r="M289" s="15"/>
      <c r="N289" s="105"/>
    </row>
    <row r="290">
      <c r="I290" s="15"/>
      <c r="K290" s="14"/>
      <c r="L290" s="15"/>
      <c r="M290" s="15"/>
      <c r="N290" s="105"/>
    </row>
    <row r="291">
      <c r="I291" s="15"/>
      <c r="K291" s="14"/>
      <c r="L291" s="15"/>
      <c r="M291" s="15"/>
      <c r="N291" s="105"/>
    </row>
    <row r="292">
      <c r="I292" s="15"/>
      <c r="K292" s="14"/>
      <c r="L292" s="15"/>
      <c r="M292" s="15"/>
      <c r="N292" s="105"/>
    </row>
    <row r="293">
      <c r="I293" s="15"/>
      <c r="K293" s="14"/>
      <c r="L293" s="15"/>
      <c r="M293" s="15"/>
      <c r="N293" s="105"/>
    </row>
    <row r="294">
      <c r="I294" s="15"/>
      <c r="K294" s="14"/>
      <c r="L294" s="15"/>
      <c r="M294" s="15"/>
      <c r="N294" s="105"/>
    </row>
    <row r="295">
      <c r="I295" s="15"/>
      <c r="K295" s="14"/>
      <c r="L295" s="15"/>
      <c r="M295" s="15"/>
      <c r="N295" s="105"/>
    </row>
    <row r="296">
      <c r="I296" s="15"/>
      <c r="K296" s="14"/>
      <c r="L296" s="15"/>
      <c r="M296" s="15"/>
      <c r="N296" s="105"/>
    </row>
    <row r="297">
      <c r="I297" s="15"/>
      <c r="K297" s="14"/>
      <c r="L297" s="15"/>
      <c r="M297" s="15"/>
      <c r="N297" s="105"/>
    </row>
    <row r="298">
      <c r="I298" s="15"/>
      <c r="K298" s="14"/>
      <c r="L298" s="15"/>
      <c r="M298" s="15"/>
      <c r="N298" s="105"/>
    </row>
    <row r="299">
      <c r="I299" s="15"/>
      <c r="K299" s="14"/>
      <c r="L299" s="15"/>
      <c r="M299" s="15"/>
      <c r="N299" s="105"/>
    </row>
    <row r="300">
      <c r="I300" s="15"/>
      <c r="K300" s="14"/>
      <c r="L300" s="15"/>
      <c r="M300" s="15"/>
      <c r="N300" s="105"/>
    </row>
    <row r="301">
      <c r="I301" s="15"/>
      <c r="K301" s="14"/>
      <c r="L301" s="15"/>
      <c r="M301" s="15"/>
      <c r="N301" s="105"/>
    </row>
    <row r="302">
      <c r="I302" s="15"/>
      <c r="K302" s="14"/>
      <c r="L302" s="15"/>
      <c r="M302" s="15"/>
      <c r="N302" s="105"/>
    </row>
    <row r="303">
      <c r="I303" s="15"/>
      <c r="K303" s="14"/>
      <c r="L303" s="15"/>
      <c r="M303" s="15"/>
      <c r="N303" s="105"/>
    </row>
    <row r="304">
      <c r="I304" s="15"/>
      <c r="K304" s="14"/>
      <c r="L304" s="15"/>
      <c r="M304" s="15"/>
      <c r="N304" s="105"/>
    </row>
    <row r="305">
      <c r="I305" s="15"/>
      <c r="K305" s="14"/>
      <c r="L305" s="15"/>
      <c r="M305" s="15"/>
      <c r="N305" s="105"/>
    </row>
    <row r="306">
      <c r="I306" s="15"/>
      <c r="K306" s="14"/>
      <c r="L306" s="15"/>
      <c r="M306" s="15"/>
      <c r="N306" s="105"/>
    </row>
    <row r="307">
      <c r="I307" s="15"/>
      <c r="K307" s="14"/>
      <c r="L307" s="15"/>
      <c r="M307" s="15"/>
      <c r="N307" s="105"/>
    </row>
    <row r="308">
      <c r="I308" s="15"/>
      <c r="K308" s="14"/>
      <c r="L308" s="15"/>
      <c r="M308" s="15"/>
      <c r="N308" s="105"/>
    </row>
    <row r="309">
      <c r="I309" s="15"/>
      <c r="K309" s="14"/>
      <c r="L309" s="15"/>
      <c r="M309" s="15"/>
      <c r="N309" s="105"/>
    </row>
    <row r="310">
      <c r="I310" s="15"/>
      <c r="K310" s="14"/>
      <c r="L310" s="15"/>
      <c r="M310" s="15"/>
      <c r="N310" s="105"/>
    </row>
    <row r="311">
      <c r="I311" s="15"/>
      <c r="K311" s="14"/>
      <c r="L311" s="15"/>
      <c r="M311" s="15"/>
      <c r="N311" s="105"/>
    </row>
    <row r="312">
      <c r="I312" s="15"/>
      <c r="K312" s="14"/>
      <c r="L312" s="15"/>
      <c r="M312" s="15"/>
      <c r="N312" s="105"/>
    </row>
    <row r="313">
      <c r="I313" s="15"/>
      <c r="K313" s="14"/>
      <c r="L313" s="15"/>
      <c r="M313" s="15"/>
      <c r="N313" s="105"/>
    </row>
    <row r="314">
      <c r="I314" s="15"/>
      <c r="K314" s="14"/>
      <c r="L314" s="15"/>
      <c r="M314" s="15"/>
      <c r="N314" s="105"/>
    </row>
    <row r="315">
      <c r="I315" s="15"/>
      <c r="K315" s="14"/>
      <c r="L315" s="15"/>
      <c r="M315" s="15"/>
      <c r="N315" s="105"/>
    </row>
    <row r="316">
      <c r="I316" s="15"/>
      <c r="K316" s="14"/>
      <c r="L316" s="15"/>
      <c r="M316" s="15"/>
      <c r="N316" s="105"/>
    </row>
    <row r="317">
      <c r="I317" s="15"/>
      <c r="K317" s="14"/>
      <c r="L317" s="15"/>
      <c r="M317" s="15"/>
      <c r="N317" s="105"/>
    </row>
    <row r="318">
      <c r="I318" s="15"/>
      <c r="K318" s="14"/>
      <c r="L318" s="15"/>
      <c r="M318" s="15"/>
      <c r="N318" s="105"/>
    </row>
    <row r="319">
      <c r="I319" s="15"/>
      <c r="K319" s="14"/>
      <c r="L319" s="15"/>
      <c r="M319" s="15"/>
      <c r="N319" s="105"/>
    </row>
    <row r="320">
      <c r="I320" s="15"/>
      <c r="K320" s="14"/>
      <c r="L320" s="15"/>
      <c r="M320" s="15"/>
      <c r="N320" s="105"/>
    </row>
    <row r="321">
      <c r="I321" s="15"/>
      <c r="K321" s="14"/>
      <c r="L321" s="15"/>
      <c r="M321" s="15"/>
      <c r="N321" s="105"/>
    </row>
    <row r="322">
      <c r="I322" s="15"/>
      <c r="K322" s="14"/>
      <c r="L322" s="15"/>
      <c r="M322" s="15"/>
      <c r="N322" s="105"/>
    </row>
    <row r="323">
      <c r="I323" s="15"/>
      <c r="K323" s="14"/>
      <c r="L323" s="15"/>
      <c r="M323" s="15"/>
      <c r="N323" s="105"/>
    </row>
    <row r="324">
      <c r="I324" s="15"/>
      <c r="K324" s="14"/>
      <c r="L324" s="15"/>
      <c r="M324" s="15"/>
      <c r="N324" s="105"/>
    </row>
    <row r="325">
      <c r="I325" s="15"/>
      <c r="K325" s="14"/>
      <c r="L325" s="15"/>
      <c r="M325" s="15"/>
      <c r="N325" s="105"/>
    </row>
    <row r="326">
      <c r="I326" s="15"/>
      <c r="K326" s="14"/>
      <c r="L326" s="15"/>
      <c r="M326" s="15"/>
      <c r="N326" s="105"/>
    </row>
    <row r="327">
      <c r="I327" s="15"/>
      <c r="K327" s="14"/>
      <c r="L327" s="15"/>
      <c r="M327" s="15"/>
      <c r="N327" s="105"/>
    </row>
    <row r="328">
      <c r="I328" s="15"/>
      <c r="K328" s="14"/>
      <c r="L328" s="15"/>
      <c r="M328" s="15"/>
      <c r="N328" s="105"/>
    </row>
    <row r="329">
      <c r="I329" s="15"/>
      <c r="K329" s="14"/>
      <c r="L329" s="15"/>
      <c r="M329" s="15"/>
      <c r="N329" s="105"/>
    </row>
    <row r="330">
      <c r="I330" s="15"/>
      <c r="K330" s="14"/>
      <c r="L330" s="15"/>
      <c r="M330" s="15"/>
      <c r="N330" s="105"/>
    </row>
    <row r="331">
      <c r="I331" s="15"/>
      <c r="K331" s="14"/>
      <c r="L331" s="15"/>
      <c r="M331" s="15"/>
      <c r="N331" s="105"/>
    </row>
    <row r="332">
      <c r="I332" s="15"/>
      <c r="K332" s="14"/>
      <c r="L332" s="15"/>
      <c r="M332" s="15"/>
      <c r="N332" s="105"/>
    </row>
    <row r="333">
      <c r="I333" s="15"/>
      <c r="K333" s="14"/>
      <c r="L333" s="15"/>
      <c r="M333" s="15"/>
      <c r="N333" s="105"/>
    </row>
    <row r="334">
      <c r="I334" s="15"/>
      <c r="K334" s="14"/>
      <c r="L334" s="15"/>
      <c r="M334" s="15"/>
      <c r="N334" s="105"/>
    </row>
    <row r="335">
      <c r="I335" s="15"/>
      <c r="K335" s="14"/>
      <c r="L335" s="15"/>
      <c r="M335" s="15"/>
      <c r="N335" s="105"/>
    </row>
    <row r="336">
      <c r="I336" s="15"/>
      <c r="K336" s="14"/>
      <c r="L336" s="15"/>
      <c r="M336" s="15"/>
      <c r="N336" s="105"/>
    </row>
    <row r="337">
      <c r="I337" s="15"/>
      <c r="K337" s="14"/>
      <c r="L337" s="15"/>
      <c r="M337" s="15"/>
      <c r="N337" s="105"/>
    </row>
    <row r="338">
      <c r="I338" s="15"/>
      <c r="K338" s="14"/>
      <c r="L338" s="15"/>
      <c r="M338" s="15"/>
      <c r="N338" s="105"/>
    </row>
    <row r="339">
      <c r="I339" s="15"/>
      <c r="K339" s="14"/>
      <c r="L339" s="15"/>
      <c r="M339" s="15"/>
      <c r="N339" s="105"/>
    </row>
    <row r="340">
      <c r="I340" s="15"/>
      <c r="K340" s="14"/>
      <c r="L340" s="15"/>
      <c r="M340" s="15"/>
      <c r="N340" s="105"/>
    </row>
    <row r="341">
      <c r="I341" s="15"/>
      <c r="K341" s="14"/>
      <c r="L341" s="15"/>
      <c r="M341" s="15"/>
      <c r="N341" s="105"/>
    </row>
    <row r="342">
      <c r="I342" s="15"/>
      <c r="K342" s="14"/>
      <c r="L342" s="15"/>
      <c r="M342" s="15"/>
      <c r="N342" s="105"/>
    </row>
    <row r="343">
      <c r="I343" s="15"/>
      <c r="K343" s="14"/>
      <c r="L343" s="15"/>
      <c r="M343" s="15"/>
      <c r="N343" s="105"/>
    </row>
    <row r="344">
      <c r="I344" s="15"/>
      <c r="K344" s="14"/>
      <c r="L344" s="15"/>
      <c r="M344" s="15"/>
      <c r="N344" s="105"/>
    </row>
    <row r="345">
      <c r="I345" s="15"/>
      <c r="K345" s="14"/>
      <c r="L345" s="15"/>
      <c r="M345" s="15"/>
      <c r="N345" s="105"/>
    </row>
    <row r="346">
      <c r="I346" s="15"/>
      <c r="K346" s="14"/>
      <c r="L346" s="15"/>
      <c r="M346" s="15"/>
      <c r="N346" s="105"/>
    </row>
    <row r="347">
      <c r="I347" s="15"/>
      <c r="K347" s="14"/>
      <c r="L347" s="15"/>
      <c r="M347" s="15"/>
      <c r="N347" s="105"/>
    </row>
    <row r="348">
      <c r="I348" s="15"/>
      <c r="K348" s="14"/>
      <c r="L348" s="15"/>
      <c r="M348" s="15"/>
      <c r="N348" s="105"/>
    </row>
    <row r="349">
      <c r="I349" s="15"/>
      <c r="K349" s="14"/>
      <c r="L349" s="15"/>
      <c r="M349" s="15"/>
      <c r="N349" s="105"/>
    </row>
    <row r="350">
      <c r="I350" s="15"/>
      <c r="K350" s="14"/>
      <c r="L350" s="15"/>
      <c r="M350" s="15"/>
      <c r="N350" s="105"/>
    </row>
    <row r="351">
      <c r="I351" s="15"/>
      <c r="K351" s="14"/>
      <c r="L351" s="15"/>
      <c r="M351" s="15"/>
      <c r="N351" s="105"/>
    </row>
    <row r="352">
      <c r="I352" s="15"/>
      <c r="K352" s="14"/>
      <c r="L352" s="15"/>
      <c r="M352" s="15"/>
      <c r="N352" s="105"/>
    </row>
    <row r="353">
      <c r="I353" s="15"/>
      <c r="K353" s="14"/>
      <c r="L353" s="15"/>
      <c r="M353" s="15"/>
      <c r="N353" s="105"/>
    </row>
    <row r="354">
      <c r="I354" s="15"/>
      <c r="K354" s="14"/>
      <c r="L354" s="15"/>
      <c r="M354" s="15"/>
      <c r="N354" s="105"/>
    </row>
    <row r="355">
      <c r="I355" s="15"/>
      <c r="K355" s="14"/>
      <c r="L355" s="15"/>
      <c r="M355" s="15"/>
      <c r="N355" s="105"/>
    </row>
    <row r="356">
      <c r="I356" s="15"/>
      <c r="K356" s="14"/>
      <c r="L356" s="15"/>
      <c r="M356" s="15"/>
      <c r="N356" s="105"/>
    </row>
    <row r="357">
      <c r="I357" s="15"/>
      <c r="K357" s="14"/>
      <c r="L357" s="15"/>
      <c r="M357" s="15"/>
      <c r="N357" s="105"/>
    </row>
    <row r="358">
      <c r="I358" s="15"/>
      <c r="K358" s="14"/>
      <c r="L358" s="15"/>
      <c r="M358" s="15"/>
      <c r="N358" s="105"/>
    </row>
    <row r="359">
      <c r="I359" s="15"/>
      <c r="K359" s="14"/>
      <c r="L359" s="15"/>
      <c r="M359" s="15"/>
      <c r="N359" s="105"/>
    </row>
    <row r="360">
      <c r="I360" s="15"/>
      <c r="K360" s="14"/>
      <c r="L360" s="15"/>
      <c r="M360" s="15"/>
      <c r="N360" s="105"/>
    </row>
    <row r="361">
      <c r="I361" s="15"/>
      <c r="K361" s="14"/>
      <c r="L361" s="15"/>
      <c r="M361" s="15"/>
      <c r="N361" s="105"/>
    </row>
    <row r="362">
      <c r="I362" s="15"/>
      <c r="K362" s="14"/>
      <c r="L362" s="15"/>
      <c r="M362" s="15"/>
      <c r="N362" s="105"/>
    </row>
    <row r="363">
      <c r="I363" s="15"/>
      <c r="K363" s="14"/>
      <c r="L363" s="15"/>
      <c r="M363" s="15"/>
      <c r="N363" s="105"/>
    </row>
    <row r="364">
      <c r="I364" s="15"/>
      <c r="K364" s="14"/>
      <c r="L364" s="15"/>
      <c r="M364" s="15"/>
      <c r="N364" s="105"/>
    </row>
    <row r="365">
      <c r="I365" s="15"/>
      <c r="K365" s="14"/>
      <c r="L365" s="15"/>
      <c r="M365" s="15"/>
      <c r="N365" s="105"/>
    </row>
    <row r="366">
      <c r="I366" s="15"/>
      <c r="K366" s="14"/>
      <c r="L366" s="15"/>
      <c r="M366" s="15"/>
      <c r="N366" s="105"/>
    </row>
    <row r="367">
      <c r="I367" s="15"/>
      <c r="K367" s="14"/>
      <c r="L367" s="15"/>
      <c r="M367" s="15"/>
      <c r="N367" s="105"/>
    </row>
    <row r="368">
      <c r="I368" s="15"/>
      <c r="K368" s="14"/>
      <c r="L368" s="15"/>
      <c r="M368" s="15"/>
      <c r="N368" s="105"/>
    </row>
    <row r="369">
      <c r="I369" s="15"/>
      <c r="K369" s="14"/>
      <c r="L369" s="15"/>
      <c r="M369" s="15"/>
      <c r="N369" s="105"/>
    </row>
    <row r="370">
      <c r="I370" s="15"/>
      <c r="K370" s="14"/>
      <c r="L370" s="15"/>
      <c r="M370" s="15"/>
      <c r="N370" s="105"/>
    </row>
    <row r="371">
      <c r="I371" s="15"/>
      <c r="K371" s="14"/>
      <c r="L371" s="15"/>
      <c r="M371" s="15"/>
      <c r="N371" s="105"/>
    </row>
    <row r="372">
      <c r="I372" s="15"/>
      <c r="K372" s="14"/>
      <c r="L372" s="15"/>
      <c r="M372" s="15"/>
      <c r="N372" s="105"/>
    </row>
    <row r="373">
      <c r="I373" s="15"/>
      <c r="K373" s="14"/>
      <c r="L373" s="15"/>
      <c r="M373" s="15"/>
      <c r="N373" s="105"/>
    </row>
    <row r="374">
      <c r="I374" s="15"/>
      <c r="K374" s="14"/>
      <c r="L374" s="15"/>
      <c r="M374" s="15"/>
      <c r="N374" s="105"/>
    </row>
    <row r="375">
      <c r="I375" s="15"/>
      <c r="K375" s="14"/>
      <c r="L375" s="15"/>
      <c r="M375" s="15"/>
      <c r="N375" s="105"/>
    </row>
    <row r="376">
      <c r="I376" s="15"/>
      <c r="K376" s="14"/>
      <c r="L376" s="15"/>
      <c r="M376" s="15"/>
      <c r="N376" s="105"/>
    </row>
    <row r="377">
      <c r="I377" s="15"/>
      <c r="K377" s="14"/>
      <c r="L377" s="15"/>
      <c r="M377" s="15"/>
      <c r="N377" s="105"/>
    </row>
    <row r="378">
      <c r="I378" s="15"/>
      <c r="K378" s="14"/>
      <c r="L378" s="15"/>
      <c r="M378" s="15"/>
      <c r="N378" s="105"/>
    </row>
    <row r="379">
      <c r="I379" s="15"/>
      <c r="K379" s="14"/>
      <c r="L379" s="15"/>
      <c r="M379" s="15"/>
      <c r="N379" s="105"/>
    </row>
    <row r="380">
      <c r="I380" s="15"/>
      <c r="K380" s="14"/>
      <c r="L380" s="15"/>
      <c r="M380" s="15"/>
      <c r="N380" s="105"/>
    </row>
    <row r="381">
      <c r="I381" s="15"/>
      <c r="K381" s="14"/>
      <c r="L381" s="15"/>
      <c r="M381" s="15"/>
      <c r="N381" s="105"/>
    </row>
    <row r="382">
      <c r="I382" s="15"/>
      <c r="K382" s="14"/>
      <c r="L382" s="15"/>
      <c r="M382" s="15"/>
      <c r="N382" s="105"/>
    </row>
    <row r="383">
      <c r="I383" s="15"/>
      <c r="K383" s="14"/>
      <c r="L383" s="15"/>
      <c r="M383" s="15"/>
      <c r="N383" s="105"/>
    </row>
    <row r="384">
      <c r="I384" s="15"/>
      <c r="K384" s="14"/>
      <c r="L384" s="15"/>
      <c r="M384" s="15"/>
      <c r="N384" s="105"/>
    </row>
    <row r="385">
      <c r="I385" s="15"/>
      <c r="K385" s="14"/>
      <c r="L385" s="15"/>
      <c r="M385" s="15"/>
      <c r="N385" s="105"/>
    </row>
    <row r="386">
      <c r="I386" s="15"/>
      <c r="K386" s="14"/>
      <c r="L386" s="15"/>
      <c r="M386" s="15"/>
      <c r="N386" s="105"/>
    </row>
    <row r="387">
      <c r="I387" s="15"/>
      <c r="K387" s="14"/>
      <c r="L387" s="15"/>
      <c r="M387" s="15"/>
      <c r="N387" s="105"/>
    </row>
    <row r="388">
      <c r="I388" s="15"/>
      <c r="K388" s="14"/>
      <c r="L388" s="15"/>
      <c r="M388" s="15"/>
      <c r="N388" s="105"/>
    </row>
    <row r="389">
      <c r="I389" s="15"/>
      <c r="K389" s="14"/>
      <c r="L389" s="15"/>
      <c r="M389" s="15"/>
      <c r="N389" s="105"/>
    </row>
    <row r="390">
      <c r="I390" s="15"/>
      <c r="K390" s="14"/>
      <c r="L390" s="15"/>
      <c r="M390" s="15"/>
      <c r="N390" s="105"/>
    </row>
    <row r="391">
      <c r="I391" s="15"/>
      <c r="K391" s="14"/>
      <c r="L391" s="15"/>
      <c r="M391" s="15"/>
      <c r="N391" s="105"/>
    </row>
    <row r="392">
      <c r="I392" s="15"/>
      <c r="K392" s="14"/>
      <c r="L392" s="15"/>
      <c r="M392" s="15"/>
      <c r="N392" s="105"/>
    </row>
    <row r="393">
      <c r="I393" s="15"/>
      <c r="K393" s="14"/>
      <c r="L393" s="15"/>
      <c r="M393" s="15"/>
      <c r="N393" s="105"/>
    </row>
    <row r="394">
      <c r="I394" s="15"/>
      <c r="K394" s="14"/>
      <c r="L394" s="15"/>
      <c r="M394" s="15"/>
      <c r="N394" s="105"/>
    </row>
    <row r="395">
      <c r="I395" s="15"/>
      <c r="K395" s="14"/>
      <c r="L395" s="15"/>
      <c r="M395" s="15"/>
      <c r="N395" s="105"/>
    </row>
    <row r="396">
      <c r="I396" s="15"/>
      <c r="K396" s="14"/>
      <c r="L396" s="15"/>
      <c r="M396" s="15"/>
      <c r="N396" s="105"/>
    </row>
    <row r="397">
      <c r="I397" s="15"/>
      <c r="K397" s="14"/>
      <c r="L397" s="15"/>
      <c r="M397" s="15"/>
      <c r="N397" s="105"/>
    </row>
    <row r="398">
      <c r="I398" s="15"/>
      <c r="K398" s="14"/>
      <c r="L398" s="15"/>
      <c r="M398" s="15"/>
      <c r="N398" s="105"/>
    </row>
    <row r="399">
      <c r="I399" s="15"/>
      <c r="K399" s="14"/>
      <c r="L399" s="15"/>
      <c r="M399" s="15"/>
      <c r="N399" s="105"/>
    </row>
    <row r="400">
      <c r="I400" s="15"/>
      <c r="K400" s="14"/>
      <c r="L400" s="15"/>
      <c r="M400" s="15"/>
      <c r="N400" s="105"/>
    </row>
    <row r="401">
      <c r="I401" s="15"/>
      <c r="K401" s="14"/>
      <c r="L401" s="15"/>
      <c r="M401" s="15"/>
      <c r="N401" s="105"/>
    </row>
    <row r="402">
      <c r="I402" s="15"/>
      <c r="K402" s="14"/>
      <c r="L402" s="15"/>
      <c r="M402" s="15"/>
      <c r="N402" s="105"/>
    </row>
    <row r="403">
      <c r="I403" s="15"/>
      <c r="K403" s="14"/>
      <c r="L403" s="15"/>
      <c r="M403" s="15"/>
      <c r="N403" s="105"/>
    </row>
    <row r="404">
      <c r="I404" s="15"/>
      <c r="K404" s="14"/>
      <c r="L404" s="15"/>
      <c r="M404" s="15"/>
      <c r="N404" s="105"/>
    </row>
    <row r="405">
      <c r="I405" s="15"/>
      <c r="K405" s="14"/>
      <c r="L405" s="15"/>
      <c r="M405" s="15"/>
      <c r="N405" s="105"/>
    </row>
    <row r="406">
      <c r="I406" s="15"/>
      <c r="K406" s="14"/>
      <c r="L406" s="15"/>
      <c r="M406" s="15"/>
      <c r="N406" s="105"/>
    </row>
    <row r="407">
      <c r="I407" s="15"/>
      <c r="K407" s="14"/>
      <c r="L407" s="15"/>
      <c r="M407" s="15"/>
      <c r="N407" s="105"/>
    </row>
    <row r="408">
      <c r="I408" s="15"/>
      <c r="K408" s="14"/>
      <c r="L408" s="15"/>
      <c r="M408" s="15"/>
      <c r="N408" s="105"/>
    </row>
    <row r="409">
      <c r="I409" s="15"/>
      <c r="K409" s="14"/>
      <c r="L409" s="15"/>
      <c r="M409" s="15"/>
      <c r="N409" s="105"/>
    </row>
    <row r="410">
      <c r="I410" s="15"/>
      <c r="K410" s="14"/>
      <c r="L410" s="15"/>
      <c r="M410" s="15"/>
      <c r="N410" s="105"/>
    </row>
    <row r="411">
      <c r="I411" s="15"/>
      <c r="K411" s="14"/>
      <c r="L411" s="15"/>
      <c r="M411" s="15"/>
      <c r="N411" s="105"/>
    </row>
    <row r="412">
      <c r="I412" s="15"/>
      <c r="K412" s="14"/>
      <c r="L412" s="15"/>
      <c r="M412" s="15"/>
      <c r="N412" s="105"/>
    </row>
    <row r="413">
      <c r="I413" s="15"/>
      <c r="K413" s="14"/>
      <c r="L413" s="15"/>
      <c r="M413" s="15"/>
      <c r="N413" s="105"/>
    </row>
    <row r="414">
      <c r="I414" s="15"/>
      <c r="K414" s="14"/>
      <c r="L414" s="15"/>
      <c r="M414" s="15"/>
      <c r="N414" s="105"/>
    </row>
    <row r="415">
      <c r="I415" s="15"/>
      <c r="K415" s="14"/>
      <c r="L415" s="15"/>
      <c r="M415" s="15"/>
      <c r="N415" s="105"/>
    </row>
    <row r="416">
      <c r="I416" s="15"/>
      <c r="K416" s="14"/>
      <c r="L416" s="15"/>
      <c r="M416" s="15"/>
      <c r="N416" s="105"/>
    </row>
    <row r="417">
      <c r="I417" s="15"/>
      <c r="K417" s="14"/>
      <c r="L417" s="15"/>
      <c r="M417" s="15"/>
      <c r="N417" s="105"/>
    </row>
    <row r="418">
      <c r="I418" s="15"/>
      <c r="K418" s="14"/>
      <c r="L418" s="15"/>
      <c r="M418" s="15"/>
      <c r="N418" s="105"/>
    </row>
    <row r="419">
      <c r="I419" s="15"/>
      <c r="K419" s="14"/>
      <c r="L419" s="15"/>
      <c r="M419" s="15"/>
      <c r="N419" s="105"/>
    </row>
    <row r="420">
      <c r="I420" s="15"/>
      <c r="K420" s="14"/>
      <c r="L420" s="15"/>
      <c r="M420" s="15"/>
      <c r="N420" s="105"/>
    </row>
    <row r="421">
      <c r="I421" s="15"/>
      <c r="K421" s="14"/>
      <c r="L421" s="15"/>
      <c r="M421" s="15"/>
      <c r="N421" s="105"/>
    </row>
    <row r="422">
      <c r="I422" s="15"/>
      <c r="K422" s="14"/>
      <c r="L422" s="15"/>
      <c r="M422" s="15"/>
      <c r="N422" s="105"/>
    </row>
    <row r="423">
      <c r="I423" s="15"/>
      <c r="K423" s="14"/>
      <c r="L423" s="15"/>
      <c r="M423" s="15"/>
      <c r="N423" s="105"/>
    </row>
    <row r="424">
      <c r="I424" s="15"/>
      <c r="K424" s="14"/>
      <c r="L424" s="15"/>
      <c r="M424" s="15"/>
      <c r="N424" s="105"/>
    </row>
    <row r="425">
      <c r="I425" s="15"/>
      <c r="K425" s="14"/>
      <c r="L425" s="15"/>
      <c r="M425" s="15"/>
      <c r="N425" s="105"/>
    </row>
    <row r="426">
      <c r="I426" s="15"/>
      <c r="K426" s="14"/>
      <c r="L426" s="15"/>
      <c r="M426" s="15"/>
      <c r="N426" s="105"/>
    </row>
    <row r="427">
      <c r="I427" s="15"/>
      <c r="K427" s="14"/>
      <c r="L427" s="15"/>
      <c r="M427" s="15"/>
      <c r="N427" s="105"/>
    </row>
    <row r="428">
      <c r="I428" s="15"/>
      <c r="K428" s="14"/>
      <c r="L428" s="15"/>
      <c r="M428" s="15"/>
      <c r="N428" s="105"/>
    </row>
    <row r="429">
      <c r="I429" s="15"/>
      <c r="K429" s="14"/>
      <c r="L429" s="15"/>
      <c r="M429" s="15"/>
      <c r="N429" s="105"/>
    </row>
    <row r="430">
      <c r="I430" s="15"/>
      <c r="K430" s="14"/>
      <c r="L430" s="15"/>
      <c r="M430" s="15"/>
      <c r="N430" s="105"/>
    </row>
    <row r="431">
      <c r="I431" s="15"/>
      <c r="K431" s="14"/>
      <c r="L431" s="15"/>
      <c r="M431" s="15"/>
      <c r="N431" s="105"/>
    </row>
    <row r="432">
      <c r="I432" s="15"/>
      <c r="K432" s="14"/>
      <c r="L432" s="15"/>
      <c r="M432" s="15"/>
      <c r="N432" s="105"/>
    </row>
    <row r="433">
      <c r="I433" s="15"/>
      <c r="K433" s="14"/>
      <c r="L433" s="15"/>
      <c r="M433" s="15"/>
      <c r="N433" s="105"/>
    </row>
    <row r="434">
      <c r="I434" s="15"/>
      <c r="K434" s="14"/>
      <c r="L434" s="15"/>
      <c r="M434" s="15"/>
      <c r="N434" s="105"/>
    </row>
    <row r="435">
      <c r="I435" s="15"/>
      <c r="K435" s="14"/>
      <c r="L435" s="15"/>
      <c r="M435" s="15"/>
      <c r="N435" s="105"/>
    </row>
    <row r="436">
      <c r="I436" s="15"/>
      <c r="K436" s="14"/>
      <c r="L436" s="15"/>
      <c r="M436" s="15"/>
      <c r="N436" s="105"/>
    </row>
    <row r="437">
      <c r="I437" s="15"/>
      <c r="K437" s="14"/>
      <c r="L437" s="15"/>
      <c r="M437" s="15"/>
      <c r="N437" s="105"/>
    </row>
    <row r="438">
      <c r="I438" s="15"/>
      <c r="K438" s="14"/>
      <c r="L438" s="15"/>
      <c r="M438" s="15"/>
      <c r="N438" s="105"/>
    </row>
    <row r="439">
      <c r="I439" s="15"/>
      <c r="K439" s="14"/>
      <c r="L439" s="15"/>
      <c r="M439" s="15"/>
      <c r="N439" s="105"/>
    </row>
    <row r="440">
      <c r="I440" s="15"/>
      <c r="K440" s="14"/>
      <c r="L440" s="15"/>
      <c r="M440" s="15"/>
      <c r="N440" s="105"/>
    </row>
    <row r="441">
      <c r="I441" s="15"/>
      <c r="K441" s="14"/>
      <c r="L441" s="15"/>
      <c r="M441" s="15"/>
      <c r="N441" s="105"/>
    </row>
    <row r="442">
      <c r="I442" s="15"/>
      <c r="K442" s="14"/>
      <c r="L442" s="15"/>
      <c r="M442" s="15"/>
      <c r="N442" s="105"/>
    </row>
    <row r="443">
      <c r="I443" s="15"/>
      <c r="K443" s="14"/>
      <c r="L443" s="15"/>
      <c r="M443" s="15"/>
      <c r="N443" s="105"/>
    </row>
    <row r="444">
      <c r="I444" s="15"/>
      <c r="K444" s="14"/>
      <c r="L444" s="15"/>
      <c r="M444" s="15"/>
      <c r="N444" s="105"/>
    </row>
    <row r="445">
      <c r="I445" s="15"/>
      <c r="K445" s="14"/>
      <c r="L445" s="15"/>
      <c r="M445" s="15"/>
      <c r="N445" s="105"/>
    </row>
    <row r="446">
      <c r="I446" s="15"/>
      <c r="K446" s="14"/>
      <c r="L446" s="15"/>
      <c r="M446" s="15"/>
      <c r="N446" s="105"/>
    </row>
    <row r="447">
      <c r="I447" s="15"/>
      <c r="K447" s="14"/>
      <c r="L447" s="15"/>
      <c r="M447" s="15"/>
      <c r="N447" s="105"/>
    </row>
    <row r="448">
      <c r="I448" s="15"/>
      <c r="K448" s="14"/>
      <c r="L448" s="15"/>
      <c r="M448" s="15"/>
      <c r="N448" s="105"/>
    </row>
    <row r="449">
      <c r="I449" s="15"/>
      <c r="K449" s="14"/>
      <c r="L449" s="15"/>
      <c r="M449" s="15"/>
      <c r="N449" s="105"/>
    </row>
    <row r="450">
      <c r="I450" s="15"/>
      <c r="K450" s="14"/>
      <c r="L450" s="15"/>
      <c r="M450" s="15"/>
      <c r="N450" s="105"/>
    </row>
    <row r="451">
      <c r="I451" s="15"/>
      <c r="K451" s="14"/>
      <c r="L451" s="15"/>
      <c r="M451" s="15"/>
      <c r="N451" s="105"/>
    </row>
    <row r="452">
      <c r="I452" s="15"/>
      <c r="K452" s="14"/>
      <c r="L452" s="15"/>
      <c r="M452" s="15"/>
      <c r="N452" s="105"/>
    </row>
    <row r="453">
      <c r="I453" s="15"/>
      <c r="K453" s="14"/>
      <c r="L453" s="15"/>
      <c r="M453" s="15"/>
      <c r="N453" s="105"/>
    </row>
    <row r="454">
      <c r="I454" s="15"/>
      <c r="K454" s="14"/>
      <c r="L454" s="15"/>
      <c r="M454" s="15"/>
      <c r="N454" s="105"/>
    </row>
    <row r="455">
      <c r="I455" s="15"/>
      <c r="K455" s="14"/>
      <c r="L455" s="15"/>
      <c r="M455" s="15"/>
      <c r="N455" s="105"/>
    </row>
    <row r="456">
      <c r="I456" s="15"/>
      <c r="K456" s="14"/>
      <c r="L456" s="15"/>
      <c r="M456" s="15"/>
      <c r="N456" s="105"/>
    </row>
    <row r="457">
      <c r="I457" s="15"/>
      <c r="K457" s="14"/>
      <c r="L457" s="15"/>
      <c r="M457" s="15"/>
      <c r="N457" s="105"/>
    </row>
    <row r="458">
      <c r="I458" s="15"/>
      <c r="K458" s="14"/>
      <c r="L458" s="15"/>
      <c r="M458" s="15"/>
      <c r="N458" s="105"/>
    </row>
    <row r="459">
      <c r="I459" s="15"/>
      <c r="K459" s="14"/>
      <c r="L459" s="15"/>
      <c r="M459" s="15"/>
      <c r="N459" s="105"/>
    </row>
    <row r="460">
      <c r="I460" s="15"/>
      <c r="K460" s="14"/>
      <c r="L460" s="15"/>
      <c r="M460" s="15"/>
      <c r="N460" s="105"/>
    </row>
    <row r="461">
      <c r="I461" s="15"/>
      <c r="K461" s="14"/>
      <c r="L461" s="15"/>
      <c r="M461" s="15"/>
      <c r="N461" s="105"/>
    </row>
    <row r="462">
      <c r="I462" s="15"/>
      <c r="K462" s="14"/>
      <c r="L462" s="15"/>
      <c r="M462" s="15"/>
      <c r="N462" s="105"/>
    </row>
    <row r="463">
      <c r="I463" s="15"/>
      <c r="K463" s="14"/>
      <c r="L463" s="15"/>
      <c r="M463" s="15"/>
      <c r="N463" s="105"/>
    </row>
    <row r="464">
      <c r="I464" s="15"/>
      <c r="K464" s="14"/>
      <c r="L464" s="15"/>
      <c r="M464" s="15"/>
      <c r="N464" s="105"/>
    </row>
    <row r="465">
      <c r="I465" s="15"/>
      <c r="K465" s="14"/>
      <c r="L465" s="15"/>
      <c r="M465" s="15"/>
      <c r="N465" s="105"/>
    </row>
    <row r="466">
      <c r="I466" s="15"/>
      <c r="K466" s="14"/>
      <c r="L466" s="15"/>
      <c r="M466" s="15"/>
      <c r="N466" s="105"/>
    </row>
    <row r="467">
      <c r="I467" s="15"/>
      <c r="K467" s="14"/>
      <c r="L467" s="15"/>
      <c r="M467" s="15"/>
      <c r="N467" s="105"/>
    </row>
    <row r="468">
      <c r="I468" s="15"/>
      <c r="K468" s="14"/>
      <c r="L468" s="15"/>
      <c r="M468" s="15"/>
      <c r="N468" s="105"/>
    </row>
    <row r="469">
      <c r="I469" s="15"/>
      <c r="K469" s="14"/>
      <c r="L469" s="15"/>
      <c r="M469" s="15"/>
      <c r="N469" s="105"/>
    </row>
    <row r="470">
      <c r="I470" s="15"/>
      <c r="K470" s="14"/>
      <c r="L470" s="15"/>
      <c r="M470" s="15"/>
      <c r="N470" s="105"/>
    </row>
    <row r="471">
      <c r="I471" s="15"/>
      <c r="K471" s="14"/>
      <c r="L471" s="15"/>
      <c r="M471" s="15"/>
      <c r="N471" s="105"/>
    </row>
    <row r="472">
      <c r="I472" s="15"/>
      <c r="K472" s="14"/>
      <c r="L472" s="15"/>
      <c r="M472" s="15"/>
      <c r="N472" s="105"/>
    </row>
    <row r="473">
      <c r="I473" s="15"/>
      <c r="K473" s="14"/>
      <c r="L473" s="15"/>
      <c r="M473" s="15"/>
      <c r="N473" s="105"/>
    </row>
    <row r="474">
      <c r="I474" s="15"/>
      <c r="K474" s="14"/>
      <c r="L474" s="15"/>
      <c r="M474" s="15"/>
      <c r="N474" s="105"/>
    </row>
    <row r="475">
      <c r="I475" s="15"/>
      <c r="K475" s="14"/>
      <c r="L475" s="15"/>
      <c r="M475" s="15"/>
      <c r="N475" s="105"/>
    </row>
    <row r="476">
      <c r="I476" s="15"/>
      <c r="K476" s="14"/>
      <c r="L476" s="15"/>
      <c r="M476" s="15"/>
      <c r="N476" s="105"/>
    </row>
    <row r="477">
      <c r="I477" s="15"/>
      <c r="K477" s="14"/>
      <c r="L477" s="15"/>
      <c r="M477" s="15"/>
      <c r="N477" s="105"/>
    </row>
    <row r="478">
      <c r="I478" s="15"/>
      <c r="K478" s="14"/>
      <c r="L478" s="15"/>
      <c r="M478" s="15"/>
      <c r="N478" s="105"/>
    </row>
    <row r="479">
      <c r="I479" s="15"/>
      <c r="K479" s="14"/>
      <c r="L479" s="15"/>
      <c r="M479" s="15"/>
      <c r="N479" s="105"/>
    </row>
    <row r="480">
      <c r="I480" s="15"/>
      <c r="K480" s="14"/>
      <c r="L480" s="15"/>
      <c r="M480" s="15"/>
      <c r="N480" s="105"/>
    </row>
    <row r="481">
      <c r="I481" s="15"/>
      <c r="K481" s="14"/>
      <c r="L481" s="15"/>
      <c r="M481" s="15"/>
      <c r="N481" s="105"/>
    </row>
    <row r="482">
      <c r="I482" s="15"/>
      <c r="K482" s="14"/>
      <c r="L482" s="15"/>
      <c r="M482" s="15"/>
      <c r="N482" s="105"/>
    </row>
    <row r="483">
      <c r="I483" s="15"/>
      <c r="K483" s="14"/>
      <c r="L483" s="15"/>
      <c r="M483" s="15"/>
      <c r="N483" s="105"/>
    </row>
    <row r="484">
      <c r="I484" s="15"/>
      <c r="K484" s="14"/>
      <c r="L484" s="15"/>
      <c r="M484" s="15"/>
      <c r="N484" s="105"/>
    </row>
    <row r="485">
      <c r="I485" s="15"/>
      <c r="K485" s="14"/>
      <c r="L485" s="15"/>
      <c r="M485" s="15"/>
      <c r="N485" s="105"/>
    </row>
    <row r="486">
      <c r="I486" s="15"/>
      <c r="K486" s="14"/>
      <c r="L486" s="15"/>
      <c r="M486" s="15"/>
      <c r="N486" s="105"/>
    </row>
    <row r="487">
      <c r="I487" s="15"/>
      <c r="K487" s="14"/>
      <c r="L487" s="15"/>
      <c r="M487" s="15"/>
      <c r="N487" s="105"/>
    </row>
    <row r="488">
      <c r="I488" s="15"/>
      <c r="K488" s="14"/>
      <c r="L488" s="15"/>
      <c r="M488" s="15"/>
      <c r="N488" s="105"/>
    </row>
    <row r="489">
      <c r="I489" s="15"/>
      <c r="K489" s="14"/>
      <c r="L489" s="15"/>
      <c r="M489" s="15"/>
      <c r="N489" s="105"/>
    </row>
    <row r="490">
      <c r="I490" s="15"/>
      <c r="K490" s="14"/>
      <c r="L490" s="15"/>
      <c r="M490" s="15"/>
      <c r="N490" s="105"/>
    </row>
    <row r="491">
      <c r="I491" s="15"/>
      <c r="K491" s="14"/>
      <c r="L491" s="15"/>
      <c r="M491" s="15"/>
      <c r="N491" s="105"/>
    </row>
    <row r="492">
      <c r="I492" s="15"/>
      <c r="K492" s="14"/>
      <c r="L492" s="15"/>
      <c r="M492" s="15"/>
      <c r="N492" s="105"/>
    </row>
    <row r="493">
      <c r="I493" s="15"/>
      <c r="K493" s="14"/>
      <c r="L493" s="15"/>
      <c r="M493" s="15"/>
      <c r="N493" s="105"/>
    </row>
    <row r="494">
      <c r="I494" s="15"/>
      <c r="K494" s="14"/>
      <c r="L494" s="15"/>
      <c r="M494" s="15"/>
      <c r="N494" s="105"/>
    </row>
    <row r="495">
      <c r="I495" s="15"/>
      <c r="K495" s="14"/>
      <c r="L495" s="15"/>
      <c r="M495" s="15"/>
      <c r="N495" s="105"/>
    </row>
    <row r="496">
      <c r="I496" s="15"/>
      <c r="K496" s="14"/>
      <c r="L496" s="15"/>
      <c r="M496" s="15"/>
      <c r="N496" s="105"/>
    </row>
    <row r="497">
      <c r="I497" s="15"/>
      <c r="K497" s="14"/>
      <c r="L497" s="15"/>
      <c r="M497" s="15"/>
      <c r="N497" s="105"/>
    </row>
    <row r="498">
      <c r="I498" s="15"/>
      <c r="K498" s="14"/>
      <c r="L498" s="15"/>
      <c r="M498" s="15"/>
      <c r="N498" s="105"/>
    </row>
    <row r="499">
      <c r="I499" s="15"/>
      <c r="K499" s="14"/>
      <c r="L499" s="15"/>
      <c r="M499" s="15"/>
      <c r="N499" s="105"/>
    </row>
    <row r="500">
      <c r="I500" s="15"/>
      <c r="K500" s="14"/>
      <c r="L500" s="15"/>
      <c r="M500" s="15"/>
      <c r="N500" s="105"/>
    </row>
    <row r="501">
      <c r="I501" s="15"/>
      <c r="K501" s="14"/>
      <c r="L501" s="15"/>
      <c r="M501" s="15"/>
      <c r="N501" s="105"/>
    </row>
    <row r="502">
      <c r="I502" s="15"/>
      <c r="K502" s="14"/>
      <c r="L502" s="15"/>
      <c r="M502" s="15"/>
      <c r="N502" s="105"/>
    </row>
    <row r="503">
      <c r="I503" s="15"/>
      <c r="K503" s="14"/>
      <c r="L503" s="15"/>
      <c r="M503" s="15"/>
      <c r="N503" s="105"/>
    </row>
    <row r="504">
      <c r="I504" s="15"/>
      <c r="K504" s="14"/>
      <c r="L504" s="15"/>
      <c r="M504" s="15"/>
      <c r="N504" s="105"/>
    </row>
    <row r="505">
      <c r="I505" s="15"/>
      <c r="K505" s="14"/>
      <c r="L505" s="15"/>
      <c r="M505" s="15"/>
      <c r="N505" s="105"/>
    </row>
    <row r="506">
      <c r="I506" s="15"/>
      <c r="K506" s="14"/>
      <c r="L506" s="15"/>
      <c r="M506" s="15"/>
      <c r="N506" s="105"/>
    </row>
    <row r="507">
      <c r="I507" s="15"/>
      <c r="K507" s="14"/>
      <c r="L507" s="15"/>
      <c r="M507" s="15"/>
      <c r="N507" s="105"/>
    </row>
    <row r="508">
      <c r="I508" s="15"/>
      <c r="K508" s="14"/>
      <c r="L508" s="15"/>
      <c r="M508" s="15"/>
      <c r="N508" s="105"/>
    </row>
    <row r="509">
      <c r="I509" s="15"/>
      <c r="K509" s="14"/>
      <c r="L509" s="15"/>
      <c r="M509" s="15"/>
      <c r="N509" s="105"/>
    </row>
    <row r="510">
      <c r="I510" s="15"/>
      <c r="K510" s="14"/>
      <c r="L510" s="15"/>
      <c r="M510" s="15"/>
      <c r="N510" s="105"/>
    </row>
    <row r="511">
      <c r="I511" s="15"/>
      <c r="K511" s="14"/>
      <c r="L511" s="15"/>
      <c r="M511" s="15"/>
      <c r="N511" s="105"/>
    </row>
    <row r="512">
      <c r="I512" s="15"/>
      <c r="K512" s="14"/>
      <c r="L512" s="15"/>
      <c r="M512" s="15"/>
      <c r="N512" s="105"/>
    </row>
    <row r="513">
      <c r="I513" s="15"/>
      <c r="K513" s="14"/>
      <c r="L513" s="15"/>
      <c r="M513" s="15"/>
      <c r="N513" s="105"/>
    </row>
    <row r="514">
      <c r="I514" s="15"/>
      <c r="K514" s="14"/>
      <c r="L514" s="15"/>
      <c r="M514" s="15"/>
      <c r="N514" s="105"/>
    </row>
    <row r="515">
      <c r="I515" s="15"/>
      <c r="K515" s="14"/>
      <c r="L515" s="15"/>
      <c r="M515" s="15"/>
      <c r="N515" s="105"/>
    </row>
    <row r="516">
      <c r="I516" s="15"/>
      <c r="K516" s="14"/>
      <c r="L516" s="15"/>
      <c r="M516" s="15"/>
      <c r="N516" s="105"/>
    </row>
    <row r="517">
      <c r="I517" s="15"/>
      <c r="K517" s="14"/>
      <c r="L517" s="15"/>
      <c r="M517" s="15"/>
      <c r="N517" s="105"/>
    </row>
    <row r="518">
      <c r="I518" s="15"/>
      <c r="K518" s="14"/>
      <c r="L518" s="15"/>
      <c r="M518" s="15"/>
      <c r="N518" s="105"/>
    </row>
    <row r="519">
      <c r="I519" s="15"/>
      <c r="K519" s="14"/>
      <c r="L519" s="15"/>
      <c r="M519" s="15"/>
      <c r="N519" s="105"/>
    </row>
    <row r="520">
      <c r="I520" s="15"/>
      <c r="K520" s="14"/>
      <c r="L520" s="15"/>
      <c r="M520" s="15"/>
      <c r="N520" s="105"/>
    </row>
    <row r="521">
      <c r="I521" s="15"/>
      <c r="K521" s="14"/>
      <c r="L521" s="15"/>
      <c r="M521" s="15"/>
      <c r="N521" s="105"/>
    </row>
    <row r="522">
      <c r="I522" s="15"/>
      <c r="K522" s="14"/>
      <c r="L522" s="15"/>
      <c r="M522" s="15"/>
      <c r="N522" s="105"/>
    </row>
    <row r="523">
      <c r="I523" s="15"/>
      <c r="K523" s="14"/>
      <c r="L523" s="15"/>
      <c r="M523" s="15"/>
      <c r="N523" s="105"/>
    </row>
    <row r="524">
      <c r="I524" s="15"/>
      <c r="K524" s="14"/>
      <c r="L524" s="15"/>
      <c r="M524" s="15"/>
      <c r="N524" s="105"/>
    </row>
    <row r="525">
      <c r="I525" s="15"/>
      <c r="K525" s="14"/>
      <c r="L525" s="15"/>
      <c r="M525" s="15"/>
      <c r="N525" s="105"/>
    </row>
    <row r="526">
      <c r="I526" s="15"/>
      <c r="K526" s="14"/>
      <c r="L526" s="15"/>
      <c r="M526" s="15"/>
      <c r="N526" s="105"/>
    </row>
    <row r="527">
      <c r="I527" s="15"/>
      <c r="K527" s="14"/>
      <c r="L527" s="15"/>
      <c r="M527" s="15"/>
      <c r="N527" s="105"/>
    </row>
    <row r="528">
      <c r="I528" s="15"/>
      <c r="K528" s="14"/>
      <c r="L528" s="15"/>
      <c r="M528" s="15"/>
      <c r="N528" s="105"/>
    </row>
    <row r="529">
      <c r="I529" s="15"/>
      <c r="K529" s="14"/>
      <c r="L529" s="15"/>
      <c r="M529" s="15"/>
      <c r="N529" s="105"/>
    </row>
    <row r="530">
      <c r="I530" s="15"/>
      <c r="K530" s="14"/>
      <c r="L530" s="15"/>
      <c r="M530" s="15"/>
      <c r="N530" s="105"/>
    </row>
    <row r="531">
      <c r="I531" s="15"/>
      <c r="K531" s="14"/>
      <c r="L531" s="15"/>
      <c r="M531" s="15"/>
      <c r="N531" s="105"/>
    </row>
    <row r="532">
      <c r="I532" s="15"/>
      <c r="K532" s="14"/>
      <c r="L532" s="15"/>
      <c r="M532" s="15"/>
      <c r="N532" s="105"/>
    </row>
    <row r="533">
      <c r="I533" s="15"/>
      <c r="K533" s="14"/>
      <c r="L533" s="15"/>
      <c r="M533" s="15"/>
      <c r="N533" s="105"/>
    </row>
    <row r="534">
      <c r="I534" s="15"/>
      <c r="K534" s="14"/>
      <c r="L534" s="15"/>
      <c r="M534" s="15"/>
      <c r="N534" s="105"/>
    </row>
    <row r="535">
      <c r="I535" s="15"/>
      <c r="K535" s="14"/>
      <c r="L535" s="15"/>
      <c r="M535" s="15"/>
      <c r="N535" s="105"/>
    </row>
    <row r="536">
      <c r="I536" s="15"/>
      <c r="K536" s="14"/>
      <c r="L536" s="15"/>
      <c r="M536" s="15"/>
      <c r="N536" s="105"/>
    </row>
    <row r="537">
      <c r="I537" s="15"/>
      <c r="K537" s="14"/>
      <c r="L537" s="15"/>
      <c r="M537" s="15"/>
      <c r="N537" s="105"/>
    </row>
    <row r="538">
      <c r="I538" s="15"/>
      <c r="K538" s="14"/>
      <c r="L538" s="15"/>
      <c r="M538" s="15"/>
      <c r="N538" s="105"/>
    </row>
    <row r="539">
      <c r="I539" s="15"/>
      <c r="K539" s="14"/>
      <c r="L539" s="15"/>
      <c r="M539" s="15"/>
      <c r="N539" s="105"/>
    </row>
    <row r="540">
      <c r="I540" s="15"/>
      <c r="K540" s="14"/>
      <c r="L540" s="15"/>
      <c r="M540" s="15"/>
      <c r="N540" s="105"/>
    </row>
    <row r="541">
      <c r="I541" s="15"/>
      <c r="K541" s="14"/>
      <c r="L541" s="15"/>
      <c r="M541" s="15"/>
      <c r="N541" s="105"/>
    </row>
    <row r="542">
      <c r="I542" s="15"/>
      <c r="K542" s="14"/>
      <c r="L542" s="15"/>
      <c r="M542" s="15"/>
      <c r="N542" s="105"/>
    </row>
    <row r="543">
      <c r="I543" s="15"/>
      <c r="K543" s="14"/>
      <c r="L543" s="15"/>
      <c r="M543" s="15"/>
      <c r="N543" s="105"/>
    </row>
    <row r="544">
      <c r="I544" s="15"/>
      <c r="K544" s="14"/>
      <c r="L544" s="15"/>
      <c r="M544" s="15"/>
      <c r="N544" s="105"/>
    </row>
    <row r="545">
      <c r="I545" s="15"/>
      <c r="K545" s="14"/>
      <c r="L545" s="15"/>
      <c r="M545" s="15"/>
      <c r="N545" s="105"/>
    </row>
    <row r="546">
      <c r="I546" s="15"/>
      <c r="K546" s="14"/>
      <c r="L546" s="15"/>
      <c r="M546" s="15"/>
      <c r="N546" s="105"/>
    </row>
    <row r="547">
      <c r="I547" s="15"/>
      <c r="K547" s="14"/>
      <c r="L547" s="15"/>
      <c r="M547" s="15"/>
      <c r="N547" s="105"/>
    </row>
    <row r="548">
      <c r="I548" s="15"/>
      <c r="K548" s="14"/>
      <c r="L548" s="15"/>
      <c r="M548" s="15"/>
      <c r="N548" s="105"/>
    </row>
    <row r="549">
      <c r="I549" s="15"/>
      <c r="K549" s="14"/>
      <c r="L549" s="15"/>
      <c r="M549" s="15"/>
      <c r="N549" s="105"/>
    </row>
    <row r="550">
      <c r="I550" s="15"/>
      <c r="K550" s="14"/>
      <c r="L550" s="15"/>
      <c r="M550" s="15"/>
      <c r="N550" s="105"/>
    </row>
    <row r="551">
      <c r="I551" s="15"/>
      <c r="K551" s="14"/>
      <c r="L551" s="15"/>
      <c r="M551" s="15"/>
      <c r="N551" s="105"/>
    </row>
    <row r="552">
      <c r="I552" s="15"/>
      <c r="K552" s="14"/>
      <c r="L552" s="15"/>
      <c r="M552" s="15"/>
      <c r="N552" s="105"/>
    </row>
    <row r="553">
      <c r="I553" s="15"/>
      <c r="K553" s="14"/>
      <c r="L553" s="15"/>
      <c r="M553" s="15"/>
      <c r="N553" s="105"/>
    </row>
    <row r="554">
      <c r="I554" s="15"/>
      <c r="K554" s="14"/>
      <c r="L554" s="15"/>
      <c r="M554" s="15"/>
      <c r="N554" s="105"/>
    </row>
    <row r="555">
      <c r="I555" s="15"/>
      <c r="K555" s="14"/>
      <c r="L555" s="15"/>
      <c r="M555" s="15"/>
      <c r="N555" s="105"/>
    </row>
    <row r="556">
      <c r="I556" s="15"/>
      <c r="K556" s="14"/>
      <c r="L556" s="15"/>
      <c r="M556" s="15"/>
      <c r="N556" s="105"/>
    </row>
    <row r="557">
      <c r="I557" s="15"/>
      <c r="K557" s="14"/>
      <c r="L557" s="15"/>
      <c r="M557" s="15"/>
      <c r="N557" s="105"/>
    </row>
    <row r="558">
      <c r="I558" s="15"/>
      <c r="K558" s="14"/>
      <c r="L558" s="15"/>
      <c r="M558" s="15"/>
      <c r="N558" s="105"/>
    </row>
    <row r="559">
      <c r="I559" s="15"/>
      <c r="K559" s="14"/>
      <c r="L559" s="15"/>
      <c r="M559" s="15"/>
      <c r="N559" s="105"/>
    </row>
    <row r="560">
      <c r="I560" s="15"/>
      <c r="K560" s="14"/>
      <c r="L560" s="15"/>
      <c r="M560" s="15"/>
      <c r="N560" s="105"/>
    </row>
    <row r="561">
      <c r="I561" s="15"/>
      <c r="K561" s="14"/>
      <c r="L561" s="15"/>
      <c r="M561" s="15"/>
      <c r="N561" s="105"/>
    </row>
    <row r="562">
      <c r="I562" s="15"/>
      <c r="K562" s="14"/>
      <c r="L562" s="15"/>
      <c r="M562" s="15"/>
      <c r="N562" s="105"/>
    </row>
    <row r="563">
      <c r="I563" s="15"/>
      <c r="K563" s="14"/>
      <c r="L563" s="15"/>
      <c r="M563" s="15"/>
      <c r="N563" s="105"/>
    </row>
    <row r="564">
      <c r="I564" s="15"/>
      <c r="K564" s="14"/>
      <c r="L564" s="15"/>
      <c r="M564" s="15"/>
      <c r="N564" s="105"/>
    </row>
    <row r="565">
      <c r="I565" s="15"/>
      <c r="K565" s="14"/>
      <c r="L565" s="15"/>
      <c r="M565" s="15"/>
      <c r="N565" s="105"/>
    </row>
    <row r="566">
      <c r="I566" s="15"/>
      <c r="K566" s="14"/>
      <c r="L566" s="15"/>
      <c r="M566" s="15"/>
      <c r="N566" s="105"/>
    </row>
    <row r="567">
      <c r="I567" s="15"/>
      <c r="K567" s="14"/>
      <c r="L567" s="15"/>
      <c r="M567" s="15"/>
      <c r="N567" s="105"/>
    </row>
    <row r="568">
      <c r="I568" s="15"/>
      <c r="K568" s="14"/>
      <c r="L568" s="15"/>
      <c r="M568" s="15"/>
      <c r="N568" s="105"/>
    </row>
    <row r="569">
      <c r="I569" s="15"/>
      <c r="K569" s="14"/>
      <c r="L569" s="15"/>
      <c r="M569" s="15"/>
      <c r="N569" s="105"/>
    </row>
    <row r="570">
      <c r="I570" s="15"/>
      <c r="K570" s="14"/>
      <c r="L570" s="15"/>
      <c r="M570" s="15"/>
      <c r="N570" s="105"/>
    </row>
    <row r="571">
      <c r="I571" s="15"/>
      <c r="K571" s="14"/>
      <c r="L571" s="15"/>
      <c r="M571" s="15"/>
      <c r="N571" s="105"/>
    </row>
    <row r="572">
      <c r="I572" s="15"/>
      <c r="K572" s="14"/>
      <c r="L572" s="15"/>
      <c r="M572" s="15"/>
      <c r="N572" s="105"/>
    </row>
    <row r="573">
      <c r="I573" s="15"/>
      <c r="K573" s="14"/>
      <c r="L573" s="15"/>
      <c r="M573" s="15"/>
      <c r="N573" s="105"/>
    </row>
    <row r="574">
      <c r="I574" s="15"/>
      <c r="K574" s="14"/>
      <c r="L574" s="15"/>
      <c r="M574" s="15"/>
      <c r="N574" s="105"/>
    </row>
    <row r="575">
      <c r="I575" s="15"/>
      <c r="K575" s="14"/>
      <c r="L575" s="15"/>
      <c r="M575" s="15"/>
      <c r="N575" s="105"/>
    </row>
    <row r="576">
      <c r="I576" s="15"/>
      <c r="K576" s="14"/>
      <c r="L576" s="15"/>
      <c r="M576" s="15"/>
      <c r="N576" s="105"/>
    </row>
    <row r="577">
      <c r="I577" s="15"/>
      <c r="K577" s="14"/>
      <c r="L577" s="15"/>
      <c r="M577" s="15"/>
      <c r="N577" s="105"/>
    </row>
    <row r="578">
      <c r="I578" s="15"/>
      <c r="K578" s="14"/>
      <c r="L578" s="15"/>
      <c r="M578" s="15"/>
      <c r="N578" s="105"/>
    </row>
    <row r="579">
      <c r="I579" s="15"/>
      <c r="K579" s="14"/>
      <c r="L579" s="15"/>
      <c r="M579" s="15"/>
      <c r="N579" s="105"/>
    </row>
    <row r="580">
      <c r="I580" s="15"/>
      <c r="K580" s="14"/>
      <c r="L580" s="15"/>
      <c r="M580" s="15"/>
      <c r="N580" s="105"/>
    </row>
    <row r="581">
      <c r="I581" s="15"/>
      <c r="K581" s="14"/>
      <c r="L581" s="15"/>
      <c r="M581" s="15"/>
      <c r="N581" s="105"/>
    </row>
    <row r="582">
      <c r="I582" s="15"/>
      <c r="K582" s="14"/>
      <c r="L582" s="15"/>
      <c r="M582" s="15"/>
      <c r="N582" s="105"/>
    </row>
    <row r="583">
      <c r="I583" s="15"/>
      <c r="K583" s="14"/>
      <c r="L583" s="15"/>
      <c r="M583" s="15"/>
      <c r="N583" s="105"/>
    </row>
    <row r="584">
      <c r="I584" s="15"/>
      <c r="K584" s="14"/>
      <c r="L584" s="15"/>
      <c r="M584" s="15"/>
      <c r="N584" s="105"/>
    </row>
    <row r="585">
      <c r="I585" s="15"/>
      <c r="K585" s="14"/>
      <c r="L585" s="15"/>
      <c r="M585" s="15"/>
      <c r="N585" s="105"/>
    </row>
    <row r="586">
      <c r="I586" s="15"/>
      <c r="K586" s="14"/>
      <c r="L586" s="15"/>
      <c r="M586" s="15"/>
      <c r="N586" s="105"/>
    </row>
    <row r="587">
      <c r="I587" s="15"/>
      <c r="K587" s="14"/>
      <c r="L587" s="15"/>
      <c r="M587" s="15"/>
      <c r="N587" s="105"/>
    </row>
    <row r="588">
      <c r="I588" s="15"/>
      <c r="K588" s="14"/>
      <c r="L588" s="15"/>
      <c r="M588" s="15"/>
      <c r="N588" s="105"/>
    </row>
    <row r="589">
      <c r="I589" s="15"/>
      <c r="K589" s="14"/>
      <c r="L589" s="15"/>
      <c r="M589" s="15"/>
      <c r="N589" s="105"/>
    </row>
    <row r="590">
      <c r="I590" s="15"/>
      <c r="K590" s="14"/>
      <c r="L590" s="15"/>
      <c r="M590" s="15"/>
      <c r="N590" s="105"/>
    </row>
    <row r="591">
      <c r="I591" s="15"/>
      <c r="K591" s="14"/>
      <c r="L591" s="15"/>
      <c r="M591" s="15"/>
      <c r="N591" s="105"/>
    </row>
    <row r="592">
      <c r="I592" s="15"/>
      <c r="K592" s="14"/>
      <c r="L592" s="15"/>
      <c r="M592" s="15"/>
      <c r="N592" s="105"/>
    </row>
    <row r="593">
      <c r="I593" s="15"/>
      <c r="K593" s="14"/>
      <c r="L593" s="15"/>
      <c r="M593" s="15"/>
      <c r="N593" s="105"/>
    </row>
    <row r="594">
      <c r="I594" s="15"/>
      <c r="K594" s="14"/>
      <c r="L594" s="15"/>
      <c r="M594" s="15"/>
      <c r="N594" s="105"/>
    </row>
    <row r="595">
      <c r="I595" s="15"/>
      <c r="K595" s="14"/>
      <c r="L595" s="15"/>
      <c r="M595" s="15"/>
      <c r="N595" s="105"/>
    </row>
    <row r="596">
      <c r="I596" s="15"/>
      <c r="K596" s="14"/>
      <c r="L596" s="15"/>
      <c r="M596" s="15"/>
      <c r="N596" s="105"/>
    </row>
    <row r="597">
      <c r="I597" s="15"/>
      <c r="K597" s="14"/>
      <c r="L597" s="15"/>
      <c r="M597" s="15"/>
      <c r="N597" s="105"/>
    </row>
    <row r="598">
      <c r="I598" s="15"/>
      <c r="K598" s="14"/>
      <c r="L598" s="15"/>
      <c r="M598" s="15"/>
      <c r="N598" s="105"/>
    </row>
    <row r="599">
      <c r="I599" s="15"/>
      <c r="K599" s="14"/>
      <c r="L599" s="15"/>
      <c r="M599" s="15"/>
      <c r="N599" s="105"/>
    </row>
    <row r="600">
      <c r="I600" s="15"/>
      <c r="K600" s="14"/>
      <c r="L600" s="15"/>
      <c r="M600" s="15"/>
      <c r="N600" s="105"/>
    </row>
    <row r="601">
      <c r="I601" s="15"/>
      <c r="K601" s="14"/>
      <c r="L601" s="15"/>
      <c r="M601" s="15"/>
      <c r="N601" s="105"/>
    </row>
    <row r="602">
      <c r="I602" s="15"/>
      <c r="K602" s="14"/>
      <c r="L602" s="15"/>
      <c r="M602" s="15"/>
      <c r="N602" s="105"/>
    </row>
    <row r="603">
      <c r="I603" s="15"/>
      <c r="K603" s="14"/>
      <c r="L603" s="15"/>
      <c r="M603" s="15"/>
      <c r="N603" s="105"/>
    </row>
    <row r="604">
      <c r="I604" s="15"/>
      <c r="K604" s="14"/>
      <c r="L604" s="15"/>
      <c r="M604" s="15"/>
      <c r="N604" s="105"/>
    </row>
    <row r="605">
      <c r="I605" s="15"/>
      <c r="K605" s="14"/>
      <c r="L605" s="15"/>
      <c r="M605" s="15"/>
      <c r="N605" s="105"/>
    </row>
    <row r="606">
      <c r="I606" s="15"/>
      <c r="K606" s="14"/>
      <c r="L606" s="15"/>
      <c r="M606" s="15"/>
      <c r="N606" s="105"/>
    </row>
    <row r="607">
      <c r="I607" s="15"/>
      <c r="K607" s="14"/>
      <c r="L607" s="15"/>
      <c r="M607" s="15"/>
      <c r="N607" s="105"/>
    </row>
    <row r="608">
      <c r="I608" s="15"/>
      <c r="K608" s="14"/>
      <c r="L608" s="15"/>
      <c r="M608" s="15"/>
      <c r="N608" s="105"/>
    </row>
    <row r="609">
      <c r="I609" s="15"/>
      <c r="K609" s="14"/>
      <c r="L609" s="15"/>
      <c r="M609" s="15"/>
      <c r="N609" s="105"/>
    </row>
    <row r="610">
      <c r="I610" s="15"/>
      <c r="K610" s="14"/>
      <c r="L610" s="15"/>
      <c r="M610" s="15"/>
      <c r="N610" s="105"/>
    </row>
    <row r="611">
      <c r="I611" s="15"/>
      <c r="K611" s="14"/>
      <c r="L611" s="15"/>
      <c r="M611" s="15"/>
      <c r="N611" s="105"/>
    </row>
    <row r="612">
      <c r="I612" s="15"/>
      <c r="K612" s="14"/>
      <c r="L612" s="15"/>
      <c r="M612" s="15"/>
      <c r="N612" s="105"/>
    </row>
    <row r="613">
      <c r="I613" s="15"/>
      <c r="K613" s="14"/>
      <c r="L613" s="15"/>
      <c r="M613" s="15"/>
      <c r="N613" s="105"/>
    </row>
    <row r="614">
      <c r="I614" s="15"/>
      <c r="K614" s="14"/>
      <c r="L614" s="15"/>
      <c r="M614" s="15"/>
      <c r="N614" s="105"/>
    </row>
    <row r="615">
      <c r="I615" s="15"/>
      <c r="K615" s="14"/>
      <c r="L615" s="15"/>
      <c r="M615" s="15"/>
      <c r="N615" s="105"/>
    </row>
    <row r="616">
      <c r="I616" s="15"/>
      <c r="K616" s="14"/>
      <c r="L616" s="15"/>
      <c r="M616" s="15"/>
      <c r="N616" s="105"/>
    </row>
    <row r="617">
      <c r="I617" s="15"/>
      <c r="K617" s="14"/>
      <c r="L617" s="15"/>
      <c r="M617" s="15"/>
      <c r="N617" s="105"/>
    </row>
    <row r="618">
      <c r="I618" s="15"/>
      <c r="K618" s="14"/>
      <c r="L618" s="15"/>
      <c r="M618" s="15"/>
      <c r="N618" s="105"/>
    </row>
    <row r="619">
      <c r="I619" s="15"/>
      <c r="K619" s="14"/>
      <c r="L619" s="15"/>
      <c r="M619" s="15"/>
      <c r="N619" s="105"/>
    </row>
    <row r="620">
      <c r="I620" s="15"/>
      <c r="K620" s="14"/>
      <c r="L620" s="15"/>
      <c r="M620" s="15"/>
      <c r="N620" s="105"/>
    </row>
    <row r="621">
      <c r="I621" s="15"/>
      <c r="K621" s="14"/>
      <c r="L621" s="15"/>
      <c r="M621" s="15"/>
      <c r="N621" s="105"/>
    </row>
    <row r="622">
      <c r="I622" s="15"/>
      <c r="K622" s="14"/>
      <c r="L622" s="15"/>
      <c r="M622" s="15"/>
      <c r="N622" s="105"/>
    </row>
    <row r="623">
      <c r="I623" s="15"/>
      <c r="K623" s="14"/>
      <c r="L623" s="15"/>
      <c r="M623" s="15"/>
      <c r="N623" s="105"/>
    </row>
    <row r="624">
      <c r="I624" s="15"/>
      <c r="K624" s="14"/>
      <c r="L624" s="15"/>
      <c r="M624" s="15"/>
      <c r="N624" s="105"/>
    </row>
    <row r="625">
      <c r="I625" s="15"/>
      <c r="K625" s="14"/>
      <c r="L625" s="15"/>
      <c r="M625" s="15"/>
      <c r="N625" s="105"/>
    </row>
    <row r="626">
      <c r="I626" s="15"/>
      <c r="K626" s="14"/>
      <c r="L626" s="15"/>
      <c r="M626" s="15"/>
      <c r="N626" s="105"/>
    </row>
    <row r="627">
      <c r="I627" s="15"/>
      <c r="K627" s="14"/>
      <c r="L627" s="15"/>
      <c r="M627" s="15"/>
      <c r="N627" s="105"/>
    </row>
    <row r="628">
      <c r="I628" s="15"/>
      <c r="K628" s="14"/>
      <c r="L628" s="15"/>
      <c r="M628" s="15"/>
      <c r="N628" s="105"/>
    </row>
    <row r="629">
      <c r="I629" s="15"/>
      <c r="K629" s="14"/>
      <c r="L629" s="15"/>
      <c r="M629" s="15"/>
      <c r="N629" s="105"/>
    </row>
    <row r="630">
      <c r="I630" s="15"/>
      <c r="K630" s="14"/>
      <c r="L630" s="15"/>
      <c r="M630" s="15"/>
      <c r="N630" s="105"/>
    </row>
    <row r="631">
      <c r="I631" s="15"/>
      <c r="K631" s="14"/>
      <c r="L631" s="15"/>
      <c r="M631" s="15"/>
      <c r="N631" s="105"/>
    </row>
    <row r="632">
      <c r="I632" s="15"/>
      <c r="K632" s="14"/>
      <c r="L632" s="15"/>
      <c r="M632" s="15"/>
      <c r="N632" s="105"/>
    </row>
    <row r="633">
      <c r="I633" s="15"/>
      <c r="K633" s="14"/>
      <c r="L633" s="15"/>
      <c r="M633" s="15"/>
      <c r="N633" s="105"/>
    </row>
    <row r="634">
      <c r="I634" s="15"/>
      <c r="K634" s="14"/>
      <c r="L634" s="15"/>
      <c r="M634" s="15"/>
      <c r="N634" s="105"/>
    </row>
    <row r="635">
      <c r="I635" s="15"/>
      <c r="K635" s="14"/>
      <c r="L635" s="15"/>
      <c r="M635" s="15"/>
      <c r="N635" s="105"/>
    </row>
    <row r="636">
      <c r="I636" s="15"/>
      <c r="K636" s="14"/>
      <c r="L636" s="15"/>
      <c r="M636" s="15"/>
      <c r="N636" s="105"/>
    </row>
    <row r="637">
      <c r="I637" s="15"/>
      <c r="K637" s="14"/>
      <c r="L637" s="15"/>
      <c r="M637" s="15"/>
      <c r="N637" s="105"/>
    </row>
    <row r="638">
      <c r="I638" s="15"/>
      <c r="K638" s="14"/>
      <c r="L638" s="15"/>
      <c r="M638" s="15"/>
      <c r="N638" s="105"/>
    </row>
    <row r="639">
      <c r="I639" s="15"/>
      <c r="K639" s="14"/>
      <c r="L639" s="15"/>
      <c r="M639" s="15"/>
      <c r="N639" s="105"/>
    </row>
    <row r="640">
      <c r="I640" s="15"/>
      <c r="K640" s="14"/>
      <c r="L640" s="15"/>
      <c r="M640" s="15"/>
      <c r="N640" s="105"/>
    </row>
    <row r="641">
      <c r="I641" s="15"/>
      <c r="K641" s="14"/>
      <c r="L641" s="15"/>
      <c r="M641" s="15"/>
      <c r="N641" s="105"/>
    </row>
    <row r="642">
      <c r="I642" s="15"/>
      <c r="K642" s="14"/>
      <c r="L642" s="15"/>
      <c r="M642" s="15"/>
      <c r="N642" s="105"/>
    </row>
    <row r="643">
      <c r="I643" s="15"/>
      <c r="K643" s="14"/>
      <c r="L643" s="15"/>
      <c r="M643" s="15"/>
      <c r="N643" s="105"/>
    </row>
    <row r="644">
      <c r="I644" s="15"/>
      <c r="K644" s="14"/>
      <c r="L644" s="15"/>
      <c r="M644" s="15"/>
      <c r="N644" s="105"/>
    </row>
    <row r="645">
      <c r="I645" s="15"/>
      <c r="K645" s="14"/>
      <c r="L645" s="15"/>
      <c r="M645" s="15"/>
      <c r="N645" s="105"/>
    </row>
    <row r="646">
      <c r="I646" s="15"/>
      <c r="K646" s="14"/>
      <c r="L646" s="15"/>
      <c r="M646" s="15"/>
      <c r="N646" s="105"/>
    </row>
    <row r="647">
      <c r="I647" s="15"/>
      <c r="K647" s="14"/>
      <c r="L647" s="15"/>
      <c r="M647" s="15"/>
      <c r="N647" s="105"/>
    </row>
    <row r="648">
      <c r="I648" s="15"/>
      <c r="K648" s="14"/>
      <c r="L648" s="15"/>
      <c r="M648" s="15"/>
      <c r="N648" s="105"/>
    </row>
    <row r="649">
      <c r="I649" s="15"/>
      <c r="K649" s="14"/>
      <c r="L649" s="15"/>
      <c r="M649" s="15"/>
      <c r="N649" s="105"/>
    </row>
    <row r="650">
      <c r="I650" s="15"/>
      <c r="K650" s="14"/>
      <c r="L650" s="15"/>
      <c r="M650" s="15"/>
      <c r="N650" s="105"/>
    </row>
    <row r="651">
      <c r="I651" s="15"/>
      <c r="K651" s="14"/>
      <c r="L651" s="15"/>
      <c r="M651" s="15"/>
      <c r="N651" s="105"/>
    </row>
    <row r="652">
      <c r="I652" s="15"/>
      <c r="K652" s="14"/>
      <c r="L652" s="15"/>
      <c r="M652" s="15"/>
      <c r="N652" s="105"/>
    </row>
    <row r="653">
      <c r="I653" s="15"/>
      <c r="K653" s="14"/>
      <c r="L653" s="15"/>
      <c r="M653" s="15"/>
      <c r="N653" s="105"/>
    </row>
    <row r="654">
      <c r="I654" s="15"/>
      <c r="K654" s="14"/>
      <c r="L654" s="15"/>
      <c r="M654" s="15"/>
      <c r="N654" s="105"/>
    </row>
    <row r="655">
      <c r="I655" s="15"/>
      <c r="K655" s="14"/>
      <c r="L655" s="15"/>
      <c r="M655" s="15"/>
      <c r="N655" s="105"/>
    </row>
    <row r="656">
      <c r="I656" s="15"/>
      <c r="K656" s="14"/>
      <c r="L656" s="15"/>
      <c r="M656" s="15"/>
      <c r="N656" s="105"/>
    </row>
    <row r="657">
      <c r="I657" s="15"/>
      <c r="K657" s="14"/>
      <c r="L657" s="15"/>
      <c r="M657" s="15"/>
      <c r="N657" s="105"/>
    </row>
    <row r="658">
      <c r="I658" s="15"/>
      <c r="K658" s="14"/>
      <c r="L658" s="15"/>
      <c r="M658" s="15"/>
      <c r="N658" s="105"/>
    </row>
    <row r="659">
      <c r="I659" s="15"/>
      <c r="K659" s="14"/>
      <c r="L659" s="15"/>
      <c r="M659" s="15"/>
      <c r="N659" s="105"/>
    </row>
    <row r="660">
      <c r="I660" s="15"/>
      <c r="K660" s="14"/>
      <c r="L660" s="15"/>
      <c r="M660" s="15"/>
      <c r="N660" s="105"/>
    </row>
    <row r="661">
      <c r="I661" s="15"/>
      <c r="K661" s="14"/>
      <c r="L661" s="15"/>
      <c r="M661" s="15"/>
      <c r="N661" s="105"/>
    </row>
    <row r="662">
      <c r="I662" s="15"/>
      <c r="K662" s="14"/>
      <c r="L662" s="15"/>
      <c r="M662" s="15"/>
      <c r="N662" s="105"/>
    </row>
    <row r="663">
      <c r="I663" s="15"/>
      <c r="K663" s="14"/>
      <c r="L663" s="15"/>
      <c r="M663" s="15"/>
      <c r="N663" s="105"/>
    </row>
    <row r="664">
      <c r="I664" s="15"/>
      <c r="K664" s="14"/>
      <c r="L664" s="15"/>
      <c r="M664" s="15"/>
      <c r="N664" s="105"/>
    </row>
    <row r="665">
      <c r="I665" s="15"/>
      <c r="K665" s="14"/>
      <c r="L665" s="15"/>
      <c r="M665" s="15"/>
      <c r="N665" s="105"/>
    </row>
    <row r="666">
      <c r="I666" s="15"/>
      <c r="K666" s="14"/>
      <c r="L666" s="15"/>
      <c r="M666" s="15"/>
      <c r="N666" s="105"/>
    </row>
    <row r="667">
      <c r="I667" s="15"/>
      <c r="K667" s="14"/>
      <c r="L667" s="15"/>
      <c r="M667" s="15"/>
      <c r="N667" s="105"/>
    </row>
    <row r="668">
      <c r="I668" s="15"/>
      <c r="K668" s="14"/>
      <c r="L668" s="15"/>
      <c r="M668" s="15"/>
      <c r="N668" s="105"/>
    </row>
    <row r="669">
      <c r="I669" s="15"/>
      <c r="K669" s="14"/>
      <c r="L669" s="15"/>
      <c r="M669" s="15"/>
      <c r="N669" s="105"/>
    </row>
    <row r="670">
      <c r="I670" s="15"/>
      <c r="K670" s="14"/>
      <c r="L670" s="15"/>
      <c r="M670" s="15"/>
      <c r="N670" s="105"/>
    </row>
    <row r="671">
      <c r="I671" s="15"/>
      <c r="K671" s="14"/>
      <c r="L671" s="15"/>
      <c r="M671" s="15"/>
      <c r="N671" s="105"/>
    </row>
    <row r="672">
      <c r="I672" s="15"/>
      <c r="K672" s="14"/>
      <c r="L672" s="15"/>
      <c r="M672" s="15"/>
      <c r="N672" s="105"/>
    </row>
    <row r="673">
      <c r="I673" s="15"/>
      <c r="K673" s="14"/>
      <c r="L673" s="15"/>
      <c r="M673" s="15"/>
      <c r="N673" s="105"/>
    </row>
    <row r="674">
      <c r="I674" s="15"/>
      <c r="K674" s="14"/>
      <c r="L674" s="15"/>
      <c r="M674" s="15"/>
      <c r="N674" s="105"/>
    </row>
    <row r="675">
      <c r="I675" s="15"/>
      <c r="K675" s="14"/>
      <c r="L675" s="15"/>
      <c r="M675" s="15"/>
      <c r="N675" s="105"/>
    </row>
    <row r="676">
      <c r="I676" s="15"/>
      <c r="K676" s="14"/>
      <c r="L676" s="15"/>
      <c r="M676" s="15"/>
      <c r="N676" s="105"/>
    </row>
    <row r="677">
      <c r="I677" s="15"/>
      <c r="K677" s="14"/>
      <c r="L677" s="15"/>
      <c r="M677" s="15"/>
      <c r="N677" s="105"/>
    </row>
    <row r="678">
      <c r="I678" s="15"/>
      <c r="K678" s="14"/>
      <c r="L678" s="15"/>
      <c r="M678" s="15"/>
      <c r="N678" s="105"/>
    </row>
    <row r="679">
      <c r="I679" s="15"/>
      <c r="K679" s="14"/>
      <c r="L679" s="15"/>
      <c r="M679" s="15"/>
      <c r="N679" s="105"/>
    </row>
    <row r="680">
      <c r="I680" s="15"/>
      <c r="K680" s="14"/>
      <c r="L680" s="15"/>
      <c r="M680" s="15"/>
      <c r="N680" s="105"/>
    </row>
    <row r="681">
      <c r="I681" s="15"/>
      <c r="K681" s="14"/>
      <c r="L681" s="15"/>
      <c r="M681" s="15"/>
      <c r="N681" s="105"/>
    </row>
    <row r="682">
      <c r="I682" s="15"/>
      <c r="K682" s="14"/>
      <c r="L682" s="15"/>
      <c r="M682" s="15"/>
      <c r="N682" s="105"/>
    </row>
    <row r="683">
      <c r="I683" s="15"/>
      <c r="K683" s="14"/>
      <c r="L683" s="15"/>
      <c r="M683" s="15"/>
      <c r="N683" s="105"/>
    </row>
    <row r="684">
      <c r="I684" s="15"/>
      <c r="K684" s="14"/>
      <c r="L684" s="15"/>
      <c r="M684" s="15"/>
      <c r="N684" s="105"/>
    </row>
    <row r="685">
      <c r="I685" s="15"/>
      <c r="K685" s="14"/>
      <c r="L685" s="15"/>
      <c r="M685" s="15"/>
      <c r="N685" s="105"/>
    </row>
    <row r="686">
      <c r="I686" s="15"/>
      <c r="K686" s="14"/>
      <c r="L686" s="15"/>
      <c r="M686" s="15"/>
      <c r="N686" s="105"/>
    </row>
    <row r="687">
      <c r="I687" s="15"/>
      <c r="K687" s="14"/>
      <c r="L687" s="15"/>
      <c r="M687" s="15"/>
      <c r="N687" s="105"/>
    </row>
    <row r="688">
      <c r="I688" s="15"/>
      <c r="K688" s="14"/>
      <c r="L688" s="15"/>
      <c r="M688" s="15"/>
      <c r="N688" s="105"/>
    </row>
    <row r="689">
      <c r="I689" s="15"/>
      <c r="K689" s="14"/>
      <c r="L689" s="15"/>
      <c r="M689" s="15"/>
      <c r="N689" s="105"/>
    </row>
    <row r="690">
      <c r="I690" s="15"/>
      <c r="K690" s="14"/>
      <c r="L690" s="15"/>
      <c r="M690" s="15"/>
      <c r="N690" s="105"/>
    </row>
    <row r="691">
      <c r="I691" s="15"/>
      <c r="K691" s="14"/>
      <c r="L691" s="15"/>
      <c r="M691" s="15"/>
      <c r="N691" s="105"/>
    </row>
    <row r="692">
      <c r="I692" s="15"/>
      <c r="K692" s="14"/>
      <c r="L692" s="15"/>
      <c r="M692" s="15"/>
      <c r="N692" s="105"/>
    </row>
    <row r="693">
      <c r="I693" s="15"/>
      <c r="K693" s="14"/>
      <c r="L693" s="15"/>
      <c r="M693" s="15"/>
      <c r="N693" s="105"/>
    </row>
    <row r="694">
      <c r="I694" s="15"/>
      <c r="K694" s="14"/>
      <c r="L694" s="15"/>
      <c r="M694" s="15"/>
      <c r="N694" s="105"/>
    </row>
    <row r="695">
      <c r="I695" s="15"/>
      <c r="K695" s="14"/>
      <c r="L695" s="15"/>
      <c r="M695" s="15"/>
      <c r="N695" s="105"/>
    </row>
    <row r="696">
      <c r="I696" s="15"/>
      <c r="K696" s="14"/>
      <c r="L696" s="15"/>
      <c r="M696" s="15"/>
      <c r="N696" s="105"/>
    </row>
    <row r="697">
      <c r="I697" s="15"/>
      <c r="K697" s="14"/>
      <c r="L697" s="15"/>
      <c r="M697" s="15"/>
      <c r="N697" s="105"/>
    </row>
    <row r="698">
      <c r="I698" s="15"/>
      <c r="K698" s="14"/>
      <c r="L698" s="15"/>
      <c r="M698" s="15"/>
      <c r="N698" s="105"/>
    </row>
    <row r="699">
      <c r="I699" s="15"/>
      <c r="K699" s="14"/>
      <c r="L699" s="15"/>
      <c r="M699" s="15"/>
      <c r="N699" s="105"/>
    </row>
    <row r="700">
      <c r="I700" s="15"/>
      <c r="K700" s="14"/>
      <c r="L700" s="15"/>
      <c r="M700" s="15"/>
      <c r="N700" s="105"/>
    </row>
    <row r="701">
      <c r="I701" s="15"/>
      <c r="K701" s="14"/>
      <c r="L701" s="15"/>
      <c r="M701" s="15"/>
      <c r="N701" s="105"/>
    </row>
    <row r="702">
      <c r="I702" s="15"/>
      <c r="K702" s="14"/>
      <c r="L702" s="15"/>
      <c r="M702" s="15"/>
      <c r="N702" s="105"/>
    </row>
    <row r="703">
      <c r="I703" s="15"/>
      <c r="K703" s="14"/>
      <c r="L703" s="15"/>
      <c r="M703" s="15"/>
      <c r="N703" s="105"/>
    </row>
    <row r="704">
      <c r="I704" s="15"/>
      <c r="K704" s="14"/>
      <c r="L704" s="15"/>
      <c r="M704" s="15"/>
      <c r="N704" s="105"/>
    </row>
    <row r="705">
      <c r="I705" s="15"/>
      <c r="K705" s="14"/>
      <c r="L705" s="15"/>
      <c r="M705" s="15"/>
      <c r="N705" s="105"/>
    </row>
    <row r="706">
      <c r="I706" s="15"/>
      <c r="K706" s="14"/>
      <c r="L706" s="15"/>
      <c r="M706" s="15"/>
      <c r="N706" s="105"/>
    </row>
    <row r="707">
      <c r="I707" s="15"/>
      <c r="K707" s="14"/>
      <c r="L707" s="15"/>
      <c r="M707" s="15"/>
      <c r="N707" s="105"/>
    </row>
    <row r="708">
      <c r="I708" s="15"/>
      <c r="K708" s="14"/>
      <c r="L708" s="15"/>
      <c r="M708" s="15"/>
      <c r="N708" s="105"/>
    </row>
    <row r="709">
      <c r="I709" s="15"/>
      <c r="K709" s="14"/>
      <c r="L709" s="15"/>
      <c r="M709" s="15"/>
      <c r="N709" s="105"/>
    </row>
    <row r="710">
      <c r="I710" s="15"/>
      <c r="K710" s="14"/>
      <c r="L710" s="15"/>
      <c r="M710" s="15"/>
      <c r="N710" s="105"/>
    </row>
    <row r="711">
      <c r="I711" s="15"/>
      <c r="K711" s="14"/>
      <c r="L711" s="15"/>
      <c r="M711" s="15"/>
      <c r="N711" s="105"/>
    </row>
    <row r="712">
      <c r="I712" s="15"/>
      <c r="K712" s="14"/>
      <c r="L712" s="15"/>
      <c r="M712" s="15"/>
      <c r="N712" s="105"/>
    </row>
    <row r="713">
      <c r="I713" s="15"/>
      <c r="K713" s="14"/>
      <c r="L713" s="15"/>
      <c r="M713" s="15"/>
      <c r="N713" s="105"/>
    </row>
    <row r="714">
      <c r="I714" s="15"/>
      <c r="K714" s="14"/>
      <c r="L714" s="15"/>
      <c r="M714" s="15"/>
      <c r="N714" s="105"/>
    </row>
    <row r="715">
      <c r="I715" s="15"/>
      <c r="K715" s="14"/>
      <c r="L715" s="15"/>
      <c r="M715" s="15"/>
      <c r="N715" s="105"/>
    </row>
    <row r="716">
      <c r="I716" s="15"/>
      <c r="K716" s="14"/>
      <c r="L716" s="15"/>
      <c r="M716" s="15"/>
      <c r="N716" s="105"/>
    </row>
    <row r="717">
      <c r="I717" s="15"/>
      <c r="K717" s="14"/>
      <c r="L717" s="15"/>
      <c r="M717" s="15"/>
      <c r="N717" s="105"/>
    </row>
    <row r="718">
      <c r="I718" s="15"/>
      <c r="K718" s="14"/>
      <c r="L718" s="15"/>
      <c r="M718" s="15"/>
      <c r="N718" s="105"/>
    </row>
    <row r="719">
      <c r="I719" s="15"/>
      <c r="K719" s="14"/>
      <c r="L719" s="15"/>
      <c r="M719" s="15"/>
      <c r="N719" s="105"/>
    </row>
    <row r="720">
      <c r="I720" s="15"/>
      <c r="K720" s="14"/>
      <c r="L720" s="15"/>
      <c r="M720" s="15"/>
      <c r="N720" s="105"/>
    </row>
    <row r="721">
      <c r="I721" s="15"/>
      <c r="K721" s="14"/>
      <c r="L721" s="15"/>
      <c r="M721" s="15"/>
      <c r="N721" s="105"/>
    </row>
    <row r="722">
      <c r="I722" s="15"/>
      <c r="K722" s="14"/>
      <c r="L722" s="15"/>
      <c r="M722" s="15"/>
      <c r="N722" s="105"/>
    </row>
    <row r="723">
      <c r="I723" s="15"/>
      <c r="K723" s="14"/>
      <c r="L723" s="15"/>
      <c r="M723" s="15"/>
      <c r="N723" s="105"/>
    </row>
    <row r="724">
      <c r="I724" s="15"/>
      <c r="K724" s="14"/>
      <c r="L724" s="15"/>
      <c r="M724" s="15"/>
      <c r="N724" s="105"/>
    </row>
    <row r="725">
      <c r="I725" s="15"/>
      <c r="K725" s="14"/>
      <c r="L725" s="15"/>
      <c r="M725" s="15"/>
      <c r="N725" s="105"/>
    </row>
    <row r="726">
      <c r="I726" s="15"/>
      <c r="K726" s="14"/>
      <c r="L726" s="15"/>
      <c r="M726" s="15"/>
      <c r="N726" s="105"/>
    </row>
    <row r="727">
      <c r="I727" s="15"/>
      <c r="K727" s="14"/>
      <c r="L727" s="15"/>
      <c r="M727" s="15"/>
      <c r="N727" s="105"/>
    </row>
    <row r="728">
      <c r="I728" s="15"/>
      <c r="K728" s="14"/>
      <c r="L728" s="15"/>
      <c r="M728" s="15"/>
      <c r="N728" s="105"/>
    </row>
    <row r="729">
      <c r="I729" s="15"/>
      <c r="K729" s="14"/>
      <c r="L729" s="15"/>
      <c r="M729" s="15"/>
      <c r="N729" s="105"/>
    </row>
    <row r="730">
      <c r="I730" s="15"/>
      <c r="K730" s="14"/>
      <c r="L730" s="15"/>
      <c r="M730" s="15"/>
      <c r="N730" s="105"/>
    </row>
    <row r="731">
      <c r="I731" s="15"/>
      <c r="K731" s="14"/>
      <c r="L731" s="15"/>
      <c r="M731" s="15"/>
      <c r="N731" s="105"/>
    </row>
    <row r="732">
      <c r="I732" s="15"/>
      <c r="K732" s="14"/>
      <c r="L732" s="15"/>
      <c r="M732" s="15"/>
      <c r="N732" s="105"/>
    </row>
    <row r="733">
      <c r="I733" s="15"/>
      <c r="K733" s="14"/>
      <c r="L733" s="15"/>
      <c r="M733" s="15"/>
      <c r="N733" s="105"/>
    </row>
    <row r="734">
      <c r="I734" s="15"/>
      <c r="K734" s="14"/>
      <c r="L734" s="15"/>
      <c r="M734" s="15"/>
      <c r="N734" s="105"/>
    </row>
    <row r="735">
      <c r="I735" s="15"/>
      <c r="K735" s="14"/>
      <c r="L735" s="15"/>
      <c r="M735" s="15"/>
      <c r="N735" s="105"/>
    </row>
    <row r="736">
      <c r="I736" s="15"/>
      <c r="K736" s="14"/>
      <c r="L736" s="15"/>
      <c r="M736" s="15"/>
      <c r="N736" s="105"/>
    </row>
    <row r="737">
      <c r="I737" s="15"/>
      <c r="K737" s="14"/>
      <c r="L737" s="15"/>
      <c r="M737" s="15"/>
      <c r="N737" s="105"/>
    </row>
    <row r="738">
      <c r="I738" s="15"/>
      <c r="K738" s="14"/>
      <c r="L738" s="15"/>
      <c r="M738" s="15"/>
      <c r="N738" s="105"/>
    </row>
    <row r="739">
      <c r="I739" s="15"/>
      <c r="K739" s="14"/>
      <c r="L739" s="15"/>
      <c r="M739" s="15"/>
      <c r="N739" s="105"/>
    </row>
    <row r="740">
      <c r="I740" s="15"/>
      <c r="K740" s="14"/>
      <c r="L740" s="15"/>
      <c r="M740" s="15"/>
      <c r="N740" s="105"/>
    </row>
    <row r="741">
      <c r="I741" s="15"/>
      <c r="K741" s="14"/>
      <c r="L741" s="15"/>
      <c r="M741" s="15"/>
      <c r="N741" s="105"/>
    </row>
    <row r="742">
      <c r="I742" s="15"/>
      <c r="K742" s="14"/>
      <c r="L742" s="15"/>
      <c r="M742" s="15"/>
      <c r="N742" s="105"/>
    </row>
    <row r="743">
      <c r="I743" s="15"/>
      <c r="K743" s="14"/>
      <c r="L743" s="15"/>
      <c r="M743" s="15"/>
      <c r="N743" s="105"/>
    </row>
    <row r="744">
      <c r="I744" s="15"/>
      <c r="K744" s="14"/>
      <c r="L744" s="15"/>
      <c r="M744" s="15"/>
      <c r="N744" s="105"/>
    </row>
    <row r="745">
      <c r="I745" s="15"/>
      <c r="K745" s="14"/>
      <c r="L745" s="15"/>
      <c r="M745" s="15"/>
      <c r="N745" s="105"/>
    </row>
    <row r="746">
      <c r="I746" s="15"/>
      <c r="K746" s="14"/>
      <c r="L746" s="15"/>
      <c r="M746" s="15"/>
      <c r="N746" s="105"/>
    </row>
    <row r="747">
      <c r="I747" s="15"/>
      <c r="K747" s="14"/>
      <c r="L747" s="15"/>
      <c r="M747" s="15"/>
      <c r="N747" s="105"/>
    </row>
    <row r="748">
      <c r="I748" s="15"/>
      <c r="K748" s="14"/>
      <c r="L748" s="15"/>
      <c r="M748" s="15"/>
      <c r="N748" s="105"/>
    </row>
    <row r="749">
      <c r="I749" s="15"/>
      <c r="K749" s="14"/>
      <c r="L749" s="15"/>
      <c r="M749" s="15"/>
      <c r="N749" s="105"/>
    </row>
    <row r="750">
      <c r="I750" s="15"/>
      <c r="K750" s="14"/>
      <c r="L750" s="15"/>
      <c r="M750" s="15"/>
      <c r="N750" s="105"/>
    </row>
    <row r="751">
      <c r="I751" s="15"/>
      <c r="K751" s="14"/>
      <c r="L751" s="15"/>
      <c r="M751" s="15"/>
      <c r="N751" s="105"/>
    </row>
    <row r="752">
      <c r="I752" s="15"/>
      <c r="K752" s="14"/>
      <c r="L752" s="15"/>
      <c r="M752" s="15"/>
      <c r="N752" s="105"/>
    </row>
    <row r="753">
      <c r="I753" s="15"/>
      <c r="K753" s="14"/>
      <c r="L753" s="15"/>
      <c r="M753" s="15"/>
      <c r="N753" s="105"/>
    </row>
    <row r="754">
      <c r="I754" s="15"/>
      <c r="K754" s="14"/>
      <c r="L754" s="15"/>
      <c r="M754" s="15"/>
      <c r="N754" s="105"/>
    </row>
    <row r="755">
      <c r="I755" s="15"/>
      <c r="K755" s="14"/>
      <c r="L755" s="15"/>
      <c r="M755" s="15"/>
      <c r="N755" s="105"/>
    </row>
    <row r="756">
      <c r="I756" s="15"/>
      <c r="K756" s="14"/>
      <c r="L756" s="15"/>
      <c r="M756" s="15"/>
      <c r="N756" s="105"/>
    </row>
    <row r="757">
      <c r="I757" s="15"/>
      <c r="K757" s="14"/>
      <c r="L757" s="15"/>
      <c r="M757" s="15"/>
      <c r="N757" s="105"/>
    </row>
    <row r="758">
      <c r="I758" s="15"/>
      <c r="K758" s="14"/>
      <c r="L758" s="15"/>
      <c r="M758" s="15"/>
      <c r="N758" s="105"/>
    </row>
    <row r="759">
      <c r="I759" s="15"/>
      <c r="K759" s="14"/>
      <c r="L759" s="15"/>
      <c r="M759" s="15"/>
      <c r="N759" s="105"/>
    </row>
    <row r="760">
      <c r="I760" s="15"/>
      <c r="K760" s="14"/>
      <c r="L760" s="15"/>
      <c r="M760" s="15"/>
      <c r="N760" s="105"/>
    </row>
    <row r="761">
      <c r="I761" s="15"/>
      <c r="K761" s="14"/>
      <c r="L761" s="15"/>
      <c r="M761" s="15"/>
      <c r="N761" s="105"/>
    </row>
    <row r="762">
      <c r="I762" s="15"/>
      <c r="K762" s="14"/>
      <c r="L762" s="15"/>
      <c r="M762" s="15"/>
      <c r="N762" s="105"/>
    </row>
    <row r="763">
      <c r="I763" s="15"/>
      <c r="K763" s="14"/>
      <c r="L763" s="15"/>
      <c r="M763" s="15"/>
      <c r="N763" s="105"/>
    </row>
    <row r="764">
      <c r="I764" s="15"/>
      <c r="K764" s="14"/>
      <c r="L764" s="15"/>
      <c r="M764" s="15"/>
      <c r="N764" s="105"/>
    </row>
    <row r="765">
      <c r="I765" s="15"/>
      <c r="K765" s="14"/>
      <c r="L765" s="15"/>
      <c r="M765" s="15"/>
      <c r="N765" s="105"/>
    </row>
    <row r="766">
      <c r="I766" s="15"/>
      <c r="K766" s="14"/>
      <c r="L766" s="15"/>
      <c r="M766" s="15"/>
      <c r="N766" s="105"/>
    </row>
    <row r="767">
      <c r="I767" s="15"/>
      <c r="K767" s="14"/>
      <c r="L767" s="15"/>
      <c r="M767" s="15"/>
      <c r="N767" s="105"/>
    </row>
    <row r="768">
      <c r="I768" s="15"/>
      <c r="K768" s="14"/>
      <c r="L768" s="15"/>
      <c r="M768" s="15"/>
      <c r="N768" s="105"/>
    </row>
    <row r="769">
      <c r="I769" s="15"/>
      <c r="K769" s="14"/>
      <c r="L769" s="15"/>
      <c r="M769" s="15"/>
      <c r="N769" s="105"/>
    </row>
    <row r="770">
      <c r="I770" s="15"/>
      <c r="K770" s="14"/>
      <c r="L770" s="15"/>
      <c r="M770" s="15"/>
      <c r="N770" s="105"/>
    </row>
    <row r="771">
      <c r="I771" s="15"/>
      <c r="K771" s="14"/>
      <c r="L771" s="15"/>
      <c r="M771" s="15"/>
      <c r="N771" s="105"/>
    </row>
    <row r="772">
      <c r="I772" s="15"/>
      <c r="K772" s="14"/>
      <c r="L772" s="15"/>
      <c r="M772" s="15"/>
      <c r="N772" s="105"/>
    </row>
    <row r="773">
      <c r="I773" s="15"/>
      <c r="K773" s="14"/>
      <c r="L773" s="15"/>
      <c r="M773" s="15"/>
      <c r="N773" s="105"/>
    </row>
    <row r="774">
      <c r="I774" s="15"/>
      <c r="K774" s="14"/>
      <c r="L774" s="15"/>
      <c r="M774" s="15"/>
      <c r="N774" s="105"/>
    </row>
    <row r="775">
      <c r="I775" s="15"/>
      <c r="K775" s="14"/>
      <c r="L775" s="15"/>
      <c r="M775" s="15"/>
      <c r="N775" s="105"/>
    </row>
    <row r="776">
      <c r="I776" s="15"/>
      <c r="K776" s="14"/>
      <c r="L776" s="15"/>
      <c r="M776" s="15"/>
      <c r="N776" s="105"/>
    </row>
    <row r="777">
      <c r="I777" s="15"/>
      <c r="K777" s="14"/>
      <c r="L777" s="15"/>
      <c r="M777" s="15"/>
      <c r="N777" s="105"/>
    </row>
    <row r="778">
      <c r="I778" s="15"/>
      <c r="K778" s="14"/>
      <c r="L778" s="15"/>
      <c r="M778" s="15"/>
      <c r="N778" s="105"/>
    </row>
    <row r="779">
      <c r="I779" s="15"/>
      <c r="K779" s="14"/>
      <c r="L779" s="15"/>
      <c r="M779" s="15"/>
      <c r="N779" s="105"/>
    </row>
    <row r="780">
      <c r="I780" s="15"/>
      <c r="K780" s="14"/>
      <c r="L780" s="15"/>
      <c r="M780" s="15"/>
      <c r="N780" s="105"/>
    </row>
    <row r="781">
      <c r="I781" s="15"/>
      <c r="K781" s="14"/>
      <c r="L781" s="15"/>
      <c r="M781" s="15"/>
      <c r="N781" s="105"/>
    </row>
    <row r="782">
      <c r="I782" s="15"/>
      <c r="K782" s="14"/>
      <c r="L782" s="15"/>
      <c r="M782" s="15"/>
      <c r="N782" s="105"/>
    </row>
    <row r="783">
      <c r="I783" s="15"/>
      <c r="K783" s="14"/>
      <c r="L783" s="15"/>
      <c r="M783" s="15"/>
      <c r="N783" s="105"/>
    </row>
    <row r="784">
      <c r="I784" s="15"/>
      <c r="K784" s="14"/>
      <c r="L784" s="15"/>
      <c r="M784" s="15"/>
      <c r="N784" s="105"/>
    </row>
    <row r="785">
      <c r="I785" s="15"/>
      <c r="K785" s="14"/>
      <c r="L785" s="15"/>
      <c r="M785" s="15"/>
      <c r="N785" s="105"/>
    </row>
    <row r="786">
      <c r="I786" s="15"/>
      <c r="K786" s="14"/>
      <c r="L786" s="15"/>
      <c r="M786" s="15"/>
      <c r="N786" s="105"/>
    </row>
    <row r="787">
      <c r="I787" s="15"/>
      <c r="K787" s="14"/>
      <c r="L787" s="15"/>
      <c r="M787" s="15"/>
      <c r="N787" s="105"/>
    </row>
    <row r="788">
      <c r="I788" s="15"/>
      <c r="K788" s="14"/>
      <c r="L788" s="15"/>
      <c r="M788" s="15"/>
      <c r="N788" s="105"/>
    </row>
    <row r="789">
      <c r="I789" s="15"/>
      <c r="K789" s="14"/>
      <c r="L789" s="15"/>
      <c r="M789" s="15"/>
      <c r="N789" s="105"/>
    </row>
    <row r="790">
      <c r="I790" s="15"/>
      <c r="K790" s="14"/>
      <c r="L790" s="15"/>
      <c r="M790" s="15"/>
      <c r="N790" s="105"/>
    </row>
    <row r="791">
      <c r="I791" s="15"/>
      <c r="K791" s="14"/>
      <c r="L791" s="15"/>
      <c r="M791" s="15"/>
      <c r="N791" s="105"/>
    </row>
    <row r="792">
      <c r="I792" s="15"/>
      <c r="K792" s="14"/>
      <c r="L792" s="15"/>
      <c r="M792" s="15"/>
      <c r="N792" s="105"/>
    </row>
    <row r="793">
      <c r="I793" s="15"/>
      <c r="K793" s="14"/>
      <c r="L793" s="15"/>
      <c r="M793" s="15"/>
      <c r="N793" s="105"/>
    </row>
    <row r="794">
      <c r="I794" s="15"/>
      <c r="K794" s="14"/>
      <c r="L794" s="15"/>
      <c r="M794" s="15"/>
      <c r="N794" s="105"/>
    </row>
    <row r="795">
      <c r="I795" s="15"/>
      <c r="K795" s="14"/>
      <c r="L795" s="15"/>
      <c r="M795" s="15"/>
      <c r="N795" s="105"/>
    </row>
    <row r="796">
      <c r="I796" s="15"/>
      <c r="K796" s="14"/>
      <c r="L796" s="15"/>
      <c r="M796" s="15"/>
      <c r="N796" s="105"/>
    </row>
    <row r="797">
      <c r="I797" s="15"/>
      <c r="K797" s="14"/>
      <c r="L797" s="15"/>
      <c r="M797" s="15"/>
      <c r="N797" s="105"/>
    </row>
    <row r="798">
      <c r="I798" s="15"/>
      <c r="K798" s="14"/>
      <c r="L798" s="15"/>
      <c r="M798" s="15"/>
      <c r="N798" s="105"/>
    </row>
    <row r="799">
      <c r="I799" s="15"/>
      <c r="K799" s="14"/>
      <c r="L799" s="15"/>
      <c r="M799" s="15"/>
      <c r="N799" s="105"/>
    </row>
    <row r="800">
      <c r="I800" s="15"/>
      <c r="K800" s="14"/>
      <c r="L800" s="15"/>
      <c r="M800" s="15"/>
      <c r="N800" s="105"/>
    </row>
    <row r="801">
      <c r="I801" s="15"/>
      <c r="K801" s="14"/>
      <c r="L801" s="15"/>
      <c r="M801" s="15"/>
      <c r="N801" s="105"/>
    </row>
    <row r="802">
      <c r="I802" s="15"/>
      <c r="K802" s="14"/>
      <c r="L802" s="15"/>
      <c r="M802" s="15"/>
      <c r="N802" s="105"/>
    </row>
    <row r="803">
      <c r="I803" s="15"/>
      <c r="K803" s="14"/>
      <c r="L803" s="15"/>
      <c r="M803" s="15"/>
      <c r="N803" s="105"/>
    </row>
    <row r="804">
      <c r="I804" s="15"/>
      <c r="K804" s="14"/>
      <c r="L804" s="15"/>
      <c r="M804" s="15"/>
      <c r="N804" s="105"/>
    </row>
    <row r="805">
      <c r="I805" s="15"/>
      <c r="K805" s="14"/>
      <c r="L805" s="15"/>
      <c r="M805" s="15"/>
      <c r="N805" s="105"/>
    </row>
    <row r="806">
      <c r="I806" s="15"/>
      <c r="K806" s="14"/>
      <c r="L806" s="15"/>
      <c r="M806" s="15"/>
      <c r="N806" s="105"/>
    </row>
    <row r="807">
      <c r="I807" s="15"/>
      <c r="K807" s="14"/>
      <c r="L807" s="15"/>
      <c r="M807" s="15"/>
      <c r="N807" s="105"/>
    </row>
    <row r="808">
      <c r="I808" s="15"/>
      <c r="K808" s="14"/>
      <c r="L808" s="15"/>
      <c r="M808" s="15"/>
      <c r="N808" s="105"/>
    </row>
    <row r="809">
      <c r="I809" s="15"/>
      <c r="K809" s="14"/>
      <c r="L809" s="15"/>
      <c r="M809" s="15"/>
      <c r="N809" s="105"/>
    </row>
    <row r="810">
      <c r="I810" s="15"/>
      <c r="K810" s="14"/>
      <c r="L810" s="15"/>
      <c r="M810" s="15"/>
      <c r="N810" s="105"/>
    </row>
    <row r="811">
      <c r="I811" s="15"/>
      <c r="K811" s="14"/>
      <c r="L811" s="15"/>
      <c r="M811" s="15"/>
      <c r="N811" s="105"/>
    </row>
    <row r="812">
      <c r="I812" s="15"/>
      <c r="K812" s="14"/>
      <c r="L812" s="15"/>
      <c r="M812" s="15"/>
      <c r="N812" s="105"/>
    </row>
    <row r="813">
      <c r="I813" s="15"/>
      <c r="K813" s="14"/>
      <c r="L813" s="15"/>
      <c r="M813" s="15"/>
      <c r="N813" s="105"/>
    </row>
    <row r="814">
      <c r="I814" s="15"/>
      <c r="K814" s="14"/>
      <c r="L814" s="15"/>
      <c r="M814" s="15"/>
      <c r="N814" s="105"/>
    </row>
    <row r="815">
      <c r="I815" s="15"/>
      <c r="K815" s="14"/>
      <c r="L815" s="15"/>
      <c r="M815" s="15"/>
      <c r="N815" s="105"/>
    </row>
    <row r="816">
      <c r="I816" s="15"/>
      <c r="K816" s="14"/>
      <c r="L816" s="15"/>
      <c r="M816" s="15"/>
      <c r="N816" s="105"/>
    </row>
    <row r="817">
      <c r="I817" s="15"/>
      <c r="K817" s="14"/>
      <c r="L817" s="15"/>
      <c r="M817" s="15"/>
      <c r="N817" s="105"/>
    </row>
    <row r="818">
      <c r="I818" s="15"/>
      <c r="K818" s="14"/>
      <c r="L818" s="15"/>
      <c r="M818" s="15"/>
      <c r="N818" s="105"/>
    </row>
    <row r="819">
      <c r="I819" s="15"/>
      <c r="K819" s="14"/>
      <c r="L819" s="15"/>
      <c r="M819" s="15"/>
      <c r="N819" s="105"/>
    </row>
    <row r="820">
      <c r="I820" s="15"/>
      <c r="K820" s="14"/>
      <c r="L820" s="15"/>
      <c r="M820" s="15"/>
      <c r="N820" s="105"/>
    </row>
    <row r="821">
      <c r="I821" s="15"/>
      <c r="K821" s="14"/>
      <c r="L821" s="15"/>
      <c r="M821" s="15"/>
      <c r="N821" s="105"/>
    </row>
    <row r="822">
      <c r="I822" s="15"/>
      <c r="K822" s="14"/>
      <c r="L822" s="15"/>
      <c r="M822" s="15"/>
      <c r="N822" s="105"/>
    </row>
    <row r="823">
      <c r="I823" s="15"/>
      <c r="K823" s="14"/>
      <c r="L823" s="15"/>
      <c r="M823" s="15"/>
      <c r="N823" s="105"/>
    </row>
    <row r="824">
      <c r="I824" s="15"/>
      <c r="K824" s="14"/>
      <c r="L824" s="15"/>
      <c r="M824" s="15"/>
      <c r="N824" s="105"/>
    </row>
    <row r="825">
      <c r="I825" s="15"/>
      <c r="K825" s="14"/>
      <c r="L825" s="15"/>
      <c r="M825" s="15"/>
      <c r="N825" s="105"/>
    </row>
    <row r="826">
      <c r="I826" s="15"/>
      <c r="K826" s="14"/>
      <c r="L826" s="15"/>
      <c r="M826" s="15"/>
      <c r="N826" s="105"/>
    </row>
    <row r="827">
      <c r="I827" s="15"/>
      <c r="K827" s="14"/>
      <c r="L827" s="15"/>
      <c r="M827" s="15"/>
      <c r="N827" s="105"/>
    </row>
    <row r="828">
      <c r="I828" s="15"/>
      <c r="K828" s="14"/>
      <c r="L828" s="15"/>
      <c r="M828" s="15"/>
      <c r="N828" s="105"/>
    </row>
    <row r="829">
      <c r="I829" s="15"/>
      <c r="K829" s="14"/>
      <c r="L829" s="15"/>
      <c r="M829" s="15"/>
      <c r="N829" s="105"/>
    </row>
    <row r="830">
      <c r="I830" s="15"/>
      <c r="K830" s="14"/>
      <c r="L830" s="15"/>
      <c r="M830" s="15"/>
      <c r="N830" s="105"/>
    </row>
    <row r="831">
      <c r="I831" s="15"/>
      <c r="K831" s="14"/>
      <c r="L831" s="15"/>
      <c r="M831" s="15"/>
      <c r="N831" s="105"/>
    </row>
    <row r="832">
      <c r="I832" s="15"/>
      <c r="K832" s="14"/>
      <c r="L832" s="15"/>
      <c r="M832" s="15"/>
      <c r="N832" s="105"/>
    </row>
    <row r="833">
      <c r="I833" s="15"/>
      <c r="K833" s="14"/>
      <c r="L833" s="15"/>
      <c r="M833" s="15"/>
      <c r="N833" s="105"/>
    </row>
    <row r="834">
      <c r="I834" s="15"/>
      <c r="K834" s="14"/>
      <c r="L834" s="15"/>
      <c r="M834" s="15"/>
      <c r="N834" s="105"/>
    </row>
    <row r="835">
      <c r="I835" s="15"/>
      <c r="K835" s="14"/>
      <c r="L835" s="15"/>
      <c r="M835" s="15"/>
      <c r="N835" s="105"/>
    </row>
    <row r="836">
      <c r="I836" s="15"/>
      <c r="K836" s="14"/>
      <c r="L836" s="15"/>
      <c r="M836" s="15"/>
      <c r="N836" s="105"/>
    </row>
    <row r="837">
      <c r="I837" s="15"/>
      <c r="K837" s="14"/>
      <c r="L837" s="15"/>
      <c r="M837" s="15"/>
      <c r="N837" s="105"/>
    </row>
    <row r="838">
      <c r="I838" s="15"/>
      <c r="K838" s="14"/>
      <c r="L838" s="15"/>
      <c r="M838" s="15"/>
      <c r="N838" s="105"/>
    </row>
    <row r="839">
      <c r="I839" s="15"/>
      <c r="K839" s="14"/>
      <c r="L839" s="15"/>
      <c r="M839" s="15"/>
      <c r="N839" s="105"/>
    </row>
    <row r="840">
      <c r="I840" s="15"/>
      <c r="K840" s="14"/>
      <c r="L840" s="15"/>
      <c r="M840" s="15"/>
      <c r="N840" s="105"/>
    </row>
    <row r="841">
      <c r="I841" s="15"/>
      <c r="K841" s="14"/>
      <c r="L841" s="15"/>
      <c r="M841" s="15"/>
      <c r="N841" s="105"/>
    </row>
    <row r="842">
      <c r="I842" s="15"/>
      <c r="K842" s="14"/>
      <c r="L842" s="15"/>
      <c r="M842" s="15"/>
      <c r="N842" s="105"/>
    </row>
    <row r="843">
      <c r="I843" s="15"/>
      <c r="K843" s="14"/>
      <c r="L843" s="15"/>
      <c r="M843" s="15"/>
      <c r="N843" s="105"/>
    </row>
    <row r="844">
      <c r="I844" s="15"/>
      <c r="K844" s="14"/>
      <c r="L844" s="15"/>
      <c r="M844" s="15"/>
      <c r="N844" s="105"/>
    </row>
    <row r="845">
      <c r="I845" s="15"/>
      <c r="K845" s="14"/>
      <c r="L845" s="15"/>
      <c r="M845" s="15"/>
      <c r="N845" s="105"/>
    </row>
    <row r="846">
      <c r="I846" s="15"/>
      <c r="K846" s="14"/>
      <c r="L846" s="15"/>
      <c r="M846" s="15"/>
      <c r="N846" s="105"/>
    </row>
    <row r="847">
      <c r="I847" s="15"/>
      <c r="K847" s="14"/>
      <c r="L847" s="15"/>
      <c r="M847" s="15"/>
      <c r="N847" s="105"/>
    </row>
    <row r="848">
      <c r="I848" s="15"/>
      <c r="K848" s="14"/>
      <c r="L848" s="15"/>
      <c r="M848" s="15"/>
      <c r="N848" s="105"/>
    </row>
    <row r="849">
      <c r="I849" s="15"/>
      <c r="K849" s="14"/>
      <c r="L849" s="15"/>
      <c r="M849" s="15"/>
      <c r="N849" s="105"/>
    </row>
    <row r="850">
      <c r="I850" s="15"/>
      <c r="K850" s="14"/>
      <c r="L850" s="15"/>
      <c r="M850" s="15"/>
      <c r="N850" s="105"/>
    </row>
    <row r="851">
      <c r="I851" s="15"/>
      <c r="K851" s="14"/>
      <c r="L851" s="15"/>
      <c r="M851" s="15"/>
      <c r="N851" s="105"/>
    </row>
    <row r="852">
      <c r="I852" s="15"/>
      <c r="K852" s="14"/>
      <c r="L852" s="15"/>
      <c r="M852" s="15"/>
      <c r="N852" s="105"/>
    </row>
    <row r="853">
      <c r="I853" s="15"/>
      <c r="K853" s="14"/>
      <c r="L853" s="15"/>
      <c r="M853" s="15"/>
      <c r="N853" s="105"/>
    </row>
    <row r="854">
      <c r="I854" s="15"/>
      <c r="K854" s="14"/>
      <c r="L854" s="15"/>
      <c r="M854" s="15"/>
      <c r="N854" s="105"/>
    </row>
    <row r="855">
      <c r="I855" s="15"/>
      <c r="K855" s="14"/>
      <c r="L855" s="15"/>
      <c r="M855" s="15"/>
      <c r="N855" s="105"/>
    </row>
    <row r="856">
      <c r="I856" s="15"/>
      <c r="K856" s="14"/>
      <c r="L856" s="15"/>
      <c r="M856" s="15"/>
      <c r="N856" s="105"/>
    </row>
    <row r="857">
      <c r="I857" s="15"/>
      <c r="K857" s="14"/>
      <c r="L857" s="15"/>
      <c r="M857" s="15"/>
      <c r="N857" s="105"/>
    </row>
    <row r="858">
      <c r="I858" s="15"/>
      <c r="K858" s="14"/>
      <c r="L858" s="15"/>
      <c r="M858" s="15"/>
      <c r="N858" s="105"/>
    </row>
    <row r="859">
      <c r="I859" s="15"/>
      <c r="K859" s="14"/>
      <c r="L859" s="15"/>
      <c r="M859" s="15"/>
      <c r="N859" s="105"/>
    </row>
    <row r="860">
      <c r="I860" s="15"/>
      <c r="K860" s="14"/>
      <c r="L860" s="15"/>
      <c r="M860" s="15"/>
      <c r="N860" s="105"/>
    </row>
    <row r="861">
      <c r="I861" s="15"/>
      <c r="K861" s="14"/>
      <c r="L861" s="15"/>
      <c r="M861" s="15"/>
      <c r="N861" s="105"/>
    </row>
    <row r="862">
      <c r="I862" s="15"/>
      <c r="K862" s="14"/>
      <c r="L862" s="15"/>
      <c r="M862" s="15"/>
      <c r="N862" s="105"/>
    </row>
    <row r="863">
      <c r="I863" s="15"/>
      <c r="K863" s="14"/>
      <c r="L863" s="15"/>
      <c r="M863" s="15"/>
      <c r="N863" s="105"/>
    </row>
    <row r="864">
      <c r="I864" s="15"/>
      <c r="K864" s="14"/>
      <c r="L864" s="15"/>
      <c r="M864" s="15"/>
      <c r="N864" s="105"/>
    </row>
    <row r="865">
      <c r="I865" s="15"/>
      <c r="K865" s="14"/>
      <c r="L865" s="15"/>
      <c r="M865" s="15"/>
      <c r="N865" s="105"/>
    </row>
    <row r="866">
      <c r="I866" s="15"/>
      <c r="K866" s="14"/>
      <c r="L866" s="15"/>
      <c r="M866" s="15"/>
      <c r="N866" s="105"/>
    </row>
    <row r="867">
      <c r="I867" s="15"/>
      <c r="K867" s="14"/>
      <c r="L867" s="15"/>
      <c r="M867" s="15"/>
      <c r="N867" s="105"/>
    </row>
    <row r="868">
      <c r="I868" s="15"/>
      <c r="K868" s="14"/>
      <c r="L868" s="15"/>
      <c r="M868" s="15"/>
      <c r="N868" s="105"/>
    </row>
    <row r="869">
      <c r="I869" s="15"/>
      <c r="K869" s="14"/>
      <c r="L869" s="15"/>
      <c r="M869" s="15"/>
      <c r="N869" s="105"/>
    </row>
    <row r="870">
      <c r="I870" s="15"/>
      <c r="K870" s="14"/>
      <c r="L870" s="15"/>
      <c r="M870" s="15"/>
      <c r="N870" s="105"/>
    </row>
    <row r="871">
      <c r="I871" s="15"/>
      <c r="K871" s="14"/>
      <c r="L871" s="15"/>
      <c r="M871" s="15"/>
      <c r="N871" s="105"/>
    </row>
    <row r="872">
      <c r="I872" s="15"/>
      <c r="K872" s="14"/>
      <c r="L872" s="15"/>
      <c r="M872" s="15"/>
      <c r="N872" s="105"/>
    </row>
    <row r="873">
      <c r="I873" s="15"/>
      <c r="K873" s="14"/>
      <c r="L873" s="15"/>
      <c r="M873" s="15"/>
      <c r="N873" s="105"/>
    </row>
    <row r="874">
      <c r="I874" s="15"/>
      <c r="K874" s="14"/>
      <c r="L874" s="15"/>
      <c r="M874" s="15"/>
      <c r="N874" s="105"/>
    </row>
    <row r="875">
      <c r="I875" s="15"/>
      <c r="K875" s="14"/>
      <c r="L875" s="15"/>
      <c r="M875" s="15"/>
      <c r="N875" s="105"/>
    </row>
    <row r="876">
      <c r="I876" s="15"/>
      <c r="K876" s="14"/>
      <c r="L876" s="15"/>
      <c r="M876" s="15"/>
      <c r="N876" s="105"/>
    </row>
    <row r="877">
      <c r="I877" s="15"/>
      <c r="K877" s="14"/>
      <c r="L877" s="15"/>
      <c r="M877" s="15"/>
      <c r="N877" s="105"/>
    </row>
    <row r="878">
      <c r="I878" s="15"/>
      <c r="K878" s="14"/>
      <c r="L878" s="15"/>
      <c r="M878" s="15"/>
      <c r="N878" s="105"/>
    </row>
    <row r="879">
      <c r="I879" s="15"/>
      <c r="K879" s="14"/>
      <c r="L879" s="15"/>
      <c r="M879" s="15"/>
      <c r="N879" s="105"/>
    </row>
    <row r="880">
      <c r="I880" s="15"/>
      <c r="K880" s="14"/>
      <c r="L880" s="15"/>
      <c r="M880" s="15"/>
      <c r="N880" s="105"/>
    </row>
    <row r="881">
      <c r="I881" s="15"/>
      <c r="K881" s="14"/>
      <c r="L881" s="15"/>
      <c r="M881" s="15"/>
      <c r="N881" s="105"/>
    </row>
    <row r="882">
      <c r="I882" s="15"/>
      <c r="K882" s="14"/>
      <c r="L882" s="15"/>
      <c r="M882" s="15"/>
      <c r="N882" s="105"/>
    </row>
    <row r="883">
      <c r="I883" s="15"/>
      <c r="K883" s="14"/>
      <c r="L883" s="15"/>
      <c r="M883" s="15"/>
      <c r="N883" s="105"/>
    </row>
    <row r="884">
      <c r="I884" s="15"/>
      <c r="K884" s="14"/>
      <c r="L884" s="15"/>
      <c r="M884" s="15"/>
      <c r="N884" s="105"/>
    </row>
    <row r="885">
      <c r="I885" s="15"/>
      <c r="K885" s="14"/>
      <c r="L885" s="15"/>
      <c r="M885" s="15"/>
      <c r="N885" s="105"/>
    </row>
    <row r="886">
      <c r="I886" s="15"/>
      <c r="K886" s="14"/>
      <c r="L886" s="15"/>
      <c r="M886" s="15"/>
      <c r="N886" s="105"/>
    </row>
    <row r="887">
      <c r="I887" s="15"/>
      <c r="K887" s="14"/>
      <c r="L887" s="15"/>
      <c r="M887" s="15"/>
      <c r="N887" s="105"/>
    </row>
    <row r="888">
      <c r="I888" s="15"/>
      <c r="K888" s="14"/>
      <c r="L888" s="15"/>
      <c r="M888" s="15"/>
      <c r="N888" s="105"/>
    </row>
  </sheetData>
  <conditionalFormatting sqref="G2:G17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:J17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:K1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:L17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:M888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:N888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5" width="3.75"/>
  </cols>
  <sheetData>
    <row r="1">
      <c r="A1" s="91" t="s">
        <v>1291</v>
      </c>
      <c r="B1" s="31">
        <v>1.0</v>
      </c>
      <c r="C1" s="31">
        <f t="shared" ref="C1:T1" si="1">B1+1</f>
        <v>2</v>
      </c>
      <c r="D1" s="31">
        <f t="shared" si="1"/>
        <v>3</v>
      </c>
      <c r="E1" s="31">
        <f t="shared" si="1"/>
        <v>4</v>
      </c>
      <c r="F1" s="31">
        <f t="shared" si="1"/>
        <v>5</v>
      </c>
      <c r="G1" s="31">
        <f t="shared" si="1"/>
        <v>6</v>
      </c>
      <c r="H1" s="31">
        <f t="shared" si="1"/>
        <v>7</v>
      </c>
      <c r="I1" s="31">
        <f t="shared" si="1"/>
        <v>8</v>
      </c>
      <c r="J1" s="31">
        <f t="shared" si="1"/>
        <v>9</v>
      </c>
      <c r="K1" s="31">
        <f t="shared" si="1"/>
        <v>10</v>
      </c>
      <c r="L1" s="31">
        <f t="shared" si="1"/>
        <v>11</v>
      </c>
      <c r="M1" s="31">
        <f t="shared" si="1"/>
        <v>12</v>
      </c>
      <c r="N1" s="31">
        <f t="shared" si="1"/>
        <v>13</v>
      </c>
      <c r="O1" s="31">
        <f t="shared" si="1"/>
        <v>14</v>
      </c>
      <c r="P1" s="31">
        <f t="shared" si="1"/>
        <v>15</v>
      </c>
      <c r="Q1" s="31">
        <f t="shared" si="1"/>
        <v>16</v>
      </c>
      <c r="R1" s="31">
        <f t="shared" si="1"/>
        <v>17</v>
      </c>
      <c r="S1" s="31">
        <f t="shared" si="1"/>
        <v>18</v>
      </c>
      <c r="T1" s="31">
        <f t="shared" si="1"/>
        <v>19</v>
      </c>
      <c r="U1" s="31">
        <v>20.0</v>
      </c>
      <c r="V1" s="31">
        <v>21.0</v>
      </c>
      <c r="W1" s="31">
        <v>22.0</v>
      </c>
      <c r="X1" s="31">
        <v>23.0</v>
      </c>
      <c r="Y1" s="31">
        <v>24.0</v>
      </c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</row>
    <row r="2">
      <c r="A2" s="34" t="s">
        <v>1306</v>
      </c>
      <c r="B2" s="31"/>
      <c r="C2" s="31"/>
      <c r="D2" s="31"/>
      <c r="E2" s="31"/>
      <c r="F2" s="31">
        <v>255.52968417781452</v>
      </c>
      <c r="G2" s="31">
        <v>227.355914675487</v>
      </c>
      <c r="H2" s="31">
        <v>253.6351561335436</v>
      </c>
      <c r="I2" s="31">
        <v>241.37590416685723</v>
      </c>
      <c r="J2" s="31">
        <v>241.37590416685723</v>
      </c>
      <c r="K2" s="31">
        <v>137.29432131139208</v>
      </c>
      <c r="L2" s="31">
        <v>137.29432131139208</v>
      </c>
      <c r="M2" s="31">
        <v>98.20485083324886</v>
      </c>
      <c r="N2" s="31">
        <v>119.1026200736359</v>
      </c>
      <c r="O2" s="31">
        <v>119.1026200736359</v>
      </c>
      <c r="P2" s="31">
        <v>119.1026200736359</v>
      </c>
      <c r="Q2" s="31">
        <v>95.54171086872418</v>
      </c>
      <c r="R2" s="31"/>
      <c r="S2" s="31"/>
      <c r="T2" s="31"/>
      <c r="U2" s="31"/>
      <c r="V2" s="31"/>
      <c r="W2" s="31"/>
      <c r="X2" s="31"/>
      <c r="Y2" s="31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>
      <c r="A3" s="34" t="s">
        <v>1311</v>
      </c>
      <c r="B3" s="31"/>
      <c r="C3" s="112"/>
      <c r="D3" s="31"/>
      <c r="E3" s="31"/>
      <c r="F3" s="31">
        <v>455.3215528480761</v>
      </c>
      <c r="G3" s="31">
        <v>534.4869221684728</v>
      </c>
      <c r="H3" s="31">
        <v>495.93680590404966</v>
      </c>
      <c r="I3" s="31">
        <v>511.2635279017686</v>
      </c>
      <c r="J3" s="31">
        <v>511.2635279017686</v>
      </c>
      <c r="K3" s="31">
        <v>530.8117700635395</v>
      </c>
      <c r="L3" s="31">
        <v>530.8117700635395</v>
      </c>
      <c r="M3" s="31">
        <v>517.6789531120012</v>
      </c>
      <c r="N3" s="31">
        <v>531.2870704029864</v>
      </c>
      <c r="O3" s="31">
        <v>531.2870704029864</v>
      </c>
      <c r="P3" s="31">
        <v>531.2870704029864</v>
      </c>
      <c r="Q3" s="31">
        <v>542.7820437073527</v>
      </c>
      <c r="R3" s="31"/>
      <c r="S3" s="31"/>
      <c r="T3" s="31"/>
      <c r="U3" s="31"/>
      <c r="V3" s="31"/>
      <c r="W3" s="31"/>
      <c r="X3" s="31"/>
      <c r="Y3" s="31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</row>
    <row r="4">
      <c r="A4" s="34" t="s">
        <v>1324</v>
      </c>
      <c r="B4" s="31"/>
      <c r="C4" s="31"/>
      <c r="D4" s="31"/>
      <c r="E4" s="31"/>
      <c r="F4" s="31">
        <v>413.73249016546606</v>
      </c>
      <c r="G4" s="31">
        <v>466.02068493142826</v>
      </c>
      <c r="H4" s="31">
        <v>462.37889439346276</v>
      </c>
      <c r="I4" s="31">
        <v>456.71681614739555</v>
      </c>
      <c r="J4" s="31">
        <v>456.71681614739555</v>
      </c>
      <c r="K4" s="31">
        <v>406.63171239386287</v>
      </c>
      <c r="L4" s="31">
        <v>406.63171239386287</v>
      </c>
      <c r="M4" s="31">
        <v>389.9045305954195</v>
      </c>
      <c r="N4" s="31">
        <v>407.8638154669285</v>
      </c>
      <c r="O4" s="31">
        <v>407.8638154669285</v>
      </c>
      <c r="P4" s="31">
        <v>407.8638154669285</v>
      </c>
      <c r="Q4" s="31">
        <v>378.9751561169693</v>
      </c>
      <c r="R4" s="31"/>
      <c r="S4" s="31"/>
      <c r="T4" s="31"/>
      <c r="U4" s="31"/>
      <c r="V4" s="31"/>
      <c r="W4" s="31"/>
      <c r="X4" s="31"/>
      <c r="Y4" s="31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34" t="s">
        <v>1326</v>
      </c>
      <c r="B5" s="31"/>
      <c r="C5" s="31"/>
      <c r="D5" s="31"/>
      <c r="E5" s="31"/>
      <c r="F5" s="31">
        <v>758.8235294117646</v>
      </c>
      <c r="G5" s="31">
        <v>753.9720894127992</v>
      </c>
      <c r="H5" s="31">
        <v>665.0193483276412</v>
      </c>
      <c r="I5" s="31">
        <v>669.6781419358684</v>
      </c>
      <c r="J5" s="31">
        <v>669.6781419358684</v>
      </c>
      <c r="K5" s="31">
        <v>667.4597337520245</v>
      </c>
      <c r="L5" s="31">
        <v>667.4597337520245</v>
      </c>
      <c r="M5" s="31">
        <v>643.099923914829</v>
      </c>
      <c r="N5" s="31">
        <v>657.1148515968673</v>
      </c>
      <c r="O5" s="31">
        <v>657.1148515968673</v>
      </c>
      <c r="P5" s="31">
        <v>657.1148515968673</v>
      </c>
      <c r="Q5" s="31">
        <v>725.179860687411</v>
      </c>
      <c r="R5" s="31"/>
      <c r="S5" s="31"/>
      <c r="T5" s="31"/>
      <c r="U5" s="31"/>
      <c r="V5" s="31"/>
      <c r="W5" s="31"/>
      <c r="X5" s="31"/>
      <c r="Y5" s="31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>
      <c r="A6" s="34" t="s">
        <v>1335</v>
      </c>
      <c r="B6" s="31"/>
      <c r="C6" s="31"/>
      <c r="D6" s="31"/>
      <c r="E6" s="31"/>
      <c r="F6" s="31">
        <v>412.84564039380643</v>
      </c>
      <c r="G6" s="31">
        <v>456.73205347427546</v>
      </c>
      <c r="H6" s="31">
        <v>459.963346445424</v>
      </c>
      <c r="I6" s="31">
        <v>491.5152161529922</v>
      </c>
      <c r="J6" s="31">
        <v>491.5152161529922</v>
      </c>
      <c r="K6" s="31">
        <v>511.8135253715893</v>
      </c>
      <c r="L6" s="31">
        <v>511.8135253715893</v>
      </c>
      <c r="M6" s="31">
        <v>455.6921061532097</v>
      </c>
      <c r="N6" s="31">
        <v>457.47000466965255</v>
      </c>
      <c r="O6" s="31">
        <v>457.47000466965255</v>
      </c>
      <c r="P6" s="31">
        <v>457.47000466965255</v>
      </c>
      <c r="Q6" s="31">
        <v>422.9027991977489</v>
      </c>
      <c r="R6" s="31"/>
      <c r="S6" s="31"/>
      <c r="T6" s="31"/>
      <c r="U6" s="31"/>
      <c r="V6" s="31"/>
      <c r="W6" s="31"/>
      <c r="X6" s="31"/>
      <c r="Y6" s="31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>
      <c r="A7" s="34" t="s">
        <v>1338</v>
      </c>
      <c r="B7" s="31"/>
      <c r="C7" s="31"/>
      <c r="D7" s="31"/>
      <c r="E7" s="31"/>
      <c r="F7" s="31">
        <v>154.20248619392314</v>
      </c>
      <c r="G7" s="31">
        <v>135.4475294108917</v>
      </c>
      <c r="H7" s="31">
        <v>126.64772105039368</v>
      </c>
      <c r="I7" s="31">
        <v>127.86691561857305</v>
      </c>
      <c r="J7" s="31">
        <v>127.86691561857305</v>
      </c>
      <c r="K7" s="31">
        <v>139.57306406935479</v>
      </c>
      <c r="L7" s="31">
        <v>139.57306406935479</v>
      </c>
      <c r="M7" s="31">
        <v>141.69058584702006</v>
      </c>
      <c r="N7" s="31">
        <v>143.26659298926205</v>
      </c>
      <c r="O7" s="31">
        <v>143.26659298926205</v>
      </c>
      <c r="P7" s="31">
        <v>143.26659298926205</v>
      </c>
      <c r="Q7" s="31">
        <v>175.92947958648355</v>
      </c>
      <c r="R7" s="31"/>
      <c r="S7" s="31"/>
      <c r="T7" s="31"/>
      <c r="U7" s="31"/>
      <c r="V7" s="31"/>
      <c r="W7" s="31"/>
      <c r="X7" s="31"/>
      <c r="Y7" s="31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>
      <c r="A8" s="34" t="s">
        <v>1341</v>
      </c>
      <c r="B8" s="31"/>
      <c r="C8" s="31"/>
      <c r="D8" s="31"/>
      <c r="E8" s="31"/>
      <c r="F8" s="31">
        <v>187.19589738466374</v>
      </c>
      <c r="G8" s="31">
        <v>179.1523400716594</v>
      </c>
      <c r="H8" s="31">
        <v>235.47877510005625</v>
      </c>
      <c r="I8" s="31">
        <v>232.34634391006338</v>
      </c>
      <c r="J8" s="31">
        <v>232.34634391006338</v>
      </c>
      <c r="K8" s="31">
        <v>174.65978420115226</v>
      </c>
      <c r="L8" s="31">
        <v>174.65978420115226</v>
      </c>
      <c r="M8" s="31">
        <v>138.64688855182035</v>
      </c>
      <c r="N8" s="31">
        <v>131.64494439406857</v>
      </c>
      <c r="O8" s="31">
        <v>131.64494439406857</v>
      </c>
      <c r="P8" s="31">
        <v>131.64494439406857</v>
      </c>
      <c r="Q8" s="31">
        <v>141.70176175361672</v>
      </c>
      <c r="R8" s="31"/>
      <c r="S8" s="31"/>
      <c r="T8" s="31"/>
      <c r="U8" s="31"/>
      <c r="V8" s="31"/>
      <c r="W8" s="31"/>
      <c r="X8" s="31"/>
      <c r="Y8" s="31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>
      <c r="A9" s="34" t="s">
        <v>1343</v>
      </c>
      <c r="B9" s="31"/>
      <c r="C9" s="31"/>
      <c r="D9" s="31"/>
      <c r="E9" s="31"/>
      <c r="F9" s="31">
        <v>298.9461284926361</v>
      </c>
      <c r="G9" s="31">
        <v>327.2234370361105</v>
      </c>
      <c r="H9" s="31">
        <v>298.6010455933464</v>
      </c>
      <c r="I9" s="31">
        <v>265.52835407773733</v>
      </c>
      <c r="J9" s="31">
        <v>265.52835407773733</v>
      </c>
      <c r="K9" s="31">
        <v>236.2915940587279</v>
      </c>
      <c r="L9" s="31">
        <v>236.2915940587279</v>
      </c>
      <c r="M9" s="31">
        <v>215.73566182827057</v>
      </c>
      <c r="N9" s="31">
        <v>228.30192872171503</v>
      </c>
      <c r="O9" s="31">
        <v>228.30192872171503</v>
      </c>
      <c r="P9" s="31">
        <v>228.30192872171503</v>
      </c>
      <c r="Q9" s="31">
        <v>158.31009905086444</v>
      </c>
      <c r="R9" s="31"/>
      <c r="S9" s="31"/>
      <c r="T9" s="31"/>
      <c r="U9" s="31"/>
      <c r="V9" s="31"/>
      <c r="W9" s="31"/>
      <c r="X9" s="31"/>
      <c r="Y9" s="31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>
      <c r="A10" s="17" t="s">
        <v>1308</v>
      </c>
      <c r="B10" s="31"/>
      <c r="C10" s="31"/>
      <c r="D10" s="31"/>
      <c r="E10" s="31"/>
      <c r="F10" s="31">
        <v>438.10661218600796</v>
      </c>
      <c r="G10" s="31">
        <v>452.1576311659645</v>
      </c>
      <c r="H10" s="31">
        <v>429.35620603557413</v>
      </c>
      <c r="I10" s="31">
        <v>468.7821161964207</v>
      </c>
      <c r="J10" s="31">
        <v>468.7821161964207</v>
      </c>
      <c r="K10" s="31">
        <v>436.86407838875743</v>
      </c>
      <c r="L10" s="31">
        <v>436.86407838875743</v>
      </c>
      <c r="M10" s="31">
        <v>404.2182611052946</v>
      </c>
      <c r="N10" s="31">
        <v>408.4236303803154</v>
      </c>
      <c r="O10" s="31">
        <v>408.4236303803154</v>
      </c>
      <c r="P10" s="31">
        <v>408.4236303803154</v>
      </c>
      <c r="Q10" s="31">
        <v>470.36448993127283</v>
      </c>
      <c r="R10" s="31"/>
      <c r="S10" s="31"/>
      <c r="T10" s="31"/>
      <c r="U10" s="31"/>
      <c r="V10" s="31"/>
      <c r="W10" s="31"/>
      <c r="X10" s="31"/>
      <c r="Y10" s="31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>
      <c r="A11" s="17" t="s">
        <v>1312</v>
      </c>
      <c r="B11" s="31"/>
      <c r="C11" s="31"/>
      <c r="D11" s="31"/>
      <c r="E11" s="31"/>
      <c r="F11" s="31">
        <v>451.184833644966</v>
      </c>
      <c r="G11" s="31">
        <v>463.176254930372</v>
      </c>
      <c r="H11" s="31">
        <v>465.35519766586157</v>
      </c>
      <c r="I11" s="31">
        <v>487.2684000960856</v>
      </c>
      <c r="J11" s="31">
        <v>487.2684000960856</v>
      </c>
      <c r="K11" s="31">
        <v>393.35407562757706</v>
      </c>
      <c r="L11" s="31">
        <v>393.35407562757706</v>
      </c>
      <c r="M11" s="31">
        <v>332.0688344500292</v>
      </c>
      <c r="N11" s="31">
        <v>325.04209784559896</v>
      </c>
      <c r="O11" s="31">
        <v>325.04209784559896</v>
      </c>
      <c r="P11" s="31">
        <v>325.04209784559896</v>
      </c>
      <c r="Q11" s="31">
        <v>277.0076409463326</v>
      </c>
      <c r="R11" s="31"/>
      <c r="S11" s="31"/>
      <c r="T11" s="31"/>
      <c r="U11" s="31"/>
      <c r="V11" s="31"/>
      <c r="W11" s="31"/>
      <c r="X11" s="31"/>
      <c r="Y11" s="31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>
      <c r="A12" s="17" t="s">
        <v>1327</v>
      </c>
      <c r="B12" s="31"/>
      <c r="C12" s="31"/>
      <c r="D12" s="31"/>
      <c r="E12" s="31"/>
      <c r="F12" s="31">
        <v>434.10260784089576</v>
      </c>
      <c r="G12" s="31">
        <v>453.4172351695097</v>
      </c>
      <c r="H12" s="31">
        <v>472.86735127204196</v>
      </c>
      <c r="I12" s="31">
        <v>479.86500375865234</v>
      </c>
      <c r="J12" s="31">
        <v>479.86500375865234</v>
      </c>
      <c r="K12" s="31">
        <v>425.2770036300103</v>
      </c>
      <c r="L12" s="31">
        <v>425.2770036300103</v>
      </c>
      <c r="M12" s="31">
        <v>434.70130592036736</v>
      </c>
      <c r="N12" s="31">
        <v>439.71161485994816</v>
      </c>
      <c r="O12" s="31">
        <v>439.71161485994816</v>
      </c>
      <c r="P12" s="31">
        <v>439.71161485994816</v>
      </c>
      <c r="Q12" s="31">
        <v>407.27460862221596</v>
      </c>
      <c r="R12" s="31"/>
      <c r="S12" s="31"/>
      <c r="T12" s="31"/>
      <c r="U12" s="31"/>
      <c r="V12" s="31"/>
      <c r="W12" s="31"/>
      <c r="X12" s="31"/>
      <c r="Y12" s="31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>
      <c r="A13" s="17" t="s">
        <v>1325</v>
      </c>
      <c r="B13" s="31"/>
      <c r="C13" s="31"/>
      <c r="D13" s="31"/>
      <c r="E13" s="31"/>
      <c r="F13" s="31">
        <v>399.57041804627124</v>
      </c>
      <c r="G13" s="31">
        <v>445.8023291638513</v>
      </c>
      <c r="H13" s="31">
        <v>449.5812837501399</v>
      </c>
      <c r="I13" s="31">
        <v>453.8658163897864</v>
      </c>
      <c r="J13" s="31">
        <v>453.8658163897864</v>
      </c>
      <c r="K13" s="31">
        <v>339.341159154376</v>
      </c>
      <c r="L13" s="31">
        <v>339.341159154376</v>
      </c>
      <c r="M13" s="31">
        <v>287.9060277890097</v>
      </c>
      <c r="N13" s="31">
        <v>324.67648589942615</v>
      </c>
      <c r="O13" s="31">
        <v>324.67648589942615</v>
      </c>
      <c r="P13" s="31">
        <v>324.67648589942615</v>
      </c>
      <c r="Q13" s="31">
        <v>226.25042769367926</v>
      </c>
      <c r="R13" s="31"/>
      <c r="S13" s="31"/>
      <c r="T13" s="31"/>
      <c r="U13" s="31"/>
      <c r="V13" s="31"/>
      <c r="W13" s="31"/>
      <c r="X13" s="31"/>
      <c r="Y13" s="31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>
      <c r="A14" s="17" t="s">
        <v>1336</v>
      </c>
      <c r="B14" s="31"/>
      <c r="C14" s="31"/>
      <c r="D14" s="31"/>
      <c r="E14" s="31"/>
      <c r="F14" s="31">
        <v>317.86677283221655</v>
      </c>
      <c r="G14" s="31">
        <v>315.1496964053516</v>
      </c>
      <c r="H14" s="31">
        <v>289.7769292273682</v>
      </c>
      <c r="I14" s="31">
        <v>359.593405747699</v>
      </c>
      <c r="J14" s="31">
        <v>359.593405747699</v>
      </c>
      <c r="K14" s="31">
        <v>270.94740342953764</v>
      </c>
      <c r="L14" s="31">
        <v>270.94740342953764</v>
      </c>
      <c r="M14" s="31">
        <v>236.8969667955716</v>
      </c>
      <c r="N14" s="31">
        <v>252.47036808626913</v>
      </c>
      <c r="O14" s="31">
        <v>252.47036808626913</v>
      </c>
      <c r="P14" s="31">
        <v>252.47036808626913</v>
      </c>
      <c r="Q14" s="31">
        <v>224.66842939626613</v>
      </c>
      <c r="R14" s="31"/>
      <c r="S14" s="31"/>
      <c r="T14" s="31"/>
      <c r="U14" s="31"/>
      <c r="V14" s="31"/>
      <c r="W14" s="31"/>
      <c r="X14" s="31"/>
      <c r="Y14" s="31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>
      <c r="A15" s="17" t="s">
        <v>1339</v>
      </c>
      <c r="B15" s="31"/>
      <c r="C15" s="31"/>
      <c r="D15" s="31"/>
      <c r="E15" s="31"/>
      <c r="F15" s="31">
        <v>638.6343350247986</v>
      </c>
      <c r="G15" s="31">
        <v>663.632753992835</v>
      </c>
      <c r="H15" s="31">
        <v>720.8333333333333</v>
      </c>
      <c r="I15" s="31">
        <v>734.8944429945346</v>
      </c>
      <c r="J15" s="31">
        <v>734.8944429945346</v>
      </c>
      <c r="K15" s="31">
        <v>709.7735228024908</v>
      </c>
      <c r="L15" s="31">
        <v>709.7735228024908</v>
      </c>
      <c r="M15" s="31">
        <v>711.5430157577475</v>
      </c>
      <c r="N15" s="31">
        <v>702.7586890154557</v>
      </c>
      <c r="O15" s="31">
        <v>702.7586890154557</v>
      </c>
      <c r="P15" s="31">
        <v>702.7586890154557</v>
      </c>
      <c r="Q15" s="31">
        <v>675.767112941271</v>
      </c>
      <c r="R15" s="31"/>
      <c r="S15" s="31"/>
      <c r="T15" s="31"/>
      <c r="U15" s="31"/>
      <c r="V15" s="31"/>
      <c r="W15" s="31"/>
      <c r="X15" s="31"/>
      <c r="Y15" s="31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>
      <c r="A16" s="17" t="s">
        <v>1342</v>
      </c>
      <c r="B16" s="31"/>
      <c r="C16" s="31"/>
      <c r="D16" s="31"/>
      <c r="E16" s="31"/>
      <c r="F16" s="31">
        <v>433.66066339519483</v>
      </c>
      <c r="G16" s="31">
        <v>467.1657037262458</v>
      </c>
      <c r="H16" s="31">
        <v>365.1535195516463</v>
      </c>
      <c r="I16" s="31">
        <v>351.84840620296274</v>
      </c>
      <c r="J16" s="31">
        <v>351.84840620296274</v>
      </c>
      <c r="K16" s="31">
        <v>342.5495340036645</v>
      </c>
      <c r="L16" s="31">
        <v>342.5495340036645</v>
      </c>
      <c r="M16" s="31">
        <v>323.26714867185166</v>
      </c>
      <c r="N16" s="31">
        <v>334.08920294244353</v>
      </c>
      <c r="O16" s="31">
        <v>334.08920294244353</v>
      </c>
      <c r="P16" s="31">
        <v>334.08920294244353</v>
      </c>
      <c r="Q16" s="31">
        <v>244.60930233888524</v>
      </c>
      <c r="R16" s="31"/>
      <c r="S16" s="31"/>
      <c r="T16" s="31"/>
      <c r="U16" s="31"/>
      <c r="V16" s="31"/>
      <c r="W16" s="31"/>
      <c r="X16" s="31"/>
      <c r="Y16" s="31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17" t="s">
        <v>1344</v>
      </c>
      <c r="B17" s="31"/>
      <c r="C17" s="31"/>
      <c r="D17" s="31"/>
      <c r="E17" s="31"/>
      <c r="F17" s="31">
        <v>271.1312090453208</v>
      </c>
      <c r="G17" s="31">
        <v>271.99187243431015</v>
      </c>
      <c r="H17" s="31">
        <v>286.8377905855057</v>
      </c>
      <c r="I17" s="31">
        <v>276.09562902797006</v>
      </c>
      <c r="J17" s="31">
        <v>276.09562902797006</v>
      </c>
      <c r="K17" s="31">
        <v>232.9596469763109</v>
      </c>
      <c r="L17" s="31">
        <v>232.9596469763109</v>
      </c>
      <c r="M17" s="31">
        <v>217.989486493969</v>
      </c>
      <c r="N17" s="31">
        <v>223.1517658339898</v>
      </c>
      <c r="O17" s="31">
        <v>223.1517658339898</v>
      </c>
      <c r="P17" s="31">
        <v>223.1517658339898</v>
      </c>
      <c r="Q17" s="31">
        <v>195.01685898253402</v>
      </c>
      <c r="R17" s="31"/>
      <c r="S17" s="31"/>
      <c r="T17" s="31"/>
      <c r="U17" s="31"/>
      <c r="V17" s="31"/>
      <c r="W17" s="31"/>
      <c r="X17" s="31"/>
      <c r="Y17" s="31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.25"/>
    <col customWidth="1" min="3" max="3" width="3.0"/>
    <col customWidth="1" min="4" max="4" width="2.0"/>
    <col customWidth="1" min="5" max="5" width="10.75"/>
    <col customWidth="1" min="6" max="6" width="5.88"/>
    <col customWidth="1" min="7" max="9" width="10.75"/>
    <col customWidth="1" min="10" max="10" width="10.0"/>
    <col customWidth="1" min="11" max="11" width="14.88"/>
    <col customWidth="1" min="12" max="12" width="14.38"/>
  </cols>
  <sheetData>
    <row r="1">
      <c r="A1" s="90" t="s">
        <v>1313</v>
      </c>
      <c r="B1" s="90" t="s">
        <v>4</v>
      </c>
      <c r="C1" s="90" t="s">
        <v>1314</v>
      </c>
      <c r="D1" s="90" t="s">
        <v>1315</v>
      </c>
      <c r="E1" s="90" t="s">
        <v>1316</v>
      </c>
      <c r="F1" s="90" t="s">
        <v>1317</v>
      </c>
      <c r="G1" s="91" t="s">
        <v>1318</v>
      </c>
      <c r="H1" s="90" t="s">
        <v>1319</v>
      </c>
      <c r="I1" s="92" t="s">
        <v>1320</v>
      </c>
      <c r="J1" s="93" t="s">
        <v>1321</v>
      </c>
      <c r="K1" s="91" t="s">
        <v>1322</v>
      </c>
      <c r="L1" s="90" t="s">
        <v>1323</v>
      </c>
    </row>
    <row r="2">
      <c r="A2" s="34" t="s">
        <v>1306</v>
      </c>
      <c r="B2" s="94">
        <f>COUNTIF(
IFERROR(
OFFSET(Teams!$A$1,MATCH($A2,Teams!$A:$A,0),2,11),
OFFSET(Teams!$K$1,MATCH($A2,Teams!$K:$K,0),2,11)
),CONCATENATE("*",B$1,"*")
)</f>
        <v>0</v>
      </c>
      <c r="C2" s="94">
        <f>COUNTIF(
IFERROR(
OFFSET(Teams!$A$1,MATCH($A2,Teams!$A:$A,0),2,11),
OFFSET(Teams!$K$1,MATCH($A2,Teams!$K:$K,0),2,11)
),CONCATENATE("*",C$1,"*")
)</f>
        <v>0</v>
      </c>
      <c r="D2" s="94">
        <f>COUNTIF(
IFERROR(
OFFSET(Teams!$A$1,MATCH($A2,Teams!$A:$A,0),2,11),
OFFSET(Teams!$K$1,MATCH($A2,Teams!$K:$K,0),2,11)
),CONCATENATE("*",D$1,"*")
)</f>
        <v>0</v>
      </c>
      <c r="E2" s="98" t="str">
        <f>IFERROR(__xludf.DUMMYFUNCTION("IFERROR(
IF(
INDEX(OFFSET(Teams!$A$1,MATCH($A2,Teams!$A:$A,0),6,13),13,0)&gt;0,
AVERAGE(FILTER(
OFFSET(Teams!$A$1,MATCH($A2,Teams!$A:$A,0),3,13),
NOT(OFFSET(Teams!$A$1,MATCH($A2,Teams!$A:$A,0),1,13)=INDEX(OFFSET(Teams!$A$1,MATCH($A2,Teams!$A:$A,0),1,13),12,0"&amp;")),
NOT(OFFSET(Teams!$A$1,MATCH($A2,Teams!$A:$A,0),6,13)=MIN(OFFSET(Teams!$A$1,MATCH($A2,Teams!$A:$A,0),6,11),INDEX(OFFSET(Teams!$A$1,MATCH($A2,Teams!$A:$A,0),3,13),13,0)))
)),
AVERAGE(OFFSET(Teams!$A$1,MATCH($A2,Teams!$A:$A,0),3,11))
),
IF(
INDEX(OFFSET("&amp;"Teams!$K$1,MATCH($A2,Teams!$K:$K,0),6,13),13,0)&gt;0,
AVERAGE(FILTER(
OFFSET(Teams!$K$1,MATCH($A2,Teams!$K:$K,0),3,13),
NOT(OFFSET(Teams!$K$1,MATCH($A2,Teams!$K:$K,0),1,13)=INDEX(OFFSET(Teams!$K$1,MATCH($A2,Teams!$K:$K,0),1,13),12,0)),
NOT(OFFSET(Teams!$K$1,"&amp;"MATCH($A2,Teams!$K:$K,0),6,13)=MIN(OFFSET(Teams!$K$1,MATCH($A2,Teams!$K:$K,0),6,11),INDEX(OFFSET(Teams!$K$1,MATCH($A2,Teams!$K:$K,0),3,13),13,0)))
)),
AVERAGE(OFFSET(Teams!$K$1,MATCH($A2,Teams!$K:$K,0),3,11))
)
)"),"#N/A")</f>
        <v>#N/A</v>
      </c>
      <c r="F2" s="96">
        <f t="array" ref="F2">SUM(1/COUNTIF(
IFERROR(
OFFSET(Teams!$A$1,MATCH($A2,Teams!$A:$A,0),4,11),
OFFSET(Teams!$K$1,MATCH($A2,Teams!$K:$K,0),4,11)
),
IFERROR(
OFFSET(Teams!$A$1,MATCH($A2,Teams!$A:$A,0),4,11),
OFFSET(Teams!$K$1,MATCH($A2,Teams!$K:$K,0),4,11)
)
))</f>
        <v>1</v>
      </c>
      <c r="G2" s="97" t="str">
        <f>IFERROR(__xludf.DUMMYFUNCTION("IFERROR(
IF(
INDEX(OFFSET(Teams!$A$1,MATCH($A2,Teams!$A:$A,0),6,13),13,0)&gt;0,
AVERAGE(FILTER(
OFFSET(Teams!$A$1,MATCH($A2,Teams!$A:$A,0),5,13),
NOT(OFFSET(Teams!$A$1,MATCH($A2,Teams!$A:$A,0),1,13)=INDEX(OFFSET(Teams!$A$1,MATCH($A2,Teams!$A:$A,0),1,13),12,0"&amp;")),
NOT(OFFSET(Teams!$A$1,MATCH($A2,Teams!$A:$A,0),6,13)=MIN(OFFSET(Teams!$A$1,MATCH($A2,Teams!$A:$A,0),6,11),INDEX(OFFSET(Teams!$A$1,MATCH($A2,Teams!$A:$A,0),3,13),13,0)))
)),
AVERAGE(OFFSET(Teams!$A$1,MATCH($A2,Teams!$A:$A,0),5,11))
),
IF(
INDEX(OFFSET("&amp;"Teams!$K$1,MATCH($A2,Teams!$K:$K,0),6,13),13,0)&gt;0,
AVERAGE(FILTER(
OFFSET(Teams!$K$1,MATCH($A2,Teams!$K:$K,0),5,13),
NOT(OFFSET(Teams!$K$1,MATCH($A2,Teams!$K:$K,0),1,13)=INDEX(OFFSET(Teams!$K$1,MATCH($A2,Teams!$K:$K,0),1,13),12,0)),
NOT(OFFSET(Teams!$K$1,"&amp;"MATCH($A2,Teams!$K:$K,0),6,13)=MIN(OFFSET(Teams!$K$1,MATCH($A2,Teams!$K:$K,0),6,11),INDEX(OFFSET(Teams!$K$1,MATCH($A2,Teams!$K:$K,0),3,13),13,0)))
)),
AVERAGE(OFFSET(Teams!$K$1,MATCH($A2,Teams!$K:$K,0),5,11))
)
)"),"#N/A")</f>
        <v>#N/A</v>
      </c>
      <c r="H2" s="98">
        <f>IFERROR(__xludf.DUMMYFUNCTION("IFERROR(
IF(
INDEX(OFFSET(Teams!$A$1,MATCH($A2,Teams!$A:$A,0),6,13),13,0)&gt;0,
AVERAGE(FILTER(
OFFSET(Teams!$A$1,MATCH($A2,Teams!$A:$A,0),6,13),
NOT(OFFSET(Teams!$A$1,MATCH($A2,Teams!$A:$A,0),1,13)=INDEX(OFFSET(Teams!$A$1,MATCH($A2,Teams!$A:$A,0),1,13),12,0"&amp;")),
NOT(OFFSET(Teams!$A$1,MATCH($A2,Teams!$A:$A,0),6,13)=MIN(OFFSET(Teams!$A$1,MATCH($A2,Teams!$A:$A,0),6,11),INDEX(OFFSET(Teams!$A$1,MATCH($A2,Teams!$A:$A,0),3,13),13,0)))
)),
AVERAGE(OFFSET(Teams!$A$1,MATCH($A2,Teams!$A:$A,0),6,11))
),
IF(
INDEX(OFFSET("&amp;"Teams!$K$1,MATCH($A2,Teams!$K:$K,0),6,13),13,0)&gt;0,
AVERAGE(FILTER(
OFFSET(Teams!$K$1,MATCH($A2,Teams!$K:$K,0),6,13),
NOT(OFFSET(Teams!$K$1,MATCH($A2,Teams!$K:$K,0),1,13)=INDEX(OFFSET(Teams!$K$1,MATCH($A2,Teams!$K:$K,0),1,13),12,0)),
NOT(OFFSET(Teams!$K$1,"&amp;"MATCH($A2,Teams!$K:$K,0),6,13)=MIN(OFFSET(Teams!$K$1,MATCH($A2,Teams!$K:$K,0),6,11),INDEX(OFFSET(Teams!$K$1,MATCH($A2,Teams!$K:$K,0),3,13),13,0)))
)),
AVERAGE(OFFSET(Teams!$K$1,MATCH($A2,Teams!$K:$K,0),6,11))
)
)"),0.0)</f>
        <v>0</v>
      </c>
      <c r="I2" s="99">
        <f>IFERROR(__xludf.DUMMYFUNCTION("IFERROR(
IF(
INDEX(OFFSET(Teams!$A$1,MATCH($A2,Teams!$A:$A,0),6,13),13,0)&gt;0,
AVERAGE(FILTER(
OFFSET(Teams!$A$1,MATCH($A2,Teams!$A:$A,0),7,13),
NOT(OFFSET(Teams!$A$1,MATCH($A2,Teams!$A:$A,0),1,13)=INDEX(OFFSET(Teams!$A$1,MATCH($A2,Teams!$A:$A,0),1,13),12,0"&amp;")),
NOT(OFFSET(Teams!$A$1,MATCH($A2,Teams!$A:$A,0),6,13)=MIN(OFFSET(Teams!$A$1,MATCH($A2,Teams!$A:$A,0),6,11),INDEX(OFFSET(Teams!$A$1,MATCH($A2,Teams!$A:$A,0),3,13),13,0)))
)),
AVERAGE(OFFSET(Teams!$A$1,MATCH($A2,Teams!$A:$A,0),7,11))
),
IF(
INDEX(OFFSET("&amp;"Teams!$K$1,MATCH($A2,Teams!$K:$K,0),6,13),13,0)&gt;0,
AVERAGE(FILTER(
OFFSET(Teams!$K$1,MATCH($A2,Teams!$K:$K,0),7,13),
NOT(OFFSET(Teams!$K$1,MATCH($A2,Teams!$K:$K,0),1,13)=INDEX(OFFSET(Teams!$K$1,MATCH($A2,Teams!$K:$K,0),1,13),12,0)),
NOT(OFFSET(Teams!$K$1,"&amp;"MATCH($A2,Teams!$K:$K,0),6,13)=MIN(OFFSET(Teams!$K$1,MATCH($A2,Teams!$K:$K,0),6,11),INDEX(OFFSET(Teams!$K$1,MATCH($A2,Teams!$K:$K,0),3,13),13,0)))
)),
AVERAGE(OFFSET(Teams!$K$1,MATCH($A2,Teams!$K:$K,0),7,11))
)
)"),0.0)</f>
        <v>0</v>
      </c>
      <c r="J2" s="97" t="str">
        <f t="shared" ref="J2:J17" si="1">(
(1-($E2-MIN($E$2:$E$17))/(MAX($E$2:$E$17)-MIN($E$2:$E$17)))*1.25+
($G2-MIN($G$2:$G$17))/(MAX($G$2:$G$17)-MIN($G$2:$G$17))*2+
($H2-MIN($H$2:$H$17))/(MAX($H$2:$H$17)-MIN($H$2:$H$17))*3.75+
($I2-MIN($I$2:$I$17))/(MAX($I$2:$I$17)-MIN($I$2:$I$17))*1.25
)*100</f>
        <v>#N/A</v>
      </c>
      <c r="K2" s="31">
        <f>IFERROR(__xludf.DUMMYFUNCTION("(
AVERAGE(
FILTER(
IFERROR(
OFFSET(Teams!$A$1,MATCH($A2,Teams!$A:$A,0),8,13),
OFFSET(Teams!$K$1,MATCH($A2,Teams!$K:$K,0),8,13)
),
IFERROR(
OFFSET(Teams!$A$1,MATCH($A2,Teams!$A:$A,0),8,13),
OFFSET(Teams!$K$1,MATCH($A2,Teams!$K:$K,0),8,13)
)&lt;&gt;""#N/A"",
IFER"&amp;"ROR(
OFFSET(Teams!$A$1,MATCH($A2,Teams!$A:$A,0),8,13),
OFFSET(Teams!$K$1,MATCH($A2,Teams!$K:$K,0),8,13)
)&gt;=LARGE(
FILTER(
IFERROR(
OFFSET(Teams!$A$1,MATCH($A2,Teams!$A:$A,0),8,13),
OFFSET(Teams!$K$1,MATCH($A2,Teams!$K:$K,0),8,13)
),
IFERROR(
OFFSET(Teams!"&amp;"$A$1,MATCH($A2,Teams!$A:$A,0),8,13),
OFFSET(Teams!$K$1,MATCH($A2,Teams!$K:$K,0),8,13)
)&lt;&gt;""#N/A""),
5
)
)
)*3+
AVERAGE(
FILTER(
IFERROR(
OFFSET(Teams!$A$1,MATCH($A2,Teams!$A:$A,0),8,13),
OFFSET(Teams!$K$1,MATCH($A2,Teams!$K:$K,0),8,13)
),
IFERROR(
OFFSET("&amp;"Teams!$A$1,MATCH($A2,Teams!$A:$A,0),8,13),
OFFSET(Teams!$K$1,MATCH($A2,Teams!$K:$K,0),8,13)
)&lt;&gt;""#N/A"",
IFERROR(
OFFSET(Teams!$A$1,MATCH($A2,Teams!$A:$A,0),8,13),
OFFSET(Teams!$K$1,MATCH($A2,Teams!$K:$K,0),8,13)
)&gt;=LARGE(
FILTER(
IFERROR(
OFFSET(Teams!$A"&amp;"$1,MATCH($A2,Teams!$A:$A,0),8,13),
OFFSET(Teams!$K$1,MATCH($A2,Teams!$K:$K,0),8,13)
),
IFERROR(
OFFSET(Teams!$A$1,MATCH($A2,Teams!$A:$A,0),8,13),
OFFSET(Teams!$K$1,MATCH($A2,Teams!$K:$K,0),8,13)
)&lt;&gt;""#N/A""),
7)
)
)+
AVERAGE(
FILTER(
IFERROR(OFFSET(Teams!"&amp;"$A$1,MATCH($A2,Teams!$A:$A,0),8,13),
OFFSET(Teams!$K$1,MATCH($A2,Teams!$K:$K,0),8,13)
),
IFERROR(OFFSET(Teams!$A$1,MATCH($A2,Teams!$A:$A,0),8,13),
OFFSET(Teams!$K$1,MATCH($A2,Teams!$K:$K,0),8,13)
)&lt;&gt;""#N/A"",
IFERROR(
OFFSET(Teams!$A$1,MATCH($A2,Teams!$A:"&amp;"$A,0),8,13),
OFFSET(Teams!$K$1,MATCH($A2,Teams!$K:$K,0),8,13)
)&gt;=LARGE(
FILTER(
IFERROR(
OFFSET(Teams!$A$1,MATCH($A2,Teams!$A:$A,0),8,13),
OFFSET(Teams!$K$1,MATCH($A2,Teams!$K:$K,0),8,13)
),
IFERROR(
OFFSET(Teams!$A$1,MATCH($A2,Teams!$A:$A,0),8,13),
OFFSE"&amp;"T(Teams!$K$1,MATCH($A2,Teams!$K:$K,0),8,13)
)&lt;&gt;""#N/A""
),
11
)
)
)
)
/5"),0.0)</f>
        <v>0</v>
      </c>
      <c r="L2" s="100" t="str">
        <f t="shared" ref="L2:L17" si="2">RANK(K2,$K$2:$K$17)</f>
        <v>#N/A</v>
      </c>
      <c r="M2" s="101"/>
      <c r="N2" s="106">
        <f>OFFSET(Teams!$A$1,MATCH($A2,Teams!$A:$A,0),6,14)</f>
        <v>0</v>
      </c>
      <c r="O2" s="16">
        <f>IFERROR(__xludf.DUMMYFUNCTION("QUERY(OFFSET(Teams!$A$1,MATCH($A2,Teams!$A:$A,0),1,14,8), ""SELECT G ORDER BY G DESC LIMIT 12"")"),0.0)</f>
        <v>0</v>
      </c>
    </row>
    <row r="3">
      <c r="A3" s="34" t="s">
        <v>1311</v>
      </c>
      <c r="B3" s="94">
        <f>COUNTIF(
IFERROR(
OFFSET(Teams!$A$1,MATCH($A3,Teams!$A:$A,0),2,11),
OFFSET(Teams!$K$1,MATCH($A3,Teams!$K:$K,0),2,11)
),CONCATENATE("*",B$1,"*")
)</f>
        <v>0</v>
      </c>
      <c r="C3" s="94">
        <f>COUNTIF(
IFERROR(
OFFSET(Teams!$A$1,MATCH($A3,Teams!$A:$A,0),2,11),
OFFSET(Teams!$K$1,MATCH($A3,Teams!$K:$K,0),2,11)
),CONCATENATE("*",C$1,"*")
)</f>
        <v>0</v>
      </c>
      <c r="D3" s="94">
        <f>COUNTIF(
IFERROR(
OFFSET(Teams!$A$1,MATCH($A3,Teams!$A:$A,0),2,11),
OFFSET(Teams!$K$1,MATCH($A3,Teams!$K:$K,0),2,11)
),CONCATENATE("*",D$1,"*")
)</f>
        <v>0</v>
      </c>
      <c r="E3" s="98" t="str">
        <f>IFERROR(__xludf.DUMMYFUNCTION("IFERROR(
IF(
INDEX(OFFSET(Teams!$A$1,MATCH($A3,Teams!$A:$A,0),6,13),13,0)&gt;0,
AVERAGE(FILTER(
OFFSET(Teams!$A$1,MATCH($A3,Teams!$A:$A,0),3,13),
NOT(OFFSET(Teams!$A$1,MATCH($A3,Teams!$A:$A,0),1,13)=INDEX(OFFSET(Teams!$A$1,MATCH($A3,Teams!$A:$A,0),1,13),12,0"&amp;")),
NOT(OFFSET(Teams!$A$1,MATCH($A3,Teams!$A:$A,0),6,13)=MIN(OFFSET(Teams!$A$1,MATCH($A3,Teams!$A:$A,0),6,11),INDEX(OFFSET(Teams!$A$1,MATCH($A3,Teams!$A:$A,0),3,13),13,0)))
)),
AVERAGE(OFFSET(Teams!$A$1,MATCH($A3,Teams!$A:$A,0),3,11))
),
IF(
INDEX(OFFSET("&amp;"Teams!$K$1,MATCH($A3,Teams!$K:$K,0),6,13),13,0)&gt;0,
AVERAGE(FILTER(
OFFSET(Teams!$K$1,MATCH($A3,Teams!$K:$K,0),3,13),
NOT(OFFSET(Teams!$K$1,MATCH($A3,Teams!$K:$K,0),1,13)=INDEX(OFFSET(Teams!$K$1,MATCH($A3,Teams!$K:$K,0),1,13),12,0)),
NOT(OFFSET(Teams!$K$1,"&amp;"MATCH($A3,Teams!$K:$K,0),6,13)=MIN(OFFSET(Teams!$K$1,MATCH($A3,Teams!$K:$K,0),6,11),INDEX(OFFSET(Teams!$K$1,MATCH($A3,Teams!$K:$K,0),3,13),13,0)))
)),
AVERAGE(OFFSET(Teams!$K$1,MATCH($A3,Teams!$K:$K,0),3,11))
)
)"),"#N/A")</f>
        <v>#N/A</v>
      </c>
      <c r="F3" s="96">
        <f t="array" ref="F3">SUM(1/COUNTIF(
IFERROR(
OFFSET(Teams!$A$1,MATCH($A3,Teams!$A:$A,0),4,11),
OFFSET(Teams!$K$1,MATCH($A3,Teams!$K:$K,0),4,11)
),
IFERROR(
OFFSET(Teams!$A$1,MATCH($A3,Teams!$A:$A,0),4,11),
OFFSET(Teams!$K$1,MATCH($A3,Teams!$K:$K,0),4,11)
)
))</f>
        <v>1</v>
      </c>
      <c r="G3" s="97" t="str">
        <f>IFERROR(__xludf.DUMMYFUNCTION("IFERROR(
IF(
INDEX(OFFSET(Teams!$A$1,MATCH($A3,Teams!$A:$A,0),6,13),13,0)&gt;0,
AVERAGE(FILTER(
OFFSET(Teams!$A$1,MATCH($A3,Teams!$A:$A,0),5,13),
NOT(OFFSET(Teams!$A$1,MATCH($A3,Teams!$A:$A,0),1,13)=INDEX(OFFSET(Teams!$A$1,MATCH($A3,Teams!$A:$A,0),1,13),12,0"&amp;")),
NOT(OFFSET(Teams!$A$1,MATCH($A3,Teams!$A:$A,0),6,13)=MIN(OFFSET(Teams!$A$1,MATCH($A3,Teams!$A:$A,0),6,11),INDEX(OFFSET(Teams!$A$1,MATCH($A3,Teams!$A:$A,0),3,13),13,0)))
)),
AVERAGE(OFFSET(Teams!$A$1,MATCH($A3,Teams!$A:$A,0),5,11))
),
IF(
INDEX(OFFSET("&amp;"Teams!$K$1,MATCH($A3,Teams!$K:$K,0),6,13),13,0)&gt;0,
AVERAGE(FILTER(
OFFSET(Teams!$K$1,MATCH($A3,Teams!$K:$K,0),5,13),
NOT(OFFSET(Teams!$K$1,MATCH($A3,Teams!$K:$K,0),1,13)=INDEX(OFFSET(Teams!$K$1,MATCH($A3,Teams!$K:$K,0),1,13),12,0)),
NOT(OFFSET(Teams!$K$1,"&amp;"MATCH($A3,Teams!$K:$K,0),6,13)=MIN(OFFSET(Teams!$K$1,MATCH($A3,Teams!$K:$K,0),6,11),INDEX(OFFSET(Teams!$K$1,MATCH($A3,Teams!$K:$K,0),3,13),13,0)))
)),
AVERAGE(OFFSET(Teams!$K$1,MATCH($A3,Teams!$K:$K,0),5,11))
)
)"),"#N/A")</f>
        <v>#N/A</v>
      </c>
      <c r="H3" s="98">
        <f>IFERROR(__xludf.DUMMYFUNCTION("IFERROR(
IF(
INDEX(OFFSET(Teams!$A$1,MATCH($A3,Teams!$A:$A,0),6,13),13,0)&gt;0,
AVERAGE(FILTER(
OFFSET(Teams!$A$1,MATCH($A3,Teams!$A:$A,0),6,13),
NOT(OFFSET(Teams!$A$1,MATCH($A3,Teams!$A:$A,0),1,13)=INDEX(OFFSET(Teams!$A$1,MATCH($A3,Teams!$A:$A,0),1,13),12,0"&amp;")),
NOT(OFFSET(Teams!$A$1,MATCH($A3,Teams!$A:$A,0),6,13)=MIN(OFFSET(Teams!$A$1,MATCH($A3,Teams!$A:$A,0),6,11),INDEX(OFFSET(Teams!$A$1,MATCH($A3,Teams!$A:$A,0),3,13),13,0)))
)),
AVERAGE(OFFSET(Teams!$A$1,MATCH($A3,Teams!$A:$A,0),6,11))
),
IF(
INDEX(OFFSET("&amp;"Teams!$K$1,MATCH($A3,Teams!$K:$K,0),6,13),13,0)&gt;0,
AVERAGE(FILTER(
OFFSET(Teams!$K$1,MATCH($A3,Teams!$K:$K,0),6,13),
NOT(OFFSET(Teams!$K$1,MATCH($A3,Teams!$K:$K,0),1,13)=INDEX(OFFSET(Teams!$K$1,MATCH($A3,Teams!$K:$K,0),1,13),12,0)),
NOT(OFFSET(Teams!$K$1,"&amp;"MATCH($A3,Teams!$K:$K,0),6,13)=MIN(OFFSET(Teams!$K$1,MATCH($A3,Teams!$K:$K,0),6,11),INDEX(OFFSET(Teams!$K$1,MATCH($A3,Teams!$K:$K,0),3,13),13,0)))
)),
AVERAGE(OFFSET(Teams!$K$1,MATCH($A3,Teams!$K:$K,0),6,11))
)
)"),0.0)</f>
        <v>0</v>
      </c>
      <c r="I3" s="99">
        <f>IFERROR(__xludf.DUMMYFUNCTION("IFERROR(
IF(
INDEX(OFFSET(Teams!$A$1,MATCH($A3,Teams!$A:$A,0),6,13),13,0)&gt;0,
AVERAGE(FILTER(
OFFSET(Teams!$A$1,MATCH($A3,Teams!$A:$A,0),7,13),
NOT(OFFSET(Teams!$A$1,MATCH($A3,Teams!$A:$A,0),1,13)=INDEX(OFFSET(Teams!$A$1,MATCH($A3,Teams!$A:$A,0),1,13),12,0"&amp;")),
NOT(OFFSET(Teams!$A$1,MATCH($A3,Teams!$A:$A,0),6,13)=MIN(OFFSET(Teams!$A$1,MATCH($A3,Teams!$A:$A,0),6,11),INDEX(OFFSET(Teams!$A$1,MATCH($A3,Teams!$A:$A,0),3,13),13,0)))
)),
AVERAGE(OFFSET(Teams!$A$1,MATCH($A3,Teams!$A:$A,0),7,11))
),
IF(
INDEX(OFFSET("&amp;"Teams!$K$1,MATCH($A3,Teams!$K:$K,0),6,13),13,0)&gt;0,
AVERAGE(FILTER(
OFFSET(Teams!$K$1,MATCH($A3,Teams!$K:$K,0),7,13),
NOT(OFFSET(Teams!$K$1,MATCH($A3,Teams!$K:$K,0),1,13)=INDEX(OFFSET(Teams!$K$1,MATCH($A3,Teams!$K:$K,0),1,13),12,0)),
NOT(OFFSET(Teams!$K$1,"&amp;"MATCH($A3,Teams!$K:$K,0),6,13)=MIN(OFFSET(Teams!$K$1,MATCH($A3,Teams!$K:$K,0),6,11),INDEX(OFFSET(Teams!$K$1,MATCH($A3,Teams!$K:$K,0),3,13),13,0)))
)),
AVERAGE(OFFSET(Teams!$K$1,MATCH($A3,Teams!$K:$K,0),7,11))
)
)"),0.0)</f>
        <v>0</v>
      </c>
      <c r="J3" s="97" t="str">
        <f t="shared" si="1"/>
        <v>#N/A</v>
      </c>
      <c r="K3" s="31">
        <f>IFERROR(__xludf.DUMMYFUNCTION("(
AVERAGE(
FILTER(
IFERROR(
OFFSET(Teams!$A$1,MATCH($A3,Teams!$A:$A,0),8,13),
OFFSET(Teams!$K$1,MATCH($A3,Teams!$K:$K,0),8,13)
),
IFERROR(
OFFSET(Teams!$A$1,MATCH($A3,Teams!$A:$A,0),8,13),
OFFSET(Teams!$K$1,MATCH($A3,Teams!$K:$K,0),8,13)
)&lt;&gt;""#N/A"",
IFER"&amp;"ROR(
OFFSET(Teams!$A$1,MATCH($A3,Teams!$A:$A,0),8,13),
OFFSET(Teams!$K$1,MATCH($A3,Teams!$K:$K,0),8,13)
)&gt;=LARGE(
FILTER(
IFERROR(
OFFSET(Teams!$A$1,MATCH($A3,Teams!$A:$A,0),8,13),
OFFSET(Teams!$K$1,MATCH($A3,Teams!$K:$K,0),8,13)
),
IFERROR(
OFFSET(Teams!"&amp;"$A$1,MATCH($A3,Teams!$A:$A,0),8,13),
OFFSET(Teams!$K$1,MATCH($A3,Teams!$K:$K,0),8,13)
)&lt;&gt;""#N/A""),
5
)
)
)*3+
AVERAGE(
FILTER(
IFERROR(
OFFSET(Teams!$A$1,MATCH($A3,Teams!$A:$A,0),8,13),
OFFSET(Teams!$K$1,MATCH($A3,Teams!$K:$K,0),8,13)
),
IFERROR(
OFFSET("&amp;"Teams!$A$1,MATCH($A3,Teams!$A:$A,0),8,13),
OFFSET(Teams!$K$1,MATCH($A3,Teams!$K:$K,0),8,13)
)&lt;&gt;""#N/A"",
IFERROR(
OFFSET(Teams!$A$1,MATCH($A3,Teams!$A:$A,0),8,13),
OFFSET(Teams!$K$1,MATCH($A3,Teams!$K:$K,0),8,13)
)&gt;=LARGE(
FILTER(
IFERROR(
OFFSET(Teams!$A"&amp;"$1,MATCH($A3,Teams!$A:$A,0),8,13),
OFFSET(Teams!$K$1,MATCH($A3,Teams!$K:$K,0),8,13)
),
IFERROR(
OFFSET(Teams!$A$1,MATCH($A3,Teams!$A:$A,0),8,13),
OFFSET(Teams!$K$1,MATCH($A3,Teams!$K:$K,0),8,13)
)&lt;&gt;""#N/A""),
7)
)
)+
AVERAGE(
FILTER(
IFERROR(OFFSET(Teams!"&amp;"$A$1,MATCH($A3,Teams!$A:$A,0),8,13),
OFFSET(Teams!$K$1,MATCH($A3,Teams!$K:$K,0),8,13)
),
IFERROR(OFFSET(Teams!$A$1,MATCH($A3,Teams!$A:$A,0),8,13),
OFFSET(Teams!$K$1,MATCH($A3,Teams!$K:$K,0),8,13)
)&lt;&gt;""#N/A"",
IFERROR(
OFFSET(Teams!$A$1,MATCH($A3,Teams!$A:"&amp;"$A,0),8,13),
OFFSET(Teams!$K$1,MATCH($A3,Teams!$K:$K,0),8,13)
)&gt;=LARGE(
FILTER(
IFERROR(
OFFSET(Teams!$A$1,MATCH($A3,Teams!$A:$A,0),8,13),
OFFSET(Teams!$K$1,MATCH($A3,Teams!$K:$K,0),8,13)
),
IFERROR(
OFFSET(Teams!$A$1,MATCH($A3,Teams!$A:$A,0),8,13),
OFFSE"&amp;"T(Teams!$K$1,MATCH($A3,Teams!$K:$K,0),8,13)
)&lt;&gt;""#N/A""
),
11
)
)
)
)
/5"),0.0)</f>
        <v>0</v>
      </c>
      <c r="L3" s="100" t="str">
        <f t="shared" si="2"/>
        <v>#N/A</v>
      </c>
      <c r="M3" s="101"/>
      <c r="N3" s="106">
        <v>0.0</v>
      </c>
      <c r="O3" s="9">
        <f>IFERROR(__xludf.DUMMYFUNCTION("""COMPUTED_VALUE"""),0.0)</f>
        <v>0</v>
      </c>
    </row>
    <row r="4">
      <c r="A4" s="34" t="s">
        <v>1324</v>
      </c>
      <c r="B4" s="94">
        <f>COUNTIF(
IFERROR(
OFFSET(Teams!$A$1,MATCH($A4,Teams!$A:$A,0),2,11),
OFFSET(Teams!$K$1,MATCH($A4,Teams!$K:$K,0),2,11)
),CONCATENATE("*",B$1,"*")
)</f>
        <v>0</v>
      </c>
      <c r="C4" s="94">
        <f>COUNTIF(
IFERROR(
OFFSET(Teams!$A$1,MATCH($A4,Teams!$A:$A,0),2,11),
OFFSET(Teams!$K$1,MATCH($A4,Teams!$K:$K,0),2,11)
),CONCATENATE("*",C$1,"*")
)</f>
        <v>0</v>
      </c>
      <c r="D4" s="94">
        <f>COUNTIF(
IFERROR(
OFFSET(Teams!$A$1,MATCH($A4,Teams!$A:$A,0),2,11),
OFFSET(Teams!$K$1,MATCH($A4,Teams!$K:$K,0),2,11)
),CONCATENATE("*",D$1,"*")
)</f>
        <v>0</v>
      </c>
      <c r="E4" s="98" t="str">
        <f>IFERROR(__xludf.DUMMYFUNCTION("IFERROR(
IF(
INDEX(OFFSET(Teams!$A$1,MATCH($A4,Teams!$A:$A,0),6,13),13,0)&gt;0,
AVERAGE(FILTER(
OFFSET(Teams!$A$1,MATCH($A4,Teams!$A:$A,0),3,13),
NOT(OFFSET(Teams!$A$1,MATCH($A4,Teams!$A:$A,0),1,13)=INDEX(OFFSET(Teams!$A$1,MATCH($A4,Teams!$A:$A,0),1,13),12,0"&amp;")),
NOT(OFFSET(Teams!$A$1,MATCH($A4,Teams!$A:$A,0),6,13)=MIN(OFFSET(Teams!$A$1,MATCH($A4,Teams!$A:$A,0),6,11),INDEX(OFFSET(Teams!$A$1,MATCH($A4,Teams!$A:$A,0),3,13),13,0)))
)),
AVERAGE(OFFSET(Teams!$A$1,MATCH($A4,Teams!$A:$A,0),3,11))
),
IF(
INDEX(OFFSET("&amp;"Teams!$K$1,MATCH($A4,Teams!$K:$K,0),6,13),13,0)&gt;0,
AVERAGE(FILTER(
OFFSET(Teams!$K$1,MATCH($A4,Teams!$K:$K,0),3,13),
NOT(OFFSET(Teams!$K$1,MATCH($A4,Teams!$K:$K,0),1,13)=INDEX(OFFSET(Teams!$K$1,MATCH($A4,Teams!$K:$K,0),1,13),12,0)),
NOT(OFFSET(Teams!$K$1,"&amp;"MATCH($A4,Teams!$K:$K,0),6,13)=MIN(OFFSET(Teams!$K$1,MATCH($A4,Teams!$K:$K,0),6,11),INDEX(OFFSET(Teams!$K$1,MATCH($A4,Teams!$K:$K,0),3,13),13,0)))
)),
AVERAGE(OFFSET(Teams!$K$1,MATCH($A4,Teams!$K:$K,0),3,11))
)
)"),"#N/A")</f>
        <v>#N/A</v>
      </c>
      <c r="F4" s="96">
        <f t="array" ref="F4">SUM(1/COUNTIF(
IFERROR(
OFFSET(Teams!$A$1,MATCH($A4,Teams!$A:$A,0),4,11),
OFFSET(Teams!$K$1,MATCH($A4,Teams!$K:$K,0),4,11)
),
IFERROR(
OFFSET(Teams!$A$1,MATCH($A4,Teams!$A:$A,0),4,11),
OFFSET(Teams!$K$1,MATCH($A4,Teams!$K:$K,0),4,11)
)
))</f>
        <v>1</v>
      </c>
      <c r="G4" s="97" t="str">
        <f>IFERROR(__xludf.DUMMYFUNCTION("IFERROR(
IF(
INDEX(OFFSET(Teams!$A$1,MATCH($A4,Teams!$A:$A,0),6,13),13,0)&gt;0,
AVERAGE(FILTER(
OFFSET(Teams!$A$1,MATCH($A4,Teams!$A:$A,0),5,13),
NOT(OFFSET(Teams!$A$1,MATCH($A4,Teams!$A:$A,0),1,13)=INDEX(OFFSET(Teams!$A$1,MATCH($A4,Teams!$A:$A,0),1,13),12,0"&amp;")),
NOT(OFFSET(Teams!$A$1,MATCH($A4,Teams!$A:$A,0),6,13)=MIN(OFFSET(Teams!$A$1,MATCH($A4,Teams!$A:$A,0),6,11),INDEX(OFFSET(Teams!$A$1,MATCH($A4,Teams!$A:$A,0),3,13),13,0)))
)),
AVERAGE(OFFSET(Teams!$A$1,MATCH($A4,Teams!$A:$A,0),5,11))
),
IF(
INDEX(OFFSET("&amp;"Teams!$K$1,MATCH($A4,Teams!$K:$K,0),6,13),13,0)&gt;0,
AVERAGE(FILTER(
OFFSET(Teams!$K$1,MATCH($A4,Teams!$K:$K,0),5,13),
NOT(OFFSET(Teams!$K$1,MATCH($A4,Teams!$K:$K,0),1,13)=INDEX(OFFSET(Teams!$K$1,MATCH($A4,Teams!$K:$K,0),1,13),12,0)),
NOT(OFFSET(Teams!$K$1,"&amp;"MATCH($A4,Teams!$K:$K,0),6,13)=MIN(OFFSET(Teams!$K$1,MATCH($A4,Teams!$K:$K,0),6,11),INDEX(OFFSET(Teams!$K$1,MATCH($A4,Teams!$K:$K,0),3,13),13,0)))
)),
AVERAGE(OFFSET(Teams!$K$1,MATCH($A4,Teams!$K:$K,0),5,11))
)
)"),"#N/A")</f>
        <v>#N/A</v>
      </c>
      <c r="H4" s="98">
        <f>IFERROR(__xludf.DUMMYFUNCTION("IFERROR(
IF(
INDEX(OFFSET(Teams!$A$1,MATCH($A4,Teams!$A:$A,0),6,13),13,0)&gt;0,
AVERAGE(FILTER(
OFFSET(Teams!$A$1,MATCH($A4,Teams!$A:$A,0),6,13),
NOT(OFFSET(Teams!$A$1,MATCH($A4,Teams!$A:$A,0),1,13)=INDEX(OFFSET(Teams!$A$1,MATCH($A4,Teams!$A:$A,0),1,13),12,0"&amp;")),
NOT(OFFSET(Teams!$A$1,MATCH($A4,Teams!$A:$A,0),6,13)=MIN(OFFSET(Teams!$A$1,MATCH($A4,Teams!$A:$A,0),6,11),INDEX(OFFSET(Teams!$A$1,MATCH($A4,Teams!$A:$A,0),3,13),13,0)))
)),
AVERAGE(OFFSET(Teams!$A$1,MATCH($A4,Teams!$A:$A,0),6,11))
),
IF(
INDEX(OFFSET("&amp;"Teams!$K$1,MATCH($A4,Teams!$K:$K,0),6,13),13,0)&gt;0,
AVERAGE(FILTER(
OFFSET(Teams!$K$1,MATCH($A4,Teams!$K:$K,0),6,13),
NOT(OFFSET(Teams!$K$1,MATCH($A4,Teams!$K:$K,0),1,13)=INDEX(OFFSET(Teams!$K$1,MATCH($A4,Teams!$K:$K,0),1,13),12,0)),
NOT(OFFSET(Teams!$K$1,"&amp;"MATCH($A4,Teams!$K:$K,0),6,13)=MIN(OFFSET(Teams!$K$1,MATCH($A4,Teams!$K:$K,0),6,11),INDEX(OFFSET(Teams!$K$1,MATCH($A4,Teams!$K:$K,0),3,13),13,0)))
)),
AVERAGE(OFFSET(Teams!$K$1,MATCH($A4,Teams!$K:$K,0),6,11))
)
)"),0.0)</f>
        <v>0</v>
      </c>
      <c r="I4" s="99">
        <f>IFERROR(__xludf.DUMMYFUNCTION("IFERROR(
IF(
INDEX(OFFSET(Teams!$A$1,MATCH($A4,Teams!$A:$A,0),6,13),13,0)&gt;0,
AVERAGE(FILTER(
OFFSET(Teams!$A$1,MATCH($A4,Teams!$A:$A,0),7,13),
NOT(OFFSET(Teams!$A$1,MATCH($A4,Teams!$A:$A,0),1,13)=INDEX(OFFSET(Teams!$A$1,MATCH($A4,Teams!$A:$A,0),1,13),12,0"&amp;")),
NOT(OFFSET(Teams!$A$1,MATCH($A4,Teams!$A:$A,0),6,13)=MIN(OFFSET(Teams!$A$1,MATCH($A4,Teams!$A:$A,0),6,11),INDEX(OFFSET(Teams!$A$1,MATCH($A4,Teams!$A:$A,0),3,13),13,0)))
)),
AVERAGE(OFFSET(Teams!$A$1,MATCH($A4,Teams!$A:$A,0),7,11))
),
IF(
INDEX(OFFSET("&amp;"Teams!$K$1,MATCH($A4,Teams!$K:$K,0),6,13),13,0)&gt;0,
AVERAGE(FILTER(
OFFSET(Teams!$K$1,MATCH($A4,Teams!$K:$K,0),7,13),
NOT(OFFSET(Teams!$K$1,MATCH($A4,Teams!$K:$K,0),1,13)=INDEX(OFFSET(Teams!$K$1,MATCH($A4,Teams!$K:$K,0),1,13),12,0)),
NOT(OFFSET(Teams!$K$1,"&amp;"MATCH($A4,Teams!$K:$K,0),6,13)=MIN(OFFSET(Teams!$K$1,MATCH($A4,Teams!$K:$K,0),6,11),INDEX(OFFSET(Teams!$K$1,MATCH($A4,Teams!$K:$K,0),3,13),13,0)))
)),
AVERAGE(OFFSET(Teams!$K$1,MATCH($A4,Teams!$K:$K,0),7,11))
)
)"),0.0)</f>
        <v>0</v>
      </c>
      <c r="J4" s="97" t="str">
        <f t="shared" si="1"/>
        <v>#N/A</v>
      </c>
      <c r="K4" s="31">
        <f>IFERROR(__xludf.DUMMYFUNCTION("(
AVERAGE(
FILTER(
IFERROR(
OFFSET(Teams!$A$1,MATCH($A4,Teams!$A:$A,0),8,13),
OFFSET(Teams!$K$1,MATCH($A4,Teams!$K:$K,0),8,13)
),
IFERROR(
OFFSET(Teams!$A$1,MATCH($A4,Teams!$A:$A,0),8,13),
OFFSET(Teams!$K$1,MATCH($A4,Teams!$K:$K,0),8,13)
)&lt;&gt;""#N/A"",
IFER"&amp;"ROR(
OFFSET(Teams!$A$1,MATCH($A4,Teams!$A:$A,0),8,13),
OFFSET(Teams!$K$1,MATCH($A4,Teams!$K:$K,0),8,13)
)&gt;=LARGE(
FILTER(
IFERROR(
OFFSET(Teams!$A$1,MATCH($A4,Teams!$A:$A,0),8,13),
OFFSET(Teams!$K$1,MATCH($A4,Teams!$K:$K,0),8,13)
),
IFERROR(
OFFSET(Teams!"&amp;"$A$1,MATCH($A4,Teams!$A:$A,0),8,13),
OFFSET(Teams!$K$1,MATCH($A4,Teams!$K:$K,0),8,13)
)&lt;&gt;""#N/A""),
5
)
)
)*3+
AVERAGE(
FILTER(
IFERROR(
OFFSET(Teams!$A$1,MATCH($A4,Teams!$A:$A,0),8,13),
OFFSET(Teams!$K$1,MATCH($A4,Teams!$K:$K,0),8,13)
),
IFERROR(
OFFSET("&amp;"Teams!$A$1,MATCH($A4,Teams!$A:$A,0),8,13),
OFFSET(Teams!$K$1,MATCH($A4,Teams!$K:$K,0),8,13)
)&lt;&gt;""#N/A"",
IFERROR(
OFFSET(Teams!$A$1,MATCH($A4,Teams!$A:$A,0),8,13),
OFFSET(Teams!$K$1,MATCH($A4,Teams!$K:$K,0),8,13)
)&gt;=LARGE(
FILTER(
IFERROR(
OFFSET(Teams!$A"&amp;"$1,MATCH($A4,Teams!$A:$A,0),8,13),
OFFSET(Teams!$K$1,MATCH($A4,Teams!$K:$K,0),8,13)
),
IFERROR(
OFFSET(Teams!$A$1,MATCH($A4,Teams!$A:$A,0),8,13),
OFFSET(Teams!$K$1,MATCH($A4,Teams!$K:$K,0),8,13)
)&lt;&gt;""#N/A""),
7)
)
)+
AVERAGE(
FILTER(
IFERROR(OFFSET(Teams!"&amp;"$A$1,MATCH($A4,Teams!$A:$A,0),8,13),
OFFSET(Teams!$K$1,MATCH($A4,Teams!$K:$K,0),8,13)
),
IFERROR(OFFSET(Teams!$A$1,MATCH($A4,Teams!$A:$A,0),8,13),
OFFSET(Teams!$K$1,MATCH($A4,Teams!$K:$K,0),8,13)
)&lt;&gt;""#N/A"",
IFERROR(
OFFSET(Teams!$A$1,MATCH($A4,Teams!$A:"&amp;"$A,0),8,13),
OFFSET(Teams!$K$1,MATCH($A4,Teams!$K:$K,0),8,13)
)&gt;=LARGE(
FILTER(
IFERROR(
OFFSET(Teams!$A$1,MATCH($A4,Teams!$A:$A,0),8,13),
OFFSET(Teams!$K$1,MATCH($A4,Teams!$K:$K,0),8,13)
),
IFERROR(
OFFSET(Teams!$A$1,MATCH($A4,Teams!$A:$A,0),8,13),
OFFSE"&amp;"T(Teams!$K$1,MATCH($A4,Teams!$K:$K,0),8,13)
)&lt;&gt;""#N/A""
),
11
)
)
)
)
/5"),0.0)</f>
        <v>0</v>
      </c>
      <c r="L4" s="100" t="str">
        <f t="shared" si="2"/>
        <v>#N/A</v>
      </c>
      <c r="M4" s="101"/>
      <c r="N4" s="106">
        <v>0.0</v>
      </c>
      <c r="O4" s="9">
        <f>IFERROR(__xludf.DUMMYFUNCTION("""COMPUTED_VALUE"""),0.0)</f>
        <v>0</v>
      </c>
    </row>
    <row r="5" ht="16.5" customHeight="1">
      <c r="A5" s="34" t="s">
        <v>1326</v>
      </c>
      <c r="B5" s="94">
        <f>COUNTIF(
IFERROR(
OFFSET(Teams!$A$1,MATCH($A5,Teams!$A:$A,0),2,11),
OFFSET(Teams!$K$1,MATCH($A5,Teams!$K:$K,0),2,11)
),CONCATENATE("*",B$1,"*")
)</f>
        <v>0</v>
      </c>
      <c r="C5" s="94">
        <f>COUNTIF(
IFERROR(
OFFSET(Teams!$A$1,MATCH($A5,Teams!$A:$A,0),2,11),
OFFSET(Teams!$K$1,MATCH($A5,Teams!$K:$K,0),2,11)
),CONCATENATE("*",C$1,"*")
)</f>
        <v>0</v>
      </c>
      <c r="D5" s="94">
        <f>COUNTIF(
IFERROR(
OFFSET(Teams!$A$1,MATCH($A5,Teams!$A:$A,0),2,11),
OFFSET(Teams!$K$1,MATCH($A5,Teams!$K:$K,0),2,11)
),CONCATENATE("*",D$1,"*")
)</f>
        <v>0</v>
      </c>
      <c r="E5" s="98" t="str">
        <f>IFERROR(__xludf.DUMMYFUNCTION("IFERROR(
IF(
INDEX(OFFSET(Teams!$A$1,MATCH($A5,Teams!$A:$A,0),6,13),13,0)&gt;0,
AVERAGE(FILTER(
OFFSET(Teams!$A$1,MATCH($A5,Teams!$A:$A,0),3,13),
NOT(OFFSET(Teams!$A$1,MATCH($A5,Teams!$A:$A,0),1,13)=INDEX(OFFSET(Teams!$A$1,MATCH($A5,Teams!$A:$A,0),1,13),12,0"&amp;")),
NOT(OFFSET(Teams!$A$1,MATCH($A5,Teams!$A:$A,0),6,13)=MIN(OFFSET(Teams!$A$1,MATCH($A5,Teams!$A:$A,0),6,11),INDEX(OFFSET(Teams!$A$1,MATCH($A5,Teams!$A:$A,0),3,13),13,0)))
)),
AVERAGE(OFFSET(Teams!$A$1,MATCH($A5,Teams!$A:$A,0),3,11))
),
IF(
INDEX(OFFSET("&amp;"Teams!$K$1,MATCH($A5,Teams!$K:$K,0),6,13),13,0)&gt;0,
AVERAGE(FILTER(
OFFSET(Teams!$K$1,MATCH($A5,Teams!$K:$K,0),3,13),
NOT(OFFSET(Teams!$K$1,MATCH($A5,Teams!$K:$K,0),1,13)=INDEX(OFFSET(Teams!$K$1,MATCH($A5,Teams!$K:$K,0),1,13),12,0)),
NOT(OFFSET(Teams!$K$1,"&amp;"MATCH($A5,Teams!$K:$K,0),6,13)=MIN(OFFSET(Teams!$K$1,MATCH($A5,Teams!$K:$K,0),6,11),INDEX(OFFSET(Teams!$K$1,MATCH($A5,Teams!$K:$K,0),3,13),13,0)))
)),
AVERAGE(OFFSET(Teams!$K$1,MATCH($A5,Teams!$K:$K,0),3,11))
)
)"),"#N/A")</f>
        <v>#N/A</v>
      </c>
      <c r="F5" s="96">
        <f t="array" ref="F5">SUM(1/COUNTIF(
IFERROR(
OFFSET(Teams!$A$1,MATCH($A5,Teams!$A:$A,0),4,11),
OFFSET(Teams!$K$1,MATCH($A5,Teams!$K:$K,0),4,11)
),
IFERROR(
OFFSET(Teams!$A$1,MATCH($A5,Teams!$A:$A,0),4,11),
OFFSET(Teams!$K$1,MATCH($A5,Teams!$K:$K,0),4,11)
)
))</f>
        <v>1</v>
      </c>
      <c r="G5" s="97" t="str">
        <f>IFERROR(__xludf.DUMMYFUNCTION("IFERROR(
IF(
INDEX(OFFSET(Teams!$A$1,MATCH($A5,Teams!$A:$A,0),6,13),13,0)&gt;0,
AVERAGE(FILTER(
OFFSET(Teams!$A$1,MATCH($A5,Teams!$A:$A,0),5,13),
NOT(OFFSET(Teams!$A$1,MATCH($A5,Teams!$A:$A,0),1,13)=INDEX(OFFSET(Teams!$A$1,MATCH($A5,Teams!$A:$A,0),1,13),12,0"&amp;")),
NOT(OFFSET(Teams!$A$1,MATCH($A5,Teams!$A:$A,0),6,13)=MIN(OFFSET(Teams!$A$1,MATCH($A5,Teams!$A:$A,0),6,11),INDEX(OFFSET(Teams!$A$1,MATCH($A5,Teams!$A:$A,0),3,13),13,0)))
)),
AVERAGE(OFFSET(Teams!$A$1,MATCH($A5,Teams!$A:$A,0),5,11))
),
IF(
INDEX(OFFSET("&amp;"Teams!$K$1,MATCH($A5,Teams!$K:$K,0),6,13),13,0)&gt;0,
AVERAGE(FILTER(
OFFSET(Teams!$K$1,MATCH($A5,Teams!$K:$K,0),5,13),
NOT(OFFSET(Teams!$K$1,MATCH($A5,Teams!$K:$K,0),1,13)=INDEX(OFFSET(Teams!$K$1,MATCH($A5,Teams!$K:$K,0),1,13),12,0)),
NOT(OFFSET(Teams!$K$1,"&amp;"MATCH($A5,Teams!$K:$K,0),6,13)=MIN(OFFSET(Teams!$K$1,MATCH($A5,Teams!$K:$K,0),6,11),INDEX(OFFSET(Teams!$K$1,MATCH($A5,Teams!$K:$K,0),3,13),13,0)))
)),
AVERAGE(OFFSET(Teams!$K$1,MATCH($A5,Teams!$K:$K,0),5,11))
)
)"),"#N/A")</f>
        <v>#N/A</v>
      </c>
      <c r="H5" s="98">
        <f>IFERROR(__xludf.DUMMYFUNCTION("IFERROR(
IF(
INDEX(OFFSET(Teams!$A$1,MATCH($A5,Teams!$A:$A,0),6,13),13,0)&gt;0,
AVERAGE(FILTER(
OFFSET(Teams!$A$1,MATCH($A5,Teams!$A:$A,0),6,13),
NOT(OFFSET(Teams!$A$1,MATCH($A5,Teams!$A:$A,0),1,13)=INDEX(OFFSET(Teams!$A$1,MATCH($A5,Teams!$A:$A,0),1,13),12,0"&amp;")),
NOT(OFFSET(Teams!$A$1,MATCH($A5,Teams!$A:$A,0),6,13)=MIN(OFFSET(Teams!$A$1,MATCH($A5,Teams!$A:$A,0),6,11),INDEX(OFFSET(Teams!$A$1,MATCH($A5,Teams!$A:$A,0),3,13),13,0)))
)),
AVERAGE(OFFSET(Teams!$A$1,MATCH($A5,Teams!$A:$A,0),6,11))
),
IF(
INDEX(OFFSET("&amp;"Teams!$K$1,MATCH($A5,Teams!$K:$K,0),6,13),13,0)&gt;0,
AVERAGE(FILTER(
OFFSET(Teams!$K$1,MATCH($A5,Teams!$K:$K,0),6,13),
NOT(OFFSET(Teams!$K$1,MATCH($A5,Teams!$K:$K,0),1,13)=INDEX(OFFSET(Teams!$K$1,MATCH($A5,Teams!$K:$K,0),1,13),12,0)),
NOT(OFFSET(Teams!$K$1,"&amp;"MATCH($A5,Teams!$K:$K,0),6,13)=MIN(OFFSET(Teams!$K$1,MATCH($A5,Teams!$K:$K,0),6,11),INDEX(OFFSET(Teams!$K$1,MATCH($A5,Teams!$K:$K,0),3,13),13,0)))
)),
AVERAGE(OFFSET(Teams!$K$1,MATCH($A5,Teams!$K:$K,0),6,11))
)
)"),0.0)</f>
        <v>0</v>
      </c>
      <c r="I5" s="99">
        <f>IFERROR(__xludf.DUMMYFUNCTION("IFERROR(
IF(
INDEX(OFFSET(Teams!$A$1,MATCH($A5,Teams!$A:$A,0),6,13),13,0)&gt;0,
AVERAGE(FILTER(
OFFSET(Teams!$A$1,MATCH($A5,Teams!$A:$A,0),7,13),
NOT(OFFSET(Teams!$A$1,MATCH($A5,Teams!$A:$A,0),1,13)=INDEX(OFFSET(Teams!$A$1,MATCH($A5,Teams!$A:$A,0),1,13),12,0"&amp;")),
NOT(OFFSET(Teams!$A$1,MATCH($A5,Teams!$A:$A,0),6,13)=MIN(OFFSET(Teams!$A$1,MATCH($A5,Teams!$A:$A,0),6,11),INDEX(OFFSET(Teams!$A$1,MATCH($A5,Teams!$A:$A,0),3,13),13,0)))
)),
AVERAGE(OFFSET(Teams!$A$1,MATCH($A5,Teams!$A:$A,0),7,11))
),
IF(
INDEX(OFFSET("&amp;"Teams!$K$1,MATCH($A5,Teams!$K:$K,0),6,13),13,0)&gt;0,
AVERAGE(FILTER(
OFFSET(Teams!$K$1,MATCH($A5,Teams!$K:$K,0),7,13),
NOT(OFFSET(Teams!$K$1,MATCH($A5,Teams!$K:$K,0),1,13)=INDEX(OFFSET(Teams!$K$1,MATCH($A5,Teams!$K:$K,0),1,13),12,0)),
NOT(OFFSET(Teams!$K$1,"&amp;"MATCH($A5,Teams!$K:$K,0),6,13)=MIN(OFFSET(Teams!$K$1,MATCH($A5,Teams!$K:$K,0),6,11),INDEX(OFFSET(Teams!$K$1,MATCH($A5,Teams!$K:$K,0),3,13),13,0)))
)),
AVERAGE(OFFSET(Teams!$K$1,MATCH($A5,Teams!$K:$K,0),7,11))
)
)"),0.0)</f>
        <v>0</v>
      </c>
      <c r="J5" s="97" t="str">
        <f t="shared" si="1"/>
        <v>#N/A</v>
      </c>
      <c r="K5" s="31">
        <f>IFERROR(__xludf.DUMMYFUNCTION("(
AVERAGE(
FILTER(
IFERROR(
OFFSET(Teams!$A$1,MATCH($A5,Teams!$A:$A,0),8,13),
OFFSET(Teams!$K$1,MATCH($A5,Teams!$K:$K,0),8,13)
),
IFERROR(
OFFSET(Teams!$A$1,MATCH($A5,Teams!$A:$A,0),8,13),
OFFSET(Teams!$K$1,MATCH($A5,Teams!$K:$K,0),8,13)
)&lt;&gt;""#N/A"",
IFER"&amp;"ROR(
OFFSET(Teams!$A$1,MATCH($A5,Teams!$A:$A,0),8,13),
OFFSET(Teams!$K$1,MATCH($A5,Teams!$K:$K,0),8,13)
)&gt;=LARGE(
FILTER(
IFERROR(
OFFSET(Teams!$A$1,MATCH($A5,Teams!$A:$A,0),8,13),
OFFSET(Teams!$K$1,MATCH($A5,Teams!$K:$K,0),8,13)
),
IFERROR(
OFFSET(Teams!"&amp;"$A$1,MATCH($A5,Teams!$A:$A,0),8,13),
OFFSET(Teams!$K$1,MATCH($A5,Teams!$K:$K,0),8,13)
)&lt;&gt;""#N/A""),
5
)
)
)*3+
AVERAGE(
FILTER(
IFERROR(
OFFSET(Teams!$A$1,MATCH($A5,Teams!$A:$A,0),8,13),
OFFSET(Teams!$K$1,MATCH($A5,Teams!$K:$K,0),8,13)
),
IFERROR(
OFFSET("&amp;"Teams!$A$1,MATCH($A5,Teams!$A:$A,0),8,13),
OFFSET(Teams!$K$1,MATCH($A5,Teams!$K:$K,0),8,13)
)&lt;&gt;""#N/A"",
IFERROR(
OFFSET(Teams!$A$1,MATCH($A5,Teams!$A:$A,0),8,13),
OFFSET(Teams!$K$1,MATCH($A5,Teams!$K:$K,0),8,13)
)&gt;=LARGE(
FILTER(
IFERROR(
OFFSET(Teams!$A"&amp;"$1,MATCH($A5,Teams!$A:$A,0),8,13),
OFFSET(Teams!$K$1,MATCH($A5,Teams!$K:$K,0),8,13)
),
IFERROR(
OFFSET(Teams!$A$1,MATCH($A5,Teams!$A:$A,0),8,13),
OFFSET(Teams!$K$1,MATCH($A5,Teams!$K:$K,0),8,13)
)&lt;&gt;""#N/A""),
7)
)
)+
AVERAGE(
FILTER(
IFERROR(OFFSET(Teams!"&amp;"$A$1,MATCH($A5,Teams!$A:$A,0),8,13),
OFFSET(Teams!$K$1,MATCH($A5,Teams!$K:$K,0),8,13)
),
IFERROR(OFFSET(Teams!$A$1,MATCH($A5,Teams!$A:$A,0),8,13),
OFFSET(Teams!$K$1,MATCH($A5,Teams!$K:$K,0),8,13)
)&lt;&gt;""#N/A"",
IFERROR(
OFFSET(Teams!$A$1,MATCH($A5,Teams!$A:"&amp;"$A,0),8,13),
OFFSET(Teams!$K$1,MATCH($A5,Teams!$K:$K,0),8,13)
)&gt;=LARGE(
FILTER(
IFERROR(
OFFSET(Teams!$A$1,MATCH($A5,Teams!$A:$A,0),8,13),
OFFSET(Teams!$K$1,MATCH($A5,Teams!$K:$K,0),8,13)
),
IFERROR(
OFFSET(Teams!$A$1,MATCH($A5,Teams!$A:$A,0),8,13),
OFFSE"&amp;"T(Teams!$K$1,MATCH($A5,Teams!$K:$K,0),8,13)
)&lt;&gt;""#N/A""
),
11
)
)
)
)
/5"),0.0)</f>
        <v>0</v>
      </c>
      <c r="L5" s="100" t="str">
        <f t="shared" si="2"/>
        <v>#N/A</v>
      </c>
      <c r="M5" s="101"/>
      <c r="N5" s="106">
        <v>0.0</v>
      </c>
      <c r="O5" s="9">
        <f>IFERROR(__xludf.DUMMYFUNCTION("""COMPUTED_VALUE"""),0.0)</f>
        <v>0</v>
      </c>
    </row>
    <row r="6">
      <c r="A6" s="34" t="s">
        <v>1335</v>
      </c>
      <c r="B6" s="94">
        <f>COUNTIF(
IFERROR(
OFFSET(Teams!$A$1,MATCH($A6,Teams!$A:$A,0),2,11),
OFFSET(Teams!$K$1,MATCH($A6,Teams!$K:$K,0),2,11)
),CONCATENATE("*",B$1,"*")
)</f>
        <v>0</v>
      </c>
      <c r="C6" s="94">
        <f>COUNTIF(
IFERROR(
OFFSET(Teams!$A$1,MATCH($A6,Teams!$A:$A,0),2,11),
OFFSET(Teams!$K$1,MATCH($A6,Teams!$K:$K,0),2,11)
),CONCATENATE("*",C$1,"*")
)</f>
        <v>0</v>
      </c>
      <c r="D6" s="94">
        <f>COUNTIF(
IFERROR(
OFFSET(Teams!$A$1,MATCH($A6,Teams!$A:$A,0),2,11),
OFFSET(Teams!$K$1,MATCH($A6,Teams!$K:$K,0),2,11)
),CONCATENATE("*",D$1,"*")
)</f>
        <v>0</v>
      </c>
      <c r="E6" s="98" t="str">
        <f>IFERROR(__xludf.DUMMYFUNCTION("IFERROR(
IF(
INDEX(OFFSET(Teams!$A$1,MATCH($A6,Teams!$A:$A,0),6,13),13,0)&gt;0,
AVERAGE(FILTER(
OFFSET(Teams!$A$1,MATCH($A6,Teams!$A:$A,0),3,13),
NOT(OFFSET(Teams!$A$1,MATCH($A6,Teams!$A:$A,0),1,13)=INDEX(OFFSET(Teams!$A$1,MATCH($A6,Teams!$A:$A,0),1,13),12,0"&amp;")),
NOT(OFFSET(Teams!$A$1,MATCH($A6,Teams!$A:$A,0),6,13)=MIN(OFFSET(Teams!$A$1,MATCH($A6,Teams!$A:$A,0),6,11),INDEX(OFFSET(Teams!$A$1,MATCH($A6,Teams!$A:$A,0),3,13),13,0)))
)),
AVERAGE(OFFSET(Teams!$A$1,MATCH($A6,Teams!$A:$A,0),3,11))
),
IF(
INDEX(OFFSET("&amp;"Teams!$K$1,MATCH($A6,Teams!$K:$K,0),6,13),13,0)&gt;0,
AVERAGE(FILTER(
OFFSET(Teams!$K$1,MATCH($A6,Teams!$K:$K,0),3,13),
NOT(OFFSET(Teams!$K$1,MATCH($A6,Teams!$K:$K,0),1,13)=INDEX(OFFSET(Teams!$K$1,MATCH($A6,Teams!$K:$K,0),1,13),12,0)),
NOT(OFFSET(Teams!$K$1,"&amp;"MATCH($A6,Teams!$K:$K,0),6,13)=MIN(OFFSET(Teams!$K$1,MATCH($A6,Teams!$K:$K,0),6,11),INDEX(OFFSET(Teams!$K$1,MATCH($A6,Teams!$K:$K,0),3,13),13,0)))
)),
AVERAGE(OFFSET(Teams!$K$1,MATCH($A6,Teams!$K:$K,0),3,11))
)
)"),"#N/A")</f>
        <v>#N/A</v>
      </c>
      <c r="F6" s="96">
        <f t="array" ref="F6">SUM(1/COUNTIF(
IFERROR(
OFFSET(Teams!$A$1,MATCH($A6,Teams!$A:$A,0),4,11),
OFFSET(Teams!$K$1,MATCH($A6,Teams!$K:$K,0),4,11)
),
IFERROR(
OFFSET(Teams!$A$1,MATCH($A6,Teams!$A:$A,0),4,11),
OFFSET(Teams!$K$1,MATCH($A6,Teams!$K:$K,0),4,11)
)
))</f>
        <v>1</v>
      </c>
      <c r="G6" s="97" t="str">
        <f>IFERROR(__xludf.DUMMYFUNCTION("IFERROR(
IF(
INDEX(OFFSET(Teams!$A$1,MATCH($A6,Teams!$A:$A,0),6,13),13,0)&gt;0,
AVERAGE(FILTER(
OFFSET(Teams!$A$1,MATCH($A6,Teams!$A:$A,0),5,13),
NOT(OFFSET(Teams!$A$1,MATCH($A6,Teams!$A:$A,0),1,13)=INDEX(OFFSET(Teams!$A$1,MATCH($A6,Teams!$A:$A,0),1,13),12,0"&amp;")),
NOT(OFFSET(Teams!$A$1,MATCH($A6,Teams!$A:$A,0),6,13)=MIN(OFFSET(Teams!$A$1,MATCH($A6,Teams!$A:$A,0),6,11),INDEX(OFFSET(Teams!$A$1,MATCH($A6,Teams!$A:$A,0),3,13),13,0)))
)),
AVERAGE(OFFSET(Teams!$A$1,MATCH($A6,Teams!$A:$A,0),5,11))
),
IF(
INDEX(OFFSET("&amp;"Teams!$K$1,MATCH($A6,Teams!$K:$K,0),6,13),13,0)&gt;0,
AVERAGE(FILTER(
OFFSET(Teams!$K$1,MATCH($A6,Teams!$K:$K,0),5,13),
NOT(OFFSET(Teams!$K$1,MATCH($A6,Teams!$K:$K,0),1,13)=INDEX(OFFSET(Teams!$K$1,MATCH($A6,Teams!$K:$K,0),1,13),12,0)),
NOT(OFFSET(Teams!$K$1,"&amp;"MATCH($A6,Teams!$K:$K,0),6,13)=MIN(OFFSET(Teams!$K$1,MATCH($A6,Teams!$K:$K,0),6,11),INDEX(OFFSET(Teams!$K$1,MATCH($A6,Teams!$K:$K,0),3,13),13,0)))
)),
AVERAGE(OFFSET(Teams!$K$1,MATCH($A6,Teams!$K:$K,0),5,11))
)
)"),"#N/A")</f>
        <v>#N/A</v>
      </c>
      <c r="H6" s="98">
        <f>IFERROR(__xludf.DUMMYFUNCTION("IFERROR(
IF(
INDEX(OFFSET(Teams!$A$1,MATCH($A6,Teams!$A:$A,0),6,13),13,0)&gt;0,
AVERAGE(FILTER(
OFFSET(Teams!$A$1,MATCH($A6,Teams!$A:$A,0),6,13),
NOT(OFFSET(Teams!$A$1,MATCH($A6,Teams!$A:$A,0),1,13)=INDEX(OFFSET(Teams!$A$1,MATCH($A6,Teams!$A:$A,0),1,13),12,0"&amp;")),
NOT(OFFSET(Teams!$A$1,MATCH($A6,Teams!$A:$A,0),6,13)=MIN(OFFSET(Teams!$A$1,MATCH($A6,Teams!$A:$A,0),6,11),INDEX(OFFSET(Teams!$A$1,MATCH($A6,Teams!$A:$A,0),3,13),13,0)))
)),
AVERAGE(OFFSET(Teams!$A$1,MATCH($A6,Teams!$A:$A,0),6,11))
),
IF(
INDEX(OFFSET("&amp;"Teams!$K$1,MATCH($A6,Teams!$K:$K,0),6,13),13,0)&gt;0,
AVERAGE(FILTER(
OFFSET(Teams!$K$1,MATCH($A6,Teams!$K:$K,0),6,13),
NOT(OFFSET(Teams!$K$1,MATCH($A6,Teams!$K:$K,0),1,13)=INDEX(OFFSET(Teams!$K$1,MATCH($A6,Teams!$K:$K,0),1,13),12,0)),
NOT(OFFSET(Teams!$K$1,"&amp;"MATCH($A6,Teams!$K:$K,0),6,13)=MIN(OFFSET(Teams!$K$1,MATCH($A6,Teams!$K:$K,0),6,11),INDEX(OFFSET(Teams!$K$1,MATCH($A6,Teams!$K:$K,0),3,13),13,0)))
)),
AVERAGE(OFFSET(Teams!$K$1,MATCH($A6,Teams!$K:$K,0),6,11))
)
)"),0.0)</f>
        <v>0</v>
      </c>
      <c r="I6" s="99">
        <f>IFERROR(__xludf.DUMMYFUNCTION("IFERROR(
IF(
INDEX(OFFSET(Teams!$A$1,MATCH($A6,Teams!$A:$A,0),6,13),13,0)&gt;0,
AVERAGE(FILTER(
OFFSET(Teams!$A$1,MATCH($A6,Teams!$A:$A,0),7,13),
NOT(OFFSET(Teams!$A$1,MATCH($A6,Teams!$A:$A,0),1,13)=INDEX(OFFSET(Teams!$A$1,MATCH($A6,Teams!$A:$A,0),1,13),12,0"&amp;")),
NOT(OFFSET(Teams!$A$1,MATCH($A6,Teams!$A:$A,0),6,13)=MIN(OFFSET(Teams!$A$1,MATCH($A6,Teams!$A:$A,0),6,11),INDEX(OFFSET(Teams!$A$1,MATCH($A6,Teams!$A:$A,0),3,13),13,0)))
)),
AVERAGE(OFFSET(Teams!$A$1,MATCH($A6,Teams!$A:$A,0),7,11))
),
IF(
INDEX(OFFSET("&amp;"Teams!$K$1,MATCH($A6,Teams!$K:$K,0),6,13),13,0)&gt;0,
AVERAGE(FILTER(
OFFSET(Teams!$K$1,MATCH($A6,Teams!$K:$K,0),7,13),
NOT(OFFSET(Teams!$K$1,MATCH($A6,Teams!$K:$K,0),1,13)=INDEX(OFFSET(Teams!$K$1,MATCH($A6,Teams!$K:$K,0),1,13),12,0)),
NOT(OFFSET(Teams!$K$1,"&amp;"MATCH($A6,Teams!$K:$K,0),6,13)=MIN(OFFSET(Teams!$K$1,MATCH($A6,Teams!$K:$K,0),6,11),INDEX(OFFSET(Teams!$K$1,MATCH($A6,Teams!$K:$K,0),3,13),13,0)))
)),
AVERAGE(OFFSET(Teams!$K$1,MATCH($A6,Teams!$K:$K,0),7,11))
)
)"),0.0)</f>
        <v>0</v>
      </c>
      <c r="J6" s="97" t="str">
        <f t="shared" si="1"/>
        <v>#N/A</v>
      </c>
      <c r="K6" s="31">
        <f>IFERROR(__xludf.DUMMYFUNCTION("(
AVERAGE(
FILTER(
IFERROR(
OFFSET(Teams!$A$1,MATCH($A6,Teams!$A:$A,0),8,13),
OFFSET(Teams!$K$1,MATCH($A6,Teams!$K:$K,0),8,13)
),
IFERROR(
OFFSET(Teams!$A$1,MATCH($A6,Teams!$A:$A,0),8,13),
OFFSET(Teams!$K$1,MATCH($A6,Teams!$K:$K,0),8,13)
)&lt;&gt;""#N/A"",
IFER"&amp;"ROR(
OFFSET(Teams!$A$1,MATCH($A6,Teams!$A:$A,0),8,13),
OFFSET(Teams!$K$1,MATCH($A6,Teams!$K:$K,0),8,13)
)&gt;=LARGE(
FILTER(
IFERROR(
OFFSET(Teams!$A$1,MATCH($A6,Teams!$A:$A,0),8,13),
OFFSET(Teams!$K$1,MATCH($A6,Teams!$K:$K,0),8,13)
),
IFERROR(
OFFSET(Teams!"&amp;"$A$1,MATCH($A6,Teams!$A:$A,0),8,13),
OFFSET(Teams!$K$1,MATCH($A6,Teams!$K:$K,0),8,13)
)&lt;&gt;""#N/A""),
5
)
)
)*3+
AVERAGE(
FILTER(
IFERROR(
OFFSET(Teams!$A$1,MATCH($A6,Teams!$A:$A,0),8,13),
OFFSET(Teams!$K$1,MATCH($A6,Teams!$K:$K,0),8,13)
),
IFERROR(
OFFSET("&amp;"Teams!$A$1,MATCH($A6,Teams!$A:$A,0),8,13),
OFFSET(Teams!$K$1,MATCH($A6,Teams!$K:$K,0),8,13)
)&lt;&gt;""#N/A"",
IFERROR(
OFFSET(Teams!$A$1,MATCH($A6,Teams!$A:$A,0),8,13),
OFFSET(Teams!$K$1,MATCH($A6,Teams!$K:$K,0),8,13)
)&gt;=LARGE(
FILTER(
IFERROR(
OFFSET(Teams!$A"&amp;"$1,MATCH($A6,Teams!$A:$A,0),8,13),
OFFSET(Teams!$K$1,MATCH($A6,Teams!$K:$K,0),8,13)
),
IFERROR(
OFFSET(Teams!$A$1,MATCH($A6,Teams!$A:$A,0),8,13),
OFFSET(Teams!$K$1,MATCH($A6,Teams!$K:$K,0),8,13)
)&lt;&gt;""#N/A""),
7)
)
)+
AVERAGE(
FILTER(
IFERROR(OFFSET(Teams!"&amp;"$A$1,MATCH($A6,Teams!$A:$A,0),8,13),
OFFSET(Teams!$K$1,MATCH($A6,Teams!$K:$K,0),8,13)
),
IFERROR(OFFSET(Teams!$A$1,MATCH($A6,Teams!$A:$A,0),8,13),
OFFSET(Teams!$K$1,MATCH($A6,Teams!$K:$K,0),8,13)
)&lt;&gt;""#N/A"",
IFERROR(
OFFSET(Teams!$A$1,MATCH($A6,Teams!$A:"&amp;"$A,0),8,13),
OFFSET(Teams!$K$1,MATCH($A6,Teams!$K:$K,0),8,13)
)&gt;=LARGE(
FILTER(
IFERROR(
OFFSET(Teams!$A$1,MATCH($A6,Teams!$A:$A,0),8,13),
OFFSET(Teams!$K$1,MATCH($A6,Teams!$K:$K,0),8,13)
),
IFERROR(
OFFSET(Teams!$A$1,MATCH($A6,Teams!$A:$A,0),8,13),
OFFSE"&amp;"T(Teams!$K$1,MATCH($A6,Teams!$K:$K,0),8,13)
)&lt;&gt;""#N/A""
),
11
)
)
)
)
/5"),0.0)</f>
        <v>0</v>
      </c>
      <c r="L6" s="100" t="str">
        <f t="shared" si="2"/>
        <v>#N/A</v>
      </c>
      <c r="M6" s="101"/>
      <c r="N6" s="106">
        <v>0.0</v>
      </c>
      <c r="O6" s="9">
        <f>IFERROR(__xludf.DUMMYFUNCTION("""COMPUTED_VALUE"""),0.0)</f>
        <v>0</v>
      </c>
    </row>
    <row r="7">
      <c r="A7" s="34" t="s">
        <v>1338</v>
      </c>
      <c r="B7" s="94">
        <f>COUNTIF(
IFERROR(
OFFSET(Teams!$A$1,MATCH($A7,Teams!$A:$A,0),2,11),
OFFSET(Teams!$K$1,MATCH($A7,Teams!$K:$K,0),2,11)
),CONCATENATE("*",B$1,"*")
)</f>
        <v>0</v>
      </c>
      <c r="C7" s="94">
        <f>COUNTIF(
IFERROR(
OFFSET(Teams!$A$1,MATCH($A7,Teams!$A:$A,0),2,11),
OFFSET(Teams!$K$1,MATCH($A7,Teams!$K:$K,0),2,11)
),CONCATENATE("*",C$1,"*")
)</f>
        <v>0</v>
      </c>
      <c r="D7" s="94">
        <f>COUNTIF(
IFERROR(
OFFSET(Teams!$A$1,MATCH($A7,Teams!$A:$A,0),2,11),
OFFSET(Teams!$K$1,MATCH($A7,Teams!$K:$K,0),2,11)
),CONCATENATE("*",D$1,"*")
)</f>
        <v>0</v>
      </c>
      <c r="E7" s="98" t="str">
        <f>IFERROR(__xludf.DUMMYFUNCTION("IFERROR(
IF(
INDEX(OFFSET(Teams!$A$1,MATCH($A7,Teams!$A:$A,0),6,13),13,0)&gt;0,
AVERAGE(FILTER(
OFFSET(Teams!$A$1,MATCH($A7,Teams!$A:$A,0),3,13),
NOT(OFFSET(Teams!$A$1,MATCH($A7,Teams!$A:$A,0),1,13)=INDEX(OFFSET(Teams!$A$1,MATCH($A7,Teams!$A:$A,0),1,13),12,0"&amp;")),
NOT(OFFSET(Teams!$A$1,MATCH($A7,Teams!$A:$A,0),6,13)=MIN(OFFSET(Teams!$A$1,MATCH($A7,Teams!$A:$A,0),6,11),INDEX(OFFSET(Teams!$A$1,MATCH($A7,Teams!$A:$A,0),3,13),13,0)))
)),
AVERAGE(OFFSET(Teams!$A$1,MATCH($A7,Teams!$A:$A,0),3,11))
),
IF(
INDEX(OFFSET("&amp;"Teams!$K$1,MATCH($A7,Teams!$K:$K,0),6,13),13,0)&gt;0,
AVERAGE(FILTER(
OFFSET(Teams!$K$1,MATCH($A7,Teams!$K:$K,0),3,13),
NOT(OFFSET(Teams!$K$1,MATCH($A7,Teams!$K:$K,0),1,13)=INDEX(OFFSET(Teams!$K$1,MATCH($A7,Teams!$K:$K,0),1,13),12,0)),
NOT(OFFSET(Teams!$K$1,"&amp;"MATCH($A7,Teams!$K:$K,0),6,13)=MIN(OFFSET(Teams!$K$1,MATCH($A7,Teams!$K:$K,0),6,11),INDEX(OFFSET(Teams!$K$1,MATCH($A7,Teams!$K:$K,0),3,13),13,0)))
)),
AVERAGE(OFFSET(Teams!$K$1,MATCH($A7,Teams!$K:$K,0),3,11))
)
)"),"#N/A")</f>
        <v>#N/A</v>
      </c>
      <c r="F7" s="96">
        <f t="array" ref="F7">SUM(1/COUNTIF(
IFERROR(
OFFSET(Teams!$A$1,MATCH($A7,Teams!$A:$A,0),4,11),
OFFSET(Teams!$K$1,MATCH($A7,Teams!$K:$K,0),4,11)
),
IFERROR(
OFFSET(Teams!$A$1,MATCH($A7,Teams!$A:$A,0),4,11),
OFFSET(Teams!$K$1,MATCH($A7,Teams!$K:$K,0),4,11)
)
))</f>
        <v>1</v>
      </c>
      <c r="G7" s="97" t="str">
        <f>IFERROR(__xludf.DUMMYFUNCTION("IFERROR(
IF(
INDEX(OFFSET(Teams!$A$1,MATCH($A7,Teams!$A:$A,0),6,13),13,0)&gt;0,
AVERAGE(FILTER(
OFFSET(Teams!$A$1,MATCH($A7,Teams!$A:$A,0),5,13),
NOT(OFFSET(Teams!$A$1,MATCH($A7,Teams!$A:$A,0),1,13)=INDEX(OFFSET(Teams!$A$1,MATCH($A7,Teams!$A:$A,0),1,13),12,0"&amp;")),
NOT(OFFSET(Teams!$A$1,MATCH($A7,Teams!$A:$A,0),6,13)=MIN(OFFSET(Teams!$A$1,MATCH($A7,Teams!$A:$A,0),6,11),INDEX(OFFSET(Teams!$A$1,MATCH($A7,Teams!$A:$A,0),3,13),13,0)))
)),
AVERAGE(OFFSET(Teams!$A$1,MATCH($A7,Teams!$A:$A,0),5,11))
),
IF(
INDEX(OFFSET("&amp;"Teams!$K$1,MATCH($A7,Teams!$K:$K,0),6,13),13,0)&gt;0,
AVERAGE(FILTER(
OFFSET(Teams!$K$1,MATCH($A7,Teams!$K:$K,0),5,13),
NOT(OFFSET(Teams!$K$1,MATCH($A7,Teams!$K:$K,0),1,13)=INDEX(OFFSET(Teams!$K$1,MATCH($A7,Teams!$K:$K,0),1,13),12,0)),
NOT(OFFSET(Teams!$K$1,"&amp;"MATCH($A7,Teams!$K:$K,0),6,13)=MIN(OFFSET(Teams!$K$1,MATCH($A7,Teams!$K:$K,0),6,11),INDEX(OFFSET(Teams!$K$1,MATCH($A7,Teams!$K:$K,0),3,13),13,0)))
)),
AVERAGE(OFFSET(Teams!$K$1,MATCH($A7,Teams!$K:$K,0),5,11))
)
)"),"#N/A")</f>
        <v>#N/A</v>
      </c>
      <c r="H7" s="98">
        <f>IFERROR(__xludf.DUMMYFUNCTION("IFERROR(
IF(
INDEX(OFFSET(Teams!$A$1,MATCH($A7,Teams!$A:$A,0),6,13),13,0)&gt;0,
AVERAGE(FILTER(
OFFSET(Teams!$A$1,MATCH($A7,Teams!$A:$A,0),6,13),
NOT(OFFSET(Teams!$A$1,MATCH($A7,Teams!$A:$A,0),1,13)=INDEX(OFFSET(Teams!$A$1,MATCH($A7,Teams!$A:$A,0),1,13),12,0"&amp;")),
NOT(OFFSET(Teams!$A$1,MATCH($A7,Teams!$A:$A,0),6,13)=MIN(OFFSET(Teams!$A$1,MATCH($A7,Teams!$A:$A,0),6,11),INDEX(OFFSET(Teams!$A$1,MATCH($A7,Teams!$A:$A,0),3,13),13,0)))
)),
AVERAGE(OFFSET(Teams!$A$1,MATCH($A7,Teams!$A:$A,0),6,11))
),
IF(
INDEX(OFFSET("&amp;"Teams!$K$1,MATCH($A7,Teams!$K:$K,0),6,13),13,0)&gt;0,
AVERAGE(FILTER(
OFFSET(Teams!$K$1,MATCH($A7,Teams!$K:$K,0),6,13),
NOT(OFFSET(Teams!$K$1,MATCH($A7,Teams!$K:$K,0),1,13)=INDEX(OFFSET(Teams!$K$1,MATCH($A7,Teams!$K:$K,0),1,13),12,0)),
NOT(OFFSET(Teams!$K$1,"&amp;"MATCH($A7,Teams!$K:$K,0),6,13)=MIN(OFFSET(Teams!$K$1,MATCH($A7,Teams!$K:$K,0),6,11),INDEX(OFFSET(Teams!$K$1,MATCH($A7,Teams!$K:$K,0),3,13),13,0)))
)),
AVERAGE(OFFSET(Teams!$K$1,MATCH($A7,Teams!$K:$K,0),6,11))
)
)"),0.0)</f>
        <v>0</v>
      </c>
      <c r="I7" s="99">
        <f>IFERROR(__xludf.DUMMYFUNCTION("IFERROR(
IF(
INDEX(OFFSET(Teams!$A$1,MATCH($A7,Teams!$A:$A,0),6,13),13,0)&gt;0,
AVERAGE(FILTER(
OFFSET(Teams!$A$1,MATCH($A7,Teams!$A:$A,0),7,13),
NOT(OFFSET(Teams!$A$1,MATCH($A7,Teams!$A:$A,0),1,13)=INDEX(OFFSET(Teams!$A$1,MATCH($A7,Teams!$A:$A,0),1,13),12,0"&amp;")),
NOT(OFFSET(Teams!$A$1,MATCH($A7,Teams!$A:$A,0),6,13)=MIN(OFFSET(Teams!$A$1,MATCH($A7,Teams!$A:$A,0),6,11),INDEX(OFFSET(Teams!$A$1,MATCH($A7,Teams!$A:$A,0),3,13),13,0)))
)),
AVERAGE(OFFSET(Teams!$A$1,MATCH($A7,Teams!$A:$A,0),7,11))
),
IF(
INDEX(OFFSET("&amp;"Teams!$K$1,MATCH($A7,Teams!$K:$K,0),6,13),13,0)&gt;0,
AVERAGE(FILTER(
OFFSET(Teams!$K$1,MATCH($A7,Teams!$K:$K,0),7,13),
NOT(OFFSET(Teams!$K$1,MATCH($A7,Teams!$K:$K,0),1,13)=INDEX(OFFSET(Teams!$K$1,MATCH($A7,Teams!$K:$K,0),1,13),12,0)),
NOT(OFFSET(Teams!$K$1,"&amp;"MATCH($A7,Teams!$K:$K,0),6,13)=MIN(OFFSET(Teams!$K$1,MATCH($A7,Teams!$K:$K,0),6,11),INDEX(OFFSET(Teams!$K$1,MATCH($A7,Teams!$K:$K,0),3,13),13,0)))
)),
AVERAGE(OFFSET(Teams!$K$1,MATCH($A7,Teams!$K:$K,0),7,11))
)
)"),0.0)</f>
        <v>0</v>
      </c>
      <c r="J7" s="97" t="str">
        <f t="shared" si="1"/>
        <v>#N/A</v>
      </c>
      <c r="K7" s="31">
        <f>IFERROR(__xludf.DUMMYFUNCTION("(
AVERAGE(
FILTER(
IFERROR(
OFFSET(Teams!$A$1,MATCH($A7,Teams!$A:$A,0),8,13),
OFFSET(Teams!$K$1,MATCH($A7,Teams!$K:$K,0),8,13)
),
IFERROR(
OFFSET(Teams!$A$1,MATCH($A7,Teams!$A:$A,0),8,13),
OFFSET(Teams!$K$1,MATCH($A7,Teams!$K:$K,0),8,13)
)&lt;&gt;""#N/A"",
IFER"&amp;"ROR(
OFFSET(Teams!$A$1,MATCH($A7,Teams!$A:$A,0),8,13),
OFFSET(Teams!$K$1,MATCH($A7,Teams!$K:$K,0),8,13)
)&gt;=LARGE(
FILTER(
IFERROR(
OFFSET(Teams!$A$1,MATCH($A7,Teams!$A:$A,0),8,13),
OFFSET(Teams!$K$1,MATCH($A7,Teams!$K:$K,0),8,13)
),
IFERROR(
OFFSET(Teams!"&amp;"$A$1,MATCH($A7,Teams!$A:$A,0),8,13),
OFFSET(Teams!$K$1,MATCH($A7,Teams!$K:$K,0),8,13)
)&lt;&gt;""#N/A""),
5
)
)
)*3+
AVERAGE(
FILTER(
IFERROR(
OFFSET(Teams!$A$1,MATCH($A7,Teams!$A:$A,0),8,13),
OFFSET(Teams!$K$1,MATCH($A7,Teams!$K:$K,0),8,13)
),
IFERROR(
OFFSET("&amp;"Teams!$A$1,MATCH($A7,Teams!$A:$A,0),8,13),
OFFSET(Teams!$K$1,MATCH($A7,Teams!$K:$K,0),8,13)
)&lt;&gt;""#N/A"",
IFERROR(
OFFSET(Teams!$A$1,MATCH($A7,Teams!$A:$A,0),8,13),
OFFSET(Teams!$K$1,MATCH($A7,Teams!$K:$K,0),8,13)
)&gt;=LARGE(
FILTER(
IFERROR(
OFFSET(Teams!$A"&amp;"$1,MATCH($A7,Teams!$A:$A,0),8,13),
OFFSET(Teams!$K$1,MATCH($A7,Teams!$K:$K,0),8,13)
),
IFERROR(
OFFSET(Teams!$A$1,MATCH($A7,Teams!$A:$A,0),8,13),
OFFSET(Teams!$K$1,MATCH($A7,Teams!$K:$K,0),8,13)
)&lt;&gt;""#N/A""),
7)
)
)+
AVERAGE(
FILTER(
IFERROR(OFFSET(Teams!"&amp;"$A$1,MATCH($A7,Teams!$A:$A,0),8,13),
OFFSET(Teams!$K$1,MATCH($A7,Teams!$K:$K,0),8,13)
),
IFERROR(OFFSET(Teams!$A$1,MATCH($A7,Teams!$A:$A,0),8,13),
OFFSET(Teams!$K$1,MATCH($A7,Teams!$K:$K,0),8,13)
)&lt;&gt;""#N/A"",
IFERROR(
OFFSET(Teams!$A$1,MATCH($A7,Teams!$A:"&amp;"$A,0),8,13),
OFFSET(Teams!$K$1,MATCH($A7,Teams!$K:$K,0),8,13)
)&gt;=LARGE(
FILTER(
IFERROR(
OFFSET(Teams!$A$1,MATCH($A7,Teams!$A:$A,0),8,13),
OFFSET(Teams!$K$1,MATCH($A7,Teams!$K:$K,0),8,13)
),
IFERROR(
OFFSET(Teams!$A$1,MATCH($A7,Teams!$A:$A,0),8,13),
OFFSE"&amp;"T(Teams!$K$1,MATCH($A7,Teams!$K:$K,0),8,13)
)&lt;&gt;""#N/A""
),
11
)
)
)
)
/5"),0.0)</f>
        <v>0</v>
      </c>
      <c r="L7" s="100" t="str">
        <f t="shared" si="2"/>
        <v>#N/A</v>
      </c>
      <c r="M7" s="101"/>
      <c r="N7" s="106">
        <v>0.0</v>
      </c>
      <c r="O7" s="9">
        <f>IFERROR(__xludf.DUMMYFUNCTION("""COMPUTED_VALUE"""),0.0)</f>
        <v>0</v>
      </c>
    </row>
    <row r="8">
      <c r="A8" s="34" t="s">
        <v>1341</v>
      </c>
      <c r="B8" s="94">
        <f>COUNTIF(
IFERROR(
OFFSET(Teams!$A$1,MATCH($A8,Teams!$A:$A,0),2,11),
OFFSET(Teams!$K$1,MATCH($A8,Teams!$K:$K,0),2,11)
),CONCATENATE("*",B$1,"*")
)</f>
        <v>0</v>
      </c>
      <c r="C8" s="94">
        <f>COUNTIF(
IFERROR(
OFFSET(Teams!$A$1,MATCH($A8,Teams!$A:$A,0),2,11),
OFFSET(Teams!$K$1,MATCH($A8,Teams!$K:$K,0),2,11)
),CONCATENATE("*",C$1,"*")
)</f>
        <v>0</v>
      </c>
      <c r="D8" s="94">
        <f>COUNTIF(
IFERROR(
OFFSET(Teams!$A$1,MATCH($A8,Teams!$A:$A,0),2,11),
OFFSET(Teams!$K$1,MATCH($A8,Teams!$K:$K,0),2,11)
),CONCATENATE("*",D$1,"*")
)</f>
        <v>0</v>
      </c>
      <c r="E8" s="98" t="str">
        <f>IFERROR(__xludf.DUMMYFUNCTION("IFERROR(
IF(
INDEX(OFFSET(Teams!$A$1,MATCH($A8,Teams!$A:$A,0),6,13),13,0)&gt;0,
AVERAGE(FILTER(
OFFSET(Teams!$A$1,MATCH($A8,Teams!$A:$A,0),3,13),
NOT(OFFSET(Teams!$A$1,MATCH($A8,Teams!$A:$A,0),1,13)=INDEX(OFFSET(Teams!$A$1,MATCH($A8,Teams!$A:$A,0),1,13),12,0"&amp;")),
NOT(OFFSET(Teams!$A$1,MATCH($A8,Teams!$A:$A,0),6,13)=MIN(OFFSET(Teams!$A$1,MATCH($A8,Teams!$A:$A,0),6,11),INDEX(OFFSET(Teams!$A$1,MATCH($A8,Teams!$A:$A,0),3,13),13,0)))
)),
AVERAGE(OFFSET(Teams!$A$1,MATCH($A8,Teams!$A:$A,0),3,11))
),
IF(
INDEX(OFFSET("&amp;"Teams!$K$1,MATCH($A8,Teams!$K:$K,0),6,13),13,0)&gt;0,
AVERAGE(FILTER(
OFFSET(Teams!$K$1,MATCH($A8,Teams!$K:$K,0),3,13),
NOT(OFFSET(Teams!$K$1,MATCH($A8,Teams!$K:$K,0),1,13)=INDEX(OFFSET(Teams!$K$1,MATCH($A8,Teams!$K:$K,0),1,13),12,0)),
NOT(OFFSET(Teams!$K$1,"&amp;"MATCH($A8,Teams!$K:$K,0),6,13)=MIN(OFFSET(Teams!$K$1,MATCH($A8,Teams!$K:$K,0),6,11),INDEX(OFFSET(Teams!$K$1,MATCH($A8,Teams!$K:$K,0),3,13),13,0)))
)),
AVERAGE(OFFSET(Teams!$K$1,MATCH($A8,Teams!$K:$K,0),3,11))
)
)"),"#N/A")</f>
        <v>#N/A</v>
      </c>
      <c r="F8" s="96">
        <f t="array" ref="F8">SUM(1/COUNTIF(
IFERROR(
OFFSET(Teams!$A$1,MATCH($A8,Teams!$A:$A,0),4,11),
OFFSET(Teams!$K$1,MATCH($A8,Teams!$K:$K,0),4,11)
),
IFERROR(
OFFSET(Teams!$A$1,MATCH($A8,Teams!$A:$A,0),4,11),
OFFSET(Teams!$K$1,MATCH($A8,Teams!$K:$K,0),4,11)
)
))</f>
        <v>1</v>
      </c>
      <c r="G8" s="97" t="str">
        <f>IFERROR(__xludf.DUMMYFUNCTION("IFERROR(
IF(
INDEX(OFFSET(Teams!$A$1,MATCH($A8,Teams!$A:$A,0),6,13),13,0)&gt;0,
AVERAGE(FILTER(
OFFSET(Teams!$A$1,MATCH($A8,Teams!$A:$A,0),5,13),
NOT(OFFSET(Teams!$A$1,MATCH($A8,Teams!$A:$A,0),1,13)=INDEX(OFFSET(Teams!$A$1,MATCH($A8,Teams!$A:$A,0),1,13),12,0"&amp;")),
NOT(OFFSET(Teams!$A$1,MATCH($A8,Teams!$A:$A,0),6,13)=MIN(OFFSET(Teams!$A$1,MATCH($A8,Teams!$A:$A,0),6,11),INDEX(OFFSET(Teams!$A$1,MATCH($A8,Teams!$A:$A,0),3,13),13,0)))
)),
AVERAGE(OFFSET(Teams!$A$1,MATCH($A8,Teams!$A:$A,0),5,11))
),
IF(
INDEX(OFFSET("&amp;"Teams!$K$1,MATCH($A8,Teams!$K:$K,0),6,13),13,0)&gt;0,
AVERAGE(FILTER(
OFFSET(Teams!$K$1,MATCH($A8,Teams!$K:$K,0),5,13),
NOT(OFFSET(Teams!$K$1,MATCH($A8,Teams!$K:$K,0),1,13)=INDEX(OFFSET(Teams!$K$1,MATCH($A8,Teams!$K:$K,0),1,13),12,0)),
NOT(OFFSET(Teams!$K$1,"&amp;"MATCH($A8,Teams!$K:$K,0),6,13)=MIN(OFFSET(Teams!$K$1,MATCH($A8,Teams!$K:$K,0),6,11),INDEX(OFFSET(Teams!$K$1,MATCH($A8,Teams!$K:$K,0),3,13),13,0)))
)),
AVERAGE(OFFSET(Teams!$K$1,MATCH($A8,Teams!$K:$K,0),5,11))
)
)"),"#N/A")</f>
        <v>#N/A</v>
      </c>
      <c r="H8" s="98">
        <f>IFERROR(__xludf.DUMMYFUNCTION("IFERROR(
IF(
INDEX(OFFSET(Teams!$A$1,MATCH($A8,Teams!$A:$A,0),6,13),13,0)&gt;0,
AVERAGE(FILTER(
OFFSET(Teams!$A$1,MATCH($A8,Teams!$A:$A,0),6,13),
NOT(OFFSET(Teams!$A$1,MATCH($A8,Teams!$A:$A,0),1,13)=INDEX(OFFSET(Teams!$A$1,MATCH($A8,Teams!$A:$A,0),1,13),12,0"&amp;")),
NOT(OFFSET(Teams!$A$1,MATCH($A8,Teams!$A:$A,0),6,13)=MIN(OFFSET(Teams!$A$1,MATCH($A8,Teams!$A:$A,0),6,11),INDEX(OFFSET(Teams!$A$1,MATCH($A8,Teams!$A:$A,0),3,13),13,0)))
)),
AVERAGE(OFFSET(Teams!$A$1,MATCH($A8,Teams!$A:$A,0),6,11))
),
IF(
INDEX(OFFSET("&amp;"Teams!$K$1,MATCH($A8,Teams!$K:$K,0),6,13),13,0)&gt;0,
AVERAGE(FILTER(
OFFSET(Teams!$K$1,MATCH($A8,Teams!$K:$K,0),6,13),
NOT(OFFSET(Teams!$K$1,MATCH($A8,Teams!$K:$K,0),1,13)=INDEX(OFFSET(Teams!$K$1,MATCH($A8,Teams!$K:$K,0),1,13),12,0)),
NOT(OFFSET(Teams!$K$1,"&amp;"MATCH($A8,Teams!$K:$K,0),6,13)=MIN(OFFSET(Teams!$K$1,MATCH($A8,Teams!$K:$K,0),6,11),INDEX(OFFSET(Teams!$K$1,MATCH($A8,Teams!$K:$K,0),3,13),13,0)))
)),
AVERAGE(OFFSET(Teams!$K$1,MATCH($A8,Teams!$K:$K,0),6,11))
)
)"),0.0)</f>
        <v>0</v>
      </c>
      <c r="I8" s="99">
        <f>IFERROR(__xludf.DUMMYFUNCTION("IFERROR(
IF(
INDEX(OFFSET(Teams!$A$1,MATCH($A8,Teams!$A:$A,0),6,13),13,0)&gt;0,
AVERAGE(FILTER(
OFFSET(Teams!$A$1,MATCH($A8,Teams!$A:$A,0),7,13),
NOT(OFFSET(Teams!$A$1,MATCH($A8,Teams!$A:$A,0),1,13)=INDEX(OFFSET(Teams!$A$1,MATCH($A8,Teams!$A:$A,0),1,13),12,0"&amp;")),
NOT(OFFSET(Teams!$A$1,MATCH($A8,Teams!$A:$A,0),6,13)=MIN(OFFSET(Teams!$A$1,MATCH($A8,Teams!$A:$A,0),6,11),INDEX(OFFSET(Teams!$A$1,MATCH($A8,Teams!$A:$A,0),3,13),13,0)))
)),
AVERAGE(OFFSET(Teams!$A$1,MATCH($A8,Teams!$A:$A,0),7,11))
),
IF(
INDEX(OFFSET("&amp;"Teams!$K$1,MATCH($A8,Teams!$K:$K,0),6,13),13,0)&gt;0,
AVERAGE(FILTER(
OFFSET(Teams!$K$1,MATCH($A8,Teams!$K:$K,0),7,13),
NOT(OFFSET(Teams!$K$1,MATCH($A8,Teams!$K:$K,0),1,13)=INDEX(OFFSET(Teams!$K$1,MATCH($A8,Teams!$K:$K,0),1,13),12,0)),
NOT(OFFSET(Teams!$K$1,"&amp;"MATCH($A8,Teams!$K:$K,0),6,13)=MIN(OFFSET(Teams!$K$1,MATCH($A8,Teams!$K:$K,0),6,11),INDEX(OFFSET(Teams!$K$1,MATCH($A8,Teams!$K:$K,0),3,13),13,0)))
)),
AVERAGE(OFFSET(Teams!$K$1,MATCH($A8,Teams!$K:$K,0),7,11))
)
)"),0.0)</f>
        <v>0</v>
      </c>
      <c r="J8" s="97" t="str">
        <f t="shared" si="1"/>
        <v>#N/A</v>
      </c>
      <c r="K8" s="31">
        <f>IFERROR(__xludf.DUMMYFUNCTION("(
AVERAGE(
FILTER(
IFERROR(
OFFSET(Teams!$A$1,MATCH($A8,Teams!$A:$A,0),8,13),
OFFSET(Teams!$K$1,MATCH($A8,Teams!$K:$K,0),8,13)
),
IFERROR(
OFFSET(Teams!$A$1,MATCH($A8,Teams!$A:$A,0),8,13),
OFFSET(Teams!$K$1,MATCH($A8,Teams!$K:$K,0),8,13)
)&lt;&gt;""#N/A"",
IFER"&amp;"ROR(
OFFSET(Teams!$A$1,MATCH($A8,Teams!$A:$A,0),8,13),
OFFSET(Teams!$K$1,MATCH($A8,Teams!$K:$K,0),8,13)
)&gt;=LARGE(
FILTER(
IFERROR(
OFFSET(Teams!$A$1,MATCH($A8,Teams!$A:$A,0),8,13),
OFFSET(Teams!$K$1,MATCH($A8,Teams!$K:$K,0),8,13)
),
IFERROR(
OFFSET(Teams!"&amp;"$A$1,MATCH($A8,Teams!$A:$A,0),8,13),
OFFSET(Teams!$K$1,MATCH($A8,Teams!$K:$K,0),8,13)
)&lt;&gt;""#N/A""),
5
)
)
)*3+
AVERAGE(
FILTER(
IFERROR(
OFFSET(Teams!$A$1,MATCH($A8,Teams!$A:$A,0),8,13),
OFFSET(Teams!$K$1,MATCH($A8,Teams!$K:$K,0),8,13)
),
IFERROR(
OFFSET("&amp;"Teams!$A$1,MATCH($A8,Teams!$A:$A,0),8,13),
OFFSET(Teams!$K$1,MATCH($A8,Teams!$K:$K,0),8,13)
)&lt;&gt;""#N/A"",
IFERROR(
OFFSET(Teams!$A$1,MATCH($A8,Teams!$A:$A,0),8,13),
OFFSET(Teams!$K$1,MATCH($A8,Teams!$K:$K,0),8,13)
)&gt;=LARGE(
FILTER(
IFERROR(
OFFSET(Teams!$A"&amp;"$1,MATCH($A8,Teams!$A:$A,0),8,13),
OFFSET(Teams!$K$1,MATCH($A8,Teams!$K:$K,0),8,13)
),
IFERROR(
OFFSET(Teams!$A$1,MATCH($A8,Teams!$A:$A,0),8,13),
OFFSET(Teams!$K$1,MATCH($A8,Teams!$K:$K,0),8,13)
)&lt;&gt;""#N/A""),
7)
)
)+
AVERAGE(
FILTER(
IFERROR(OFFSET(Teams!"&amp;"$A$1,MATCH($A8,Teams!$A:$A,0),8,13),
OFFSET(Teams!$K$1,MATCH($A8,Teams!$K:$K,0),8,13)
),
IFERROR(OFFSET(Teams!$A$1,MATCH($A8,Teams!$A:$A,0),8,13),
OFFSET(Teams!$K$1,MATCH($A8,Teams!$K:$K,0),8,13)
)&lt;&gt;""#N/A"",
IFERROR(
OFFSET(Teams!$A$1,MATCH($A8,Teams!$A:"&amp;"$A,0),8,13),
OFFSET(Teams!$K$1,MATCH($A8,Teams!$K:$K,0),8,13)
)&gt;=LARGE(
FILTER(
IFERROR(
OFFSET(Teams!$A$1,MATCH($A8,Teams!$A:$A,0),8,13),
OFFSET(Teams!$K$1,MATCH($A8,Teams!$K:$K,0),8,13)
),
IFERROR(
OFFSET(Teams!$A$1,MATCH($A8,Teams!$A:$A,0),8,13),
OFFSE"&amp;"T(Teams!$K$1,MATCH($A8,Teams!$K:$K,0),8,13)
)&lt;&gt;""#N/A""
),
11
)
)
)
)
/5"),0.0)</f>
        <v>0</v>
      </c>
      <c r="L8" s="100" t="str">
        <f t="shared" si="2"/>
        <v>#N/A</v>
      </c>
      <c r="M8" s="101"/>
      <c r="N8" s="106">
        <v>0.0</v>
      </c>
      <c r="O8" s="9">
        <f>IFERROR(__xludf.DUMMYFUNCTION("""COMPUTED_VALUE"""),0.0)</f>
        <v>0</v>
      </c>
    </row>
    <row r="9">
      <c r="A9" s="34" t="s">
        <v>1343</v>
      </c>
      <c r="B9" s="94">
        <f>COUNTIF(
IFERROR(
OFFSET(Teams!$A$1,MATCH($A9,Teams!$A:$A,0),2,11),
OFFSET(Teams!$K$1,MATCH($A9,Teams!$K:$K,0),2,11)
),CONCATENATE("*",B$1,"*")
)</f>
        <v>0</v>
      </c>
      <c r="C9" s="94">
        <f>COUNTIF(
IFERROR(
OFFSET(Teams!$A$1,MATCH($A9,Teams!$A:$A,0),2,11),
OFFSET(Teams!$K$1,MATCH($A9,Teams!$K:$K,0),2,11)
),CONCATENATE("*",C$1,"*")
)</f>
        <v>0</v>
      </c>
      <c r="D9" s="94">
        <f>COUNTIF(
IFERROR(
OFFSET(Teams!$A$1,MATCH($A9,Teams!$A:$A,0),2,11),
OFFSET(Teams!$K$1,MATCH($A9,Teams!$K:$K,0),2,11)
),CONCATENATE("*",D$1,"*")
)</f>
        <v>0</v>
      </c>
      <c r="E9" s="98" t="str">
        <f>IFERROR(__xludf.DUMMYFUNCTION("IFERROR(
IF(
INDEX(OFFSET(Teams!$A$1,MATCH($A9,Teams!$A:$A,0),6,13),13,0)&gt;0,
AVERAGE(FILTER(
OFFSET(Teams!$A$1,MATCH($A9,Teams!$A:$A,0),3,13),
NOT(OFFSET(Teams!$A$1,MATCH($A9,Teams!$A:$A,0),1,13)=INDEX(OFFSET(Teams!$A$1,MATCH($A9,Teams!$A:$A,0),1,13),12,0"&amp;")),
NOT(OFFSET(Teams!$A$1,MATCH($A9,Teams!$A:$A,0),6,13)=MIN(OFFSET(Teams!$A$1,MATCH($A9,Teams!$A:$A,0),6,11),INDEX(OFFSET(Teams!$A$1,MATCH($A9,Teams!$A:$A,0),3,13),13,0)))
)),
AVERAGE(OFFSET(Teams!$A$1,MATCH($A9,Teams!$A:$A,0),3,11))
),
IF(
INDEX(OFFSET("&amp;"Teams!$K$1,MATCH($A9,Teams!$K:$K,0),6,13),13,0)&gt;0,
AVERAGE(FILTER(
OFFSET(Teams!$K$1,MATCH($A9,Teams!$K:$K,0),3,13),
NOT(OFFSET(Teams!$K$1,MATCH($A9,Teams!$K:$K,0),1,13)=INDEX(OFFSET(Teams!$K$1,MATCH($A9,Teams!$K:$K,0),1,13),12,0)),
NOT(OFFSET(Teams!$K$1,"&amp;"MATCH($A9,Teams!$K:$K,0),6,13)=MIN(OFFSET(Teams!$K$1,MATCH($A9,Teams!$K:$K,0),6,11),INDEX(OFFSET(Teams!$K$1,MATCH($A9,Teams!$K:$K,0),3,13),13,0)))
)),
AVERAGE(OFFSET(Teams!$K$1,MATCH($A9,Teams!$K:$K,0),3,11))
)
)"),"#N/A")</f>
        <v>#N/A</v>
      </c>
      <c r="F9" s="96">
        <f t="array" ref="F9">SUM(1/COUNTIF(
IFERROR(
OFFSET(Teams!$A$1,MATCH($A9,Teams!$A:$A,0),4,11),
OFFSET(Teams!$K$1,MATCH($A9,Teams!$K:$K,0),4,11)
),
IFERROR(
OFFSET(Teams!$A$1,MATCH($A9,Teams!$A:$A,0),4,11),
OFFSET(Teams!$K$1,MATCH($A9,Teams!$K:$K,0),4,11)
)
))</f>
        <v>1</v>
      </c>
      <c r="G9" s="97" t="str">
        <f>IFERROR(__xludf.DUMMYFUNCTION("IFERROR(
IF(
INDEX(OFFSET(Teams!$A$1,MATCH($A9,Teams!$A:$A,0),6,13),13,0)&gt;0,
AVERAGE(FILTER(
OFFSET(Teams!$A$1,MATCH($A9,Teams!$A:$A,0),5,13),
NOT(OFFSET(Teams!$A$1,MATCH($A9,Teams!$A:$A,0),1,13)=INDEX(OFFSET(Teams!$A$1,MATCH($A9,Teams!$A:$A,0),1,13),12,0"&amp;")),
NOT(OFFSET(Teams!$A$1,MATCH($A9,Teams!$A:$A,0),6,13)=MIN(OFFSET(Teams!$A$1,MATCH($A9,Teams!$A:$A,0),6,11),INDEX(OFFSET(Teams!$A$1,MATCH($A9,Teams!$A:$A,0),3,13),13,0)))
)),
AVERAGE(OFFSET(Teams!$A$1,MATCH($A9,Teams!$A:$A,0),5,11))
),
IF(
INDEX(OFFSET("&amp;"Teams!$K$1,MATCH($A9,Teams!$K:$K,0),6,13),13,0)&gt;0,
AVERAGE(FILTER(
OFFSET(Teams!$K$1,MATCH($A9,Teams!$K:$K,0),5,13),
NOT(OFFSET(Teams!$K$1,MATCH($A9,Teams!$K:$K,0),1,13)=INDEX(OFFSET(Teams!$K$1,MATCH($A9,Teams!$K:$K,0),1,13),12,0)),
NOT(OFFSET(Teams!$K$1,"&amp;"MATCH($A9,Teams!$K:$K,0),6,13)=MIN(OFFSET(Teams!$K$1,MATCH($A9,Teams!$K:$K,0),6,11),INDEX(OFFSET(Teams!$K$1,MATCH($A9,Teams!$K:$K,0),3,13),13,0)))
)),
AVERAGE(OFFSET(Teams!$K$1,MATCH($A9,Teams!$K:$K,0),5,11))
)
)"),"#N/A")</f>
        <v>#N/A</v>
      </c>
      <c r="H9" s="98">
        <f>IFERROR(__xludf.DUMMYFUNCTION("IFERROR(
IF(
INDEX(OFFSET(Teams!$A$1,MATCH($A9,Teams!$A:$A,0),6,13),13,0)&gt;0,
AVERAGE(FILTER(
OFFSET(Teams!$A$1,MATCH($A9,Teams!$A:$A,0),6,13),
NOT(OFFSET(Teams!$A$1,MATCH($A9,Teams!$A:$A,0),1,13)=INDEX(OFFSET(Teams!$A$1,MATCH($A9,Teams!$A:$A,0),1,13),12,0"&amp;")),
NOT(OFFSET(Teams!$A$1,MATCH($A9,Teams!$A:$A,0),6,13)=MIN(OFFSET(Teams!$A$1,MATCH($A9,Teams!$A:$A,0),6,11),INDEX(OFFSET(Teams!$A$1,MATCH($A9,Teams!$A:$A,0),3,13),13,0)))
)),
AVERAGE(OFFSET(Teams!$A$1,MATCH($A9,Teams!$A:$A,0),6,11))
),
IF(
INDEX(OFFSET("&amp;"Teams!$K$1,MATCH($A9,Teams!$K:$K,0),6,13),13,0)&gt;0,
AVERAGE(FILTER(
OFFSET(Teams!$K$1,MATCH($A9,Teams!$K:$K,0),6,13),
NOT(OFFSET(Teams!$K$1,MATCH($A9,Teams!$K:$K,0),1,13)=INDEX(OFFSET(Teams!$K$1,MATCH($A9,Teams!$K:$K,0),1,13),12,0)),
NOT(OFFSET(Teams!$K$1,"&amp;"MATCH($A9,Teams!$K:$K,0),6,13)=MIN(OFFSET(Teams!$K$1,MATCH($A9,Teams!$K:$K,0),6,11),INDEX(OFFSET(Teams!$K$1,MATCH($A9,Teams!$K:$K,0),3,13),13,0)))
)),
AVERAGE(OFFSET(Teams!$K$1,MATCH($A9,Teams!$K:$K,0),6,11))
)
)"),0.0)</f>
        <v>0</v>
      </c>
      <c r="I9" s="99">
        <f>IFERROR(__xludf.DUMMYFUNCTION("IFERROR(
IF(
INDEX(OFFSET(Teams!$A$1,MATCH($A9,Teams!$A:$A,0),6,13),13,0)&gt;0,
AVERAGE(FILTER(
OFFSET(Teams!$A$1,MATCH($A9,Teams!$A:$A,0),7,13),
NOT(OFFSET(Teams!$A$1,MATCH($A9,Teams!$A:$A,0),1,13)=INDEX(OFFSET(Teams!$A$1,MATCH($A9,Teams!$A:$A,0),1,13),12,0"&amp;")),
NOT(OFFSET(Teams!$A$1,MATCH($A9,Teams!$A:$A,0),6,13)=MIN(OFFSET(Teams!$A$1,MATCH($A9,Teams!$A:$A,0),6,11),INDEX(OFFSET(Teams!$A$1,MATCH($A9,Teams!$A:$A,0),3,13),13,0)))
)),
AVERAGE(OFFSET(Teams!$A$1,MATCH($A9,Teams!$A:$A,0),7,11))
),
IF(
INDEX(OFFSET("&amp;"Teams!$K$1,MATCH($A9,Teams!$K:$K,0),6,13),13,0)&gt;0,
AVERAGE(FILTER(
OFFSET(Teams!$K$1,MATCH($A9,Teams!$K:$K,0),7,13),
NOT(OFFSET(Teams!$K$1,MATCH($A9,Teams!$K:$K,0),1,13)=INDEX(OFFSET(Teams!$K$1,MATCH($A9,Teams!$K:$K,0),1,13),12,0)),
NOT(OFFSET(Teams!$K$1,"&amp;"MATCH($A9,Teams!$K:$K,0),6,13)=MIN(OFFSET(Teams!$K$1,MATCH($A9,Teams!$K:$K,0),6,11),INDEX(OFFSET(Teams!$K$1,MATCH($A9,Teams!$K:$K,0),3,13),13,0)))
)),
AVERAGE(OFFSET(Teams!$K$1,MATCH($A9,Teams!$K:$K,0),7,11))
)
)"),0.0)</f>
        <v>0</v>
      </c>
      <c r="J9" s="97" t="str">
        <f t="shared" si="1"/>
        <v>#N/A</v>
      </c>
      <c r="K9" s="31">
        <f>IFERROR(__xludf.DUMMYFUNCTION("(
AVERAGE(
FILTER(
IFERROR(
OFFSET(Teams!$A$1,MATCH($A9,Teams!$A:$A,0),8,13),
OFFSET(Teams!$K$1,MATCH($A9,Teams!$K:$K,0),8,13)
),
IFERROR(
OFFSET(Teams!$A$1,MATCH($A9,Teams!$A:$A,0),8,13),
OFFSET(Teams!$K$1,MATCH($A9,Teams!$K:$K,0),8,13)
)&lt;&gt;""#N/A"",
IFER"&amp;"ROR(
OFFSET(Teams!$A$1,MATCH($A9,Teams!$A:$A,0),8,13),
OFFSET(Teams!$K$1,MATCH($A9,Teams!$K:$K,0),8,13)
)&gt;=LARGE(
FILTER(
IFERROR(
OFFSET(Teams!$A$1,MATCH($A9,Teams!$A:$A,0),8,13),
OFFSET(Teams!$K$1,MATCH($A9,Teams!$K:$K,0),8,13)
),
IFERROR(
OFFSET(Teams!"&amp;"$A$1,MATCH($A9,Teams!$A:$A,0),8,13),
OFFSET(Teams!$K$1,MATCH($A9,Teams!$K:$K,0),8,13)
)&lt;&gt;""#N/A""),
5
)
)
)*3+
AVERAGE(
FILTER(
IFERROR(
OFFSET(Teams!$A$1,MATCH($A9,Teams!$A:$A,0),8,13),
OFFSET(Teams!$K$1,MATCH($A9,Teams!$K:$K,0),8,13)
),
IFERROR(
OFFSET("&amp;"Teams!$A$1,MATCH($A9,Teams!$A:$A,0),8,13),
OFFSET(Teams!$K$1,MATCH($A9,Teams!$K:$K,0),8,13)
)&lt;&gt;""#N/A"",
IFERROR(
OFFSET(Teams!$A$1,MATCH($A9,Teams!$A:$A,0),8,13),
OFFSET(Teams!$K$1,MATCH($A9,Teams!$K:$K,0),8,13)
)&gt;=LARGE(
FILTER(
IFERROR(
OFFSET(Teams!$A"&amp;"$1,MATCH($A9,Teams!$A:$A,0),8,13),
OFFSET(Teams!$K$1,MATCH($A9,Teams!$K:$K,0),8,13)
),
IFERROR(
OFFSET(Teams!$A$1,MATCH($A9,Teams!$A:$A,0),8,13),
OFFSET(Teams!$K$1,MATCH($A9,Teams!$K:$K,0),8,13)
)&lt;&gt;""#N/A""),
7)
)
)+
AVERAGE(
FILTER(
IFERROR(OFFSET(Teams!"&amp;"$A$1,MATCH($A9,Teams!$A:$A,0),8,13),
OFFSET(Teams!$K$1,MATCH($A9,Teams!$K:$K,0),8,13)
),
IFERROR(OFFSET(Teams!$A$1,MATCH($A9,Teams!$A:$A,0),8,13),
OFFSET(Teams!$K$1,MATCH($A9,Teams!$K:$K,0),8,13)
)&lt;&gt;""#N/A"",
IFERROR(
OFFSET(Teams!$A$1,MATCH($A9,Teams!$A:"&amp;"$A,0),8,13),
OFFSET(Teams!$K$1,MATCH($A9,Teams!$K:$K,0),8,13)
)&gt;=LARGE(
FILTER(
IFERROR(
OFFSET(Teams!$A$1,MATCH($A9,Teams!$A:$A,0),8,13),
OFFSET(Teams!$K$1,MATCH($A9,Teams!$K:$K,0),8,13)
),
IFERROR(
OFFSET(Teams!$A$1,MATCH($A9,Teams!$A:$A,0),8,13),
OFFSE"&amp;"T(Teams!$K$1,MATCH($A9,Teams!$K:$K,0),8,13)
)&lt;&gt;""#N/A""
),
11
)
)
)
)
/5"),0.0)</f>
        <v>0</v>
      </c>
      <c r="L9" s="100" t="str">
        <f t="shared" si="2"/>
        <v>#N/A</v>
      </c>
      <c r="M9" s="101"/>
      <c r="N9" s="106">
        <v>0.0</v>
      </c>
      <c r="O9" s="9">
        <f>IFERROR(__xludf.DUMMYFUNCTION("""COMPUTED_VALUE"""),0.0)</f>
        <v>0</v>
      </c>
    </row>
    <row r="10">
      <c r="A10" s="17" t="s">
        <v>1308</v>
      </c>
      <c r="B10" s="94">
        <f>COUNTIF(
IFERROR(
OFFSET(Teams!$A$1,MATCH($A10,Teams!$A:$A,0),2,11),
OFFSET(Teams!$K$1,MATCH($A10,Teams!$K:$K,0),2,11)
),CONCATENATE("*",B$1,"*")
)</f>
        <v>0</v>
      </c>
      <c r="C10" s="94">
        <f>COUNTIF(
IFERROR(
OFFSET(Teams!$A$1,MATCH($A10,Teams!$A:$A,0),2,11),
OFFSET(Teams!$K$1,MATCH($A10,Teams!$K:$K,0),2,11)
),CONCATENATE("*",C$1,"*")
)</f>
        <v>0</v>
      </c>
      <c r="D10" s="94">
        <f>COUNTIF(
IFERROR(
OFFSET(Teams!$A$1,MATCH($A10,Teams!$A:$A,0),2,11),
OFFSET(Teams!$K$1,MATCH($A10,Teams!$K:$K,0),2,11)
),CONCATENATE("*",D$1,"*")
)</f>
        <v>0</v>
      </c>
      <c r="E10" s="98" t="str">
        <f>IFERROR(__xludf.DUMMYFUNCTION("IFERROR(
IF(
INDEX(OFFSET(Teams!$A$1,MATCH($A10,Teams!$A:$A,0),6,13),13,0)&gt;0,
AVERAGE(FILTER(
OFFSET(Teams!$A$1,MATCH($A10,Teams!$A:$A,0),3,13),
NOT(OFFSET(Teams!$A$1,MATCH($A10,Teams!$A:$A,0),1,13)=INDEX(OFFSET(Teams!$A$1,MATCH($A10,Teams!$A:$A,0),1,13),"&amp;"12,0)),
NOT(OFFSET(Teams!$A$1,MATCH($A10,Teams!$A:$A,0),6,13)=MIN(OFFSET(Teams!$A$1,MATCH($A10,Teams!$A:$A,0),6,11),INDEX(OFFSET(Teams!$A$1,MATCH($A10,Teams!$A:$A,0),3,13),13,0)))
)),
AVERAGE(OFFSET(Teams!$A$1,MATCH($A10,Teams!$A:$A,0),3,11))
),
IF(
INDEX"&amp;"(OFFSET(Teams!$K$1,MATCH($A10,Teams!$K:$K,0),6,13),13,0)&gt;0,
AVERAGE(FILTER(
OFFSET(Teams!$K$1,MATCH($A10,Teams!$K:$K,0),3,13),
NOT(OFFSET(Teams!$K$1,MATCH($A10,Teams!$K:$K,0),1,13)=INDEX(OFFSET(Teams!$K$1,MATCH($A10,Teams!$K:$K,0),1,13),12,0)),
NOT(OFFSET"&amp;"(Teams!$K$1,MATCH($A10,Teams!$K:$K,0),6,13)=MIN(OFFSET(Teams!$K$1,MATCH($A10,Teams!$K:$K,0),6,11),INDEX(OFFSET(Teams!$K$1,MATCH($A10,Teams!$K:$K,0),3,13),13,0)))
)),
AVERAGE(OFFSET(Teams!$K$1,MATCH($A10,Teams!$K:$K,0),3,11))
)
)"),"#DIV/0!")</f>
        <v>#DIV/0!</v>
      </c>
      <c r="F10" s="96">
        <f t="array" ref="F10">SUM(1/COUNTIF(
IFERROR(
OFFSET(Teams!$A$1,MATCH($A10,Teams!$A:$A,0),4,11),
OFFSET(Teams!$K$1,MATCH($A10,Teams!$K:$K,0),4,11)
),
IFERROR(
OFFSET(Teams!$A$1,MATCH($A10,Teams!$A:$A,0),4,11),
OFFSET(Teams!$K$1,MATCH($A10,Teams!$K:$K,0),4,11)
)
))</f>
        <v>1</v>
      </c>
      <c r="G10" s="97" t="str">
        <f>IFERROR(__xludf.DUMMYFUNCTION("IFERROR(
IF(
INDEX(OFFSET(Teams!$A$1,MATCH($A10,Teams!$A:$A,0),6,13),13,0)&gt;0,
AVERAGE(FILTER(
OFFSET(Teams!$A$1,MATCH($A10,Teams!$A:$A,0),5,13),
NOT(OFFSET(Teams!$A$1,MATCH($A10,Teams!$A:$A,0),1,13)=INDEX(OFFSET(Teams!$A$1,MATCH($A10,Teams!$A:$A,0),1,13),"&amp;"12,0)),
NOT(OFFSET(Teams!$A$1,MATCH($A10,Teams!$A:$A,0),6,13)=MIN(OFFSET(Teams!$A$1,MATCH($A10,Teams!$A:$A,0),6,11),INDEX(OFFSET(Teams!$A$1,MATCH($A10,Teams!$A:$A,0),3,13),13,0)))
)),
AVERAGE(OFFSET(Teams!$A$1,MATCH($A10,Teams!$A:$A,0),5,11))
),
IF(
INDEX"&amp;"(OFFSET(Teams!$K$1,MATCH($A10,Teams!$K:$K,0),6,13),13,0)&gt;0,
AVERAGE(FILTER(
OFFSET(Teams!$K$1,MATCH($A10,Teams!$K:$K,0),5,13),
NOT(OFFSET(Teams!$K$1,MATCH($A10,Teams!$K:$K,0),1,13)=INDEX(OFFSET(Teams!$K$1,MATCH($A10,Teams!$K:$K,0),1,13),12,0)),
NOT(OFFSET"&amp;"(Teams!$K$1,MATCH($A10,Teams!$K:$K,0),6,13)=MIN(OFFSET(Teams!$K$1,MATCH($A10,Teams!$K:$K,0),6,11),INDEX(OFFSET(Teams!$K$1,MATCH($A10,Teams!$K:$K,0),3,13),13,0)))
)),
AVERAGE(OFFSET(Teams!$K$1,MATCH($A10,Teams!$K:$K,0),5,11))
)
)"),"#DIV/0!")</f>
        <v>#DIV/0!</v>
      </c>
      <c r="H10" s="98">
        <f>IFERROR(__xludf.DUMMYFUNCTION("IFERROR(
IF(
INDEX(OFFSET(Teams!$A$1,MATCH($A10,Teams!$A:$A,0),6,13),13,0)&gt;0,
AVERAGE(FILTER(
OFFSET(Teams!$A$1,MATCH($A10,Teams!$A:$A,0),6,13),
NOT(OFFSET(Teams!$A$1,MATCH($A10,Teams!$A:$A,0),1,13)=INDEX(OFFSET(Teams!$A$1,MATCH($A10,Teams!$A:$A,0),1,13),"&amp;"12,0)),
NOT(OFFSET(Teams!$A$1,MATCH($A10,Teams!$A:$A,0),6,13)=MIN(OFFSET(Teams!$A$1,MATCH($A10,Teams!$A:$A,0),6,11),INDEX(OFFSET(Teams!$A$1,MATCH($A10,Teams!$A:$A,0),3,13),13,0)))
)),
AVERAGE(OFFSET(Teams!$A$1,MATCH($A10,Teams!$A:$A,0),6,11))
),
IF(
INDEX"&amp;"(OFFSET(Teams!$K$1,MATCH($A10,Teams!$K:$K,0),6,13),13,0)&gt;0,
AVERAGE(FILTER(
OFFSET(Teams!$K$1,MATCH($A10,Teams!$K:$K,0),6,13),
NOT(OFFSET(Teams!$K$1,MATCH($A10,Teams!$K:$K,0),1,13)=INDEX(OFFSET(Teams!$K$1,MATCH($A10,Teams!$K:$K,0),1,13),12,0)),
NOT(OFFSET"&amp;"(Teams!$K$1,MATCH($A10,Teams!$K:$K,0),6,13)=MIN(OFFSET(Teams!$K$1,MATCH($A10,Teams!$K:$K,0),6,11),INDEX(OFFSET(Teams!$K$1,MATCH($A10,Teams!$K:$K,0),3,13),13,0)))
)),
AVERAGE(OFFSET(Teams!$K$1,MATCH($A10,Teams!$K:$K,0),6,11))
)
)"),0.0)</f>
        <v>0</v>
      </c>
      <c r="I10" s="99">
        <f>IFERROR(__xludf.DUMMYFUNCTION("IFERROR(
IF(
INDEX(OFFSET(Teams!$A$1,MATCH($A10,Teams!$A:$A,0),6,13),13,0)&gt;0,
AVERAGE(FILTER(
OFFSET(Teams!$A$1,MATCH($A10,Teams!$A:$A,0),7,13),
NOT(OFFSET(Teams!$A$1,MATCH($A10,Teams!$A:$A,0),1,13)=INDEX(OFFSET(Teams!$A$1,MATCH($A10,Teams!$A:$A,0),1,13),"&amp;"12,0)),
NOT(OFFSET(Teams!$A$1,MATCH($A10,Teams!$A:$A,0),6,13)=MIN(OFFSET(Teams!$A$1,MATCH($A10,Teams!$A:$A,0),6,11),INDEX(OFFSET(Teams!$A$1,MATCH($A10,Teams!$A:$A,0),3,13),13,0)))
)),
AVERAGE(OFFSET(Teams!$A$1,MATCH($A10,Teams!$A:$A,0),7,11))
),
IF(
INDEX"&amp;"(OFFSET(Teams!$K$1,MATCH($A10,Teams!$K:$K,0),6,13),13,0)&gt;0,
AVERAGE(FILTER(
OFFSET(Teams!$K$1,MATCH($A10,Teams!$K:$K,0),7,13),
NOT(OFFSET(Teams!$K$1,MATCH($A10,Teams!$K:$K,0),1,13)=INDEX(OFFSET(Teams!$K$1,MATCH($A10,Teams!$K:$K,0),1,13),12,0)),
NOT(OFFSET"&amp;"(Teams!$K$1,MATCH($A10,Teams!$K:$K,0),6,13)=MIN(OFFSET(Teams!$K$1,MATCH($A10,Teams!$K:$K,0),6,11),INDEX(OFFSET(Teams!$K$1,MATCH($A10,Teams!$K:$K,0),3,13),13,0)))
)),
AVERAGE(OFFSET(Teams!$K$1,MATCH($A10,Teams!$K:$K,0),7,11))
)
)"),0.0)</f>
        <v>0</v>
      </c>
      <c r="J10" s="97" t="str">
        <f t="shared" si="1"/>
        <v>#DIV/0!</v>
      </c>
      <c r="K10" s="31">
        <f>IFERROR(__xludf.DUMMYFUNCTION("(
AVERAGE(
FILTER(
IFERROR(
OFFSET(Teams!$A$1,MATCH($A10,Teams!$A:$A,0),8,13),
OFFSET(Teams!$K$1,MATCH($A10,Teams!$K:$K,0),8,13)
),
IFERROR(
OFFSET(Teams!$A$1,MATCH($A10,Teams!$A:$A,0),8,13),
OFFSET(Teams!$K$1,MATCH($A10,Teams!$K:$K,0),8,13)
)&lt;&gt;""#N/A"",
"&amp;"IFERROR(
OFFSET(Teams!$A$1,MATCH($A10,Teams!$A:$A,0),8,13),
OFFSET(Teams!$K$1,MATCH($A10,Teams!$K:$K,0),8,13)
)&gt;=LARGE(
FILTER(
IFERROR(
OFFSET(Teams!$A$1,MATCH($A10,Teams!$A:$A,0),8,13),
OFFSET(Teams!$K$1,MATCH($A10,Teams!$K:$K,0),8,13)
),
IFERROR(
OFFSE"&amp;"T(Teams!$A$1,MATCH($A10,Teams!$A:$A,0),8,13),
OFFSET(Teams!$K$1,MATCH($A10,Teams!$K:$K,0),8,13)
)&lt;&gt;""#N/A""),
5
)
)
)*3+
AVERAGE(
FILTER(
IFERROR(
OFFSET(Teams!$A$1,MATCH($A10,Teams!$A:$A,0),8,13),
OFFSET(Teams!$K$1,MATCH($A10,Teams!$K:$K,0),8,13)
),
IFER"&amp;"ROR(
OFFSET(Teams!$A$1,MATCH($A10,Teams!$A:$A,0),8,13),
OFFSET(Teams!$K$1,MATCH($A10,Teams!$K:$K,0),8,13)
)&lt;&gt;""#N/A"",
IFERROR(
OFFSET(Teams!$A$1,MATCH($A10,Teams!$A:$A,0),8,13),
OFFSET(Teams!$K$1,MATCH($A10,Teams!$K:$K,0),8,13)
)&gt;=LARGE(
FILTER(
IFERROR("&amp;"
OFFSET(Teams!$A$1,MATCH($A10,Teams!$A:$A,0),8,13),
OFFSET(Teams!$K$1,MATCH($A10,Teams!$K:$K,0),8,13)
),
IFERROR(
OFFSET(Teams!$A$1,MATCH($A10,Teams!$A:$A,0),8,13),
OFFSET(Teams!$K$1,MATCH($A10,Teams!$K:$K,0),8,13)
)&lt;&gt;""#N/A""),
7)
)
)+
AVERAGE(
FILTER(
I"&amp;"FERROR(OFFSET(Teams!$A$1,MATCH($A10,Teams!$A:$A,0),8,13),
OFFSET(Teams!$K$1,MATCH($A10,Teams!$K:$K,0),8,13)
),
IFERROR(OFFSET(Teams!$A$1,MATCH($A10,Teams!$A:$A,0),8,13),
OFFSET(Teams!$K$1,MATCH($A10,Teams!$K:$K,0),8,13)
)&lt;&gt;""#N/A"",
IFERROR(
OFFSET(Teams!"&amp;"$A$1,MATCH($A10,Teams!$A:$A,0),8,13),
OFFSET(Teams!$K$1,MATCH($A10,Teams!$K:$K,0),8,13)
)&gt;=LARGE(
FILTER(
IFERROR(
OFFSET(Teams!$A$1,MATCH($A10,Teams!$A:$A,0),8,13),
OFFSET(Teams!$K$1,MATCH($A10,Teams!$K:$K,0),8,13)
),
IFERROR(
OFFSET(Teams!$A$1,MATCH($A1"&amp;"0,Teams!$A:$A,0),8,13),
OFFSET(Teams!$K$1,MATCH($A10,Teams!$K:$K,0),8,13)
)&lt;&gt;""#N/A""
),
11
)
)
)
)
/5"),0.0)</f>
        <v>0</v>
      </c>
      <c r="L10" s="100" t="str">
        <f t="shared" si="2"/>
        <v>#N/A</v>
      </c>
      <c r="M10" s="101"/>
      <c r="N10" s="106">
        <v>0.0</v>
      </c>
      <c r="O10" s="9">
        <f>IFERROR(__xludf.DUMMYFUNCTION("""COMPUTED_VALUE"""),0.0)</f>
        <v>0</v>
      </c>
    </row>
    <row r="11">
      <c r="A11" s="17" t="s">
        <v>1312</v>
      </c>
      <c r="B11" s="94">
        <f>COUNTIF(
IFERROR(
OFFSET(Teams!$A$1,MATCH($A11,Teams!$A:$A,0),2,11),
OFFSET(Teams!$K$1,MATCH($A11,Teams!$K:$K,0),2,11)
),CONCATENATE("*",B$1,"*")
)</f>
        <v>0</v>
      </c>
      <c r="C11" s="94">
        <f>COUNTIF(
IFERROR(
OFFSET(Teams!$A$1,MATCH($A11,Teams!$A:$A,0),2,11),
OFFSET(Teams!$K$1,MATCH($A11,Teams!$K:$K,0),2,11)
),CONCATENATE("*",C$1,"*")
)</f>
        <v>0</v>
      </c>
      <c r="D11" s="94">
        <f>COUNTIF(
IFERROR(
OFFSET(Teams!$A$1,MATCH($A11,Teams!$A:$A,0),2,11),
OFFSET(Teams!$K$1,MATCH($A11,Teams!$K:$K,0),2,11)
),CONCATENATE("*",D$1,"*")
)</f>
        <v>0</v>
      </c>
      <c r="E11" s="98" t="str">
        <f>IFERROR(__xludf.DUMMYFUNCTION("IFERROR(
IF(
INDEX(OFFSET(Teams!$A$1,MATCH($A11,Teams!$A:$A,0),6,13),13,0)&gt;0,
AVERAGE(FILTER(
OFFSET(Teams!$A$1,MATCH($A11,Teams!$A:$A,0),3,13),
NOT(OFFSET(Teams!$A$1,MATCH($A11,Teams!$A:$A,0),1,13)=INDEX(OFFSET(Teams!$A$1,MATCH($A11,Teams!$A:$A,0),1,13),"&amp;"12,0)),
NOT(OFFSET(Teams!$A$1,MATCH($A11,Teams!$A:$A,0),6,13)=MIN(OFFSET(Teams!$A$1,MATCH($A11,Teams!$A:$A,0),6,11),INDEX(OFFSET(Teams!$A$1,MATCH($A11,Teams!$A:$A,0),3,13),13,0)))
)),
AVERAGE(OFFSET(Teams!$A$1,MATCH($A11,Teams!$A:$A,0),3,11))
),
IF(
INDEX"&amp;"(OFFSET(Teams!$K$1,MATCH($A11,Teams!$K:$K,0),6,13),13,0)&gt;0,
AVERAGE(FILTER(
OFFSET(Teams!$K$1,MATCH($A11,Teams!$K:$K,0),3,13),
NOT(OFFSET(Teams!$K$1,MATCH($A11,Teams!$K:$K,0),1,13)=INDEX(OFFSET(Teams!$K$1,MATCH($A11,Teams!$K:$K,0),1,13),12,0)),
NOT(OFFSET"&amp;"(Teams!$K$1,MATCH($A11,Teams!$K:$K,0),6,13)=MIN(OFFSET(Teams!$K$1,MATCH($A11,Teams!$K:$K,0),6,11),INDEX(OFFSET(Teams!$K$1,MATCH($A11,Teams!$K:$K,0),3,13),13,0)))
)),
AVERAGE(OFFSET(Teams!$K$1,MATCH($A11,Teams!$K:$K,0),3,11))
)
)"),"#DIV/0!")</f>
        <v>#DIV/0!</v>
      </c>
      <c r="F11" s="96">
        <f t="array" ref="F11">SUM(1/COUNTIF(
IFERROR(
OFFSET(Teams!$A$1,MATCH($A11,Teams!$A:$A,0),4,11),
OFFSET(Teams!$K$1,MATCH($A11,Teams!$K:$K,0),4,11)
),
IFERROR(
OFFSET(Teams!$A$1,MATCH($A11,Teams!$A:$A,0),4,11),
OFFSET(Teams!$K$1,MATCH($A11,Teams!$K:$K,0),4,11)
)
))</f>
        <v>1</v>
      </c>
      <c r="G11" s="97" t="str">
        <f>IFERROR(__xludf.DUMMYFUNCTION("IFERROR(
IF(
INDEX(OFFSET(Teams!$A$1,MATCH($A11,Teams!$A:$A,0),6,13),13,0)&gt;0,
AVERAGE(FILTER(
OFFSET(Teams!$A$1,MATCH($A11,Teams!$A:$A,0),5,13),
NOT(OFFSET(Teams!$A$1,MATCH($A11,Teams!$A:$A,0),1,13)=INDEX(OFFSET(Teams!$A$1,MATCH($A11,Teams!$A:$A,0),1,13),"&amp;"12,0)),
NOT(OFFSET(Teams!$A$1,MATCH($A11,Teams!$A:$A,0),6,13)=MIN(OFFSET(Teams!$A$1,MATCH($A11,Teams!$A:$A,0),6,11),INDEX(OFFSET(Teams!$A$1,MATCH($A11,Teams!$A:$A,0),3,13),13,0)))
)),
AVERAGE(OFFSET(Teams!$A$1,MATCH($A11,Teams!$A:$A,0),5,11))
),
IF(
INDEX"&amp;"(OFFSET(Teams!$K$1,MATCH($A11,Teams!$K:$K,0),6,13),13,0)&gt;0,
AVERAGE(FILTER(
OFFSET(Teams!$K$1,MATCH($A11,Teams!$K:$K,0),5,13),
NOT(OFFSET(Teams!$K$1,MATCH($A11,Teams!$K:$K,0),1,13)=INDEX(OFFSET(Teams!$K$1,MATCH($A11,Teams!$K:$K,0),1,13),12,0)),
NOT(OFFSET"&amp;"(Teams!$K$1,MATCH($A11,Teams!$K:$K,0),6,13)=MIN(OFFSET(Teams!$K$1,MATCH($A11,Teams!$K:$K,0),6,11),INDEX(OFFSET(Teams!$K$1,MATCH($A11,Teams!$K:$K,0),3,13),13,0)))
)),
AVERAGE(OFFSET(Teams!$K$1,MATCH($A11,Teams!$K:$K,0),5,11))
)
)"),"#DIV/0!")</f>
        <v>#DIV/0!</v>
      </c>
      <c r="H11" s="98">
        <f>IFERROR(__xludf.DUMMYFUNCTION("IFERROR(
IF(
INDEX(OFFSET(Teams!$A$1,MATCH($A11,Teams!$A:$A,0),6,13),13,0)&gt;0,
AVERAGE(FILTER(
OFFSET(Teams!$A$1,MATCH($A11,Teams!$A:$A,0),6,13),
NOT(OFFSET(Teams!$A$1,MATCH($A11,Teams!$A:$A,0),1,13)=INDEX(OFFSET(Teams!$A$1,MATCH($A11,Teams!$A:$A,0),1,13),"&amp;"12,0)),
NOT(OFFSET(Teams!$A$1,MATCH($A11,Teams!$A:$A,0),6,13)=MIN(OFFSET(Teams!$A$1,MATCH($A11,Teams!$A:$A,0),6,11),INDEX(OFFSET(Teams!$A$1,MATCH($A11,Teams!$A:$A,0),3,13),13,0)))
)),
AVERAGE(OFFSET(Teams!$A$1,MATCH($A11,Teams!$A:$A,0),6,11))
),
IF(
INDEX"&amp;"(OFFSET(Teams!$K$1,MATCH($A11,Teams!$K:$K,0),6,13),13,0)&gt;0,
AVERAGE(FILTER(
OFFSET(Teams!$K$1,MATCH($A11,Teams!$K:$K,0),6,13),
NOT(OFFSET(Teams!$K$1,MATCH($A11,Teams!$K:$K,0),1,13)=INDEX(OFFSET(Teams!$K$1,MATCH($A11,Teams!$K:$K,0),1,13),12,0)),
NOT(OFFSET"&amp;"(Teams!$K$1,MATCH($A11,Teams!$K:$K,0),6,13)=MIN(OFFSET(Teams!$K$1,MATCH($A11,Teams!$K:$K,0),6,11),INDEX(OFFSET(Teams!$K$1,MATCH($A11,Teams!$K:$K,0),3,13),13,0)))
)),
AVERAGE(OFFSET(Teams!$K$1,MATCH($A11,Teams!$K:$K,0),6,11))
)
)"),0.0)</f>
        <v>0</v>
      </c>
      <c r="I11" s="99">
        <f>IFERROR(__xludf.DUMMYFUNCTION("IFERROR(
IF(
INDEX(OFFSET(Teams!$A$1,MATCH($A11,Teams!$A:$A,0),6,13),13,0)&gt;0,
AVERAGE(FILTER(
OFFSET(Teams!$A$1,MATCH($A11,Teams!$A:$A,0),7,13),
NOT(OFFSET(Teams!$A$1,MATCH($A11,Teams!$A:$A,0),1,13)=INDEX(OFFSET(Teams!$A$1,MATCH($A11,Teams!$A:$A,0),1,13),"&amp;"12,0)),
NOT(OFFSET(Teams!$A$1,MATCH($A11,Teams!$A:$A,0),6,13)=MIN(OFFSET(Teams!$A$1,MATCH($A11,Teams!$A:$A,0),6,11),INDEX(OFFSET(Teams!$A$1,MATCH($A11,Teams!$A:$A,0),3,13),13,0)))
)),
AVERAGE(OFFSET(Teams!$A$1,MATCH($A11,Teams!$A:$A,0),7,11))
),
IF(
INDEX"&amp;"(OFFSET(Teams!$K$1,MATCH($A11,Teams!$K:$K,0),6,13),13,0)&gt;0,
AVERAGE(FILTER(
OFFSET(Teams!$K$1,MATCH($A11,Teams!$K:$K,0),7,13),
NOT(OFFSET(Teams!$K$1,MATCH($A11,Teams!$K:$K,0),1,13)=INDEX(OFFSET(Teams!$K$1,MATCH($A11,Teams!$K:$K,0),1,13),12,0)),
NOT(OFFSET"&amp;"(Teams!$K$1,MATCH($A11,Teams!$K:$K,0),6,13)=MIN(OFFSET(Teams!$K$1,MATCH($A11,Teams!$K:$K,0),6,11),INDEX(OFFSET(Teams!$K$1,MATCH($A11,Teams!$K:$K,0),3,13),13,0)))
)),
AVERAGE(OFFSET(Teams!$K$1,MATCH($A11,Teams!$K:$K,0),7,11))
)
)"),0.0)</f>
        <v>0</v>
      </c>
      <c r="J11" s="97" t="str">
        <f t="shared" si="1"/>
        <v>#DIV/0!</v>
      </c>
      <c r="K11" s="31">
        <f>IFERROR(__xludf.DUMMYFUNCTION("(
AVERAGE(
FILTER(
IFERROR(
OFFSET(Teams!$A$1,MATCH($A11,Teams!$A:$A,0),8,13),
OFFSET(Teams!$K$1,MATCH($A11,Teams!$K:$K,0),8,13)
),
IFERROR(
OFFSET(Teams!$A$1,MATCH($A11,Teams!$A:$A,0),8,13),
OFFSET(Teams!$K$1,MATCH($A11,Teams!$K:$K,0),8,13)
)&lt;&gt;""#N/A"",
"&amp;"IFERROR(
OFFSET(Teams!$A$1,MATCH($A11,Teams!$A:$A,0),8,13),
OFFSET(Teams!$K$1,MATCH($A11,Teams!$K:$K,0),8,13)
)&gt;=LARGE(
FILTER(
IFERROR(
OFFSET(Teams!$A$1,MATCH($A11,Teams!$A:$A,0),8,13),
OFFSET(Teams!$K$1,MATCH($A11,Teams!$K:$K,0),8,13)
),
IFERROR(
OFFSE"&amp;"T(Teams!$A$1,MATCH($A11,Teams!$A:$A,0),8,13),
OFFSET(Teams!$K$1,MATCH($A11,Teams!$K:$K,0),8,13)
)&lt;&gt;""#N/A""),
5
)
)
)*3+
AVERAGE(
FILTER(
IFERROR(
OFFSET(Teams!$A$1,MATCH($A11,Teams!$A:$A,0),8,13),
OFFSET(Teams!$K$1,MATCH($A11,Teams!$K:$K,0),8,13)
),
IFER"&amp;"ROR(
OFFSET(Teams!$A$1,MATCH($A11,Teams!$A:$A,0),8,13),
OFFSET(Teams!$K$1,MATCH($A11,Teams!$K:$K,0),8,13)
)&lt;&gt;""#N/A"",
IFERROR(
OFFSET(Teams!$A$1,MATCH($A11,Teams!$A:$A,0),8,13),
OFFSET(Teams!$K$1,MATCH($A11,Teams!$K:$K,0),8,13)
)&gt;=LARGE(
FILTER(
IFERROR("&amp;"
OFFSET(Teams!$A$1,MATCH($A11,Teams!$A:$A,0),8,13),
OFFSET(Teams!$K$1,MATCH($A11,Teams!$K:$K,0),8,13)
),
IFERROR(
OFFSET(Teams!$A$1,MATCH($A11,Teams!$A:$A,0),8,13),
OFFSET(Teams!$K$1,MATCH($A11,Teams!$K:$K,0),8,13)
)&lt;&gt;""#N/A""),
7)
)
)+
AVERAGE(
FILTER(
I"&amp;"FERROR(OFFSET(Teams!$A$1,MATCH($A11,Teams!$A:$A,0),8,13),
OFFSET(Teams!$K$1,MATCH($A11,Teams!$K:$K,0),8,13)
),
IFERROR(OFFSET(Teams!$A$1,MATCH($A11,Teams!$A:$A,0),8,13),
OFFSET(Teams!$K$1,MATCH($A11,Teams!$K:$K,0),8,13)
)&lt;&gt;""#N/A"",
IFERROR(
OFFSET(Teams!"&amp;"$A$1,MATCH($A11,Teams!$A:$A,0),8,13),
OFFSET(Teams!$K$1,MATCH($A11,Teams!$K:$K,0),8,13)
)&gt;=LARGE(
FILTER(
IFERROR(
OFFSET(Teams!$A$1,MATCH($A11,Teams!$A:$A,0),8,13),
OFFSET(Teams!$K$1,MATCH($A11,Teams!$K:$K,0),8,13)
),
IFERROR(
OFFSET(Teams!$A$1,MATCH($A1"&amp;"1,Teams!$A:$A,0),8,13),
OFFSET(Teams!$K$1,MATCH($A11,Teams!$K:$K,0),8,13)
)&lt;&gt;""#N/A""
),
11
)
)
)
)
/5"),0.0)</f>
        <v>0</v>
      </c>
      <c r="L11" s="100" t="str">
        <f t="shared" si="2"/>
        <v>#N/A</v>
      </c>
      <c r="M11" s="101"/>
      <c r="N11" s="106">
        <v>0.0</v>
      </c>
      <c r="O11" s="9">
        <f>IFERROR(__xludf.DUMMYFUNCTION("""COMPUTED_VALUE"""),0.0)</f>
        <v>0</v>
      </c>
    </row>
    <row r="12">
      <c r="A12" s="17" t="s">
        <v>1327</v>
      </c>
      <c r="B12" s="94">
        <f>COUNTIF(
IFERROR(
OFFSET(Teams!$A$1,MATCH($A12,Teams!$A:$A,0),2,11),
OFFSET(Teams!$K$1,MATCH($A12,Teams!$K:$K,0),2,11)
),CONCATENATE("*",B$1,"*")
)</f>
        <v>0</v>
      </c>
      <c r="C12" s="94">
        <f>COUNTIF(
IFERROR(
OFFSET(Teams!$A$1,MATCH($A12,Teams!$A:$A,0),2,11),
OFFSET(Teams!$K$1,MATCH($A12,Teams!$K:$K,0),2,11)
),CONCATENATE("*",C$1,"*")
)</f>
        <v>0</v>
      </c>
      <c r="D12" s="94">
        <f>COUNTIF(
IFERROR(
OFFSET(Teams!$A$1,MATCH($A12,Teams!$A:$A,0),2,11),
OFFSET(Teams!$K$1,MATCH($A12,Teams!$K:$K,0),2,11)
),CONCATENATE("*",D$1,"*")
)</f>
        <v>0</v>
      </c>
      <c r="E12" s="98" t="str">
        <f>IFERROR(__xludf.DUMMYFUNCTION("IFERROR(
IF(
INDEX(OFFSET(Teams!$A$1,MATCH($A12,Teams!$A:$A,0),6,13),13,0)&gt;0,
AVERAGE(FILTER(
OFFSET(Teams!$A$1,MATCH($A12,Teams!$A:$A,0),3,13),
NOT(OFFSET(Teams!$A$1,MATCH($A12,Teams!$A:$A,0),1,13)=INDEX(OFFSET(Teams!$A$1,MATCH($A12,Teams!$A:$A,0),1,13),"&amp;"12,0)),
NOT(OFFSET(Teams!$A$1,MATCH($A12,Teams!$A:$A,0),6,13)=MIN(OFFSET(Teams!$A$1,MATCH($A12,Teams!$A:$A,0),6,11),INDEX(OFFSET(Teams!$A$1,MATCH($A12,Teams!$A:$A,0),3,13),13,0)))
)),
AVERAGE(OFFSET(Teams!$A$1,MATCH($A12,Teams!$A:$A,0),3,11))
),
IF(
INDEX"&amp;"(OFFSET(Teams!$K$1,MATCH($A12,Teams!$K:$K,0),6,13),13,0)&gt;0,
AVERAGE(FILTER(
OFFSET(Teams!$K$1,MATCH($A12,Teams!$K:$K,0),3,13),
NOT(OFFSET(Teams!$K$1,MATCH($A12,Teams!$K:$K,0),1,13)=INDEX(OFFSET(Teams!$K$1,MATCH($A12,Teams!$K:$K,0),1,13),12,0)),
NOT(OFFSET"&amp;"(Teams!$K$1,MATCH($A12,Teams!$K:$K,0),6,13)=MIN(OFFSET(Teams!$K$1,MATCH($A12,Teams!$K:$K,0),6,11),INDEX(OFFSET(Teams!$K$1,MATCH($A12,Teams!$K:$K,0),3,13),13,0)))
)),
AVERAGE(OFFSET(Teams!$K$1,MATCH($A12,Teams!$K:$K,0),3,11))
)
)"),"#DIV/0!")</f>
        <v>#DIV/0!</v>
      </c>
      <c r="F12" s="96">
        <f t="array" ref="F12">SUM(1/COUNTIF(
IFERROR(
OFFSET(Teams!$A$1,MATCH($A12,Teams!$A:$A,0),4,11),
OFFSET(Teams!$K$1,MATCH($A12,Teams!$K:$K,0),4,11)
),
IFERROR(
OFFSET(Teams!$A$1,MATCH($A12,Teams!$A:$A,0),4,11),
OFFSET(Teams!$K$1,MATCH($A12,Teams!$K:$K,0),4,11)
)
))</f>
        <v>1</v>
      </c>
      <c r="G12" s="97" t="str">
        <f>IFERROR(__xludf.DUMMYFUNCTION("IFERROR(
IF(
INDEX(OFFSET(Teams!$A$1,MATCH($A12,Teams!$A:$A,0),6,13),13,0)&gt;0,
AVERAGE(FILTER(
OFFSET(Teams!$A$1,MATCH($A12,Teams!$A:$A,0),5,13),
NOT(OFFSET(Teams!$A$1,MATCH($A12,Teams!$A:$A,0),1,13)=INDEX(OFFSET(Teams!$A$1,MATCH($A12,Teams!$A:$A,0),1,13),"&amp;"12,0)),
NOT(OFFSET(Teams!$A$1,MATCH($A12,Teams!$A:$A,0),6,13)=MIN(OFFSET(Teams!$A$1,MATCH($A12,Teams!$A:$A,0),6,11),INDEX(OFFSET(Teams!$A$1,MATCH($A12,Teams!$A:$A,0),3,13),13,0)))
)),
AVERAGE(OFFSET(Teams!$A$1,MATCH($A12,Teams!$A:$A,0),5,11))
),
IF(
INDEX"&amp;"(OFFSET(Teams!$K$1,MATCH($A12,Teams!$K:$K,0),6,13),13,0)&gt;0,
AVERAGE(FILTER(
OFFSET(Teams!$K$1,MATCH($A12,Teams!$K:$K,0),5,13),
NOT(OFFSET(Teams!$K$1,MATCH($A12,Teams!$K:$K,0),1,13)=INDEX(OFFSET(Teams!$K$1,MATCH($A12,Teams!$K:$K,0),1,13),12,0)),
NOT(OFFSET"&amp;"(Teams!$K$1,MATCH($A12,Teams!$K:$K,0),6,13)=MIN(OFFSET(Teams!$K$1,MATCH($A12,Teams!$K:$K,0),6,11),INDEX(OFFSET(Teams!$K$1,MATCH($A12,Teams!$K:$K,0),3,13),13,0)))
)),
AVERAGE(OFFSET(Teams!$K$1,MATCH($A12,Teams!$K:$K,0),5,11))
)
)"),"#DIV/0!")</f>
        <v>#DIV/0!</v>
      </c>
      <c r="H12" s="98">
        <f>IFERROR(__xludf.DUMMYFUNCTION("IFERROR(
IF(
INDEX(OFFSET(Teams!$A$1,MATCH($A12,Teams!$A:$A,0),6,13),13,0)&gt;0,
AVERAGE(FILTER(
OFFSET(Teams!$A$1,MATCH($A12,Teams!$A:$A,0),6,13),
NOT(OFFSET(Teams!$A$1,MATCH($A12,Teams!$A:$A,0),1,13)=INDEX(OFFSET(Teams!$A$1,MATCH($A12,Teams!$A:$A,0),1,13),"&amp;"12,0)),
NOT(OFFSET(Teams!$A$1,MATCH($A12,Teams!$A:$A,0),6,13)=MIN(OFFSET(Teams!$A$1,MATCH($A12,Teams!$A:$A,0),6,11),INDEX(OFFSET(Teams!$A$1,MATCH($A12,Teams!$A:$A,0),3,13),13,0)))
)),
AVERAGE(OFFSET(Teams!$A$1,MATCH($A12,Teams!$A:$A,0),6,11))
),
IF(
INDEX"&amp;"(OFFSET(Teams!$K$1,MATCH($A12,Teams!$K:$K,0),6,13),13,0)&gt;0,
AVERAGE(FILTER(
OFFSET(Teams!$K$1,MATCH($A12,Teams!$K:$K,0),6,13),
NOT(OFFSET(Teams!$K$1,MATCH($A12,Teams!$K:$K,0),1,13)=INDEX(OFFSET(Teams!$K$1,MATCH($A12,Teams!$K:$K,0),1,13),12,0)),
NOT(OFFSET"&amp;"(Teams!$K$1,MATCH($A12,Teams!$K:$K,0),6,13)=MIN(OFFSET(Teams!$K$1,MATCH($A12,Teams!$K:$K,0),6,11),INDEX(OFFSET(Teams!$K$1,MATCH($A12,Teams!$K:$K,0),3,13),13,0)))
)),
AVERAGE(OFFSET(Teams!$K$1,MATCH($A12,Teams!$K:$K,0),6,11))
)
)"),0.0)</f>
        <v>0</v>
      </c>
      <c r="I12" s="99">
        <f>IFERROR(__xludf.DUMMYFUNCTION("IFERROR(
IF(
INDEX(OFFSET(Teams!$A$1,MATCH($A12,Teams!$A:$A,0),6,13),13,0)&gt;0,
AVERAGE(FILTER(
OFFSET(Teams!$A$1,MATCH($A12,Teams!$A:$A,0),7,13),
NOT(OFFSET(Teams!$A$1,MATCH($A12,Teams!$A:$A,0),1,13)=INDEX(OFFSET(Teams!$A$1,MATCH($A12,Teams!$A:$A,0),1,13),"&amp;"12,0)),
NOT(OFFSET(Teams!$A$1,MATCH($A12,Teams!$A:$A,0),6,13)=MIN(OFFSET(Teams!$A$1,MATCH($A12,Teams!$A:$A,0),6,11),INDEX(OFFSET(Teams!$A$1,MATCH($A12,Teams!$A:$A,0),3,13),13,0)))
)),
AVERAGE(OFFSET(Teams!$A$1,MATCH($A12,Teams!$A:$A,0),7,11))
),
IF(
INDEX"&amp;"(OFFSET(Teams!$K$1,MATCH($A12,Teams!$K:$K,0),6,13),13,0)&gt;0,
AVERAGE(FILTER(
OFFSET(Teams!$K$1,MATCH($A12,Teams!$K:$K,0),7,13),
NOT(OFFSET(Teams!$K$1,MATCH($A12,Teams!$K:$K,0),1,13)=INDEX(OFFSET(Teams!$K$1,MATCH($A12,Teams!$K:$K,0),1,13),12,0)),
NOT(OFFSET"&amp;"(Teams!$K$1,MATCH($A12,Teams!$K:$K,0),6,13)=MIN(OFFSET(Teams!$K$1,MATCH($A12,Teams!$K:$K,0),6,11),INDEX(OFFSET(Teams!$K$1,MATCH($A12,Teams!$K:$K,0),3,13),13,0)))
)),
AVERAGE(OFFSET(Teams!$K$1,MATCH($A12,Teams!$K:$K,0),7,11))
)
)"),0.0)</f>
        <v>0</v>
      </c>
      <c r="J12" s="97" t="str">
        <f t="shared" si="1"/>
        <v>#DIV/0!</v>
      </c>
      <c r="K12" s="31">
        <f>IFERROR(__xludf.DUMMYFUNCTION("(
AVERAGE(
FILTER(
IFERROR(
OFFSET(Teams!$A$1,MATCH($A12,Teams!$A:$A,0),8,13),
OFFSET(Teams!$K$1,MATCH($A12,Teams!$K:$K,0),8,13)
),
IFERROR(
OFFSET(Teams!$A$1,MATCH($A12,Teams!$A:$A,0),8,13),
OFFSET(Teams!$K$1,MATCH($A12,Teams!$K:$K,0),8,13)
)&lt;&gt;""#N/A"",
"&amp;"IFERROR(
OFFSET(Teams!$A$1,MATCH($A12,Teams!$A:$A,0),8,13),
OFFSET(Teams!$K$1,MATCH($A12,Teams!$K:$K,0),8,13)
)&gt;=LARGE(
FILTER(
IFERROR(
OFFSET(Teams!$A$1,MATCH($A12,Teams!$A:$A,0),8,13),
OFFSET(Teams!$K$1,MATCH($A12,Teams!$K:$K,0),8,13)
),
IFERROR(
OFFSE"&amp;"T(Teams!$A$1,MATCH($A12,Teams!$A:$A,0),8,13),
OFFSET(Teams!$K$1,MATCH($A12,Teams!$K:$K,0),8,13)
)&lt;&gt;""#N/A""),
5
)
)
)*3+
AVERAGE(
FILTER(
IFERROR(
OFFSET(Teams!$A$1,MATCH($A12,Teams!$A:$A,0),8,13),
OFFSET(Teams!$K$1,MATCH($A12,Teams!$K:$K,0),8,13)
),
IFER"&amp;"ROR(
OFFSET(Teams!$A$1,MATCH($A12,Teams!$A:$A,0),8,13),
OFFSET(Teams!$K$1,MATCH($A12,Teams!$K:$K,0),8,13)
)&lt;&gt;""#N/A"",
IFERROR(
OFFSET(Teams!$A$1,MATCH($A12,Teams!$A:$A,0),8,13),
OFFSET(Teams!$K$1,MATCH($A12,Teams!$K:$K,0),8,13)
)&gt;=LARGE(
FILTER(
IFERROR("&amp;"
OFFSET(Teams!$A$1,MATCH($A12,Teams!$A:$A,0),8,13),
OFFSET(Teams!$K$1,MATCH($A12,Teams!$K:$K,0),8,13)
),
IFERROR(
OFFSET(Teams!$A$1,MATCH($A12,Teams!$A:$A,0),8,13),
OFFSET(Teams!$K$1,MATCH($A12,Teams!$K:$K,0),8,13)
)&lt;&gt;""#N/A""),
7)
)
)+
AVERAGE(
FILTER(
I"&amp;"FERROR(OFFSET(Teams!$A$1,MATCH($A12,Teams!$A:$A,0),8,13),
OFFSET(Teams!$K$1,MATCH($A12,Teams!$K:$K,0),8,13)
),
IFERROR(OFFSET(Teams!$A$1,MATCH($A12,Teams!$A:$A,0),8,13),
OFFSET(Teams!$K$1,MATCH($A12,Teams!$K:$K,0),8,13)
)&lt;&gt;""#N/A"",
IFERROR(
OFFSET(Teams!"&amp;"$A$1,MATCH($A12,Teams!$A:$A,0),8,13),
OFFSET(Teams!$K$1,MATCH($A12,Teams!$K:$K,0),8,13)
)&gt;=LARGE(
FILTER(
IFERROR(
OFFSET(Teams!$A$1,MATCH($A12,Teams!$A:$A,0),8,13),
OFFSET(Teams!$K$1,MATCH($A12,Teams!$K:$K,0),8,13)
),
IFERROR(
OFFSET(Teams!$A$1,MATCH($A1"&amp;"2,Teams!$A:$A,0),8,13),
OFFSET(Teams!$K$1,MATCH($A12,Teams!$K:$K,0),8,13)
)&lt;&gt;""#N/A""
),
11
)
)
)
)
/5"),0.0)</f>
        <v>0</v>
      </c>
      <c r="L12" s="100" t="str">
        <f t="shared" si="2"/>
        <v>#N/A</v>
      </c>
      <c r="M12" s="101"/>
      <c r="N12" s="106">
        <v>0.0</v>
      </c>
      <c r="O12" s="9">
        <f>IFERROR(__xludf.DUMMYFUNCTION("""COMPUTED_VALUE"""),0.0)</f>
        <v>0</v>
      </c>
    </row>
    <row r="13">
      <c r="A13" s="17" t="s">
        <v>1325</v>
      </c>
      <c r="B13" s="94">
        <f>COUNTIF(
IFERROR(
OFFSET(Teams!$A$1,MATCH($A13,Teams!$A:$A,0),2,11),
OFFSET(Teams!$K$1,MATCH($A13,Teams!$K:$K,0),2,11)
),CONCATENATE("*",B$1,"*")
)</f>
        <v>0</v>
      </c>
      <c r="C13" s="94">
        <f>COUNTIF(
IFERROR(
OFFSET(Teams!$A$1,MATCH($A13,Teams!$A:$A,0),2,11),
OFFSET(Teams!$K$1,MATCH($A13,Teams!$K:$K,0),2,11)
),CONCATENATE("*",C$1,"*")
)</f>
        <v>0</v>
      </c>
      <c r="D13" s="94">
        <f>COUNTIF(
IFERROR(
OFFSET(Teams!$A$1,MATCH($A13,Teams!$A:$A,0),2,11),
OFFSET(Teams!$K$1,MATCH($A13,Teams!$K:$K,0),2,11)
),CONCATENATE("*",D$1,"*")
)</f>
        <v>0</v>
      </c>
      <c r="E13" s="98" t="str">
        <f>IFERROR(__xludf.DUMMYFUNCTION("IFERROR(
IF(
INDEX(OFFSET(Teams!$A$1,MATCH($A13,Teams!$A:$A,0),6,13),13,0)&gt;0,
AVERAGE(FILTER(
OFFSET(Teams!$A$1,MATCH($A13,Teams!$A:$A,0),3,13),
NOT(OFFSET(Teams!$A$1,MATCH($A13,Teams!$A:$A,0),1,13)=INDEX(OFFSET(Teams!$A$1,MATCH($A13,Teams!$A:$A,0),1,13),"&amp;"12,0)),
NOT(OFFSET(Teams!$A$1,MATCH($A13,Teams!$A:$A,0),6,13)=MIN(OFFSET(Teams!$A$1,MATCH($A13,Teams!$A:$A,0),6,11),INDEX(OFFSET(Teams!$A$1,MATCH($A13,Teams!$A:$A,0),3,13),13,0)))
)),
AVERAGE(OFFSET(Teams!$A$1,MATCH($A13,Teams!$A:$A,0),3,11))
),
IF(
INDEX"&amp;"(OFFSET(Teams!$K$1,MATCH($A13,Teams!$K:$K,0),6,13),13,0)&gt;0,
AVERAGE(FILTER(
OFFSET(Teams!$K$1,MATCH($A13,Teams!$K:$K,0),3,13),
NOT(OFFSET(Teams!$K$1,MATCH($A13,Teams!$K:$K,0),1,13)=INDEX(OFFSET(Teams!$K$1,MATCH($A13,Teams!$K:$K,0),1,13),12,0)),
NOT(OFFSET"&amp;"(Teams!$K$1,MATCH($A13,Teams!$K:$K,0),6,13)=MIN(OFFSET(Teams!$K$1,MATCH($A13,Teams!$K:$K,0),6,11),INDEX(OFFSET(Teams!$K$1,MATCH($A13,Teams!$K:$K,0),3,13),13,0)))
)),
AVERAGE(OFFSET(Teams!$K$1,MATCH($A13,Teams!$K:$K,0),3,11))
)
)"),"#DIV/0!")</f>
        <v>#DIV/0!</v>
      </c>
      <c r="F13" s="96">
        <f t="array" ref="F13">SUM(1/COUNTIF(
IFERROR(
OFFSET(Teams!$A$1,MATCH($A13,Teams!$A:$A,0),4,11),
OFFSET(Teams!$K$1,MATCH($A13,Teams!$K:$K,0),4,11)
),
IFERROR(
OFFSET(Teams!$A$1,MATCH($A13,Teams!$A:$A,0),4,11),
OFFSET(Teams!$K$1,MATCH($A13,Teams!$K:$K,0),4,11)
)
))</f>
        <v>1</v>
      </c>
      <c r="G13" s="97" t="str">
        <f>IFERROR(__xludf.DUMMYFUNCTION("IFERROR(
IF(
INDEX(OFFSET(Teams!$A$1,MATCH($A13,Teams!$A:$A,0),6,13),13,0)&gt;0,
AVERAGE(FILTER(
OFFSET(Teams!$A$1,MATCH($A13,Teams!$A:$A,0),5,13),
NOT(OFFSET(Teams!$A$1,MATCH($A13,Teams!$A:$A,0),1,13)=INDEX(OFFSET(Teams!$A$1,MATCH($A13,Teams!$A:$A,0),1,13),"&amp;"12,0)),
NOT(OFFSET(Teams!$A$1,MATCH($A13,Teams!$A:$A,0),6,13)=MIN(OFFSET(Teams!$A$1,MATCH($A13,Teams!$A:$A,0),6,11),INDEX(OFFSET(Teams!$A$1,MATCH($A13,Teams!$A:$A,0),3,13),13,0)))
)),
AVERAGE(OFFSET(Teams!$A$1,MATCH($A13,Teams!$A:$A,0),5,11))
),
IF(
INDEX"&amp;"(OFFSET(Teams!$K$1,MATCH($A13,Teams!$K:$K,0),6,13),13,0)&gt;0,
AVERAGE(FILTER(
OFFSET(Teams!$K$1,MATCH($A13,Teams!$K:$K,0),5,13),
NOT(OFFSET(Teams!$K$1,MATCH($A13,Teams!$K:$K,0),1,13)=INDEX(OFFSET(Teams!$K$1,MATCH($A13,Teams!$K:$K,0),1,13),12,0)),
NOT(OFFSET"&amp;"(Teams!$K$1,MATCH($A13,Teams!$K:$K,0),6,13)=MIN(OFFSET(Teams!$K$1,MATCH($A13,Teams!$K:$K,0),6,11),INDEX(OFFSET(Teams!$K$1,MATCH($A13,Teams!$K:$K,0),3,13),13,0)))
)),
AVERAGE(OFFSET(Teams!$K$1,MATCH($A13,Teams!$K:$K,0),5,11))
)
)"),"#DIV/0!")</f>
        <v>#DIV/0!</v>
      </c>
      <c r="H13" s="98">
        <f>IFERROR(__xludf.DUMMYFUNCTION("IFERROR(
IF(
INDEX(OFFSET(Teams!$A$1,MATCH($A13,Teams!$A:$A,0),6,13),13,0)&gt;0,
AVERAGE(FILTER(
OFFSET(Teams!$A$1,MATCH($A13,Teams!$A:$A,0),6,13),
NOT(OFFSET(Teams!$A$1,MATCH($A13,Teams!$A:$A,0),1,13)=INDEX(OFFSET(Teams!$A$1,MATCH($A13,Teams!$A:$A,0),1,13),"&amp;"12,0)),
NOT(OFFSET(Teams!$A$1,MATCH($A13,Teams!$A:$A,0),6,13)=MIN(OFFSET(Teams!$A$1,MATCH($A13,Teams!$A:$A,0),6,11),INDEX(OFFSET(Teams!$A$1,MATCH($A13,Teams!$A:$A,0),3,13),13,0)))
)),
AVERAGE(OFFSET(Teams!$A$1,MATCH($A13,Teams!$A:$A,0),6,11))
),
IF(
INDEX"&amp;"(OFFSET(Teams!$K$1,MATCH($A13,Teams!$K:$K,0),6,13),13,0)&gt;0,
AVERAGE(FILTER(
OFFSET(Teams!$K$1,MATCH($A13,Teams!$K:$K,0),6,13),
NOT(OFFSET(Teams!$K$1,MATCH($A13,Teams!$K:$K,0),1,13)=INDEX(OFFSET(Teams!$K$1,MATCH($A13,Teams!$K:$K,0),1,13),12,0)),
NOT(OFFSET"&amp;"(Teams!$K$1,MATCH($A13,Teams!$K:$K,0),6,13)=MIN(OFFSET(Teams!$K$1,MATCH($A13,Teams!$K:$K,0),6,11),INDEX(OFFSET(Teams!$K$1,MATCH($A13,Teams!$K:$K,0),3,13),13,0)))
)),
AVERAGE(OFFSET(Teams!$K$1,MATCH($A13,Teams!$K:$K,0),6,11))
)
)"),0.0)</f>
        <v>0</v>
      </c>
      <c r="I13" s="99">
        <f>IFERROR(__xludf.DUMMYFUNCTION("IFERROR(
IF(
INDEX(OFFSET(Teams!$A$1,MATCH($A13,Teams!$A:$A,0),6,13),13,0)&gt;0,
AVERAGE(FILTER(
OFFSET(Teams!$A$1,MATCH($A13,Teams!$A:$A,0),7,13),
NOT(OFFSET(Teams!$A$1,MATCH($A13,Teams!$A:$A,0),1,13)=INDEX(OFFSET(Teams!$A$1,MATCH($A13,Teams!$A:$A,0),1,13),"&amp;"12,0)),
NOT(OFFSET(Teams!$A$1,MATCH($A13,Teams!$A:$A,0),6,13)=MIN(OFFSET(Teams!$A$1,MATCH($A13,Teams!$A:$A,0),6,11),INDEX(OFFSET(Teams!$A$1,MATCH($A13,Teams!$A:$A,0),3,13),13,0)))
)),
AVERAGE(OFFSET(Teams!$A$1,MATCH($A13,Teams!$A:$A,0),7,11))
),
IF(
INDEX"&amp;"(OFFSET(Teams!$K$1,MATCH($A13,Teams!$K:$K,0),6,13),13,0)&gt;0,
AVERAGE(FILTER(
OFFSET(Teams!$K$1,MATCH($A13,Teams!$K:$K,0),7,13),
NOT(OFFSET(Teams!$K$1,MATCH($A13,Teams!$K:$K,0),1,13)=INDEX(OFFSET(Teams!$K$1,MATCH($A13,Teams!$K:$K,0),1,13),12,0)),
NOT(OFFSET"&amp;"(Teams!$K$1,MATCH($A13,Teams!$K:$K,0),6,13)=MIN(OFFSET(Teams!$K$1,MATCH($A13,Teams!$K:$K,0),6,11),INDEX(OFFSET(Teams!$K$1,MATCH($A13,Teams!$K:$K,0),3,13),13,0)))
)),
AVERAGE(OFFSET(Teams!$K$1,MATCH($A13,Teams!$K:$K,0),7,11))
)
)"),0.0)</f>
        <v>0</v>
      </c>
      <c r="J13" s="97" t="str">
        <f t="shared" si="1"/>
        <v>#DIV/0!</v>
      </c>
      <c r="K13" s="31">
        <f>IFERROR(__xludf.DUMMYFUNCTION("(
AVERAGE(
FILTER(
IFERROR(
OFFSET(Teams!$A$1,MATCH($A13,Teams!$A:$A,0),8,13),
OFFSET(Teams!$K$1,MATCH($A13,Teams!$K:$K,0),8,13)
),
IFERROR(
OFFSET(Teams!$A$1,MATCH($A13,Teams!$A:$A,0),8,13),
OFFSET(Teams!$K$1,MATCH($A13,Teams!$K:$K,0),8,13)
)&lt;&gt;""#N/A"",
"&amp;"IFERROR(
OFFSET(Teams!$A$1,MATCH($A13,Teams!$A:$A,0),8,13),
OFFSET(Teams!$K$1,MATCH($A13,Teams!$K:$K,0),8,13)
)&gt;=LARGE(
FILTER(
IFERROR(
OFFSET(Teams!$A$1,MATCH($A13,Teams!$A:$A,0),8,13),
OFFSET(Teams!$K$1,MATCH($A13,Teams!$K:$K,0),8,13)
),
IFERROR(
OFFSE"&amp;"T(Teams!$A$1,MATCH($A13,Teams!$A:$A,0),8,13),
OFFSET(Teams!$K$1,MATCH($A13,Teams!$K:$K,0),8,13)
)&lt;&gt;""#N/A""),
5
)
)
)*3+
AVERAGE(
FILTER(
IFERROR(
OFFSET(Teams!$A$1,MATCH($A13,Teams!$A:$A,0),8,13),
OFFSET(Teams!$K$1,MATCH($A13,Teams!$K:$K,0),8,13)
),
IFER"&amp;"ROR(
OFFSET(Teams!$A$1,MATCH($A13,Teams!$A:$A,0),8,13),
OFFSET(Teams!$K$1,MATCH($A13,Teams!$K:$K,0),8,13)
)&lt;&gt;""#N/A"",
IFERROR(
OFFSET(Teams!$A$1,MATCH($A13,Teams!$A:$A,0),8,13),
OFFSET(Teams!$K$1,MATCH($A13,Teams!$K:$K,0),8,13)
)&gt;=LARGE(
FILTER(
IFERROR("&amp;"
OFFSET(Teams!$A$1,MATCH($A13,Teams!$A:$A,0),8,13),
OFFSET(Teams!$K$1,MATCH($A13,Teams!$K:$K,0),8,13)
),
IFERROR(
OFFSET(Teams!$A$1,MATCH($A13,Teams!$A:$A,0),8,13),
OFFSET(Teams!$K$1,MATCH($A13,Teams!$K:$K,0),8,13)
)&lt;&gt;""#N/A""),
7)
)
)+
AVERAGE(
FILTER(
I"&amp;"FERROR(OFFSET(Teams!$A$1,MATCH($A13,Teams!$A:$A,0),8,13),
OFFSET(Teams!$K$1,MATCH($A13,Teams!$K:$K,0),8,13)
),
IFERROR(OFFSET(Teams!$A$1,MATCH($A13,Teams!$A:$A,0),8,13),
OFFSET(Teams!$K$1,MATCH($A13,Teams!$K:$K,0),8,13)
)&lt;&gt;""#N/A"",
IFERROR(
OFFSET(Teams!"&amp;"$A$1,MATCH($A13,Teams!$A:$A,0),8,13),
OFFSET(Teams!$K$1,MATCH($A13,Teams!$K:$K,0),8,13)
)&gt;=LARGE(
FILTER(
IFERROR(
OFFSET(Teams!$A$1,MATCH($A13,Teams!$A:$A,0),8,13),
OFFSET(Teams!$K$1,MATCH($A13,Teams!$K:$K,0),8,13)
),
IFERROR(
OFFSET(Teams!$A$1,MATCH($A1"&amp;"3,Teams!$A:$A,0),8,13),
OFFSET(Teams!$K$1,MATCH($A13,Teams!$K:$K,0),8,13)
)&lt;&gt;""#N/A""
),
11
)
)
)
)
/5"),0.0)</f>
        <v>0</v>
      </c>
      <c r="L13" s="100" t="str">
        <f t="shared" si="2"/>
        <v>#N/A</v>
      </c>
      <c r="M13" s="101"/>
      <c r="N13" s="106">
        <v>0.0</v>
      </c>
      <c r="O13" s="9">
        <f>IFERROR(__xludf.DUMMYFUNCTION("""COMPUTED_VALUE"""),0.0)</f>
        <v>0</v>
      </c>
    </row>
    <row r="14">
      <c r="A14" s="17" t="s">
        <v>1336</v>
      </c>
      <c r="B14" s="94">
        <f>COUNTIF(
IFERROR(
OFFSET(Teams!$A$1,MATCH($A14,Teams!$A:$A,0),2,11),
OFFSET(Teams!$K$1,MATCH($A14,Teams!$K:$K,0),2,11)
),CONCATENATE("*",B$1,"*")
)</f>
        <v>0</v>
      </c>
      <c r="C14" s="94">
        <f>COUNTIF(
IFERROR(
OFFSET(Teams!$A$1,MATCH($A14,Teams!$A:$A,0),2,11),
OFFSET(Teams!$K$1,MATCH($A14,Teams!$K:$K,0),2,11)
),CONCATENATE("*",C$1,"*")
)</f>
        <v>0</v>
      </c>
      <c r="D14" s="94">
        <f>COUNTIF(
IFERROR(
OFFSET(Teams!$A$1,MATCH($A14,Teams!$A:$A,0),2,11),
OFFSET(Teams!$K$1,MATCH($A14,Teams!$K:$K,0),2,11)
),CONCATENATE("*",D$1,"*")
)</f>
        <v>0</v>
      </c>
      <c r="E14" s="98" t="str">
        <f>IFERROR(__xludf.DUMMYFUNCTION("IFERROR(
IF(
INDEX(OFFSET(Teams!$A$1,MATCH($A14,Teams!$A:$A,0),6,13),13,0)&gt;0,
AVERAGE(FILTER(
OFFSET(Teams!$A$1,MATCH($A14,Teams!$A:$A,0),3,13),
NOT(OFFSET(Teams!$A$1,MATCH($A14,Teams!$A:$A,0),1,13)=INDEX(OFFSET(Teams!$A$1,MATCH($A14,Teams!$A:$A,0),1,13),"&amp;"12,0)),
NOT(OFFSET(Teams!$A$1,MATCH($A14,Teams!$A:$A,0),6,13)=MIN(OFFSET(Teams!$A$1,MATCH($A14,Teams!$A:$A,0),6,11),INDEX(OFFSET(Teams!$A$1,MATCH($A14,Teams!$A:$A,0),3,13),13,0)))
)),
AVERAGE(OFFSET(Teams!$A$1,MATCH($A14,Teams!$A:$A,0),3,11))
),
IF(
INDEX"&amp;"(OFFSET(Teams!$K$1,MATCH($A14,Teams!$K:$K,0),6,13),13,0)&gt;0,
AVERAGE(FILTER(
OFFSET(Teams!$K$1,MATCH($A14,Teams!$K:$K,0),3,13),
NOT(OFFSET(Teams!$K$1,MATCH($A14,Teams!$K:$K,0),1,13)=INDEX(OFFSET(Teams!$K$1,MATCH($A14,Teams!$K:$K,0),1,13),12,0)),
NOT(OFFSET"&amp;"(Teams!$K$1,MATCH($A14,Teams!$K:$K,0),6,13)=MIN(OFFSET(Teams!$K$1,MATCH($A14,Teams!$K:$K,0),6,11),INDEX(OFFSET(Teams!$K$1,MATCH($A14,Teams!$K:$K,0),3,13),13,0)))
)),
AVERAGE(OFFSET(Teams!$K$1,MATCH($A14,Teams!$K:$K,0),3,11))
)
)"),"#DIV/0!")</f>
        <v>#DIV/0!</v>
      </c>
      <c r="F14" s="96">
        <f t="array" ref="F14">SUM(1/COUNTIF(
IFERROR(
OFFSET(Teams!$A$1,MATCH($A14,Teams!$A:$A,0),4,11),
OFFSET(Teams!$K$1,MATCH($A14,Teams!$K:$K,0),4,11)
),
IFERROR(
OFFSET(Teams!$A$1,MATCH($A14,Teams!$A:$A,0),4,11),
OFFSET(Teams!$K$1,MATCH($A14,Teams!$K:$K,0),4,11)
)
))</f>
        <v>1</v>
      </c>
      <c r="G14" s="97" t="str">
        <f>IFERROR(__xludf.DUMMYFUNCTION("IFERROR(
IF(
INDEX(OFFSET(Teams!$A$1,MATCH($A14,Teams!$A:$A,0),6,13),13,0)&gt;0,
AVERAGE(FILTER(
OFFSET(Teams!$A$1,MATCH($A14,Teams!$A:$A,0),5,13),
NOT(OFFSET(Teams!$A$1,MATCH($A14,Teams!$A:$A,0),1,13)=INDEX(OFFSET(Teams!$A$1,MATCH($A14,Teams!$A:$A,0),1,13),"&amp;"12,0)),
NOT(OFFSET(Teams!$A$1,MATCH($A14,Teams!$A:$A,0),6,13)=MIN(OFFSET(Teams!$A$1,MATCH($A14,Teams!$A:$A,0),6,11),INDEX(OFFSET(Teams!$A$1,MATCH($A14,Teams!$A:$A,0),3,13),13,0)))
)),
AVERAGE(OFFSET(Teams!$A$1,MATCH($A14,Teams!$A:$A,0),5,11))
),
IF(
INDEX"&amp;"(OFFSET(Teams!$K$1,MATCH($A14,Teams!$K:$K,0),6,13),13,0)&gt;0,
AVERAGE(FILTER(
OFFSET(Teams!$K$1,MATCH($A14,Teams!$K:$K,0),5,13),
NOT(OFFSET(Teams!$K$1,MATCH($A14,Teams!$K:$K,0),1,13)=INDEX(OFFSET(Teams!$K$1,MATCH($A14,Teams!$K:$K,0),1,13),12,0)),
NOT(OFFSET"&amp;"(Teams!$K$1,MATCH($A14,Teams!$K:$K,0),6,13)=MIN(OFFSET(Teams!$K$1,MATCH($A14,Teams!$K:$K,0),6,11),INDEX(OFFSET(Teams!$K$1,MATCH($A14,Teams!$K:$K,0),3,13),13,0)))
)),
AVERAGE(OFFSET(Teams!$K$1,MATCH($A14,Teams!$K:$K,0),5,11))
)
)"),"#DIV/0!")</f>
        <v>#DIV/0!</v>
      </c>
      <c r="H14" s="98">
        <f>IFERROR(__xludf.DUMMYFUNCTION("IFERROR(
IF(
INDEX(OFFSET(Teams!$A$1,MATCH($A14,Teams!$A:$A,0),6,13),13,0)&gt;0,
AVERAGE(FILTER(
OFFSET(Teams!$A$1,MATCH($A14,Teams!$A:$A,0),6,13),
NOT(OFFSET(Teams!$A$1,MATCH($A14,Teams!$A:$A,0),1,13)=INDEX(OFFSET(Teams!$A$1,MATCH($A14,Teams!$A:$A,0),1,13),"&amp;"12,0)),
NOT(OFFSET(Teams!$A$1,MATCH($A14,Teams!$A:$A,0),6,13)=MIN(OFFSET(Teams!$A$1,MATCH($A14,Teams!$A:$A,0),6,11),INDEX(OFFSET(Teams!$A$1,MATCH($A14,Teams!$A:$A,0),3,13),13,0)))
)),
AVERAGE(OFFSET(Teams!$A$1,MATCH($A14,Teams!$A:$A,0),6,11))
),
IF(
INDEX"&amp;"(OFFSET(Teams!$K$1,MATCH($A14,Teams!$K:$K,0),6,13),13,0)&gt;0,
AVERAGE(FILTER(
OFFSET(Teams!$K$1,MATCH($A14,Teams!$K:$K,0),6,13),
NOT(OFFSET(Teams!$K$1,MATCH($A14,Teams!$K:$K,0),1,13)=INDEX(OFFSET(Teams!$K$1,MATCH($A14,Teams!$K:$K,0),1,13),12,0)),
NOT(OFFSET"&amp;"(Teams!$K$1,MATCH($A14,Teams!$K:$K,0),6,13)=MIN(OFFSET(Teams!$K$1,MATCH($A14,Teams!$K:$K,0),6,11),INDEX(OFFSET(Teams!$K$1,MATCH($A14,Teams!$K:$K,0),3,13),13,0)))
)),
AVERAGE(OFFSET(Teams!$K$1,MATCH($A14,Teams!$K:$K,0),6,11))
)
)"),0.0)</f>
        <v>0</v>
      </c>
      <c r="I14" s="99">
        <f>IFERROR(__xludf.DUMMYFUNCTION("IFERROR(
IF(
INDEX(OFFSET(Teams!$A$1,MATCH($A14,Teams!$A:$A,0),6,13),13,0)&gt;0,
AVERAGE(FILTER(
OFFSET(Teams!$A$1,MATCH($A14,Teams!$A:$A,0),7,13),
NOT(OFFSET(Teams!$A$1,MATCH($A14,Teams!$A:$A,0),1,13)=INDEX(OFFSET(Teams!$A$1,MATCH($A14,Teams!$A:$A,0),1,13),"&amp;"12,0)),
NOT(OFFSET(Teams!$A$1,MATCH($A14,Teams!$A:$A,0),6,13)=MIN(OFFSET(Teams!$A$1,MATCH($A14,Teams!$A:$A,0),6,11),INDEX(OFFSET(Teams!$A$1,MATCH($A14,Teams!$A:$A,0),3,13),13,0)))
)),
AVERAGE(OFFSET(Teams!$A$1,MATCH($A14,Teams!$A:$A,0),7,11))
),
IF(
INDEX"&amp;"(OFFSET(Teams!$K$1,MATCH($A14,Teams!$K:$K,0),6,13),13,0)&gt;0,
AVERAGE(FILTER(
OFFSET(Teams!$K$1,MATCH($A14,Teams!$K:$K,0),7,13),
NOT(OFFSET(Teams!$K$1,MATCH($A14,Teams!$K:$K,0),1,13)=INDEX(OFFSET(Teams!$K$1,MATCH($A14,Teams!$K:$K,0),1,13),12,0)),
NOT(OFFSET"&amp;"(Teams!$K$1,MATCH($A14,Teams!$K:$K,0),6,13)=MIN(OFFSET(Teams!$K$1,MATCH($A14,Teams!$K:$K,0),6,11),INDEX(OFFSET(Teams!$K$1,MATCH($A14,Teams!$K:$K,0),3,13),13,0)))
)),
AVERAGE(OFFSET(Teams!$K$1,MATCH($A14,Teams!$K:$K,0),7,11))
)
)"),0.0)</f>
        <v>0</v>
      </c>
      <c r="J14" s="97" t="str">
        <f t="shared" si="1"/>
        <v>#DIV/0!</v>
      </c>
      <c r="K14" s="31">
        <f>IFERROR(__xludf.DUMMYFUNCTION("(
AVERAGE(
FILTER(
IFERROR(
OFFSET(Teams!$A$1,MATCH($A14,Teams!$A:$A,0),8,13),
OFFSET(Teams!$K$1,MATCH($A14,Teams!$K:$K,0),8,13)
),
IFERROR(
OFFSET(Teams!$A$1,MATCH($A14,Teams!$A:$A,0),8,13),
OFFSET(Teams!$K$1,MATCH($A14,Teams!$K:$K,0),8,13)
)&lt;&gt;""#N/A"",
"&amp;"IFERROR(
OFFSET(Teams!$A$1,MATCH($A14,Teams!$A:$A,0),8,13),
OFFSET(Teams!$K$1,MATCH($A14,Teams!$K:$K,0),8,13)
)&gt;=LARGE(
FILTER(
IFERROR(
OFFSET(Teams!$A$1,MATCH($A14,Teams!$A:$A,0),8,13),
OFFSET(Teams!$K$1,MATCH($A14,Teams!$K:$K,0),8,13)
),
IFERROR(
OFFSE"&amp;"T(Teams!$A$1,MATCH($A14,Teams!$A:$A,0),8,13),
OFFSET(Teams!$K$1,MATCH($A14,Teams!$K:$K,0),8,13)
)&lt;&gt;""#N/A""),
5
)
)
)*3+
AVERAGE(
FILTER(
IFERROR(
OFFSET(Teams!$A$1,MATCH($A14,Teams!$A:$A,0),8,13),
OFFSET(Teams!$K$1,MATCH($A14,Teams!$K:$K,0),8,13)
),
IFER"&amp;"ROR(
OFFSET(Teams!$A$1,MATCH($A14,Teams!$A:$A,0),8,13),
OFFSET(Teams!$K$1,MATCH($A14,Teams!$K:$K,0),8,13)
)&lt;&gt;""#N/A"",
IFERROR(
OFFSET(Teams!$A$1,MATCH($A14,Teams!$A:$A,0),8,13),
OFFSET(Teams!$K$1,MATCH($A14,Teams!$K:$K,0),8,13)
)&gt;=LARGE(
FILTER(
IFERROR("&amp;"
OFFSET(Teams!$A$1,MATCH($A14,Teams!$A:$A,0),8,13),
OFFSET(Teams!$K$1,MATCH($A14,Teams!$K:$K,0),8,13)
),
IFERROR(
OFFSET(Teams!$A$1,MATCH($A14,Teams!$A:$A,0),8,13),
OFFSET(Teams!$K$1,MATCH($A14,Teams!$K:$K,0),8,13)
)&lt;&gt;""#N/A""),
7)
)
)+
AVERAGE(
FILTER(
I"&amp;"FERROR(OFFSET(Teams!$A$1,MATCH($A14,Teams!$A:$A,0),8,13),
OFFSET(Teams!$K$1,MATCH($A14,Teams!$K:$K,0),8,13)
),
IFERROR(OFFSET(Teams!$A$1,MATCH($A14,Teams!$A:$A,0),8,13),
OFFSET(Teams!$K$1,MATCH($A14,Teams!$K:$K,0),8,13)
)&lt;&gt;""#N/A"",
IFERROR(
OFFSET(Teams!"&amp;"$A$1,MATCH($A14,Teams!$A:$A,0),8,13),
OFFSET(Teams!$K$1,MATCH($A14,Teams!$K:$K,0),8,13)
)&gt;=LARGE(
FILTER(
IFERROR(
OFFSET(Teams!$A$1,MATCH($A14,Teams!$A:$A,0),8,13),
OFFSET(Teams!$K$1,MATCH($A14,Teams!$K:$K,0),8,13)
),
IFERROR(
OFFSET(Teams!$A$1,MATCH($A1"&amp;"4,Teams!$A:$A,0),8,13),
OFFSET(Teams!$K$1,MATCH($A14,Teams!$K:$K,0),8,13)
)&lt;&gt;""#N/A""
),
11
)
)
)
)
/5"),0.0)</f>
        <v>0</v>
      </c>
      <c r="L14" s="100" t="str">
        <f t="shared" si="2"/>
        <v>#N/A</v>
      </c>
      <c r="M14" s="101"/>
      <c r="N14" s="106">
        <v>0.0</v>
      </c>
    </row>
    <row r="15">
      <c r="A15" s="17" t="s">
        <v>1339</v>
      </c>
      <c r="B15" s="94">
        <f>COUNTIF(
IFERROR(
OFFSET(Teams!$A$1,MATCH($A15,Teams!$A:$A,0),2,11),
OFFSET(Teams!$K$1,MATCH($A15,Teams!$K:$K,0),2,11)
),CONCATENATE("*",B$1,"*")
)</f>
        <v>0</v>
      </c>
      <c r="C15" s="94">
        <f>COUNTIF(
IFERROR(
OFFSET(Teams!$A$1,MATCH($A15,Teams!$A:$A,0),2,11),
OFFSET(Teams!$K$1,MATCH($A15,Teams!$K:$K,0),2,11)
),CONCATENATE("*",C$1,"*")
)</f>
        <v>0</v>
      </c>
      <c r="D15" s="94">
        <f>COUNTIF(
IFERROR(
OFFSET(Teams!$A$1,MATCH($A15,Teams!$A:$A,0),2,11),
OFFSET(Teams!$K$1,MATCH($A15,Teams!$K:$K,0),2,11)
),CONCATENATE("*",D$1,"*")
)</f>
        <v>0</v>
      </c>
      <c r="E15" s="98" t="str">
        <f>IFERROR(__xludf.DUMMYFUNCTION("IFERROR(
IF(
INDEX(OFFSET(Teams!$A$1,MATCH($A15,Teams!$A:$A,0),6,13),13,0)&gt;0,
AVERAGE(FILTER(
OFFSET(Teams!$A$1,MATCH($A15,Teams!$A:$A,0),3,13),
NOT(OFFSET(Teams!$A$1,MATCH($A15,Teams!$A:$A,0),1,13)=INDEX(OFFSET(Teams!$A$1,MATCH($A15,Teams!$A:$A,0),1,13),"&amp;"12,0)),
NOT(OFFSET(Teams!$A$1,MATCH($A15,Teams!$A:$A,0),6,13)=MIN(OFFSET(Teams!$A$1,MATCH($A15,Teams!$A:$A,0),6,11),INDEX(OFFSET(Teams!$A$1,MATCH($A15,Teams!$A:$A,0),3,13),13,0)))
)),
AVERAGE(OFFSET(Teams!$A$1,MATCH($A15,Teams!$A:$A,0),3,11))
),
IF(
INDEX"&amp;"(OFFSET(Teams!$K$1,MATCH($A15,Teams!$K:$K,0),6,13),13,0)&gt;0,
AVERAGE(FILTER(
OFFSET(Teams!$K$1,MATCH($A15,Teams!$K:$K,0),3,13),
NOT(OFFSET(Teams!$K$1,MATCH($A15,Teams!$K:$K,0),1,13)=INDEX(OFFSET(Teams!$K$1,MATCH($A15,Teams!$K:$K,0),1,13),12,0)),
NOT(OFFSET"&amp;"(Teams!$K$1,MATCH($A15,Teams!$K:$K,0),6,13)=MIN(OFFSET(Teams!$K$1,MATCH($A15,Teams!$K:$K,0),6,11),INDEX(OFFSET(Teams!$K$1,MATCH($A15,Teams!$K:$K,0),3,13),13,0)))
)),
AVERAGE(OFFSET(Teams!$K$1,MATCH($A15,Teams!$K:$K,0),3,11))
)
)"),"#DIV/0!")</f>
        <v>#DIV/0!</v>
      </c>
      <c r="F15" s="96">
        <f t="array" ref="F15">SUM(1/COUNTIF(
IFERROR(
OFFSET(Teams!$A$1,MATCH($A15,Teams!$A:$A,0),4,11),
OFFSET(Teams!$K$1,MATCH($A15,Teams!$K:$K,0),4,11)
),
IFERROR(
OFFSET(Teams!$A$1,MATCH($A15,Teams!$A:$A,0),4,11),
OFFSET(Teams!$K$1,MATCH($A15,Teams!$K:$K,0),4,11)
)
))</f>
        <v>1</v>
      </c>
      <c r="G15" s="97" t="str">
        <f>IFERROR(__xludf.DUMMYFUNCTION("IFERROR(
IF(
INDEX(OFFSET(Teams!$A$1,MATCH($A15,Teams!$A:$A,0),6,13),13,0)&gt;0,
AVERAGE(FILTER(
OFFSET(Teams!$A$1,MATCH($A15,Teams!$A:$A,0),5,13),
NOT(OFFSET(Teams!$A$1,MATCH($A15,Teams!$A:$A,0),1,13)=INDEX(OFFSET(Teams!$A$1,MATCH($A15,Teams!$A:$A,0),1,13),"&amp;"12,0)),
NOT(OFFSET(Teams!$A$1,MATCH($A15,Teams!$A:$A,0),6,13)=MIN(OFFSET(Teams!$A$1,MATCH($A15,Teams!$A:$A,0),6,11),INDEX(OFFSET(Teams!$A$1,MATCH($A15,Teams!$A:$A,0),3,13),13,0)))
)),
AVERAGE(OFFSET(Teams!$A$1,MATCH($A15,Teams!$A:$A,0),5,11))
),
IF(
INDEX"&amp;"(OFFSET(Teams!$K$1,MATCH($A15,Teams!$K:$K,0),6,13),13,0)&gt;0,
AVERAGE(FILTER(
OFFSET(Teams!$K$1,MATCH($A15,Teams!$K:$K,0),5,13),
NOT(OFFSET(Teams!$K$1,MATCH($A15,Teams!$K:$K,0),1,13)=INDEX(OFFSET(Teams!$K$1,MATCH($A15,Teams!$K:$K,0),1,13),12,0)),
NOT(OFFSET"&amp;"(Teams!$K$1,MATCH($A15,Teams!$K:$K,0),6,13)=MIN(OFFSET(Teams!$K$1,MATCH($A15,Teams!$K:$K,0),6,11),INDEX(OFFSET(Teams!$K$1,MATCH($A15,Teams!$K:$K,0),3,13),13,0)))
)),
AVERAGE(OFFSET(Teams!$K$1,MATCH($A15,Teams!$K:$K,0),5,11))
)
)"),"#DIV/0!")</f>
        <v>#DIV/0!</v>
      </c>
      <c r="H15" s="98">
        <f>IFERROR(__xludf.DUMMYFUNCTION("IFERROR(
IF(
INDEX(OFFSET(Teams!$A$1,MATCH($A15,Teams!$A:$A,0),6,13),13,0)&gt;0,
AVERAGE(FILTER(
OFFSET(Teams!$A$1,MATCH($A15,Teams!$A:$A,0),6,13),
NOT(OFFSET(Teams!$A$1,MATCH($A15,Teams!$A:$A,0),1,13)=INDEX(OFFSET(Teams!$A$1,MATCH($A15,Teams!$A:$A,0),1,13),"&amp;"12,0)),
NOT(OFFSET(Teams!$A$1,MATCH($A15,Teams!$A:$A,0),6,13)=MIN(OFFSET(Teams!$A$1,MATCH($A15,Teams!$A:$A,0),6,11),INDEX(OFFSET(Teams!$A$1,MATCH($A15,Teams!$A:$A,0),3,13),13,0)))
)),
AVERAGE(OFFSET(Teams!$A$1,MATCH($A15,Teams!$A:$A,0),6,11))
),
IF(
INDEX"&amp;"(OFFSET(Teams!$K$1,MATCH($A15,Teams!$K:$K,0),6,13),13,0)&gt;0,
AVERAGE(FILTER(
OFFSET(Teams!$K$1,MATCH($A15,Teams!$K:$K,0),6,13),
NOT(OFFSET(Teams!$K$1,MATCH($A15,Teams!$K:$K,0),1,13)=INDEX(OFFSET(Teams!$K$1,MATCH($A15,Teams!$K:$K,0),1,13),12,0)),
NOT(OFFSET"&amp;"(Teams!$K$1,MATCH($A15,Teams!$K:$K,0),6,13)=MIN(OFFSET(Teams!$K$1,MATCH($A15,Teams!$K:$K,0),6,11),INDEX(OFFSET(Teams!$K$1,MATCH($A15,Teams!$K:$K,0),3,13),13,0)))
)),
AVERAGE(OFFSET(Teams!$K$1,MATCH($A15,Teams!$K:$K,0),6,11))
)
)"),0.0)</f>
        <v>0</v>
      </c>
      <c r="I15" s="99">
        <f>IFERROR(__xludf.DUMMYFUNCTION("IFERROR(
IF(
INDEX(OFFSET(Teams!$A$1,MATCH($A15,Teams!$A:$A,0),6,13),13,0)&gt;0,
AVERAGE(FILTER(
OFFSET(Teams!$A$1,MATCH($A15,Teams!$A:$A,0),7,13),
NOT(OFFSET(Teams!$A$1,MATCH($A15,Teams!$A:$A,0),1,13)=INDEX(OFFSET(Teams!$A$1,MATCH($A15,Teams!$A:$A,0),1,13),"&amp;"12,0)),
NOT(OFFSET(Teams!$A$1,MATCH($A15,Teams!$A:$A,0),6,13)=MIN(OFFSET(Teams!$A$1,MATCH($A15,Teams!$A:$A,0),6,11),INDEX(OFFSET(Teams!$A$1,MATCH($A15,Teams!$A:$A,0),3,13),13,0)))
)),
AVERAGE(OFFSET(Teams!$A$1,MATCH($A15,Teams!$A:$A,0),7,11))
),
IF(
INDEX"&amp;"(OFFSET(Teams!$K$1,MATCH($A15,Teams!$K:$K,0),6,13),13,0)&gt;0,
AVERAGE(FILTER(
OFFSET(Teams!$K$1,MATCH($A15,Teams!$K:$K,0),7,13),
NOT(OFFSET(Teams!$K$1,MATCH($A15,Teams!$K:$K,0),1,13)=INDEX(OFFSET(Teams!$K$1,MATCH($A15,Teams!$K:$K,0),1,13),12,0)),
NOT(OFFSET"&amp;"(Teams!$K$1,MATCH($A15,Teams!$K:$K,0),6,13)=MIN(OFFSET(Teams!$K$1,MATCH($A15,Teams!$K:$K,0),6,11),INDEX(OFFSET(Teams!$K$1,MATCH($A15,Teams!$K:$K,0),3,13),13,0)))
)),
AVERAGE(OFFSET(Teams!$K$1,MATCH($A15,Teams!$K:$K,0),7,11))
)
)"),0.0)</f>
        <v>0</v>
      </c>
      <c r="J15" s="97" t="str">
        <f t="shared" si="1"/>
        <v>#DIV/0!</v>
      </c>
      <c r="K15" s="31">
        <f>IFERROR(__xludf.DUMMYFUNCTION("(
AVERAGE(
FILTER(
IFERROR(
OFFSET(Teams!$A$1,MATCH($A15,Teams!$A:$A,0),8,13),
OFFSET(Teams!$K$1,MATCH($A15,Teams!$K:$K,0),8,13)
),
IFERROR(
OFFSET(Teams!$A$1,MATCH($A15,Teams!$A:$A,0),8,13),
OFFSET(Teams!$K$1,MATCH($A15,Teams!$K:$K,0),8,13)
)&lt;&gt;""#N/A"",
"&amp;"IFERROR(
OFFSET(Teams!$A$1,MATCH($A15,Teams!$A:$A,0),8,13),
OFFSET(Teams!$K$1,MATCH($A15,Teams!$K:$K,0),8,13)
)&gt;=LARGE(
FILTER(
IFERROR(
OFFSET(Teams!$A$1,MATCH($A15,Teams!$A:$A,0),8,13),
OFFSET(Teams!$K$1,MATCH($A15,Teams!$K:$K,0),8,13)
),
IFERROR(
OFFSE"&amp;"T(Teams!$A$1,MATCH($A15,Teams!$A:$A,0),8,13),
OFFSET(Teams!$K$1,MATCH($A15,Teams!$K:$K,0),8,13)
)&lt;&gt;""#N/A""),
5
)
)
)*3+
AVERAGE(
FILTER(
IFERROR(
OFFSET(Teams!$A$1,MATCH($A15,Teams!$A:$A,0),8,13),
OFFSET(Teams!$K$1,MATCH($A15,Teams!$K:$K,0),8,13)
),
IFER"&amp;"ROR(
OFFSET(Teams!$A$1,MATCH($A15,Teams!$A:$A,0),8,13),
OFFSET(Teams!$K$1,MATCH($A15,Teams!$K:$K,0),8,13)
)&lt;&gt;""#N/A"",
IFERROR(
OFFSET(Teams!$A$1,MATCH($A15,Teams!$A:$A,0),8,13),
OFFSET(Teams!$K$1,MATCH($A15,Teams!$K:$K,0),8,13)
)&gt;=LARGE(
FILTER(
IFERROR("&amp;"
OFFSET(Teams!$A$1,MATCH($A15,Teams!$A:$A,0),8,13),
OFFSET(Teams!$K$1,MATCH($A15,Teams!$K:$K,0),8,13)
),
IFERROR(
OFFSET(Teams!$A$1,MATCH($A15,Teams!$A:$A,0),8,13),
OFFSET(Teams!$K$1,MATCH($A15,Teams!$K:$K,0),8,13)
)&lt;&gt;""#N/A""),
7)
)
)+
AVERAGE(
FILTER(
I"&amp;"FERROR(OFFSET(Teams!$A$1,MATCH($A15,Teams!$A:$A,0),8,13),
OFFSET(Teams!$K$1,MATCH($A15,Teams!$K:$K,0),8,13)
),
IFERROR(OFFSET(Teams!$A$1,MATCH($A15,Teams!$A:$A,0),8,13),
OFFSET(Teams!$K$1,MATCH($A15,Teams!$K:$K,0),8,13)
)&lt;&gt;""#N/A"",
IFERROR(
OFFSET(Teams!"&amp;"$A$1,MATCH($A15,Teams!$A:$A,0),8,13),
OFFSET(Teams!$K$1,MATCH($A15,Teams!$K:$K,0),8,13)
)&gt;=LARGE(
FILTER(
IFERROR(
OFFSET(Teams!$A$1,MATCH($A15,Teams!$A:$A,0),8,13),
OFFSET(Teams!$K$1,MATCH($A15,Teams!$K:$K,0),8,13)
),
IFERROR(
OFFSET(Teams!$A$1,MATCH($A1"&amp;"5,Teams!$A:$A,0),8,13),
OFFSET(Teams!$K$1,MATCH($A15,Teams!$K:$K,0),8,13)
)&lt;&gt;""#N/A""
),
11
)
)
)
)
/5"),0.0)</f>
        <v>0</v>
      </c>
      <c r="L15" s="100" t="str">
        <f t="shared" si="2"/>
        <v>#N/A</v>
      </c>
      <c r="M15" s="101"/>
      <c r="N15" s="106">
        <v>0.0</v>
      </c>
    </row>
    <row r="16">
      <c r="A16" s="17" t="s">
        <v>1345</v>
      </c>
      <c r="B16" s="94">
        <f>COUNTIF(
IFERROR(
OFFSET(Teams!$A$1,MATCH($A16,Teams!$A:$A,0),2,11),
OFFSET(Teams!$K$1,MATCH($A16,Teams!$K:$K,0),2,11)
),CONCATENATE("*",B$1,"*")
)</f>
        <v>0</v>
      </c>
      <c r="C16" s="94">
        <f>COUNTIF(
IFERROR(
OFFSET(Teams!$A$1,MATCH($A16,Teams!$A:$A,0),2,11),
OFFSET(Teams!$K$1,MATCH($A16,Teams!$K:$K,0),2,11)
),CONCATENATE("*",C$1,"*")
)</f>
        <v>0</v>
      </c>
      <c r="D16" s="94">
        <f>COUNTIF(
IFERROR(
OFFSET(Teams!$A$1,MATCH($A16,Teams!$A:$A,0),2,11),
OFFSET(Teams!$K$1,MATCH($A16,Teams!$K:$K,0),2,11)
),CONCATENATE("*",D$1,"*")
)</f>
        <v>0</v>
      </c>
      <c r="E16" s="98" t="str">
        <f>IFERROR(__xludf.DUMMYFUNCTION("IFERROR(
IF(
INDEX(OFFSET(Teams!$A$1,MATCH($A16,Teams!$A:$A,0),6,13),13,0)&gt;0,
AVERAGE(FILTER(
OFFSET(Teams!$A$1,MATCH($A16,Teams!$A:$A,0),3,13),
NOT(OFFSET(Teams!$A$1,MATCH($A16,Teams!$A:$A,0),1,13)=INDEX(OFFSET(Teams!$A$1,MATCH($A16,Teams!$A:$A,0),1,13),"&amp;"12,0)),
NOT(OFFSET(Teams!$A$1,MATCH($A16,Teams!$A:$A,0),6,13)=MIN(OFFSET(Teams!$A$1,MATCH($A16,Teams!$A:$A,0),6,11),INDEX(OFFSET(Teams!$A$1,MATCH($A16,Teams!$A:$A,0),3,13),13,0)))
)),
AVERAGE(OFFSET(Teams!$A$1,MATCH($A16,Teams!$A:$A,0),3,11))
),
IF(
INDEX"&amp;"(OFFSET(Teams!$K$1,MATCH($A16,Teams!$K:$K,0),6,13),13,0)&gt;0,
AVERAGE(FILTER(
OFFSET(Teams!$K$1,MATCH($A16,Teams!$K:$K,0),3,13),
NOT(OFFSET(Teams!$K$1,MATCH($A16,Teams!$K:$K,0),1,13)=INDEX(OFFSET(Teams!$K$1,MATCH($A16,Teams!$K:$K,0),1,13),12,0)),
NOT(OFFSET"&amp;"(Teams!$K$1,MATCH($A16,Teams!$K:$K,0),6,13)=MIN(OFFSET(Teams!$K$1,MATCH($A16,Teams!$K:$K,0),6,11),INDEX(OFFSET(Teams!$K$1,MATCH($A16,Teams!$K:$K,0),3,13),13,0)))
)),
AVERAGE(OFFSET(Teams!$K$1,MATCH($A16,Teams!$K:$K,0),3,11))
)
)"),"#N/A")</f>
        <v>#N/A</v>
      </c>
      <c r="F16" s="96">
        <f t="array" ref="F16">SUM(1/COUNTIF(
IFERROR(
OFFSET(Teams!$A$1,MATCH($A16,Teams!$A:$A,0),4,11),
OFFSET(Teams!$K$1,MATCH($A16,Teams!$K:$K,0),4,11)
),
IFERROR(
OFFSET(Teams!$A$1,MATCH($A16,Teams!$A:$A,0),4,11),
OFFSET(Teams!$K$1,MATCH($A16,Teams!$K:$K,0),4,11)
)
))</f>
        <v>1</v>
      </c>
      <c r="G16" s="97" t="str">
        <f>IFERROR(__xludf.DUMMYFUNCTION("IFERROR(
IF(
INDEX(OFFSET(Teams!$A$1,MATCH($A16,Teams!$A:$A,0),6,13),13,0)&gt;0,
AVERAGE(FILTER(
OFFSET(Teams!$A$1,MATCH($A16,Teams!$A:$A,0),5,13),
NOT(OFFSET(Teams!$A$1,MATCH($A16,Teams!$A:$A,0),1,13)=INDEX(OFFSET(Teams!$A$1,MATCH($A16,Teams!$A:$A,0),1,13),"&amp;"12,0)),
NOT(OFFSET(Teams!$A$1,MATCH($A16,Teams!$A:$A,0),6,13)=MIN(OFFSET(Teams!$A$1,MATCH($A16,Teams!$A:$A,0),6,11),INDEX(OFFSET(Teams!$A$1,MATCH($A16,Teams!$A:$A,0),3,13),13,0)))
)),
AVERAGE(OFFSET(Teams!$A$1,MATCH($A16,Teams!$A:$A,0),5,11))
),
IF(
INDEX"&amp;"(OFFSET(Teams!$K$1,MATCH($A16,Teams!$K:$K,0),6,13),13,0)&gt;0,
AVERAGE(FILTER(
OFFSET(Teams!$K$1,MATCH($A16,Teams!$K:$K,0),5,13),
NOT(OFFSET(Teams!$K$1,MATCH($A16,Teams!$K:$K,0),1,13)=INDEX(OFFSET(Teams!$K$1,MATCH($A16,Teams!$K:$K,0),1,13),12,0)),
NOT(OFFSET"&amp;"(Teams!$K$1,MATCH($A16,Teams!$K:$K,0),6,13)=MIN(OFFSET(Teams!$K$1,MATCH($A16,Teams!$K:$K,0),6,11),INDEX(OFFSET(Teams!$K$1,MATCH($A16,Teams!$K:$K,0),3,13),13,0)))
)),
AVERAGE(OFFSET(Teams!$K$1,MATCH($A16,Teams!$K:$K,0),5,11))
)
)"),"#N/A")</f>
        <v>#N/A</v>
      </c>
      <c r="H16" s="98" t="str">
        <f>IFERROR(__xludf.DUMMYFUNCTION("IFERROR(
IF(
INDEX(OFFSET(Teams!$A$1,MATCH($A16,Teams!$A:$A,0),6,13),13,0)&gt;0,
AVERAGE(FILTER(
OFFSET(Teams!$A$1,MATCH($A16,Teams!$A:$A,0),6,13),
NOT(OFFSET(Teams!$A$1,MATCH($A16,Teams!$A:$A,0),1,13)=INDEX(OFFSET(Teams!$A$1,MATCH($A16,Teams!$A:$A,0),1,13),"&amp;"12,0)),
NOT(OFFSET(Teams!$A$1,MATCH($A16,Teams!$A:$A,0),6,13)=MIN(OFFSET(Teams!$A$1,MATCH($A16,Teams!$A:$A,0),6,11),INDEX(OFFSET(Teams!$A$1,MATCH($A16,Teams!$A:$A,0),3,13),13,0)))
)),
AVERAGE(OFFSET(Teams!$A$1,MATCH($A16,Teams!$A:$A,0),6,11))
),
IF(
INDEX"&amp;"(OFFSET(Teams!$K$1,MATCH($A16,Teams!$K:$K,0),6,13),13,0)&gt;0,
AVERAGE(FILTER(
OFFSET(Teams!$K$1,MATCH($A16,Teams!$K:$K,0),6,13),
NOT(OFFSET(Teams!$K$1,MATCH($A16,Teams!$K:$K,0),1,13)=INDEX(OFFSET(Teams!$K$1,MATCH($A16,Teams!$K:$K,0),1,13),12,0)),
NOT(OFFSET"&amp;"(Teams!$K$1,MATCH($A16,Teams!$K:$K,0),6,13)=MIN(OFFSET(Teams!$K$1,MATCH($A16,Teams!$K:$K,0),6,11),INDEX(OFFSET(Teams!$K$1,MATCH($A16,Teams!$K:$K,0),3,13),13,0)))
)),
AVERAGE(OFFSET(Teams!$K$1,MATCH($A16,Teams!$K:$K,0),6,11))
)
)"),"#N/A")</f>
        <v>#N/A</v>
      </c>
      <c r="I16" s="99" t="str">
        <f>IFERROR(__xludf.DUMMYFUNCTION("IFERROR(
IF(
INDEX(OFFSET(Teams!$A$1,MATCH($A16,Teams!$A:$A,0),6,13),13,0)&gt;0,
AVERAGE(FILTER(
OFFSET(Teams!$A$1,MATCH($A16,Teams!$A:$A,0),7,13),
NOT(OFFSET(Teams!$A$1,MATCH($A16,Teams!$A:$A,0),1,13)=INDEX(OFFSET(Teams!$A$1,MATCH($A16,Teams!$A:$A,0),1,13),"&amp;"12,0)),
NOT(OFFSET(Teams!$A$1,MATCH($A16,Teams!$A:$A,0),6,13)=MIN(OFFSET(Teams!$A$1,MATCH($A16,Teams!$A:$A,0),6,11),INDEX(OFFSET(Teams!$A$1,MATCH($A16,Teams!$A:$A,0),3,13),13,0)))
)),
AVERAGE(OFFSET(Teams!$A$1,MATCH($A16,Teams!$A:$A,0),7,11))
),
IF(
INDEX"&amp;"(OFFSET(Teams!$K$1,MATCH($A16,Teams!$K:$K,0),6,13),13,0)&gt;0,
AVERAGE(FILTER(
OFFSET(Teams!$K$1,MATCH($A16,Teams!$K:$K,0),7,13),
NOT(OFFSET(Teams!$K$1,MATCH($A16,Teams!$K:$K,0),1,13)=INDEX(OFFSET(Teams!$K$1,MATCH($A16,Teams!$K:$K,0),1,13),12,0)),
NOT(OFFSET"&amp;"(Teams!$K$1,MATCH($A16,Teams!$K:$K,0),6,13)=MIN(OFFSET(Teams!$K$1,MATCH($A16,Teams!$K:$K,0),6,11),INDEX(OFFSET(Teams!$K$1,MATCH($A16,Teams!$K:$K,0),3,13),13,0)))
)),
AVERAGE(OFFSET(Teams!$K$1,MATCH($A16,Teams!$K:$K,0),7,11))
)
)"),"#N/A")</f>
        <v>#N/A</v>
      </c>
      <c r="J16" s="97" t="str">
        <f t="shared" si="1"/>
        <v>#N/A</v>
      </c>
      <c r="K16" s="31" t="str">
        <f>IFERROR(__xludf.DUMMYFUNCTION("(
AVERAGE(
FILTER(
IFERROR(
OFFSET(Teams!$A$1,MATCH($A16,Teams!$A:$A,0),8,13),
OFFSET(Teams!$K$1,MATCH($A16,Teams!$K:$K,0),8,13)
),
IFERROR(
OFFSET(Teams!$A$1,MATCH($A16,Teams!$A:$A,0),8,13),
OFFSET(Teams!$K$1,MATCH($A16,Teams!$K:$K,0),8,13)
)&lt;&gt;""#N/A"",
"&amp;"IFERROR(
OFFSET(Teams!$A$1,MATCH($A16,Teams!$A:$A,0),8,13),
OFFSET(Teams!$K$1,MATCH($A16,Teams!$K:$K,0),8,13)
)&gt;=LARGE(
FILTER(
IFERROR(
OFFSET(Teams!$A$1,MATCH($A16,Teams!$A:$A,0),8,13),
OFFSET(Teams!$K$1,MATCH($A16,Teams!$K:$K,0),8,13)
),
IFERROR(
OFFSE"&amp;"T(Teams!$A$1,MATCH($A16,Teams!$A:$A,0),8,13),
OFFSET(Teams!$K$1,MATCH($A16,Teams!$K:$K,0),8,13)
)&lt;&gt;""#N/A""),
5
)
)
)*3+
AVERAGE(
FILTER(
IFERROR(
OFFSET(Teams!$A$1,MATCH($A16,Teams!$A:$A,0),8,13),
OFFSET(Teams!$K$1,MATCH($A16,Teams!$K:$K,0),8,13)
),
IFER"&amp;"ROR(
OFFSET(Teams!$A$1,MATCH($A16,Teams!$A:$A,0),8,13),
OFFSET(Teams!$K$1,MATCH($A16,Teams!$K:$K,0),8,13)
)&lt;&gt;""#N/A"",
IFERROR(
OFFSET(Teams!$A$1,MATCH($A16,Teams!$A:$A,0),8,13),
OFFSET(Teams!$K$1,MATCH($A16,Teams!$K:$K,0),8,13)
)&gt;=LARGE(
FILTER(
IFERROR("&amp;"
OFFSET(Teams!$A$1,MATCH($A16,Teams!$A:$A,0),8,13),
OFFSET(Teams!$K$1,MATCH($A16,Teams!$K:$K,0),8,13)
),
IFERROR(
OFFSET(Teams!$A$1,MATCH($A16,Teams!$A:$A,0),8,13),
OFFSET(Teams!$K$1,MATCH($A16,Teams!$K:$K,0),8,13)
)&lt;&gt;""#N/A""),
7)
)
)+
AVERAGE(
FILTER(
I"&amp;"FERROR(OFFSET(Teams!$A$1,MATCH($A16,Teams!$A:$A,0),8,13),
OFFSET(Teams!$K$1,MATCH($A16,Teams!$K:$K,0),8,13)
),
IFERROR(OFFSET(Teams!$A$1,MATCH($A16,Teams!$A:$A,0),8,13),
OFFSET(Teams!$K$1,MATCH($A16,Teams!$K:$K,0),8,13)
)&lt;&gt;""#N/A"",
IFERROR(
OFFSET(Teams!"&amp;"$A$1,MATCH($A16,Teams!$A:$A,0),8,13),
OFFSET(Teams!$K$1,MATCH($A16,Teams!$K:$K,0),8,13)
)&gt;=LARGE(
FILTER(
IFERROR(
OFFSET(Teams!$A$1,MATCH($A16,Teams!$A:$A,0),8,13),
OFFSET(Teams!$K$1,MATCH($A16,Teams!$K:$K,0),8,13)
),
IFERROR(
OFFSET(Teams!$A$1,MATCH($A1"&amp;"6,Teams!$A:$A,0),8,13),
OFFSET(Teams!$K$1,MATCH($A16,Teams!$K:$K,0),8,13)
)&lt;&gt;""#N/A""
),
11
)
)
)
)
/5"),"#N/A")</f>
        <v>#N/A</v>
      </c>
      <c r="L16" s="100" t="str">
        <f t="shared" si="2"/>
        <v>#N/A</v>
      </c>
      <c r="M16" s="101"/>
      <c r="N16" s="106"/>
    </row>
    <row r="17">
      <c r="A17" s="17" t="s">
        <v>1344</v>
      </c>
      <c r="B17" s="94">
        <f>COUNTIF(
IFERROR(
OFFSET(Teams!$A$1,MATCH($A17,Teams!$A:$A,0),2,11),
OFFSET(Teams!$K$1,MATCH($A17,Teams!$K:$K,0),2,11)
),CONCATENATE("*",B$1,"*")
)</f>
        <v>0</v>
      </c>
      <c r="C17" s="94">
        <f>COUNTIF(
IFERROR(
OFFSET(Teams!$A$1,MATCH($A17,Teams!$A:$A,0),2,11),
OFFSET(Teams!$K$1,MATCH($A17,Teams!$K:$K,0),2,11)
),CONCATENATE("*",C$1,"*")
)</f>
        <v>0</v>
      </c>
      <c r="D17" s="94">
        <f>COUNTIF(
IFERROR(
OFFSET(Teams!$A$1,MATCH($A17,Teams!$A:$A,0),2,11),
OFFSET(Teams!$K$1,MATCH($A17,Teams!$K:$K,0),2,11)
),CONCATENATE("*",D$1,"*")
)</f>
        <v>0</v>
      </c>
      <c r="E17" s="98" t="str">
        <f>IFERROR(__xludf.DUMMYFUNCTION("IFERROR(
IF(
INDEX(OFFSET(Teams!$A$1,MATCH($A17,Teams!$A:$A,0),6,13),13,0)&gt;0,
AVERAGE(FILTER(
OFFSET(Teams!$A$1,MATCH($A17,Teams!$A:$A,0),3,13),
NOT(OFFSET(Teams!$A$1,MATCH($A17,Teams!$A:$A,0),1,13)=INDEX(OFFSET(Teams!$A$1,MATCH($A17,Teams!$A:$A,0),1,13),"&amp;"12,0)),
NOT(OFFSET(Teams!$A$1,MATCH($A17,Teams!$A:$A,0),6,13)=MIN(OFFSET(Teams!$A$1,MATCH($A17,Teams!$A:$A,0),6,11),INDEX(OFFSET(Teams!$A$1,MATCH($A17,Teams!$A:$A,0),3,13),13,0)))
)),
AVERAGE(OFFSET(Teams!$A$1,MATCH($A17,Teams!$A:$A,0),3,11))
),
IF(
INDEX"&amp;"(OFFSET(Teams!$K$1,MATCH($A17,Teams!$K:$K,0),6,13),13,0)&gt;0,
AVERAGE(FILTER(
OFFSET(Teams!$K$1,MATCH($A17,Teams!$K:$K,0),3,13),
NOT(OFFSET(Teams!$K$1,MATCH($A17,Teams!$K:$K,0),1,13)=INDEX(OFFSET(Teams!$K$1,MATCH($A17,Teams!$K:$K,0),1,13),12,0)),
NOT(OFFSET"&amp;"(Teams!$K$1,MATCH($A17,Teams!$K:$K,0),6,13)=MIN(OFFSET(Teams!$K$1,MATCH($A17,Teams!$K:$K,0),6,11),INDEX(OFFSET(Teams!$K$1,MATCH($A17,Teams!$K:$K,0),3,13),13,0)))
)),
AVERAGE(OFFSET(Teams!$K$1,MATCH($A17,Teams!$K:$K,0),3,11))
)
)"),"#DIV/0!")</f>
        <v>#DIV/0!</v>
      </c>
      <c r="F17" s="96">
        <f t="array" ref="F17">SUM(1/COUNTIF(
IFERROR(
OFFSET(Teams!$A$1,MATCH($A17,Teams!$A:$A,0),4,11),
OFFSET(Teams!$K$1,MATCH($A17,Teams!$K:$K,0),4,11)
),
IFERROR(
OFFSET(Teams!$A$1,MATCH($A17,Teams!$A:$A,0),4,11),
OFFSET(Teams!$K$1,MATCH($A17,Teams!$K:$K,0),4,11)
)
))</f>
        <v>1</v>
      </c>
      <c r="G17" s="97" t="str">
        <f>IFERROR(__xludf.DUMMYFUNCTION("IFERROR(
IF(
INDEX(OFFSET(Teams!$A$1,MATCH($A17,Teams!$A:$A,0),6,13),13,0)&gt;0,
AVERAGE(FILTER(
OFFSET(Teams!$A$1,MATCH($A17,Teams!$A:$A,0),5,13),
NOT(OFFSET(Teams!$A$1,MATCH($A17,Teams!$A:$A,0),1,13)=INDEX(OFFSET(Teams!$A$1,MATCH($A17,Teams!$A:$A,0),1,13),"&amp;"12,0)),
NOT(OFFSET(Teams!$A$1,MATCH($A17,Teams!$A:$A,0),6,13)=MIN(OFFSET(Teams!$A$1,MATCH($A17,Teams!$A:$A,0),6,11),INDEX(OFFSET(Teams!$A$1,MATCH($A17,Teams!$A:$A,0),3,13),13,0)))
)),
AVERAGE(OFFSET(Teams!$A$1,MATCH($A17,Teams!$A:$A,0),5,11))
),
IF(
INDEX"&amp;"(OFFSET(Teams!$K$1,MATCH($A17,Teams!$K:$K,0),6,13),13,0)&gt;0,
AVERAGE(FILTER(
OFFSET(Teams!$K$1,MATCH($A17,Teams!$K:$K,0),5,13),
NOT(OFFSET(Teams!$K$1,MATCH($A17,Teams!$K:$K,0),1,13)=INDEX(OFFSET(Teams!$K$1,MATCH($A17,Teams!$K:$K,0),1,13),12,0)),
NOT(OFFSET"&amp;"(Teams!$K$1,MATCH($A17,Teams!$K:$K,0),6,13)=MIN(OFFSET(Teams!$K$1,MATCH($A17,Teams!$K:$K,0),6,11),INDEX(OFFSET(Teams!$K$1,MATCH($A17,Teams!$K:$K,0),3,13),13,0)))
)),
AVERAGE(OFFSET(Teams!$K$1,MATCH($A17,Teams!$K:$K,0),5,11))
)
)"),"#DIV/0!")</f>
        <v>#DIV/0!</v>
      </c>
      <c r="H17" s="98">
        <f>IFERROR(__xludf.DUMMYFUNCTION("IFERROR(
IF(
INDEX(OFFSET(Teams!$A$1,MATCH($A17,Teams!$A:$A,0),6,13),13,0)&gt;0,
AVERAGE(FILTER(
OFFSET(Teams!$A$1,MATCH($A17,Teams!$A:$A,0),6,13),
NOT(OFFSET(Teams!$A$1,MATCH($A17,Teams!$A:$A,0),1,13)=INDEX(OFFSET(Teams!$A$1,MATCH($A17,Teams!$A:$A,0),1,13),"&amp;"12,0)),
NOT(OFFSET(Teams!$A$1,MATCH($A17,Teams!$A:$A,0),6,13)=MIN(OFFSET(Teams!$A$1,MATCH($A17,Teams!$A:$A,0),6,11),INDEX(OFFSET(Teams!$A$1,MATCH($A17,Teams!$A:$A,0),3,13),13,0)))
)),
AVERAGE(OFFSET(Teams!$A$1,MATCH($A17,Teams!$A:$A,0),6,11))
),
IF(
INDEX"&amp;"(OFFSET(Teams!$K$1,MATCH($A17,Teams!$K:$K,0),6,13),13,0)&gt;0,
AVERAGE(FILTER(
OFFSET(Teams!$K$1,MATCH($A17,Teams!$K:$K,0),6,13),
NOT(OFFSET(Teams!$K$1,MATCH($A17,Teams!$K:$K,0),1,13)=INDEX(OFFSET(Teams!$K$1,MATCH($A17,Teams!$K:$K,0),1,13),12,0)),
NOT(OFFSET"&amp;"(Teams!$K$1,MATCH($A17,Teams!$K:$K,0),6,13)=MIN(OFFSET(Teams!$K$1,MATCH($A17,Teams!$K:$K,0),6,11),INDEX(OFFSET(Teams!$K$1,MATCH($A17,Teams!$K:$K,0),3,13),13,0)))
)),
AVERAGE(OFFSET(Teams!$K$1,MATCH($A17,Teams!$K:$K,0),6,11))
)
)"),0.0)</f>
        <v>0</v>
      </c>
      <c r="I17" s="99">
        <f>IFERROR(__xludf.DUMMYFUNCTION("IFERROR(
IF(
INDEX(OFFSET(Teams!$A$1,MATCH($A17,Teams!$A:$A,0),6,13),13,0)&gt;0,
AVERAGE(FILTER(
OFFSET(Teams!$A$1,MATCH($A17,Teams!$A:$A,0),7,13),
NOT(OFFSET(Teams!$A$1,MATCH($A17,Teams!$A:$A,0),1,13)=INDEX(OFFSET(Teams!$A$1,MATCH($A17,Teams!$A:$A,0),1,13),"&amp;"12,0)),
NOT(OFFSET(Teams!$A$1,MATCH($A17,Teams!$A:$A,0),6,13)=MIN(OFFSET(Teams!$A$1,MATCH($A17,Teams!$A:$A,0),6,11),INDEX(OFFSET(Teams!$A$1,MATCH($A17,Teams!$A:$A,0),3,13),13,0)))
)),
AVERAGE(OFFSET(Teams!$A$1,MATCH($A17,Teams!$A:$A,0),7,11))
),
IF(
INDEX"&amp;"(OFFSET(Teams!$K$1,MATCH($A17,Teams!$K:$K,0),6,13),13,0)&gt;0,
AVERAGE(FILTER(
OFFSET(Teams!$K$1,MATCH($A17,Teams!$K:$K,0),7,13),
NOT(OFFSET(Teams!$K$1,MATCH($A17,Teams!$K:$K,0),1,13)=INDEX(OFFSET(Teams!$K$1,MATCH($A17,Teams!$K:$K,0),1,13),12,0)),
NOT(OFFSET"&amp;"(Teams!$K$1,MATCH($A17,Teams!$K:$K,0),6,13)=MIN(OFFSET(Teams!$K$1,MATCH($A17,Teams!$K:$K,0),6,11),INDEX(OFFSET(Teams!$K$1,MATCH($A17,Teams!$K:$K,0),3,13),13,0)))
)),
AVERAGE(OFFSET(Teams!$K$1,MATCH($A17,Teams!$K:$K,0),7,11))
)
)"),0.0)</f>
        <v>0</v>
      </c>
      <c r="J17" s="97" t="str">
        <f t="shared" si="1"/>
        <v>#DIV/0!</v>
      </c>
      <c r="K17" s="31">
        <f>IFERROR(__xludf.DUMMYFUNCTION("(
AVERAGE(
FILTER(
IFERROR(
OFFSET(Teams!$A$1,MATCH($A17,Teams!$A:$A,0),8,13),
OFFSET(Teams!$K$1,MATCH($A17,Teams!$K:$K,0),8,13)
),
IFERROR(
OFFSET(Teams!$A$1,MATCH($A17,Teams!$A:$A,0),8,13),
OFFSET(Teams!$K$1,MATCH($A17,Teams!$K:$K,0),8,13)
)&lt;&gt;""#N/A"",
"&amp;"IFERROR(
OFFSET(Teams!$A$1,MATCH($A17,Teams!$A:$A,0),8,13),
OFFSET(Teams!$K$1,MATCH($A17,Teams!$K:$K,0),8,13)
)&gt;=LARGE(
FILTER(
IFERROR(
OFFSET(Teams!$A$1,MATCH($A17,Teams!$A:$A,0),8,13),
OFFSET(Teams!$K$1,MATCH($A17,Teams!$K:$K,0),8,13)
),
IFERROR(
OFFSE"&amp;"T(Teams!$A$1,MATCH($A17,Teams!$A:$A,0),8,13),
OFFSET(Teams!$K$1,MATCH($A17,Teams!$K:$K,0),8,13)
)&lt;&gt;""#N/A""),
5
)
)
)*3+
AVERAGE(
FILTER(
IFERROR(
OFFSET(Teams!$A$1,MATCH($A17,Teams!$A:$A,0),8,13),
OFFSET(Teams!$K$1,MATCH($A17,Teams!$K:$K,0),8,13)
),
IFER"&amp;"ROR(
OFFSET(Teams!$A$1,MATCH($A17,Teams!$A:$A,0),8,13),
OFFSET(Teams!$K$1,MATCH($A17,Teams!$K:$K,0),8,13)
)&lt;&gt;""#N/A"",
IFERROR(
OFFSET(Teams!$A$1,MATCH($A17,Teams!$A:$A,0),8,13),
OFFSET(Teams!$K$1,MATCH($A17,Teams!$K:$K,0),8,13)
)&gt;=LARGE(
FILTER(
IFERROR("&amp;"
OFFSET(Teams!$A$1,MATCH($A17,Teams!$A:$A,0),8,13),
OFFSET(Teams!$K$1,MATCH($A17,Teams!$K:$K,0),8,13)
),
IFERROR(
OFFSET(Teams!$A$1,MATCH($A17,Teams!$A:$A,0),8,13),
OFFSET(Teams!$K$1,MATCH($A17,Teams!$K:$K,0),8,13)
)&lt;&gt;""#N/A""),
7)
)
)+
AVERAGE(
FILTER(
I"&amp;"FERROR(OFFSET(Teams!$A$1,MATCH($A17,Teams!$A:$A,0),8,13),
OFFSET(Teams!$K$1,MATCH($A17,Teams!$K:$K,0),8,13)
),
IFERROR(OFFSET(Teams!$A$1,MATCH($A17,Teams!$A:$A,0),8,13),
OFFSET(Teams!$K$1,MATCH($A17,Teams!$K:$K,0),8,13)
)&lt;&gt;""#N/A"",
IFERROR(
OFFSET(Teams!"&amp;"$A$1,MATCH($A17,Teams!$A:$A,0),8,13),
OFFSET(Teams!$K$1,MATCH($A17,Teams!$K:$K,0),8,13)
)&gt;=LARGE(
FILTER(
IFERROR(
OFFSET(Teams!$A$1,MATCH($A17,Teams!$A:$A,0),8,13),
OFFSET(Teams!$K$1,MATCH($A17,Teams!$K:$K,0),8,13)
),
IFERROR(
OFFSET(Teams!$A$1,MATCH($A1"&amp;"7,Teams!$A:$A,0),8,13),
OFFSET(Teams!$K$1,MATCH($A17,Teams!$K:$K,0),8,13)
)&lt;&gt;""#N/A""
),
11
)
)
)
)
/5"),0.0)</f>
        <v>0</v>
      </c>
      <c r="L17" s="100" t="str">
        <f t="shared" si="2"/>
        <v>#N/A</v>
      </c>
      <c r="M17" s="101"/>
      <c r="N17" s="106"/>
    </row>
    <row r="18">
      <c r="G18" s="15"/>
      <c r="I18" s="14"/>
      <c r="J18" s="97"/>
      <c r="K18" s="15"/>
      <c r="L18" s="105"/>
      <c r="N18" s="106"/>
    </row>
    <row r="19">
      <c r="G19" s="15"/>
      <c r="I19" s="14"/>
      <c r="J19" s="15"/>
      <c r="K19" s="15"/>
      <c r="L19" s="105"/>
      <c r="N19" s="106"/>
    </row>
    <row r="20">
      <c r="E20" s="17" t="s">
        <v>1347</v>
      </c>
      <c r="G20" s="15"/>
      <c r="I20" s="14"/>
      <c r="J20" s="15"/>
      <c r="K20" s="15"/>
      <c r="L20" s="105"/>
      <c r="N20" s="106"/>
    </row>
    <row r="21">
      <c r="G21" s="15"/>
      <c r="I21" s="14"/>
      <c r="J21" s="15"/>
      <c r="K21" s="15"/>
      <c r="L21" s="105"/>
      <c r="N21" s="106"/>
    </row>
    <row r="22">
      <c r="G22" s="15"/>
      <c r="I22" s="14"/>
      <c r="J22" s="15"/>
      <c r="K22" s="15"/>
      <c r="L22" s="105"/>
      <c r="N22" s="106"/>
    </row>
    <row r="23">
      <c r="G23" s="15"/>
      <c r="I23" s="14"/>
      <c r="J23" s="15"/>
      <c r="K23" s="15"/>
      <c r="L23" s="105"/>
      <c r="N23" s="84"/>
    </row>
    <row r="24">
      <c r="G24" s="15"/>
      <c r="I24" s="14"/>
      <c r="J24" s="15"/>
      <c r="K24" s="15"/>
      <c r="L24" s="105"/>
      <c r="N24" s="84"/>
    </row>
    <row r="25">
      <c r="G25" s="15"/>
      <c r="I25" s="14"/>
      <c r="J25" s="15"/>
      <c r="K25" s="15"/>
      <c r="L25" s="105"/>
      <c r="N25" s="84"/>
    </row>
    <row r="26">
      <c r="G26" s="15"/>
      <c r="I26" s="14"/>
      <c r="J26" s="15"/>
      <c r="K26" s="15"/>
      <c r="L26" s="105"/>
    </row>
    <row r="27">
      <c r="G27" s="15"/>
      <c r="I27" s="14"/>
      <c r="J27" s="15"/>
      <c r="K27" s="15"/>
      <c r="L27" s="105"/>
    </row>
    <row r="28">
      <c r="G28" s="15"/>
      <c r="I28" s="14"/>
      <c r="J28" s="15"/>
      <c r="K28" s="15"/>
      <c r="L28" s="105"/>
    </row>
    <row r="29">
      <c r="G29" s="15"/>
      <c r="I29" s="14"/>
      <c r="J29" s="15"/>
      <c r="K29" s="15"/>
      <c r="L29" s="105"/>
    </row>
    <row r="30">
      <c r="G30" s="15"/>
      <c r="I30" s="14"/>
      <c r="J30" s="15"/>
      <c r="K30" s="15"/>
      <c r="L30" s="105"/>
    </row>
    <row r="31">
      <c r="G31" s="15"/>
      <c r="I31" s="14"/>
      <c r="J31" s="15"/>
      <c r="K31" s="15"/>
      <c r="L31" s="105"/>
    </row>
    <row r="32">
      <c r="G32" s="15"/>
      <c r="I32" s="14"/>
      <c r="J32" s="15"/>
      <c r="K32" s="15"/>
      <c r="L32" s="105"/>
    </row>
    <row r="33">
      <c r="G33" s="15"/>
      <c r="I33" s="14"/>
      <c r="J33" s="15"/>
      <c r="K33" s="15"/>
      <c r="L33" s="105"/>
    </row>
    <row r="34">
      <c r="G34" s="15"/>
      <c r="I34" s="14"/>
      <c r="J34" s="15"/>
      <c r="K34" s="15"/>
      <c r="L34" s="105"/>
    </row>
    <row r="35">
      <c r="G35" s="15"/>
      <c r="I35" s="14"/>
      <c r="J35" s="15"/>
      <c r="K35" s="15"/>
      <c r="L35" s="105"/>
    </row>
    <row r="36">
      <c r="G36" s="15"/>
      <c r="I36" s="14"/>
      <c r="J36" s="15"/>
      <c r="K36" s="15"/>
      <c r="L36" s="105"/>
    </row>
    <row r="37">
      <c r="G37" s="15"/>
      <c r="I37" s="14"/>
      <c r="J37" s="15"/>
      <c r="K37" s="15"/>
      <c r="L37" s="105"/>
    </row>
    <row r="38">
      <c r="G38" s="15"/>
      <c r="I38" s="14"/>
      <c r="J38" s="15"/>
      <c r="K38" s="15"/>
      <c r="L38" s="105"/>
    </row>
    <row r="39">
      <c r="G39" s="15"/>
      <c r="I39" s="14"/>
      <c r="J39" s="15"/>
      <c r="K39" s="15"/>
      <c r="L39" s="105"/>
    </row>
    <row r="40">
      <c r="G40" s="15"/>
      <c r="I40" s="14"/>
      <c r="J40" s="15"/>
      <c r="K40" s="15"/>
      <c r="L40" s="105"/>
    </row>
    <row r="41">
      <c r="G41" s="15"/>
      <c r="I41" s="14"/>
      <c r="J41" s="15"/>
      <c r="K41" s="15"/>
      <c r="L41" s="105"/>
    </row>
    <row r="42">
      <c r="G42" s="15"/>
      <c r="I42" s="14"/>
      <c r="J42" s="15"/>
      <c r="K42" s="15"/>
      <c r="L42" s="105"/>
    </row>
    <row r="43">
      <c r="G43" s="15"/>
      <c r="I43" s="14"/>
      <c r="J43" s="15"/>
      <c r="K43" s="15"/>
      <c r="L43" s="105"/>
    </row>
    <row r="44">
      <c r="G44" s="15"/>
      <c r="I44" s="14"/>
      <c r="J44" s="15"/>
      <c r="K44" s="15"/>
      <c r="L44" s="105"/>
    </row>
    <row r="45">
      <c r="G45" s="15"/>
      <c r="I45" s="14"/>
      <c r="J45" s="15"/>
      <c r="K45" s="15"/>
      <c r="L45" s="105"/>
    </row>
    <row r="46">
      <c r="G46" s="15"/>
      <c r="I46" s="14"/>
      <c r="J46" s="15"/>
      <c r="K46" s="15"/>
      <c r="L46" s="105"/>
    </row>
    <row r="47">
      <c r="G47" s="15"/>
      <c r="I47" s="14"/>
      <c r="J47" s="15"/>
      <c r="K47" s="15"/>
      <c r="L47" s="105"/>
    </row>
    <row r="48">
      <c r="G48" s="15"/>
      <c r="I48" s="14"/>
      <c r="J48" s="15"/>
      <c r="K48" s="15"/>
      <c r="L48" s="105"/>
    </row>
    <row r="49">
      <c r="G49" s="15"/>
      <c r="I49" s="14"/>
      <c r="J49" s="15"/>
      <c r="K49" s="15"/>
      <c r="L49" s="105"/>
    </row>
    <row r="50">
      <c r="G50" s="15"/>
      <c r="I50" s="14"/>
      <c r="J50" s="15"/>
      <c r="K50" s="15"/>
      <c r="L50" s="105"/>
    </row>
    <row r="51">
      <c r="G51" s="15"/>
      <c r="I51" s="14"/>
      <c r="J51" s="15"/>
      <c r="K51" s="15"/>
      <c r="L51" s="105"/>
    </row>
    <row r="52">
      <c r="G52" s="15"/>
      <c r="I52" s="14"/>
      <c r="J52" s="15"/>
      <c r="K52" s="15"/>
      <c r="L52" s="105"/>
    </row>
    <row r="53">
      <c r="G53" s="15"/>
      <c r="I53" s="14"/>
      <c r="J53" s="15"/>
      <c r="K53" s="15"/>
      <c r="L53" s="105"/>
    </row>
    <row r="54">
      <c r="G54" s="15"/>
      <c r="I54" s="14"/>
      <c r="J54" s="15"/>
      <c r="K54" s="15"/>
      <c r="L54" s="105"/>
    </row>
    <row r="55">
      <c r="G55" s="15"/>
      <c r="I55" s="14"/>
      <c r="J55" s="15"/>
      <c r="K55" s="15"/>
      <c r="L55" s="105"/>
    </row>
    <row r="56">
      <c r="G56" s="15"/>
      <c r="I56" s="14"/>
      <c r="J56" s="15"/>
      <c r="K56" s="15"/>
      <c r="L56" s="105"/>
    </row>
    <row r="57">
      <c r="G57" s="15"/>
      <c r="I57" s="14"/>
      <c r="J57" s="15"/>
      <c r="K57" s="15"/>
      <c r="L57" s="105"/>
    </row>
    <row r="58">
      <c r="G58" s="15"/>
      <c r="I58" s="14"/>
      <c r="J58" s="15"/>
      <c r="K58" s="15"/>
      <c r="L58" s="105"/>
    </row>
    <row r="59">
      <c r="G59" s="15"/>
      <c r="I59" s="14"/>
      <c r="J59" s="15"/>
      <c r="K59" s="15"/>
      <c r="L59" s="105"/>
    </row>
    <row r="60">
      <c r="G60" s="15"/>
      <c r="I60" s="14"/>
      <c r="J60" s="15"/>
      <c r="K60" s="15"/>
      <c r="L60" s="105"/>
    </row>
    <row r="61">
      <c r="G61" s="15"/>
      <c r="I61" s="14"/>
      <c r="J61" s="15"/>
      <c r="K61" s="15"/>
      <c r="L61" s="105"/>
    </row>
    <row r="62">
      <c r="G62" s="15"/>
      <c r="I62" s="14"/>
      <c r="J62" s="15"/>
      <c r="K62" s="15"/>
      <c r="L62" s="105"/>
    </row>
    <row r="63">
      <c r="G63" s="15"/>
      <c r="I63" s="14"/>
      <c r="J63" s="15"/>
      <c r="K63" s="15"/>
      <c r="L63" s="105"/>
    </row>
    <row r="64">
      <c r="G64" s="15"/>
      <c r="I64" s="14"/>
      <c r="J64" s="15"/>
      <c r="K64" s="15"/>
      <c r="L64" s="105"/>
    </row>
    <row r="65">
      <c r="G65" s="15"/>
      <c r="I65" s="14"/>
      <c r="J65" s="15"/>
      <c r="K65" s="15"/>
      <c r="L65" s="105"/>
    </row>
    <row r="66">
      <c r="G66" s="15"/>
      <c r="I66" s="14"/>
      <c r="J66" s="15"/>
      <c r="K66" s="15"/>
      <c r="L66" s="105"/>
    </row>
    <row r="67">
      <c r="G67" s="15"/>
      <c r="I67" s="14"/>
      <c r="J67" s="15"/>
      <c r="K67" s="15"/>
      <c r="L67" s="105"/>
    </row>
    <row r="68">
      <c r="G68" s="15"/>
      <c r="I68" s="14"/>
      <c r="J68" s="15"/>
      <c r="K68" s="15"/>
      <c r="L68" s="105"/>
    </row>
    <row r="69">
      <c r="G69" s="15"/>
      <c r="I69" s="14"/>
      <c r="J69" s="15"/>
      <c r="K69" s="15"/>
      <c r="L69" s="105"/>
    </row>
    <row r="70">
      <c r="G70" s="15"/>
      <c r="I70" s="14"/>
      <c r="J70" s="15"/>
      <c r="K70" s="15"/>
      <c r="L70" s="105"/>
    </row>
    <row r="71">
      <c r="G71" s="15"/>
      <c r="I71" s="14"/>
      <c r="J71" s="15"/>
      <c r="K71" s="15"/>
      <c r="L71" s="105"/>
    </row>
    <row r="72">
      <c r="G72" s="15"/>
      <c r="I72" s="14"/>
      <c r="J72" s="15"/>
      <c r="K72" s="15"/>
      <c r="L72" s="105"/>
    </row>
    <row r="73">
      <c r="G73" s="15"/>
      <c r="I73" s="14"/>
      <c r="J73" s="15"/>
      <c r="K73" s="15"/>
      <c r="L73" s="105"/>
    </row>
    <row r="74">
      <c r="G74" s="15"/>
      <c r="I74" s="14"/>
      <c r="J74" s="15"/>
      <c r="K74" s="15"/>
      <c r="L74" s="105"/>
    </row>
    <row r="75">
      <c r="G75" s="15"/>
      <c r="I75" s="14"/>
      <c r="J75" s="15"/>
      <c r="K75" s="15"/>
      <c r="L75" s="105"/>
    </row>
    <row r="76">
      <c r="G76" s="15"/>
      <c r="I76" s="14"/>
      <c r="J76" s="15"/>
      <c r="K76" s="15"/>
      <c r="L76" s="105"/>
    </row>
    <row r="77">
      <c r="G77" s="15"/>
      <c r="I77" s="14"/>
      <c r="J77" s="15"/>
      <c r="K77" s="15"/>
      <c r="L77" s="105"/>
    </row>
    <row r="78">
      <c r="G78" s="15"/>
      <c r="I78" s="14"/>
      <c r="J78" s="15"/>
      <c r="K78" s="15"/>
      <c r="L78" s="105"/>
    </row>
    <row r="79">
      <c r="G79" s="15"/>
      <c r="I79" s="14"/>
      <c r="J79" s="15"/>
      <c r="K79" s="15"/>
      <c r="L79" s="105"/>
    </row>
    <row r="80">
      <c r="G80" s="15"/>
      <c r="I80" s="14"/>
      <c r="J80" s="15"/>
      <c r="K80" s="15"/>
      <c r="L80" s="105"/>
    </row>
    <row r="81">
      <c r="G81" s="15"/>
      <c r="I81" s="14"/>
      <c r="J81" s="15"/>
      <c r="K81" s="15"/>
      <c r="L81" s="105"/>
    </row>
    <row r="82">
      <c r="G82" s="15"/>
      <c r="I82" s="14"/>
      <c r="J82" s="15"/>
      <c r="K82" s="15"/>
      <c r="L82" s="105"/>
    </row>
    <row r="83">
      <c r="G83" s="15"/>
      <c r="I83" s="14"/>
      <c r="J83" s="15"/>
      <c r="K83" s="15"/>
      <c r="L83" s="105"/>
    </row>
    <row r="84">
      <c r="G84" s="15"/>
      <c r="I84" s="14"/>
      <c r="J84" s="15"/>
      <c r="K84" s="15"/>
      <c r="L84" s="105"/>
    </row>
    <row r="85">
      <c r="G85" s="15"/>
      <c r="I85" s="14"/>
      <c r="J85" s="15"/>
      <c r="K85" s="15"/>
      <c r="L85" s="105"/>
    </row>
    <row r="86">
      <c r="G86" s="15"/>
      <c r="I86" s="14"/>
      <c r="J86" s="15"/>
      <c r="K86" s="15"/>
      <c r="L86" s="105"/>
    </row>
    <row r="87">
      <c r="G87" s="15"/>
      <c r="I87" s="14"/>
      <c r="J87" s="15"/>
      <c r="K87" s="15"/>
      <c r="L87" s="105"/>
    </row>
    <row r="88">
      <c r="G88" s="15"/>
      <c r="I88" s="14"/>
      <c r="J88" s="15"/>
      <c r="K88" s="15"/>
      <c r="L88" s="105"/>
    </row>
    <row r="89">
      <c r="G89" s="15"/>
      <c r="I89" s="14"/>
      <c r="J89" s="15"/>
      <c r="K89" s="15"/>
      <c r="L89" s="105"/>
    </row>
    <row r="90">
      <c r="G90" s="15"/>
      <c r="I90" s="14"/>
      <c r="J90" s="15"/>
      <c r="K90" s="15"/>
      <c r="L90" s="105"/>
    </row>
    <row r="91">
      <c r="G91" s="15"/>
      <c r="I91" s="14"/>
      <c r="J91" s="15"/>
      <c r="K91" s="15"/>
      <c r="L91" s="105"/>
    </row>
    <row r="92">
      <c r="G92" s="15"/>
      <c r="I92" s="14"/>
      <c r="J92" s="15"/>
      <c r="K92" s="15"/>
      <c r="L92" s="105"/>
    </row>
    <row r="93">
      <c r="G93" s="15"/>
      <c r="I93" s="14"/>
      <c r="J93" s="15"/>
      <c r="K93" s="15"/>
      <c r="L93" s="105"/>
    </row>
    <row r="94">
      <c r="G94" s="15"/>
      <c r="I94" s="14"/>
      <c r="J94" s="15"/>
      <c r="K94" s="15"/>
      <c r="L94" s="105"/>
    </row>
    <row r="95">
      <c r="G95" s="15"/>
      <c r="I95" s="14"/>
      <c r="J95" s="15"/>
      <c r="K95" s="15"/>
      <c r="L95" s="105"/>
    </row>
    <row r="96">
      <c r="G96" s="15"/>
      <c r="I96" s="14"/>
      <c r="J96" s="15"/>
      <c r="K96" s="15"/>
      <c r="L96" s="105"/>
    </row>
    <row r="97">
      <c r="G97" s="15"/>
      <c r="I97" s="14"/>
      <c r="J97" s="15"/>
      <c r="K97" s="15"/>
      <c r="L97" s="105"/>
    </row>
    <row r="98">
      <c r="G98" s="15"/>
      <c r="I98" s="14"/>
      <c r="J98" s="15"/>
      <c r="K98" s="15"/>
      <c r="L98" s="105"/>
    </row>
    <row r="99">
      <c r="G99" s="15"/>
      <c r="I99" s="14"/>
      <c r="J99" s="15"/>
      <c r="K99" s="15"/>
      <c r="L99" s="105"/>
    </row>
    <row r="100">
      <c r="G100" s="15"/>
      <c r="I100" s="14"/>
      <c r="J100" s="15"/>
      <c r="K100" s="15"/>
      <c r="L100" s="105"/>
    </row>
    <row r="101">
      <c r="G101" s="15"/>
      <c r="I101" s="14"/>
      <c r="J101" s="15"/>
      <c r="K101" s="15"/>
      <c r="L101" s="105"/>
    </row>
    <row r="102">
      <c r="G102" s="15"/>
      <c r="I102" s="14"/>
      <c r="J102" s="15"/>
      <c r="K102" s="15"/>
      <c r="L102" s="105"/>
    </row>
    <row r="103">
      <c r="G103" s="15"/>
      <c r="I103" s="14"/>
      <c r="J103" s="15"/>
      <c r="K103" s="15"/>
      <c r="L103" s="105"/>
    </row>
    <row r="104">
      <c r="G104" s="15"/>
      <c r="I104" s="14"/>
      <c r="J104" s="15"/>
      <c r="K104" s="15"/>
      <c r="L104" s="105"/>
    </row>
    <row r="105">
      <c r="G105" s="15"/>
      <c r="I105" s="14"/>
      <c r="J105" s="15"/>
      <c r="K105" s="15"/>
      <c r="L105" s="105"/>
    </row>
    <row r="106">
      <c r="G106" s="15"/>
      <c r="I106" s="14"/>
      <c r="J106" s="15"/>
      <c r="K106" s="15"/>
      <c r="L106" s="105"/>
    </row>
    <row r="107">
      <c r="G107" s="15"/>
      <c r="I107" s="14"/>
      <c r="J107" s="15"/>
      <c r="K107" s="15"/>
      <c r="L107" s="105"/>
    </row>
    <row r="108">
      <c r="G108" s="15"/>
      <c r="I108" s="14"/>
      <c r="J108" s="15"/>
      <c r="K108" s="15"/>
      <c r="L108" s="105"/>
    </row>
    <row r="109">
      <c r="G109" s="15"/>
      <c r="I109" s="14"/>
      <c r="J109" s="15"/>
      <c r="K109" s="15"/>
      <c r="L109" s="105"/>
    </row>
    <row r="110">
      <c r="G110" s="15"/>
      <c r="I110" s="14"/>
      <c r="J110" s="15"/>
      <c r="K110" s="15"/>
      <c r="L110" s="105"/>
    </row>
    <row r="111">
      <c r="G111" s="15"/>
      <c r="I111" s="14"/>
      <c r="J111" s="15"/>
      <c r="K111" s="15"/>
      <c r="L111" s="105"/>
    </row>
    <row r="112">
      <c r="G112" s="15"/>
      <c r="I112" s="14"/>
      <c r="J112" s="15"/>
      <c r="K112" s="15"/>
      <c r="L112" s="105"/>
    </row>
    <row r="113">
      <c r="G113" s="15"/>
      <c r="I113" s="14"/>
      <c r="J113" s="15"/>
      <c r="K113" s="15"/>
      <c r="L113" s="105"/>
    </row>
    <row r="114">
      <c r="G114" s="15"/>
      <c r="I114" s="14"/>
      <c r="J114" s="15"/>
      <c r="K114" s="15"/>
      <c r="L114" s="105"/>
    </row>
    <row r="115">
      <c r="G115" s="15"/>
      <c r="I115" s="14"/>
      <c r="J115" s="15"/>
      <c r="K115" s="15"/>
      <c r="L115" s="105"/>
    </row>
    <row r="116">
      <c r="G116" s="15"/>
      <c r="I116" s="14"/>
      <c r="J116" s="15"/>
      <c r="K116" s="15"/>
      <c r="L116" s="105"/>
    </row>
    <row r="117">
      <c r="G117" s="15"/>
      <c r="I117" s="14"/>
      <c r="J117" s="15"/>
      <c r="K117" s="15"/>
      <c r="L117" s="105"/>
    </row>
    <row r="118">
      <c r="G118" s="15"/>
      <c r="I118" s="14"/>
      <c r="J118" s="15"/>
      <c r="K118" s="15"/>
      <c r="L118" s="105"/>
    </row>
    <row r="119">
      <c r="G119" s="15"/>
      <c r="I119" s="14"/>
      <c r="J119" s="15"/>
      <c r="K119" s="15"/>
      <c r="L119" s="105"/>
    </row>
    <row r="120">
      <c r="G120" s="15"/>
      <c r="I120" s="14"/>
      <c r="J120" s="15"/>
      <c r="K120" s="15"/>
      <c r="L120" s="105"/>
    </row>
    <row r="121">
      <c r="G121" s="15"/>
      <c r="I121" s="14"/>
      <c r="J121" s="15"/>
      <c r="K121" s="15"/>
      <c r="L121" s="105"/>
    </row>
    <row r="122">
      <c r="G122" s="15"/>
      <c r="I122" s="14"/>
      <c r="J122" s="15"/>
      <c r="K122" s="15"/>
      <c r="L122" s="105"/>
    </row>
    <row r="123">
      <c r="G123" s="15"/>
      <c r="I123" s="14"/>
      <c r="J123" s="15"/>
      <c r="K123" s="15"/>
      <c r="L123" s="105"/>
    </row>
    <row r="124">
      <c r="G124" s="15"/>
      <c r="I124" s="14"/>
      <c r="J124" s="15"/>
      <c r="K124" s="15"/>
      <c r="L124" s="105"/>
    </row>
    <row r="125">
      <c r="G125" s="15"/>
      <c r="I125" s="14"/>
      <c r="J125" s="15"/>
      <c r="K125" s="15"/>
      <c r="L125" s="105"/>
    </row>
    <row r="126">
      <c r="G126" s="15"/>
      <c r="I126" s="14"/>
      <c r="J126" s="15"/>
      <c r="K126" s="15"/>
      <c r="L126" s="105"/>
    </row>
    <row r="127">
      <c r="G127" s="15"/>
      <c r="I127" s="14"/>
      <c r="J127" s="15"/>
      <c r="K127" s="15"/>
      <c r="L127" s="105"/>
    </row>
    <row r="128">
      <c r="G128" s="15"/>
      <c r="I128" s="14"/>
      <c r="J128" s="15"/>
      <c r="K128" s="15"/>
      <c r="L128" s="105"/>
    </row>
    <row r="129">
      <c r="G129" s="15"/>
      <c r="I129" s="14"/>
      <c r="J129" s="15"/>
      <c r="K129" s="15"/>
      <c r="L129" s="105"/>
    </row>
    <row r="130">
      <c r="G130" s="15"/>
      <c r="I130" s="14"/>
      <c r="J130" s="15"/>
      <c r="K130" s="15"/>
      <c r="L130" s="105"/>
    </row>
    <row r="131">
      <c r="G131" s="15"/>
      <c r="I131" s="14"/>
      <c r="J131" s="15"/>
      <c r="K131" s="15"/>
      <c r="L131" s="105"/>
    </row>
    <row r="132">
      <c r="G132" s="15"/>
      <c r="I132" s="14"/>
      <c r="J132" s="15"/>
      <c r="K132" s="15"/>
      <c r="L132" s="105"/>
    </row>
    <row r="133">
      <c r="G133" s="15"/>
      <c r="I133" s="14"/>
      <c r="J133" s="15"/>
      <c r="K133" s="15"/>
      <c r="L133" s="105"/>
    </row>
    <row r="134">
      <c r="G134" s="15"/>
      <c r="I134" s="14"/>
      <c r="J134" s="15"/>
      <c r="K134" s="15"/>
      <c r="L134" s="105"/>
    </row>
    <row r="135">
      <c r="G135" s="15"/>
      <c r="I135" s="14"/>
      <c r="J135" s="15"/>
      <c r="K135" s="15"/>
      <c r="L135" s="105"/>
    </row>
    <row r="136">
      <c r="G136" s="15"/>
      <c r="I136" s="14"/>
      <c r="J136" s="15"/>
      <c r="K136" s="15"/>
      <c r="L136" s="105"/>
    </row>
    <row r="137">
      <c r="G137" s="15"/>
      <c r="I137" s="14"/>
      <c r="J137" s="15"/>
      <c r="K137" s="15"/>
      <c r="L137" s="105"/>
    </row>
    <row r="138">
      <c r="G138" s="15"/>
      <c r="I138" s="14"/>
      <c r="J138" s="15"/>
      <c r="K138" s="15"/>
      <c r="L138" s="105"/>
    </row>
    <row r="139">
      <c r="G139" s="15"/>
      <c r="I139" s="14"/>
      <c r="J139" s="15"/>
      <c r="K139" s="15"/>
      <c r="L139" s="105"/>
    </row>
    <row r="140">
      <c r="G140" s="15"/>
      <c r="I140" s="14"/>
      <c r="J140" s="15"/>
      <c r="K140" s="15"/>
      <c r="L140" s="105"/>
    </row>
    <row r="141">
      <c r="G141" s="15"/>
      <c r="I141" s="14"/>
      <c r="J141" s="15"/>
      <c r="K141" s="15"/>
      <c r="L141" s="105"/>
    </row>
    <row r="142">
      <c r="G142" s="15"/>
      <c r="I142" s="14"/>
      <c r="J142" s="15"/>
      <c r="K142" s="15"/>
      <c r="L142" s="105"/>
    </row>
    <row r="143">
      <c r="G143" s="15"/>
      <c r="I143" s="14"/>
      <c r="J143" s="15"/>
      <c r="K143" s="15"/>
      <c r="L143" s="105"/>
    </row>
    <row r="144">
      <c r="G144" s="15"/>
      <c r="I144" s="14"/>
      <c r="J144" s="15"/>
      <c r="K144" s="15"/>
      <c r="L144" s="105"/>
    </row>
    <row r="145">
      <c r="G145" s="15"/>
      <c r="I145" s="14"/>
      <c r="J145" s="15"/>
      <c r="K145" s="15"/>
      <c r="L145" s="105"/>
    </row>
    <row r="146">
      <c r="G146" s="15"/>
      <c r="I146" s="14"/>
      <c r="J146" s="15"/>
      <c r="K146" s="15"/>
      <c r="L146" s="105"/>
    </row>
    <row r="147">
      <c r="G147" s="15"/>
      <c r="I147" s="14"/>
      <c r="J147" s="15"/>
      <c r="K147" s="15"/>
      <c r="L147" s="105"/>
    </row>
    <row r="148">
      <c r="G148" s="15"/>
      <c r="I148" s="14"/>
      <c r="J148" s="15"/>
      <c r="K148" s="15"/>
      <c r="L148" s="105"/>
    </row>
    <row r="149">
      <c r="G149" s="15"/>
      <c r="I149" s="14"/>
      <c r="J149" s="15"/>
      <c r="K149" s="15"/>
      <c r="L149" s="105"/>
    </row>
    <row r="150">
      <c r="G150" s="15"/>
      <c r="I150" s="14"/>
      <c r="J150" s="15"/>
      <c r="K150" s="15"/>
      <c r="L150" s="105"/>
    </row>
    <row r="151">
      <c r="G151" s="15"/>
      <c r="I151" s="14"/>
      <c r="J151" s="15"/>
      <c r="K151" s="15"/>
      <c r="L151" s="105"/>
    </row>
    <row r="152">
      <c r="G152" s="15"/>
      <c r="I152" s="14"/>
      <c r="J152" s="15"/>
      <c r="K152" s="15"/>
      <c r="L152" s="105"/>
    </row>
    <row r="153">
      <c r="G153" s="15"/>
      <c r="I153" s="14"/>
      <c r="J153" s="15"/>
      <c r="K153" s="15"/>
      <c r="L153" s="105"/>
    </row>
    <row r="154">
      <c r="G154" s="15"/>
      <c r="I154" s="14"/>
      <c r="J154" s="15"/>
      <c r="K154" s="15"/>
      <c r="L154" s="105"/>
    </row>
    <row r="155">
      <c r="G155" s="15"/>
      <c r="I155" s="14"/>
      <c r="J155" s="15"/>
      <c r="K155" s="15"/>
      <c r="L155" s="105"/>
    </row>
    <row r="156">
      <c r="G156" s="15"/>
      <c r="I156" s="14"/>
      <c r="J156" s="15"/>
      <c r="K156" s="15"/>
      <c r="L156" s="105"/>
    </row>
    <row r="157">
      <c r="G157" s="15"/>
      <c r="I157" s="14"/>
      <c r="J157" s="15"/>
      <c r="K157" s="15"/>
      <c r="L157" s="105"/>
    </row>
    <row r="158">
      <c r="G158" s="15"/>
      <c r="I158" s="14"/>
      <c r="J158" s="15"/>
      <c r="K158" s="15"/>
      <c r="L158" s="105"/>
    </row>
    <row r="159">
      <c r="G159" s="15"/>
      <c r="I159" s="14"/>
      <c r="J159" s="15"/>
      <c r="K159" s="15"/>
      <c r="L159" s="105"/>
    </row>
    <row r="160">
      <c r="G160" s="15"/>
      <c r="I160" s="14"/>
      <c r="J160" s="15"/>
      <c r="K160" s="15"/>
      <c r="L160" s="105"/>
    </row>
    <row r="161">
      <c r="G161" s="15"/>
      <c r="I161" s="14"/>
      <c r="J161" s="15"/>
      <c r="K161" s="15"/>
      <c r="L161" s="105"/>
    </row>
    <row r="162">
      <c r="G162" s="15"/>
      <c r="I162" s="14"/>
      <c r="J162" s="15"/>
      <c r="K162" s="15"/>
      <c r="L162" s="105"/>
    </row>
    <row r="163">
      <c r="G163" s="15"/>
      <c r="I163" s="14"/>
      <c r="J163" s="15"/>
      <c r="K163" s="15"/>
      <c r="L163" s="105"/>
    </row>
    <row r="164">
      <c r="G164" s="15"/>
      <c r="I164" s="14"/>
      <c r="J164" s="15"/>
      <c r="K164" s="15"/>
      <c r="L164" s="105"/>
    </row>
    <row r="165">
      <c r="G165" s="15"/>
      <c r="I165" s="14"/>
      <c r="J165" s="15"/>
      <c r="K165" s="15"/>
      <c r="L165" s="105"/>
    </row>
    <row r="166">
      <c r="G166" s="15"/>
      <c r="I166" s="14"/>
      <c r="J166" s="15"/>
      <c r="K166" s="15"/>
      <c r="L166" s="105"/>
    </row>
    <row r="167">
      <c r="G167" s="15"/>
      <c r="I167" s="14"/>
      <c r="J167" s="15"/>
      <c r="K167" s="15"/>
      <c r="L167" s="105"/>
    </row>
    <row r="168">
      <c r="G168" s="15"/>
      <c r="I168" s="14"/>
      <c r="J168" s="15"/>
      <c r="K168" s="15"/>
      <c r="L168" s="105"/>
    </row>
    <row r="169">
      <c r="G169" s="15"/>
      <c r="I169" s="14"/>
      <c r="J169" s="15"/>
      <c r="K169" s="15"/>
      <c r="L169" s="105"/>
    </row>
    <row r="170">
      <c r="G170" s="15"/>
      <c r="I170" s="14"/>
      <c r="J170" s="15"/>
      <c r="K170" s="15"/>
      <c r="L170" s="105"/>
    </row>
    <row r="171">
      <c r="G171" s="15"/>
      <c r="I171" s="14"/>
      <c r="J171" s="15"/>
      <c r="K171" s="15"/>
      <c r="L171" s="105"/>
    </row>
    <row r="172">
      <c r="G172" s="15"/>
      <c r="I172" s="14"/>
      <c r="J172" s="15"/>
      <c r="K172" s="15"/>
      <c r="L172" s="105"/>
    </row>
    <row r="173">
      <c r="G173" s="15"/>
      <c r="I173" s="14"/>
      <c r="J173" s="15"/>
      <c r="K173" s="15"/>
      <c r="L173" s="105"/>
    </row>
    <row r="174">
      <c r="G174" s="15"/>
      <c r="I174" s="14"/>
      <c r="J174" s="15"/>
      <c r="K174" s="15"/>
      <c r="L174" s="105"/>
    </row>
    <row r="175">
      <c r="G175" s="15"/>
      <c r="I175" s="14"/>
      <c r="J175" s="15"/>
      <c r="K175" s="15"/>
      <c r="L175" s="105"/>
    </row>
    <row r="176">
      <c r="G176" s="15"/>
      <c r="I176" s="14"/>
      <c r="J176" s="15"/>
      <c r="K176" s="15"/>
      <c r="L176" s="105"/>
    </row>
    <row r="177">
      <c r="G177" s="15"/>
      <c r="I177" s="14"/>
      <c r="J177" s="15"/>
      <c r="K177" s="15"/>
      <c r="L177" s="105"/>
    </row>
    <row r="178">
      <c r="G178" s="15"/>
      <c r="I178" s="14"/>
      <c r="J178" s="15"/>
      <c r="K178" s="15"/>
      <c r="L178" s="105"/>
    </row>
    <row r="179">
      <c r="G179" s="15"/>
      <c r="I179" s="14"/>
      <c r="J179" s="15"/>
      <c r="K179" s="15"/>
      <c r="L179" s="105"/>
    </row>
    <row r="180">
      <c r="G180" s="15"/>
      <c r="I180" s="14"/>
      <c r="J180" s="15"/>
      <c r="K180" s="15"/>
      <c r="L180" s="105"/>
    </row>
    <row r="181">
      <c r="G181" s="15"/>
      <c r="I181" s="14"/>
      <c r="J181" s="15"/>
      <c r="K181" s="15"/>
      <c r="L181" s="105"/>
    </row>
    <row r="182">
      <c r="G182" s="15"/>
      <c r="I182" s="14"/>
      <c r="J182" s="15"/>
      <c r="K182" s="15"/>
      <c r="L182" s="105"/>
    </row>
    <row r="183">
      <c r="G183" s="15"/>
      <c r="I183" s="14"/>
      <c r="J183" s="15"/>
      <c r="K183" s="15"/>
      <c r="L183" s="105"/>
    </row>
    <row r="184">
      <c r="G184" s="15"/>
      <c r="I184" s="14"/>
      <c r="J184" s="15"/>
      <c r="K184" s="15"/>
      <c r="L184" s="105"/>
    </row>
    <row r="185">
      <c r="G185" s="15"/>
      <c r="I185" s="14"/>
      <c r="J185" s="15"/>
      <c r="K185" s="15"/>
      <c r="L185" s="105"/>
    </row>
    <row r="186">
      <c r="G186" s="15"/>
      <c r="I186" s="14"/>
      <c r="J186" s="15"/>
      <c r="K186" s="15"/>
      <c r="L186" s="105"/>
    </row>
    <row r="187">
      <c r="G187" s="15"/>
      <c r="I187" s="14"/>
      <c r="J187" s="15"/>
      <c r="K187" s="15"/>
      <c r="L187" s="105"/>
    </row>
    <row r="188">
      <c r="G188" s="15"/>
      <c r="I188" s="14"/>
      <c r="J188" s="15"/>
      <c r="K188" s="15"/>
      <c r="L188" s="105"/>
    </row>
    <row r="189">
      <c r="G189" s="15"/>
      <c r="I189" s="14"/>
      <c r="J189" s="15"/>
      <c r="K189" s="15"/>
      <c r="L189" s="105"/>
    </row>
    <row r="190">
      <c r="G190" s="15"/>
      <c r="I190" s="14"/>
      <c r="J190" s="15"/>
      <c r="K190" s="15"/>
      <c r="L190" s="105"/>
    </row>
    <row r="191">
      <c r="G191" s="15"/>
      <c r="I191" s="14"/>
      <c r="J191" s="15"/>
      <c r="K191" s="15"/>
      <c r="L191" s="105"/>
    </row>
    <row r="192">
      <c r="G192" s="15"/>
      <c r="I192" s="14"/>
      <c r="J192" s="15"/>
      <c r="K192" s="15"/>
      <c r="L192" s="105"/>
    </row>
    <row r="193">
      <c r="G193" s="15"/>
      <c r="I193" s="14"/>
      <c r="J193" s="15"/>
      <c r="K193" s="15"/>
      <c r="L193" s="105"/>
    </row>
    <row r="194">
      <c r="G194" s="15"/>
      <c r="I194" s="14"/>
      <c r="J194" s="15"/>
      <c r="K194" s="15"/>
      <c r="L194" s="105"/>
    </row>
    <row r="195">
      <c r="G195" s="15"/>
      <c r="I195" s="14"/>
      <c r="J195" s="15"/>
      <c r="K195" s="15"/>
      <c r="L195" s="105"/>
    </row>
    <row r="196">
      <c r="G196" s="15"/>
      <c r="I196" s="14"/>
      <c r="J196" s="15"/>
      <c r="K196" s="15"/>
      <c r="L196" s="105"/>
    </row>
    <row r="197">
      <c r="G197" s="15"/>
      <c r="I197" s="14"/>
      <c r="J197" s="15"/>
      <c r="K197" s="15"/>
      <c r="L197" s="105"/>
    </row>
    <row r="198">
      <c r="G198" s="15"/>
      <c r="I198" s="14"/>
      <c r="J198" s="15"/>
      <c r="K198" s="15"/>
      <c r="L198" s="105"/>
    </row>
    <row r="199">
      <c r="G199" s="15"/>
      <c r="I199" s="14"/>
      <c r="J199" s="15"/>
      <c r="K199" s="15"/>
      <c r="L199" s="105"/>
    </row>
    <row r="200">
      <c r="G200" s="15"/>
      <c r="I200" s="14"/>
      <c r="J200" s="15"/>
      <c r="K200" s="15"/>
      <c r="L200" s="105"/>
    </row>
    <row r="201">
      <c r="G201" s="15"/>
      <c r="I201" s="14"/>
      <c r="J201" s="15"/>
      <c r="K201" s="15"/>
      <c r="L201" s="105"/>
    </row>
    <row r="202">
      <c r="G202" s="15"/>
      <c r="I202" s="14"/>
      <c r="J202" s="15"/>
      <c r="K202" s="15"/>
      <c r="L202" s="105"/>
    </row>
    <row r="203">
      <c r="G203" s="15"/>
      <c r="I203" s="14"/>
      <c r="J203" s="15"/>
      <c r="K203" s="15"/>
      <c r="L203" s="105"/>
    </row>
    <row r="204">
      <c r="G204" s="15"/>
      <c r="I204" s="14"/>
      <c r="J204" s="15"/>
      <c r="K204" s="15"/>
      <c r="L204" s="105"/>
    </row>
    <row r="205">
      <c r="G205" s="15"/>
      <c r="I205" s="14"/>
      <c r="J205" s="15"/>
      <c r="K205" s="15"/>
      <c r="L205" s="105"/>
    </row>
    <row r="206">
      <c r="G206" s="15"/>
      <c r="I206" s="14"/>
      <c r="J206" s="15"/>
      <c r="K206" s="15"/>
      <c r="L206" s="105"/>
    </row>
    <row r="207">
      <c r="G207" s="15"/>
      <c r="I207" s="14"/>
      <c r="J207" s="15"/>
      <c r="K207" s="15"/>
      <c r="L207" s="105"/>
    </row>
    <row r="208">
      <c r="G208" s="15"/>
      <c r="I208" s="14"/>
      <c r="J208" s="15"/>
      <c r="K208" s="15"/>
      <c r="L208" s="105"/>
    </row>
    <row r="209">
      <c r="G209" s="15"/>
      <c r="I209" s="14"/>
      <c r="J209" s="15"/>
      <c r="K209" s="15"/>
      <c r="L209" s="105"/>
    </row>
    <row r="210">
      <c r="G210" s="15"/>
      <c r="I210" s="14"/>
      <c r="J210" s="15"/>
      <c r="K210" s="15"/>
      <c r="L210" s="105"/>
    </row>
    <row r="211">
      <c r="G211" s="15"/>
      <c r="I211" s="14"/>
      <c r="J211" s="15"/>
      <c r="K211" s="15"/>
      <c r="L211" s="105"/>
    </row>
    <row r="212">
      <c r="G212" s="15"/>
      <c r="I212" s="14"/>
      <c r="J212" s="15"/>
      <c r="K212" s="15"/>
      <c r="L212" s="105"/>
    </row>
    <row r="213">
      <c r="G213" s="15"/>
      <c r="I213" s="14"/>
      <c r="J213" s="15"/>
      <c r="K213" s="15"/>
      <c r="L213" s="105"/>
    </row>
    <row r="214">
      <c r="G214" s="15"/>
      <c r="I214" s="14"/>
      <c r="J214" s="15"/>
      <c r="K214" s="15"/>
      <c r="L214" s="105"/>
    </row>
    <row r="215">
      <c r="G215" s="15"/>
      <c r="I215" s="14"/>
      <c r="J215" s="15"/>
      <c r="K215" s="15"/>
      <c r="L215" s="105"/>
    </row>
    <row r="216">
      <c r="G216" s="15"/>
      <c r="I216" s="14"/>
      <c r="J216" s="15"/>
      <c r="K216" s="15"/>
      <c r="L216" s="105"/>
    </row>
    <row r="217">
      <c r="G217" s="15"/>
      <c r="I217" s="14"/>
      <c r="J217" s="15"/>
      <c r="K217" s="15"/>
      <c r="L217" s="105"/>
    </row>
    <row r="218">
      <c r="G218" s="15"/>
      <c r="I218" s="14"/>
      <c r="J218" s="15"/>
      <c r="K218" s="15"/>
      <c r="L218" s="105"/>
    </row>
    <row r="219">
      <c r="G219" s="15"/>
      <c r="I219" s="14"/>
      <c r="J219" s="15"/>
      <c r="K219" s="15"/>
      <c r="L219" s="105"/>
    </row>
    <row r="220">
      <c r="G220" s="15"/>
      <c r="I220" s="14"/>
      <c r="J220" s="15"/>
      <c r="K220" s="15"/>
      <c r="L220" s="105"/>
    </row>
    <row r="221">
      <c r="G221" s="15"/>
      <c r="I221" s="14"/>
      <c r="J221" s="15"/>
      <c r="K221" s="15"/>
      <c r="L221" s="105"/>
    </row>
    <row r="222">
      <c r="G222" s="15"/>
      <c r="I222" s="14"/>
      <c r="J222" s="15"/>
      <c r="K222" s="15"/>
      <c r="L222" s="105"/>
    </row>
    <row r="223">
      <c r="G223" s="15"/>
      <c r="I223" s="14"/>
      <c r="J223" s="15"/>
      <c r="K223" s="15"/>
      <c r="L223" s="105"/>
    </row>
    <row r="224">
      <c r="G224" s="15"/>
      <c r="I224" s="14"/>
      <c r="J224" s="15"/>
      <c r="K224" s="15"/>
      <c r="L224" s="105"/>
    </row>
    <row r="225">
      <c r="G225" s="15"/>
      <c r="I225" s="14"/>
      <c r="J225" s="15"/>
      <c r="K225" s="15"/>
      <c r="L225" s="105"/>
    </row>
    <row r="226">
      <c r="G226" s="15"/>
      <c r="I226" s="14"/>
      <c r="J226" s="15"/>
      <c r="K226" s="15"/>
      <c r="L226" s="105"/>
    </row>
    <row r="227">
      <c r="G227" s="15"/>
      <c r="I227" s="14"/>
      <c r="J227" s="15"/>
      <c r="K227" s="15"/>
      <c r="L227" s="105"/>
    </row>
    <row r="228">
      <c r="G228" s="15"/>
      <c r="I228" s="14"/>
      <c r="J228" s="15"/>
      <c r="K228" s="15"/>
      <c r="L228" s="105"/>
    </row>
    <row r="229">
      <c r="G229" s="15"/>
      <c r="I229" s="14"/>
      <c r="J229" s="15"/>
      <c r="K229" s="15"/>
      <c r="L229" s="105"/>
    </row>
    <row r="230">
      <c r="G230" s="15"/>
      <c r="I230" s="14"/>
      <c r="J230" s="15"/>
      <c r="K230" s="15"/>
      <c r="L230" s="105"/>
    </row>
    <row r="231">
      <c r="G231" s="15"/>
      <c r="I231" s="14"/>
      <c r="J231" s="15"/>
      <c r="K231" s="15"/>
      <c r="L231" s="105"/>
    </row>
    <row r="232">
      <c r="G232" s="15"/>
      <c r="I232" s="14"/>
      <c r="J232" s="15"/>
      <c r="K232" s="15"/>
      <c r="L232" s="105"/>
    </row>
    <row r="233">
      <c r="G233" s="15"/>
      <c r="I233" s="14"/>
      <c r="J233" s="15"/>
      <c r="K233" s="15"/>
      <c r="L233" s="105"/>
    </row>
    <row r="234">
      <c r="G234" s="15"/>
      <c r="I234" s="14"/>
      <c r="J234" s="15"/>
      <c r="K234" s="15"/>
      <c r="L234" s="105"/>
    </row>
    <row r="235">
      <c r="G235" s="15"/>
      <c r="I235" s="14"/>
      <c r="J235" s="15"/>
      <c r="K235" s="15"/>
      <c r="L235" s="105"/>
    </row>
    <row r="236">
      <c r="G236" s="15"/>
      <c r="I236" s="14"/>
      <c r="J236" s="15"/>
      <c r="K236" s="15"/>
      <c r="L236" s="105"/>
    </row>
    <row r="237">
      <c r="G237" s="15"/>
      <c r="I237" s="14"/>
      <c r="J237" s="15"/>
      <c r="K237" s="15"/>
      <c r="L237" s="105"/>
    </row>
    <row r="238">
      <c r="G238" s="15"/>
      <c r="I238" s="14"/>
      <c r="J238" s="15"/>
      <c r="K238" s="15"/>
      <c r="L238" s="105"/>
    </row>
    <row r="239">
      <c r="G239" s="15"/>
      <c r="I239" s="14"/>
      <c r="J239" s="15"/>
      <c r="K239" s="15"/>
      <c r="L239" s="105"/>
    </row>
    <row r="240">
      <c r="G240" s="15"/>
      <c r="I240" s="14"/>
      <c r="J240" s="15"/>
      <c r="K240" s="15"/>
      <c r="L240" s="105"/>
    </row>
    <row r="241">
      <c r="G241" s="15"/>
      <c r="I241" s="14"/>
      <c r="J241" s="15"/>
      <c r="K241" s="15"/>
      <c r="L241" s="105"/>
    </row>
    <row r="242">
      <c r="G242" s="15"/>
      <c r="I242" s="14"/>
      <c r="J242" s="15"/>
      <c r="K242" s="15"/>
      <c r="L242" s="105"/>
    </row>
    <row r="243">
      <c r="G243" s="15"/>
      <c r="I243" s="14"/>
      <c r="J243" s="15"/>
      <c r="K243" s="15"/>
      <c r="L243" s="105"/>
    </row>
    <row r="244">
      <c r="G244" s="15"/>
      <c r="I244" s="14"/>
      <c r="J244" s="15"/>
      <c r="K244" s="15"/>
      <c r="L244" s="105"/>
    </row>
    <row r="245">
      <c r="G245" s="15"/>
      <c r="I245" s="14"/>
      <c r="J245" s="15"/>
      <c r="K245" s="15"/>
      <c r="L245" s="105"/>
    </row>
    <row r="246">
      <c r="G246" s="15"/>
      <c r="I246" s="14"/>
      <c r="J246" s="15"/>
      <c r="K246" s="15"/>
      <c r="L246" s="105"/>
    </row>
    <row r="247">
      <c r="G247" s="15"/>
      <c r="I247" s="14"/>
      <c r="J247" s="15"/>
      <c r="K247" s="15"/>
      <c r="L247" s="105"/>
    </row>
    <row r="248">
      <c r="G248" s="15"/>
      <c r="I248" s="14"/>
      <c r="J248" s="15"/>
      <c r="K248" s="15"/>
      <c r="L248" s="105"/>
    </row>
    <row r="249">
      <c r="G249" s="15"/>
      <c r="I249" s="14"/>
      <c r="J249" s="15"/>
      <c r="K249" s="15"/>
      <c r="L249" s="105"/>
    </row>
    <row r="250">
      <c r="G250" s="15"/>
      <c r="I250" s="14"/>
      <c r="J250" s="15"/>
      <c r="K250" s="15"/>
      <c r="L250" s="105"/>
    </row>
    <row r="251">
      <c r="G251" s="15"/>
      <c r="I251" s="14"/>
      <c r="J251" s="15"/>
      <c r="K251" s="15"/>
      <c r="L251" s="105"/>
    </row>
    <row r="252">
      <c r="G252" s="15"/>
      <c r="I252" s="14"/>
      <c r="J252" s="15"/>
      <c r="K252" s="15"/>
      <c r="L252" s="105"/>
    </row>
    <row r="253">
      <c r="G253" s="15"/>
      <c r="I253" s="14"/>
      <c r="J253" s="15"/>
      <c r="K253" s="15"/>
      <c r="L253" s="105"/>
    </row>
    <row r="254">
      <c r="G254" s="15"/>
      <c r="I254" s="14"/>
      <c r="J254" s="15"/>
      <c r="K254" s="15"/>
      <c r="L254" s="105"/>
    </row>
    <row r="255">
      <c r="G255" s="15"/>
      <c r="I255" s="14"/>
      <c r="J255" s="15"/>
      <c r="K255" s="15"/>
      <c r="L255" s="105"/>
    </row>
    <row r="256">
      <c r="G256" s="15"/>
      <c r="I256" s="14"/>
      <c r="J256" s="15"/>
      <c r="K256" s="15"/>
      <c r="L256" s="105"/>
    </row>
    <row r="257">
      <c r="G257" s="15"/>
      <c r="I257" s="14"/>
      <c r="J257" s="15"/>
      <c r="K257" s="15"/>
      <c r="L257" s="105"/>
    </row>
    <row r="258">
      <c r="G258" s="15"/>
      <c r="I258" s="14"/>
      <c r="J258" s="15"/>
      <c r="K258" s="15"/>
      <c r="L258" s="105"/>
    </row>
    <row r="259">
      <c r="G259" s="15"/>
      <c r="I259" s="14"/>
      <c r="J259" s="15"/>
      <c r="K259" s="15"/>
      <c r="L259" s="105"/>
    </row>
    <row r="260">
      <c r="G260" s="15"/>
      <c r="I260" s="14"/>
      <c r="J260" s="15"/>
      <c r="K260" s="15"/>
      <c r="L260" s="105"/>
    </row>
    <row r="261">
      <c r="G261" s="15"/>
      <c r="I261" s="14"/>
      <c r="J261" s="15"/>
      <c r="K261" s="15"/>
      <c r="L261" s="105"/>
    </row>
    <row r="262">
      <c r="G262" s="15"/>
      <c r="I262" s="14"/>
      <c r="J262" s="15"/>
      <c r="K262" s="15"/>
      <c r="L262" s="105"/>
    </row>
    <row r="263">
      <c r="G263" s="15"/>
      <c r="I263" s="14"/>
      <c r="J263" s="15"/>
      <c r="K263" s="15"/>
      <c r="L263" s="105"/>
    </row>
    <row r="264">
      <c r="G264" s="15"/>
      <c r="I264" s="14"/>
      <c r="J264" s="15"/>
      <c r="K264" s="15"/>
      <c r="L264" s="105"/>
    </row>
    <row r="265">
      <c r="G265" s="15"/>
      <c r="I265" s="14"/>
      <c r="J265" s="15"/>
      <c r="K265" s="15"/>
      <c r="L265" s="105"/>
    </row>
    <row r="266">
      <c r="G266" s="15"/>
      <c r="I266" s="14"/>
      <c r="J266" s="15"/>
      <c r="K266" s="15"/>
      <c r="L266" s="105"/>
    </row>
    <row r="267">
      <c r="G267" s="15"/>
      <c r="I267" s="14"/>
      <c r="J267" s="15"/>
      <c r="K267" s="15"/>
      <c r="L267" s="105"/>
    </row>
    <row r="268">
      <c r="G268" s="15"/>
      <c r="I268" s="14"/>
      <c r="J268" s="15"/>
      <c r="K268" s="15"/>
      <c r="L268" s="105"/>
    </row>
    <row r="269">
      <c r="G269" s="15"/>
      <c r="I269" s="14"/>
      <c r="J269" s="15"/>
      <c r="K269" s="15"/>
      <c r="L269" s="105"/>
    </row>
    <row r="270">
      <c r="G270" s="15"/>
      <c r="I270" s="14"/>
      <c r="J270" s="15"/>
      <c r="K270" s="15"/>
      <c r="L270" s="105"/>
    </row>
    <row r="271">
      <c r="G271" s="15"/>
      <c r="I271" s="14"/>
      <c r="J271" s="15"/>
      <c r="K271" s="15"/>
      <c r="L271" s="105"/>
    </row>
    <row r="272">
      <c r="G272" s="15"/>
      <c r="I272" s="14"/>
      <c r="J272" s="15"/>
      <c r="K272" s="15"/>
      <c r="L272" s="105"/>
    </row>
    <row r="273">
      <c r="G273" s="15"/>
      <c r="I273" s="14"/>
      <c r="J273" s="15"/>
      <c r="K273" s="15"/>
      <c r="L273" s="105"/>
    </row>
    <row r="274">
      <c r="G274" s="15"/>
      <c r="I274" s="14"/>
      <c r="J274" s="15"/>
      <c r="K274" s="15"/>
      <c r="L274" s="105"/>
    </row>
    <row r="275">
      <c r="G275" s="15"/>
      <c r="I275" s="14"/>
      <c r="J275" s="15"/>
      <c r="K275" s="15"/>
      <c r="L275" s="105"/>
    </row>
    <row r="276">
      <c r="G276" s="15"/>
      <c r="I276" s="14"/>
      <c r="J276" s="15"/>
      <c r="K276" s="15"/>
      <c r="L276" s="105"/>
    </row>
    <row r="277">
      <c r="G277" s="15"/>
      <c r="I277" s="14"/>
      <c r="J277" s="15"/>
      <c r="K277" s="15"/>
      <c r="L277" s="105"/>
    </row>
    <row r="278">
      <c r="G278" s="15"/>
      <c r="I278" s="14"/>
      <c r="J278" s="15"/>
      <c r="K278" s="15"/>
      <c r="L278" s="105"/>
    </row>
    <row r="279">
      <c r="G279" s="15"/>
      <c r="I279" s="14"/>
      <c r="J279" s="15"/>
      <c r="K279" s="15"/>
      <c r="L279" s="105"/>
    </row>
    <row r="280">
      <c r="G280" s="15"/>
      <c r="I280" s="14"/>
      <c r="J280" s="15"/>
      <c r="K280" s="15"/>
      <c r="L280" s="105"/>
    </row>
    <row r="281">
      <c r="G281" s="15"/>
      <c r="I281" s="14"/>
      <c r="J281" s="15"/>
      <c r="K281" s="15"/>
      <c r="L281" s="105"/>
    </row>
    <row r="282">
      <c r="G282" s="15"/>
      <c r="I282" s="14"/>
      <c r="J282" s="15"/>
      <c r="K282" s="15"/>
      <c r="L282" s="105"/>
    </row>
    <row r="283">
      <c r="G283" s="15"/>
      <c r="I283" s="14"/>
      <c r="J283" s="15"/>
      <c r="K283" s="15"/>
      <c r="L283" s="105"/>
    </row>
    <row r="284">
      <c r="G284" s="15"/>
      <c r="I284" s="14"/>
      <c r="J284" s="15"/>
      <c r="K284" s="15"/>
      <c r="L284" s="105"/>
    </row>
    <row r="285">
      <c r="G285" s="15"/>
      <c r="I285" s="14"/>
      <c r="J285" s="15"/>
      <c r="K285" s="15"/>
      <c r="L285" s="105"/>
    </row>
    <row r="286">
      <c r="G286" s="15"/>
      <c r="I286" s="14"/>
      <c r="J286" s="15"/>
      <c r="K286" s="15"/>
      <c r="L286" s="105"/>
    </row>
    <row r="287">
      <c r="G287" s="15"/>
      <c r="I287" s="14"/>
      <c r="J287" s="15"/>
      <c r="K287" s="15"/>
      <c r="L287" s="105"/>
    </row>
    <row r="288">
      <c r="G288" s="15"/>
      <c r="I288" s="14"/>
      <c r="J288" s="15"/>
      <c r="K288" s="15"/>
      <c r="L288" s="105"/>
    </row>
    <row r="289">
      <c r="G289" s="15"/>
      <c r="I289" s="14"/>
      <c r="J289" s="15"/>
      <c r="K289" s="15"/>
      <c r="L289" s="105"/>
    </row>
    <row r="290">
      <c r="G290" s="15"/>
      <c r="I290" s="14"/>
      <c r="J290" s="15"/>
      <c r="K290" s="15"/>
      <c r="L290" s="105"/>
    </row>
    <row r="291">
      <c r="G291" s="15"/>
      <c r="I291" s="14"/>
      <c r="J291" s="15"/>
      <c r="K291" s="15"/>
      <c r="L291" s="105"/>
    </row>
    <row r="292">
      <c r="G292" s="15"/>
      <c r="I292" s="14"/>
      <c r="J292" s="15"/>
      <c r="K292" s="15"/>
      <c r="L292" s="105"/>
    </row>
    <row r="293">
      <c r="G293" s="15"/>
      <c r="I293" s="14"/>
      <c r="J293" s="15"/>
      <c r="K293" s="15"/>
      <c r="L293" s="105"/>
    </row>
    <row r="294">
      <c r="G294" s="15"/>
      <c r="I294" s="14"/>
      <c r="J294" s="15"/>
      <c r="K294" s="15"/>
      <c r="L294" s="105"/>
    </row>
    <row r="295">
      <c r="G295" s="15"/>
      <c r="I295" s="14"/>
      <c r="J295" s="15"/>
      <c r="K295" s="15"/>
      <c r="L295" s="105"/>
    </row>
    <row r="296">
      <c r="G296" s="15"/>
      <c r="I296" s="14"/>
      <c r="J296" s="15"/>
      <c r="K296" s="15"/>
      <c r="L296" s="105"/>
    </row>
    <row r="297">
      <c r="G297" s="15"/>
      <c r="I297" s="14"/>
      <c r="J297" s="15"/>
      <c r="K297" s="15"/>
      <c r="L297" s="105"/>
    </row>
    <row r="298">
      <c r="G298" s="15"/>
      <c r="I298" s="14"/>
      <c r="J298" s="15"/>
      <c r="K298" s="15"/>
      <c r="L298" s="105"/>
    </row>
    <row r="299">
      <c r="G299" s="15"/>
      <c r="I299" s="14"/>
      <c r="J299" s="15"/>
      <c r="K299" s="15"/>
      <c r="L299" s="105"/>
    </row>
    <row r="300">
      <c r="G300" s="15"/>
      <c r="I300" s="14"/>
      <c r="J300" s="15"/>
      <c r="K300" s="15"/>
      <c r="L300" s="105"/>
    </row>
    <row r="301">
      <c r="G301" s="15"/>
      <c r="I301" s="14"/>
      <c r="J301" s="15"/>
      <c r="K301" s="15"/>
      <c r="L301" s="105"/>
    </row>
    <row r="302">
      <c r="G302" s="15"/>
      <c r="I302" s="14"/>
      <c r="J302" s="15"/>
      <c r="K302" s="15"/>
      <c r="L302" s="105"/>
    </row>
    <row r="303">
      <c r="G303" s="15"/>
      <c r="I303" s="14"/>
      <c r="J303" s="15"/>
      <c r="K303" s="15"/>
      <c r="L303" s="105"/>
    </row>
    <row r="304">
      <c r="G304" s="15"/>
      <c r="I304" s="14"/>
      <c r="J304" s="15"/>
      <c r="K304" s="15"/>
      <c r="L304" s="105"/>
    </row>
    <row r="305">
      <c r="G305" s="15"/>
      <c r="I305" s="14"/>
      <c r="J305" s="15"/>
      <c r="K305" s="15"/>
      <c r="L305" s="105"/>
    </row>
    <row r="306">
      <c r="G306" s="15"/>
      <c r="I306" s="14"/>
      <c r="J306" s="15"/>
      <c r="K306" s="15"/>
      <c r="L306" s="105"/>
    </row>
    <row r="307">
      <c r="G307" s="15"/>
      <c r="I307" s="14"/>
      <c r="J307" s="15"/>
      <c r="K307" s="15"/>
      <c r="L307" s="105"/>
    </row>
    <row r="308">
      <c r="G308" s="15"/>
      <c r="I308" s="14"/>
      <c r="J308" s="15"/>
      <c r="K308" s="15"/>
      <c r="L308" s="105"/>
    </row>
    <row r="309">
      <c r="G309" s="15"/>
      <c r="I309" s="14"/>
      <c r="J309" s="15"/>
      <c r="K309" s="15"/>
      <c r="L309" s="105"/>
    </row>
    <row r="310">
      <c r="G310" s="15"/>
      <c r="I310" s="14"/>
      <c r="J310" s="15"/>
      <c r="K310" s="15"/>
      <c r="L310" s="105"/>
    </row>
    <row r="311">
      <c r="G311" s="15"/>
      <c r="I311" s="14"/>
      <c r="J311" s="15"/>
      <c r="K311" s="15"/>
      <c r="L311" s="105"/>
    </row>
    <row r="312">
      <c r="G312" s="15"/>
      <c r="I312" s="14"/>
      <c r="J312" s="15"/>
      <c r="K312" s="15"/>
      <c r="L312" s="105"/>
    </row>
    <row r="313">
      <c r="G313" s="15"/>
      <c r="I313" s="14"/>
      <c r="J313" s="15"/>
      <c r="K313" s="15"/>
      <c r="L313" s="105"/>
    </row>
    <row r="314">
      <c r="G314" s="15"/>
      <c r="I314" s="14"/>
      <c r="J314" s="15"/>
      <c r="K314" s="15"/>
      <c r="L314" s="105"/>
    </row>
    <row r="315">
      <c r="G315" s="15"/>
      <c r="I315" s="14"/>
      <c r="J315" s="15"/>
      <c r="K315" s="15"/>
      <c r="L315" s="105"/>
    </row>
    <row r="316">
      <c r="G316" s="15"/>
      <c r="I316" s="14"/>
      <c r="J316" s="15"/>
      <c r="K316" s="15"/>
      <c r="L316" s="105"/>
    </row>
    <row r="317">
      <c r="G317" s="15"/>
      <c r="I317" s="14"/>
      <c r="J317" s="15"/>
      <c r="K317" s="15"/>
      <c r="L317" s="105"/>
    </row>
    <row r="318">
      <c r="G318" s="15"/>
      <c r="I318" s="14"/>
      <c r="J318" s="15"/>
      <c r="K318" s="15"/>
      <c r="L318" s="105"/>
    </row>
    <row r="319">
      <c r="G319" s="15"/>
      <c r="I319" s="14"/>
      <c r="J319" s="15"/>
      <c r="K319" s="15"/>
      <c r="L319" s="105"/>
    </row>
    <row r="320">
      <c r="G320" s="15"/>
      <c r="I320" s="14"/>
      <c r="J320" s="15"/>
      <c r="K320" s="15"/>
      <c r="L320" s="105"/>
    </row>
    <row r="321">
      <c r="G321" s="15"/>
      <c r="I321" s="14"/>
      <c r="J321" s="15"/>
      <c r="K321" s="15"/>
      <c r="L321" s="105"/>
    </row>
    <row r="322">
      <c r="G322" s="15"/>
      <c r="I322" s="14"/>
      <c r="J322" s="15"/>
      <c r="K322" s="15"/>
      <c r="L322" s="105"/>
    </row>
    <row r="323">
      <c r="G323" s="15"/>
      <c r="I323" s="14"/>
      <c r="J323" s="15"/>
      <c r="K323" s="15"/>
      <c r="L323" s="105"/>
    </row>
    <row r="324">
      <c r="G324" s="15"/>
      <c r="I324" s="14"/>
      <c r="J324" s="15"/>
      <c r="K324" s="15"/>
      <c r="L324" s="105"/>
    </row>
    <row r="325">
      <c r="G325" s="15"/>
      <c r="I325" s="14"/>
      <c r="J325" s="15"/>
      <c r="K325" s="15"/>
      <c r="L325" s="105"/>
    </row>
    <row r="326">
      <c r="G326" s="15"/>
      <c r="I326" s="14"/>
      <c r="J326" s="15"/>
      <c r="K326" s="15"/>
      <c r="L326" s="105"/>
    </row>
    <row r="327">
      <c r="G327" s="15"/>
      <c r="I327" s="14"/>
      <c r="J327" s="15"/>
      <c r="K327" s="15"/>
      <c r="L327" s="105"/>
    </row>
    <row r="328">
      <c r="G328" s="15"/>
      <c r="I328" s="14"/>
      <c r="J328" s="15"/>
      <c r="K328" s="15"/>
      <c r="L328" s="105"/>
    </row>
    <row r="329">
      <c r="G329" s="15"/>
      <c r="I329" s="14"/>
      <c r="J329" s="15"/>
      <c r="K329" s="15"/>
      <c r="L329" s="105"/>
    </row>
    <row r="330">
      <c r="G330" s="15"/>
      <c r="I330" s="14"/>
      <c r="J330" s="15"/>
      <c r="K330" s="15"/>
      <c r="L330" s="105"/>
    </row>
    <row r="331">
      <c r="G331" s="15"/>
      <c r="I331" s="14"/>
      <c r="J331" s="15"/>
      <c r="K331" s="15"/>
      <c r="L331" s="105"/>
    </row>
    <row r="332">
      <c r="G332" s="15"/>
      <c r="I332" s="14"/>
      <c r="J332" s="15"/>
      <c r="K332" s="15"/>
      <c r="L332" s="105"/>
    </row>
    <row r="333">
      <c r="G333" s="15"/>
      <c r="I333" s="14"/>
      <c r="J333" s="15"/>
      <c r="K333" s="15"/>
      <c r="L333" s="105"/>
    </row>
    <row r="334">
      <c r="G334" s="15"/>
      <c r="I334" s="14"/>
      <c r="J334" s="15"/>
      <c r="K334" s="15"/>
      <c r="L334" s="105"/>
    </row>
    <row r="335">
      <c r="G335" s="15"/>
      <c r="I335" s="14"/>
      <c r="J335" s="15"/>
      <c r="K335" s="15"/>
      <c r="L335" s="105"/>
    </row>
    <row r="336">
      <c r="G336" s="15"/>
      <c r="I336" s="14"/>
      <c r="J336" s="15"/>
      <c r="K336" s="15"/>
      <c r="L336" s="105"/>
    </row>
    <row r="337">
      <c r="G337" s="15"/>
      <c r="I337" s="14"/>
      <c r="J337" s="15"/>
      <c r="K337" s="15"/>
      <c r="L337" s="105"/>
    </row>
    <row r="338">
      <c r="G338" s="15"/>
      <c r="I338" s="14"/>
      <c r="J338" s="15"/>
      <c r="K338" s="15"/>
      <c r="L338" s="105"/>
    </row>
    <row r="339">
      <c r="G339" s="15"/>
      <c r="I339" s="14"/>
      <c r="J339" s="15"/>
      <c r="K339" s="15"/>
      <c r="L339" s="105"/>
    </row>
    <row r="340">
      <c r="G340" s="15"/>
      <c r="I340" s="14"/>
      <c r="J340" s="15"/>
      <c r="K340" s="15"/>
      <c r="L340" s="105"/>
    </row>
    <row r="341">
      <c r="G341" s="15"/>
      <c r="I341" s="14"/>
      <c r="J341" s="15"/>
      <c r="K341" s="15"/>
      <c r="L341" s="105"/>
    </row>
    <row r="342">
      <c r="G342" s="15"/>
      <c r="I342" s="14"/>
      <c r="J342" s="15"/>
      <c r="K342" s="15"/>
      <c r="L342" s="105"/>
    </row>
    <row r="343">
      <c r="G343" s="15"/>
      <c r="I343" s="14"/>
      <c r="J343" s="15"/>
      <c r="K343" s="15"/>
      <c r="L343" s="105"/>
    </row>
    <row r="344">
      <c r="G344" s="15"/>
      <c r="I344" s="14"/>
      <c r="J344" s="15"/>
      <c r="K344" s="15"/>
      <c r="L344" s="105"/>
    </row>
    <row r="345">
      <c r="G345" s="15"/>
      <c r="I345" s="14"/>
      <c r="J345" s="15"/>
      <c r="K345" s="15"/>
      <c r="L345" s="105"/>
    </row>
    <row r="346">
      <c r="G346" s="15"/>
      <c r="I346" s="14"/>
      <c r="J346" s="15"/>
      <c r="K346" s="15"/>
      <c r="L346" s="105"/>
    </row>
    <row r="347">
      <c r="G347" s="15"/>
      <c r="I347" s="14"/>
      <c r="J347" s="15"/>
      <c r="K347" s="15"/>
      <c r="L347" s="105"/>
    </row>
    <row r="348">
      <c r="G348" s="15"/>
      <c r="I348" s="14"/>
      <c r="J348" s="15"/>
      <c r="K348" s="15"/>
      <c r="L348" s="105"/>
    </row>
    <row r="349">
      <c r="G349" s="15"/>
      <c r="I349" s="14"/>
      <c r="J349" s="15"/>
      <c r="K349" s="15"/>
      <c r="L349" s="105"/>
    </row>
    <row r="350">
      <c r="G350" s="15"/>
      <c r="I350" s="14"/>
      <c r="J350" s="15"/>
      <c r="K350" s="15"/>
      <c r="L350" s="105"/>
    </row>
    <row r="351">
      <c r="G351" s="15"/>
      <c r="I351" s="14"/>
      <c r="J351" s="15"/>
      <c r="K351" s="15"/>
      <c r="L351" s="105"/>
    </row>
    <row r="352">
      <c r="G352" s="15"/>
      <c r="I352" s="14"/>
      <c r="J352" s="15"/>
      <c r="K352" s="15"/>
      <c r="L352" s="105"/>
    </row>
    <row r="353">
      <c r="G353" s="15"/>
      <c r="I353" s="14"/>
      <c r="J353" s="15"/>
      <c r="K353" s="15"/>
      <c r="L353" s="105"/>
    </row>
    <row r="354">
      <c r="G354" s="15"/>
      <c r="I354" s="14"/>
      <c r="J354" s="15"/>
      <c r="K354" s="15"/>
      <c r="L354" s="105"/>
    </row>
    <row r="355">
      <c r="G355" s="15"/>
      <c r="I355" s="14"/>
      <c r="J355" s="15"/>
      <c r="K355" s="15"/>
      <c r="L355" s="105"/>
    </row>
    <row r="356">
      <c r="G356" s="15"/>
      <c r="I356" s="14"/>
      <c r="J356" s="15"/>
      <c r="K356" s="15"/>
      <c r="L356" s="105"/>
    </row>
    <row r="357">
      <c r="G357" s="15"/>
      <c r="I357" s="14"/>
      <c r="J357" s="15"/>
      <c r="K357" s="15"/>
      <c r="L357" s="105"/>
    </row>
    <row r="358">
      <c r="G358" s="15"/>
      <c r="I358" s="14"/>
      <c r="J358" s="15"/>
      <c r="K358" s="15"/>
      <c r="L358" s="105"/>
    </row>
    <row r="359">
      <c r="G359" s="15"/>
      <c r="I359" s="14"/>
      <c r="J359" s="15"/>
      <c r="K359" s="15"/>
      <c r="L359" s="105"/>
    </row>
    <row r="360">
      <c r="G360" s="15"/>
      <c r="I360" s="14"/>
      <c r="J360" s="15"/>
      <c r="K360" s="15"/>
      <c r="L360" s="105"/>
    </row>
    <row r="361">
      <c r="G361" s="15"/>
      <c r="I361" s="14"/>
      <c r="J361" s="15"/>
      <c r="K361" s="15"/>
      <c r="L361" s="105"/>
    </row>
    <row r="362">
      <c r="G362" s="15"/>
      <c r="I362" s="14"/>
      <c r="J362" s="15"/>
      <c r="K362" s="15"/>
      <c r="L362" s="105"/>
    </row>
    <row r="363">
      <c r="G363" s="15"/>
      <c r="I363" s="14"/>
      <c r="J363" s="15"/>
      <c r="K363" s="15"/>
      <c r="L363" s="105"/>
    </row>
    <row r="364">
      <c r="G364" s="15"/>
      <c r="I364" s="14"/>
      <c r="J364" s="15"/>
      <c r="K364" s="15"/>
      <c r="L364" s="105"/>
    </row>
    <row r="365">
      <c r="G365" s="15"/>
      <c r="I365" s="14"/>
      <c r="J365" s="15"/>
      <c r="K365" s="15"/>
      <c r="L365" s="105"/>
    </row>
    <row r="366">
      <c r="G366" s="15"/>
      <c r="I366" s="14"/>
      <c r="J366" s="15"/>
      <c r="K366" s="15"/>
      <c r="L366" s="105"/>
    </row>
    <row r="367">
      <c r="G367" s="15"/>
      <c r="I367" s="14"/>
      <c r="J367" s="15"/>
      <c r="K367" s="15"/>
      <c r="L367" s="105"/>
    </row>
    <row r="368">
      <c r="G368" s="15"/>
      <c r="I368" s="14"/>
      <c r="J368" s="15"/>
      <c r="K368" s="15"/>
      <c r="L368" s="105"/>
    </row>
    <row r="369">
      <c r="G369" s="15"/>
      <c r="I369" s="14"/>
      <c r="J369" s="15"/>
      <c r="K369" s="15"/>
      <c r="L369" s="105"/>
    </row>
    <row r="370">
      <c r="G370" s="15"/>
      <c r="I370" s="14"/>
      <c r="J370" s="15"/>
      <c r="K370" s="15"/>
      <c r="L370" s="105"/>
    </row>
    <row r="371">
      <c r="G371" s="15"/>
      <c r="I371" s="14"/>
      <c r="J371" s="15"/>
      <c r="K371" s="15"/>
      <c r="L371" s="105"/>
    </row>
    <row r="372">
      <c r="G372" s="15"/>
      <c r="I372" s="14"/>
      <c r="J372" s="15"/>
      <c r="K372" s="15"/>
      <c r="L372" s="105"/>
    </row>
    <row r="373">
      <c r="G373" s="15"/>
      <c r="I373" s="14"/>
      <c r="J373" s="15"/>
      <c r="K373" s="15"/>
      <c r="L373" s="105"/>
    </row>
    <row r="374">
      <c r="G374" s="15"/>
      <c r="I374" s="14"/>
      <c r="J374" s="15"/>
      <c r="K374" s="15"/>
      <c r="L374" s="105"/>
    </row>
    <row r="375">
      <c r="G375" s="15"/>
      <c r="I375" s="14"/>
      <c r="J375" s="15"/>
      <c r="K375" s="15"/>
      <c r="L375" s="105"/>
    </row>
    <row r="376">
      <c r="G376" s="15"/>
      <c r="I376" s="14"/>
      <c r="J376" s="15"/>
      <c r="K376" s="15"/>
      <c r="L376" s="105"/>
    </row>
    <row r="377">
      <c r="G377" s="15"/>
      <c r="I377" s="14"/>
      <c r="J377" s="15"/>
      <c r="K377" s="15"/>
      <c r="L377" s="105"/>
    </row>
    <row r="378">
      <c r="G378" s="15"/>
      <c r="I378" s="14"/>
      <c r="J378" s="15"/>
      <c r="K378" s="15"/>
      <c r="L378" s="105"/>
    </row>
    <row r="379">
      <c r="G379" s="15"/>
      <c r="I379" s="14"/>
      <c r="J379" s="15"/>
      <c r="K379" s="15"/>
      <c r="L379" s="105"/>
    </row>
    <row r="380">
      <c r="G380" s="15"/>
      <c r="I380" s="14"/>
      <c r="J380" s="15"/>
      <c r="K380" s="15"/>
      <c r="L380" s="105"/>
    </row>
    <row r="381">
      <c r="G381" s="15"/>
      <c r="I381" s="14"/>
      <c r="J381" s="15"/>
      <c r="K381" s="15"/>
      <c r="L381" s="105"/>
    </row>
    <row r="382">
      <c r="G382" s="15"/>
      <c r="I382" s="14"/>
      <c r="J382" s="15"/>
      <c r="K382" s="15"/>
      <c r="L382" s="105"/>
    </row>
    <row r="383">
      <c r="G383" s="15"/>
      <c r="I383" s="14"/>
      <c r="J383" s="15"/>
      <c r="K383" s="15"/>
      <c r="L383" s="105"/>
    </row>
    <row r="384">
      <c r="G384" s="15"/>
      <c r="I384" s="14"/>
      <c r="J384" s="15"/>
      <c r="K384" s="15"/>
      <c r="L384" s="105"/>
    </row>
    <row r="385">
      <c r="G385" s="15"/>
      <c r="I385" s="14"/>
      <c r="J385" s="15"/>
      <c r="K385" s="15"/>
      <c r="L385" s="105"/>
    </row>
    <row r="386">
      <c r="G386" s="15"/>
      <c r="I386" s="14"/>
      <c r="J386" s="15"/>
      <c r="K386" s="15"/>
      <c r="L386" s="105"/>
    </row>
    <row r="387">
      <c r="G387" s="15"/>
      <c r="I387" s="14"/>
      <c r="J387" s="15"/>
      <c r="K387" s="15"/>
      <c r="L387" s="105"/>
    </row>
    <row r="388">
      <c r="G388" s="15"/>
      <c r="I388" s="14"/>
      <c r="J388" s="15"/>
      <c r="K388" s="15"/>
      <c r="L388" s="105"/>
    </row>
    <row r="389">
      <c r="G389" s="15"/>
      <c r="I389" s="14"/>
      <c r="J389" s="15"/>
      <c r="K389" s="15"/>
      <c r="L389" s="105"/>
    </row>
    <row r="390">
      <c r="G390" s="15"/>
      <c r="I390" s="14"/>
      <c r="J390" s="15"/>
      <c r="K390" s="15"/>
      <c r="L390" s="105"/>
    </row>
    <row r="391">
      <c r="G391" s="15"/>
      <c r="I391" s="14"/>
      <c r="J391" s="15"/>
      <c r="K391" s="15"/>
      <c r="L391" s="105"/>
    </row>
    <row r="392">
      <c r="G392" s="15"/>
      <c r="I392" s="14"/>
      <c r="J392" s="15"/>
      <c r="K392" s="15"/>
      <c r="L392" s="105"/>
    </row>
    <row r="393">
      <c r="G393" s="15"/>
      <c r="I393" s="14"/>
      <c r="J393" s="15"/>
      <c r="K393" s="15"/>
      <c r="L393" s="105"/>
    </row>
    <row r="394">
      <c r="G394" s="15"/>
      <c r="I394" s="14"/>
      <c r="J394" s="15"/>
      <c r="K394" s="15"/>
      <c r="L394" s="105"/>
    </row>
    <row r="395">
      <c r="G395" s="15"/>
      <c r="I395" s="14"/>
      <c r="J395" s="15"/>
      <c r="K395" s="15"/>
      <c r="L395" s="105"/>
    </row>
    <row r="396">
      <c r="G396" s="15"/>
      <c r="I396" s="14"/>
      <c r="J396" s="15"/>
      <c r="K396" s="15"/>
      <c r="L396" s="105"/>
    </row>
    <row r="397">
      <c r="G397" s="15"/>
      <c r="I397" s="14"/>
      <c r="J397" s="15"/>
      <c r="K397" s="15"/>
      <c r="L397" s="105"/>
    </row>
    <row r="398">
      <c r="G398" s="15"/>
      <c r="I398" s="14"/>
      <c r="J398" s="15"/>
      <c r="K398" s="15"/>
      <c r="L398" s="105"/>
    </row>
    <row r="399">
      <c r="G399" s="15"/>
      <c r="I399" s="14"/>
      <c r="J399" s="15"/>
      <c r="K399" s="15"/>
      <c r="L399" s="105"/>
    </row>
    <row r="400">
      <c r="G400" s="15"/>
      <c r="I400" s="14"/>
      <c r="J400" s="15"/>
      <c r="K400" s="15"/>
      <c r="L400" s="105"/>
    </row>
    <row r="401">
      <c r="G401" s="15"/>
      <c r="I401" s="14"/>
      <c r="J401" s="15"/>
      <c r="K401" s="15"/>
      <c r="L401" s="105"/>
    </row>
    <row r="402">
      <c r="G402" s="15"/>
      <c r="I402" s="14"/>
      <c r="J402" s="15"/>
      <c r="K402" s="15"/>
      <c r="L402" s="105"/>
    </row>
    <row r="403">
      <c r="G403" s="15"/>
      <c r="I403" s="14"/>
      <c r="J403" s="15"/>
      <c r="K403" s="15"/>
      <c r="L403" s="105"/>
    </row>
    <row r="404">
      <c r="G404" s="15"/>
      <c r="I404" s="14"/>
      <c r="J404" s="15"/>
      <c r="K404" s="15"/>
      <c r="L404" s="105"/>
    </row>
    <row r="405">
      <c r="G405" s="15"/>
      <c r="I405" s="14"/>
      <c r="J405" s="15"/>
      <c r="K405" s="15"/>
      <c r="L405" s="105"/>
    </row>
    <row r="406">
      <c r="G406" s="15"/>
      <c r="I406" s="14"/>
      <c r="J406" s="15"/>
      <c r="K406" s="15"/>
      <c r="L406" s="105"/>
    </row>
    <row r="407">
      <c r="G407" s="15"/>
      <c r="I407" s="14"/>
      <c r="J407" s="15"/>
      <c r="K407" s="15"/>
      <c r="L407" s="105"/>
    </row>
    <row r="408">
      <c r="G408" s="15"/>
      <c r="I408" s="14"/>
      <c r="J408" s="15"/>
      <c r="K408" s="15"/>
      <c r="L408" s="105"/>
    </row>
    <row r="409">
      <c r="G409" s="15"/>
      <c r="I409" s="14"/>
      <c r="J409" s="15"/>
      <c r="K409" s="15"/>
      <c r="L409" s="105"/>
    </row>
    <row r="410">
      <c r="G410" s="15"/>
      <c r="I410" s="14"/>
      <c r="J410" s="15"/>
      <c r="K410" s="15"/>
      <c r="L410" s="105"/>
    </row>
    <row r="411">
      <c r="G411" s="15"/>
      <c r="I411" s="14"/>
      <c r="J411" s="15"/>
      <c r="K411" s="15"/>
      <c r="L411" s="105"/>
    </row>
    <row r="412">
      <c r="G412" s="15"/>
      <c r="I412" s="14"/>
      <c r="J412" s="15"/>
      <c r="K412" s="15"/>
      <c r="L412" s="105"/>
    </row>
    <row r="413">
      <c r="G413" s="15"/>
      <c r="I413" s="14"/>
      <c r="J413" s="15"/>
      <c r="K413" s="15"/>
      <c r="L413" s="105"/>
    </row>
    <row r="414">
      <c r="G414" s="15"/>
      <c r="I414" s="14"/>
      <c r="J414" s="15"/>
      <c r="K414" s="15"/>
      <c r="L414" s="105"/>
    </row>
    <row r="415">
      <c r="G415" s="15"/>
      <c r="I415" s="14"/>
      <c r="J415" s="15"/>
      <c r="K415" s="15"/>
      <c r="L415" s="105"/>
    </row>
    <row r="416">
      <c r="G416" s="15"/>
      <c r="I416" s="14"/>
      <c r="J416" s="15"/>
      <c r="K416" s="15"/>
      <c r="L416" s="105"/>
    </row>
    <row r="417">
      <c r="G417" s="15"/>
      <c r="I417" s="14"/>
      <c r="J417" s="15"/>
      <c r="K417" s="15"/>
      <c r="L417" s="105"/>
    </row>
    <row r="418">
      <c r="G418" s="15"/>
      <c r="I418" s="14"/>
      <c r="J418" s="15"/>
      <c r="K418" s="15"/>
      <c r="L418" s="105"/>
    </row>
    <row r="419">
      <c r="G419" s="15"/>
      <c r="I419" s="14"/>
      <c r="J419" s="15"/>
      <c r="K419" s="15"/>
      <c r="L419" s="105"/>
    </row>
    <row r="420">
      <c r="G420" s="15"/>
      <c r="I420" s="14"/>
      <c r="J420" s="15"/>
      <c r="K420" s="15"/>
      <c r="L420" s="105"/>
    </row>
    <row r="421">
      <c r="G421" s="15"/>
      <c r="I421" s="14"/>
      <c r="J421" s="15"/>
      <c r="K421" s="15"/>
      <c r="L421" s="105"/>
    </row>
    <row r="422">
      <c r="G422" s="15"/>
      <c r="I422" s="14"/>
      <c r="J422" s="15"/>
      <c r="K422" s="15"/>
      <c r="L422" s="105"/>
    </row>
    <row r="423">
      <c r="G423" s="15"/>
      <c r="I423" s="14"/>
      <c r="J423" s="15"/>
      <c r="K423" s="15"/>
      <c r="L423" s="105"/>
    </row>
    <row r="424">
      <c r="G424" s="15"/>
      <c r="I424" s="14"/>
      <c r="J424" s="15"/>
      <c r="K424" s="15"/>
      <c r="L424" s="105"/>
    </row>
    <row r="425">
      <c r="G425" s="15"/>
      <c r="I425" s="14"/>
      <c r="J425" s="15"/>
      <c r="K425" s="15"/>
      <c r="L425" s="105"/>
    </row>
    <row r="426">
      <c r="G426" s="15"/>
      <c r="I426" s="14"/>
      <c r="J426" s="15"/>
      <c r="K426" s="15"/>
      <c r="L426" s="105"/>
    </row>
    <row r="427">
      <c r="G427" s="15"/>
      <c r="I427" s="14"/>
      <c r="J427" s="15"/>
      <c r="K427" s="15"/>
      <c r="L427" s="105"/>
    </row>
    <row r="428">
      <c r="G428" s="15"/>
      <c r="I428" s="14"/>
      <c r="J428" s="15"/>
      <c r="K428" s="15"/>
      <c r="L428" s="105"/>
    </row>
    <row r="429">
      <c r="G429" s="15"/>
      <c r="I429" s="14"/>
      <c r="J429" s="15"/>
      <c r="K429" s="15"/>
      <c r="L429" s="105"/>
    </row>
    <row r="430">
      <c r="G430" s="15"/>
      <c r="I430" s="14"/>
      <c r="J430" s="15"/>
      <c r="K430" s="15"/>
      <c r="L430" s="105"/>
    </row>
    <row r="431">
      <c r="G431" s="15"/>
      <c r="I431" s="14"/>
      <c r="J431" s="15"/>
      <c r="K431" s="15"/>
      <c r="L431" s="105"/>
    </row>
    <row r="432">
      <c r="G432" s="15"/>
      <c r="I432" s="14"/>
      <c r="J432" s="15"/>
      <c r="K432" s="15"/>
      <c r="L432" s="105"/>
    </row>
    <row r="433">
      <c r="G433" s="15"/>
      <c r="I433" s="14"/>
      <c r="J433" s="15"/>
      <c r="K433" s="15"/>
      <c r="L433" s="105"/>
    </row>
    <row r="434">
      <c r="G434" s="15"/>
      <c r="I434" s="14"/>
      <c r="J434" s="15"/>
      <c r="K434" s="15"/>
      <c r="L434" s="105"/>
    </row>
    <row r="435">
      <c r="G435" s="15"/>
      <c r="I435" s="14"/>
      <c r="J435" s="15"/>
      <c r="K435" s="15"/>
      <c r="L435" s="105"/>
    </row>
    <row r="436">
      <c r="G436" s="15"/>
      <c r="I436" s="14"/>
      <c r="J436" s="15"/>
      <c r="K436" s="15"/>
      <c r="L436" s="105"/>
    </row>
    <row r="437">
      <c r="G437" s="15"/>
      <c r="I437" s="14"/>
      <c r="J437" s="15"/>
      <c r="K437" s="15"/>
      <c r="L437" s="105"/>
    </row>
    <row r="438">
      <c r="G438" s="15"/>
      <c r="I438" s="14"/>
      <c r="J438" s="15"/>
      <c r="K438" s="15"/>
      <c r="L438" s="105"/>
    </row>
    <row r="439">
      <c r="G439" s="15"/>
      <c r="I439" s="14"/>
      <c r="J439" s="15"/>
      <c r="K439" s="15"/>
      <c r="L439" s="105"/>
    </row>
    <row r="440">
      <c r="G440" s="15"/>
      <c r="I440" s="14"/>
      <c r="J440" s="15"/>
      <c r="K440" s="15"/>
      <c r="L440" s="105"/>
    </row>
    <row r="441">
      <c r="G441" s="15"/>
      <c r="I441" s="14"/>
      <c r="J441" s="15"/>
      <c r="K441" s="15"/>
      <c r="L441" s="105"/>
    </row>
    <row r="442">
      <c r="G442" s="15"/>
      <c r="I442" s="14"/>
      <c r="J442" s="15"/>
      <c r="K442" s="15"/>
      <c r="L442" s="105"/>
    </row>
    <row r="443">
      <c r="G443" s="15"/>
      <c r="I443" s="14"/>
      <c r="J443" s="15"/>
      <c r="K443" s="15"/>
      <c r="L443" s="105"/>
    </row>
    <row r="444">
      <c r="G444" s="15"/>
      <c r="I444" s="14"/>
      <c r="J444" s="15"/>
      <c r="K444" s="15"/>
      <c r="L444" s="105"/>
    </row>
    <row r="445">
      <c r="G445" s="15"/>
      <c r="I445" s="14"/>
      <c r="J445" s="15"/>
      <c r="K445" s="15"/>
      <c r="L445" s="105"/>
    </row>
    <row r="446">
      <c r="G446" s="15"/>
      <c r="I446" s="14"/>
      <c r="J446" s="15"/>
      <c r="K446" s="15"/>
      <c r="L446" s="105"/>
    </row>
    <row r="447">
      <c r="G447" s="15"/>
      <c r="I447" s="14"/>
      <c r="J447" s="15"/>
      <c r="K447" s="15"/>
      <c r="L447" s="105"/>
    </row>
    <row r="448">
      <c r="G448" s="15"/>
      <c r="I448" s="14"/>
      <c r="J448" s="15"/>
      <c r="K448" s="15"/>
      <c r="L448" s="105"/>
    </row>
    <row r="449">
      <c r="G449" s="15"/>
      <c r="I449" s="14"/>
      <c r="J449" s="15"/>
      <c r="K449" s="15"/>
      <c r="L449" s="105"/>
    </row>
    <row r="450">
      <c r="G450" s="15"/>
      <c r="I450" s="14"/>
      <c r="J450" s="15"/>
      <c r="K450" s="15"/>
      <c r="L450" s="105"/>
    </row>
    <row r="451">
      <c r="G451" s="15"/>
      <c r="I451" s="14"/>
      <c r="J451" s="15"/>
      <c r="K451" s="15"/>
      <c r="L451" s="105"/>
    </row>
    <row r="452">
      <c r="G452" s="15"/>
      <c r="I452" s="14"/>
      <c r="J452" s="15"/>
      <c r="K452" s="15"/>
      <c r="L452" s="105"/>
    </row>
    <row r="453">
      <c r="G453" s="15"/>
      <c r="I453" s="14"/>
      <c r="J453" s="15"/>
      <c r="K453" s="15"/>
      <c r="L453" s="105"/>
    </row>
    <row r="454">
      <c r="G454" s="15"/>
      <c r="I454" s="14"/>
      <c r="J454" s="15"/>
      <c r="K454" s="15"/>
      <c r="L454" s="105"/>
    </row>
    <row r="455">
      <c r="G455" s="15"/>
      <c r="I455" s="14"/>
      <c r="J455" s="15"/>
      <c r="K455" s="15"/>
      <c r="L455" s="105"/>
    </row>
    <row r="456">
      <c r="G456" s="15"/>
      <c r="I456" s="14"/>
      <c r="J456" s="15"/>
      <c r="K456" s="15"/>
      <c r="L456" s="105"/>
    </row>
    <row r="457">
      <c r="G457" s="15"/>
      <c r="I457" s="14"/>
      <c r="J457" s="15"/>
      <c r="K457" s="15"/>
      <c r="L457" s="105"/>
    </row>
    <row r="458">
      <c r="G458" s="15"/>
      <c r="I458" s="14"/>
      <c r="J458" s="15"/>
      <c r="K458" s="15"/>
      <c r="L458" s="105"/>
    </row>
    <row r="459">
      <c r="G459" s="15"/>
      <c r="I459" s="14"/>
      <c r="J459" s="15"/>
      <c r="K459" s="15"/>
      <c r="L459" s="105"/>
    </row>
    <row r="460">
      <c r="G460" s="15"/>
      <c r="I460" s="14"/>
      <c r="J460" s="15"/>
      <c r="K460" s="15"/>
      <c r="L460" s="105"/>
    </row>
    <row r="461">
      <c r="G461" s="15"/>
      <c r="I461" s="14"/>
      <c r="J461" s="15"/>
      <c r="K461" s="15"/>
      <c r="L461" s="105"/>
    </row>
    <row r="462">
      <c r="G462" s="15"/>
      <c r="I462" s="14"/>
      <c r="J462" s="15"/>
      <c r="K462" s="15"/>
      <c r="L462" s="105"/>
    </row>
    <row r="463">
      <c r="G463" s="15"/>
      <c r="I463" s="14"/>
      <c r="J463" s="15"/>
      <c r="K463" s="15"/>
      <c r="L463" s="105"/>
    </row>
    <row r="464">
      <c r="G464" s="15"/>
      <c r="I464" s="14"/>
      <c r="J464" s="15"/>
      <c r="K464" s="15"/>
      <c r="L464" s="105"/>
    </row>
    <row r="465">
      <c r="G465" s="15"/>
      <c r="I465" s="14"/>
      <c r="J465" s="15"/>
      <c r="K465" s="15"/>
      <c r="L465" s="105"/>
    </row>
    <row r="466">
      <c r="G466" s="15"/>
      <c r="I466" s="14"/>
      <c r="J466" s="15"/>
      <c r="K466" s="15"/>
      <c r="L466" s="105"/>
    </row>
    <row r="467">
      <c r="G467" s="15"/>
      <c r="I467" s="14"/>
      <c r="J467" s="15"/>
      <c r="K467" s="15"/>
      <c r="L467" s="105"/>
    </row>
    <row r="468">
      <c r="G468" s="15"/>
      <c r="I468" s="14"/>
      <c r="J468" s="15"/>
      <c r="K468" s="15"/>
      <c r="L468" s="105"/>
    </row>
    <row r="469">
      <c r="G469" s="15"/>
      <c r="I469" s="14"/>
      <c r="J469" s="15"/>
      <c r="K469" s="15"/>
      <c r="L469" s="105"/>
    </row>
    <row r="470">
      <c r="G470" s="15"/>
      <c r="I470" s="14"/>
      <c r="J470" s="15"/>
      <c r="K470" s="15"/>
      <c r="L470" s="105"/>
    </row>
    <row r="471">
      <c r="G471" s="15"/>
      <c r="I471" s="14"/>
      <c r="J471" s="15"/>
      <c r="K471" s="15"/>
      <c r="L471" s="105"/>
    </row>
    <row r="472">
      <c r="G472" s="15"/>
      <c r="I472" s="14"/>
      <c r="J472" s="15"/>
      <c r="K472" s="15"/>
      <c r="L472" s="105"/>
    </row>
    <row r="473">
      <c r="G473" s="15"/>
      <c r="I473" s="14"/>
      <c r="J473" s="15"/>
      <c r="K473" s="15"/>
      <c r="L473" s="105"/>
    </row>
    <row r="474">
      <c r="G474" s="15"/>
      <c r="I474" s="14"/>
      <c r="J474" s="15"/>
      <c r="K474" s="15"/>
      <c r="L474" s="105"/>
    </row>
    <row r="475">
      <c r="G475" s="15"/>
      <c r="I475" s="14"/>
      <c r="J475" s="15"/>
      <c r="K475" s="15"/>
      <c r="L475" s="105"/>
    </row>
    <row r="476">
      <c r="G476" s="15"/>
      <c r="I476" s="14"/>
      <c r="J476" s="15"/>
      <c r="K476" s="15"/>
      <c r="L476" s="105"/>
    </row>
    <row r="477">
      <c r="G477" s="15"/>
      <c r="I477" s="14"/>
      <c r="J477" s="15"/>
      <c r="K477" s="15"/>
      <c r="L477" s="105"/>
    </row>
    <row r="478">
      <c r="G478" s="15"/>
      <c r="I478" s="14"/>
      <c r="J478" s="15"/>
      <c r="K478" s="15"/>
      <c r="L478" s="105"/>
    </row>
    <row r="479">
      <c r="G479" s="15"/>
      <c r="I479" s="14"/>
      <c r="J479" s="15"/>
      <c r="K479" s="15"/>
      <c r="L479" s="105"/>
    </row>
    <row r="480">
      <c r="G480" s="15"/>
      <c r="I480" s="14"/>
      <c r="J480" s="15"/>
      <c r="K480" s="15"/>
      <c r="L480" s="105"/>
    </row>
    <row r="481">
      <c r="G481" s="15"/>
      <c r="I481" s="14"/>
      <c r="J481" s="15"/>
      <c r="K481" s="15"/>
      <c r="L481" s="105"/>
    </row>
    <row r="482">
      <c r="G482" s="15"/>
      <c r="I482" s="14"/>
      <c r="J482" s="15"/>
      <c r="K482" s="15"/>
      <c r="L482" s="105"/>
    </row>
    <row r="483">
      <c r="G483" s="15"/>
      <c r="I483" s="14"/>
      <c r="J483" s="15"/>
      <c r="K483" s="15"/>
      <c r="L483" s="105"/>
    </row>
    <row r="484">
      <c r="G484" s="15"/>
      <c r="I484" s="14"/>
      <c r="J484" s="15"/>
      <c r="K484" s="15"/>
      <c r="L484" s="105"/>
    </row>
    <row r="485">
      <c r="G485" s="15"/>
      <c r="I485" s="14"/>
      <c r="J485" s="15"/>
      <c r="K485" s="15"/>
      <c r="L485" s="105"/>
    </row>
    <row r="486">
      <c r="G486" s="15"/>
      <c r="I486" s="14"/>
      <c r="J486" s="15"/>
      <c r="K486" s="15"/>
      <c r="L486" s="105"/>
    </row>
    <row r="487">
      <c r="G487" s="15"/>
      <c r="I487" s="14"/>
      <c r="J487" s="15"/>
      <c r="K487" s="15"/>
      <c r="L487" s="105"/>
    </row>
    <row r="488">
      <c r="G488" s="15"/>
      <c r="I488" s="14"/>
      <c r="J488" s="15"/>
      <c r="K488" s="15"/>
      <c r="L488" s="105"/>
    </row>
    <row r="489">
      <c r="G489" s="15"/>
      <c r="I489" s="14"/>
      <c r="J489" s="15"/>
      <c r="K489" s="15"/>
      <c r="L489" s="105"/>
    </row>
    <row r="490">
      <c r="G490" s="15"/>
      <c r="I490" s="14"/>
      <c r="J490" s="15"/>
      <c r="K490" s="15"/>
      <c r="L490" s="105"/>
    </row>
    <row r="491">
      <c r="G491" s="15"/>
      <c r="I491" s="14"/>
      <c r="J491" s="15"/>
      <c r="K491" s="15"/>
      <c r="L491" s="105"/>
    </row>
    <row r="492">
      <c r="G492" s="15"/>
      <c r="I492" s="14"/>
      <c r="J492" s="15"/>
      <c r="K492" s="15"/>
      <c r="L492" s="105"/>
    </row>
    <row r="493">
      <c r="G493" s="15"/>
      <c r="I493" s="14"/>
      <c r="J493" s="15"/>
      <c r="K493" s="15"/>
      <c r="L493" s="105"/>
    </row>
    <row r="494">
      <c r="G494" s="15"/>
      <c r="I494" s="14"/>
      <c r="J494" s="15"/>
      <c r="K494" s="15"/>
      <c r="L494" s="105"/>
    </row>
    <row r="495">
      <c r="G495" s="15"/>
      <c r="I495" s="14"/>
      <c r="J495" s="15"/>
      <c r="K495" s="15"/>
      <c r="L495" s="105"/>
    </row>
    <row r="496">
      <c r="G496" s="15"/>
      <c r="I496" s="14"/>
      <c r="J496" s="15"/>
      <c r="K496" s="15"/>
      <c r="L496" s="105"/>
    </row>
    <row r="497">
      <c r="G497" s="15"/>
      <c r="I497" s="14"/>
      <c r="J497" s="15"/>
      <c r="K497" s="15"/>
      <c r="L497" s="105"/>
    </row>
    <row r="498">
      <c r="G498" s="15"/>
      <c r="I498" s="14"/>
      <c r="J498" s="15"/>
      <c r="K498" s="15"/>
      <c r="L498" s="105"/>
    </row>
    <row r="499">
      <c r="G499" s="15"/>
      <c r="I499" s="14"/>
      <c r="J499" s="15"/>
      <c r="K499" s="15"/>
      <c r="L499" s="105"/>
    </row>
    <row r="500">
      <c r="G500" s="15"/>
      <c r="I500" s="14"/>
      <c r="J500" s="15"/>
      <c r="K500" s="15"/>
      <c r="L500" s="105"/>
    </row>
    <row r="501">
      <c r="G501" s="15"/>
      <c r="I501" s="14"/>
      <c r="J501" s="15"/>
      <c r="K501" s="15"/>
      <c r="L501" s="105"/>
    </row>
    <row r="502">
      <c r="G502" s="15"/>
      <c r="I502" s="14"/>
      <c r="J502" s="15"/>
      <c r="K502" s="15"/>
      <c r="L502" s="105"/>
    </row>
    <row r="503">
      <c r="G503" s="15"/>
      <c r="I503" s="14"/>
      <c r="J503" s="15"/>
      <c r="K503" s="15"/>
      <c r="L503" s="105"/>
    </row>
    <row r="504">
      <c r="G504" s="15"/>
      <c r="I504" s="14"/>
      <c r="J504" s="15"/>
      <c r="K504" s="15"/>
      <c r="L504" s="105"/>
    </row>
    <row r="505">
      <c r="G505" s="15"/>
      <c r="I505" s="14"/>
      <c r="J505" s="15"/>
      <c r="K505" s="15"/>
      <c r="L505" s="105"/>
    </row>
    <row r="506">
      <c r="G506" s="15"/>
      <c r="I506" s="14"/>
      <c r="J506" s="15"/>
      <c r="K506" s="15"/>
      <c r="L506" s="105"/>
    </row>
    <row r="507">
      <c r="G507" s="15"/>
      <c r="I507" s="14"/>
      <c r="J507" s="15"/>
      <c r="K507" s="15"/>
      <c r="L507" s="105"/>
    </row>
    <row r="508">
      <c r="G508" s="15"/>
      <c r="I508" s="14"/>
      <c r="J508" s="15"/>
      <c r="K508" s="15"/>
      <c r="L508" s="105"/>
    </row>
    <row r="509">
      <c r="G509" s="15"/>
      <c r="I509" s="14"/>
      <c r="J509" s="15"/>
      <c r="K509" s="15"/>
      <c r="L509" s="105"/>
    </row>
    <row r="510">
      <c r="G510" s="15"/>
      <c r="I510" s="14"/>
      <c r="J510" s="15"/>
      <c r="K510" s="15"/>
      <c r="L510" s="105"/>
    </row>
    <row r="511">
      <c r="G511" s="15"/>
      <c r="I511" s="14"/>
      <c r="J511" s="15"/>
      <c r="K511" s="15"/>
      <c r="L511" s="105"/>
    </row>
    <row r="512">
      <c r="G512" s="15"/>
      <c r="I512" s="14"/>
      <c r="J512" s="15"/>
      <c r="K512" s="15"/>
      <c r="L512" s="105"/>
    </row>
    <row r="513">
      <c r="G513" s="15"/>
      <c r="I513" s="14"/>
      <c r="J513" s="15"/>
      <c r="K513" s="15"/>
      <c r="L513" s="105"/>
    </row>
    <row r="514">
      <c r="G514" s="15"/>
      <c r="I514" s="14"/>
      <c r="J514" s="15"/>
      <c r="K514" s="15"/>
      <c r="L514" s="105"/>
    </row>
    <row r="515">
      <c r="G515" s="15"/>
      <c r="I515" s="14"/>
      <c r="J515" s="15"/>
      <c r="K515" s="15"/>
      <c r="L515" s="105"/>
    </row>
    <row r="516">
      <c r="G516" s="15"/>
      <c r="I516" s="14"/>
      <c r="J516" s="15"/>
      <c r="K516" s="15"/>
      <c r="L516" s="105"/>
    </row>
    <row r="517">
      <c r="G517" s="15"/>
      <c r="I517" s="14"/>
      <c r="J517" s="15"/>
      <c r="K517" s="15"/>
      <c r="L517" s="105"/>
    </row>
    <row r="518">
      <c r="G518" s="15"/>
      <c r="I518" s="14"/>
      <c r="J518" s="15"/>
      <c r="K518" s="15"/>
      <c r="L518" s="105"/>
    </row>
    <row r="519">
      <c r="G519" s="15"/>
      <c r="I519" s="14"/>
      <c r="J519" s="15"/>
      <c r="K519" s="15"/>
      <c r="L519" s="105"/>
    </row>
    <row r="520">
      <c r="G520" s="15"/>
      <c r="I520" s="14"/>
      <c r="J520" s="15"/>
      <c r="K520" s="15"/>
      <c r="L520" s="105"/>
    </row>
    <row r="521">
      <c r="G521" s="15"/>
      <c r="I521" s="14"/>
      <c r="J521" s="15"/>
      <c r="K521" s="15"/>
      <c r="L521" s="105"/>
    </row>
    <row r="522">
      <c r="G522" s="15"/>
      <c r="I522" s="14"/>
      <c r="J522" s="15"/>
      <c r="K522" s="15"/>
      <c r="L522" s="105"/>
    </row>
    <row r="523">
      <c r="G523" s="15"/>
      <c r="I523" s="14"/>
      <c r="J523" s="15"/>
      <c r="K523" s="15"/>
      <c r="L523" s="105"/>
    </row>
    <row r="524">
      <c r="G524" s="15"/>
      <c r="I524" s="14"/>
      <c r="J524" s="15"/>
      <c r="K524" s="15"/>
      <c r="L524" s="105"/>
    </row>
    <row r="525">
      <c r="G525" s="15"/>
      <c r="I525" s="14"/>
      <c r="J525" s="15"/>
      <c r="K525" s="15"/>
      <c r="L525" s="105"/>
    </row>
    <row r="526">
      <c r="G526" s="15"/>
      <c r="I526" s="14"/>
      <c r="J526" s="15"/>
      <c r="K526" s="15"/>
      <c r="L526" s="105"/>
    </row>
    <row r="527">
      <c r="G527" s="15"/>
      <c r="I527" s="14"/>
      <c r="J527" s="15"/>
      <c r="K527" s="15"/>
      <c r="L527" s="105"/>
    </row>
    <row r="528">
      <c r="G528" s="15"/>
      <c r="I528" s="14"/>
      <c r="J528" s="15"/>
      <c r="K528" s="15"/>
      <c r="L528" s="105"/>
    </row>
    <row r="529">
      <c r="G529" s="15"/>
      <c r="I529" s="14"/>
      <c r="J529" s="15"/>
      <c r="K529" s="15"/>
      <c r="L529" s="105"/>
    </row>
    <row r="530">
      <c r="G530" s="15"/>
      <c r="I530" s="14"/>
      <c r="J530" s="15"/>
      <c r="K530" s="15"/>
      <c r="L530" s="105"/>
    </row>
    <row r="531">
      <c r="G531" s="15"/>
      <c r="I531" s="14"/>
      <c r="J531" s="15"/>
      <c r="K531" s="15"/>
      <c r="L531" s="105"/>
    </row>
    <row r="532">
      <c r="G532" s="15"/>
      <c r="I532" s="14"/>
      <c r="J532" s="15"/>
      <c r="K532" s="15"/>
      <c r="L532" s="105"/>
    </row>
    <row r="533">
      <c r="G533" s="15"/>
      <c r="I533" s="14"/>
      <c r="J533" s="15"/>
      <c r="K533" s="15"/>
      <c r="L533" s="105"/>
    </row>
    <row r="534">
      <c r="G534" s="15"/>
      <c r="I534" s="14"/>
      <c r="J534" s="15"/>
      <c r="K534" s="15"/>
      <c r="L534" s="105"/>
    </row>
    <row r="535">
      <c r="G535" s="15"/>
      <c r="I535" s="14"/>
      <c r="J535" s="15"/>
      <c r="K535" s="15"/>
      <c r="L535" s="105"/>
    </row>
    <row r="536">
      <c r="G536" s="15"/>
      <c r="I536" s="14"/>
      <c r="J536" s="15"/>
      <c r="K536" s="15"/>
      <c r="L536" s="105"/>
    </row>
    <row r="537">
      <c r="G537" s="15"/>
      <c r="I537" s="14"/>
      <c r="J537" s="15"/>
      <c r="K537" s="15"/>
      <c r="L537" s="105"/>
    </row>
    <row r="538">
      <c r="G538" s="15"/>
      <c r="I538" s="14"/>
      <c r="J538" s="15"/>
      <c r="K538" s="15"/>
      <c r="L538" s="105"/>
    </row>
    <row r="539">
      <c r="G539" s="15"/>
      <c r="I539" s="14"/>
      <c r="J539" s="15"/>
      <c r="K539" s="15"/>
      <c r="L539" s="105"/>
    </row>
    <row r="540">
      <c r="G540" s="15"/>
      <c r="I540" s="14"/>
      <c r="J540" s="15"/>
      <c r="K540" s="15"/>
      <c r="L540" s="105"/>
    </row>
    <row r="541">
      <c r="G541" s="15"/>
      <c r="I541" s="14"/>
      <c r="J541" s="15"/>
      <c r="K541" s="15"/>
      <c r="L541" s="105"/>
    </row>
    <row r="542">
      <c r="G542" s="15"/>
      <c r="I542" s="14"/>
      <c r="J542" s="15"/>
      <c r="K542" s="15"/>
      <c r="L542" s="105"/>
    </row>
    <row r="543">
      <c r="G543" s="15"/>
      <c r="I543" s="14"/>
      <c r="J543" s="15"/>
      <c r="K543" s="15"/>
      <c r="L543" s="105"/>
    </row>
    <row r="544">
      <c r="G544" s="15"/>
      <c r="I544" s="14"/>
      <c r="J544" s="15"/>
      <c r="K544" s="15"/>
      <c r="L544" s="105"/>
    </row>
    <row r="545">
      <c r="G545" s="15"/>
      <c r="I545" s="14"/>
      <c r="J545" s="15"/>
      <c r="K545" s="15"/>
      <c r="L545" s="105"/>
    </row>
    <row r="546">
      <c r="G546" s="15"/>
      <c r="I546" s="14"/>
      <c r="J546" s="15"/>
      <c r="K546" s="15"/>
      <c r="L546" s="105"/>
    </row>
    <row r="547">
      <c r="G547" s="15"/>
      <c r="I547" s="14"/>
      <c r="J547" s="15"/>
      <c r="K547" s="15"/>
      <c r="L547" s="105"/>
    </row>
    <row r="548">
      <c r="G548" s="15"/>
      <c r="I548" s="14"/>
      <c r="J548" s="15"/>
      <c r="K548" s="15"/>
      <c r="L548" s="105"/>
    </row>
    <row r="549">
      <c r="G549" s="15"/>
      <c r="I549" s="14"/>
      <c r="J549" s="15"/>
      <c r="K549" s="15"/>
      <c r="L549" s="105"/>
    </row>
    <row r="550">
      <c r="G550" s="15"/>
      <c r="I550" s="14"/>
      <c r="J550" s="15"/>
      <c r="K550" s="15"/>
      <c r="L550" s="105"/>
    </row>
    <row r="551">
      <c r="G551" s="15"/>
      <c r="I551" s="14"/>
      <c r="J551" s="15"/>
      <c r="K551" s="15"/>
      <c r="L551" s="105"/>
    </row>
    <row r="552">
      <c r="G552" s="15"/>
      <c r="I552" s="14"/>
      <c r="J552" s="15"/>
      <c r="K552" s="15"/>
      <c r="L552" s="105"/>
    </row>
    <row r="553">
      <c r="G553" s="15"/>
      <c r="I553" s="14"/>
      <c r="J553" s="15"/>
      <c r="K553" s="15"/>
      <c r="L553" s="105"/>
    </row>
    <row r="554">
      <c r="G554" s="15"/>
      <c r="I554" s="14"/>
      <c r="J554" s="15"/>
      <c r="K554" s="15"/>
      <c r="L554" s="105"/>
    </row>
    <row r="555">
      <c r="G555" s="15"/>
      <c r="I555" s="14"/>
      <c r="J555" s="15"/>
      <c r="K555" s="15"/>
      <c r="L555" s="105"/>
    </row>
    <row r="556">
      <c r="G556" s="15"/>
      <c r="I556" s="14"/>
      <c r="J556" s="15"/>
      <c r="K556" s="15"/>
      <c r="L556" s="105"/>
    </row>
    <row r="557">
      <c r="G557" s="15"/>
      <c r="I557" s="14"/>
      <c r="J557" s="15"/>
      <c r="K557" s="15"/>
      <c r="L557" s="105"/>
    </row>
    <row r="558">
      <c r="G558" s="15"/>
      <c r="I558" s="14"/>
      <c r="J558" s="15"/>
      <c r="K558" s="15"/>
      <c r="L558" s="105"/>
    </row>
    <row r="559">
      <c r="G559" s="15"/>
      <c r="I559" s="14"/>
      <c r="J559" s="15"/>
      <c r="K559" s="15"/>
      <c r="L559" s="105"/>
    </row>
    <row r="560">
      <c r="G560" s="15"/>
      <c r="I560" s="14"/>
      <c r="J560" s="15"/>
      <c r="K560" s="15"/>
      <c r="L560" s="105"/>
    </row>
    <row r="561">
      <c r="G561" s="15"/>
      <c r="I561" s="14"/>
      <c r="J561" s="15"/>
      <c r="K561" s="15"/>
      <c r="L561" s="105"/>
    </row>
    <row r="562">
      <c r="G562" s="15"/>
      <c r="I562" s="14"/>
      <c r="J562" s="15"/>
      <c r="K562" s="15"/>
      <c r="L562" s="105"/>
    </row>
    <row r="563">
      <c r="G563" s="15"/>
      <c r="I563" s="14"/>
      <c r="J563" s="15"/>
      <c r="K563" s="15"/>
      <c r="L563" s="105"/>
    </row>
    <row r="564">
      <c r="G564" s="15"/>
      <c r="I564" s="14"/>
      <c r="J564" s="15"/>
      <c r="K564" s="15"/>
      <c r="L564" s="105"/>
    </row>
    <row r="565">
      <c r="G565" s="15"/>
      <c r="I565" s="14"/>
      <c r="J565" s="15"/>
      <c r="K565" s="15"/>
      <c r="L565" s="105"/>
    </row>
    <row r="566">
      <c r="G566" s="15"/>
      <c r="I566" s="14"/>
      <c r="J566" s="15"/>
      <c r="K566" s="15"/>
      <c r="L566" s="105"/>
    </row>
    <row r="567">
      <c r="G567" s="15"/>
      <c r="I567" s="14"/>
      <c r="J567" s="15"/>
      <c r="K567" s="15"/>
      <c r="L567" s="105"/>
    </row>
    <row r="568">
      <c r="G568" s="15"/>
      <c r="I568" s="14"/>
      <c r="J568" s="15"/>
      <c r="K568" s="15"/>
      <c r="L568" s="105"/>
    </row>
    <row r="569">
      <c r="G569" s="15"/>
      <c r="I569" s="14"/>
      <c r="J569" s="15"/>
      <c r="K569" s="15"/>
      <c r="L569" s="105"/>
    </row>
    <row r="570">
      <c r="G570" s="15"/>
      <c r="I570" s="14"/>
      <c r="J570" s="15"/>
      <c r="K570" s="15"/>
      <c r="L570" s="105"/>
    </row>
    <row r="571">
      <c r="G571" s="15"/>
      <c r="I571" s="14"/>
      <c r="J571" s="15"/>
      <c r="K571" s="15"/>
      <c r="L571" s="105"/>
    </row>
    <row r="572">
      <c r="G572" s="15"/>
      <c r="I572" s="14"/>
      <c r="J572" s="15"/>
      <c r="K572" s="15"/>
      <c r="L572" s="105"/>
    </row>
    <row r="573">
      <c r="G573" s="15"/>
      <c r="I573" s="14"/>
      <c r="J573" s="15"/>
      <c r="K573" s="15"/>
      <c r="L573" s="105"/>
    </row>
    <row r="574">
      <c r="G574" s="15"/>
      <c r="I574" s="14"/>
      <c r="J574" s="15"/>
      <c r="K574" s="15"/>
      <c r="L574" s="105"/>
    </row>
    <row r="575">
      <c r="G575" s="15"/>
      <c r="I575" s="14"/>
      <c r="J575" s="15"/>
      <c r="K575" s="15"/>
      <c r="L575" s="105"/>
    </row>
    <row r="576">
      <c r="G576" s="15"/>
      <c r="I576" s="14"/>
      <c r="J576" s="15"/>
      <c r="K576" s="15"/>
      <c r="L576" s="105"/>
    </row>
    <row r="577">
      <c r="G577" s="15"/>
      <c r="I577" s="14"/>
      <c r="J577" s="15"/>
      <c r="K577" s="15"/>
      <c r="L577" s="105"/>
    </row>
    <row r="578">
      <c r="G578" s="15"/>
      <c r="I578" s="14"/>
      <c r="J578" s="15"/>
      <c r="K578" s="15"/>
      <c r="L578" s="105"/>
    </row>
    <row r="579">
      <c r="G579" s="15"/>
      <c r="I579" s="14"/>
      <c r="J579" s="15"/>
      <c r="K579" s="15"/>
      <c r="L579" s="105"/>
    </row>
    <row r="580">
      <c r="G580" s="15"/>
      <c r="I580" s="14"/>
      <c r="J580" s="15"/>
      <c r="K580" s="15"/>
      <c r="L580" s="105"/>
    </row>
    <row r="581">
      <c r="G581" s="15"/>
      <c r="I581" s="14"/>
      <c r="J581" s="15"/>
      <c r="K581" s="15"/>
      <c r="L581" s="105"/>
    </row>
    <row r="582">
      <c r="G582" s="15"/>
      <c r="I582" s="14"/>
      <c r="J582" s="15"/>
      <c r="K582" s="15"/>
      <c r="L582" s="105"/>
    </row>
    <row r="583">
      <c r="G583" s="15"/>
      <c r="I583" s="14"/>
      <c r="J583" s="15"/>
      <c r="K583" s="15"/>
      <c r="L583" s="105"/>
    </row>
    <row r="584">
      <c r="G584" s="15"/>
      <c r="I584" s="14"/>
      <c r="J584" s="15"/>
      <c r="K584" s="15"/>
      <c r="L584" s="105"/>
    </row>
    <row r="585">
      <c r="G585" s="15"/>
      <c r="I585" s="14"/>
      <c r="J585" s="15"/>
      <c r="K585" s="15"/>
      <c r="L585" s="105"/>
    </row>
    <row r="586">
      <c r="G586" s="15"/>
      <c r="I586" s="14"/>
      <c r="J586" s="15"/>
      <c r="K586" s="15"/>
      <c r="L586" s="105"/>
    </row>
    <row r="587">
      <c r="G587" s="15"/>
      <c r="I587" s="14"/>
      <c r="J587" s="15"/>
      <c r="K587" s="15"/>
      <c r="L587" s="105"/>
    </row>
    <row r="588">
      <c r="G588" s="15"/>
      <c r="I588" s="14"/>
      <c r="J588" s="15"/>
      <c r="K588" s="15"/>
      <c r="L588" s="105"/>
    </row>
    <row r="589">
      <c r="G589" s="15"/>
      <c r="I589" s="14"/>
      <c r="J589" s="15"/>
      <c r="K589" s="15"/>
      <c r="L589" s="105"/>
    </row>
    <row r="590">
      <c r="G590" s="15"/>
      <c r="I590" s="14"/>
      <c r="J590" s="15"/>
      <c r="K590" s="15"/>
      <c r="L590" s="105"/>
    </row>
    <row r="591">
      <c r="G591" s="15"/>
      <c r="I591" s="14"/>
      <c r="J591" s="15"/>
      <c r="K591" s="15"/>
      <c r="L591" s="105"/>
    </row>
    <row r="592">
      <c r="G592" s="15"/>
      <c r="I592" s="14"/>
      <c r="J592" s="15"/>
      <c r="K592" s="15"/>
      <c r="L592" s="105"/>
    </row>
    <row r="593">
      <c r="G593" s="15"/>
      <c r="I593" s="14"/>
      <c r="J593" s="15"/>
      <c r="K593" s="15"/>
      <c r="L593" s="105"/>
    </row>
    <row r="594">
      <c r="G594" s="15"/>
      <c r="I594" s="14"/>
      <c r="J594" s="15"/>
      <c r="K594" s="15"/>
      <c r="L594" s="105"/>
    </row>
    <row r="595">
      <c r="G595" s="15"/>
      <c r="I595" s="14"/>
      <c r="J595" s="15"/>
      <c r="K595" s="15"/>
      <c r="L595" s="105"/>
    </row>
    <row r="596">
      <c r="G596" s="15"/>
      <c r="I596" s="14"/>
      <c r="J596" s="15"/>
      <c r="K596" s="15"/>
      <c r="L596" s="105"/>
    </row>
    <row r="597">
      <c r="G597" s="15"/>
      <c r="I597" s="14"/>
      <c r="J597" s="15"/>
      <c r="K597" s="15"/>
      <c r="L597" s="105"/>
    </row>
    <row r="598">
      <c r="G598" s="15"/>
      <c r="I598" s="14"/>
      <c r="J598" s="15"/>
      <c r="K598" s="15"/>
      <c r="L598" s="105"/>
    </row>
    <row r="599">
      <c r="G599" s="15"/>
      <c r="I599" s="14"/>
      <c r="J599" s="15"/>
      <c r="K599" s="15"/>
      <c r="L599" s="105"/>
    </row>
    <row r="600">
      <c r="G600" s="15"/>
      <c r="I600" s="14"/>
      <c r="J600" s="15"/>
      <c r="K600" s="15"/>
      <c r="L600" s="105"/>
    </row>
    <row r="601">
      <c r="G601" s="15"/>
      <c r="I601" s="14"/>
      <c r="J601" s="15"/>
      <c r="K601" s="15"/>
      <c r="L601" s="105"/>
    </row>
    <row r="602">
      <c r="G602" s="15"/>
      <c r="I602" s="14"/>
      <c r="J602" s="15"/>
      <c r="K602" s="15"/>
      <c r="L602" s="105"/>
    </row>
    <row r="603">
      <c r="G603" s="15"/>
      <c r="I603" s="14"/>
      <c r="J603" s="15"/>
      <c r="K603" s="15"/>
      <c r="L603" s="105"/>
    </row>
    <row r="604">
      <c r="G604" s="15"/>
      <c r="I604" s="14"/>
      <c r="J604" s="15"/>
      <c r="K604" s="15"/>
      <c r="L604" s="105"/>
    </row>
    <row r="605">
      <c r="G605" s="15"/>
      <c r="I605" s="14"/>
      <c r="J605" s="15"/>
      <c r="K605" s="15"/>
      <c r="L605" s="105"/>
    </row>
    <row r="606">
      <c r="G606" s="15"/>
      <c r="I606" s="14"/>
      <c r="J606" s="15"/>
      <c r="K606" s="15"/>
      <c r="L606" s="105"/>
    </row>
    <row r="607">
      <c r="G607" s="15"/>
      <c r="I607" s="14"/>
      <c r="J607" s="15"/>
      <c r="K607" s="15"/>
      <c r="L607" s="105"/>
    </row>
    <row r="608">
      <c r="G608" s="15"/>
      <c r="I608" s="14"/>
      <c r="J608" s="15"/>
      <c r="K608" s="15"/>
      <c r="L608" s="105"/>
    </row>
    <row r="609">
      <c r="G609" s="15"/>
      <c r="I609" s="14"/>
      <c r="J609" s="15"/>
      <c r="K609" s="15"/>
      <c r="L609" s="105"/>
    </row>
    <row r="610">
      <c r="G610" s="15"/>
      <c r="I610" s="14"/>
      <c r="J610" s="15"/>
      <c r="K610" s="15"/>
      <c r="L610" s="105"/>
    </row>
    <row r="611">
      <c r="G611" s="15"/>
      <c r="I611" s="14"/>
      <c r="J611" s="15"/>
      <c r="K611" s="15"/>
      <c r="L611" s="105"/>
    </row>
    <row r="612">
      <c r="G612" s="15"/>
      <c r="I612" s="14"/>
      <c r="J612" s="15"/>
      <c r="K612" s="15"/>
      <c r="L612" s="105"/>
    </row>
    <row r="613">
      <c r="G613" s="15"/>
      <c r="I613" s="14"/>
      <c r="J613" s="15"/>
      <c r="K613" s="15"/>
      <c r="L613" s="105"/>
    </row>
    <row r="614">
      <c r="G614" s="15"/>
      <c r="I614" s="14"/>
      <c r="J614" s="15"/>
      <c r="K614" s="15"/>
      <c r="L614" s="105"/>
    </row>
    <row r="615">
      <c r="G615" s="15"/>
      <c r="I615" s="14"/>
      <c r="J615" s="15"/>
      <c r="K615" s="15"/>
      <c r="L615" s="105"/>
    </row>
    <row r="616">
      <c r="G616" s="15"/>
      <c r="I616" s="14"/>
      <c r="J616" s="15"/>
      <c r="K616" s="15"/>
      <c r="L616" s="105"/>
    </row>
    <row r="617">
      <c r="G617" s="15"/>
      <c r="I617" s="14"/>
      <c r="J617" s="15"/>
      <c r="K617" s="15"/>
      <c r="L617" s="105"/>
    </row>
    <row r="618">
      <c r="G618" s="15"/>
      <c r="I618" s="14"/>
      <c r="J618" s="15"/>
      <c r="K618" s="15"/>
      <c r="L618" s="105"/>
    </row>
    <row r="619">
      <c r="G619" s="15"/>
      <c r="I619" s="14"/>
      <c r="J619" s="15"/>
      <c r="K619" s="15"/>
      <c r="L619" s="105"/>
    </row>
    <row r="620">
      <c r="G620" s="15"/>
      <c r="I620" s="14"/>
      <c r="J620" s="15"/>
      <c r="K620" s="15"/>
      <c r="L620" s="105"/>
    </row>
    <row r="621">
      <c r="G621" s="15"/>
      <c r="I621" s="14"/>
      <c r="J621" s="15"/>
      <c r="K621" s="15"/>
      <c r="L621" s="105"/>
    </row>
    <row r="622">
      <c r="G622" s="15"/>
      <c r="I622" s="14"/>
      <c r="J622" s="15"/>
      <c r="K622" s="15"/>
      <c r="L622" s="105"/>
    </row>
    <row r="623">
      <c r="G623" s="15"/>
      <c r="I623" s="14"/>
      <c r="J623" s="15"/>
      <c r="K623" s="15"/>
      <c r="L623" s="105"/>
    </row>
    <row r="624">
      <c r="G624" s="15"/>
      <c r="I624" s="14"/>
      <c r="J624" s="15"/>
      <c r="K624" s="15"/>
      <c r="L624" s="105"/>
    </row>
    <row r="625">
      <c r="G625" s="15"/>
      <c r="I625" s="14"/>
      <c r="J625" s="15"/>
      <c r="K625" s="15"/>
      <c r="L625" s="105"/>
    </row>
    <row r="626">
      <c r="G626" s="15"/>
      <c r="I626" s="14"/>
      <c r="J626" s="15"/>
      <c r="K626" s="15"/>
      <c r="L626" s="105"/>
    </row>
    <row r="627">
      <c r="G627" s="15"/>
      <c r="I627" s="14"/>
      <c r="J627" s="15"/>
      <c r="K627" s="15"/>
      <c r="L627" s="105"/>
    </row>
    <row r="628">
      <c r="G628" s="15"/>
      <c r="I628" s="14"/>
      <c r="J628" s="15"/>
      <c r="K628" s="15"/>
      <c r="L628" s="105"/>
    </row>
    <row r="629">
      <c r="G629" s="15"/>
      <c r="I629" s="14"/>
      <c r="J629" s="15"/>
      <c r="K629" s="15"/>
      <c r="L629" s="105"/>
    </row>
    <row r="630">
      <c r="G630" s="15"/>
      <c r="I630" s="14"/>
      <c r="J630" s="15"/>
      <c r="K630" s="15"/>
      <c r="L630" s="105"/>
    </row>
    <row r="631">
      <c r="G631" s="15"/>
      <c r="I631" s="14"/>
      <c r="J631" s="15"/>
      <c r="K631" s="15"/>
      <c r="L631" s="105"/>
    </row>
    <row r="632">
      <c r="G632" s="15"/>
      <c r="I632" s="14"/>
      <c r="J632" s="15"/>
      <c r="K632" s="15"/>
      <c r="L632" s="105"/>
    </row>
    <row r="633">
      <c r="G633" s="15"/>
      <c r="I633" s="14"/>
      <c r="J633" s="15"/>
      <c r="K633" s="15"/>
      <c r="L633" s="105"/>
    </row>
    <row r="634">
      <c r="G634" s="15"/>
      <c r="I634" s="14"/>
      <c r="J634" s="15"/>
      <c r="K634" s="15"/>
      <c r="L634" s="105"/>
    </row>
    <row r="635">
      <c r="G635" s="15"/>
      <c r="I635" s="14"/>
      <c r="J635" s="15"/>
      <c r="K635" s="15"/>
      <c r="L635" s="105"/>
    </row>
    <row r="636">
      <c r="G636" s="15"/>
      <c r="I636" s="14"/>
      <c r="J636" s="15"/>
      <c r="K636" s="15"/>
      <c r="L636" s="105"/>
    </row>
    <row r="637">
      <c r="G637" s="15"/>
      <c r="I637" s="14"/>
      <c r="J637" s="15"/>
      <c r="K637" s="15"/>
      <c r="L637" s="105"/>
    </row>
    <row r="638">
      <c r="G638" s="15"/>
      <c r="I638" s="14"/>
      <c r="J638" s="15"/>
      <c r="K638" s="15"/>
      <c r="L638" s="105"/>
    </row>
    <row r="639">
      <c r="G639" s="15"/>
      <c r="I639" s="14"/>
      <c r="J639" s="15"/>
      <c r="K639" s="15"/>
      <c r="L639" s="105"/>
    </row>
    <row r="640">
      <c r="G640" s="15"/>
      <c r="I640" s="14"/>
      <c r="J640" s="15"/>
      <c r="K640" s="15"/>
      <c r="L640" s="105"/>
    </row>
    <row r="641">
      <c r="G641" s="15"/>
      <c r="I641" s="14"/>
      <c r="J641" s="15"/>
      <c r="K641" s="15"/>
      <c r="L641" s="105"/>
    </row>
    <row r="642">
      <c r="G642" s="15"/>
      <c r="I642" s="14"/>
      <c r="J642" s="15"/>
      <c r="K642" s="15"/>
      <c r="L642" s="105"/>
    </row>
    <row r="643">
      <c r="G643" s="15"/>
      <c r="I643" s="14"/>
      <c r="J643" s="15"/>
      <c r="K643" s="15"/>
      <c r="L643" s="105"/>
    </row>
    <row r="644">
      <c r="G644" s="15"/>
      <c r="I644" s="14"/>
      <c r="J644" s="15"/>
      <c r="K644" s="15"/>
      <c r="L644" s="105"/>
    </row>
    <row r="645">
      <c r="G645" s="15"/>
      <c r="I645" s="14"/>
      <c r="J645" s="15"/>
      <c r="K645" s="15"/>
      <c r="L645" s="105"/>
    </row>
    <row r="646">
      <c r="G646" s="15"/>
      <c r="I646" s="14"/>
      <c r="J646" s="15"/>
      <c r="K646" s="15"/>
      <c r="L646" s="105"/>
    </row>
    <row r="647">
      <c r="G647" s="15"/>
      <c r="I647" s="14"/>
      <c r="J647" s="15"/>
      <c r="K647" s="15"/>
      <c r="L647" s="105"/>
    </row>
    <row r="648">
      <c r="G648" s="15"/>
      <c r="I648" s="14"/>
      <c r="J648" s="15"/>
      <c r="K648" s="15"/>
      <c r="L648" s="105"/>
    </row>
    <row r="649">
      <c r="G649" s="15"/>
      <c r="I649" s="14"/>
      <c r="J649" s="15"/>
      <c r="K649" s="15"/>
      <c r="L649" s="105"/>
    </row>
    <row r="650">
      <c r="G650" s="15"/>
      <c r="I650" s="14"/>
      <c r="J650" s="15"/>
      <c r="K650" s="15"/>
      <c r="L650" s="105"/>
    </row>
    <row r="651">
      <c r="G651" s="15"/>
      <c r="I651" s="14"/>
      <c r="J651" s="15"/>
      <c r="K651" s="15"/>
      <c r="L651" s="105"/>
    </row>
    <row r="652">
      <c r="G652" s="15"/>
      <c r="I652" s="14"/>
      <c r="J652" s="15"/>
      <c r="K652" s="15"/>
      <c r="L652" s="105"/>
    </row>
    <row r="653">
      <c r="G653" s="15"/>
      <c r="I653" s="14"/>
      <c r="J653" s="15"/>
      <c r="K653" s="15"/>
      <c r="L653" s="105"/>
    </row>
    <row r="654">
      <c r="G654" s="15"/>
      <c r="I654" s="14"/>
      <c r="J654" s="15"/>
      <c r="K654" s="15"/>
      <c r="L654" s="105"/>
    </row>
    <row r="655">
      <c r="G655" s="15"/>
      <c r="I655" s="14"/>
      <c r="J655" s="15"/>
      <c r="K655" s="15"/>
      <c r="L655" s="105"/>
    </row>
    <row r="656">
      <c r="G656" s="15"/>
      <c r="I656" s="14"/>
      <c r="J656" s="15"/>
      <c r="K656" s="15"/>
      <c r="L656" s="105"/>
    </row>
    <row r="657">
      <c r="G657" s="15"/>
      <c r="I657" s="14"/>
      <c r="J657" s="15"/>
      <c r="K657" s="15"/>
      <c r="L657" s="105"/>
    </row>
    <row r="658">
      <c r="G658" s="15"/>
      <c r="I658" s="14"/>
      <c r="J658" s="15"/>
      <c r="K658" s="15"/>
      <c r="L658" s="105"/>
    </row>
    <row r="659">
      <c r="G659" s="15"/>
      <c r="I659" s="14"/>
      <c r="J659" s="15"/>
      <c r="K659" s="15"/>
      <c r="L659" s="105"/>
    </row>
    <row r="660">
      <c r="G660" s="15"/>
      <c r="I660" s="14"/>
      <c r="J660" s="15"/>
      <c r="K660" s="15"/>
      <c r="L660" s="105"/>
    </row>
    <row r="661">
      <c r="G661" s="15"/>
      <c r="I661" s="14"/>
      <c r="J661" s="15"/>
      <c r="K661" s="15"/>
      <c r="L661" s="105"/>
    </row>
    <row r="662">
      <c r="G662" s="15"/>
      <c r="I662" s="14"/>
      <c r="J662" s="15"/>
      <c r="K662" s="15"/>
      <c r="L662" s="105"/>
    </row>
    <row r="663">
      <c r="G663" s="15"/>
      <c r="I663" s="14"/>
      <c r="J663" s="15"/>
      <c r="K663" s="15"/>
      <c r="L663" s="105"/>
    </row>
    <row r="664">
      <c r="G664" s="15"/>
      <c r="I664" s="14"/>
      <c r="J664" s="15"/>
      <c r="K664" s="15"/>
      <c r="L664" s="105"/>
    </row>
    <row r="665">
      <c r="G665" s="15"/>
      <c r="I665" s="14"/>
      <c r="J665" s="15"/>
      <c r="K665" s="15"/>
      <c r="L665" s="105"/>
    </row>
    <row r="666">
      <c r="G666" s="15"/>
      <c r="I666" s="14"/>
      <c r="J666" s="15"/>
      <c r="K666" s="15"/>
      <c r="L666" s="105"/>
    </row>
    <row r="667">
      <c r="G667" s="15"/>
      <c r="I667" s="14"/>
      <c r="J667" s="15"/>
      <c r="K667" s="15"/>
      <c r="L667" s="105"/>
    </row>
    <row r="668">
      <c r="G668" s="15"/>
      <c r="I668" s="14"/>
      <c r="J668" s="15"/>
      <c r="K668" s="15"/>
      <c r="L668" s="105"/>
    </row>
    <row r="669">
      <c r="G669" s="15"/>
      <c r="I669" s="14"/>
      <c r="J669" s="15"/>
      <c r="K669" s="15"/>
      <c r="L669" s="105"/>
    </row>
    <row r="670">
      <c r="G670" s="15"/>
      <c r="I670" s="14"/>
      <c r="J670" s="15"/>
      <c r="K670" s="15"/>
      <c r="L670" s="105"/>
    </row>
    <row r="671">
      <c r="G671" s="15"/>
      <c r="I671" s="14"/>
      <c r="J671" s="15"/>
      <c r="K671" s="15"/>
      <c r="L671" s="105"/>
    </row>
    <row r="672">
      <c r="G672" s="15"/>
      <c r="I672" s="14"/>
      <c r="J672" s="15"/>
      <c r="K672" s="15"/>
      <c r="L672" s="105"/>
    </row>
    <row r="673">
      <c r="G673" s="15"/>
      <c r="I673" s="14"/>
      <c r="J673" s="15"/>
      <c r="K673" s="15"/>
      <c r="L673" s="105"/>
    </row>
    <row r="674">
      <c r="G674" s="15"/>
      <c r="I674" s="14"/>
      <c r="J674" s="15"/>
      <c r="K674" s="15"/>
      <c r="L674" s="105"/>
    </row>
    <row r="675">
      <c r="G675" s="15"/>
      <c r="I675" s="14"/>
      <c r="J675" s="15"/>
      <c r="K675" s="15"/>
      <c r="L675" s="105"/>
    </row>
    <row r="676">
      <c r="G676" s="15"/>
      <c r="I676" s="14"/>
      <c r="J676" s="15"/>
      <c r="K676" s="15"/>
      <c r="L676" s="105"/>
    </row>
    <row r="677">
      <c r="G677" s="15"/>
      <c r="I677" s="14"/>
      <c r="J677" s="15"/>
      <c r="K677" s="15"/>
      <c r="L677" s="105"/>
    </row>
    <row r="678">
      <c r="G678" s="15"/>
      <c r="I678" s="14"/>
      <c r="J678" s="15"/>
      <c r="K678" s="15"/>
      <c r="L678" s="105"/>
    </row>
    <row r="679">
      <c r="G679" s="15"/>
      <c r="I679" s="14"/>
      <c r="J679" s="15"/>
      <c r="K679" s="15"/>
      <c r="L679" s="105"/>
    </row>
    <row r="680">
      <c r="G680" s="15"/>
      <c r="I680" s="14"/>
      <c r="J680" s="15"/>
      <c r="K680" s="15"/>
      <c r="L680" s="105"/>
    </row>
    <row r="681">
      <c r="G681" s="15"/>
      <c r="I681" s="14"/>
      <c r="J681" s="15"/>
      <c r="K681" s="15"/>
      <c r="L681" s="105"/>
    </row>
    <row r="682">
      <c r="G682" s="15"/>
      <c r="I682" s="14"/>
      <c r="J682" s="15"/>
      <c r="K682" s="15"/>
      <c r="L682" s="105"/>
    </row>
    <row r="683">
      <c r="G683" s="15"/>
      <c r="I683" s="14"/>
      <c r="J683" s="15"/>
      <c r="K683" s="15"/>
      <c r="L683" s="105"/>
    </row>
    <row r="684">
      <c r="G684" s="15"/>
      <c r="I684" s="14"/>
      <c r="J684" s="15"/>
      <c r="K684" s="15"/>
      <c r="L684" s="105"/>
    </row>
    <row r="685">
      <c r="G685" s="15"/>
      <c r="I685" s="14"/>
      <c r="J685" s="15"/>
      <c r="K685" s="15"/>
      <c r="L685" s="105"/>
    </row>
    <row r="686">
      <c r="G686" s="15"/>
      <c r="I686" s="14"/>
      <c r="J686" s="15"/>
      <c r="K686" s="15"/>
      <c r="L686" s="105"/>
    </row>
    <row r="687">
      <c r="G687" s="15"/>
      <c r="I687" s="14"/>
      <c r="J687" s="15"/>
      <c r="K687" s="15"/>
      <c r="L687" s="105"/>
    </row>
    <row r="688">
      <c r="G688" s="15"/>
      <c r="I688" s="14"/>
      <c r="J688" s="15"/>
      <c r="K688" s="15"/>
      <c r="L688" s="105"/>
    </row>
    <row r="689">
      <c r="G689" s="15"/>
      <c r="I689" s="14"/>
      <c r="J689" s="15"/>
      <c r="K689" s="15"/>
      <c r="L689" s="105"/>
    </row>
    <row r="690">
      <c r="G690" s="15"/>
      <c r="I690" s="14"/>
      <c r="J690" s="15"/>
      <c r="K690" s="15"/>
      <c r="L690" s="105"/>
    </row>
    <row r="691">
      <c r="G691" s="15"/>
      <c r="I691" s="14"/>
      <c r="J691" s="15"/>
      <c r="K691" s="15"/>
      <c r="L691" s="105"/>
    </row>
    <row r="692">
      <c r="G692" s="15"/>
      <c r="I692" s="14"/>
      <c r="J692" s="15"/>
      <c r="K692" s="15"/>
      <c r="L692" s="105"/>
    </row>
    <row r="693">
      <c r="G693" s="15"/>
      <c r="I693" s="14"/>
      <c r="J693" s="15"/>
      <c r="K693" s="15"/>
      <c r="L693" s="105"/>
    </row>
    <row r="694">
      <c r="G694" s="15"/>
      <c r="I694" s="14"/>
      <c r="J694" s="15"/>
      <c r="K694" s="15"/>
      <c r="L694" s="105"/>
    </row>
    <row r="695">
      <c r="G695" s="15"/>
      <c r="I695" s="14"/>
      <c r="J695" s="15"/>
      <c r="K695" s="15"/>
      <c r="L695" s="105"/>
    </row>
    <row r="696">
      <c r="G696" s="15"/>
      <c r="I696" s="14"/>
      <c r="J696" s="15"/>
      <c r="K696" s="15"/>
      <c r="L696" s="105"/>
    </row>
    <row r="697">
      <c r="G697" s="15"/>
      <c r="I697" s="14"/>
      <c r="J697" s="15"/>
      <c r="K697" s="15"/>
      <c r="L697" s="105"/>
    </row>
    <row r="698">
      <c r="G698" s="15"/>
      <c r="I698" s="14"/>
      <c r="J698" s="15"/>
      <c r="K698" s="15"/>
      <c r="L698" s="105"/>
    </row>
    <row r="699">
      <c r="G699" s="15"/>
      <c r="I699" s="14"/>
      <c r="J699" s="15"/>
      <c r="K699" s="15"/>
      <c r="L699" s="105"/>
    </row>
    <row r="700">
      <c r="G700" s="15"/>
      <c r="I700" s="14"/>
      <c r="J700" s="15"/>
      <c r="K700" s="15"/>
      <c r="L700" s="105"/>
    </row>
    <row r="701">
      <c r="G701" s="15"/>
      <c r="I701" s="14"/>
      <c r="J701" s="15"/>
      <c r="K701" s="15"/>
      <c r="L701" s="105"/>
    </row>
    <row r="702">
      <c r="G702" s="15"/>
      <c r="I702" s="14"/>
      <c r="J702" s="15"/>
      <c r="K702" s="15"/>
      <c r="L702" s="105"/>
    </row>
    <row r="703">
      <c r="G703" s="15"/>
      <c r="I703" s="14"/>
      <c r="J703" s="15"/>
      <c r="K703" s="15"/>
      <c r="L703" s="105"/>
    </row>
    <row r="704">
      <c r="G704" s="15"/>
      <c r="I704" s="14"/>
      <c r="J704" s="15"/>
      <c r="K704" s="15"/>
      <c r="L704" s="105"/>
    </row>
    <row r="705">
      <c r="G705" s="15"/>
      <c r="I705" s="14"/>
      <c r="J705" s="15"/>
      <c r="K705" s="15"/>
      <c r="L705" s="105"/>
    </row>
    <row r="706">
      <c r="G706" s="15"/>
      <c r="I706" s="14"/>
      <c r="J706" s="15"/>
      <c r="K706" s="15"/>
      <c r="L706" s="105"/>
    </row>
    <row r="707">
      <c r="G707" s="15"/>
      <c r="I707" s="14"/>
      <c r="J707" s="15"/>
      <c r="K707" s="15"/>
      <c r="L707" s="105"/>
    </row>
    <row r="708">
      <c r="G708" s="15"/>
      <c r="I708" s="14"/>
      <c r="J708" s="15"/>
      <c r="K708" s="15"/>
      <c r="L708" s="105"/>
    </row>
    <row r="709">
      <c r="G709" s="15"/>
      <c r="I709" s="14"/>
      <c r="J709" s="15"/>
      <c r="K709" s="15"/>
      <c r="L709" s="105"/>
    </row>
    <row r="710">
      <c r="G710" s="15"/>
      <c r="I710" s="14"/>
      <c r="J710" s="15"/>
      <c r="K710" s="15"/>
      <c r="L710" s="105"/>
    </row>
    <row r="711">
      <c r="G711" s="15"/>
      <c r="I711" s="14"/>
      <c r="J711" s="15"/>
      <c r="K711" s="15"/>
      <c r="L711" s="105"/>
    </row>
    <row r="712">
      <c r="G712" s="15"/>
      <c r="I712" s="14"/>
      <c r="J712" s="15"/>
      <c r="K712" s="15"/>
      <c r="L712" s="105"/>
    </row>
    <row r="713">
      <c r="G713" s="15"/>
      <c r="I713" s="14"/>
      <c r="J713" s="15"/>
      <c r="K713" s="15"/>
      <c r="L713" s="105"/>
    </row>
    <row r="714">
      <c r="G714" s="15"/>
      <c r="I714" s="14"/>
      <c r="J714" s="15"/>
      <c r="K714" s="15"/>
      <c r="L714" s="105"/>
    </row>
    <row r="715">
      <c r="G715" s="15"/>
      <c r="I715" s="14"/>
      <c r="J715" s="15"/>
      <c r="K715" s="15"/>
      <c r="L715" s="105"/>
    </row>
    <row r="716">
      <c r="G716" s="15"/>
      <c r="I716" s="14"/>
      <c r="J716" s="15"/>
      <c r="K716" s="15"/>
      <c r="L716" s="105"/>
    </row>
    <row r="717">
      <c r="G717" s="15"/>
      <c r="I717" s="14"/>
      <c r="J717" s="15"/>
      <c r="K717" s="15"/>
      <c r="L717" s="105"/>
    </row>
    <row r="718">
      <c r="G718" s="15"/>
      <c r="I718" s="14"/>
      <c r="J718" s="15"/>
      <c r="K718" s="15"/>
      <c r="L718" s="105"/>
    </row>
    <row r="719">
      <c r="G719" s="15"/>
      <c r="I719" s="14"/>
      <c r="J719" s="15"/>
      <c r="K719" s="15"/>
      <c r="L719" s="105"/>
    </row>
    <row r="720">
      <c r="G720" s="15"/>
      <c r="I720" s="14"/>
      <c r="J720" s="15"/>
      <c r="K720" s="15"/>
      <c r="L720" s="105"/>
    </row>
    <row r="721">
      <c r="G721" s="15"/>
      <c r="I721" s="14"/>
      <c r="J721" s="15"/>
      <c r="K721" s="15"/>
      <c r="L721" s="105"/>
    </row>
    <row r="722">
      <c r="G722" s="15"/>
      <c r="I722" s="14"/>
      <c r="J722" s="15"/>
      <c r="K722" s="15"/>
      <c r="L722" s="105"/>
    </row>
    <row r="723">
      <c r="G723" s="15"/>
      <c r="I723" s="14"/>
      <c r="J723" s="15"/>
      <c r="K723" s="15"/>
      <c r="L723" s="105"/>
    </row>
    <row r="724">
      <c r="G724" s="15"/>
      <c r="I724" s="14"/>
      <c r="J724" s="15"/>
      <c r="K724" s="15"/>
      <c r="L724" s="105"/>
    </row>
    <row r="725">
      <c r="G725" s="15"/>
      <c r="I725" s="14"/>
      <c r="J725" s="15"/>
      <c r="K725" s="15"/>
      <c r="L725" s="105"/>
    </row>
    <row r="726">
      <c r="G726" s="15"/>
      <c r="I726" s="14"/>
      <c r="J726" s="15"/>
      <c r="K726" s="15"/>
      <c r="L726" s="105"/>
    </row>
    <row r="727">
      <c r="G727" s="15"/>
      <c r="I727" s="14"/>
      <c r="J727" s="15"/>
      <c r="K727" s="15"/>
      <c r="L727" s="105"/>
    </row>
    <row r="728">
      <c r="G728" s="15"/>
      <c r="I728" s="14"/>
      <c r="J728" s="15"/>
      <c r="K728" s="15"/>
      <c r="L728" s="105"/>
    </row>
    <row r="729">
      <c r="G729" s="15"/>
      <c r="I729" s="14"/>
      <c r="J729" s="15"/>
      <c r="K729" s="15"/>
      <c r="L729" s="105"/>
    </row>
    <row r="730">
      <c r="G730" s="15"/>
      <c r="I730" s="14"/>
      <c r="J730" s="15"/>
      <c r="K730" s="15"/>
      <c r="L730" s="105"/>
    </row>
    <row r="731">
      <c r="G731" s="15"/>
      <c r="I731" s="14"/>
      <c r="J731" s="15"/>
      <c r="K731" s="15"/>
      <c r="L731" s="105"/>
    </row>
    <row r="732">
      <c r="G732" s="15"/>
      <c r="I732" s="14"/>
      <c r="J732" s="15"/>
      <c r="K732" s="15"/>
      <c r="L732" s="105"/>
    </row>
    <row r="733">
      <c r="G733" s="15"/>
      <c r="I733" s="14"/>
      <c r="J733" s="15"/>
      <c r="K733" s="15"/>
      <c r="L733" s="105"/>
    </row>
    <row r="734">
      <c r="G734" s="15"/>
      <c r="I734" s="14"/>
      <c r="J734" s="15"/>
      <c r="K734" s="15"/>
      <c r="L734" s="105"/>
    </row>
    <row r="735">
      <c r="G735" s="15"/>
      <c r="I735" s="14"/>
      <c r="J735" s="15"/>
      <c r="K735" s="15"/>
      <c r="L735" s="105"/>
    </row>
    <row r="736">
      <c r="G736" s="15"/>
      <c r="I736" s="14"/>
      <c r="J736" s="15"/>
      <c r="K736" s="15"/>
      <c r="L736" s="105"/>
    </row>
    <row r="737">
      <c r="G737" s="15"/>
      <c r="I737" s="14"/>
      <c r="J737" s="15"/>
      <c r="K737" s="15"/>
      <c r="L737" s="105"/>
    </row>
    <row r="738">
      <c r="G738" s="15"/>
      <c r="I738" s="14"/>
      <c r="J738" s="15"/>
      <c r="K738" s="15"/>
      <c r="L738" s="105"/>
    </row>
    <row r="739">
      <c r="G739" s="15"/>
      <c r="I739" s="14"/>
      <c r="J739" s="15"/>
      <c r="K739" s="15"/>
      <c r="L739" s="105"/>
    </row>
    <row r="740">
      <c r="G740" s="15"/>
      <c r="I740" s="14"/>
      <c r="J740" s="15"/>
      <c r="K740" s="15"/>
      <c r="L740" s="105"/>
    </row>
    <row r="741">
      <c r="G741" s="15"/>
      <c r="I741" s="14"/>
      <c r="J741" s="15"/>
      <c r="K741" s="15"/>
      <c r="L741" s="105"/>
    </row>
    <row r="742">
      <c r="G742" s="15"/>
      <c r="I742" s="14"/>
      <c r="J742" s="15"/>
      <c r="K742" s="15"/>
      <c r="L742" s="105"/>
    </row>
    <row r="743">
      <c r="G743" s="15"/>
      <c r="I743" s="14"/>
      <c r="J743" s="15"/>
      <c r="K743" s="15"/>
      <c r="L743" s="105"/>
    </row>
    <row r="744">
      <c r="G744" s="15"/>
      <c r="I744" s="14"/>
      <c r="J744" s="15"/>
      <c r="K744" s="15"/>
      <c r="L744" s="105"/>
    </row>
    <row r="745">
      <c r="G745" s="15"/>
      <c r="I745" s="14"/>
      <c r="J745" s="15"/>
      <c r="K745" s="15"/>
      <c r="L745" s="105"/>
    </row>
    <row r="746">
      <c r="G746" s="15"/>
      <c r="I746" s="14"/>
      <c r="J746" s="15"/>
      <c r="K746" s="15"/>
      <c r="L746" s="105"/>
    </row>
    <row r="747">
      <c r="G747" s="15"/>
      <c r="I747" s="14"/>
      <c r="J747" s="15"/>
      <c r="K747" s="15"/>
      <c r="L747" s="105"/>
    </row>
    <row r="748">
      <c r="G748" s="15"/>
      <c r="I748" s="14"/>
      <c r="J748" s="15"/>
      <c r="K748" s="15"/>
      <c r="L748" s="105"/>
    </row>
    <row r="749">
      <c r="G749" s="15"/>
      <c r="I749" s="14"/>
      <c r="J749" s="15"/>
      <c r="K749" s="15"/>
      <c r="L749" s="105"/>
    </row>
    <row r="750">
      <c r="G750" s="15"/>
      <c r="I750" s="14"/>
      <c r="J750" s="15"/>
      <c r="K750" s="15"/>
      <c r="L750" s="105"/>
    </row>
    <row r="751">
      <c r="G751" s="15"/>
      <c r="I751" s="14"/>
      <c r="J751" s="15"/>
      <c r="K751" s="15"/>
      <c r="L751" s="105"/>
    </row>
    <row r="752">
      <c r="G752" s="15"/>
      <c r="I752" s="14"/>
      <c r="J752" s="15"/>
      <c r="K752" s="15"/>
      <c r="L752" s="105"/>
    </row>
    <row r="753">
      <c r="G753" s="15"/>
      <c r="I753" s="14"/>
      <c r="J753" s="15"/>
      <c r="K753" s="15"/>
      <c r="L753" s="105"/>
    </row>
    <row r="754">
      <c r="G754" s="15"/>
      <c r="I754" s="14"/>
      <c r="J754" s="15"/>
      <c r="K754" s="15"/>
      <c r="L754" s="105"/>
    </row>
    <row r="755">
      <c r="G755" s="15"/>
      <c r="I755" s="14"/>
      <c r="J755" s="15"/>
      <c r="K755" s="15"/>
      <c r="L755" s="105"/>
    </row>
    <row r="756">
      <c r="G756" s="15"/>
      <c r="I756" s="14"/>
      <c r="J756" s="15"/>
      <c r="K756" s="15"/>
      <c r="L756" s="105"/>
    </row>
    <row r="757">
      <c r="G757" s="15"/>
      <c r="I757" s="14"/>
      <c r="J757" s="15"/>
      <c r="K757" s="15"/>
      <c r="L757" s="105"/>
    </row>
    <row r="758">
      <c r="G758" s="15"/>
      <c r="I758" s="14"/>
      <c r="J758" s="15"/>
      <c r="K758" s="15"/>
      <c r="L758" s="105"/>
    </row>
    <row r="759">
      <c r="G759" s="15"/>
      <c r="I759" s="14"/>
      <c r="J759" s="15"/>
      <c r="K759" s="15"/>
      <c r="L759" s="105"/>
    </row>
    <row r="760">
      <c r="G760" s="15"/>
      <c r="I760" s="14"/>
      <c r="J760" s="15"/>
      <c r="K760" s="15"/>
      <c r="L760" s="105"/>
    </row>
    <row r="761">
      <c r="G761" s="15"/>
      <c r="I761" s="14"/>
      <c r="J761" s="15"/>
      <c r="K761" s="15"/>
      <c r="L761" s="105"/>
    </row>
    <row r="762">
      <c r="G762" s="15"/>
      <c r="I762" s="14"/>
      <c r="J762" s="15"/>
      <c r="K762" s="15"/>
      <c r="L762" s="105"/>
    </row>
    <row r="763">
      <c r="G763" s="15"/>
      <c r="I763" s="14"/>
      <c r="J763" s="15"/>
      <c r="K763" s="15"/>
      <c r="L763" s="105"/>
    </row>
    <row r="764">
      <c r="G764" s="15"/>
      <c r="I764" s="14"/>
      <c r="J764" s="15"/>
      <c r="K764" s="15"/>
      <c r="L764" s="105"/>
    </row>
    <row r="765">
      <c r="G765" s="15"/>
      <c r="I765" s="14"/>
      <c r="J765" s="15"/>
      <c r="K765" s="15"/>
      <c r="L765" s="105"/>
    </row>
    <row r="766">
      <c r="G766" s="15"/>
      <c r="I766" s="14"/>
      <c r="J766" s="15"/>
      <c r="K766" s="15"/>
      <c r="L766" s="105"/>
    </row>
    <row r="767">
      <c r="G767" s="15"/>
      <c r="I767" s="14"/>
      <c r="J767" s="15"/>
      <c r="K767" s="15"/>
      <c r="L767" s="105"/>
    </row>
    <row r="768">
      <c r="G768" s="15"/>
      <c r="I768" s="14"/>
      <c r="J768" s="15"/>
      <c r="K768" s="15"/>
      <c r="L768" s="105"/>
    </row>
    <row r="769">
      <c r="G769" s="15"/>
      <c r="I769" s="14"/>
      <c r="J769" s="15"/>
      <c r="K769" s="15"/>
      <c r="L769" s="105"/>
    </row>
    <row r="770">
      <c r="G770" s="15"/>
      <c r="I770" s="14"/>
      <c r="J770" s="15"/>
      <c r="K770" s="15"/>
      <c r="L770" s="105"/>
    </row>
    <row r="771">
      <c r="G771" s="15"/>
      <c r="I771" s="14"/>
      <c r="J771" s="15"/>
      <c r="K771" s="15"/>
      <c r="L771" s="105"/>
    </row>
    <row r="772">
      <c r="G772" s="15"/>
      <c r="I772" s="14"/>
      <c r="J772" s="15"/>
      <c r="K772" s="15"/>
      <c r="L772" s="105"/>
    </row>
    <row r="773">
      <c r="G773" s="15"/>
      <c r="I773" s="14"/>
      <c r="J773" s="15"/>
      <c r="K773" s="15"/>
      <c r="L773" s="105"/>
    </row>
    <row r="774">
      <c r="G774" s="15"/>
      <c r="I774" s="14"/>
      <c r="J774" s="15"/>
      <c r="K774" s="15"/>
      <c r="L774" s="105"/>
    </row>
    <row r="775">
      <c r="G775" s="15"/>
      <c r="I775" s="14"/>
      <c r="J775" s="15"/>
      <c r="K775" s="15"/>
      <c r="L775" s="105"/>
    </row>
    <row r="776">
      <c r="G776" s="15"/>
      <c r="I776" s="14"/>
      <c r="J776" s="15"/>
      <c r="K776" s="15"/>
      <c r="L776" s="105"/>
    </row>
    <row r="777">
      <c r="G777" s="15"/>
      <c r="I777" s="14"/>
      <c r="J777" s="15"/>
      <c r="K777" s="15"/>
      <c r="L777" s="105"/>
    </row>
    <row r="778">
      <c r="G778" s="15"/>
      <c r="I778" s="14"/>
      <c r="J778" s="15"/>
      <c r="K778" s="15"/>
      <c r="L778" s="105"/>
    </row>
    <row r="779">
      <c r="G779" s="15"/>
      <c r="I779" s="14"/>
      <c r="J779" s="15"/>
      <c r="K779" s="15"/>
      <c r="L779" s="105"/>
    </row>
    <row r="780">
      <c r="G780" s="15"/>
      <c r="I780" s="14"/>
      <c r="J780" s="15"/>
      <c r="K780" s="15"/>
      <c r="L780" s="105"/>
    </row>
    <row r="781">
      <c r="G781" s="15"/>
      <c r="I781" s="14"/>
      <c r="J781" s="15"/>
      <c r="K781" s="15"/>
      <c r="L781" s="105"/>
    </row>
    <row r="782">
      <c r="G782" s="15"/>
      <c r="I782" s="14"/>
      <c r="J782" s="15"/>
      <c r="K782" s="15"/>
      <c r="L782" s="105"/>
    </row>
    <row r="783">
      <c r="G783" s="15"/>
      <c r="I783" s="14"/>
      <c r="J783" s="15"/>
      <c r="K783" s="15"/>
      <c r="L783" s="105"/>
    </row>
    <row r="784">
      <c r="G784" s="15"/>
      <c r="I784" s="14"/>
      <c r="J784" s="15"/>
      <c r="K784" s="15"/>
      <c r="L784" s="105"/>
    </row>
    <row r="785">
      <c r="G785" s="15"/>
      <c r="I785" s="14"/>
      <c r="J785" s="15"/>
      <c r="K785" s="15"/>
      <c r="L785" s="105"/>
    </row>
    <row r="786">
      <c r="G786" s="15"/>
      <c r="I786" s="14"/>
      <c r="J786" s="15"/>
      <c r="K786" s="15"/>
      <c r="L786" s="105"/>
    </row>
    <row r="787">
      <c r="G787" s="15"/>
      <c r="I787" s="14"/>
      <c r="J787" s="15"/>
      <c r="K787" s="15"/>
      <c r="L787" s="105"/>
    </row>
    <row r="788">
      <c r="G788" s="15"/>
      <c r="I788" s="14"/>
      <c r="J788" s="15"/>
      <c r="K788" s="15"/>
      <c r="L788" s="105"/>
    </row>
    <row r="789">
      <c r="G789" s="15"/>
      <c r="I789" s="14"/>
      <c r="J789" s="15"/>
      <c r="K789" s="15"/>
      <c r="L789" s="105"/>
    </row>
    <row r="790">
      <c r="G790" s="15"/>
      <c r="I790" s="14"/>
      <c r="J790" s="15"/>
      <c r="K790" s="15"/>
      <c r="L790" s="105"/>
    </row>
    <row r="791">
      <c r="G791" s="15"/>
      <c r="I791" s="14"/>
      <c r="J791" s="15"/>
      <c r="K791" s="15"/>
      <c r="L791" s="105"/>
    </row>
    <row r="792">
      <c r="G792" s="15"/>
      <c r="I792" s="14"/>
      <c r="J792" s="15"/>
      <c r="K792" s="15"/>
      <c r="L792" s="105"/>
    </row>
    <row r="793">
      <c r="G793" s="15"/>
      <c r="I793" s="14"/>
      <c r="J793" s="15"/>
      <c r="K793" s="15"/>
      <c r="L793" s="105"/>
    </row>
    <row r="794">
      <c r="G794" s="15"/>
      <c r="I794" s="14"/>
      <c r="J794" s="15"/>
      <c r="K794" s="15"/>
      <c r="L794" s="105"/>
    </row>
    <row r="795">
      <c r="G795" s="15"/>
      <c r="I795" s="14"/>
      <c r="J795" s="15"/>
      <c r="K795" s="15"/>
      <c r="L795" s="105"/>
    </row>
    <row r="796">
      <c r="G796" s="15"/>
      <c r="I796" s="14"/>
      <c r="J796" s="15"/>
      <c r="K796" s="15"/>
      <c r="L796" s="105"/>
    </row>
    <row r="797">
      <c r="G797" s="15"/>
      <c r="I797" s="14"/>
      <c r="J797" s="15"/>
      <c r="K797" s="15"/>
      <c r="L797" s="105"/>
    </row>
    <row r="798">
      <c r="G798" s="15"/>
      <c r="I798" s="14"/>
      <c r="J798" s="15"/>
      <c r="K798" s="15"/>
      <c r="L798" s="105"/>
    </row>
    <row r="799">
      <c r="G799" s="15"/>
      <c r="I799" s="14"/>
      <c r="J799" s="15"/>
      <c r="K799" s="15"/>
      <c r="L799" s="105"/>
    </row>
    <row r="800">
      <c r="G800" s="15"/>
      <c r="I800" s="14"/>
      <c r="J800" s="15"/>
      <c r="K800" s="15"/>
      <c r="L800" s="105"/>
    </row>
    <row r="801">
      <c r="G801" s="15"/>
      <c r="I801" s="14"/>
      <c r="J801" s="15"/>
      <c r="K801" s="15"/>
      <c r="L801" s="105"/>
    </row>
    <row r="802">
      <c r="G802" s="15"/>
      <c r="I802" s="14"/>
      <c r="J802" s="15"/>
      <c r="K802" s="15"/>
      <c r="L802" s="105"/>
    </row>
    <row r="803">
      <c r="G803" s="15"/>
      <c r="I803" s="14"/>
      <c r="J803" s="15"/>
      <c r="K803" s="15"/>
      <c r="L803" s="105"/>
    </row>
    <row r="804">
      <c r="G804" s="15"/>
      <c r="I804" s="14"/>
      <c r="J804" s="15"/>
      <c r="K804" s="15"/>
      <c r="L804" s="105"/>
    </row>
    <row r="805">
      <c r="G805" s="15"/>
      <c r="I805" s="14"/>
      <c r="J805" s="15"/>
      <c r="K805" s="15"/>
      <c r="L805" s="105"/>
    </row>
    <row r="806">
      <c r="G806" s="15"/>
      <c r="I806" s="14"/>
      <c r="J806" s="15"/>
      <c r="K806" s="15"/>
      <c r="L806" s="105"/>
    </row>
    <row r="807">
      <c r="G807" s="15"/>
      <c r="I807" s="14"/>
      <c r="J807" s="15"/>
      <c r="K807" s="15"/>
      <c r="L807" s="105"/>
    </row>
    <row r="808">
      <c r="G808" s="15"/>
      <c r="I808" s="14"/>
      <c r="J808" s="15"/>
      <c r="K808" s="15"/>
      <c r="L808" s="105"/>
    </row>
    <row r="809">
      <c r="G809" s="15"/>
      <c r="I809" s="14"/>
      <c r="J809" s="15"/>
      <c r="K809" s="15"/>
      <c r="L809" s="105"/>
    </row>
    <row r="810">
      <c r="G810" s="15"/>
      <c r="I810" s="14"/>
      <c r="J810" s="15"/>
      <c r="K810" s="15"/>
      <c r="L810" s="105"/>
    </row>
    <row r="811">
      <c r="G811" s="15"/>
      <c r="I811" s="14"/>
      <c r="J811" s="15"/>
      <c r="K811" s="15"/>
      <c r="L811" s="105"/>
    </row>
    <row r="812">
      <c r="G812" s="15"/>
      <c r="I812" s="14"/>
      <c r="J812" s="15"/>
      <c r="K812" s="15"/>
      <c r="L812" s="105"/>
    </row>
    <row r="813">
      <c r="G813" s="15"/>
      <c r="I813" s="14"/>
      <c r="J813" s="15"/>
      <c r="K813" s="15"/>
      <c r="L813" s="105"/>
    </row>
    <row r="814">
      <c r="G814" s="15"/>
      <c r="I814" s="14"/>
      <c r="J814" s="15"/>
      <c r="K814" s="15"/>
      <c r="L814" s="105"/>
    </row>
    <row r="815">
      <c r="G815" s="15"/>
      <c r="I815" s="14"/>
      <c r="J815" s="15"/>
      <c r="K815" s="15"/>
      <c r="L815" s="105"/>
    </row>
    <row r="816">
      <c r="G816" s="15"/>
      <c r="I816" s="14"/>
      <c r="J816" s="15"/>
      <c r="K816" s="15"/>
      <c r="L816" s="105"/>
    </row>
    <row r="817">
      <c r="G817" s="15"/>
      <c r="I817" s="14"/>
      <c r="J817" s="15"/>
      <c r="K817" s="15"/>
      <c r="L817" s="105"/>
    </row>
    <row r="818">
      <c r="G818" s="15"/>
      <c r="I818" s="14"/>
      <c r="J818" s="15"/>
      <c r="K818" s="15"/>
      <c r="L818" s="105"/>
    </row>
    <row r="819">
      <c r="G819" s="15"/>
      <c r="I819" s="14"/>
      <c r="J819" s="15"/>
      <c r="K819" s="15"/>
      <c r="L819" s="105"/>
    </row>
    <row r="820">
      <c r="G820" s="15"/>
      <c r="I820" s="14"/>
      <c r="J820" s="15"/>
      <c r="K820" s="15"/>
      <c r="L820" s="105"/>
    </row>
    <row r="821">
      <c r="G821" s="15"/>
      <c r="I821" s="14"/>
      <c r="J821" s="15"/>
      <c r="K821" s="15"/>
      <c r="L821" s="105"/>
    </row>
    <row r="822">
      <c r="G822" s="15"/>
      <c r="I822" s="14"/>
      <c r="J822" s="15"/>
      <c r="K822" s="15"/>
      <c r="L822" s="105"/>
    </row>
    <row r="823">
      <c r="G823" s="15"/>
      <c r="I823" s="14"/>
      <c r="J823" s="15"/>
      <c r="K823" s="15"/>
      <c r="L823" s="105"/>
    </row>
    <row r="824">
      <c r="G824" s="15"/>
      <c r="I824" s="14"/>
      <c r="J824" s="15"/>
      <c r="K824" s="15"/>
      <c r="L824" s="105"/>
    </row>
    <row r="825">
      <c r="G825" s="15"/>
      <c r="I825" s="14"/>
      <c r="J825" s="15"/>
      <c r="K825" s="15"/>
      <c r="L825" s="105"/>
    </row>
    <row r="826">
      <c r="G826" s="15"/>
      <c r="I826" s="14"/>
      <c r="J826" s="15"/>
      <c r="K826" s="15"/>
      <c r="L826" s="105"/>
    </row>
    <row r="827">
      <c r="G827" s="15"/>
      <c r="I827" s="14"/>
      <c r="J827" s="15"/>
      <c r="K827" s="15"/>
      <c r="L827" s="105"/>
    </row>
    <row r="828">
      <c r="G828" s="15"/>
      <c r="I828" s="14"/>
      <c r="J828" s="15"/>
      <c r="K828" s="15"/>
      <c r="L828" s="105"/>
    </row>
    <row r="829">
      <c r="G829" s="15"/>
      <c r="I829" s="14"/>
      <c r="J829" s="15"/>
      <c r="K829" s="15"/>
      <c r="L829" s="105"/>
    </row>
    <row r="830">
      <c r="G830" s="15"/>
      <c r="I830" s="14"/>
      <c r="J830" s="15"/>
      <c r="K830" s="15"/>
      <c r="L830" s="105"/>
    </row>
    <row r="831">
      <c r="G831" s="15"/>
      <c r="I831" s="14"/>
      <c r="J831" s="15"/>
      <c r="K831" s="15"/>
      <c r="L831" s="105"/>
    </row>
    <row r="832">
      <c r="G832" s="15"/>
      <c r="I832" s="14"/>
      <c r="J832" s="15"/>
      <c r="K832" s="15"/>
      <c r="L832" s="105"/>
    </row>
    <row r="833">
      <c r="G833" s="15"/>
      <c r="I833" s="14"/>
      <c r="J833" s="15"/>
      <c r="K833" s="15"/>
      <c r="L833" s="105"/>
    </row>
    <row r="834">
      <c r="G834" s="15"/>
      <c r="I834" s="14"/>
      <c r="J834" s="15"/>
      <c r="K834" s="15"/>
      <c r="L834" s="105"/>
    </row>
    <row r="835">
      <c r="G835" s="15"/>
      <c r="I835" s="14"/>
      <c r="J835" s="15"/>
      <c r="K835" s="15"/>
      <c r="L835" s="105"/>
    </row>
    <row r="836">
      <c r="G836" s="15"/>
      <c r="I836" s="14"/>
      <c r="J836" s="15"/>
      <c r="K836" s="15"/>
      <c r="L836" s="105"/>
    </row>
    <row r="837">
      <c r="G837" s="15"/>
      <c r="I837" s="14"/>
      <c r="J837" s="15"/>
      <c r="K837" s="15"/>
      <c r="L837" s="105"/>
    </row>
    <row r="838">
      <c r="G838" s="15"/>
      <c r="I838" s="14"/>
      <c r="J838" s="15"/>
      <c r="K838" s="15"/>
      <c r="L838" s="105"/>
    </row>
    <row r="839">
      <c r="G839" s="15"/>
      <c r="I839" s="14"/>
      <c r="J839" s="15"/>
      <c r="K839" s="15"/>
      <c r="L839" s="105"/>
    </row>
    <row r="840">
      <c r="G840" s="15"/>
      <c r="I840" s="14"/>
      <c r="J840" s="15"/>
      <c r="K840" s="15"/>
      <c r="L840" s="105"/>
    </row>
    <row r="841">
      <c r="G841" s="15"/>
      <c r="I841" s="14"/>
      <c r="J841" s="15"/>
      <c r="K841" s="15"/>
      <c r="L841" s="105"/>
    </row>
    <row r="842">
      <c r="G842" s="15"/>
      <c r="I842" s="14"/>
      <c r="J842" s="15"/>
      <c r="K842" s="15"/>
      <c r="L842" s="105"/>
    </row>
    <row r="843">
      <c r="G843" s="15"/>
      <c r="I843" s="14"/>
      <c r="J843" s="15"/>
      <c r="K843" s="15"/>
      <c r="L843" s="105"/>
    </row>
    <row r="844">
      <c r="G844" s="15"/>
      <c r="I844" s="14"/>
      <c r="J844" s="15"/>
      <c r="K844" s="15"/>
      <c r="L844" s="105"/>
    </row>
    <row r="845">
      <c r="G845" s="15"/>
      <c r="I845" s="14"/>
      <c r="J845" s="15"/>
      <c r="K845" s="15"/>
      <c r="L845" s="105"/>
    </row>
    <row r="846">
      <c r="G846" s="15"/>
      <c r="I846" s="14"/>
      <c r="J846" s="15"/>
      <c r="K846" s="15"/>
      <c r="L846" s="105"/>
    </row>
    <row r="847">
      <c r="G847" s="15"/>
      <c r="I847" s="14"/>
      <c r="J847" s="15"/>
      <c r="K847" s="15"/>
      <c r="L847" s="105"/>
    </row>
    <row r="848">
      <c r="G848" s="15"/>
      <c r="I848" s="14"/>
      <c r="J848" s="15"/>
      <c r="K848" s="15"/>
      <c r="L848" s="105"/>
    </row>
    <row r="849">
      <c r="G849" s="15"/>
      <c r="I849" s="14"/>
      <c r="J849" s="15"/>
      <c r="K849" s="15"/>
      <c r="L849" s="105"/>
    </row>
    <row r="850">
      <c r="G850" s="15"/>
      <c r="I850" s="14"/>
      <c r="J850" s="15"/>
      <c r="K850" s="15"/>
      <c r="L850" s="105"/>
    </row>
    <row r="851">
      <c r="G851" s="15"/>
      <c r="I851" s="14"/>
      <c r="J851" s="15"/>
      <c r="K851" s="15"/>
      <c r="L851" s="105"/>
    </row>
    <row r="852">
      <c r="G852" s="15"/>
      <c r="I852" s="14"/>
      <c r="J852" s="15"/>
      <c r="K852" s="15"/>
      <c r="L852" s="105"/>
    </row>
    <row r="853">
      <c r="G853" s="15"/>
      <c r="I853" s="14"/>
      <c r="J853" s="15"/>
      <c r="K853" s="15"/>
      <c r="L853" s="105"/>
    </row>
    <row r="854">
      <c r="G854" s="15"/>
      <c r="I854" s="14"/>
      <c r="J854" s="15"/>
      <c r="K854" s="15"/>
      <c r="L854" s="105"/>
    </row>
    <row r="855">
      <c r="G855" s="15"/>
      <c r="I855" s="14"/>
      <c r="J855" s="15"/>
      <c r="K855" s="15"/>
      <c r="L855" s="105"/>
    </row>
    <row r="856">
      <c r="G856" s="15"/>
      <c r="I856" s="14"/>
      <c r="J856" s="15"/>
      <c r="K856" s="15"/>
      <c r="L856" s="105"/>
    </row>
    <row r="857">
      <c r="G857" s="15"/>
      <c r="I857" s="14"/>
      <c r="J857" s="15"/>
      <c r="K857" s="15"/>
      <c r="L857" s="105"/>
    </row>
    <row r="858">
      <c r="G858" s="15"/>
      <c r="I858" s="14"/>
      <c r="J858" s="15"/>
      <c r="K858" s="15"/>
      <c r="L858" s="105"/>
    </row>
    <row r="859">
      <c r="G859" s="15"/>
      <c r="I859" s="14"/>
      <c r="J859" s="15"/>
      <c r="K859" s="15"/>
      <c r="L859" s="105"/>
    </row>
    <row r="860">
      <c r="G860" s="15"/>
      <c r="I860" s="14"/>
      <c r="J860" s="15"/>
      <c r="K860" s="15"/>
      <c r="L860" s="105"/>
    </row>
    <row r="861">
      <c r="G861" s="15"/>
      <c r="I861" s="14"/>
      <c r="J861" s="15"/>
      <c r="K861" s="15"/>
      <c r="L861" s="105"/>
    </row>
    <row r="862">
      <c r="G862" s="15"/>
      <c r="I862" s="14"/>
      <c r="J862" s="15"/>
      <c r="K862" s="15"/>
      <c r="L862" s="105"/>
    </row>
    <row r="863">
      <c r="G863" s="15"/>
      <c r="I863" s="14"/>
      <c r="J863" s="15"/>
      <c r="K863" s="15"/>
      <c r="L863" s="105"/>
    </row>
    <row r="864">
      <c r="G864" s="15"/>
      <c r="I864" s="14"/>
      <c r="J864" s="15"/>
      <c r="K864" s="15"/>
      <c r="L864" s="105"/>
    </row>
    <row r="865">
      <c r="G865" s="15"/>
      <c r="I865" s="14"/>
      <c r="J865" s="15"/>
      <c r="K865" s="15"/>
      <c r="L865" s="105"/>
    </row>
    <row r="866">
      <c r="G866" s="15"/>
      <c r="I866" s="14"/>
      <c r="J866" s="15"/>
      <c r="K866" s="15"/>
      <c r="L866" s="105"/>
    </row>
    <row r="867">
      <c r="G867" s="15"/>
      <c r="I867" s="14"/>
      <c r="J867" s="15"/>
      <c r="K867" s="15"/>
      <c r="L867" s="105"/>
    </row>
    <row r="868">
      <c r="G868" s="15"/>
      <c r="I868" s="14"/>
      <c r="J868" s="15"/>
      <c r="K868" s="15"/>
      <c r="L868" s="105"/>
    </row>
    <row r="869">
      <c r="G869" s="15"/>
      <c r="I869" s="14"/>
      <c r="J869" s="15"/>
      <c r="K869" s="15"/>
      <c r="L869" s="105"/>
    </row>
    <row r="870">
      <c r="G870" s="15"/>
      <c r="I870" s="14"/>
      <c r="J870" s="15"/>
      <c r="K870" s="15"/>
      <c r="L870" s="105"/>
    </row>
    <row r="871">
      <c r="G871" s="15"/>
      <c r="I871" s="14"/>
      <c r="J871" s="15"/>
      <c r="K871" s="15"/>
      <c r="L871" s="105"/>
    </row>
    <row r="872">
      <c r="G872" s="15"/>
      <c r="I872" s="14"/>
      <c r="J872" s="15"/>
      <c r="K872" s="15"/>
      <c r="L872" s="105"/>
    </row>
    <row r="873">
      <c r="G873" s="15"/>
      <c r="I873" s="14"/>
      <c r="J873" s="15"/>
      <c r="K873" s="15"/>
      <c r="L873" s="105"/>
    </row>
    <row r="874">
      <c r="G874" s="15"/>
      <c r="I874" s="14"/>
      <c r="J874" s="15"/>
      <c r="K874" s="15"/>
      <c r="L874" s="105"/>
    </row>
    <row r="875">
      <c r="G875" s="15"/>
      <c r="I875" s="14"/>
      <c r="J875" s="15"/>
      <c r="K875" s="15"/>
      <c r="L875" s="105"/>
    </row>
    <row r="876">
      <c r="G876" s="15"/>
      <c r="I876" s="14"/>
      <c r="J876" s="15"/>
      <c r="K876" s="15"/>
      <c r="L876" s="105"/>
    </row>
    <row r="877">
      <c r="G877" s="15"/>
      <c r="I877" s="14"/>
      <c r="J877" s="15"/>
      <c r="K877" s="15"/>
      <c r="L877" s="105"/>
    </row>
    <row r="878">
      <c r="G878" s="15"/>
      <c r="I878" s="14"/>
      <c r="J878" s="15"/>
      <c r="K878" s="15"/>
      <c r="L878" s="105"/>
    </row>
    <row r="879">
      <c r="G879" s="15"/>
      <c r="I879" s="14"/>
      <c r="J879" s="15"/>
      <c r="K879" s="15"/>
      <c r="L879" s="105"/>
    </row>
    <row r="880">
      <c r="G880" s="15"/>
      <c r="I880" s="14"/>
      <c r="J880" s="15"/>
      <c r="K880" s="15"/>
      <c r="L880" s="105"/>
    </row>
    <row r="881">
      <c r="G881" s="15"/>
      <c r="I881" s="14"/>
      <c r="J881" s="15"/>
      <c r="K881" s="15"/>
      <c r="L881" s="105"/>
    </row>
    <row r="882">
      <c r="G882" s="15"/>
      <c r="I882" s="14"/>
      <c r="J882" s="15"/>
      <c r="K882" s="15"/>
      <c r="L882" s="105"/>
    </row>
    <row r="883">
      <c r="G883" s="15"/>
      <c r="I883" s="14"/>
      <c r="J883" s="15"/>
      <c r="K883" s="15"/>
      <c r="L883" s="105"/>
    </row>
    <row r="884">
      <c r="G884" s="15"/>
      <c r="I884" s="14"/>
      <c r="J884" s="15"/>
      <c r="K884" s="15"/>
      <c r="L884" s="105"/>
    </row>
    <row r="885">
      <c r="G885" s="15"/>
      <c r="I885" s="14"/>
      <c r="J885" s="15"/>
      <c r="K885" s="15"/>
      <c r="L885" s="105"/>
    </row>
    <row r="886">
      <c r="G886" s="15"/>
      <c r="I886" s="14"/>
      <c r="J886" s="15"/>
      <c r="K886" s="15"/>
      <c r="L886" s="105"/>
    </row>
    <row r="887">
      <c r="G887" s="15"/>
      <c r="I887" s="14"/>
      <c r="J887" s="15"/>
      <c r="K887" s="15"/>
      <c r="L887" s="105"/>
    </row>
    <row r="888">
      <c r="G888" s="15"/>
      <c r="I888" s="14"/>
      <c r="J888" s="15"/>
      <c r="K888" s="15"/>
      <c r="L888" s="105"/>
    </row>
  </sheetData>
  <conditionalFormatting sqref="E2:E17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:H17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:I1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:J17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:K888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888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3" width="3.38"/>
    <col customWidth="1" min="4" max="4" width="3.13"/>
    <col customWidth="1" min="5" max="5" width="10.75"/>
    <col customWidth="1" min="6" max="6" width="6.0"/>
    <col customWidth="1" min="7" max="10" width="10.75"/>
    <col customWidth="1" min="11" max="11" width="14.88"/>
    <col customWidth="1" min="12" max="12" width="14.38"/>
  </cols>
  <sheetData>
    <row r="1">
      <c r="A1" s="90" t="s">
        <v>1313</v>
      </c>
      <c r="B1" s="90" t="s">
        <v>4</v>
      </c>
      <c r="C1" s="90" t="s">
        <v>1314</v>
      </c>
      <c r="D1" s="90" t="s">
        <v>1315</v>
      </c>
      <c r="E1" s="90" t="s">
        <v>1316</v>
      </c>
      <c r="F1" s="90" t="s">
        <v>1317</v>
      </c>
      <c r="G1" s="91" t="s">
        <v>1318</v>
      </c>
      <c r="H1" s="90" t="s">
        <v>1319</v>
      </c>
      <c r="I1" s="92" t="s">
        <v>1320</v>
      </c>
      <c r="J1" s="93" t="s">
        <v>1321</v>
      </c>
      <c r="K1" s="91" t="s">
        <v>1322</v>
      </c>
      <c r="L1" s="4" t="s">
        <v>1323</v>
      </c>
    </row>
    <row r="2">
      <c r="A2" s="34" t="str">
        <f>'Current Roster Score v2'!A2</f>
        <v>Robinson</v>
      </c>
      <c r="B2" s="94">
        <f>COUNTIF(
IFERROR(
OFFSET(Teams!$A$1,MATCH($A2,Teams!$A:$A,0),2,11),
OFFSET(Teams!$K$1,MATCH($A2,Teams!$K:$K,0),2,11)
),CONCATENATE("*",B$1,"*")
)</f>
        <v>0</v>
      </c>
      <c r="C2" s="94">
        <f>COUNTIF(
IFERROR(
OFFSET(Teams!$A$1,MATCH($A2,Teams!$A:$A,0),2,11),
OFFSET(Teams!$K$1,MATCH($A2,Teams!$K:$K,0),2,11)
),CONCATENATE("*",C$1,"*")
)</f>
        <v>0</v>
      </c>
      <c r="D2" s="94">
        <f>COUNTIF(
IFERROR(
OFFSET(Teams!$A$1,MATCH($A2,Teams!$A:$A,0),2,11),
OFFSET(Teams!$K$1,MATCH($A2,Teams!$K:$K,0),2,11)
),CONCATENATE("*",D$1,"*")
)</f>
        <v>0</v>
      </c>
      <c r="E2" s="98" t="str">
        <f>IFERROR(__xludf.DUMMYFUNCTION("AVERAGE(FILTER(IFERROR(OFFSET(Teams!$A$1,MATCH($A2,Teams!$A:$A,0),3,14),OFFSET(Teams!$K$1,MATCH($A2,Teams!$K:$K,0),3,14)),IFERROR(OFFSET(Teams!$A$1,MATCH($A2,Teams!$A:$A,0),3,14),OFFSET(Teams!$K$1,MATCH($A2,Teams!$K:$K,0),3,14))&lt;&gt;""#N/A"",IFERROR(OFFSET(T"&amp;"eams!$A$1,MATCH($A2,Teams!$A:$A,0),6,14),OFFSET(Teams!$K$1,MATCH($A2,Teams!$K:$K,0),6,14))&gt;=LARGE(FILTER(IFERROR(OFFSET(Teams!$A$1,MATCH($A2,Teams!$A:$A,0),6,14),OFFSET(Teams!$K$1,MATCH($A2,Teams!$K:$K,0),6,14)),IFERROR(OFFSET(Teams!$A$1,MATCH($A2,Teams!$"&amp;"A:$A,0),6,14),OFFSET(Teams!$K$1,MATCH($A2,Teams!$K:$K,0),6,14))&lt;&gt;""#N/A""),11)))"),"#DIV/0!")</f>
        <v>#DIV/0!</v>
      </c>
      <c r="F2" s="96">
        <f t="array" ref="F2">SUM(1/COUNTIF(IFERROR(OFFSET(Teams!$A$1,MATCH($A2,Teams!$A:$A,0),4,11),OFFSET(Teams!$K$1,MATCH($A2,Teams!$K:$K,0),4,11)),IFERROR(OFFSET(Teams!$A$1,MATCH($A2,Teams!$A:$A,0),4,11),OFFSET(Teams!$K$1,MATCH($A2,Teams!$K:$K,0),4,11))))</f>
        <v>1</v>
      </c>
      <c r="G2" s="97" t="str">
        <f>IFERROR(__xludf.DUMMYFUNCTION("AVERAGE(FILTER(IFERROR(OFFSET(Teams!$A$1,MATCH($A2,Teams!$A:$A,0),5,14),OFFSET(Teams!$K$1,MATCH($A2,Teams!$K:$K,0),5,14)),IFERROR(OFFSET(Teams!$A$1,MATCH($A2,Teams!$A:$A,0),5,14),OFFSET(Teams!$K$1,MATCH($A2,Teams!$K:$K,0),5,14))&lt;&gt;""#N/A"",IFERROR(OFFSET(T"&amp;"eams!$A$1,MATCH($A2,Teams!$A:$A,0),6,14),OFFSET(Teams!$K$1,MATCH($A2,Teams!$K:$K,0),6,14))&gt;=LARGE(FILTER(IFERROR(OFFSET(Teams!$A$1,MATCH($A2,Teams!$A:$A,0),6,14),OFFSET(Teams!$K$1,MATCH($A2,Teams!$K:$K,0),6,14)),IFERROR(OFFSET(Teams!$A$1,MATCH($A2,Teams!$"&amp;"A:$A,0),6,14),OFFSET(Teams!$K$1,MATCH($A2,Teams!$K:$K,0),6,14))&lt;&gt;""#N/A""),11)))"),"#DIV/0!")</f>
        <v>#DIV/0!</v>
      </c>
      <c r="H2" s="98">
        <f>IFERROR(__xludf.DUMMYFUNCTION("AVERAGE(FILTER(IFERROR(OFFSET(Teams!$A$1,MATCH($A2,Teams!$A:$A,0),6,14),OFFSET(Teams!$K$1,MATCH($A2,Teams!$K:$K,0),6,14)),IFERROR(OFFSET(Teams!$A$1,MATCH($A2,Teams!$A:$A,0),6,14),OFFSET(Teams!$K$1,MATCH($A2,Teams!$K:$K,0),6,14))&lt;&gt;""#N/A"",IFERROR(OFFSET(T"&amp;"eams!$A$1,MATCH($A2,Teams!$A:$A,0),6,14),OFFSET(Teams!$K$1,MATCH($A2,Teams!$K:$K,0),6,14))&gt;=LARGE(FILTER(IFERROR(OFFSET(Teams!$A$1,MATCH($A2,Teams!$A:$A,0),6,14),OFFSET(Teams!$K$1,MATCH($A2,Teams!$K:$K,0),6,14)),IFERROR(OFFSET(Teams!$A$1,MATCH($A2,Teams!$"&amp;"A:$A,0),6,14),OFFSET(Teams!$K$1,MATCH($A2,Teams!$K:$K,0),6,14))&lt;&gt;""#N/A""),11)))"),0.0)</f>
        <v>0</v>
      </c>
      <c r="I2" s="99">
        <f>IFERROR(__xludf.DUMMYFUNCTION("AVERAGE(FILTER(IFERROR(OFFSET(Teams!$A$1,MATCH($A2,Teams!$A:$A,0),7,14),OFFSET(Teams!$K$1,MATCH($A2,Teams!$K:$K,0),7,14)),IFERROR(OFFSET(Teams!$A$1,MATCH($A2,Teams!$A:$A,0),7,14),OFFSET(Teams!$K$1,MATCH($A2,Teams!$K:$K,0),7,14))&lt;&gt;""#N/A"",IFERROR(OFFSET(T"&amp;"eams!$A$1,MATCH($A2,Teams!$A:$A,0),6,14),OFFSET(Teams!$K$1,MATCH($A2,Teams!$K:$K,0),6,14))&gt;=LARGE(FILTER(IFERROR(OFFSET(Teams!$A$1,MATCH($A2,Teams!$A:$A,0),6,14),OFFSET(Teams!$K$1,MATCH($A2,Teams!$K:$K,0),6,14)),IFERROR(OFFSET(Teams!$A$1,MATCH($A2,Teams!$"&amp;"A:$A,0),6,14),OFFSET(Teams!$K$1,MATCH($A2,Teams!$K:$K,0),6,14))&lt;&gt;""#N/A""),11)))"),0.0)</f>
        <v>0</v>
      </c>
      <c r="J2" s="97" t="str">
        <f t="shared" ref="J2:J17" si="1">((1-_xlfn.PERCENTRANK.INC($E$2:$E$17,$E2,2))*1.25+_xlfn.PERCENTRANK.INC($G$2:$G$17,$G2,2)*2+_xlfn.PERCENTRANK.INC($H$2:$H$17,$H2,2)*3.75+_xlfn.PERCENTRANK.INC($I$2:$I$17,$I2,2)*1.25)*100</f>
        <v>#DIV/0!</v>
      </c>
      <c r="K2" s="31">
        <f>IFERROR(__xludf.DUMMYFUNCTION("(AVERAGE(FILTER(IFERROR(OFFSET(Teams!$A$1,MATCH($A2,Teams!$A:$A,0),8,14),OFFSET(Teams!$K$1,MATCH($A2,Teams!$K:$K,0),8,14)),IFERROR(OFFSET(Teams!$A$1,MATCH($A2,Teams!$A:$A,0),8,14),OFFSET(Teams!$K$1,MATCH($A2,Teams!$K:$K,0),8,14))&lt;&gt;""#N/A"",IFERROR(OFFSET("&amp;"Teams!$A$1,MATCH($A2,Teams!$A:$A,0),8,14),OFFSET(Teams!$K$1,MATCH($A2,Teams!$K:$K,0),8,14))&gt;=LARGE(FILTER(IFERROR(OFFSET(Teams!$A$1,MATCH($A2,Teams!$A:$A,0),8,14),OFFSET(Teams!$K$1,MATCH($A2,Teams!$K:$K,0),8,14)),IFERROR(OFFSET(Teams!$A$1,MATCH($A2,Teams!"&amp;"$A:$A,0),8,14),OFFSET(Teams!$K$1,MATCH($A2,Teams!$K:$K,0),8,14))&lt;&gt;""#N/A""),5)))*3+AVERAGE(FILTER(IFERROR(OFFSET(Teams!$A$1,MATCH($A2,Teams!$A:$A,0),8,14),OFFSET(Teams!$K$1,MATCH($A2,Teams!$K:$K,0),8,14)),IFERROR(OFFSET(Teams!$A$1,MATCH($A2,Teams!$A:$A,0)"&amp;",8,14),OFFSET(Teams!$K$1,MATCH($A2,Teams!$K:$K,0),8,14))&lt;&gt;""#N/A"",IFERROR(OFFSET(Teams!$A$1,MATCH($A2,Teams!$A:$A,0),8,14),OFFSET(Teams!$K$1,MATCH($A2,Teams!$K:$K,0),8,14))&gt;=LARGE(FILTER(IFERROR(OFFSET(Teams!$A$1,MATCH($A2,Teams!$A:$A,0),8,14),OFFSET(Tea"&amp;"ms!$K$1,MATCH($A2,Teams!$K:$K,0),8,14)),IFERROR(OFFSET(Teams!$A$1,MATCH($A2,Teams!$A:$A,0),8,14),OFFSET(Teams!$K$1,MATCH($A2,Teams!$K:$K,0),8,14))&lt;&gt;""#N/A""),7)))+AVERAGE(FILTER(IFERROR(OFFSET(Teams!$A$1,MATCH($A2,Teams!$A:$A,0),8,14),OFFSET(Teams!$K$1,MA"&amp;"TCH($A2,Teams!$K:$K,0),8,14)),IFERROR(OFFSET(Teams!$A$1,MATCH($A2,Teams!$A:$A,0),8,14),OFFSET(Teams!$K$1,MATCH($A2,Teams!$K:$K,0),8,14))&lt;&gt;""#N/A"",IFERROR(OFFSET(Teams!$A$1,MATCH($A2,Teams!$A:$A,0),8,14),OFFSET(Teams!$K$1,MATCH($A2,Teams!$K:$K,0),8,14))&gt;="&amp;"LARGE(FILTER(IFERROR(OFFSET(Teams!$A$1,MATCH($A2,Teams!$A:$A,0),8,14),OFFSET(Teams!$K$1,MATCH($A2,Teams!$K:$K,0),8,14)),IFERROR(OFFSET(Teams!$A$1,MATCH($A2,Teams!$A:$A,0),8,14),OFFSET(Teams!$K$1,MATCH($A2,Teams!$K:$K,0),8,14))&lt;&gt;""#N/A""),11))))/5"),0.0)</f>
        <v>0</v>
      </c>
      <c r="L2" s="113" t="str">
        <f t="shared" ref="L2:L17" si="2">RANK(K2,$K$2:$K$17)</f>
        <v>#N/A</v>
      </c>
    </row>
    <row r="3">
      <c r="A3" s="34" t="str">
        <f>'Current Roster Score v2'!A3</f>
        <v>Brown</v>
      </c>
      <c r="B3" s="94">
        <f>COUNTIF(
IFERROR(
OFFSET(Teams!$A$1,MATCH($A3,Teams!$A:$A,0),2,11),
OFFSET(Teams!$K$1,MATCH($A3,Teams!$K:$K,0),2,11)
),CONCATENATE("*",B$1,"*")
)</f>
        <v>0</v>
      </c>
      <c r="C3" s="94">
        <f>COUNTIF(
IFERROR(
OFFSET(Teams!$A$1,MATCH($A3,Teams!$A:$A,0),2,11),
OFFSET(Teams!$K$1,MATCH($A3,Teams!$K:$K,0),2,11)
),CONCATENATE("*",C$1,"*")
)</f>
        <v>0</v>
      </c>
      <c r="D3" s="94">
        <f>COUNTIF(
IFERROR(
OFFSET(Teams!$A$1,MATCH($A3,Teams!$A:$A,0),2,11),
OFFSET(Teams!$K$1,MATCH($A3,Teams!$K:$K,0),2,11)
),CONCATENATE("*",D$1,"*")
)</f>
        <v>0</v>
      </c>
      <c r="E3" s="98" t="str">
        <f>IFERROR(__xludf.DUMMYFUNCTION("AVERAGE(FILTER(IFERROR(OFFSET(Teams!$A$1,MATCH($A3,Teams!$A:$A,0),3,14),OFFSET(Teams!$K$1,MATCH($A3,Teams!$K:$K,0),3,14)),IFERROR(OFFSET(Teams!$A$1,MATCH($A3,Teams!$A:$A,0),3,14),OFFSET(Teams!$K$1,MATCH($A3,Teams!$K:$K,0),3,14))&lt;&gt;""#N/A"",IFERROR(OFFSET(T"&amp;"eams!$A$1,MATCH($A3,Teams!$A:$A,0),6,14),OFFSET(Teams!$K$1,MATCH($A3,Teams!$K:$K,0),6,14))&gt;=LARGE(FILTER(IFERROR(OFFSET(Teams!$A$1,MATCH($A3,Teams!$A:$A,0),6,14),OFFSET(Teams!$K$1,MATCH($A3,Teams!$K:$K,0),6,14)),IFERROR(OFFSET(Teams!$A$1,MATCH($A3,Teams!$"&amp;"A:$A,0),6,14),OFFSET(Teams!$K$1,MATCH($A3,Teams!$K:$K,0),6,14))&lt;&gt;""#N/A""),11)))"),"#DIV/0!")</f>
        <v>#DIV/0!</v>
      </c>
      <c r="F3" s="96">
        <f t="array" ref="F3">SUM(1/COUNTIF(IFERROR(OFFSET(Teams!$A$1,MATCH($A3,Teams!$A:$A,0),4,11),OFFSET(Teams!$K$1,MATCH($A3,Teams!$K:$K,0),4,11)),IFERROR(OFFSET(Teams!$A$1,MATCH($A3,Teams!$A:$A,0),4,11),OFFSET(Teams!$K$1,MATCH($A3,Teams!$K:$K,0),4,11))))</f>
        <v>1</v>
      </c>
      <c r="G3" s="97" t="str">
        <f>IFERROR(__xludf.DUMMYFUNCTION("AVERAGE(FILTER(IFERROR(OFFSET(Teams!$A$1,MATCH($A3,Teams!$A:$A,0),5,14),OFFSET(Teams!$K$1,MATCH($A3,Teams!$K:$K,0),5,14)),IFERROR(OFFSET(Teams!$A$1,MATCH($A3,Teams!$A:$A,0),5,14),OFFSET(Teams!$K$1,MATCH($A3,Teams!$K:$K,0),5,14))&lt;&gt;""#N/A"",IFERROR(OFFSET(T"&amp;"eams!$A$1,MATCH($A3,Teams!$A:$A,0),6,14),OFFSET(Teams!$K$1,MATCH($A3,Teams!$K:$K,0),6,14))&gt;=LARGE(FILTER(IFERROR(OFFSET(Teams!$A$1,MATCH($A3,Teams!$A:$A,0),6,14),OFFSET(Teams!$K$1,MATCH($A3,Teams!$K:$K,0),6,14)),IFERROR(OFFSET(Teams!$A$1,MATCH($A3,Teams!$"&amp;"A:$A,0),6,14),OFFSET(Teams!$K$1,MATCH($A3,Teams!$K:$K,0),6,14))&lt;&gt;""#N/A""),11)))"),"#DIV/0!")</f>
        <v>#DIV/0!</v>
      </c>
      <c r="H3" s="98">
        <f>IFERROR(__xludf.DUMMYFUNCTION("AVERAGE(FILTER(IFERROR(OFFSET(Teams!$A$1,MATCH($A3,Teams!$A:$A,0),6,14),OFFSET(Teams!$K$1,MATCH($A3,Teams!$K:$K,0),6,14)),IFERROR(OFFSET(Teams!$A$1,MATCH($A3,Teams!$A:$A,0),6,14),OFFSET(Teams!$K$1,MATCH($A3,Teams!$K:$K,0),6,14))&lt;&gt;""#N/A"",IFERROR(OFFSET(T"&amp;"eams!$A$1,MATCH($A3,Teams!$A:$A,0),6,14),OFFSET(Teams!$K$1,MATCH($A3,Teams!$K:$K,0),6,14))&gt;=LARGE(FILTER(IFERROR(OFFSET(Teams!$A$1,MATCH($A3,Teams!$A:$A,0),6,14),OFFSET(Teams!$K$1,MATCH($A3,Teams!$K:$K,0),6,14)),IFERROR(OFFSET(Teams!$A$1,MATCH($A3,Teams!$"&amp;"A:$A,0),6,14),OFFSET(Teams!$K$1,MATCH($A3,Teams!$K:$K,0),6,14))&lt;&gt;""#N/A""),11)))"),0.0)</f>
        <v>0</v>
      </c>
      <c r="I3" s="99">
        <f>IFERROR(__xludf.DUMMYFUNCTION("AVERAGE(FILTER(IFERROR(OFFSET(Teams!$A$1,MATCH($A3,Teams!$A:$A,0),7,14),OFFSET(Teams!$K$1,MATCH($A3,Teams!$K:$K,0),7,14)),IFERROR(OFFSET(Teams!$A$1,MATCH($A3,Teams!$A:$A,0),7,14),OFFSET(Teams!$K$1,MATCH($A3,Teams!$K:$K,0),7,14))&lt;&gt;""#N/A"",IFERROR(OFFSET(T"&amp;"eams!$A$1,MATCH($A3,Teams!$A:$A,0),6,14),OFFSET(Teams!$K$1,MATCH($A3,Teams!$K:$K,0),6,14))&gt;=LARGE(FILTER(IFERROR(OFFSET(Teams!$A$1,MATCH($A3,Teams!$A:$A,0),6,14),OFFSET(Teams!$K$1,MATCH($A3,Teams!$K:$K,0),6,14)),IFERROR(OFFSET(Teams!$A$1,MATCH($A3,Teams!$"&amp;"A:$A,0),6,14),OFFSET(Teams!$K$1,MATCH($A3,Teams!$K:$K,0),6,14))&lt;&gt;""#N/A""),11)))"),0.0)</f>
        <v>0</v>
      </c>
      <c r="J3" s="97" t="str">
        <f t="shared" si="1"/>
        <v>#DIV/0!</v>
      </c>
      <c r="K3" s="31">
        <f>IFERROR(__xludf.DUMMYFUNCTION("(AVERAGE(FILTER(IFERROR(OFFSET(Teams!$A$1,MATCH($A3,Teams!$A:$A,0),8,14),OFFSET(Teams!$K$1,MATCH($A3,Teams!$K:$K,0),8,14)),IFERROR(OFFSET(Teams!$A$1,MATCH($A3,Teams!$A:$A,0),8,14),OFFSET(Teams!$K$1,MATCH($A3,Teams!$K:$K,0),8,14))&lt;&gt;""#N/A"",IFERROR(OFFSET("&amp;"Teams!$A$1,MATCH($A3,Teams!$A:$A,0),8,14),OFFSET(Teams!$K$1,MATCH($A3,Teams!$K:$K,0),8,14))&gt;=LARGE(FILTER(IFERROR(OFFSET(Teams!$A$1,MATCH($A3,Teams!$A:$A,0),8,14),OFFSET(Teams!$K$1,MATCH($A3,Teams!$K:$K,0),8,14)),IFERROR(OFFSET(Teams!$A$1,MATCH($A3,Teams!"&amp;"$A:$A,0),8,14),OFFSET(Teams!$K$1,MATCH($A3,Teams!$K:$K,0),8,14))&lt;&gt;""#N/A""),5)))*3+AVERAGE(FILTER(IFERROR(OFFSET(Teams!$A$1,MATCH($A3,Teams!$A:$A,0),8,14),OFFSET(Teams!$K$1,MATCH($A3,Teams!$K:$K,0),8,14)),IFERROR(OFFSET(Teams!$A$1,MATCH($A3,Teams!$A:$A,0)"&amp;",8,14),OFFSET(Teams!$K$1,MATCH($A3,Teams!$K:$K,0),8,14))&lt;&gt;""#N/A"",IFERROR(OFFSET(Teams!$A$1,MATCH($A3,Teams!$A:$A,0),8,14),OFFSET(Teams!$K$1,MATCH($A3,Teams!$K:$K,0),8,14))&gt;=LARGE(FILTER(IFERROR(OFFSET(Teams!$A$1,MATCH($A3,Teams!$A:$A,0),8,14),OFFSET(Tea"&amp;"ms!$K$1,MATCH($A3,Teams!$K:$K,0),8,14)),IFERROR(OFFSET(Teams!$A$1,MATCH($A3,Teams!$A:$A,0),8,14),OFFSET(Teams!$K$1,MATCH($A3,Teams!$K:$K,0),8,14))&lt;&gt;""#N/A""),7)))+AVERAGE(FILTER(IFERROR(OFFSET(Teams!$A$1,MATCH($A3,Teams!$A:$A,0),8,14),OFFSET(Teams!$K$1,MA"&amp;"TCH($A3,Teams!$K:$K,0),8,14)),IFERROR(OFFSET(Teams!$A$1,MATCH($A3,Teams!$A:$A,0),8,14),OFFSET(Teams!$K$1,MATCH($A3,Teams!$K:$K,0),8,14))&lt;&gt;""#N/A"",IFERROR(OFFSET(Teams!$A$1,MATCH($A3,Teams!$A:$A,0),8,14),OFFSET(Teams!$K$1,MATCH($A3,Teams!$K:$K,0),8,14))&gt;="&amp;"LARGE(FILTER(IFERROR(OFFSET(Teams!$A$1,MATCH($A3,Teams!$A:$A,0),8,14),OFFSET(Teams!$K$1,MATCH($A3,Teams!$K:$K,0),8,14)),IFERROR(OFFSET(Teams!$A$1,MATCH($A3,Teams!$A:$A,0),8,14),OFFSET(Teams!$K$1,MATCH($A3,Teams!$K:$K,0),8,14))&lt;&gt;""#N/A""),11))))/5"),0.0)</f>
        <v>0</v>
      </c>
      <c r="L3" s="113" t="str">
        <f t="shared" si="2"/>
        <v>#N/A</v>
      </c>
    </row>
    <row r="4">
      <c r="A4" s="34" t="str">
        <f>'Current Roster Score v2'!A4</f>
        <v>Bolick</v>
      </c>
      <c r="B4" s="94">
        <f>COUNTIF(
IFERROR(
OFFSET(Teams!$A$1,MATCH($A4,Teams!$A:$A,0),2,11),
OFFSET(Teams!$K$1,MATCH($A4,Teams!$K:$K,0),2,11)
),CONCATENATE("*",B$1,"*")
)</f>
        <v>0</v>
      </c>
      <c r="C4" s="94">
        <f>COUNTIF(
IFERROR(
OFFSET(Teams!$A$1,MATCH($A4,Teams!$A:$A,0),2,11),
OFFSET(Teams!$K$1,MATCH($A4,Teams!$K:$K,0),2,11)
),CONCATENATE("*",C$1,"*")
)</f>
        <v>0</v>
      </c>
      <c r="D4" s="94">
        <f>COUNTIF(
IFERROR(
OFFSET(Teams!$A$1,MATCH($A4,Teams!$A:$A,0),2,11),
OFFSET(Teams!$K$1,MATCH($A4,Teams!$K:$K,0),2,11)
),CONCATENATE("*",D$1,"*")
)</f>
        <v>0</v>
      </c>
      <c r="E4" s="98" t="str">
        <f>IFERROR(__xludf.DUMMYFUNCTION("AVERAGE(FILTER(IFERROR(OFFSET(Teams!$A$1,MATCH($A4,Teams!$A:$A,0),3,14),OFFSET(Teams!$K$1,MATCH($A4,Teams!$K:$K,0),3,14)),IFERROR(OFFSET(Teams!$A$1,MATCH($A4,Teams!$A:$A,0),3,14),OFFSET(Teams!$K$1,MATCH($A4,Teams!$K:$K,0),3,14))&lt;&gt;""#N/A"",IFERROR(OFFSET(T"&amp;"eams!$A$1,MATCH($A4,Teams!$A:$A,0),6,14),OFFSET(Teams!$K$1,MATCH($A4,Teams!$K:$K,0),6,14))&gt;=LARGE(FILTER(IFERROR(OFFSET(Teams!$A$1,MATCH($A4,Teams!$A:$A,0),6,14),OFFSET(Teams!$K$1,MATCH($A4,Teams!$K:$K,0),6,14)),IFERROR(OFFSET(Teams!$A$1,MATCH($A4,Teams!$"&amp;"A:$A,0),6,14),OFFSET(Teams!$K$1,MATCH($A4,Teams!$K:$K,0),6,14))&lt;&gt;""#N/A""),11)))"),"#DIV/0!")</f>
        <v>#DIV/0!</v>
      </c>
      <c r="F4" s="96">
        <f t="array" ref="F4">SUM(1/COUNTIF(IFERROR(OFFSET(Teams!$A$1,MATCH($A4,Teams!$A:$A,0),4,11),OFFSET(Teams!$K$1,MATCH($A4,Teams!$K:$K,0),4,11)),IFERROR(OFFSET(Teams!$A$1,MATCH($A4,Teams!$A:$A,0),4,11),OFFSET(Teams!$K$1,MATCH($A4,Teams!$K:$K,0),4,11))))</f>
        <v>1</v>
      </c>
      <c r="G4" s="97" t="str">
        <f>IFERROR(__xludf.DUMMYFUNCTION("AVERAGE(FILTER(IFERROR(OFFSET(Teams!$A$1,MATCH($A4,Teams!$A:$A,0),5,14),OFFSET(Teams!$K$1,MATCH($A4,Teams!$K:$K,0),5,14)),IFERROR(OFFSET(Teams!$A$1,MATCH($A4,Teams!$A:$A,0),5,14),OFFSET(Teams!$K$1,MATCH($A4,Teams!$K:$K,0),5,14))&lt;&gt;""#N/A"",IFERROR(OFFSET(T"&amp;"eams!$A$1,MATCH($A4,Teams!$A:$A,0),6,14),OFFSET(Teams!$K$1,MATCH($A4,Teams!$K:$K,0),6,14))&gt;=LARGE(FILTER(IFERROR(OFFSET(Teams!$A$1,MATCH($A4,Teams!$A:$A,0),6,14),OFFSET(Teams!$K$1,MATCH($A4,Teams!$K:$K,0),6,14)),IFERROR(OFFSET(Teams!$A$1,MATCH($A4,Teams!$"&amp;"A:$A,0),6,14),OFFSET(Teams!$K$1,MATCH($A4,Teams!$K:$K,0),6,14))&lt;&gt;""#N/A""),11)))"),"#DIV/0!")</f>
        <v>#DIV/0!</v>
      </c>
      <c r="H4" s="98">
        <f>IFERROR(__xludf.DUMMYFUNCTION("AVERAGE(FILTER(IFERROR(OFFSET(Teams!$A$1,MATCH($A4,Teams!$A:$A,0),6,14),OFFSET(Teams!$K$1,MATCH($A4,Teams!$K:$K,0),6,14)),IFERROR(OFFSET(Teams!$A$1,MATCH($A4,Teams!$A:$A,0),6,14),OFFSET(Teams!$K$1,MATCH($A4,Teams!$K:$K,0),6,14))&lt;&gt;""#N/A"",IFERROR(OFFSET(T"&amp;"eams!$A$1,MATCH($A4,Teams!$A:$A,0),6,14),OFFSET(Teams!$K$1,MATCH($A4,Teams!$K:$K,0),6,14))&gt;=LARGE(FILTER(IFERROR(OFFSET(Teams!$A$1,MATCH($A4,Teams!$A:$A,0),6,14),OFFSET(Teams!$K$1,MATCH($A4,Teams!$K:$K,0),6,14)),IFERROR(OFFSET(Teams!$A$1,MATCH($A4,Teams!$"&amp;"A:$A,0),6,14),OFFSET(Teams!$K$1,MATCH($A4,Teams!$K:$K,0),6,14))&lt;&gt;""#N/A""),11)))"),0.0)</f>
        <v>0</v>
      </c>
      <c r="I4" s="99">
        <f>IFERROR(__xludf.DUMMYFUNCTION("AVERAGE(FILTER(IFERROR(OFFSET(Teams!$A$1,MATCH($A4,Teams!$A:$A,0),7,14),OFFSET(Teams!$K$1,MATCH($A4,Teams!$K:$K,0),7,14)),IFERROR(OFFSET(Teams!$A$1,MATCH($A4,Teams!$A:$A,0),7,14),OFFSET(Teams!$K$1,MATCH($A4,Teams!$K:$K,0),7,14))&lt;&gt;""#N/A"",IFERROR(OFFSET(T"&amp;"eams!$A$1,MATCH($A4,Teams!$A:$A,0),6,14),OFFSET(Teams!$K$1,MATCH($A4,Teams!$K:$K,0),6,14))&gt;=LARGE(FILTER(IFERROR(OFFSET(Teams!$A$1,MATCH($A4,Teams!$A:$A,0),6,14),OFFSET(Teams!$K$1,MATCH($A4,Teams!$K:$K,0),6,14)),IFERROR(OFFSET(Teams!$A$1,MATCH($A4,Teams!$"&amp;"A:$A,0),6,14),OFFSET(Teams!$K$1,MATCH($A4,Teams!$K:$K,0),6,14))&lt;&gt;""#N/A""),11)))"),0.0)</f>
        <v>0</v>
      </c>
      <c r="J4" s="97" t="str">
        <f t="shared" si="1"/>
        <v>#DIV/0!</v>
      </c>
      <c r="K4" s="31">
        <f>IFERROR(__xludf.DUMMYFUNCTION("(AVERAGE(FILTER(IFERROR(OFFSET(Teams!$A$1,MATCH($A4,Teams!$A:$A,0),8,14),OFFSET(Teams!$K$1,MATCH($A4,Teams!$K:$K,0),8,14)),IFERROR(OFFSET(Teams!$A$1,MATCH($A4,Teams!$A:$A,0),8,14),OFFSET(Teams!$K$1,MATCH($A4,Teams!$K:$K,0),8,14))&lt;&gt;""#N/A"",IFERROR(OFFSET("&amp;"Teams!$A$1,MATCH($A4,Teams!$A:$A,0),8,14),OFFSET(Teams!$K$1,MATCH($A4,Teams!$K:$K,0),8,14))&gt;=LARGE(FILTER(IFERROR(OFFSET(Teams!$A$1,MATCH($A4,Teams!$A:$A,0),8,14),OFFSET(Teams!$K$1,MATCH($A4,Teams!$K:$K,0),8,14)),IFERROR(OFFSET(Teams!$A$1,MATCH($A4,Teams!"&amp;"$A:$A,0),8,14),OFFSET(Teams!$K$1,MATCH($A4,Teams!$K:$K,0),8,14))&lt;&gt;""#N/A""),5)))*3+AVERAGE(FILTER(IFERROR(OFFSET(Teams!$A$1,MATCH($A4,Teams!$A:$A,0),8,14),OFFSET(Teams!$K$1,MATCH($A4,Teams!$K:$K,0),8,14)),IFERROR(OFFSET(Teams!$A$1,MATCH($A4,Teams!$A:$A,0)"&amp;",8,14),OFFSET(Teams!$K$1,MATCH($A4,Teams!$K:$K,0),8,14))&lt;&gt;""#N/A"",IFERROR(OFFSET(Teams!$A$1,MATCH($A4,Teams!$A:$A,0),8,14),OFFSET(Teams!$K$1,MATCH($A4,Teams!$K:$K,0),8,14))&gt;=LARGE(FILTER(IFERROR(OFFSET(Teams!$A$1,MATCH($A4,Teams!$A:$A,0),8,14),OFFSET(Tea"&amp;"ms!$K$1,MATCH($A4,Teams!$K:$K,0),8,14)),IFERROR(OFFSET(Teams!$A$1,MATCH($A4,Teams!$A:$A,0),8,14),OFFSET(Teams!$K$1,MATCH($A4,Teams!$K:$K,0),8,14))&lt;&gt;""#N/A""),7)))+AVERAGE(FILTER(IFERROR(OFFSET(Teams!$A$1,MATCH($A4,Teams!$A:$A,0),8,14),OFFSET(Teams!$K$1,MA"&amp;"TCH($A4,Teams!$K:$K,0),8,14)),IFERROR(OFFSET(Teams!$A$1,MATCH($A4,Teams!$A:$A,0),8,14),OFFSET(Teams!$K$1,MATCH($A4,Teams!$K:$K,0),8,14))&lt;&gt;""#N/A"",IFERROR(OFFSET(Teams!$A$1,MATCH($A4,Teams!$A:$A,0),8,14),OFFSET(Teams!$K$1,MATCH($A4,Teams!$K:$K,0),8,14))&gt;="&amp;"LARGE(FILTER(IFERROR(OFFSET(Teams!$A$1,MATCH($A4,Teams!$A:$A,0),8,14),OFFSET(Teams!$K$1,MATCH($A4,Teams!$K:$K,0),8,14)),IFERROR(OFFSET(Teams!$A$1,MATCH($A4,Teams!$A:$A,0),8,14),OFFSET(Teams!$K$1,MATCH($A4,Teams!$K:$K,0),8,14))&lt;&gt;""#N/A""),11))))/5"),0.0)</f>
        <v>0</v>
      </c>
      <c r="L4" s="113" t="str">
        <f t="shared" si="2"/>
        <v>#N/A</v>
      </c>
    </row>
    <row r="5">
      <c r="A5" s="34" t="str">
        <f>'Current Roster Score v2'!A5</f>
        <v>Dean</v>
      </c>
      <c r="B5" s="94">
        <f>COUNTIF(
IFERROR(
OFFSET(Teams!$A$1,MATCH($A5,Teams!$A:$A,0),2,11),
OFFSET(Teams!$K$1,MATCH($A5,Teams!$K:$K,0),2,11)
),CONCATENATE("*",B$1,"*")
)</f>
        <v>0</v>
      </c>
      <c r="C5" s="94">
        <f>COUNTIF(
IFERROR(
OFFSET(Teams!$A$1,MATCH($A5,Teams!$A:$A,0),2,11),
OFFSET(Teams!$K$1,MATCH($A5,Teams!$K:$K,0),2,11)
),CONCATENATE("*",C$1,"*")
)</f>
        <v>0</v>
      </c>
      <c r="D5" s="94">
        <f>COUNTIF(
IFERROR(
OFFSET(Teams!$A$1,MATCH($A5,Teams!$A:$A,0),2,11),
OFFSET(Teams!$K$1,MATCH($A5,Teams!$K:$K,0),2,11)
),CONCATENATE("*",D$1,"*")
)</f>
        <v>0</v>
      </c>
      <c r="E5" s="98" t="str">
        <f>IFERROR(__xludf.DUMMYFUNCTION("AVERAGE(FILTER(IFERROR(OFFSET(Teams!$A$1,MATCH($A5,Teams!$A:$A,0),3,14),OFFSET(Teams!$K$1,MATCH($A5,Teams!$K:$K,0),3,14)),IFERROR(OFFSET(Teams!$A$1,MATCH($A5,Teams!$A:$A,0),3,14),OFFSET(Teams!$K$1,MATCH($A5,Teams!$K:$K,0),3,14))&lt;&gt;""#N/A"",IFERROR(OFFSET(T"&amp;"eams!$A$1,MATCH($A5,Teams!$A:$A,0),6,14),OFFSET(Teams!$K$1,MATCH($A5,Teams!$K:$K,0),6,14))&gt;=LARGE(FILTER(IFERROR(OFFSET(Teams!$A$1,MATCH($A5,Teams!$A:$A,0),6,14),OFFSET(Teams!$K$1,MATCH($A5,Teams!$K:$K,0),6,14)),IFERROR(OFFSET(Teams!$A$1,MATCH($A5,Teams!$"&amp;"A:$A,0),6,14),OFFSET(Teams!$K$1,MATCH($A5,Teams!$K:$K,0),6,14))&lt;&gt;""#N/A""),11)))"),"#DIV/0!")</f>
        <v>#DIV/0!</v>
      </c>
      <c r="F5" s="96">
        <f t="array" ref="F5">SUM(1/COUNTIF(IFERROR(OFFSET(Teams!$A$1,MATCH($A5,Teams!$A:$A,0),4,11),OFFSET(Teams!$K$1,MATCH($A5,Teams!$K:$K,0),4,11)),IFERROR(OFFSET(Teams!$A$1,MATCH($A5,Teams!$A:$A,0),4,11),OFFSET(Teams!$K$1,MATCH($A5,Teams!$K:$K,0),4,11))))</f>
        <v>1</v>
      </c>
      <c r="G5" s="97" t="str">
        <f>IFERROR(__xludf.DUMMYFUNCTION("AVERAGE(FILTER(IFERROR(OFFSET(Teams!$A$1,MATCH($A5,Teams!$A:$A,0),5,14),OFFSET(Teams!$K$1,MATCH($A5,Teams!$K:$K,0),5,14)),IFERROR(OFFSET(Teams!$A$1,MATCH($A5,Teams!$A:$A,0),5,14),OFFSET(Teams!$K$1,MATCH($A5,Teams!$K:$K,0),5,14))&lt;&gt;""#N/A"",IFERROR(OFFSET(T"&amp;"eams!$A$1,MATCH($A5,Teams!$A:$A,0),6,14),OFFSET(Teams!$K$1,MATCH($A5,Teams!$K:$K,0),6,14))&gt;=LARGE(FILTER(IFERROR(OFFSET(Teams!$A$1,MATCH($A5,Teams!$A:$A,0),6,14),OFFSET(Teams!$K$1,MATCH($A5,Teams!$K:$K,0),6,14)),IFERROR(OFFSET(Teams!$A$1,MATCH($A5,Teams!$"&amp;"A:$A,0),6,14),OFFSET(Teams!$K$1,MATCH($A5,Teams!$K:$K,0),6,14))&lt;&gt;""#N/A""),11)))"),"#DIV/0!")</f>
        <v>#DIV/0!</v>
      </c>
      <c r="H5" s="98">
        <f>IFERROR(__xludf.DUMMYFUNCTION("AVERAGE(FILTER(IFERROR(OFFSET(Teams!$A$1,MATCH($A5,Teams!$A:$A,0),6,14),OFFSET(Teams!$K$1,MATCH($A5,Teams!$K:$K,0),6,14)),IFERROR(OFFSET(Teams!$A$1,MATCH($A5,Teams!$A:$A,0),6,14),OFFSET(Teams!$K$1,MATCH($A5,Teams!$K:$K,0),6,14))&lt;&gt;""#N/A"",IFERROR(OFFSET(T"&amp;"eams!$A$1,MATCH($A5,Teams!$A:$A,0),6,14),OFFSET(Teams!$K$1,MATCH($A5,Teams!$K:$K,0),6,14))&gt;=LARGE(FILTER(IFERROR(OFFSET(Teams!$A$1,MATCH($A5,Teams!$A:$A,0),6,14),OFFSET(Teams!$K$1,MATCH($A5,Teams!$K:$K,0),6,14)),IFERROR(OFFSET(Teams!$A$1,MATCH($A5,Teams!$"&amp;"A:$A,0),6,14),OFFSET(Teams!$K$1,MATCH($A5,Teams!$K:$K,0),6,14))&lt;&gt;""#N/A""),11)))"),0.0)</f>
        <v>0</v>
      </c>
      <c r="I5" s="99">
        <f>IFERROR(__xludf.DUMMYFUNCTION("AVERAGE(FILTER(IFERROR(OFFSET(Teams!$A$1,MATCH($A5,Teams!$A:$A,0),7,14),OFFSET(Teams!$K$1,MATCH($A5,Teams!$K:$K,0),7,14)),IFERROR(OFFSET(Teams!$A$1,MATCH($A5,Teams!$A:$A,0),7,14),OFFSET(Teams!$K$1,MATCH($A5,Teams!$K:$K,0),7,14))&lt;&gt;""#N/A"",IFERROR(OFFSET(T"&amp;"eams!$A$1,MATCH($A5,Teams!$A:$A,0),6,14),OFFSET(Teams!$K$1,MATCH($A5,Teams!$K:$K,0),6,14))&gt;=LARGE(FILTER(IFERROR(OFFSET(Teams!$A$1,MATCH($A5,Teams!$A:$A,0),6,14),OFFSET(Teams!$K$1,MATCH($A5,Teams!$K:$K,0),6,14)),IFERROR(OFFSET(Teams!$A$1,MATCH($A5,Teams!$"&amp;"A:$A,0),6,14),OFFSET(Teams!$K$1,MATCH($A5,Teams!$K:$K,0),6,14))&lt;&gt;""#N/A""),11)))"),0.0)</f>
        <v>0</v>
      </c>
      <c r="J5" s="97" t="str">
        <f t="shared" si="1"/>
        <v>#DIV/0!</v>
      </c>
      <c r="K5" s="31">
        <f>IFERROR(__xludf.DUMMYFUNCTION("(AVERAGE(FILTER(IFERROR(OFFSET(Teams!$A$1,MATCH($A5,Teams!$A:$A,0),8,14),OFFSET(Teams!$K$1,MATCH($A5,Teams!$K:$K,0),8,14)),IFERROR(OFFSET(Teams!$A$1,MATCH($A5,Teams!$A:$A,0),8,14),OFFSET(Teams!$K$1,MATCH($A5,Teams!$K:$K,0),8,14))&lt;&gt;""#N/A"",IFERROR(OFFSET("&amp;"Teams!$A$1,MATCH($A5,Teams!$A:$A,0),8,14),OFFSET(Teams!$K$1,MATCH($A5,Teams!$K:$K,0),8,14))&gt;=LARGE(FILTER(IFERROR(OFFSET(Teams!$A$1,MATCH($A5,Teams!$A:$A,0),8,14),OFFSET(Teams!$K$1,MATCH($A5,Teams!$K:$K,0),8,14)),IFERROR(OFFSET(Teams!$A$1,MATCH($A5,Teams!"&amp;"$A:$A,0),8,14),OFFSET(Teams!$K$1,MATCH($A5,Teams!$K:$K,0),8,14))&lt;&gt;""#N/A""),5)))*3+AVERAGE(FILTER(IFERROR(OFFSET(Teams!$A$1,MATCH($A5,Teams!$A:$A,0),8,14),OFFSET(Teams!$K$1,MATCH($A5,Teams!$K:$K,0),8,14)),IFERROR(OFFSET(Teams!$A$1,MATCH($A5,Teams!$A:$A,0)"&amp;",8,14),OFFSET(Teams!$K$1,MATCH($A5,Teams!$K:$K,0),8,14))&lt;&gt;""#N/A"",IFERROR(OFFSET(Teams!$A$1,MATCH($A5,Teams!$A:$A,0),8,14),OFFSET(Teams!$K$1,MATCH($A5,Teams!$K:$K,0),8,14))&gt;=LARGE(FILTER(IFERROR(OFFSET(Teams!$A$1,MATCH($A5,Teams!$A:$A,0),8,14),OFFSET(Tea"&amp;"ms!$K$1,MATCH($A5,Teams!$K:$K,0),8,14)),IFERROR(OFFSET(Teams!$A$1,MATCH($A5,Teams!$A:$A,0),8,14),OFFSET(Teams!$K$1,MATCH($A5,Teams!$K:$K,0),8,14))&lt;&gt;""#N/A""),7)))+AVERAGE(FILTER(IFERROR(OFFSET(Teams!$A$1,MATCH($A5,Teams!$A:$A,0),8,14),OFFSET(Teams!$K$1,MA"&amp;"TCH($A5,Teams!$K:$K,0),8,14)),IFERROR(OFFSET(Teams!$A$1,MATCH($A5,Teams!$A:$A,0),8,14),OFFSET(Teams!$K$1,MATCH($A5,Teams!$K:$K,0),8,14))&lt;&gt;""#N/A"",IFERROR(OFFSET(Teams!$A$1,MATCH($A5,Teams!$A:$A,0),8,14),OFFSET(Teams!$K$1,MATCH($A5,Teams!$K:$K,0),8,14))&gt;="&amp;"LARGE(FILTER(IFERROR(OFFSET(Teams!$A$1,MATCH($A5,Teams!$A:$A,0),8,14),OFFSET(Teams!$K$1,MATCH($A5,Teams!$K:$K,0),8,14)),IFERROR(OFFSET(Teams!$A$1,MATCH($A5,Teams!$A:$A,0),8,14),OFFSET(Teams!$K$1,MATCH($A5,Teams!$K:$K,0),8,14))&lt;&gt;""#N/A""),11))))/5"),0.0)</f>
        <v>0</v>
      </c>
      <c r="L5" s="113" t="str">
        <f t="shared" si="2"/>
        <v>#N/A</v>
      </c>
    </row>
    <row r="6">
      <c r="A6" s="34" t="str">
        <f>'Current Roster Score v2'!A6</f>
        <v>Farley</v>
      </c>
      <c r="B6" s="94">
        <f>COUNTIF(
IFERROR(
OFFSET(Teams!$A$1,MATCH($A6,Teams!$A:$A,0),2,11),
OFFSET(Teams!$K$1,MATCH($A6,Teams!$K:$K,0),2,11)
),CONCATENATE("*",B$1,"*")
)</f>
        <v>0</v>
      </c>
      <c r="C6" s="94">
        <f>COUNTIF(
IFERROR(
OFFSET(Teams!$A$1,MATCH($A6,Teams!$A:$A,0),2,11),
OFFSET(Teams!$K$1,MATCH($A6,Teams!$K:$K,0),2,11)
),CONCATENATE("*",C$1,"*")
)</f>
        <v>0</v>
      </c>
      <c r="D6" s="94">
        <f>COUNTIF(
IFERROR(
OFFSET(Teams!$A$1,MATCH($A6,Teams!$A:$A,0),2,11),
OFFSET(Teams!$K$1,MATCH($A6,Teams!$K:$K,0),2,11)
),CONCATENATE("*",D$1,"*")
)</f>
        <v>0</v>
      </c>
      <c r="E6" s="98" t="str">
        <f>IFERROR(__xludf.DUMMYFUNCTION("AVERAGE(FILTER(IFERROR(OFFSET(Teams!$A$1,MATCH($A6,Teams!$A:$A,0),3,14),OFFSET(Teams!$K$1,MATCH($A6,Teams!$K:$K,0),3,14)),IFERROR(OFFSET(Teams!$A$1,MATCH($A6,Teams!$A:$A,0),3,14),OFFSET(Teams!$K$1,MATCH($A6,Teams!$K:$K,0),3,14))&lt;&gt;""#N/A"",IFERROR(OFFSET(T"&amp;"eams!$A$1,MATCH($A6,Teams!$A:$A,0),6,14),OFFSET(Teams!$K$1,MATCH($A6,Teams!$K:$K,0),6,14))&gt;=LARGE(FILTER(IFERROR(OFFSET(Teams!$A$1,MATCH($A6,Teams!$A:$A,0),6,14),OFFSET(Teams!$K$1,MATCH($A6,Teams!$K:$K,0),6,14)),IFERROR(OFFSET(Teams!$A$1,MATCH($A6,Teams!$"&amp;"A:$A,0),6,14),OFFSET(Teams!$K$1,MATCH($A6,Teams!$K:$K,0),6,14))&lt;&gt;""#N/A""),11)))"),"#DIV/0!")</f>
        <v>#DIV/0!</v>
      </c>
      <c r="F6" s="96">
        <f t="array" ref="F6">SUM(1/COUNTIF(IFERROR(OFFSET(Teams!$A$1,MATCH($A6,Teams!$A:$A,0),4,11),OFFSET(Teams!$K$1,MATCH($A6,Teams!$K:$K,0),4,11)),IFERROR(OFFSET(Teams!$A$1,MATCH($A6,Teams!$A:$A,0),4,11),OFFSET(Teams!$K$1,MATCH($A6,Teams!$K:$K,0),4,11))))</f>
        <v>1</v>
      </c>
      <c r="G6" s="97" t="str">
        <f>IFERROR(__xludf.DUMMYFUNCTION("AVERAGE(FILTER(IFERROR(OFFSET(Teams!$A$1,MATCH($A6,Teams!$A:$A,0),5,14),OFFSET(Teams!$K$1,MATCH($A6,Teams!$K:$K,0),5,14)),IFERROR(OFFSET(Teams!$A$1,MATCH($A6,Teams!$A:$A,0),5,14),OFFSET(Teams!$K$1,MATCH($A6,Teams!$K:$K,0),5,14))&lt;&gt;""#N/A"",IFERROR(OFFSET(T"&amp;"eams!$A$1,MATCH($A6,Teams!$A:$A,0),6,14),OFFSET(Teams!$K$1,MATCH($A6,Teams!$K:$K,0),6,14))&gt;=LARGE(FILTER(IFERROR(OFFSET(Teams!$A$1,MATCH($A6,Teams!$A:$A,0),6,14),OFFSET(Teams!$K$1,MATCH($A6,Teams!$K:$K,0),6,14)),IFERROR(OFFSET(Teams!$A$1,MATCH($A6,Teams!$"&amp;"A:$A,0),6,14),OFFSET(Teams!$K$1,MATCH($A6,Teams!$K:$K,0),6,14))&lt;&gt;""#N/A""),11)))"),"#DIV/0!")</f>
        <v>#DIV/0!</v>
      </c>
      <c r="H6" s="98">
        <f>IFERROR(__xludf.DUMMYFUNCTION("AVERAGE(FILTER(IFERROR(OFFSET(Teams!$A$1,MATCH($A6,Teams!$A:$A,0),6,14),OFFSET(Teams!$K$1,MATCH($A6,Teams!$K:$K,0),6,14)),IFERROR(OFFSET(Teams!$A$1,MATCH($A6,Teams!$A:$A,0),6,14),OFFSET(Teams!$K$1,MATCH($A6,Teams!$K:$K,0),6,14))&lt;&gt;""#N/A"",IFERROR(OFFSET(T"&amp;"eams!$A$1,MATCH($A6,Teams!$A:$A,0),6,14),OFFSET(Teams!$K$1,MATCH($A6,Teams!$K:$K,0),6,14))&gt;=LARGE(FILTER(IFERROR(OFFSET(Teams!$A$1,MATCH($A6,Teams!$A:$A,0),6,14),OFFSET(Teams!$K$1,MATCH($A6,Teams!$K:$K,0),6,14)),IFERROR(OFFSET(Teams!$A$1,MATCH($A6,Teams!$"&amp;"A:$A,0),6,14),OFFSET(Teams!$K$1,MATCH($A6,Teams!$K:$K,0),6,14))&lt;&gt;""#N/A""),11)))"),0.0)</f>
        <v>0</v>
      </c>
      <c r="I6" s="99">
        <f>IFERROR(__xludf.DUMMYFUNCTION("AVERAGE(FILTER(IFERROR(OFFSET(Teams!$A$1,MATCH($A6,Teams!$A:$A,0),7,14),OFFSET(Teams!$K$1,MATCH($A6,Teams!$K:$K,0),7,14)),IFERROR(OFFSET(Teams!$A$1,MATCH($A6,Teams!$A:$A,0),7,14),OFFSET(Teams!$K$1,MATCH($A6,Teams!$K:$K,0),7,14))&lt;&gt;""#N/A"",IFERROR(OFFSET(T"&amp;"eams!$A$1,MATCH($A6,Teams!$A:$A,0),6,14),OFFSET(Teams!$K$1,MATCH($A6,Teams!$K:$K,0),6,14))&gt;=LARGE(FILTER(IFERROR(OFFSET(Teams!$A$1,MATCH($A6,Teams!$A:$A,0),6,14),OFFSET(Teams!$K$1,MATCH($A6,Teams!$K:$K,0),6,14)),IFERROR(OFFSET(Teams!$A$1,MATCH($A6,Teams!$"&amp;"A:$A,0),6,14),OFFSET(Teams!$K$1,MATCH($A6,Teams!$K:$K,0),6,14))&lt;&gt;""#N/A""),11)))"),0.0)</f>
        <v>0</v>
      </c>
      <c r="J6" s="97" t="str">
        <f t="shared" si="1"/>
        <v>#DIV/0!</v>
      </c>
      <c r="K6" s="31">
        <f>IFERROR(__xludf.DUMMYFUNCTION("(AVERAGE(FILTER(IFERROR(OFFSET(Teams!$A$1,MATCH($A6,Teams!$A:$A,0),8,14),OFFSET(Teams!$K$1,MATCH($A6,Teams!$K:$K,0),8,14)),IFERROR(OFFSET(Teams!$A$1,MATCH($A6,Teams!$A:$A,0),8,14),OFFSET(Teams!$K$1,MATCH($A6,Teams!$K:$K,0),8,14))&lt;&gt;""#N/A"",IFERROR(OFFSET("&amp;"Teams!$A$1,MATCH($A6,Teams!$A:$A,0),8,14),OFFSET(Teams!$K$1,MATCH($A6,Teams!$K:$K,0),8,14))&gt;=LARGE(FILTER(IFERROR(OFFSET(Teams!$A$1,MATCH($A6,Teams!$A:$A,0),8,14),OFFSET(Teams!$K$1,MATCH($A6,Teams!$K:$K,0),8,14)),IFERROR(OFFSET(Teams!$A$1,MATCH($A6,Teams!"&amp;"$A:$A,0),8,14),OFFSET(Teams!$K$1,MATCH($A6,Teams!$K:$K,0),8,14))&lt;&gt;""#N/A""),5)))*3+AVERAGE(FILTER(IFERROR(OFFSET(Teams!$A$1,MATCH($A6,Teams!$A:$A,0),8,14),OFFSET(Teams!$K$1,MATCH($A6,Teams!$K:$K,0),8,14)),IFERROR(OFFSET(Teams!$A$1,MATCH($A6,Teams!$A:$A,0)"&amp;",8,14),OFFSET(Teams!$K$1,MATCH($A6,Teams!$K:$K,0),8,14))&lt;&gt;""#N/A"",IFERROR(OFFSET(Teams!$A$1,MATCH($A6,Teams!$A:$A,0),8,14),OFFSET(Teams!$K$1,MATCH($A6,Teams!$K:$K,0),8,14))&gt;=LARGE(FILTER(IFERROR(OFFSET(Teams!$A$1,MATCH($A6,Teams!$A:$A,0),8,14),OFFSET(Tea"&amp;"ms!$K$1,MATCH($A6,Teams!$K:$K,0),8,14)),IFERROR(OFFSET(Teams!$A$1,MATCH($A6,Teams!$A:$A,0),8,14),OFFSET(Teams!$K$1,MATCH($A6,Teams!$K:$K,0),8,14))&lt;&gt;""#N/A""),7)))+AVERAGE(FILTER(IFERROR(OFFSET(Teams!$A$1,MATCH($A6,Teams!$A:$A,0),8,14),OFFSET(Teams!$K$1,MA"&amp;"TCH($A6,Teams!$K:$K,0),8,14)),IFERROR(OFFSET(Teams!$A$1,MATCH($A6,Teams!$A:$A,0),8,14),OFFSET(Teams!$K$1,MATCH($A6,Teams!$K:$K,0),8,14))&lt;&gt;""#N/A"",IFERROR(OFFSET(Teams!$A$1,MATCH($A6,Teams!$A:$A,0),8,14),OFFSET(Teams!$K$1,MATCH($A6,Teams!$K:$K,0),8,14))&gt;="&amp;"LARGE(FILTER(IFERROR(OFFSET(Teams!$A$1,MATCH($A6,Teams!$A:$A,0),8,14),OFFSET(Teams!$K$1,MATCH($A6,Teams!$K:$K,0),8,14)),IFERROR(OFFSET(Teams!$A$1,MATCH($A6,Teams!$A:$A,0),8,14),OFFSET(Teams!$K$1,MATCH($A6,Teams!$K:$K,0),8,14))&lt;&gt;""#N/A""),11))))/5"),0.0)</f>
        <v>0</v>
      </c>
      <c r="L6" s="113" t="str">
        <f t="shared" si="2"/>
        <v>#N/A</v>
      </c>
    </row>
    <row r="7">
      <c r="A7" s="34" t="str">
        <f>'Current Roster Score v2'!A7</f>
        <v>Parkinson</v>
      </c>
      <c r="B7" s="94">
        <f>COUNTIF(
IFERROR(
OFFSET(Teams!$A$1,MATCH($A7,Teams!$A:$A,0),2,11),
OFFSET(Teams!$K$1,MATCH($A7,Teams!$K:$K,0),2,11)
),CONCATENATE("*",B$1,"*")
)</f>
        <v>0</v>
      </c>
      <c r="C7" s="94">
        <f>COUNTIF(
IFERROR(
OFFSET(Teams!$A$1,MATCH($A7,Teams!$A:$A,0),2,11),
OFFSET(Teams!$K$1,MATCH($A7,Teams!$K:$K,0),2,11)
),CONCATENATE("*",C$1,"*")
)</f>
        <v>0</v>
      </c>
      <c r="D7" s="94">
        <f>COUNTIF(
IFERROR(
OFFSET(Teams!$A$1,MATCH($A7,Teams!$A:$A,0),2,11),
OFFSET(Teams!$K$1,MATCH($A7,Teams!$K:$K,0),2,11)
),CONCATENATE("*",D$1,"*")
)</f>
        <v>0</v>
      </c>
      <c r="E7" s="98" t="str">
        <f>IFERROR(__xludf.DUMMYFUNCTION("AVERAGE(FILTER(IFERROR(OFFSET(Teams!$A$1,MATCH($A7,Teams!$A:$A,0),3,14),OFFSET(Teams!$K$1,MATCH($A7,Teams!$K:$K,0),3,14)),IFERROR(OFFSET(Teams!$A$1,MATCH($A7,Teams!$A:$A,0),3,14),OFFSET(Teams!$K$1,MATCH($A7,Teams!$K:$K,0),3,14))&lt;&gt;""#N/A"",IFERROR(OFFSET(T"&amp;"eams!$A$1,MATCH($A7,Teams!$A:$A,0),6,14),OFFSET(Teams!$K$1,MATCH($A7,Teams!$K:$K,0),6,14))&gt;=LARGE(FILTER(IFERROR(OFFSET(Teams!$A$1,MATCH($A7,Teams!$A:$A,0),6,14),OFFSET(Teams!$K$1,MATCH($A7,Teams!$K:$K,0),6,14)),IFERROR(OFFSET(Teams!$A$1,MATCH($A7,Teams!$"&amp;"A:$A,0),6,14),OFFSET(Teams!$K$1,MATCH($A7,Teams!$K:$K,0),6,14))&lt;&gt;""#N/A""),11)))"),"#DIV/0!")</f>
        <v>#DIV/0!</v>
      </c>
      <c r="F7" s="96">
        <f t="array" ref="F7">SUM(1/COUNTIF(IFERROR(OFFSET(Teams!$A$1,MATCH($A7,Teams!$A:$A,0),4,11),OFFSET(Teams!$K$1,MATCH($A7,Teams!$K:$K,0),4,11)),IFERROR(OFFSET(Teams!$A$1,MATCH($A7,Teams!$A:$A,0),4,11),OFFSET(Teams!$K$1,MATCH($A7,Teams!$K:$K,0),4,11))))</f>
        <v>1</v>
      </c>
      <c r="G7" s="97" t="str">
        <f>IFERROR(__xludf.DUMMYFUNCTION("AVERAGE(FILTER(IFERROR(OFFSET(Teams!$A$1,MATCH($A7,Teams!$A:$A,0),5,14),OFFSET(Teams!$K$1,MATCH($A7,Teams!$K:$K,0),5,14)),IFERROR(OFFSET(Teams!$A$1,MATCH($A7,Teams!$A:$A,0),5,14),OFFSET(Teams!$K$1,MATCH($A7,Teams!$K:$K,0),5,14))&lt;&gt;""#N/A"",IFERROR(OFFSET(T"&amp;"eams!$A$1,MATCH($A7,Teams!$A:$A,0),6,14),OFFSET(Teams!$K$1,MATCH($A7,Teams!$K:$K,0),6,14))&gt;=LARGE(FILTER(IFERROR(OFFSET(Teams!$A$1,MATCH($A7,Teams!$A:$A,0),6,14),OFFSET(Teams!$K$1,MATCH($A7,Teams!$K:$K,0),6,14)),IFERROR(OFFSET(Teams!$A$1,MATCH($A7,Teams!$"&amp;"A:$A,0),6,14),OFFSET(Teams!$K$1,MATCH($A7,Teams!$K:$K,0),6,14))&lt;&gt;""#N/A""),11)))"),"#DIV/0!")</f>
        <v>#DIV/0!</v>
      </c>
      <c r="H7" s="98">
        <f>IFERROR(__xludf.DUMMYFUNCTION("AVERAGE(FILTER(IFERROR(OFFSET(Teams!$A$1,MATCH($A7,Teams!$A:$A,0),6,14),OFFSET(Teams!$K$1,MATCH($A7,Teams!$K:$K,0),6,14)),IFERROR(OFFSET(Teams!$A$1,MATCH($A7,Teams!$A:$A,0),6,14),OFFSET(Teams!$K$1,MATCH($A7,Teams!$K:$K,0),6,14))&lt;&gt;""#N/A"",IFERROR(OFFSET(T"&amp;"eams!$A$1,MATCH($A7,Teams!$A:$A,0),6,14),OFFSET(Teams!$K$1,MATCH($A7,Teams!$K:$K,0),6,14))&gt;=LARGE(FILTER(IFERROR(OFFSET(Teams!$A$1,MATCH($A7,Teams!$A:$A,0),6,14),OFFSET(Teams!$K$1,MATCH($A7,Teams!$K:$K,0),6,14)),IFERROR(OFFSET(Teams!$A$1,MATCH($A7,Teams!$"&amp;"A:$A,0),6,14),OFFSET(Teams!$K$1,MATCH($A7,Teams!$K:$K,0),6,14))&lt;&gt;""#N/A""),11)))"),0.0)</f>
        <v>0</v>
      </c>
      <c r="I7" s="99">
        <f>IFERROR(__xludf.DUMMYFUNCTION("AVERAGE(FILTER(IFERROR(OFFSET(Teams!$A$1,MATCH($A7,Teams!$A:$A,0),7,14),OFFSET(Teams!$K$1,MATCH($A7,Teams!$K:$K,0),7,14)),IFERROR(OFFSET(Teams!$A$1,MATCH($A7,Teams!$A:$A,0),7,14),OFFSET(Teams!$K$1,MATCH($A7,Teams!$K:$K,0),7,14))&lt;&gt;""#N/A"",IFERROR(OFFSET(T"&amp;"eams!$A$1,MATCH($A7,Teams!$A:$A,0),6,14),OFFSET(Teams!$K$1,MATCH($A7,Teams!$K:$K,0),6,14))&gt;=LARGE(FILTER(IFERROR(OFFSET(Teams!$A$1,MATCH($A7,Teams!$A:$A,0),6,14),OFFSET(Teams!$K$1,MATCH($A7,Teams!$K:$K,0),6,14)),IFERROR(OFFSET(Teams!$A$1,MATCH($A7,Teams!$"&amp;"A:$A,0),6,14),OFFSET(Teams!$K$1,MATCH($A7,Teams!$K:$K,0),6,14))&lt;&gt;""#N/A""),11)))"),0.0)</f>
        <v>0</v>
      </c>
      <c r="J7" s="97" t="str">
        <f t="shared" si="1"/>
        <v>#DIV/0!</v>
      </c>
      <c r="K7" s="31">
        <f>IFERROR(__xludf.DUMMYFUNCTION("(AVERAGE(FILTER(IFERROR(OFFSET(Teams!$A$1,MATCH($A7,Teams!$A:$A,0),8,14),OFFSET(Teams!$K$1,MATCH($A7,Teams!$K:$K,0),8,14)),IFERROR(OFFSET(Teams!$A$1,MATCH($A7,Teams!$A:$A,0),8,14),OFFSET(Teams!$K$1,MATCH($A7,Teams!$K:$K,0),8,14))&lt;&gt;""#N/A"",IFERROR(OFFSET("&amp;"Teams!$A$1,MATCH($A7,Teams!$A:$A,0),8,14),OFFSET(Teams!$K$1,MATCH($A7,Teams!$K:$K,0),8,14))&gt;=LARGE(FILTER(IFERROR(OFFSET(Teams!$A$1,MATCH($A7,Teams!$A:$A,0),8,14),OFFSET(Teams!$K$1,MATCH($A7,Teams!$K:$K,0),8,14)),IFERROR(OFFSET(Teams!$A$1,MATCH($A7,Teams!"&amp;"$A:$A,0),8,14),OFFSET(Teams!$K$1,MATCH($A7,Teams!$K:$K,0),8,14))&lt;&gt;""#N/A""),5)))*3+AVERAGE(FILTER(IFERROR(OFFSET(Teams!$A$1,MATCH($A7,Teams!$A:$A,0),8,14),OFFSET(Teams!$K$1,MATCH($A7,Teams!$K:$K,0),8,14)),IFERROR(OFFSET(Teams!$A$1,MATCH($A7,Teams!$A:$A,0)"&amp;",8,14),OFFSET(Teams!$K$1,MATCH($A7,Teams!$K:$K,0),8,14))&lt;&gt;""#N/A"",IFERROR(OFFSET(Teams!$A$1,MATCH($A7,Teams!$A:$A,0),8,14),OFFSET(Teams!$K$1,MATCH($A7,Teams!$K:$K,0),8,14))&gt;=LARGE(FILTER(IFERROR(OFFSET(Teams!$A$1,MATCH($A7,Teams!$A:$A,0),8,14),OFFSET(Tea"&amp;"ms!$K$1,MATCH($A7,Teams!$K:$K,0),8,14)),IFERROR(OFFSET(Teams!$A$1,MATCH($A7,Teams!$A:$A,0),8,14),OFFSET(Teams!$K$1,MATCH($A7,Teams!$K:$K,0),8,14))&lt;&gt;""#N/A""),7)))+AVERAGE(FILTER(IFERROR(OFFSET(Teams!$A$1,MATCH($A7,Teams!$A:$A,0),8,14),OFFSET(Teams!$K$1,MA"&amp;"TCH($A7,Teams!$K:$K,0),8,14)),IFERROR(OFFSET(Teams!$A$1,MATCH($A7,Teams!$A:$A,0),8,14),OFFSET(Teams!$K$1,MATCH($A7,Teams!$K:$K,0),8,14))&lt;&gt;""#N/A"",IFERROR(OFFSET(Teams!$A$1,MATCH($A7,Teams!$A:$A,0),8,14),OFFSET(Teams!$K$1,MATCH($A7,Teams!$K:$K,0),8,14))&gt;="&amp;"LARGE(FILTER(IFERROR(OFFSET(Teams!$A$1,MATCH($A7,Teams!$A:$A,0),8,14),OFFSET(Teams!$K$1,MATCH($A7,Teams!$K:$K,0),8,14)),IFERROR(OFFSET(Teams!$A$1,MATCH($A7,Teams!$A:$A,0),8,14),OFFSET(Teams!$K$1,MATCH($A7,Teams!$K:$K,0),8,14))&lt;&gt;""#N/A""),11))))/5"),0.0)</f>
        <v>0</v>
      </c>
      <c r="L7" s="113" t="str">
        <f t="shared" si="2"/>
        <v>#N/A</v>
      </c>
    </row>
    <row r="8">
      <c r="A8" s="34" t="str">
        <f>'Current Roster Score v2'!A8</f>
        <v>Sullivan</v>
      </c>
      <c r="B8" s="94">
        <f>COUNTIF(
IFERROR(
OFFSET(Teams!$A$1,MATCH($A8,Teams!$A:$A,0),2,11),
OFFSET(Teams!$K$1,MATCH($A8,Teams!$K:$K,0),2,11)
),CONCATENATE("*",B$1,"*")
)</f>
        <v>0</v>
      </c>
      <c r="C8" s="94">
        <f>COUNTIF(
IFERROR(
OFFSET(Teams!$A$1,MATCH($A8,Teams!$A:$A,0),2,11),
OFFSET(Teams!$K$1,MATCH($A8,Teams!$K:$K,0),2,11)
),CONCATENATE("*",C$1,"*")
)</f>
        <v>0</v>
      </c>
      <c r="D8" s="94">
        <f>COUNTIF(
IFERROR(
OFFSET(Teams!$A$1,MATCH($A8,Teams!$A:$A,0),2,11),
OFFSET(Teams!$K$1,MATCH($A8,Teams!$K:$K,0),2,11)
),CONCATENATE("*",D$1,"*")
)</f>
        <v>0</v>
      </c>
      <c r="E8" s="98" t="str">
        <f>IFERROR(__xludf.DUMMYFUNCTION("AVERAGE(FILTER(IFERROR(OFFSET(Teams!$A$1,MATCH($A8,Teams!$A:$A,0),3,14),OFFSET(Teams!$K$1,MATCH($A8,Teams!$K:$K,0),3,14)),IFERROR(OFFSET(Teams!$A$1,MATCH($A8,Teams!$A:$A,0),3,14),OFFSET(Teams!$K$1,MATCH($A8,Teams!$K:$K,0),3,14))&lt;&gt;""#N/A"",IFERROR(OFFSET(T"&amp;"eams!$A$1,MATCH($A8,Teams!$A:$A,0),6,14),OFFSET(Teams!$K$1,MATCH($A8,Teams!$K:$K,0),6,14))&gt;=LARGE(FILTER(IFERROR(OFFSET(Teams!$A$1,MATCH($A8,Teams!$A:$A,0),6,14),OFFSET(Teams!$K$1,MATCH($A8,Teams!$K:$K,0),6,14)),IFERROR(OFFSET(Teams!$A$1,MATCH($A8,Teams!$"&amp;"A:$A,0),6,14),OFFSET(Teams!$K$1,MATCH($A8,Teams!$K:$K,0),6,14))&lt;&gt;""#N/A""),11)))"),"#DIV/0!")</f>
        <v>#DIV/0!</v>
      </c>
      <c r="F8" s="96">
        <f t="array" ref="F8">SUM(1/COUNTIF(IFERROR(OFFSET(Teams!$A$1,MATCH($A8,Teams!$A:$A,0),4,11),OFFSET(Teams!$K$1,MATCH($A8,Teams!$K:$K,0),4,11)),IFERROR(OFFSET(Teams!$A$1,MATCH($A8,Teams!$A:$A,0),4,11),OFFSET(Teams!$K$1,MATCH($A8,Teams!$K:$K,0),4,11))))</f>
        <v>1</v>
      </c>
      <c r="G8" s="97" t="str">
        <f>IFERROR(__xludf.DUMMYFUNCTION("AVERAGE(FILTER(IFERROR(OFFSET(Teams!$A$1,MATCH($A8,Teams!$A:$A,0),5,14),OFFSET(Teams!$K$1,MATCH($A8,Teams!$K:$K,0),5,14)),IFERROR(OFFSET(Teams!$A$1,MATCH($A8,Teams!$A:$A,0),5,14),OFFSET(Teams!$K$1,MATCH($A8,Teams!$K:$K,0),5,14))&lt;&gt;""#N/A"",IFERROR(OFFSET(T"&amp;"eams!$A$1,MATCH($A8,Teams!$A:$A,0),6,14),OFFSET(Teams!$K$1,MATCH($A8,Teams!$K:$K,0),6,14))&gt;=LARGE(FILTER(IFERROR(OFFSET(Teams!$A$1,MATCH($A8,Teams!$A:$A,0),6,14),OFFSET(Teams!$K$1,MATCH($A8,Teams!$K:$K,0),6,14)),IFERROR(OFFSET(Teams!$A$1,MATCH($A8,Teams!$"&amp;"A:$A,0),6,14),OFFSET(Teams!$K$1,MATCH($A8,Teams!$K:$K,0),6,14))&lt;&gt;""#N/A""),11)))"),"#DIV/0!")</f>
        <v>#DIV/0!</v>
      </c>
      <c r="H8" s="98">
        <f>IFERROR(__xludf.DUMMYFUNCTION("AVERAGE(FILTER(IFERROR(OFFSET(Teams!$A$1,MATCH($A8,Teams!$A:$A,0),6,14),OFFSET(Teams!$K$1,MATCH($A8,Teams!$K:$K,0),6,14)),IFERROR(OFFSET(Teams!$A$1,MATCH($A8,Teams!$A:$A,0),6,14),OFFSET(Teams!$K$1,MATCH($A8,Teams!$K:$K,0),6,14))&lt;&gt;""#N/A"",IFERROR(OFFSET(T"&amp;"eams!$A$1,MATCH($A8,Teams!$A:$A,0),6,14),OFFSET(Teams!$K$1,MATCH($A8,Teams!$K:$K,0),6,14))&gt;=LARGE(FILTER(IFERROR(OFFSET(Teams!$A$1,MATCH($A8,Teams!$A:$A,0),6,14),OFFSET(Teams!$K$1,MATCH($A8,Teams!$K:$K,0),6,14)),IFERROR(OFFSET(Teams!$A$1,MATCH($A8,Teams!$"&amp;"A:$A,0),6,14),OFFSET(Teams!$K$1,MATCH($A8,Teams!$K:$K,0),6,14))&lt;&gt;""#N/A""),11)))"),0.0)</f>
        <v>0</v>
      </c>
      <c r="I8" s="99">
        <f>IFERROR(__xludf.DUMMYFUNCTION("AVERAGE(FILTER(IFERROR(OFFSET(Teams!$A$1,MATCH($A8,Teams!$A:$A,0),7,14),OFFSET(Teams!$K$1,MATCH($A8,Teams!$K:$K,0),7,14)),IFERROR(OFFSET(Teams!$A$1,MATCH($A8,Teams!$A:$A,0),7,14),OFFSET(Teams!$K$1,MATCH($A8,Teams!$K:$K,0),7,14))&lt;&gt;""#N/A"",IFERROR(OFFSET(T"&amp;"eams!$A$1,MATCH($A8,Teams!$A:$A,0),6,14),OFFSET(Teams!$K$1,MATCH($A8,Teams!$K:$K,0),6,14))&gt;=LARGE(FILTER(IFERROR(OFFSET(Teams!$A$1,MATCH($A8,Teams!$A:$A,0),6,14),OFFSET(Teams!$K$1,MATCH($A8,Teams!$K:$K,0),6,14)),IFERROR(OFFSET(Teams!$A$1,MATCH($A8,Teams!$"&amp;"A:$A,0),6,14),OFFSET(Teams!$K$1,MATCH($A8,Teams!$K:$K,0),6,14))&lt;&gt;""#N/A""),11)))"),0.0)</f>
        <v>0</v>
      </c>
      <c r="J8" s="97" t="str">
        <f t="shared" si="1"/>
        <v>#DIV/0!</v>
      </c>
      <c r="K8" s="31">
        <f>IFERROR(__xludf.DUMMYFUNCTION("(AVERAGE(FILTER(IFERROR(OFFSET(Teams!$A$1,MATCH($A8,Teams!$A:$A,0),8,14),OFFSET(Teams!$K$1,MATCH($A8,Teams!$K:$K,0),8,14)),IFERROR(OFFSET(Teams!$A$1,MATCH($A8,Teams!$A:$A,0),8,14),OFFSET(Teams!$K$1,MATCH($A8,Teams!$K:$K,0),8,14))&lt;&gt;""#N/A"",IFERROR(OFFSET("&amp;"Teams!$A$1,MATCH($A8,Teams!$A:$A,0),8,14),OFFSET(Teams!$K$1,MATCH($A8,Teams!$K:$K,0),8,14))&gt;=LARGE(FILTER(IFERROR(OFFSET(Teams!$A$1,MATCH($A8,Teams!$A:$A,0),8,14),OFFSET(Teams!$K$1,MATCH($A8,Teams!$K:$K,0),8,14)),IFERROR(OFFSET(Teams!$A$1,MATCH($A8,Teams!"&amp;"$A:$A,0),8,14),OFFSET(Teams!$K$1,MATCH($A8,Teams!$K:$K,0),8,14))&lt;&gt;""#N/A""),5)))*3+AVERAGE(FILTER(IFERROR(OFFSET(Teams!$A$1,MATCH($A8,Teams!$A:$A,0),8,14),OFFSET(Teams!$K$1,MATCH($A8,Teams!$K:$K,0),8,14)),IFERROR(OFFSET(Teams!$A$1,MATCH($A8,Teams!$A:$A,0)"&amp;",8,14),OFFSET(Teams!$K$1,MATCH($A8,Teams!$K:$K,0),8,14))&lt;&gt;""#N/A"",IFERROR(OFFSET(Teams!$A$1,MATCH($A8,Teams!$A:$A,0),8,14),OFFSET(Teams!$K$1,MATCH($A8,Teams!$K:$K,0),8,14))&gt;=LARGE(FILTER(IFERROR(OFFSET(Teams!$A$1,MATCH($A8,Teams!$A:$A,0),8,14),OFFSET(Tea"&amp;"ms!$K$1,MATCH($A8,Teams!$K:$K,0),8,14)),IFERROR(OFFSET(Teams!$A$1,MATCH($A8,Teams!$A:$A,0),8,14),OFFSET(Teams!$K$1,MATCH($A8,Teams!$K:$K,0),8,14))&lt;&gt;""#N/A""),7)))+AVERAGE(FILTER(IFERROR(OFFSET(Teams!$A$1,MATCH($A8,Teams!$A:$A,0),8,14),OFFSET(Teams!$K$1,MA"&amp;"TCH($A8,Teams!$K:$K,0),8,14)),IFERROR(OFFSET(Teams!$A$1,MATCH($A8,Teams!$A:$A,0),8,14),OFFSET(Teams!$K$1,MATCH($A8,Teams!$K:$K,0),8,14))&lt;&gt;""#N/A"",IFERROR(OFFSET(Teams!$A$1,MATCH($A8,Teams!$A:$A,0),8,14),OFFSET(Teams!$K$1,MATCH($A8,Teams!$K:$K,0),8,14))&gt;="&amp;"LARGE(FILTER(IFERROR(OFFSET(Teams!$A$1,MATCH($A8,Teams!$A:$A,0),8,14),OFFSET(Teams!$K$1,MATCH($A8,Teams!$K:$K,0),8,14)),IFERROR(OFFSET(Teams!$A$1,MATCH($A8,Teams!$A:$A,0),8,14),OFFSET(Teams!$K$1,MATCH($A8,Teams!$K:$K,0),8,14))&lt;&gt;""#N/A""),11))))/5"),0.0)</f>
        <v>0</v>
      </c>
      <c r="L8" s="113" t="str">
        <f t="shared" si="2"/>
        <v>#N/A</v>
      </c>
    </row>
    <row r="9">
      <c r="A9" s="34" t="str">
        <f>'Current Roster Score v2'!A9</f>
        <v>Maguire</v>
      </c>
      <c r="B9" s="94">
        <f>COUNTIF(
IFERROR(
OFFSET(Teams!$A$1,MATCH($A9,Teams!$A:$A,0),2,11),
OFFSET(Teams!$K$1,MATCH($A9,Teams!$K:$K,0),2,11)
),CONCATENATE("*",B$1,"*")
)</f>
        <v>0</v>
      </c>
      <c r="C9" s="94">
        <f>COUNTIF(
IFERROR(
OFFSET(Teams!$A$1,MATCH($A9,Teams!$A:$A,0),2,11),
OFFSET(Teams!$K$1,MATCH($A9,Teams!$K:$K,0),2,11)
),CONCATENATE("*",C$1,"*")
)</f>
        <v>0</v>
      </c>
      <c r="D9" s="94">
        <f>COUNTIF(
IFERROR(
OFFSET(Teams!$A$1,MATCH($A9,Teams!$A:$A,0),2,11),
OFFSET(Teams!$K$1,MATCH($A9,Teams!$K:$K,0),2,11)
),CONCATENATE("*",D$1,"*")
)</f>
        <v>0</v>
      </c>
      <c r="E9" s="98" t="str">
        <f>IFERROR(__xludf.DUMMYFUNCTION("AVERAGE(FILTER(IFERROR(OFFSET(Teams!$A$1,MATCH($A9,Teams!$A:$A,0),3,14),OFFSET(Teams!$K$1,MATCH($A9,Teams!$K:$K,0),3,14)),IFERROR(OFFSET(Teams!$A$1,MATCH($A9,Teams!$A:$A,0),3,14),OFFSET(Teams!$K$1,MATCH($A9,Teams!$K:$K,0),3,14))&lt;&gt;""#N/A"",IFERROR(OFFSET(T"&amp;"eams!$A$1,MATCH($A9,Teams!$A:$A,0),6,14),OFFSET(Teams!$K$1,MATCH($A9,Teams!$K:$K,0),6,14))&gt;=LARGE(FILTER(IFERROR(OFFSET(Teams!$A$1,MATCH($A9,Teams!$A:$A,0),6,14),OFFSET(Teams!$K$1,MATCH($A9,Teams!$K:$K,0),6,14)),IFERROR(OFFSET(Teams!$A$1,MATCH($A9,Teams!$"&amp;"A:$A,0),6,14),OFFSET(Teams!$K$1,MATCH($A9,Teams!$K:$K,0),6,14))&lt;&gt;""#N/A""),11)))"),"#DIV/0!")</f>
        <v>#DIV/0!</v>
      </c>
      <c r="F9" s="96">
        <f t="array" ref="F9">SUM(1/COUNTIF(IFERROR(OFFSET(Teams!$A$1,MATCH($A9,Teams!$A:$A,0),4,11),OFFSET(Teams!$K$1,MATCH($A9,Teams!$K:$K,0),4,11)),IFERROR(OFFSET(Teams!$A$1,MATCH($A9,Teams!$A:$A,0),4,11),OFFSET(Teams!$K$1,MATCH($A9,Teams!$K:$K,0),4,11))))</f>
        <v>1</v>
      </c>
      <c r="G9" s="97" t="str">
        <f>IFERROR(__xludf.DUMMYFUNCTION("AVERAGE(FILTER(IFERROR(OFFSET(Teams!$A$1,MATCH($A9,Teams!$A:$A,0),5,14),OFFSET(Teams!$K$1,MATCH($A9,Teams!$K:$K,0),5,14)),IFERROR(OFFSET(Teams!$A$1,MATCH($A9,Teams!$A:$A,0),5,14),OFFSET(Teams!$K$1,MATCH($A9,Teams!$K:$K,0),5,14))&lt;&gt;""#N/A"",IFERROR(OFFSET(T"&amp;"eams!$A$1,MATCH($A9,Teams!$A:$A,0),6,14),OFFSET(Teams!$K$1,MATCH($A9,Teams!$K:$K,0),6,14))&gt;=LARGE(FILTER(IFERROR(OFFSET(Teams!$A$1,MATCH($A9,Teams!$A:$A,0),6,14),OFFSET(Teams!$K$1,MATCH($A9,Teams!$K:$K,0),6,14)),IFERROR(OFFSET(Teams!$A$1,MATCH($A9,Teams!$"&amp;"A:$A,0),6,14),OFFSET(Teams!$K$1,MATCH($A9,Teams!$K:$K,0),6,14))&lt;&gt;""#N/A""),11)))"),"#DIV/0!")</f>
        <v>#DIV/0!</v>
      </c>
      <c r="H9" s="98">
        <f>IFERROR(__xludf.DUMMYFUNCTION("AVERAGE(FILTER(IFERROR(OFFSET(Teams!$A$1,MATCH($A9,Teams!$A:$A,0),6,14),OFFSET(Teams!$K$1,MATCH($A9,Teams!$K:$K,0),6,14)),IFERROR(OFFSET(Teams!$A$1,MATCH($A9,Teams!$A:$A,0),6,14),OFFSET(Teams!$K$1,MATCH($A9,Teams!$K:$K,0),6,14))&lt;&gt;""#N/A"",IFERROR(OFFSET(T"&amp;"eams!$A$1,MATCH($A9,Teams!$A:$A,0),6,14),OFFSET(Teams!$K$1,MATCH($A9,Teams!$K:$K,0),6,14))&gt;=LARGE(FILTER(IFERROR(OFFSET(Teams!$A$1,MATCH($A9,Teams!$A:$A,0),6,14),OFFSET(Teams!$K$1,MATCH($A9,Teams!$K:$K,0),6,14)),IFERROR(OFFSET(Teams!$A$1,MATCH($A9,Teams!$"&amp;"A:$A,0),6,14),OFFSET(Teams!$K$1,MATCH($A9,Teams!$K:$K,0),6,14))&lt;&gt;""#N/A""),11)))"),0.0)</f>
        <v>0</v>
      </c>
      <c r="I9" s="99">
        <f>IFERROR(__xludf.DUMMYFUNCTION("AVERAGE(FILTER(IFERROR(OFFSET(Teams!$A$1,MATCH($A9,Teams!$A:$A,0),7,14),OFFSET(Teams!$K$1,MATCH($A9,Teams!$K:$K,0),7,14)),IFERROR(OFFSET(Teams!$A$1,MATCH($A9,Teams!$A:$A,0),7,14),OFFSET(Teams!$K$1,MATCH($A9,Teams!$K:$K,0),7,14))&lt;&gt;""#N/A"",IFERROR(OFFSET(T"&amp;"eams!$A$1,MATCH($A9,Teams!$A:$A,0),6,14),OFFSET(Teams!$K$1,MATCH($A9,Teams!$K:$K,0),6,14))&gt;=LARGE(FILTER(IFERROR(OFFSET(Teams!$A$1,MATCH($A9,Teams!$A:$A,0),6,14),OFFSET(Teams!$K$1,MATCH($A9,Teams!$K:$K,0),6,14)),IFERROR(OFFSET(Teams!$A$1,MATCH($A9,Teams!$"&amp;"A:$A,0),6,14),OFFSET(Teams!$K$1,MATCH($A9,Teams!$K:$K,0),6,14))&lt;&gt;""#N/A""),11)))"),0.0)</f>
        <v>0</v>
      </c>
      <c r="J9" s="97" t="str">
        <f t="shared" si="1"/>
        <v>#DIV/0!</v>
      </c>
      <c r="K9" s="31">
        <f>IFERROR(__xludf.DUMMYFUNCTION("(AVERAGE(FILTER(IFERROR(OFFSET(Teams!$A$1,MATCH($A9,Teams!$A:$A,0),8,14),OFFSET(Teams!$K$1,MATCH($A9,Teams!$K:$K,0),8,14)),IFERROR(OFFSET(Teams!$A$1,MATCH($A9,Teams!$A:$A,0),8,14),OFFSET(Teams!$K$1,MATCH($A9,Teams!$K:$K,0),8,14))&lt;&gt;""#N/A"",IFERROR(OFFSET("&amp;"Teams!$A$1,MATCH($A9,Teams!$A:$A,0),8,14),OFFSET(Teams!$K$1,MATCH($A9,Teams!$K:$K,0),8,14))&gt;=LARGE(FILTER(IFERROR(OFFSET(Teams!$A$1,MATCH($A9,Teams!$A:$A,0),8,14),OFFSET(Teams!$K$1,MATCH($A9,Teams!$K:$K,0),8,14)),IFERROR(OFFSET(Teams!$A$1,MATCH($A9,Teams!"&amp;"$A:$A,0),8,14),OFFSET(Teams!$K$1,MATCH($A9,Teams!$K:$K,0),8,14))&lt;&gt;""#N/A""),5)))*3+AVERAGE(FILTER(IFERROR(OFFSET(Teams!$A$1,MATCH($A9,Teams!$A:$A,0),8,14),OFFSET(Teams!$K$1,MATCH($A9,Teams!$K:$K,0),8,14)),IFERROR(OFFSET(Teams!$A$1,MATCH($A9,Teams!$A:$A,0)"&amp;",8,14),OFFSET(Teams!$K$1,MATCH($A9,Teams!$K:$K,0),8,14))&lt;&gt;""#N/A"",IFERROR(OFFSET(Teams!$A$1,MATCH($A9,Teams!$A:$A,0),8,14),OFFSET(Teams!$K$1,MATCH($A9,Teams!$K:$K,0),8,14))&gt;=LARGE(FILTER(IFERROR(OFFSET(Teams!$A$1,MATCH($A9,Teams!$A:$A,0),8,14),OFFSET(Tea"&amp;"ms!$K$1,MATCH($A9,Teams!$K:$K,0),8,14)),IFERROR(OFFSET(Teams!$A$1,MATCH($A9,Teams!$A:$A,0),8,14),OFFSET(Teams!$K$1,MATCH($A9,Teams!$K:$K,0),8,14))&lt;&gt;""#N/A""),7)))+AVERAGE(FILTER(IFERROR(OFFSET(Teams!$A$1,MATCH($A9,Teams!$A:$A,0),8,14),OFFSET(Teams!$K$1,MA"&amp;"TCH($A9,Teams!$K:$K,0),8,14)),IFERROR(OFFSET(Teams!$A$1,MATCH($A9,Teams!$A:$A,0),8,14),OFFSET(Teams!$K$1,MATCH($A9,Teams!$K:$K,0),8,14))&lt;&gt;""#N/A"",IFERROR(OFFSET(Teams!$A$1,MATCH($A9,Teams!$A:$A,0),8,14),OFFSET(Teams!$K$1,MATCH($A9,Teams!$K:$K,0),8,14))&gt;="&amp;"LARGE(FILTER(IFERROR(OFFSET(Teams!$A$1,MATCH($A9,Teams!$A:$A,0),8,14),OFFSET(Teams!$K$1,MATCH($A9,Teams!$K:$K,0),8,14)),IFERROR(OFFSET(Teams!$A$1,MATCH($A9,Teams!$A:$A,0),8,14),OFFSET(Teams!$K$1,MATCH($A9,Teams!$K:$K,0),8,14))&lt;&gt;""#N/A""),11))))/5"),0.0)</f>
        <v>0</v>
      </c>
      <c r="L9" s="113" t="str">
        <f t="shared" si="2"/>
        <v>#N/A</v>
      </c>
    </row>
    <row r="10">
      <c r="A10" s="34" t="str">
        <f>'Current Roster Score v2'!A10</f>
        <v>Biales</v>
      </c>
      <c r="B10" s="94">
        <f>COUNTIF(
IFERROR(
OFFSET(Teams!$A$1,MATCH($A10,Teams!$A:$A,0),2,11),
OFFSET(Teams!$K$1,MATCH($A10,Teams!$K:$K,0),2,11)
),CONCATENATE("*",B$1,"*")
)</f>
        <v>0</v>
      </c>
      <c r="C10" s="94">
        <f>COUNTIF(
IFERROR(
OFFSET(Teams!$A$1,MATCH($A10,Teams!$A:$A,0),2,11),
OFFSET(Teams!$K$1,MATCH($A10,Teams!$K:$K,0),2,11)
),CONCATENATE("*",C$1,"*")
)</f>
        <v>0</v>
      </c>
      <c r="D10" s="94">
        <f>COUNTIF(
IFERROR(
OFFSET(Teams!$A$1,MATCH($A10,Teams!$A:$A,0),2,11),
OFFSET(Teams!$K$1,MATCH($A10,Teams!$K:$K,0),2,11)
),CONCATENATE("*",D$1,"*")
)</f>
        <v>0</v>
      </c>
      <c r="E10" s="98" t="str">
        <f>IFERROR(__xludf.DUMMYFUNCTION("AVERAGE(FILTER(IFERROR(OFFSET(Teams!$A$1,MATCH($A10,Teams!$A:$A,0),3,14),OFFSET(Teams!$K$1,MATCH($A10,Teams!$K:$K,0),3,14)),IFERROR(OFFSET(Teams!$A$1,MATCH($A10,Teams!$A:$A,0),3,14),OFFSET(Teams!$K$1,MATCH($A10,Teams!$K:$K,0),3,14))&lt;&gt;""#N/A"",IFERROR(OFFS"&amp;"ET(Teams!$A$1,MATCH($A10,Teams!$A:$A,0),6,14),OFFSET(Teams!$K$1,MATCH($A10,Teams!$K:$K,0),6,14))&gt;=LARGE(FILTER(IFERROR(OFFSET(Teams!$A$1,MATCH($A10,Teams!$A:$A,0),6,14),OFFSET(Teams!$K$1,MATCH($A10,Teams!$K:$K,0),6,14)),IFERROR(OFFSET(Teams!$A$1,MATCH($A1"&amp;"0,Teams!$A:$A,0),6,14),OFFSET(Teams!$K$1,MATCH($A10,Teams!$K:$K,0),6,14))&lt;&gt;""#N/A""),11)))"),"#DIV/0!")</f>
        <v>#DIV/0!</v>
      </c>
      <c r="F10" s="96">
        <f t="array" ref="F10">SUM(1/COUNTIF(IFERROR(OFFSET(Teams!$A$1,MATCH($A10,Teams!$A:$A,0),4,11),OFFSET(Teams!$K$1,MATCH($A10,Teams!$K:$K,0),4,11)),IFERROR(OFFSET(Teams!$A$1,MATCH($A10,Teams!$A:$A,0),4,11),OFFSET(Teams!$K$1,MATCH($A10,Teams!$K:$K,0),4,11))))</f>
        <v>1</v>
      </c>
      <c r="G10" s="97" t="str">
        <f>IFERROR(__xludf.DUMMYFUNCTION("AVERAGE(FILTER(IFERROR(OFFSET(Teams!$A$1,MATCH($A10,Teams!$A:$A,0),5,14),OFFSET(Teams!$K$1,MATCH($A10,Teams!$K:$K,0),5,14)),IFERROR(OFFSET(Teams!$A$1,MATCH($A10,Teams!$A:$A,0),5,14),OFFSET(Teams!$K$1,MATCH($A10,Teams!$K:$K,0),5,14))&lt;&gt;""#N/A"",IFERROR(OFFS"&amp;"ET(Teams!$A$1,MATCH($A10,Teams!$A:$A,0),6,14),OFFSET(Teams!$K$1,MATCH($A10,Teams!$K:$K,0),6,14))&gt;=LARGE(FILTER(IFERROR(OFFSET(Teams!$A$1,MATCH($A10,Teams!$A:$A,0),6,14),OFFSET(Teams!$K$1,MATCH($A10,Teams!$K:$K,0),6,14)),IFERROR(OFFSET(Teams!$A$1,MATCH($A1"&amp;"0,Teams!$A:$A,0),6,14),OFFSET(Teams!$K$1,MATCH($A10,Teams!$K:$K,0),6,14))&lt;&gt;""#N/A""),11)))"),"#DIV/0!")</f>
        <v>#DIV/0!</v>
      </c>
      <c r="H10" s="98">
        <f>IFERROR(__xludf.DUMMYFUNCTION("AVERAGE(FILTER(IFERROR(OFFSET(Teams!$A$1,MATCH($A10,Teams!$A:$A,0),6,14),OFFSET(Teams!$K$1,MATCH($A10,Teams!$K:$K,0),6,14)),IFERROR(OFFSET(Teams!$A$1,MATCH($A10,Teams!$A:$A,0),6,14),OFFSET(Teams!$K$1,MATCH($A10,Teams!$K:$K,0),6,14))&lt;&gt;""#N/A"",IFERROR(OFFS"&amp;"ET(Teams!$A$1,MATCH($A10,Teams!$A:$A,0),6,14),OFFSET(Teams!$K$1,MATCH($A10,Teams!$K:$K,0),6,14))&gt;=LARGE(FILTER(IFERROR(OFFSET(Teams!$A$1,MATCH($A10,Teams!$A:$A,0),6,14),OFFSET(Teams!$K$1,MATCH($A10,Teams!$K:$K,0),6,14)),IFERROR(OFFSET(Teams!$A$1,MATCH($A1"&amp;"0,Teams!$A:$A,0),6,14),OFFSET(Teams!$K$1,MATCH($A10,Teams!$K:$K,0),6,14))&lt;&gt;""#N/A""),11)))"),0.0)</f>
        <v>0</v>
      </c>
      <c r="I10" s="99">
        <f>IFERROR(__xludf.DUMMYFUNCTION("AVERAGE(FILTER(IFERROR(OFFSET(Teams!$A$1,MATCH($A10,Teams!$A:$A,0),7,14),OFFSET(Teams!$K$1,MATCH($A10,Teams!$K:$K,0),7,14)),IFERROR(OFFSET(Teams!$A$1,MATCH($A10,Teams!$A:$A,0),7,14),OFFSET(Teams!$K$1,MATCH($A10,Teams!$K:$K,0),7,14))&lt;&gt;""#N/A"",IFERROR(OFFS"&amp;"ET(Teams!$A$1,MATCH($A10,Teams!$A:$A,0),6,14),OFFSET(Teams!$K$1,MATCH($A10,Teams!$K:$K,0),6,14))&gt;=LARGE(FILTER(IFERROR(OFFSET(Teams!$A$1,MATCH($A10,Teams!$A:$A,0),6,14),OFFSET(Teams!$K$1,MATCH($A10,Teams!$K:$K,0),6,14)),IFERROR(OFFSET(Teams!$A$1,MATCH($A1"&amp;"0,Teams!$A:$A,0),6,14),OFFSET(Teams!$K$1,MATCH($A10,Teams!$K:$K,0),6,14))&lt;&gt;""#N/A""),11)))"),0.0)</f>
        <v>0</v>
      </c>
      <c r="J10" s="97" t="str">
        <f t="shared" si="1"/>
        <v>#DIV/0!</v>
      </c>
      <c r="K10" s="31">
        <f>IFERROR(__xludf.DUMMYFUNCTION("(AVERAGE(FILTER(IFERROR(OFFSET(Teams!$A$1,MATCH($A10,Teams!$A:$A,0),8,14),OFFSET(Teams!$K$1,MATCH($A10,Teams!$K:$K,0),8,14)),IFERROR(OFFSET(Teams!$A$1,MATCH($A10,Teams!$A:$A,0),8,14),OFFSET(Teams!$K$1,MATCH($A10,Teams!$K:$K,0),8,14))&lt;&gt;""#N/A"",IFERROR(OFF"&amp;"SET(Teams!$A$1,MATCH($A10,Teams!$A:$A,0),8,14),OFFSET(Teams!$K$1,MATCH($A10,Teams!$K:$K,0),8,14))&gt;=LARGE(FILTER(IFERROR(OFFSET(Teams!$A$1,MATCH($A10,Teams!$A:$A,0),8,14),OFFSET(Teams!$K$1,MATCH($A10,Teams!$K:$K,0),8,14)),IFERROR(OFFSET(Teams!$A$1,MATCH($A"&amp;"10,Teams!$A:$A,0),8,14),OFFSET(Teams!$K$1,MATCH($A10,Teams!$K:$K,0),8,14))&lt;&gt;""#N/A""),5)))*3+AVERAGE(FILTER(IFERROR(OFFSET(Teams!$A$1,MATCH($A10,Teams!$A:$A,0),8,14),OFFSET(Teams!$K$1,MATCH($A10,Teams!$K:$K,0),8,14)),IFERROR(OFFSET(Teams!$A$1,MATCH($A10,T"&amp;"eams!$A:$A,0),8,14),OFFSET(Teams!$K$1,MATCH($A10,Teams!$K:$K,0),8,14))&lt;&gt;""#N/A"",IFERROR(OFFSET(Teams!$A$1,MATCH($A10,Teams!$A:$A,0),8,14),OFFSET(Teams!$K$1,MATCH($A10,Teams!$K:$K,0),8,14))&gt;=LARGE(FILTER(IFERROR(OFFSET(Teams!$A$1,MATCH($A10,Teams!$A:$A,0)"&amp;",8,14),OFFSET(Teams!$K$1,MATCH($A10,Teams!$K:$K,0),8,14)),IFERROR(OFFSET(Teams!$A$1,MATCH($A10,Teams!$A:$A,0),8,14),OFFSET(Teams!$K$1,MATCH($A10,Teams!$K:$K,0),8,14))&lt;&gt;""#N/A""),7)))+AVERAGE(FILTER(IFERROR(OFFSET(Teams!$A$1,MATCH($A10,Teams!$A:$A,0),8,14)"&amp;",OFFSET(Teams!$K$1,MATCH($A10,Teams!$K:$K,0),8,14)),IFERROR(OFFSET(Teams!$A$1,MATCH($A10,Teams!$A:$A,0),8,14),OFFSET(Teams!$K$1,MATCH($A10,Teams!$K:$K,0),8,14))&lt;&gt;""#N/A"",IFERROR(OFFSET(Teams!$A$1,MATCH($A10,Teams!$A:$A,0),8,14),OFFSET(Teams!$K$1,MATCH($A"&amp;"10,Teams!$K:$K,0),8,14))&gt;=LARGE(FILTER(IFERROR(OFFSET(Teams!$A$1,MATCH($A10,Teams!$A:$A,0),8,14),OFFSET(Teams!$K$1,MATCH($A10,Teams!$K:$K,0),8,14)),IFERROR(OFFSET(Teams!$A$1,MATCH($A10,Teams!$A:$A,0),8,14),OFFSET(Teams!$K$1,MATCH($A10,Teams!$K:$K,0),8,14)"&amp;")&lt;&gt;""#N/A""),11))))/5"),0.0)</f>
        <v>0</v>
      </c>
      <c r="L10" s="113" t="str">
        <f t="shared" si="2"/>
        <v>#N/A</v>
      </c>
    </row>
    <row r="11">
      <c r="A11" s="34" t="str">
        <f>'Current Roster Score v2'!A11</f>
        <v>Trueb</v>
      </c>
      <c r="B11" s="94">
        <f>COUNTIF(
IFERROR(
OFFSET(Teams!$A$1,MATCH($A11,Teams!$A:$A,0),2,11),
OFFSET(Teams!$K$1,MATCH($A11,Teams!$K:$K,0),2,11)
),CONCATENATE("*",B$1,"*")
)</f>
        <v>0</v>
      </c>
      <c r="C11" s="94">
        <f>COUNTIF(
IFERROR(
OFFSET(Teams!$A$1,MATCH($A11,Teams!$A:$A,0),2,11),
OFFSET(Teams!$K$1,MATCH($A11,Teams!$K:$K,0),2,11)
),CONCATENATE("*",C$1,"*")
)</f>
        <v>0</v>
      </c>
      <c r="D11" s="94">
        <f>COUNTIF(
IFERROR(
OFFSET(Teams!$A$1,MATCH($A11,Teams!$A:$A,0),2,11),
OFFSET(Teams!$K$1,MATCH($A11,Teams!$K:$K,0),2,11)
),CONCATENATE("*",D$1,"*")
)</f>
        <v>0</v>
      </c>
      <c r="E11" s="98" t="str">
        <f>IFERROR(__xludf.DUMMYFUNCTION("AVERAGE(FILTER(IFERROR(OFFSET(Teams!$A$1,MATCH($A11,Teams!$A:$A,0),3,14),OFFSET(Teams!$K$1,MATCH($A11,Teams!$K:$K,0),3,14)),IFERROR(OFFSET(Teams!$A$1,MATCH($A11,Teams!$A:$A,0),3,14),OFFSET(Teams!$K$1,MATCH($A11,Teams!$K:$K,0),3,14))&lt;&gt;""#N/A"",IFERROR(OFFS"&amp;"ET(Teams!$A$1,MATCH($A11,Teams!$A:$A,0),6,14),OFFSET(Teams!$K$1,MATCH($A11,Teams!$K:$K,0),6,14))&gt;=LARGE(FILTER(IFERROR(OFFSET(Teams!$A$1,MATCH($A11,Teams!$A:$A,0),6,14),OFFSET(Teams!$K$1,MATCH($A11,Teams!$K:$K,0),6,14)),IFERROR(OFFSET(Teams!$A$1,MATCH($A1"&amp;"1,Teams!$A:$A,0),6,14),OFFSET(Teams!$K$1,MATCH($A11,Teams!$K:$K,0),6,14))&lt;&gt;""#N/A""),11)))"),"#DIV/0!")</f>
        <v>#DIV/0!</v>
      </c>
      <c r="F11" s="96">
        <f t="array" ref="F11">SUM(1/COUNTIF(IFERROR(OFFSET(Teams!$A$1,MATCH($A11,Teams!$A:$A,0),4,11),OFFSET(Teams!$K$1,MATCH($A11,Teams!$K:$K,0),4,11)),IFERROR(OFFSET(Teams!$A$1,MATCH($A11,Teams!$A:$A,0),4,11),OFFSET(Teams!$K$1,MATCH($A11,Teams!$K:$K,0),4,11))))</f>
        <v>1</v>
      </c>
      <c r="G11" s="97" t="str">
        <f>IFERROR(__xludf.DUMMYFUNCTION("AVERAGE(FILTER(IFERROR(OFFSET(Teams!$A$1,MATCH($A11,Teams!$A:$A,0),5,14),OFFSET(Teams!$K$1,MATCH($A11,Teams!$K:$K,0),5,14)),IFERROR(OFFSET(Teams!$A$1,MATCH($A11,Teams!$A:$A,0),5,14),OFFSET(Teams!$K$1,MATCH($A11,Teams!$K:$K,0),5,14))&lt;&gt;""#N/A"",IFERROR(OFFS"&amp;"ET(Teams!$A$1,MATCH($A11,Teams!$A:$A,0),6,14),OFFSET(Teams!$K$1,MATCH($A11,Teams!$K:$K,0),6,14))&gt;=LARGE(FILTER(IFERROR(OFFSET(Teams!$A$1,MATCH($A11,Teams!$A:$A,0),6,14),OFFSET(Teams!$K$1,MATCH($A11,Teams!$K:$K,0),6,14)),IFERROR(OFFSET(Teams!$A$1,MATCH($A1"&amp;"1,Teams!$A:$A,0),6,14),OFFSET(Teams!$K$1,MATCH($A11,Teams!$K:$K,0),6,14))&lt;&gt;""#N/A""),11)))"),"#DIV/0!")</f>
        <v>#DIV/0!</v>
      </c>
      <c r="H11" s="98">
        <f>IFERROR(__xludf.DUMMYFUNCTION("AVERAGE(FILTER(IFERROR(OFFSET(Teams!$A$1,MATCH($A11,Teams!$A:$A,0),6,14),OFFSET(Teams!$K$1,MATCH($A11,Teams!$K:$K,0),6,14)),IFERROR(OFFSET(Teams!$A$1,MATCH($A11,Teams!$A:$A,0),6,14),OFFSET(Teams!$K$1,MATCH($A11,Teams!$K:$K,0),6,14))&lt;&gt;""#N/A"",IFERROR(OFFS"&amp;"ET(Teams!$A$1,MATCH($A11,Teams!$A:$A,0),6,14),OFFSET(Teams!$K$1,MATCH($A11,Teams!$K:$K,0),6,14))&gt;=LARGE(FILTER(IFERROR(OFFSET(Teams!$A$1,MATCH($A11,Teams!$A:$A,0),6,14),OFFSET(Teams!$K$1,MATCH($A11,Teams!$K:$K,0),6,14)),IFERROR(OFFSET(Teams!$A$1,MATCH($A1"&amp;"1,Teams!$A:$A,0),6,14),OFFSET(Teams!$K$1,MATCH($A11,Teams!$K:$K,0),6,14))&lt;&gt;""#N/A""),11)))"),0.0)</f>
        <v>0</v>
      </c>
      <c r="I11" s="99">
        <f>IFERROR(__xludf.DUMMYFUNCTION("AVERAGE(FILTER(IFERROR(OFFSET(Teams!$A$1,MATCH($A11,Teams!$A:$A,0),7,14),OFFSET(Teams!$K$1,MATCH($A11,Teams!$K:$K,0),7,14)),IFERROR(OFFSET(Teams!$A$1,MATCH($A11,Teams!$A:$A,0),7,14),OFFSET(Teams!$K$1,MATCH($A11,Teams!$K:$K,0),7,14))&lt;&gt;""#N/A"",IFERROR(OFFS"&amp;"ET(Teams!$A$1,MATCH($A11,Teams!$A:$A,0),6,14),OFFSET(Teams!$K$1,MATCH($A11,Teams!$K:$K,0),6,14))&gt;=LARGE(FILTER(IFERROR(OFFSET(Teams!$A$1,MATCH($A11,Teams!$A:$A,0),6,14),OFFSET(Teams!$K$1,MATCH($A11,Teams!$K:$K,0),6,14)),IFERROR(OFFSET(Teams!$A$1,MATCH($A1"&amp;"1,Teams!$A:$A,0),6,14),OFFSET(Teams!$K$1,MATCH($A11,Teams!$K:$K,0),6,14))&lt;&gt;""#N/A""),11)))"),0.0)</f>
        <v>0</v>
      </c>
      <c r="J11" s="97" t="str">
        <f t="shared" si="1"/>
        <v>#DIV/0!</v>
      </c>
      <c r="K11" s="31">
        <f>IFERROR(__xludf.DUMMYFUNCTION("(AVERAGE(FILTER(IFERROR(OFFSET(Teams!$A$1,MATCH($A11,Teams!$A:$A,0),8,14),OFFSET(Teams!$K$1,MATCH($A11,Teams!$K:$K,0),8,14)),IFERROR(OFFSET(Teams!$A$1,MATCH($A11,Teams!$A:$A,0),8,14),OFFSET(Teams!$K$1,MATCH($A11,Teams!$K:$K,0),8,14))&lt;&gt;""#N/A"",IFERROR(OFF"&amp;"SET(Teams!$A$1,MATCH($A11,Teams!$A:$A,0),8,14),OFFSET(Teams!$K$1,MATCH($A11,Teams!$K:$K,0),8,14))&gt;=LARGE(FILTER(IFERROR(OFFSET(Teams!$A$1,MATCH($A11,Teams!$A:$A,0),8,14),OFFSET(Teams!$K$1,MATCH($A11,Teams!$K:$K,0),8,14)),IFERROR(OFFSET(Teams!$A$1,MATCH($A"&amp;"11,Teams!$A:$A,0),8,14),OFFSET(Teams!$K$1,MATCH($A11,Teams!$K:$K,0),8,14))&lt;&gt;""#N/A""),5)))*3+AVERAGE(FILTER(IFERROR(OFFSET(Teams!$A$1,MATCH($A11,Teams!$A:$A,0),8,14),OFFSET(Teams!$K$1,MATCH($A11,Teams!$K:$K,0),8,14)),IFERROR(OFFSET(Teams!$A$1,MATCH($A11,T"&amp;"eams!$A:$A,0),8,14),OFFSET(Teams!$K$1,MATCH($A11,Teams!$K:$K,0),8,14))&lt;&gt;""#N/A"",IFERROR(OFFSET(Teams!$A$1,MATCH($A11,Teams!$A:$A,0),8,14),OFFSET(Teams!$K$1,MATCH($A11,Teams!$K:$K,0),8,14))&gt;=LARGE(FILTER(IFERROR(OFFSET(Teams!$A$1,MATCH($A11,Teams!$A:$A,0)"&amp;",8,14),OFFSET(Teams!$K$1,MATCH($A11,Teams!$K:$K,0),8,14)),IFERROR(OFFSET(Teams!$A$1,MATCH($A11,Teams!$A:$A,0),8,14),OFFSET(Teams!$K$1,MATCH($A11,Teams!$K:$K,0),8,14))&lt;&gt;""#N/A""),7)))+AVERAGE(FILTER(IFERROR(OFFSET(Teams!$A$1,MATCH($A11,Teams!$A:$A,0),8,14)"&amp;",OFFSET(Teams!$K$1,MATCH($A11,Teams!$K:$K,0),8,14)),IFERROR(OFFSET(Teams!$A$1,MATCH($A11,Teams!$A:$A,0),8,14),OFFSET(Teams!$K$1,MATCH($A11,Teams!$K:$K,0),8,14))&lt;&gt;""#N/A"",IFERROR(OFFSET(Teams!$A$1,MATCH($A11,Teams!$A:$A,0),8,14),OFFSET(Teams!$K$1,MATCH($A"&amp;"11,Teams!$K:$K,0),8,14))&gt;=LARGE(FILTER(IFERROR(OFFSET(Teams!$A$1,MATCH($A11,Teams!$A:$A,0),8,14),OFFSET(Teams!$K$1,MATCH($A11,Teams!$K:$K,0),8,14)),IFERROR(OFFSET(Teams!$A$1,MATCH($A11,Teams!$A:$A,0),8,14),OFFSET(Teams!$K$1,MATCH($A11,Teams!$K:$K,0),8,14)"&amp;")&lt;&gt;""#N/A""),11))))/5"),0.0)</f>
        <v>0</v>
      </c>
      <c r="L11" s="113" t="str">
        <f t="shared" si="2"/>
        <v>#N/A</v>
      </c>
    </row>
    <row r="12">
      <c r="A12" s="34" t="str">
        <f>'Current Roster Score v2'!A12</f>
        <v>Aceto</v>
      </c>
      <c r="B12" s="94">
        <f>COUNTIF(
IFERROR(
OFFSET(Teams!$A$1,MATCH($A12,Teams!$A:$A,0),2,11),
OFFSET(Teams!$K$1,MATCH($A12,Teams!$K:$K,0),2,11)
),CONCATENATE("*",B$1,"*")
)</f>
        <v>0</v>
      </c>
      <c r="C12" s="94">
        <f>COUNTIF(
IFERROR(
OFFSET(Teams!$A$1,MATCH($A12,Teams!$A:$A,0),2,11),
OFFSET(Teams!$K$1,MATCH($A12,Teams!$K:$K,0),2,11)
),CONCATENATE("*",C$1,"*")
)</f>
        <v>0</v>
      </c>
      <c r="D12" s="94">
        <f>COUNTIF(
IFERROR(
OFFSET(Teams!$A$1,MATCH($A12,Teams!$A:$A,0),2,11),
OFFSET(Teams!$K$1,MATCH($A12,Teams!$K:$K,0),2,11)
),CONCATENATE("*",D$1,"*")
)</f>
        <v>0</v>
      </c>
      <c r="E12" s="98" t="str">
        <f>IFERROR(__xludf.DUMMYFUNCTION("AVERAGE(FILTER(IFERROR(OFFSET(Teams!$A$1,MATCH($A12,Teams!$A:$A,0),3,14),OFFSET(Teams!$K$1,MATCH($A12,Teams!$K:$K,0),3,14)),IFERROR(OFFSET(Teams!$A$1,MATCH($A12,Teams!$A:$A,0),3,14),OFFSET(Teams!$K$1,MATCH($A12,Teams!$K:$K,0),3,14))&lt;&gt;""#N/A"",IFERROR(OFFS"&amp;"ET(Teams!$A$1,MATCH($A12,Teams!$A:$A,0),6,14),OFFSET(Teams!$K$1,MATCH($A12,Teams!$K:$K,0),6,14))&gt;=LARGE(FILTER(IFERROR(OFFSET(Teams!$A$1,MATCH($A12,Teams!$A:$A,0),6,14),OFFSET(Teams!$K$1,MATCH($A12,Teams!$K:$K,0),6,14)),IFERROR(OFFSET(Teams!$A$1,MATCH($A1"&amp;"2,Teams!$A:$A,0),6,14),OFFSET(Teams!$K$1,MATCH($A12,Teams!$K:$K,0),6,14))&lt;&gt;""#N/A""),11)))"),"#DIV/0!")</f>
        <v>#DIV/0!</v>
      </c>
      <c r="F12" s="96">
        <f t="array" ref="F12">SUM(1/COUNTIF(IFERROR(OFFSET(Teams!$A$1,MATCH($A12,Teams!$A:$A,0),4,11),OFFSET(Teams!$K$1,MATCH($A12,Teams!$K:$K,0),4,11)),IFERROR(OFFSET(Teams!$A$1,MATCH($A12,Teams!$A:$A,0),4,11),OFFSET(Teams!$K$1,MATCH($A12,Teams!$K:$K,0),4,11))))</f>
        <v>1</v>
      </c>
      <c r="G12" s="97" t="str">
        <f>IFERROR(__xludf.DUMMYFUNCTION("AVERAGE(FILTER(IFERROR(OFFSET(Teams!$A$1,MATCH($A12,Teams!$A:$A,0),5,14),OFFSET(Teams!$K$1,MATCH($A12,Teams!$K:$K,0),5,14)),IFERROR(OFFSET(Teams!$A$1,MATCH($A12,Teams!$A:$A,0),5,14),OFFSET(Teams!$K$1,MATCH($A12,Teams!$K:$K,0),5,14))&lt;&gt;""#N/A"",IFERROR(OFFS"&amp;"ET(Teams!$A$1,MATCH($A12,Teams!$A:$A,0),6,14),OFFSET(Teams!$K$1,MATCH($A12,Teams!$K:$K,0),6,14))&gt;=LARGE(FILTER(IFERROR(OFFSET(Teams!$A$1,MATCH($A12,Teams!$A:$A,0),6,14),OFFSET(Teams!$K$1,MATCH($A12,Teams!$K:$K,0),6,14)),IFERROR(OFFSET(Teams!$A$1,MATCH($A1"&amp;"2,Teams!$A:$A,0),6,14),OFFSET(Teams!$K$1,MATCH($A12,Teams!$K:$K,0),6,14))&lt;&gt;""#N/A""),11)))"),"#DIV/0!")</f>
        <v>#DIV/0!</v>
      </c>
      <c r="H12" s="98">
        <f>IFERROR(__xludf.DUMMYFUNCTION("AVERAGE(FILTER(IFERROR(OFFSET(Teams!$A$1,MATCH($A12,Teams!$A:$A,0),6,14),OFFSET(Teams!$K$1,MATCH($A12,Teams!$K:$K,0),6,14)),IFERROR(OFFSET(Teams!$A$1,MATCH($A12,Teams!$A:$A,0),6,14),OFFSET(Teams!$K$1,MATCH($A12,Teams!$K:$K,0),6,14))&lt;&gt;""#N/A"",IFERROR(OFFS"&amp;"ET(Teams!$A$1,MATCH($A12,Teams!$A:$A,0),6,14),OFFSET(Teams!$K$1,MATCH($A12,Teams!$K:$K,0),6,14))&gt;=LARGE(FILTER(IFERROR(OFFSET(Teams!$A$1,MATCH($A12,Teams!$A:$A,0),6,14),OFFSET(Teams!$K$1,MATCH($A12,Teams!$K:$K,0),6,14)),IFERROR(OFFSET(Teams!$A$1,MATCH($A1"&amp;"2,Teams!$A:$A,0),6,14),OFFSET(Teams!$K$1,MATCH($A12,Teams!$K:$K,0),6,14))&lt;&gt;""#N/A""),11)))"),0.0)</f>
        <v>0</v>
      </c>
      <c r="I12" s="99">
        <f>IFERROR(__xludf.DUMMYFUNCTION("AVERAGE(FILTER(IFERROR(OFFSET(Teams!$A$1,MATCH($A12,Teams!$A:$A,0),7,14),OFFSET(Teams!$K$1,MATCH($A12,Teams!$K:$K,0),7,14)),IFERROR(OFFSET(Teams!$A$1,MATCH($A12,Teams!$A:$A,0),7,14),OFFSET(Teams!$K$1,MATCH($A12,Teams!$K:$K,0),7,14))&lt;&gt;""#N/A"",IFERROR(OFFS"&amp;"ET(Teams!$A$1,MATCH($A12,Teams!$A:$A,0),6,14),OFFSET(Teams!$K$1,MATCH($A12,Teams!$K:$K,0),6,14))&gt;=LARGE(FILTER(IFERROR(OFFSET(Teams!$A$1,MATCH($A12,Teams!$A:$A,0),6,14),OFFSET(Teams!$K$1,MATCH($A12,Teams!$K:$K,0),6,14)),IFERROR(OFFSET(Teams!$A$1,MATCH($A1"&amp;"2,Teams!$A:$A,0),6,14),OFFSET(Teams!$K$1,MATCH($A12,Teams!$K:$K,0),6,14))&lt;&gt;""#N/A""),11)))"),0.0)</f>
        <v>0</v>
      </c>
      <c r="J12" s="97" t="str">
        <f t="shared" si="1"/>
        <v>#DIV/0!</v>
      </c>
      <c r="K12" s="31">
        <f>IFERROR(__xludf.DUMMYFUNCTION("(AVERAGE(FILTER(IFERROR(OFFSET(Teams!$A$1,MATCH($A12,Teams!$A:$A,0),8,14),OFFSET(Teams!$K$1,MATCH($A12,Teams!$K:$K,0),8,14)),IFERROR(OFFSET(Teams!$A$1,MATCH($A12,Teams!$A:$A,0),8,14),OFFSET(Teams!$K$1,MATCH($A12,Teams!$K:$K,0),8,14))&lt;&gt;""#N/A"",IFERROR(OFF"&amp;"SET(Teams!$A$1,MATCH($A12,Teams!$A:$A,0),8,14),OFFSET(Teams!$K$1,MATCH($A12,Teams!$K:$K,0),8,14))&gt;=LARGE(FILTER(IFERROR(OFFSET(Teams!$A$1,MATCH($A12,Teams!$A:$A,0),8,14),OFFSET(Teams!$K$1,MATCH($A12,Teams!$K:$K,0),8,14)),IFERROR(OFFSET(Teams!$A$1,MATCH($A"&amp;"12,Teams!$A:$A,0),8,14),OFFSET(Teams!$K$1,MATCH($A12,Teams!$K:$K,0),8,14))&lt;&gt;""#N/A""),5)))*3+AVERAGE(FILTER(IFERROR(OFFSET(Teams!$A$1,MATCH($A12,Teams!$A:$A,0),8,14),OFFSET(Teams!$K$1,MATCH($A12,Teams!$K:$K,0),8,14)),IFERROR(OFFSET(Teams!$A$1,MATCH($A12,T"&amp;"eams!$A:$A,0),8,14),OFFSET(Teams!$K$1,MATCH($A12,Teams!$K:$K,0),8,14))&lt;&gt;""#N/A"",IFERROR(OFFSET(Teams!$A$1,MATCH($A12,Teams!$A:$A,0),8,14),OFFSET(Teams!$K$1,MATCH($A12,Teams!$K:$K,0),8,14))&gt;=LARGE(FILTER(IFERROR(OFFSET(Teams!$A$1,MATCH($A12,Teams!$A:$A,0)"&amp;",8,14),OFFSET(Teams!$K$1,MATCH($A12,Teams!$K:$K,0),8,14)),IFERROR(OFFSET(Teams!$A$1,MATCH($A12,Teams!$A:$A,0),8,14),OFFSET(Teams!$K$1,MATCH($A12,Teams!$K:$K,0),8,14))&lt;&gt;""#N/A""),7)))+AVERAGE(FILTER(IFERROR(OFFSET(Teams!$A$1,MATCH($A12,Teams!$A:$A,0),8,14)"&amp;",OFFSET(Teams!$K$1,MATCH($A12,Teams!$K:$K,0),8,14)),IFERROR(OFFSET(Teams!$A$1,MATCH($A12,Teams!$A:$A,0),8,14),OFFSET(Teams!$K$1,MATCH($A12,Teams!$K:$K,0),8,14))&lt;&gt;""#N/A"",IFERROR(OFFSET(Teams!$A$1,MATCH($A12,Teams!$A:$A,0),8,14),OFFSET(Teams!$K$1,MATCH($A"&amp;"12,Teams!$K:$K,0),8,14))&gt;=LARGE(FILTER(IFERROR(OFFSET(Teams!$A$1,MATCH($A12,Teams!$A:$A,0),8,14),OFFSET(Teams!$K$1,MATCH($A12,Teams!$K:$K,0),8,14)),IFERROR(OFFSET(Teams!$A$1,MATCH($A12,Teams!$A:$A,0),8,14),OFFSET(Teams!$K$1,MATCH($A12,Teams!$K:$K,0),8,14)"&amp;")&lt;&gt;""#N/A""),11))))/5"),0.0)</f>
        <v>0</v>
      </c>
      <c r="L12" s="113" t="str">
        <f t="shared" si="2"/>
        <v>#N/A</v>
      </c>
    </row>
    <row r="13">
      <c r="A13" s="34" t="str">
        <f>'Current Roster Score v2'!A13</f>
        <v>Higgins</v>
      </c>
      <c r="B13" s="94">
        <f>COUNTIF(
IFERROR(
OFFSET(Teams!$A$1,MATCH($A13,Teams!$A:$A,0),2,11),
OFFSET(Teams!$K$1,MATCH($A13,Teams!$K:$K,0),2,11)
),CONCATENATE("*",B$1,"*")
)</f>
        <v>0</v>
      </c>
      <c r="C13" s="94">
        <f>COUNTIF(
IFERROR(
OFFSET(Teams!$A$1,MATCH($A13,Teams!$A:$A,0),2,11),
OFFSET(Teams!$K$1,MATCH($A13,Teams!$K:$K,0),2,11)
),CONCATENATE("*",C$1,"*")
)</f>
        <v>0</v>
      </c>
      <c r="D13" s="94">
        <f>COUNTIF(
IFERROR(
OFFSET(Teams!$A$1,MATCH($A13,Teams!$A:$A,0),2,11),
OFFSET(Teams!$K$1,MATCH($A13,Teams!$K:$K,0),2,11)
),CONCATENATE("*",D$1,"*")
)</f>
        <v>0</v>
      </c>
      <c r="E13" s="98" t="str">
        <f>IFERROR(__xludf.DUMMYFUNCTION("AVERAGE(FILTER(IFERROR(OFFSET(Teams!$A$1,MATCH($A13,Teams!$A:$A,0),3,14),OFFSET(Teams!$K$1,MATCH($A13,Teams!$K:$K,0),3,14)),IFERROR(OFFSET(Teams!$A$1,MATCH($A13,Teams!$A:$A,0),3,14),OFFSET(Teams!$K$1,MATCH($A13,Teams!$K:$K,0),3,14))&lt;&gt;""#N/A"",IFERROR(OFFS"&amp;"ET(Teams!$A$1,MATCH($A13,Teams!$A:$A,0),6,14),OFFSET(Teams!$K$1,MATCH($A13,Teams!$K:$K,0),6,14))&gt;=LARGE(FILTER(IFERROR(OFFSET(Teams!$A$1,MATCH($A13,Teams!$A:$A,0),6,14),OFFSET(Teams!$K$1,MATCH($A13,Teams!$K:$K,0),6,14)),IFERROR(OFFSET(Teams!$A$1,MATCH($A1"&amp;"3,Teams!$A:$A,0),6,14),OFFSET(Teams!$K$1,MATCH($A13,Teams!$K:$K,0),6,14))&lt;&gt;""#N/A""),11)))"),"#DIV/0!")</f>
        <v>#DIV/0!</v>
      </c>
      <c r="F13" s="96">
        <f t="array" ref="F13">SUM(1/COUNTIF(IFERROR(OFFSET(Teams!$A$1,MATCH($A13,Teams!$A:$A,0),4,11),OFFSET(Teams!$K$1,MATCH($A13,Teams!$K:$K,0),4,11)),IFERROR(OFFSET(Teams!$A$1,MATCH($A13,Teams!$A:$A,0),4,11),OFFSET(Teams!$K$1,MATCH($A13,Teams!$K:$K,0),4,11))))</f>
        <v>1</v>
      </c>
      <c r="G13" s="97" t="str">
        <f>IFERROR(__xludf.DUMMYFUNCTION("AVERAGE(FILTER(IFERROR(OFFSET(Teams!$A$1,MATCH($A13,Teams!$A:$A,0),5,14),OFFSET(Teams!$K$1,MATCH($A13,Teams!$K:$K,0),5,14)),IFERROR(OFFSET(Teams!$A$1,MATCH($A13,Teams!$A:$A,0),5,14),OFFSET(Teams!$K$1,MATCH($A13,Teams!$K:$K,0),5,14))&lt;&gt;""#N/A"",IFERROR(OFFS"&amp;"ET(Teams!$A$1,MATCH($A13,Teams!$A:$A,0),6,14),OFFSET(Teams!$K$1,MATCH($A13,Teams!$K:$K,0),6,14))&gt;=LARGE(FILTER(IFERROR(OFFSET(Teams!$A$1,MATCH($A13,Teams!$A:$A,0),6,14),OFFSET(Teams!$K$1,MATCH($A13,Teams!$K:$K,0),6,14)),IFERROR(OFFSET(Teams!$A$1,MATCH($A1"&amp;"3,Teams!$A:$A,0),6,14),OFFSET(Teams!$K$1,MATCH($A13,Teams!$K:$K,0),6,14))&lt;&gt;""#N/A""),11)))"),"#DIV/0!")</f>
        <v>#DIV/0!</v>
      </c>
      <c r="H13" s="98">
        <f>IFERROR(__xludf.DUMMYFUNCTION("AVERAGE(FILTER(IFERROR(OFFSET(Teams!$A$1,MATCH($A13,Teams!$A:$A,0),6,14),OFFSET(Teams!$K$1,MATCH($A13,Teams!$K:$K,0),6,14)),IFERROR(OFFSET(Teams!$A$1,MATCH($A13,Teams!$A:$A,0),6,14),OFFSET(Teams!$K$1,MATCH($A13,Teams!$K:$K,0),6,14))&lt;&gt;""#N/A"",IFERROR(OFFS"&amp;"ET(Teams!$A$1,MATCH($A13,Teams!$A:$A,0),6,14),OFFSET(Teams!$K$1,MATCH($A13,Teams!$K:$K,0),6,14))&gt;=LARGE(FILTER(IFERROR(OFFSET(Teams!$A$1,MATCH($A13,Teams!$A:$A,0),6,14),OFFSET(Teams!$K$1,MATCH($A13,Teams!$K:$K,0),6,14)),IFERROR(OFFSET(Teams!$A$1,MATCH($A1"&amp;"3,Teams!$A:$A,0),6,14),OFFSET(Teams!$K$1,MATCH($A13,Teams!$K:$K,0),6,14))&lt;&gt;""#N/A""),11)))"),0.0)</f>
        <v>0</v>
      </c>
      <c r="I13" s="99">
        <f>IFERROR(__xludf.DUMMYFUNCTION("AVERAGE(FILTER(IFERROR(OFFSET(Teams!$A$1,MATCH($A13,Teams!$A:$A,0),7,14),OFFSET(Teams!$K$1,MATCH($A13,Teams!$K:$K,0),7,14)),IFERROR(OFFSET(Teams!$A$1,MATCH($A13,Teams!$A:$A,0),7,14),OFFSET(Teams!$K$1,MATCH($A13,Teams!$K:$K,0),7,14))&lt;&gt;""#N/A"",IFERROR(OFFS"&amp;"ET(Teams!$A$1,MATCH($A13,Teams!$A:$A,0),6,14),OFFSET(Teams!$K$1,MATCH($A13,Teams!$K:$K,0),6,14))&gt;=LARGE(FILTER(IFERROR(OFFSET(Teams!$A$1,MATCH($A13,Teams!$A:$A,0),6,14),OFFSET(Teams!$K$1,MATCH($A13,Teams!$K:$K,0),6,14)),IFERROR(OFFSET(Teams!$A$1,MATCH($A1"&amp;"3,Teams!$A:$A,0),6,14),OFFSET(Teams!$K$1,MATCH($A13,Teams!$K:$K,0),6,14))&lt;&gt;""#N/A""),11)))"),0.0)</f>
        <v>0</v>
      </c>
      <c r="J13" s="97" t="str">
        <f t="shared" si="1"/>
        <v>#DIV/0!</v>
      </c>
      <c r="K13" s="31">
        <f>IFERROR(__xludf.DUMMYFUNCTION("(AVERAGE(FILTER(IFERROR(OFFSET(Teams!$A$1,MATCH($A13,Teams!$A:$A,0),8,14),OFFSET(Teams!$K$1,MATCH($A13,Teams!$K:$K,0),8,14)),IFERROR(OFFSET(Teams!$A$1,MATCH($A13,Teams!$A:$A,0),8,14),OFFSET(Teams!$K$1,MATCH($A13,Teams!$K:$K,0),8,14))&lt;&gt;""#N/A"",IFERROR(OFF"&amp;"SET(Teams!$A$1,MATCH($A13,Teams!$A:$A,0),8,14),OFFSET(Teams!$K$1,MATCH($A13,Teams!$K:$K,0),8,14))&gt;=LARGE(FILTER(IFERROR(OFFSET(Teams!$A$1,MATCH($A13,Teams!$A:$A,0),8,14),OFFSET(Teams!$K$1,MATCH($A13,Teams!$K:$K,0),8,14)),IFERROR(OFFSET(Teams!$A$1,MATCH($A"&amp;"13,Teams!$A:$A,0),8,14),OFFSET(Teams!$K$1,MATCH($A13,Teams!$K:$K,0),8,14))&lt;&gt;""#N/A""),5)))*3+AVERAGE(FILTER(IFERROR(OFFSET(Teams!$A$1,MATCH($A13,Teams!$A:$A,0),8,14),OFFSET(Teams!$K$1,MATCH($A13,Teams!$K:$K,0),8,14)),IFERROR(OFFSET(Teams!$A$1,MATCH($A13,T"&amp;"eams!$A:$A,0),8,14),OFFSET(Teams!$K$1,MATCH($A13,Teams!$K:$K,0),8,14))&lt;&gt;""#N/A"",IFERROR(OFFSET(Teams!$A$1,MATCH($A13,Teams!$A:$A,0),8,14),OFFSET(Teams!$K$1,MATCH($A13,Teams!$K:$K,0),8,14))&gt;=LARGE(FILTER(IFERROR(OFFSET(Teams!$A$1,MATCH($A13,Teams!$A:$A,0)"&amp;",8,14),OFFSET(Teams!$K$1,MATCH($A13,Teams!$K:$K,0),8,14)),IFERROR(OFFSET(Teams!$A$1,MATCH($A13,Teams!$A:$A,0),8,14),OFFSET(Teams!$K$1,MATCH($A13,Teams!$K:$K,0),8,14))&lt;&gt;""#N/A""),7)))+AVERAGE(FILTER(IFERROR(OFFSET(Teams!$A$1,MATCH($A13,Teams!$A:$A,0),8,14)"&amp;",OFFSET(Teams!$K$1,MATCH($A13,Teams!$K:$K,0),8,14)),IFERROR(OFFSET(Teams!$A$1,MATCH($A13,Teams!$A:$A,0),8,14),OFFSET(Teams!$K$1,MATCH($A13,Teams!$K:$K,0),8,14))&lt;&gt;""#N/A"",IFERROR(OFFSET(Teams!$A$1,MATCH($A13,Teams!$A:$A,0),8,14),OFFSET(Teams!$K$1,MATCH($A"&amp;"13,Teams!$K:$K,0),8,14))&gt;=LARGE(FILTER(IFERROR(OFFSET(Teams!$A$1,MATCH($A13,Teams!$A:$A,0),8,14),OFFSET(Teams!$K$1,MATCH($A13,Teams!$K:$K,0),8,14)),IFERROR(OFFSET(Teams!$A$1,MATCH($A13,Teams!$A:$A,0),8,14),OFFSET(Teams!$K$1,MATCH($A13,Teams!$K:$K,0),8,14)"&amp;")&lt;&gt;""#N/A""),11))))/5"),0.0)</f>
        <v>0</v>
      </c>
      <c r="L13" s="113" t="str">
        <f t="shared" si="2"/>
        <v>#N/A</v>
      </c>
    </row>
    <row r="14">
      <c r="A14" s="34" t="str">
        <f>'Current Roster Score v2'!A14</f>
        <v>Furtney</v>
      </c>
      <c r="B14" s="94">
        <f>COUNTIF(
IFERROR(
OFFSET(Teams!$A$1,MATCH($A14,Teams!$A:$A,0),2,11),
OFFSET(Teams!$K$1,MATCH($A14,Teams!$K:$K,0),2,11)
),CONCATENATE("*",B$1,"*")
)</f>
        <v>0</v>
      </c>
      <c r="C14" s="94">
        <f>COUNTIF(
IFERROR(
OFFSET(Teams!$A$1,MATCH($A14,Teams!$A:$A,0),2,11),
OFFSET(Teams!$K$1,MATCH($A14,Teams!$K:$K,0),2,11)
),CONCATENATE("*",C$1,"*")
)</f>
        <v>0</v>
      </c>
      <c r="D14" s="94">
        <f>COUNTIF(
IFERROR(
OFFSET(Teams!$A$1,MATCH($A14,Teams!$A:$A,0),2,11),
OFFSET(Teams!$K$1,MATCH($A14,Teams!$K:$K,0),2,11)
),CONCATENATE("*",D$1,"*")
)</f>
        <v>0</v>
      </c>
      <c r="E14" s="98" t="str">
        <f>IFERROR(__xludf.DUMMYFUNCTION("AVERAGE(FILTER(IFERROR(OFFSET(Teams!$A$1,MATCH($A14,Teams!$A:$A,0),3,14),OFFSET(Teams!$K$1,MATCH($A14,Teams!$K:$K,0),3,14)),IFERROR(OFFSET(Teams!$A$1,MATCH($A14,Teams!$A:$A,0),3,14),OFFSET(Teams!$K$1,MATCH($A14,Teams!$K:$K,0),3,14))&lt;&gt;""#N/A"",IFERROR(OFFS"&amp;"ET(Teams!$A$1,MATCH($A14,Teams!$A:$A,0),6,14),OFFSET(Teams!$K$1,MATCH($A14,Teams!$K:$K,0),6,14))&gt;=LARGE(FILTER(IFERROR(OFFSET(Teams!$A$1,MATCH($A14,Teams!$A:$A,0),6,14),OFFSET(Teams!$K$1,MATCH($A14,Teams!$K:$K,0),6,14)),IFERROR(OFFSET(Teams!$A$1,MATCH($A1"&amp;"4,Teams!$A:$A,0),6,14),OFFSET(Teams!$K$1,MATCH($A14,Teams!$K:$K,0),6,14))&lt;&gt;""#N/A""),11)))"),"#DIV/0!")</f>
        <v>#DIV/0!</v>
      </c>
      <c r="F14" s="96">
        <f t="array" ref="F14">SUM(1/COUNTIF(IFERROR(OFFSET(Teams!$A$1,MATCH($A14,Teams!$A:$A,0),4,11),OFFSET(Teams!$K$1,MATCH($A14,Teams!$K:$K,0),4,11)),IFERROR(OFFSET(Teams!$A$1,MATCH($A14,Teams!$A:$A,0),4,11),OFFSET(Teams!$K$1,MATCH($A14,Teams!$K:$K,0),4,11))))</f>
        <v>1</v>
      </c>
      <c r="G14" s="97" t="str">
        <f>IFERROR(__xludf.DUMMYFUNCTION("AVERAGE(FILTER(IFERROR(OFFSET(Teams!$A$1,MATCH($A14,Teams!$A:$A,0),5,14),OFFSET(Teams!$K$1,MATCH($A14,Teams!$K:$K,0),5,14)),IFERROR(OFFSET(Teams!$A$1,MATCH($A14,Teams!$A:$A,0),5,14),OFFSET(Teams!$K$1,MATCH($A14,Teams!$K:$K,0),5,14))&lt;&gt;""#N/A"",IFERROR(OFFS"&amp;"ET(Teams!$A$1,MATCH($A14,Teams!$A:$A,0),6,14),OFFSET(Teams!$K$1,MATCH($A14,Teams!$K:$K,0),6,14))&gt;=LARGE(FILTER(IFERROR(OFFSET(Teams!$A$1,MATCH($A14,Teams!$A:$A,0),6,14),OFFSET(Teams!$K$1,MATCH($A14,Teams!$K:$K,0),6,14)),IFERROR(OFFSET(Teams!$A$1,MATCH($A1"&amp;"4,Teams!$A:$A,0),6,14),OFFSET(Teams!$K$1,MATCH($A14,Teams!$K:$K,0),6,14))&lt;&gt;""#N/A""),11)))"),"#DIV/0!")</f>
        <v>#DIV/0!</v>
      </c>
      <c r="H14" s="98">
        <f>IFERROR(__xludf.DUMMYFUNCTION("AVERAGE(FILTER(IFERROR(OFFSET(Teams!$A$1,MATCH($A14,Teams!$A:$A,0),6,14),OFFSET(Teams!$K$1,MATCH($A14,Teams!$K:$K,0),6,14)),IFERROR(OFFSET(Teams!$A$1,MATCH($A14,Teams!$A:$A,0),6,14),OFFSET(Teams!$K$1,MATCH($A14,Teams!$K:$K,0),6,14))&lt;&gt;""#N/A"",IFERROR(OFFS"&amp;"ET(Teams!$A$1,MATCH($A14,Teams!$A:$A,0),6,14),OFFSET(Teams!$K$1,MATCH($A14,Teams!$K:$K,0),6,14))&gt;=LARGE(FILTER(IFERROR(OFFSET(Teams!$A$1,MATCH($A14,Teams!$A:$A,0),6,14),OFFSET(Teams!$K$1,MATCH($A14,Teams!$K:$K,0),6,14)),IFERROR(OFFSET(Teams!$A$1,MATCH($A1"&amp;"4,Teams!$A:$A,0),6,14),OFFSET(Teams!$K$1,MATCH($A14,Teams!$K:$K,0),6,14))&lt;&gt;""#N/A""),11)))"),0.0)</f>
        <v>0</v>
      </c>
      <c r="I14" s="99">
        <f>IFERROR(__xludf.DUMMYFUNCTION("AVERAGE(FILTER(IFERROR(OFFSET(Teams!$A$1,MATCH($A14,Teams!$A:$A,0),7,14),OFFSET(Teams!$K$1,MATCH($A14,Teams!$K:$K,0),7,14)),IFERROR(OFFSET(Teams!$A$1,MATCH($A14,Teams!$A:$A,0),7,14),OFFSET(Teams!$K$1,MATCH($A14,Teams!$K:$K,0),7,14))&lt;&gt;""#N/A"",IFERROR(OFFS"&amp;"ET(Teams!$A$1,MATCH($A14,Teams!$A:$A,0),6,14),OFFSET(Teams!$K$1,MATCH($A14,Teams!$K:$K,0),6,14))&gt;=LARGE(FILTER(IFERROR(OFFSET(Teams!$A$1,MATCH($A14,Teams!$A:$A,0),6,14),OFFSET(Teams!$K$1,MATCH($A14,Teams!$K:$K,0),6,14)),IFERROR(OFFSET(Teams!$A$1,MATCH($A1"&amp;"4,Teams!$A:$A,0),6,14),OFFSET(Teams!$K$1,MATCH($A14,Teams!$K:$K,0),6,14))&lt;&gt;""#N/A""),11)))"),0.0)</f>
        <v>0</v>
      </c>
      <c r="J14" s="97" t="str">
        <f t="shared" si="1"/>
        <v>#DIV/0!</v>
      </c>
      <c r="K14" s="31">
        <f>IFERROR(__xludf.DUMMYFUNCTION("(AVERAGE(FILTER(IFERROR(OFFSET(Teams!$A$1,MATCH($A14,Teams!$A:$A,0),8,14),OFFSET(Teams!$K$1,MATCH($A14,Teams!$K:$K,0),8,14)),IFERROR(OFFSET(Teams!$A$1,MATCH($A14,Teams!$A:$A,0),8,14),OFFSET(Teams!$K$1,MATCH($A14,Teams!$K:$K,0),8,14))&lt;&gt;""#N/A"",IFERROR(OFF"&amp;"SET(Teams!$A$1,MATCH($A14,Teams!$A:$A,0),8,14),OFFSET(Teams!$K$1,MATCH($A14,Teams!$K:$K,0),8,14))&gt;=LARGE(FILTER(IFERROR(OFFSET(Teams!$A$1,MATCH($A14,Teams!$A:$A,0),8,14),OFFSET(Teams!$K$1,MATCH($A14,Teams!$K:$K,0),8,14)),IFERROR(OFFSET(Teams!$A$1,MATCH($A"&amp;"14,Teams!$A:$A,0),8,14),OFFSET(Teams!$K$1,MATCH($A14,Teams!$K:$K,0),8,14))&lt;&gt;""#N/A""),5)))*3+AVERAGE(FILTER(IFERROR(OFFSET(Teams!$A$1,MATCH($A14,Teams!$A:$A,0),8,14),OFFSET(Teams!$K$1,MATCH($A14,Teams!$K:$K,0),8,14)),IFERROR(OFFSET(Teams!$A$1,MATCH($A14,T"&amp;"eams!$A:$A,0),8,14),OFFSET(Teams!$K$1,MATCH($A14,Teams!$K:$K,0),8,14))&lt;&gt;""#N/A"",IFERROR(OFFSET(Teams!$A$1,MATCH($A14,Teams!$A:$A,0),8,14),OFFSET(Teams!$K$1,MATCH($A14,Teams!$K:$K,0),8,14))&gt;=LARGE(FILTER(IFERROR(OFFSET(Teams!$A$1,MATCH($A14,Teams!$A:$A,0)"&amp;",8,14),OFFSET(Teams!$K$1,MATCH($A14,Teams!$K:$K,0),8,14)),IFERROR(OFFSET(Teams!$A$1,MATCH($A14,Teams!$A:$A,0),8,14),OFFSET(Teams!$K$1,MATCH($A14,Teams!$K:$K,0),8,14))&lt;&gt;""#N/A""),7)))+AVERAGE(FILTER(IFERROR(OFFSET(Teams!$A$1,MATCH($A14,Teams!$A:$A,0),8,14)"&amp;",OFFSET(Teams!$K$1,MATCH($A14,Teams!$K:$K,0),8,14)),IFERROR(OFFSET(Teams!$A$1,MATCH($A14,Teams!$A:$A,0),8,14),OFFSET(Teams!$K$1,MATCH($A14,Teams!$K:$K,0),8,14))&lt;&gt;""#N/A"",IFERROR(OFFSET(Teams!$A$1,MATCH($A14,Teams!$A:$A,0),8,14),OFFSET(Teams!$K$1,MATCH($A"&amp;"14,Teams!$K:$K,0),8,14))&gt;=LARGE(FILTER(IFERROR(OFFSET(Teams!$A$1,MATCH($A14,Teams!$A:$A,0),8,14),OFFSET(Teams!$K$1,MATCH($A14,Teams!$K:$K,0),8,14)),IFERROR(OFFSET(Teams!$A$1,MATCH($A14,Teams!$A:$A,0),8,14),OFFSET(Teams!$K$1,MATCH($A14,Teams!$K:$K,0),8,14)"&amp;")&lt;&gt;""#N/A""),11))))/5"),0.0)</f>
        <v>0</v>
      </c>
      <c r="L14" s="113" t="str">
        <f t="shared" si="2"/>
        <v>#N/A</v>
      </c>
    </row>
    <row r="15">
      <c r="A15" s="34" t="str">
        <f>'Current Roster Score v2'!A15</f>
        <v>Nee</v>
      </c>
      <c r="B15" s="94">
        <f>COUNTIF(
IFERROR(
OFFSET(Teams!$A$1,MATCH($A15,Teams!$A:$A,0),2,11),
OFFSET(Teams!$K$1,MATCH($A15,Teams!$K:$K,0),2,11)
),CONCATENATE("*",B$1,"*")
)</f>
        <v>0</v>
      </c>
      <c r="C15" s="94">
        <f>COUNTIF(
IFERROR(
OFFSET(Teams!$A$1,MATCH($A15,Teams!$A:$A,0),2,11),
OFFSET(Teams!$K$1,MATCH($A15,Teams!$K:$K,0),2,11)
),CONCATENATE("*",C$1,"*")
)</f>
        <v>0</v>
      </c>
      <c r="D15" s="94">
        <f>COUNTIF(
IFERROR(
OFFSET(Teams!$A$1,MATCH($A15,Teams!$A:$A,0),2,11),
OFFSET(Teams!$K$1,MATCH($A15,Teams!$K:$K,0),2,11)
),CONCATENATE("*",D$1,"*")
)</f>
        <v>0</v>
      </c>
      <c r="E15" s="98" t="str">
        <f>IFERROR(__xludf.DUMMYFUNCTION("AVERAGE(FILTER(IFERROR(OFFSET(Teams!$A$1,MATCH($A15,Teams!$A:$A,0),3,14),OFFSET(Teams!$K$1,MATCH($A15,Teams!$K:$K,0),3,14)),IFERROR(OFFSET(Teams!$A$1,MATCH($A15,Teams!$A:$A,0),3,14),OFFSET(Teams!$K$1,MATCH($A15,Teams!$K:$K,0),3,14))&lt;&gt;""#N/A"",IFERROR(OFFS"&amp;"ET(Teams!$A$1,MATCH($A15,Teams!$A:$A,0),6,14),OFFSET(Teams!$K$1,MATCH($A15,Teams!$K:$K,0),6,14))&gt;=LARGE(FILTER(IFERROR(OFFSET(Teams!$A$1,MATCH($A15,Teams!$A:$A,0),6,14),OFFSET(Teams!$K$1,MATCH($A15,Teams!$K:$K,0),6,14)),IFERROR(OFFSET(Teams!$A$1,MATCH($A1"&amp;"5,Teams!$A:$A,0),6,14),OFFSET(Teams!$K$1,MATCH($A15,Teams!$K:$K,0),6,14))&lt;&gt;""#N/A""),11)))"),"#DIV/0!")</f>
        <v>#DIV/0!</v>
      </c>
      <c r="F15" s="96">
        <f t="array" ref="F15">SUM(1/COUNTIF(IFERROR(OFFSET(Teams!$A$1,MATCH($A15,Teams!$A:$A,0),4,11),OFFSET(Teams!$K$1,MATCH($A15,Teams!$K:$K,0),4,11)),IFERROR(OFFSET(Teams!$A$1,MATCH($A15,Teams!$A:$A,0),4,11),OFFSET(Teams!$K$1,MATCH($A15,Teams!$K:$K,0),4,11))))</f>
        <v>1</v>
      </c>
      <c r="G15" s="97" t="str">
        <f>IFERROR(__xludf.DUMMYFUNCTION("AVERAGE(FILTER(IFERROR(OFFSET(Teams!$A$1,MATCH($A15,Teams!$A:$A,0),5,14),OFFSET(Teams!$K$1,MATCH($A15,Teams!$K:$K,0),5,14)),IFERROR(OFFSET(Teams!$A$1,MATCH($A15,Teams!$A:$A,0),5,14),OFFSET(Teams!$K$1,MATCH($A15,Teams!$K:$K,0),5,14))&lt;&gt;""#N/A"",IFERROR(OFFS"&amp;"ET(Teams!$A$1,MATCH($A15,Teams!$A:$A,0),6,14),OFFSET(Teams!$K$1,MATCH($A15,Teams!$K:$K,0),6,14))&gt;=LARGE(FILTER(IFERROR(OFFSET(Teams!$A$1,MATCH($A15,Teams!$A:$A,0),6,14),OFFSET(Teams!$K$1,MATCH($A15,Teams!$K:$K,0),6,14)),IFERROR(OFFSET(Teams!$A$1,MATCH($A1"&amp;"5,Teams!$A:$A,0),6,14),OFFSET(Teams!$K$1,MATCH($A15,Teams!$K:$K,0),6,14))&lt;&gt;""#N/A""),11)))"),"#DIV/0!")</f>
        <v>#DIV/0!</v>
      </c>
      <c r="H15" s="98">
        <f>IFERROR(__xludf.DUMMYFUNCTION("AVERAGE(FILTER(IFERROR(OFFSET(Teams!$A$1,MATCH($A15,Teams!$A:$A,0),6,14),OFFSET(Teams!$K$1,MATCH($A15,Teams!$K:$K,0),6,14)),IFERROR(OFFSET(Teams!$A$1,MATCH($A15,Teams!$A:$A,0),6,14),OFFSET(Teams!$K$1,MATCH($A15,Teams!$K:$K,0),6,14))&lt;&gt;""#N/A"",IFERROR(OFFS"&amp;"ET(Teams!$A$1,MATCH($A15,Teams!$A:$A,0),6,14),OFFSET(Teams!$K$1,MATCH($A15,Teams!$K:$K,0),6,14))&gt;=LARGE(FILTER(IFERROR(OFFSET(Teams!$A$1,MATCH($A15,Teams!$A:$A,0),6,14),OFFSET(Teams!$K$1,MATCH($A15,Teams!$K:$K,0),6,14)),IFERROR(OFFSET(Teams!$A$1,MATCH($A1"&amp;"5,Teams!$A:$A,0),6,14),OFFSET(Teams!$K$1,MATCH($A15,Teams!$K:$K,0),6,14))&lt;&gt;""#N/A""),11)))"),0.0)</f>
        <v>0</v>
      </c>
      <c r="I15" s="99">
        <f>IFERROR(__xludf.DUMMYFUNCTION("AVERAGE(FILTER(IFERROR(OFFSET(Teams!$A$1,MATCH($A15,Teams!$A:$A,0),7,14),OFFSET(Teams!$K$1,MATCH($A15,Teams!$K:$K,0),7,14)),IFERROR(OFFSET(Teams!$A$1,MATCH($A15,Teams!$A:$A,0),7,14),OFFSET(Teams!$K$1,MATCH($A15,Teams!$K:$K,0),7,14))&lt;&gt;""#N/A"",IFERROR(OFFS"&amp;"ET(Teams!$A$1,MATCH($A15,Teams!$A:$A,0),6,14),OFFSET(Teams!$K$1,MATCH($A15,Teams!$K:$K,0),6,14))&gt;=LARGE(FILTER(IFERROR(OFFSET(Teams!$A$1,MATCH($A15,Teams!$A:$A,0),6,14),OFFSET(Teams!$K$1,MATCH($A15,Teams!$K:$K,0),6,14)),IFERROR(OFFSET(Teams!$A$1,MATCH($A1"&amp;"5,Teams!$A:$A,0),6,14),OFFSET(Teams!$K$1,MATCH($A15,Teams!$K:$K,0),6,14))&lt;&gt;""#N/A""),11)))"),0.0)</f>
        <v>0</v>
      </c>
      <c r="J15" s="97" t="str">
        <f t="shared" si="1"/>
        <v>#DIV/0!</v>
      </c>
      <c r="K15" s="31">
        <f>IFERROR(__xludf.DUMMYFUNCTION("(AVERAGE(FILTER(IFERROR(OFFSET(Teams!$A$1,MATCH($A15,Teams!$A:$A,0),8,14),OFFSET(Teams!$K$1,MATCH($A15,Teams!$K:$K,0),8,14)),IFERROR(OFFSET(Teams!$A$1,MATCH($A15,Teams!$A:$A,0),8,14),OFFSET(Teams!$K$1,MATCH($A15,Teams!$K:$K,0),8,14))&lt;&gt;""#N/A"",IFERROR(OFF"&amp;"SET(Teams!$A$1,MATCH($A15,Teams!$A:$A,0),8,14),OFFSET(Teams!$K$1,MATCH($A15,Teams!$K:$K,0),8,14))&gt;=LARGE(FILTER(IFERROR(OFFSET(Teams!$A$1,MATCH($A15,Teams!$A:$A,0),8,14),OFFSET(Teams!$K$1,MATCH($A15,Teams!$K:$K,0),8,14)),IFERROR(OFFSET(Teams!$A$1,MATCH($A"&amp;"15,Teams!$A:$A,0),8,14),OFFSET(Teams!$K$1,MATCH($A15,Teams!$K:$K,0),8,14))&lt;&gt;""#N/A""),5)))*3+AVERAGE(FILTER(IFERROR(OFFSET(Teams!$A$1,MATCH($A15,Teams!$A:$A,0),8,14),OFFSET(Teams!$K$1,MATCH($A15,Teams!$K:$K,0),8,14)),IFERROR(OFFSET(Teams!$A$1,MATCH($A15,T"&amp;"eams!$A:$A,0),8,14),OFFSET(Teams!$K$1,MATCH($A15,Teams!$K:$K,0),8,14))&lt;&gt;""#N/A"",IFERROR(OFFSET(Teams!$A$1,MATCH($A15,Teams!$A:$A,0),8,14),OFFSET(Teams!$K$1,MATCH($A15,Teams!$K:$K,0),8,14))&gt;=LARGE(FILTER(IFERROR(OFFSET(Teams!$A$1,MATCH($A15,Teams!$A:$A,0)"&amp;",8,14),OFFSET(Teams!$K$1,MATCH($A15,Teams!$K:$K,0),8,14)),IFERROR(OFFSET(Teams!$A$1,MATCH($A15,Teams!$A:$A,0),8,14),OFFSET(Teams!$K$1,MATCH($A15,Teams!$K:$K,0),8,14))&lt;&gt;""#N/A""),7)))+AVERAGE(FILTER(IFERROR(OFFSET(Teams!$A$1,MATCH($A15,Teams!$A:$A,0),8,14)"&amp;",OFFSET(Teams!$K$1,MATCH($A15,Teams!$K:$K,0),8,14)),IFERROR(OFFSET(Teams!$A$1,MATCH($A15,Teams!$A:$A,0),8,14),OFFSET(Teams!$K$1,MATCH($A15,Teams!$K:$K,0),8,14))&lt;&gt;""#N/A"",IFERROR(OFFSET(Teams!$A$1,MATCH($A15,Teams!$A:$A,0),8,14),OFFSET(Teams!$K$1,MATCH($A"&amp;"15,Teams!$K:$K,0),8,14))&gt;=LARGE(FILTER(IFERROR(OFFSET(Teams!$A$1,MATCH($A15,Teams!$A:$A,0),8,14),OFFSET(Teams!$K$1,MATCH($A15,Teams!$K:$K,0),8,14)),IFERROR(OFFSET(Teams!$A$1,MATCH($A15,Teams!$A:$A,0),8,14),OFFSET(Teams!$K$1,MATCH($A15,Teams!$K:$K,0),8,14)"&amp;")&lt;&gt;""#N/A""),11))))/5"),0.0)</f>
        <v>0</v>
      </c>
      <c r="L15" s="113" t="str">
        <f t="shared" si="2"/>
        <v>#N/A</v>
      </c>
    </row>
    <row r="16">
      <c r="A16" s="34" t="str">
        <f>'Current Roster Score v2'!A16</f>
        <v>Allread</v>
      </c>
      <c r="B16" s="94">
        <f>COUNTIF(
IFERROR(
OFFSET(Teams!$A$1,MATCH($A16,Teams!$A:$A,0),2,11),
OFFSET(Teams!$K$1,MATCH($A16,Teams!$K:$K,0),2,11)
),CONCATENATE("*",B$1,"*")
)</f>
        <v>0</v>
      </c>
      <c r="C16" s="94">
        <f>COUNTIF(
IFERROR(
OFFSET(Teams!$A$1,MATCH($A16,Teams!$A:$A,0),2,11),
OFFSET(Teams!$K$1,MATCH($A16,Teams!$K:$K,0),2,11)
),CONCATENATE("*",C$1,"*")
)</f>
        <v>0</v>
      </c>
      <c r="D16" s="94">
        <f>COUNTIF(
IFERROR(
OFFSET(Teams!$A$1,MATCH($A16,Teams!$A:$A,0),2,11),
OFFSET(Teams!$K$1,MATCH($A16,Teams!$K:$K,0),2,11)
),CONCATENATE("*",D$1,"*")
)</f>
        <v>0</v>
      </c>
      <c r="E16" s="98" t="str">
        <f>IFERROR(__xludf.DUMMYFUNCTION("AVERAGE(FILTER(IFERROR(OFFSET(Teams!$A$1,MATCH($A16,Teams!$A:$A,0),3,14),OFFSET(Teams!$K$1,MATCH($A16,Teams!$K:$K,0),3,14)),IFERROR(OFFSET(Teams!$A$1,MATCH($A16,Teams!$A:$A,0),3,14),OFFSET(Teams!$K$1,MATCH($A16,Teams!$K:$K,0),3,14))&lt;&gt;""#N/A"",IFERROR(OFFS"&amp;"ET(Teams!$A$1,MATCH($A16,Teams!$A:$A,0),6,14),OFFSET(Teams!$K$1,MATCH($A16,Teams!$K:$K,0),6,14))&gt;=LARGE(FILTER(IFERROR(OFFSET(Teams!$A$1,MATCH($A16,Teams!$A:$A,0),6,14),OFFSET(Teams!$K$1,MATCH($A16,Teams!$K:$K,0),6,14)),IFERROR(OFFSET(Teams!$A$1,MATCH($A1"&amp;"6,Teams!$A:$A,0),6,14),OFFSET(Teams!$K$1,MATCH($A16,Teams!$K:$K,0),6,14))&lt;&gt;""#N/A""),11)))"),"#N/A")</f>
        <v>#N/A</v>
      </c>
      <c r="F16" s="96">
        <f t="array" ref="F16">SUM(1/COUNTIF(IFERROR(OFFSET(Teams!$A$1,MATCH($A16,Teams!$A:$A,0),4,11),OFFSET(Teams!$K$1,MATCH($A16,Teams!$K:$K,0),4,11)),IFERROR(OFFSET(Teams!$A$1,MATCH($A16,Teams!$A:$A,0),4,11),OFFSET(Teams!$K$1,MATCH($A16,Teams!$K:$K,0),4,11))))</f>
        <v>1</v>
      </c>
      <c r="G16" s="97" t="str">
        <f>IFERROR(__xludf.DUMMYFUNCTION("AVERAGE(FILTER(IFERROR(OFFSET(Teams!$A$1,MATCH($A16,Teams!$A:$A,0),5,14),OFFSET(Teams!$K$1,MATCH($A16,Teams!$K:$K,0),5,14)),IFERROR(OFFSET(Teams!$A$1,MATCH($A16,Teams!$A:$A,0),5,14),OFFSET(Teams!$K$1,MATCH($A16,Teams!$K:$K,0),5,14))&lt;&gt;""#N/A"",IFERROR(OFFS"&amp;"ET(Teams!$A$1,MATCH($A16,Teams!$A:$A,0),6,14),OFFSET(Teams!$K$1,MATCH($A16,Teams!$K:$K,0),6,14))&gt;=LARGE(FILTER(IFERROR(OFFSET(Teams!$A$1,MATCH($A16,Teams!$A:$A,0),6,14),OFFSET(Teams!$K$1,MATCH($A16,Teams!$K:$K,0),6,14)),IFERROR(OFFSET(Teams!$A$1,MATCH($A1"&amp;"6,Teams!$A:$A,0),6,14),OFFSET(Teams!$K$1,MATCH($A16,Teams!$K:$K,0),6,14))&lt;&gt;""#N/A""),11)))"),"#N/A")</f>
        <v>#N/A</v>
      </c>
      <c r="H16" s="98" t="str">
        <f>IFERROR(__xludf.DUMMYFUNCTION("AVERAGE(FILTER(IFERROR(OFFSET(Teams!$A$1,MATCH($A16,Teams!$A:$A,0),6,14),OFFSET(Teams!$K$1,MATCH($A16,Teams!$K:$K,0),6,14)),IFERROR(OFFSET(Teams!$A$1,MATCH($A16,Teams!$A:$A,0),6,14),OFFSET(Teams!$K$1,MATCH($A16,Teams!$K:$K,0),6,14))&lt;&gt;""#N/A"",IFERROR(OFFS"&amp;"ET(Teams!$A$1,MATCH($A16,Teams!$A:$A,0),6,14),OFFSET(Teams!$K$1,MATCH($A16,Teams!$K:$K,0),6,14))&gt;=LARGE(FILTER(IFERROR(OFFSET(Teams!$A$1,MATCH($A16,Teams!$A:$A,0),6,14),OFFSET(Teams!$K$1,MATCH($A16,Teams!$K:$K,0),6,14)),IFERROR(OFFSET(Teams!$A$1,MATCH($A1"&amp;"6,Teams!$A:$A,0),6,14),OFFSET(Teams!$K$1,MATCH($A16,Teams!$K:$K,0),6,14))&lt;&gt;""#N/A""),11)))"),"#N/A")</f>
        <v>#N/A</v>
      </c>
      <c r="I16" s="99" t="str">
        <f>IFERROR(__xludf.DUMMYFUNCTION("AVERAGE(FILTER(IFERROR(OFFSET(Teams!$A$1,MATCH($A16,Teams!$A:$A,0),7,14),OFFSET(Teams!$K$1,MATCH($A16,Teams!$K:$K,0),7,14)),IFERROR(OFFSET(Teams!$A$1,MATCH($A16,Teams!$A:$A,0),7,14),OFFSET(Teams!$K$1,MATCH($A16,Teams!$K:$K,0),7,14))&lt;&gt;""#N/A"",IFERROR(OFFS"&amp;"ET(Teams!$A$1,MATCH($A16,Teams!$A:$A,0),6,14),OFFSET(Teams!$K$1,MATCH($A16,Teams!$K:$K,0),6,14))&gt;=LARGE(FILTER(IFERROR(OFFSET(Teams!$A$1,MATCH($A16,Teams!$A:$A,0),6,14),OFFSET(Teams!$K$1,MATCH($A16,Teams!$K:$K,0),6,14)),IFERROR(OFFSET(Teams!$A$1,MATCH($A1"&amp;"6,Teams!$A:$A,0),6,14),OFFSET(Teams!$K$1,MATCH($A16,Teams!$K:$K,0),6,14))&lt;&gt;""#N/A""),11)))"),"#N/A")</f>
        <v>#N/A</v>
      </c>
      <c r="J16" s="97" t="str">
        <f t="shared" si="1"/>
        <v>#DIV/0!</v>
      </c>
      <c r="K16" s="31" t="str">
        <f>IFERROR(__xludf.DUMMYFUNCTION("(AVERAGE(FILTER(IFERROR(OFFSET(Teams!$A$1,MATCH($A16,Teams!$A:$A,0),8,14),OFFSET(Teams!$K$1,MATCH($A16,Teams!$K:$K,0),8,14)),IFERROR(OFFSET(Teams!$A$1,MATCH($A16,Teams!$A:$A,0),8,14),OFFSET(Teams!$K$1,MATCH($A16,Teams!$K:$K,0),8,14))&lt;&gt;""#N/A"",IFERROR(OFF"&amp;"SET(Teams!$A$1,MATCH($A16,Teams!$A:$A,0),8,14),OFFSET(Teams!$K$1,MATCH($A16,Teams!$K:$K,0),8,14))&gt;=LARGE(FILTER(IFERROR(OFFSET(Teams!$A$1,MATCH($A16,Teams!$A:$A,0),8,14),OFFSET(Teams!$K$1,MATCH($A16,Teams!$K:$K,0),8,14)),IFERROR(OFFSET(Teams!$A$1,MATCH($A"&amp;"16,Teams!$A:$A,0),8,14),OFFSET(Teams!$K$1,MATCH($A16,Teams!$K:$K,0),8,14))&lt;&gt;""#N/A""),5)))*3+AVERAGE(FILTER(IFERROR(OFFSET(Teams!$A$1,MATCH($A16,Teams!$A:$A,0),8,14),OFFSET(Teams!$K$1,MATCH($A16,Teams!$K:$K,0),8,14)),IFERROR(OFFSET(Teams!$A$1,MATCH($A16,T"&amp;"eams!$A:$A,0),8,14),OFFSET(Teams!$K$1,MATCH($A16,Teams!$K:$K,0),8,14))&lt;&gt;""#N/A"",IFERROR(OFFSET(Teams!$A$1,MATCH($A16,Teams!$A:$A,0),8,14),OFFSET(Teams!$K$1,MATCH($A16,Teams!$K:$K,0),8,14))&gt;=LARGE(FILTER(IFERROR(OFFSET(Teams!$A$1,MATCH($A16,Teams!$A:$A,0)"&amp;",8,14),OFFSET(Teams!$K$1,MATCH($A16,Teams!$K:$K,0),8,14)),IFERROR(OFFSET(Teams!$A$1,MATCH($A16,Teams!$A:$A,0),8,14),OFFSET(Teams!$K$1,MATCH($A16,Teams!$K:$K,0),8,14))&lt;&gt;""#N/A""),7)))+AVERAGE(FILTER(IFERROR(OFFSET(Teams!$A$1,MATCH($A16,Teams!$A:$A,0),8,14)"&amp;",OFFSET(Teams!$K$1,MATCH($A16,Teams!$K:$K,0),8,14)),IFERROR(OFFSET(Teams!$A$1,MATCH($A16,Teams!$A:$A,0),8,14),OFFSET(Teams!$K$1,MATCH($A16,Teams!$K:$K,0),8,14))&lt;&gt;""#N/A"",IFERROR(OFFSET(Teams!$A$1,MATCH($A16,Teams!$A:$A,0),8,14),OFFSET(Teams!$K$1,MATCH($A"&amp;"16,Teams!$K:$K,0),8,14))&gt;=LARGE(FILTER(IFERROR(OFFSET(Teams!$A$1,MATCH($A16,Teams!$A:$A,0),8,14),OFFSET(Teams!$K$1,MATCH($A16,Teams!$K:$K,0),8,14)),IFERROR(OFFSET(Teams!$A$1,MATCH($A16,Teams!$A:$A,0),8,14),OFFSET(Teams!$K$1,MATCH($A16,Teams!$K:$K,0),8,14)"&amp;")&lt;&gt;""#N/A""),11))))/5"),"#N/A")</f>
        <v>#N/A</v>
      </c>
      <c r="L16" s="113" t="str">
        <f t="shared" si="2"/>
        <v>#N/A</v>
      </c>
    </row>
    <row r="17">
      <c r="A17" s="34" t="str">
        <f>'Current Roster Score v2'!A17</f>
        <v>Connolly</v>
      </c>
      <c r="B17" s="94">
        <f>COUNTIF(
IFERROR(
OFFSET(Teams!$A$1,MATCH($A17,Teams!$A:$A,0),2,11),
OFFSET(Teams!$K$1,MATCH($A17,Teams!$K:$K,0),2,11)
),CONCATENATE("*",B$1,"*")
)</f>
        <v>0</v>
      </c>
      <c r="C17" s="94">
        <f>COUNTIF(
IFERROR(
OFFSET(Teams!$A$1,MATCH($A17,Teams!$A:$A,0),2,11),
OFFSET(Teams!$K$1,MATCH($A17,Teams!$K:$K,0),2,11)
),CONCATENATE("*",C$1,"*")
)</f>
        <v>0</v>
      </c>
      <c r="D17" s="94">
        <f>COUNTIF(
IFERROR(
OFFSET(Teams!$A$1,MATCH($A17,Teams!$A:$A,0),2,11),
OFFSET(Teams!$K$1,MATCH($A17,Teams!$K:$K,0),2,11)
),CONCATENATE("*",D$1,"*")
)</f>
        <v>0</v>
      </c>
      <c r="E17" s="98" t="str">
        <f>IFERROR(__xludf.DUMMYFUNCTION("AVERAGE(FILTER(IFERROR(OFFSET(Teams!$A$1,MATCH($A17,Teams!$A:$A,0),3,14),OFFSET(Teams!$K$1,MATCH($A17,Teams!$K:$K,0),3,14)),IFERROR(OFFSET(Teams!$A$1,MATCH($A17,Teams!$A:$A,0),3,14),OFFSET(Teams!$K$1,MATCH($A17,Teams!$K:$K,0),3,14))&lt;&gt;""#N/A"",IFERROR(OFFS"&amp;"ET(Teams!$A$1,MATCH($A17,Teams!$A:$A,0),6,14),OFFSET(Teams!$K$1,MATCH($A17,Teams!$K:$K,0),6,14))&gt;=LARGE(FILTER(IFERROR(OFFSET(Teams!$A$1,MATCH($A17,Teams!$A:$A,0),6,14),OFFSET(Teams!$K$1,MATCH($A17,Teams!$K:$K,0),6,14)),IFERROR(OFFSET(Teams!$A$1,MATCH($A1"&amp;"7,Teams!$A:$A,0),6,14),OFFSET(Teams!$K$1,MATCH($A17,Teams!$K:$K,0),6,14))&lt;&gt;""#N/A""),11)))"),"#DIV/0!")</f>
        <v>#DIV/0!</v>
      </c>
      <c r="F17" s="96">
        <f t="array" ref="F17">SUM(1/COUNTIF(IFERROR(OFFSET(Teams!$A$1,MATCH($A17,Teams!$A:$A,0),4,11),OFFSET(Teams!$K$1,MATCH($A17,Teams!$K:$K,0),4,11)),IFERROR(OFFSET(Teams!$A$1,MATCH($A17,Teams!$A:$A,0),4,11),OFFSET(Teams!$K$1,MATCH($A17,Teams!$K:$K,0),4,11))))</f>
        <v>1</v>
      </c>
      <c r="G17" s="97" t="str">
        <f>IFERROR(__xludf.DUMMYFUNCTION("AVERAGE(FILTER(IFERROR(OFFSET(Teams!$A$1,MATCH($A17,Teams!$A:$A,0),5,14),OFFSET(Teams!$K$1,MATCH($A17,Teams!$K:$K,0),5,14)),IFERROR(OFFSET(Teams!$A$1,MATCH($A17,Teams!$A:$A,0),5,14),OFFSET(Teams!$K$1,MATCH($A17,Teams!$K:$K,0),5,14))&lt;&gt;""#N/A"",IFERROR(OFFS"&amp;"ET(Teams!$A$1,MATCH($A17,Teams!$A:$A,0),6,14),OFFSET(Teams!$K$1,MATCH($A17,Teams!$K:$K,0),6,14))&gt;=LARGE(FILTER(IFERROR(OFFSET(Teams!$A$1,MATCH($A17,Teams!$A:$A,0),6,14),OFFSET(Teams!$K$1,MATCH($A17,Teams!$K:$K,0),6,14)),IFERROR(OFFSET(Teams!$A$1,MATCH($A1"&amp;"7,Teams!$A:$A,0),6,14),OFFSET(Teams!$K$1,MATCH($A17,Teams!$K:$K,0),6,14))&lt;&gt;""#N/A""),11)))"),"#DIV/0!")</f>
        <v>#DIV/0!</v>
      </c>
      <c r="H17" s="98">
        <f>IFERROR(__xludf.DUMMYFUNCTION("AVERAGE(FILTER(IFERROR(OFFSET(Teams!$A$1,MATCH($A17,Teams!$A:$A,0),6,14),OFFSET(Teams!$K$1,MATCH($A17,Teams!$K:$K,0),6,14)),IFERROR(OFFSET(Teams!$A$1,MATCH($A17,Teams!$A:$A,0),6,14),OFFSET(Teams!$K$1,MATCH($A17,Teams!$K:$K,0),6,14))&lt;&gt;""#N/A"",IFERROR(OFFS"&amp;"ET(Teams!$A$1,MATCH($A17,Teams!$A:$A,0),6,14),OFFSET(Teams!$K$1,MATCH($A17,Teams!$K:$K,0),6,14))&gt;=LARGE(FILTER(IFERROR(OFFSET(Teams!$A$1,MATCH($A17,Teams!$A:$A,0),6,14),OFFSET(Teams!$K$1,MATCH($A17,Teams!$K:$K,0),6,14)),IFERROR(OFFSET(Teams!$A$1,MATCH($A1"&amp;"7,Teams!$A:$A,0),6,14),OFFSET(Teams!$K$1,MATCH($A17,Teams!$K:$K,0),6,14))&lt;&gt;""#N/A""),11)))"),0.0)</f>
        <v>0</v>
      </c>
      <c r="I17" s="99">
        <f>IFERROR(__xludf.DUMMYFUNCTION("AVERAGE(FILTER(IFERROR(OFFSET(Teams!$A$1,MATCH($A17,Teams!$A:$A,0),7,14),OFFSET(Teams!$K$1,MATCH($A17,Teams!$K:$K,0),7,14)),IFERROR(OFFSET(Teams!$A$1,MATCH($A17,Teams!$A:$A,0),7,14),OFFSET(Teams!$K$1,MATCH($A17,Teams!$K:$K,0),7,14))&lt;&gt;""#N/A"",IFERROR(OFFS"&amp;"ET(Teams!$A$1,MATCH($A17,Teams!$A:$A,0),6,14),OFFSET(Teams!$K$1,MATCH($A17,Teams!$K:$K,0),6,14))&gt;=LARGE(FILTER(IFERROR(OFFSET(Teams!$A$1,MATCH($A17,Teams!$A:$A,0),6,14),OFFSET(Teams!$K$1,MATCH($A17,Teams!$K:$K,0),6,14)),IFERROR(OFFSET(Teams!$A$1,MATCH($A1"&amp;"7,Teams!$A:$A,0),6,14),OFFSET(Teams!$K$1,MATCH($A17,Teams!$K:$K,0),6,14))&lt;&gt;""#N/A""),11)))"),0.0)</f>
        <v>0</v>
      </c>
      <c r="J17" s="97" t="str">
        <f t="shared" si="1"/>
        <v>#DIV/0!</v>
      </c>
      <c r="K17" s="31">
        <f>IFERROR(__xludf.DUMMYFUNCTION("(AVERAGE(FILTER(IFERROR(OFFSET(Teams!$A$1,MATCH($A17,Teams!$A:$A,0),8,14),OFFSET(Teams!$K$1,MATCH($A17,Teams!$K:$K,0),8,14)),IFERROR(OFFSET(Teams!$A$1,MATCH($A17,Teams!$A:$A,0),8,14),OFFSET(Teams!$K$1,MATCH($A17,Teams!$K:$K,0),8,14))&lt;&gt;""#N/A"",IFERROR(OFF"&amp;"SET(Teams!$A$1,MATCH($A17,Teams!$A:$A,0),8,14),OFFSET(Teams!$K$1,MATCH($A17,Teams!$K:$K,0),8,14))&gt;=LARGE(FILTER(IFERROR(OFFSET(Teams!$A$1,MATCH($A17,Teams!$A:$A,0),8,14),OFFSET(Teams!$K$1,MATCH($A17,Teams!$K:$K,0),8,14)),IFERROR(OFFSET(Teams!$A$1,MATCH($A"&amp;"17,Teams!$A:$A,0),8,14),OFFSET(Teams!$K$1,MATCH($A17,Teams!$K:$K,0),8,14))&lt;&gt;""#N/A""),5)))*3+AVERAGE(FILTER(IFERROR(OFFSET(Teams!$A$1,MATCH($A17,Teams!$A:$A,0),8,14),OFFSET(Teams!$K$1,MATCH($A17,Teams!$K:$K,0),8,14)),IFERROR(OFFSET(Teams!$A$1,MATCH($A17,T"&amp;"eams!$A:$A,0),8,14),OFFSET(Teams!$K$1,MATCH($A17,Teams!$K:$K,0),8,14))&lt;&gt;""#N/A"",IFERROR(OFFSET(Teams!$A$1,MATCH($A17,Teams!$A:$A,0),8,14),OFFSET(Teams!$K$1,MATCH($A17,Teams!$K:$K,0),8,14))&gt;=LARGE(FILTER(IFERROR(OFFSET(Teams!$A$1,MATCH($A17,Teams!$A:$A,0)"&amp;",8,14),OFFSET(Teams!$K$1,MATCH($A17,Teams!$K:$K,0),8,14)),IFERROR(OFFSET(Teams!$A$1,MATCH($A17,Teams!$A:$A,0),8,14),OFFSET(Teams!$K$1,MATCH($A17,Teams!$K:$K,0),8,14))&lt;&gt;""#N/A""),7)))+AVERAGE(FILTER(IFERROR(OFFSET(Teams!$A$1,MATCH($A17,Teams!$A:$A,0),8,14)"&amp;",OFFSET(Teams!$K$1,MATCH($A17,Teams!$K:$K,0),8,14)),IFERROR(OFFSET(Teams!$A$1,MATCH($A17,Teams!$A:$A,0),8,14),OFFSET(Teams!$K$1,MATCH($A17,Teams!$K:$K,0),8,14))&lt;&gt;""#N/A"",IFERROR(OFFSET(Teams!$A$1,MATCH($A17,Teams!$A:$A,0),8,14),OFFSET(Teams!$K$1,MATCH($A"&amp;"17,Teams!$K:$K,0),8,14))&gt;=LARGE(FILTER(IFERROR(OFFSET(Teams!$A$1,MATCH($A17,Teams!$A:$A,0),8,14),OFFSET(Teams!$K$1,MATCH($A17,Teams!$K:$K,0),8,14)),IFERROR(OFFSET(Teams!$A$1,MATCH($A17,Teams!$A:$A,0),8,14),OFFSET(Teams!$K$1,MATCH($A17,Teams!$K:$K,0),8,14)"&amp;")&lt;&gt;""#N/A""),11))))/5"),0.0)</f>
        <v>0</v>
      </c>
      <c r="L17" s="113" t="str">
        <f t="shared" si="2"/>
        <v>#N/A</v>
      </c>
    </row>
    <row r="20">
      <c r="E20" s="17" t="s">
        <v>1346</v>
      </c>
    </row>
  </sheetData>
  <conditionalFormatting sqref="E2:E17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:H17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:I1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:J17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:K17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:L17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7" t="s">
        <v>1348</v>
      </c>
      <c r="B1" s="17">
        <v>14.0</v>
      </c>
    </row>
    <row r="2">
      <c r="A2" s="17" t="s">
        <v>1349</v>
      </c>
      <c r="B2" s="17">
        <v>8.0</v>
      </c>
    </row>
    <row r="3">
      <c r="A3" s="17" t="s">
        <v>1350</v>
      </c>
      <c r="B3" s="17">
        <v>2.0</v>
      </c>
    </row>
    <row r="4">
      <c r="A4" s="17" t="s">
        <v>1351</v>
      </c>
      <c r="B4">
        <f>B1-B3</f>
        <v>12</v>
      </c>
    </row>
    <row r="5">
      <c r="A5" s="17" t="s">
        <v>1352</v>
      </c>
      <c r="B5" s="17">
        <v>8.0</v>
      </c>
    </row>
  </sheetData>
  <drawing r:id="rId1"/>
</worksheet>
</file>